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queryTables/queryTable7.xml" ContentType="application/vnd.openxmlformats-officedocument.spreadsheetml.queryTable+xml"/>
  <Override PartName="/xl/tables/table11.xml" ContentType="application/vnd.openxmlformats-officedocument.spreadsheetml.table+xml"/>
  <Override PartName="/xl/queryTables/queryTable8.xml" ContentType="application/vnd.openxmlformats-officedocument.spreadsheetml.queryTable+xml"/>
  <Override PartName="/xl/tables/table12.xml" ContentType="application/vnd.openxmlformats-officedocument.spreadsheetml.table+xml"/>
  <Override PartName="/xl/queryTables/queryTable9.xml" ContentType="application/vnd.openxmlformats-officedocument.spreadsheetml.queryTable+xml"/>
  <Override PartName="/xl/tables/table13.xml" ContentType="application/vnd.openxmlformats-officedocument.spreadsheetml.table+xml"/>
  <Override PartName="/xl/queryTables/queryTable10.xml" ContentType="application/vnd.openxmlformats-officedocument.spreadsheetml.queryTable+xml"/>
  <Override PartName="/xl/tables/table14.xml" ContentType="application/vnd.openxmlformats-officedocument.spreadsheetml.table+xml"/>
  <Override PartName="/xl/tables/table15.xml" ContentType="application/vnd.openxmlformats-officedocument.spreadsheetml.table+xml"/>
  <Override PartName="/xl/queryTables/queryTable11.xml" ContentType="application/vnd.openxmlformats-officedocument.spreadsheetml.queryTable+xml"/>
  <Override PartName="/xl/tables/table16.xml" ContentType="application/vnd.openxmlformats-officedocument.spreadsheetml.table+xml"/>
  <Override PartName="/xl/queryTables/queryTable12.xml" ContentType="application/vnd.openxmlformats-officedocument.spreadsheetml.queryTable+xml"/>
  <Override PartName="/xl/tables/table17.xml" ContentType="application/vnd.openxmlformats-officedocument.spreadsheetml.table+xml"/>
  <Override PartName="/xl/comments1.xml" ContentType="application/vnd.openxmlformats-officedocument.spreadsheetml.comments+xml"/>
  <Override PartName="/xl/tables/table18.xml" ContentType="application/vnd.openxmlformats-officedocument.spreadsheetml.table+xml"/>
  <Override PartName="/xl/comments2.xml" ContentType="application/vnd.openxmlformats-officedocument.spreadsheetml.comments+xml"/>
  <Override PartName="/xl/tables/table19.xml" ContentType="application/vnd.openxmlformats-officedocument.spreadsheetml.table+xml"/>
  <Override PartName="/xl/comments3.xml" ContentType="application/vnd.openxmlformats-officedocument.spreadsheetml.comments+xml"/>
  <Override PartName="/xl/tables/table20.xml" ContentType="application/vnd.openxmlformats-officedocument.spreadsheetml.table+xml"/>
  <Override PartName="/xl/comments4.xml" ContentType="application/vnd.openxmlformats-officedocument.spreadsheetml.comments+xml"/>
  <Override PartName="/xl/tables/table21.xml" ContentType="application/vnd.openxmlformats-officedocument.spreadsheetml.table+xml"/>
  <Override PartName="/xl/comments5.xml" ContentType="application/vnd.openxmlformats-officedocument.spreadsheetml.comments+xml"/>
  <Override PartName="/xl/tables/table22.xml" ContentType="application/vnd.openxmlformats-officedocument.spreadsheetml.table+xml"/>
  <Override PartName="/xl/comments6.xml" ContentType="application/vnd.openxmlformats-officedocument.spreadsheetml.comments+xml"/>
  <Override PartName="/xl/tables/table23.xml" ContentType="application/vnd.openxmlformats-officedocument.spreadsheetml.table+xml"/>
  <Override PartName="/xl/comments7.xml" ContentType="application/vnd.openxmlformats-officedocument.spreadsheetml.comments+xml"/>
  <Override PartName="/xl/tables/table24.xml" ContentType="application/vnd.openxmlformats-officedocument.spreadsheetml.table+xml"/>
  <Override PartName="/xl/comments8.xml" ContentType="application/vnd.openxmlformats-officedocument.spreadsheetml.comments+xml"/>
  <Override PartName="/xl/tables/table25.xml" ContentType="application/vnd.openxmlformats-officedocument.spreadsheetml.table+xml"/>
  <Override PartName="/xl/comments9.xml" ContentType="application/vnd.openxmlformats-officedocument.spreadsheetml.comments+xml"/>
  <Override PartName="/xl/tables/table26.xml" ContentType="application/vnd.openxmlformats-officedocument.spreadsheetml.table+xml"/>
  <Override PartName="/xl/comments10.xml" ContentType="application/vnd.openxmlformats-officedocument.spreadsheetml.comments+xml"/>
  <Override PartName="/xl/tables/table27.xml" ContentType="application/vnd.openxmlformats-officedocument.spreadsheetml.table+xml"/>
  <Override PartName="/xl/comments11.xml" ContentType="application/vnd.openxmlformats-officedocument.spreadsheetml.comments+xml"/>
  <Override PartName="/xl/tables/table28.xml" ContentType="application/vnd.openxmlformats-officedocument.spreadsheetml.table+xml"/>
  <Override PartName="/xl/comments12.xml" ContentType="application/vnd.openxmlformats-officedocument.spreadsheetml.comments+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omments13.xml" ContentType="application/vnd.openxmlformats-officedocument.spreadsheetml.comments+xml"/>
  <Override PartName="/xl/tables/table32.xml" ContentType="application/vnd.openxmlformats-officedocument.spreadsheetml.table+xml"/>
  <Override PartName="/xl/comments14.xml" ContentType="application/vnd.openxmlformats-officedocument.spreadsheetml.comments+xml"/>
  <Override PartName="/xl/tables/table33.xml" ContentType="application/vnd.openxmlformats-officedocument.spreadsheetml.table+xml"/>
  <Override PartName="/xl/comments15.xml" ContentType="application/vnd.openxmlformats-officedocument.spreadsheetml.comments+xml"/>
  <Override PartName="/xl/tables/table34.xml" ContentType="application/vnd.openxmlformats-officedocument.spreadsheetml.table+xml"/>
  <Override PartName="/xl/comments16.xml" ContentType="application/vnd.openxmlformats-officedocument.spreadsheetml.comments+xml"/>
  <Override PartName="/xl/tables/table35.xml" ContentType="application/vnd.openxmlformats-officedocument.spreadsheetml.table+xml"/>
  <Override PartName="/xl/comments17.xml" ContentType="application/vnd.openxmlformats-officedocument.spreadsheetml.comments+xml"/>
  <Override PartName="/xl/tables/table36.xml" ContentType="application/vnd.openxmlformats-officedocument.spreadsheetml.table+xml"/>
  <Override PartName="/xl/comments18.xml" ContentType="application/vnd.openxmlformats-officedocument.spreadsheetml.comments+xml"/>
  <Override PartName="/xl/tables/table37.xml" ContentType="application/vnd.openxmlformats-officedocument.spreadsheetml.table+xml"/>
  <Override PartName="/xl/comments19.xml" ContentType="application/vnd.openxmlformats-officedocument.spreadsheetml.comments+xml"/>
  <Override PartName="/xl/tables/table38.xml" ContentType="application/vnd.openxmlformats-officedocument.spreadsheetml.table+xml"/>
  <Override PartName="/xl/tables/table3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166925"/>
  <mc:AlternateContent xmlns:mc="http://schemas.openxmlformats.org/markup-compatibility/2006">
    <mc:Choice Requires="x15">
      <x15ac:absPath xmlns:x15ac="http://schemas.microsoft.com/office/spreadsheetml/2010/11/ac" url="https://impsoftwarecouk.sharepoint.com/Implementations/0.Planner Build Stage/COR004 - The Cornovii Trust/Workbook/"/>
    </mc:Choice>
  </mc:AlternateContent>
  <xr:revisionPtr revIDLastSave="8735" documentId="13_ncr:20001_{3507C41B-BDC4-491B-8534-097C084E4093}" xr6:coauthVersionLast="47" xr6:coauthVersionMax="47" xr10:uidLastSave="{3EE0C588-C63A-42EB-A157-A06C8CFD57E3}"/>
  <bookViews>
    <workbookView xWindow="-108" yWindow="-108" windowWidth="23256" windowHeight="12456" tabRatio="928" firstSheet="22" activeTab="31" xr2:uid="{8F8C9CD6-339C-4BFF-B485-4C471AECA1EE}"/>
  </bookViews>
  <sheets>
    <sheet name="Parameters" sheetId="89" r:id="rId1"/>
    <sheet name="Notes" sheetId="153" r:id="rId2"/>
    <sheet name="Build Checklist" sheetId="99" r:id="rId3"/>
    <sheet name="Import Checklist" sheetId="101" r:id="rId4"/>
    <sheet name="System Grouping Codes" sheetId="148" state="hidden" r:id="rId5"/>
    <sheet name="Funds" sheetId="45" r:id="rId6"/>
    <sheet name="Activity" sheetId="92" r:id="rId7"/>
    <sheet name="Ledger" sheetId="47" r:id="rId8"/>
    <sheet name="CustGroup" sheetId="46" r:id="rId9"/>
    <sheet name="SchHub" sheetId="41" r:id="rId10"/>
    <sheet name="SchType" sheetId="40" r:id="rId11"/>
    <sheet name="LocalAuth" sheetId="93" r:id="rId12"/>
    <sheet name="Schools" sheetId="42" r:id="rId13"/>
    <sheet name="Depts" sheetId="48" r:id="rId14"/>
    <sheet name="SourceFinanceCodes" sheetId="86" state="hidden" r:id="rId15"/>
    <sheet name="Finance Codes S2" sheetId="136" r:id="rId16"/>
    <sheet name="FinanceCodes Budget" sheetId="151" r:id="rId17"/>
    <sheet name="PayScales" sheetId="52" r:id="rId18"/>
    <sheet name="PayScalePoints" sheetId="122" r:id="rId19"/>
    <sheet name="PayScaleGrades" sheetId="54" r:id="rId20"/>
    <sheet name="PayScaleIncreasePercen" sheetId="91" r:id="rId21"/>
    <sheet name="AllowanceTypes" sheetId="71" r:id="rId22"/>
    <sheet name="AllowanceTypePoint" sheetId="120" r:id="rId23"/>
    <sheet name="AllowanceIncreasePercen" sheetId="117" r:id="rId24"/>
    <sheet name="AdjustmentTypes" sheetId="118" r:id="rId25"/>
    <sheet name="Pensions" sheetId="56" r:id="rId26"/>
    <sheet name="EQWPatterns" sheetId="74" r:id="rId27"/>
    <sheet name="StfRoleGroup" sheetId="116" r:id="rId28"/>
    <sheet name="StfRole" sheetId="59" r:id="rId29"/>
    <sheet name="Genders" sheetId="140" r:id="rId30"/>
    <sheet name="ContractTypes" sheetId="141" r:id="rId31"/>
    <sheet name="StaffMembers" sheetId="57" r:id="rId32"/>
    <sheet name="ContractsTeachFTE" sheetId="60" r:id="rId33"/>
    <sheet name="ContractsSupportHours" sheetId="69" r:id="rId34"/>
    <sheet name="ContractAllowances" sheetId="119" r:id="rId35"/>
    <sheet name="ContractAdjustments" sheetId="72" r:id="rId36"/>
    <sheet name="LeaveTypes" sheetId="70" r:id="rId37"/>
    <sheet name="StaffMemberLeaves" sheetId="73" r:id="rId38"/>
    <sheet name="Checklist" sheetId="34" r:id="rId39"/>
    <sheet name="Lookup" sheetId="1" state="hidden" r:id="rId40"/>
    <sheet name="Validation" sheetId="37" state="hidden" r:id="rId41"/>
  </sheets>
  <definedNames>
    <definedName name="_xlnm._FilterDatabase" localSheetId="35" hidden="1">ContractAdjustments!$N$1:$AB$1</definedName>
    <definedName name="_xlnm._FilterDatabase" localSheetId="34" hidden="1">ContractAllowances!$Q$1:$AE$1</definedName>
    <definedName name="_xlnm._FilterDatabase" localSheetId="33" hidden="1">ContractsSupportHours!$A$1:$AK$226</definedName>
    <definedName name="_xlnm._FilterDatabase" localSheetId="32" hidden="1">ContractsTeachFTE!$Z$1:$AT$338</definedName>
    <definedName name="_xlnm._FilterDatabase" localSheetId="13" hidden="1">Depts!#REF!</definedName>
    <definedName name="_xlnm._FilterDatabase" localSheetId="26" hidden="1">EQWPatterns!$A$1:$R$17</definedName>
    <definedName name="_xlnm._FilterDatabase" localSheetId="18" hidden="1">PayScalePoints!$N$1:$Y$113</definedName>
    <definedName name="_xlnm._FilterDatabase" localSheetId="17" hidden="1">PayScales!$J$1:$V$7</definedName>
    <definedName name="_xlnm._FilterDatabase" localSheetId="12" hidden="1">Schools!$G$2:$I$2</definedName>
    <definedName name="_xlnm._FilterDatabase" localSheetId="14" hidden="1">SourceFinanceCodes!$A$1:$M$92</definedName>
    <definedName name="_xlnm._FilterDatabase" localSheetId="31" hidden="1">StaffMembers!$N$1:$Z$830</definedName>
    <definedName name="_xlnm._FilterDatabase" localSheetId="28" hidden="1">StfRole!$O$1:$Y$102</definedName>
    <definedName name="_xlnm._FilterDatabase" localSheetId="27" hidden="1">StfRoleGroup!$AA$1:$AT$16</definedName>
    <definedName name="BuildYear">Parameters!$B$5</definedName>
    <definedName name="ExternalData_1" localSheetId="5" hidden="1">Funds!$G$2:$I$13</definedName>
    <definedName name="ExternalData_1" localSheetId="11" hidden="1">LocalAuth!$H$2:$J$4</definedName>
    <definedName name="ExternalData_1" localSheetId="12" hidden="1">Schools!$J$2:$R$12</definedName>
    <definedName name="ExternalData_1" localSheetId="4" hidden="1">'System Grouping Codes'!$A$1:$C$509</definedName>
    <definedName name="ExternalData_2" localSheetId="6" hidden="1">Activity!$G$2:$I$10</definedName>
    <definedName name="ExternalData_2" localSheetId="13" hidden="1">Depts!$G$2:$O$454</definedName>
    <definedName name="ExternalData_2" localSheetId="15" hidden="1">'Finance Codes S2'!$P$1:$Y$96</definedName>
    <definedName name="ExternalData_3" localSheetId="16" hidden="1">'FinanceCodes Budget'!$N$2:$W$536</definedName>
    <definedName name="ExternalData_3" localSheetId="7" hidden="1">Ledger!$G$2:$I$8</definedName>
    <definedName name="ExternalData_4" localSheetId="8" hidden="1">'CustGroup'!$G$2:$I$55</definedName>
    <definedName name="ExternalData_5" localSheetId="9" hidden="1">SchHub!$G$2:$I$8</definedName>
    <definedName name="ExternalData_6" localSheetId="10" hidden="1">SchType!$G$2:$I$8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48" l="1"/>
  <c r="A4" i="48"/>
  <c r="A5" i="48"/>
  <c r="A6" i="48"/>
  <c r="A7" i="48"/>
  <c r="A8" i="48"/>
  <c r="A9" i="48"/>
  <c r="A10" i="48"/>
  <c r="A11" i="48"/>
  <c r="A12" i="48"/>
  <c r="A13" i="48"/>
  <c r="A14" i="48"/>
  <c r="A15" i="48"/>
  <c r="A16" i="48"/>
  <c r="A17" i="48"/>
  <c r="A18" i="48"/>
  <c r="A19" i="48"/>
  <c r="A20" i="48"/>
  <c r="A21" i="48"/>
  <c r="A22" i="48"/>
  <c r="A23" i="48"/>
  <c r="A24" i="48"/>
  <c r="A25" i="48"/>
  <c r="A26" i="48"/>
  <c r="A27" i="48"/>
  <c r="A28" i="48"/>
  <c r="A29" i="48"/>
  <c r="A30" i="48"/>
  <c r="A31" i="48"/>
  <c r="A32" i="48"/>
  <c r="A33" i="48"/>
  <c r="A34" i="48"/>
  <c r="A35" i="48"/>
  <c r="A36" i="48"/>
  <c r="A37" i="48"/>
  <c r="A38" i="48"/>
  <c r="A39" i="48"/>
  <c r="A40" i="48"/>
  <c r="A41" i="48"/>
  <c r="A42" i="48"/>
  <c r="A43" i="48"/>
  <c r="A44" i="48"/>
  <c r="A45" i="48"/>
  <c r="A46" i="48"/>
  <c r="A47" i="48"/>
  <c r="A48" i="48"/>
  <c r="A49" i="48"/>
  <c r="A50" i="48"/>
  <c r="A51" i="48"/>
  <c r="A52" i="48"/>
  <c r="A53" i="48"/>
  <c r="A54" i="48"/>
  <c r="A55" i="48"/>
  <c r="A56" i="48"/>
  <c r="A57" i="48"/>
  <c r="A58" i="48"/>
  <c r="A59" i="48"/>
  <c r="A60" i="48"/>
  <c r="A61" i="48"/>
  <c r="A62" i="48"/>
  <c r="A63" i="48"/>
  <c r="A64" i="48"/>
  <c r="A65" i="48"/>
  <c r="A66" i="48"/>
  <c r="A67" i="48"/>
  <c r="A68" i="48"/>
  <c r="A69" i="48"/>
  <c r="A70" i="48"/>
  <c r="A71" i="48"/>
  <c r="A72" i="48"/>
  <c r="A73" i="48"/>
  <c r="A74" i="48"/>
  <c r="A75" i="48"/>
  <c r="A76" i="48"/>
  <c r="A77" i="48"/>
  <c r="A78" i="48"/>
  <c r="A79" i="48"/>
  <c r="A80" i="48"/>
  <c r="A81" i="48"/>
  <c r="A82" i="48"/>
  <c r="A83" i="48"/>
  <c r="A84" i="48"/>
  <c r="A85" i="48"/>
  <c r="A86" i="48"/>
  <c r="A87" i="48"/>
  <c r="A88" i="48"/>
  <c r="A89" i="48"/>
  <c r="A90" i="48"/>
  <c r="A91" i="48"/>
  <c r="A92" i="48"/>
  <c r="A93" i="48"/>
  <c r="A94" i="48"/>
  <c r="A95" i="48"/>
  <c r="A96" i="48"/>
  <c r="A97" i="48"/>
  <c r="A98" i="48"/>
  <c r="A99" i="48"/>
  <c r="A100" i="48"/>
  <c r="A101" i="48"/>
  <c r="A102" i="48"/>
  <c r="A103" i="48"/>
  <c r="A104" i="48"/>
  <c r="A105" i="48"/>
  <c r="A106" i="48"/>
  <c r="A107" i="48"/>
  <c r="A108" i="48"/>
  <c r="A109" i="48"/>
  <c r="A110" i="48"/>
  <c r="A111" i="48"/>
  <c r="A112" i="48"/>
  <c r="A113" i="48"/>
  <c r="A114" i="48"/>
  <c r="A115" i="48"/>
  <c r="A116" i="48"/>
  <c r="A117" i="48"/>
  <c r="A118" i="48"/>
  <c r="A119" i="48"/>
  <c r="A120" i="48"/>
  <c r="A121" i="48"/>
  <c r="A122" i="48"/>
  <c r="A123" i="48"/>
  <c r="A124" i="48"/>
  <c r="A125" i="48"/>
  <c r="A126" i="48"/>
  <c r="A127" i="48"/>
  <c r="A128" i="48"/>
  <c r="A129" i="48"/>
  <c r="A130" i="48"/>
  <c r="A131" i="48"/>
  <c r="A132" i="48"/>
  <c r="A133" i="48"/>
  <c r="A134" i="48"/>
  <c r="A135" i="48"/>
  <c r="A136" i="48"/>
  <c r="A137" i="48"/>
  <c r="A138" i="48"/>
  <c r="A139" i="48"/>
  <c r="A140" i="48"/>
  <c r="A141" i="48"/>
  <c r="A142" i="48"/>
  <c r="A143" i="48"/>
  <c r="A144" i="48"/>
  <c r="A145" i="48"/>
  <c r="A146" i="48"/>
  <c r="A147" i="48"/>
  <c r="A148" i="48"/>
  <c r="A149" i="48"/>
  <c r="A150" i="48"/>
  <c r="A151" i="48"/>
  <c r="A152" i="48"/>
  <c r="A153" i="48"/>
  <c r="A154" i="48"/>
  <c r="A155" i="48"/>
  <c r="A156" i="48"/>
  <c r="A157" i="48"/>
  <c r="A158" i="48"/>
  <c r="A159" i="48"/>
  <c r="A160" i="48"/>
  <c r="A161" i="48"/>
  <c r="A162" i="48"/>
  <c r="A163" i="48"/>
  <c r="A164" i="48"/>
  <c r="A165" i="48"/>
  <c r="A166" i="48"/>
  <c r="A167" i="48"/>
  <c r="A168" i="48"/>
  <c r="A169" i="48"/>
  <c r="A170" i="48"/>
  <c r="A171" i="48"/>
  <c r="A172" i="48"/>
  <c r="A173" i="48"/>
  <c r="A174" i="48"/>
  <c r="A175" i="48"/>
  <c r="A176" i="48"/>
  <c r="A177" i="48"/>
  <c r="A178" i="48"/>
  <c r="A179" i="48"/>
  <c r="A180" i="48"/>
  <c r="A181" i="48"/>
  <c r="A182" i="48"/>
  <c r="A183" i="48"/>
  <c r="A184" i="48"/>
  <c r="A185" i="48"/>
  <c r="A186" i="48"/>
  <c r="A187" i="48"/>
  <c r="A188" i="48"/>
  <c r="A189" i="48"/>
  <c r="A190" i="48"/>
  <c r="A191" i="48"/>
  <c r="A192" i="48"/>
  <c r="A193" i="48"/>
  <c r="A194" i="48"/>
  <c r="A195" i="48"/>
  <c r="A196" i="48"/>
  <c r="A197" i="48"/>
  <c r="A198" i="48"/>
  <c r="A199" i="48"/>
  <c r="A200" i="48"/>
  <c r="A201" i="48"/>
  <c r="A202" i="48"/>
  <c r="A203" i="48"/>
  <c r="A204" i="48"/>
  <c r="A205" i="48"/>
  <c r="A206" i="48"/>
  <c r="A207" i="48"/>
  <c r="A208" i="48"/>
  <c r="A209" i="48"/>
  <c r="A210" i="48"/>
  <c r="A211" i="48"/>
  <c r="A212" i="48"/>
  <c r="A213" i="48"/>
  <c r="A214" i="48"/>
  <c r="A215" i="48"/>
  <c r="A216" i="48"/>
  <c r="A217" i="48"/>
  <c r="A218" i="48"/>
  <c r="A219" i="48"/>
  <c r="A220" i="48"/>
  <c r="A221" i="48"/>
  <c r="A222" i="48"/>
  <c r="A223" i="48"/>
  <c r="A224" i="48"/>
  <c r="A225" i="48"/>
  <c r="A226" i="48"/>
  <c r="A227" i="48"/>
  <c r="A228" i="48"/>
  <c r="A229" i="48"/>
  <c r="A230" i="48"/>
  <c r="A231" i="48"/>
  <c r="A232" i="48"/>
  <c r="A233" i="48"/>
  <c r="A234" i="48"/>
  <c r="A235" i="48"/>
  <c r="A236" i="48"/>
  <c r="A237" i="48"/>
  <c r="A238" i="48"/>
  <c r="A239" i="48"/>
  <c r="A240" i="48"/>
  <c r="A241" i="48"/>
  <c r="A242" i="48"/>
  <c r="A243" i="48"/>
  <c r="A244" i="48"/>
  <c r="A245" i="48"/>
  <c r="A246" i="48"/>
  <c r="A247" i="48"/>
  <c r="A248" i="48"/>
  <c r="A249" i="48"/>
  <c r="A250" i="48"/>
  <c r="A251" i="48"/>
  <c r="A252" i="48"/>
  <c r="A253" i="48"/>
  <c r="A254" i="48"/>
  <c r="A255" i="48"/>
  <c r="A256" i="48"/>
  <c r="A257" i="48"/>
  <c r="A258" i="48"/>
  <c r="A259" i="48"/>
  <c r="A260" i="48"/>
  <c r="A261" i="48"/>
  <c r="A262" i="48"/>
  <c r="A263" i="48"/>
  <c r="A264" i="48"/>
  <c r="A265" i="48"/>
  <c r="A266" i="48"/>
  <c r="A267" i="48"/>
  <c r="A268" i="48"/>
  <c r="A269" i="48"/>
  <c r="A270" i="48"/>
  <c r="A271" i="48"/>
  <c r="A272" i="48"/>
  <c r="A273" i="48"/>
  <c r="A274" i="48"/>
  <c r="A275" i="48"/>
  <c r="A276" i="48"/>
  <c r="A277" i="48"/>
  <c r="A278" i="48"/>
  <c r="A279" i="48"/>
  <c r="A280" i="48"/>
  <c r="A281" i="48"/>
  <c r="A282" i="48"/>
  <c r="A283" i="48"/>
  <c r="A284" i="48"/>
  <c r="A285" i="48"/>
  <c r="A286" i="48"/>
  <c r="A287" i="48"/>
  <c r="A288" i="48"/>
  <c r="A289" i="48"/>
  <c r="A290" i="48"/>
  <c r="A291" i="48"/>
  <c r="A292" i="48"/>
  <c r="A293" i="48"/>
  <c r="A294" i="48"/>
  <c r="A295" i="48"/>
  <c r="A296" i="48"/>
  <c r="A297" i="48"/>
  <c r="A298" i="48"/>
  <c r="A299" i="48"/>
  <c r="A300" i="48"/>
  <c r="A301" i="48"/>
  <c r="A302" i="48"/>
  <c r="A303" i="48"/>
  <c r="A304" i="48"/>
  <c r="A305" i="48"/>
  <c r="A306" i="48"/>
  <c r="A307" i="48"/>
  <c r="A308" i="48"/>
  <c r="A309" i="48"/>
  <c r="A310" i="48"/>
  <c r="A311" i="48"/>
  <c r="A312" i="48"/>
  <c r="A313" i="48"/>
  <c r="A314" i="48"/>
  <c r="A315" i="48"/>
  <c r="A316" i="48"/>
  <c r="A317" i="48"/>
  <c r="A318" i="48"/>
  <c r="A319" i="48"/>
  <c r="A320" i="48"/>
  <c r="A321" i="48"/>
  <c r="A322" i="48"/>
  <c r="A323" i="48"/>
  <c r="A324" i="48"/>
  <c r="A325" i="48"/>
  <c r="A326" i="48"/>
  <c r="A327" i="48"/>
  <c r="A328" i="48"/>
  <c r="A329" i="48"/>
  <c r="A330" i="48"/>
  <c r="A331" i="48"/>
  <c r="A332" i="48"/>
  <c r="A333" i="48"/>
  <c r="A334" i="48"/>
  <c r="A335" i="48"/>
  <c r="A336" i="48"/>
  <c r="A337" i="48"/>
  <c r="A338" i="48"/>
  <c r="A339" i="48"/>
  <c r="A340" i="48"/>
  <c r="A341" i="48"/>
  <c r="A342" i="48"/>
  <c r="A343" i="48"/>
  <c r="A344" i="48"/>
  <c r="A345" i="48"/>
  <c r="A346" i="48"/>
  <c r="A347" i="48"/>
  <c r="A348" i="48"/>
  <c r="A349" i="48"/>
  <c r="A350" i="48"/>
  <c r="A351" i="48"/>
  <c r="A352" i="48"/>
  <c r="A353" i="48"/>
  <c r="A354" i="48"/>
  <c r="A355" i="48"/>
  <c r="A356" i="48"/>
  <c r="A357" i="48"/>
  <c r="A358" i="48"/>
  <c r="A359" i="48"/>
  <c r="A360" i="48"/>
  <c r="A361" i="48"/>
  <c r="A362" i="48"/>
  <c r="A363" i="48"/>
  <c r="A364" i="48"/>
  <c r="A365" i="48"/>
  <c r="A366" i="48"/>
  <c r="A367" i="48"/>
  <c r="A368" i="48"/>
  <c r="A369" i="48"/>
  <c r="A370" i="48"/>
  <c r="A371" i="48"/>
  <c r="A372" i="48"/>
  <c r="A373" i="48"/>
  <c r="A374" i="48"/>
  <c r="A375" i="48"/>
  <c r="A376" i="48"/>
  <c r="A377" i="48"/>
  <c r="A378" i="48"/>
  <c r="A379" i="48"/>
  <c r="A380" i="48"/>
  <c r="A381" i="48"/>
  <c r="A382" i="48"/>
  <c r="A383" i="48"/>
  <c r="A384" i="48"/>
  <c r="A385" i="48"/>
  <c r="A386" i="48"/>
  <c r="A387" i="48"/>
  <c r="A388" i="48"/>
  <c r="A389" i="48"/>
  <c r="A390" i="48"/>
  <c r="A391" i="48"/>
  <c r="A392" i="48"/>
  <c r="A393" i="48"/>
  <c r="A394" i="48"/>
  <c r="A395" i="48"/>
  <c r="A396" i="48"/>
  <c r="A397" i="48"/>
  <c r="A398" i="48"/>
  <c r="A399" i="48"/>
  <c r="A400" i="48"/>
  <c r="A401" i="48"/>
  <c r="A402" i="48"/>
  <c r="A403" i="48"/>
  <c r="A404" i="48"/>
  <c r="A405" i="48"/>
  <c r="A406" i="48"/>
  <c r="A407" i="48"/>
  <c r="A408" i="48"/>
  <c r="A409" i="48"/>
  <c r="A410" i="48"/>
  <c r="A411" i="48"/>
  <c r="A412" i="48"/>
  <c r="A413" i="48"/>
  <c r="A414" i="48"/>
  <c r="A415" i="48"/>
  <c r="A416" i="48"/>
  <c r="A417" i="48"/>
  <c r="A418" i="48"/>
  <c r="A419" i="48"/>
  <c r="A420" i="48"/>
  <c r="A421" i="48"/>
  <c r="A422" i="48"/>
  <c r="A423" i="48"/>
  <c r="A424" i="48"/>
  <c r="A425" i="48"/>
  <c r="A426" i="48"/>
  <c r="A427" i="48"/>
  <c r="A428" i="48"/>
  <c r="A429" i="48"/>
  <c r="A430" i="48"/>
  <c r="A431" i="48"/>
  <c r="A432" i="48"/>
  <c r="A433" i="48"/>
  <c r="A434" i="48"/>
  <c r="A435" i="48"/>
  <c r="A436" i="48"/>
  <c r="A437" i="48"/>
  <c r="A438" i="48"/>
  <c r="A439" i="48"/>
  <c r="A440" i="48"/>
  <c r="A441" i="48"/>
  <c r="A442" i="48"/>
  <c r="A443" i="48"/>
  <c r="A444" i="48"/>
  <c r="A445" i="48"/>
  <c r="A446" i="48"/>
  <c r="A447" i="48"/>
  <c r="A448" i="48"/>
  <c r="A449" i="48"/>
  <c r="A450" i="48"/>
  <c r="A451" i="48"/>
  <c r="A452" i="48"/>
  <c r="A453" i="48"/>
  <c r="A454" i="48"/>
  <c r="B3" i="48"/>
  <c r="B4" i="48"/>
  <c r="B5" i="48"/>
  <c r="B6" i="48"/>
  <c r="B7" i="48"/>
  <c r="B8" i="48"/>
  <c r="B9" i="48"/>
  <c r="B10" i="48"/>
  <c r="B11" i="48"/>
  <c r="B12" i="48"/>
  <c r="B13" i="48"/>
  <c r="B14" i="48"/>
  <c r="B15" i="48"/>
  <c r="B16" i="48"/>
  <c r="B17" i="48"/>
  <c r="B18" i="48"/>
  <c r="B19" i="48"/>
  <c r="B20" i="48"/>
  <c r="B21" i="48"/>
  <c r="B22" i="48"/>
  <c r="B23" i="48"/>
  <c r="B24" i="48"/>
  <c r="B25" i="48"/>
  <c r="B26" i="48"/>
  <c r="B27" i="48"/>
  <c r="B28" i="48"/>
  <c r="B29" i="48"/>
  <c r="B30" i="48"/>
  <c r="B31" i="48"/>
  <c r="B32" i="48"/>
  <c r="B33" i="48"/>
  <c r="B34" i="48"/>
  <c r="B35" i="48"/>
  <c r="B36" i="48"/>
  <c r="B37" i="48"/>
  <c r="B38" i="48"/>
  <c r="B39" i="48"/>
  <c r="B40" i="48"/>
  <c r="B41" i="48"/>
  <c r="B42" i="48"/>
  <c r="B43" i="48"/>
  <c r="B44" i="48"/>
  <c r="B45" i="48"/>
  <c r="B46" i="48"/>
  <c r="B47" i="48"/>
  <c r="B48" i="48"/>
  <c r="B49" i="48"/>
  <c r="B50" i="48"/>
  <c r="B51" i="48"/>
  <c r="B52" i="48"/>
  <c r="B53" i="48"/>
  <c r="B54" i="48"/>
  <c r="B55" i="48"/>
  <c r="F55" i="48" s="1"/>
  <c r="B56" i="48"/>
  <c r="B57" i="48"/>
  <c r="B58" i="48"/>
  <c r="B59" i="48"/>
  <c r="B60" i="48"/>
  <c r="B61" i="48"/>
  <c r="B62" i="48"/>
  <c r="B63" i="48"/>
  <c r="B64" i="48"/>
  <c r="B65" i="48"/>
  <c r="B66" i="48"/>
  <c r="B67" i="48"/>
  <c r="B68" i="48"/>
  <c r="B69" i="48"/>
  <c r="B70" i="48"/>
  <c r="B71" i="48"/>
  <c r="B72" i="48"/>
  <c r="B73" i="48"/>
  <c r="B74" i="48"/>
  <c r="B75" i="48"/>
  <c r="B76" i="48"/>
  <c r="B77" i="48"/>
  <c r="B78" i="48"/>
  <c r="B79" i="48"/>
  <c r="B80" i="48"/>
  <c r="B81" i="48"/>
  <c r="B82" i="48"/>
  <c r="B83" i="48"/>
  <c r="B84" i="48"/>
  <c r="B85" i="48"/>
  <c r="B86" i="48"/>
  <c r="B87" i="48"/>
  <c r="B88" i="48"/>
  <c r="B89" i="48"/>
  <c r="B90" i="48"/>
  <c r="B91" i="48"/>
  <c r="B92" i="48"/>
  <c r="B93" i="48"/>
  <c r="B94" i="48"/>
  <c r="B95" i="48"/>
  <c r="B96" i="48"/>
  <c r="B97" i="48"/>
  <c r="B98" i="48"/>
  <c r="B99" i="48"/>
  <c r="B100" i="48"/>
  <c r="B101" i="48"/>
  <c r="B102" i="48"/>
  <c r="B103" i="48"/>
  <c r="B104" i="48"/>
  <c r="B105" i="48"/>
  <c r="B106" i="48"/>
  <c r="B107" i="48"/>
  <c r="B108" i="48"/>
  <c r="B109" i="48"/>
  <c r="B110" i="48"/>
  <c r="B111" i="48"/>
  <c r="B112" i="48"/>
  <c r="B113" i="48"/>
  <c r="B114" i="48"/>
  <c r="B115" i="48"/>
  <c r="B116" i="48"/>
  <c r="B117" i="48"/>
  <c r="B118" i="48"/>
  <c r="B119" i="48"/>
  <c r="B120" i="48"/>
  <c r="B121" i="48"/>
  <c r="B122" i="48"/>
  <c r="B123" i="48"/>
  <c r="B124" i="48"/>
  <c r="B125" i="48"/>
  <c r="B126" i="48"/>
  <c r="B127" i="48"/>
  <c r="B128" i="48"/>
  <c r="B129" i="48"/>
  <c r="B130" i="48"/>
  <c r="B131" i="48"/>
  <c r="B132" i="48"/>
  <c r="B133" i="48"/>
  <c r="B134" i="48"/>
  <c r="B135" i="48"/>
  <c r="B136" i="48"/>
  <c r="B137" i="48"/>
  <c r="B138" i="48"/>
  <c r="B139" i="48"/>
  <c r="B140" i="48"/>
  <c r="B141" i="48"/>
  <c r="B142" i="48"/>
  <c r="B143" i="48"/>
  <c r="B144" i="48"/>
  <c r="B145" i="48"/>
  <c r="B146" i="48"/>
  <c r="B147" i="48"/>
  <c r="B148" i="48"/>
  <c r="B149" i="48"/>
  <c r="B150" i="48"/>
  <c r="B151" i="48"/>
  <c r="B152" i="48"/>
  <c r="B153" i="48"/>
  <c r="B154" i="48"/>
  <c r="B155" i="48"/>
  <c r="B156" i="48"/>
  <c r="B157" i="48"/>
  <c r="B158" i="48"/>
  <c r="B159" i="48"/>
  <c r="B160" i="48"/>
  <c r="B161" i="48"/>
  <c r="B162" i="48"/>
  <c r="B163" i="48"/>
  <c r="B164" i="48"/>
  <c r="B165" i="48"/>
  <c r="B166" i="48"/>
  <c r="B167" i="48"/>
  <c r="B168" i="48"/>
  <c r="B169" i="48"/>
  <c r="B170" i="48"/>
  <c r="B171" i="48"/>
  <c r="B172" i="48"/>
  <c r="B173" i="48"/>
  <c r="B174" i="48"/>
  <c r="B175" i="48"/>
  <c r="B176" i="48"/>
  <c r="B177" i="48"/>
  <c r="B178" i="48"/>
  <c r="B179" i="48"/>
  <c r="B180" i="48"/>
  <c r="B181" i="48"/>
  <c r="B182" i="48"/>
  <c r="B183" i="48"/>
  <c r="B184" i="48"/>
  <c r="B185" i="48"/>
  <c r="B186" i="48"/>
  <c r="B187" i="48"/>
  <c r="B188" i="48"/>
  <c r="B189" i="48"/>
  <c r="B190" i="48"/>
  <c r="B191" i="48"/>
  <c r="B192" i="48"/>
  <c r="B193" i="48"/>
  <c r="B194" i="48"/>
  <c r="B195" i="48"/>
  <c r="B196" i="48"/>
  <c r="B197" i="48"/>
  <c r="B198" i="48"/>
  <c r="B199" i="48"/>
  <c r="B200" i="48"/>
  <c r="B201" i="48"/>
  <c r="B202" i="48"/>
  <c r="B203" i="48"/>
  <c r="B204" i="48"/>
  <c r="B205" i="48"/>
  <c r="B206" i="48"/>
  <c r="B207" i="48"/>
  <c r="B208" i="48"/>
  <c r="B209" i="48"/>
  <c r="B210" i="48"/>
  <c r="B211" i="48"/>
  <c r="B212" i="48"/>
  <c r="B213" i="48"/>
  <c r="B214" i="48"/>
  <c r="B215" i="48"/>
  <c r="B216" i="48"/>
  <c r="B217" i="48"/>
  <c r="B218" i="48"/>
  <c r="B219" i="48"/>
  <c r="B220" i="48"/>
  <c r="B221" i="48"/>
  <c r="B222" i="48"/>
  <c r="B223" i="48"/>
  <c r="B224" i="48"/>
  <c r="B225" i="48"/>
  <c r="B226" i="48"/>
  <c r="B227" i="48"/>
  <c r="B228" i="48"/>
  <c r="B229" i="48"/>
  <c r="B230" i="48"/>
  <c r="B231" i="48"/>
  <c r="B232" i="48"/>
  <c r="B233" i="48"/>
  <c r="B234" i="48"/>
  <c r="B235" i="48"/>
  <c r="B236" i="48"/>
  <c r="B237" i="48"/>
  <c r="B238" i="48"/>
  <c r="B239" i="48"/>
  <c r="B240" i="48"/>
  <c r="B241" i="48"/>
  <c r="B242" i="48"/>
  <c r="B243" i="48"/>
  <c r="B244" i="48"/>
  <c r="B245" i="48"/>
  <c r="B246" i="48"/>
  <c r="B247" i="48"/>
  <c r="B248" i="48"/>
  <c r="B249" i="48"/>
  <c r="B250" i="48"/>
  <c r="B251" i="48"/>
  <c r="B252" i="48"/>
  <c r="B253" i="48"/>
  <c r="B254" i="48"/>
  <c r="B255" i="48"/>
  <c r="B256" i="48"/>
  <c r="B257" i="48"/>
  <c r="B258" i="48"/>
  <c r="B259" i="48"/>
  <c r="B260" i="48"/>
  <c r="B261" i="48"/>
  <c r="F261" i="48" s="1"/>
  <c r="B262" i="48"/>
  <c r="B263" i="48"/>
  <c r="B264" i="48"/>
  <c r="B265" i="48"/>
  <c r="B266" i="48"/>
  <c r="B267" i="48"/>
  <c r="B268" i="48"/>
  <c r="B269" i="48"/>
  <c r="B270" i="48"/>
  <c r="B271" i="48"/>
  <c r="B272" i="48"/>
  <c r="B273" i="48"/>
  <c r="B274" i="48"/>
  <c r="B275" i="48"/>
  <c r="B276" i="48"/>
  <c r="B277" i="48"/>
  <c r="B278" i="48"/>
  <c r="B279" i="48"/>
  <c r="B280" i="48"/>
  <c r="B281" i="48"/>
  <c r="B282" i="48"/>
  <c r="B283" i="48"/>
  <c r="B284" i="48"/>
  <c r="B285" i="48"/>
  <c r="B286" i="48"/>
  <c r="B287" i="48"/>
  <c r="B288" i="48"/>
  <c r="B289" i="48"/>
  <c r="B290" i="48"/>
  <c r="B291" i="48"/>
  <c r="B292" i="48"/>
  <c r="B293" i="48"/>
  <c r="B294" i="48"/>
  <c r="B295" i="48"/>
  <c r="B296" i="48"/>
  <c r="B297" i="48"/>
  <c r="B298" i="48"/>
  <c r="B299" i="48"/>
  <c r="B300" i="48"/>
  <c r="B301" i="48"/>
  <c r="B302" i="48"/>
  <c r="B303" i="48"/>
  <c r="B304" i="48"/>
  <c r="B305" i="48"/>
  <c r="B306" i="48"/>
  <c r="B307" i="48"/>
  <c r="B308" i="48"/>
  <c r="B309" i="48"/>
  <c r="B310" i="48"/>
  <c r="B311" i="48"/>
  <c r="B312" i="48"/>
  <c r="B313" i="48"/>
  <c r="B314" i="48"/>
  <c r="B315" i="48"/>
  <c r="B316" i="48"/>
  <c r="B317" i="48"/>
  <c r="B318" i="48"/>
  <c r="B319" i="48"/>
  <c r="B320" i="48"/>
  <c r="B321" i="48"/>
  <c r="B322" i="48"/>
  <c r="B323" i="48"/>
  <c r="B324" i="48"/>
  <c r="B325" i="48"/>
  <c r="B326" i="48"/>
  <c r="B327" i="48"/>
  <c r="B328" i="48"/>
  <c r="B329" i="48"/>
  <c r="B330" i="48"/>
  <c r="B331" i="48"/>
  <c r="B332" i="48"/>
  <c r="B333" i="48"/>
  <c r="B334" i="48"/>
  <c r="B335" i="48"/>
  <c r="B336" i="48"/>
  <c r="B337" i="48"/>
  <c r="B338" i="48"/>
  <c r="B339" i="48"/>
  <c r="B340" i="48"/>
  <c r="B341" i="48"/>
  <c r="B342" i="48"/>
  <c r="B343" i="48"/>
  <c r="B344" i="48"/>
  <c r="B345" i="48"/>
  <c r="B346" i="48"/>
  <c r="B347" i="48"/>
  <c r="B348" i="48"/>
  <c r="B349" i="48"/>
  <c r="B350" i="48"/>
  <c r="B351" i="48"/>
  <c r="B352" i="48"/>
  <c r="B353" i="48"/>
  <c r="B354" i="48"/>
  <c r="B355" i="48"/>
  <c r="B356" i="48"/>
  <c r="B357" i="48"/>
  <c r="B358" i="48"/>
  <c r="B359" i="48"/>
  <c r="B360" i="48"/>
  <c r="B361" i="48"/>
  <c r="B362" i="48"/>
  <c r="B363" i="48"/>
  <c r="B364" i="48"/>
  <c r="B365" i="48"/>
  <c r="B366" i="48"/>
  <c r="B367" i="48"/>
  <c r="B368" i="48"/>
  <c r="B369" i="48"/>
  <c r="B370" i="48"/>
  <c r="B371" i="48"/>
  <c r="B372" i="48"/>
  <c r="B373" i="48"/>
  <c r="B374" i="48"/>
  <c r="B375" i="48"/>
  <c r="B376" i="48"/>
  <c r="B377" i="48"/>
  <c r="B378" i="48"/>
  <c r="B379" i="48"/>
  <c r="B380" i="48"/>
  <c r="B381" i="48"/>
  <c r="B382" i="48"/>
  <c r="B383" i="48"/>
  <c r="B384" i="48"/>
  <c r="B385" i="48"/>
  <c r="B386" i="48"/>
  <c r="B387" i="48"/>
  <c r="B388" i="48"/>
  <c r="B389" i="48"/>
  <c r="B390" i="48"/>
  <c r="B391" i="48"/>
  <c r="B392" i="48"/>
  <c r="B393" i="48"/>
  <c r="B394" i="48"/>
  <c r="B395" i="48"/>
  <c r="B396" i="48"/>
  <c r="B397" i="48"/>
  <c r="B398" i="48"/>
  <c r="B399" i="48"/>
  <c r="B400" i="48"/>
  <c r="B401" i="48"/>
  <c r="B402" i="48"/>
  <c r="B403" i="48"/>
  <c r="B404" i="48"/>
  <c r="B405" i="48"/>
  <c r="B406" i="48"/>
  <c r="B407" i="48"/>
  <c r="B408" i="48"/>
  <c r="B409" i="48"/>
  <c r="B410" i="48"/>
  <c r="B411" i="48"/>
  <c r="B412" i="48"/>
  <c r="B413" i="48"/>
  <c r="B414" i="48"/>
  <c r="B415" i="48"/>
  <c r="B416" i="48"/>
  <c r="B417" i="48"/>
  <c r="B418" i="48"/>
  <c r="B419" i="48"/>
  <c r="B420" i="48"/>
  <c r="B421" i="48"/>
  <c r="B422" i="48"/>
  <c r="B423" i="48"/>
  <c r="B424" i="48"/>
  <c r="B425" i="48"/>
  <c r="B426" i="48"/>
  <c r="B427" i="48"/>
  <c r="B428" i="48"/>
  <c r="B429" i="48"/>
  <c r="B430" i="48"/>
  <c r="B431" i="48"/>
  <c r="B432" i="48"/>
  <c r="B433" i="48"/>
  <c r="B434" i="48"/>
  <c r="B435" i="48"/>
  <c r="B436" i="48"/>
  <c r="B437" i="48"/>
  <c r="B438" i="48"/>
  <c r="B439" i="48"/>
  <c r="B440" i="48"/>
  <c r="B441" i="48"/>
  <c r="B442" i="48"/>
  <c r="B443" i="48"/>
  <c r="B444" i="48"/>
  <c r="B445" i="48"/>
  <c r="B446" i="48"/>
  <c r="B447" i="48"/>
  <c r="B448" i="48"/>
  <c r="B449" i="48"/>
  <c r="B450" i="48"/>
  <c r="B451" i="48"/>
  <c r="B452" i="48"/>
  <c r="B453" i="48"/>
  <c r="B454" i="48"/>
  <c r="C3" i="48"/>
  <c r="C4" i="48"/>
  <c r="C5" i="48"/>
  <c r="C6" i="48"/>
  <c r="C7" i="48"/>
  <c r="C8" i="48"/>
  <c r="C9" i="48"/>
  <c r="C10" i="48"/>
  <c r="C11" i="48"/>
  <c r="C12" i="48"/>
  <c r="C13" i="48"/>
  <c r="C14" i="48"/>
  <c r="C15" i="48"/>
  <c r="C16" i="48"/>
  <c r="C17" i="48"/>
  <c r="C18" i="48"/>
  <c r="C19" i="48"/>
  <c r="C20" i="48"/>
  <c r="C21" i="48"/>
  <c r="C22" i="48"/>
  <c r="C23" i="48"/>
  <c r="C24" i="48"/>
  <c r="C25" i="48"/>
  <c r="C26" i="48"/>
  <c r="C27" i="48"/>
  <c r="C28" i="48"/>
  <c r="C29" i="48"/>
  <c r="C30" i="48"/>
  <c r="C31" i="48"/>
  <c r="C32" i="48"/>
  <c r="C33" i="48"/>
  <c r="C34" i="48"/>
  <c r="C35" i="48"/>
  <c r="C36" i="48"/>
  <c r="C37" i="48"/>
  <c r="C38" i="48"/>
  <c r="C39" i="48"/>
  <c r="C40" i="48"/>
  <c r="C41" i="48"/>
  <c r="C42" i="48"/>
  <c r="C43" i="48"/>
  <c r="C44" i="48"/>
  <c r="C45" i="48"/>
  <c r="C46" i="48"/>
  <c r="C47" i="48"/>
  <c r="C48" i="48"/>
  <c r="C49" i="48"/>
  <c r="C50" i="48"/>
  <c r="C51" i="48"/>
  <c r="C52" i="48"/>
  <c r="C53" i="48"/>
  <c r="C54" i="48"/>
  <c r="C55" i="48"/>
  <c r="C56" i="48"/>
  <c r="C57" i="48"/>
  <c r="C58" i="48"/>
  <c r="C59" i="48"/>
  <c r="C60" i="48"/>
  <c r="C61" i="48"/>
  <c r="C62" i="48"/>
  <c r="C63" i="48"/>
  <c r="C64" i="48"/>
  <c r="C65" i="48"/>
  <c r="C66" i="48"/>
  <c r="C67" i="48"/>
  <c r="C68" i="48"/>
  <c r="C69" i="48"/>
  <c r="C70" i="48"/>
  <c r="C71" i="48"/>
  <c r="C72" i="48"/>
  <c r="C73" i="48"/>
  <c r="C74" i="48"/>
  <c r="C75" i="48"/>
  <c r="C76" i="48"/>
  <c r="C77" i="48"/>
  <c r="C78" i="48"/>
  <c r="C79" i="48"/>
  <c r="C80" i="48"/>
  <c r="C81" i="48"/>
  <c r="C82" i="48"/>
  <c r="C83" i="48"/>
  <c r="C84" i="48"/>
  <c r="C85" i="48"/>
  <c r="C86" i="48"/>
  <c r="C87" i="48"/>
  <c r="C88" i="48"/>
  <c r="C89" i="48"/>
  <c r="C90" i="48"/>
  <c r="C91" i="48"/>
  <c r="C92" i="48"/>
  <c r="C93" i="48"/>
  <c r="C94" i="48"/>
  <c r="C95" i="48"/>
  <c r="C96" i="48"/>
  <c r="C97" i="48"/>
  <c r="C98" i="48"/>
  <c r="C99" i="48"/>
  <c r="C100" i="48"/>
  <c r="C101" i="48"/>
  <c r="C102" i="48"/>
  <c r="C103" i="48"/>
  <c r="C104" i="48"/>
  <c r="C105" i="48"/>
  <c r="C106" i="48"/>
  <c r="C107" i="48"/>
  <c r="C108" i="48"/>
  <c r="C109" i="48"/>
  <c r="C110" i="48"/>
  <c r="C111" i="48"/>
  <c r="C112" i="48"/>
  <c r="C113" i="48"/>
  <c r="C114" i="48"/>
  <c r="C115" i="48"/>
  <c r="C116" i="48"/>
  <c r="C117" i="48"/>
  <c r="C118" i="48"/>
  <c r="C119" i="48"/>
  <c r="C120" i="48"/>
  <c r="C121" i="48"/>
  <c r="C122" i="48"/>
  <c r="C123" i="48"/>
  <c r="C124" i="48"/>
  <c r="C125" i="48"/>
  <c r="C126" i="48"/>
  <c r="C127" i="48"/>
  <c r="C128" i="48"/>
  <c r="C129" i="48"/>
  <c r="C130" i="48"/>
  <c r="C131" i="48"/>
  <c r="C132" i="48"/>
  <c r="C133" i="48"/>
  <c r="C134" i="48"/>
  <c r="C135" i="48"/>
  <c r="C136" i="48"/>
  <c r="C137" i="48"/>
  <c r="C138" i="48"/>
  <c r="C139" i="48"/>
  <c r="C140" i="48"/>
  <c r="C141" i="48"/>
  <c r="C142" i="48"/>
  <c r="C143" i="48"/>
  <c r="C144" i="48"/>
  <c r="C145" i="48"/>
  <c r="C146" i="48"/>
  <c r="C147" i="48"/>
  <c r="C148" i="48"/>
  <c r="C149" i="48"/>
  <c r="C150" i="48"/>
  <c r="C151" i="48"/>
  <c r="C152" i="48"/>
  <c r="C153" i="48"/>
  <c r="C154" i="48"/>
  <c r="C155" i="48"/>
  <c r="C156" i="48"/>
  <c r="C157" i="48"/>
  <c r="C158" i="48"/>
  <c r="C159" i="48"/>
  <c r="C160" i="48"/>
  <c r="C161" i="48"/>
  <c r="C162" i="48"/>
  <c r="C163" i="48"/>
  <c r="C164" i="48"/>
  <c r="C165" i="48"/>
  <c r="C166" i="48"/>
  <c r="C167" i="48"/>
  <c r="C168" i="48"/>
  <c r="C169" i="48"/>
  <c r="C170" i="48"/>
  <c r="C171" i="48"/>
  <c r="C172" i="48"/>
  <c r="C173" i="48"/>
  <c r="C174" i="48"/>
  <c r="C175" i="48"/>
  <c r="C176" i="48"/>
  <c r="C177" i="48"/>
  <c r="C178" i="48"/>
  <c r="C179" i="48"/>
  <c r="C180" i="48"/>
  <c r="C181" i="48"/>
  <c r="C182" i="48"/>
  <c r="C183" i="48"/>
  <c r="C184" i="48"/>
  <c r="C185" i="48"/>
  <c r="C186" i="48"/>
  <c r="C187" i="48"/>
  <c r="C188" i="48"/>
  <c r="C189" i="48"/>
  <c r="C190" i="48"/>
  <c r="C191" i="48"/>
  <c r="C192" i="48"/>
  <c r="C193" i="48"/>
  <c r="C194" i="48"/>
  <c r="C195" i="48"/>
  <c r="C196" i="48"/>
  <c r="C197" i="48"/>
  <c r="C198" i="48"/>
  <c r="C199" i="48"/>
  <c r="C200" i="48"/>
  <c r="C201" i="48"/>
  <c r="C202" i="48"/>
  <c r="C203" i="48"/>
  <c r="C204" i="48"/>
  <c r="C205" i="48"/>
  <c r="C206" i="48"/>
  <c r="C207" i="48"/>
  <c r="C208" i="48"/>
  <c r="C209" i="48"/>
  <c r="C210" i="48"/>
  <c r="C211" i="48"/>
  <c r="C212" i="48"/>
  <c r="C213" i="48"/>
  <c r="C214" i="48"/>
  <c r="C215" i="48"/>
  <c r="C216" i="48"/>
  <c r="C217" i="48"/>
  <c r="C218" i="48"/>
  <c r="C219" i="48"/>
  <c r="C220" i="48"/>
  <c r="C221" i="48"/>
  <c r="C222" i="48"/>
  <c r="C223" i="48"/>
  <c r="C224" i="48"/>
  <c r="C225" i="48"/>
  <c r="C226" i="48"/>
  <c r="C227" i="48"/>
  <c r="C228" i="48"/>
  <c r="C229" i="48"/>
  <c r="C230" i="48"/>
  <c r="C231" i="48"/>
  <c r="C232" i="48"/>
  <c r="C233" i="48"/>
  <c r="C234" i="48"/>
  <c r="C235" i="48"/>
  <c r="C236" i="48"/>
  <c r="C237" i="48"/>
  <c r="C238" i="48"/>
  <c r="C239" i="48"/>
  <c r="C240" i="48"/>
  <c r="C241" i="48"/>
  <c r="C242" i="48"/>
  <c r="C243" i="48"/>
  <c r="C244" i="48"/>
  <c r="C245" i="48"/>
  <c r="C246" i="48"/>
  <c r="C247" i="48"/>
  <c r="C248" i="48"/>
  <c r="C249" i="48"/>
  <c r="C250" i="48"/>
  <c r="C251" i="48"/>
  <c r="C252" i="48"/>
  <c r="C253" i="48"/>
  <c r="C254" i="48"/>
  <c r="C255" i="48"/>
  <c r="C256" i="48"/>
  <c r="C257" i="48"/>
  <c r="C258" i="48"/>
  <c r="C259" i="48"/>
  <c r="C260" i="48"/>
  <c r="C261" i="48"/>
  <c r="C262" i="48"/>
  <c r="C263" i="48"/>
  <c r="C264" i="48"/>
  <c r="C265" i="48"/>
  <c r="C266" i="48"/>
  <c r="C267" i="48"/>
  <c r="C268" i="48"/>
  <c r="C269" i="48"/>
  <c r="C270" i="48"/>
  <c r="C271" i="48"/>
  <c r="C272" i="48"/>
  <c r="C273" i="48"/>
  <c r="C274" i="48"/>
  <c r="C275" i="48"/>
  <c r="C276" i="48"/>
  <c r="C277" i="48"/>
  <c r="C278" i="48"/>
  <c r="C279" i="48"/>
  <c r="C280" i="48"/>
  <c r="C281" i="48"/>
  <c r="C282" i="48"/>
  <c r="C283" i="48"/>
  <c r="C284" i="48"/>
  <c r="C285" i="48"/>
  <c r="C286" i="48"/>
  <c r="C287" i="48"/>
  <c r="C288" i="48"/>
  <c r="C289" i="48"/>
  <c r="C290" i="48"/>
  <c r="C291" i="48"/>
  <c r="C292" i="48"/>
  <c r="C293" i="48"/>
  <c r="C294" i="48"/>
  <c r="C295" i="48"/>
  <c r="C296" i="48"/>
  <c r="C297" i="48"/>
  <c r="C298" i="48"/>
  <c r="C299" i="48"/>
  <c r="C300" i="48"/>
  <c r="C301" i="48"/>
  <c r="C302" i="48"/>
  <c r="C303" i="48"/>
  <c r="C304" i="48"/>
  <c r="C305" i="48"/>
  <c r="C306" i="48"/>
  <c r="C307" i="48"/>
  <c r="C308" i="48"/>
  <c r="C309" i="48"/>
  <c r="C310" i="48"/>
  <c r="C311" i="48"/>
  <c r="C312" i="48"/>
  <c r="C313" i="48"/>
  <c r="C314" i="48"/>
  <c r="C315" i="48"/>
  <c r="C316" i="48"/>
  <c r="C317" i="48"/>
  <c r="C318" i="48"/>
  <c r="C319" i="48"/>
  <c r="C320" i="48"/>
  <c r="C321" i="48"/>
  <c r="C322" i="48"/>
  <c r="C323" i="48"/>
  <c r="C324" i="48"/>
  <c r="C325" i="48"/>
  <c r="C326" i="48"/>
  <c r="C327" i="48"/>
  <c r="C328" i="48"/>
  <c r="C329" i="48"/>
  <c r="C330" i="48"/>
  <c r="C331" i="48"/>
  <c r="C332" i="48"/>
  <c r="C333" i="48"/>
  <c r="C334" i="48"/>
  <c r="C335" i="48"/>
  <c r="C336" i="48"/>
  <c r="C337" i="48"/>
  <c r="C338" i="48"/>
  <c r="C339" i="48"/>
  <c r="C340" i="48"/>
  <c r="C341" i="48"/>
  <c r="C342" i="48"/>
  <c r="C343" i="48"/>
  <c r="C344" i="48"/>
  <c r="C345" i="48"/>
  <c r="C346" i="48"/>
  <c r="C347" i="48"/>
  <c r="C348" i="48"/>
  <c r="C349" i="48"/>
  <c r="C350" i="48"/>
  <c r="C351" i="48"/>
  <c r="C352" i="48"/>
  <c r="C353" i="48"/>
  <c r="C354" i="48"/>
  <c r="C355" i="48"/>
  <c r="C356" i="48"/>
  <c r="C357" i="48"/>
  <c r="C358" i="48"/>
  <c r="C359" i="48"/>
  <c r="C360" i="48"/>
  <c r="C361" i="48"/>
  <c r="C362" i="48"/>
  <c r="C363" i="48"/>
  <c r="C364" i="48"/>
  <c r="C365" i="48"/>
  <c r="C366" i="48"/>
  <c r="C367" i="48"/>
  <c r="C368" i="48"/>
  <c r="C369" i="48"/>
  <c r="C370" i="48"/>
  <c r="C371" i="48"/>
  <c r="C372" i="48"/>
  <c r="C373" i="48"/>
  <c r="C374" i="48"/>
  <c r="C375" i="48"/>
  <c r="C376" i="48"/>
  <c r="C377" i="48"/>
  <c r="C378" i="48"/>
  <c r="C379" i="48"/>
  <c r="C380" i="48"/>
  <c r="C381" i="48"/>
  <c r="C382" i="48"/>
  <c r="C383" i="48"/>
  <c r="C384" i="48"/>
  <c r="C385" i="48"/>
  <c r="C386" i="48"/>
  <c r="C387" i="48"/>
  <c r="C388" i="48"/>
  <c r="C389" i="48"/>
  <c r="C390" i="48"/>
  <c r="C391" i="48"/>
  <c r="C392" i="48"/>
  <c r="C393" i="48"/>
  <c r="C394" i="48"/>
  <c r="C395" i="48"/>
  <c r="C396" i="48"/>
  <c r="C397" i="48"/>
  <c r="C398" i="48"/>
  <c r="C399" i="48"/>
  <c r="C400" i="48"/>
  <c r="C401" i="48"/>
  <c r="C402" i="48"/>
  <c r="C403" i="48"/>
  <c r="C404" i="48"/>
  <c r="C405" i="48"/>
  <c r="C406" i="48"/>
  <c r="C407" i="48"/>
  <c r="C408" i="48"/>
  <c r="C409" i="48"/>
  <c r="C410" i="48"/>
  <c r="C411" i="48"/>
  <c r="C412" i="48"/>
  <c r="C413" i="48"/>
  <c r="C414" i="48"/>
  <c r="C415" i="48"/>
  <c r="C416" i="48"/>
  <c r="C417" i="48"/>
  <c r="C418" i="48"/>
  <c r="C419" i="48"/>
  <c r="C420" i="48"/>
  <c r="C421" i="48"/>
  <c r="C422" i="48"/>
  <c r="C423" i="48"/>
  <c r="C424" i="48"/>
  <c r="C425" i="48"/>
  <c r="C426" i="48"/>
  <c r="C427" i="48"/>
  <c r="C428" i="48"/>
  <c r="C429" i="48"/>
  <c r="C430" i="48"/>
  <c r="C431" i="48"/>
  <c r="C432" i="48"/>
  <c r="C433" i="48"/>
  <c r="C434" i="48"/>
  <c r="C435" i="48"/>
  <c r="C436" i="48"/>
  <c r="C437" i="48"/>
  <c r="C438" i="48"/>
  <c r="C439" i="48"/>
  <c r="C440" i="48"/>
  <c r="C441" i="48"/>
  <c r="C442" i="48"/>
  <c r="C443" i="48"/>
  <c r="C444" i="48"/>
  <c r="C445" i="48"/>
  <c r="C446" i="48"/>
  <c r="C447" i="48"/>
  <c r="C448" i="48"/>
  <c r="C449" i="48"/>
  <c r="C450" i="48"/>
  <c r="C451" i="48"/>
  <c r="C452" i="48"/>
  <c r="C453" i="48"/>
  <c r="C454" i="48"/>
  <c r="D3" i="48"/>
  <c r="D4" i="48"/>
  <c r="D5" i="48"/>
  <c r="D6" i="48"/>
  <c r="D7" i="48"/>
  <c r="D8" i="48"/>
  <c r="D9" i="48"/>
  <c r="D10" i="48"/>
  <c r="D11" i="48"/>
  <c r="D12" i="48"/>
  <c r="D13" i="48"/>
  <c r="D14" i="48"/>
  <c r="D15" i="48"/>
  <c r="D16" i="48"/>
  <c r="D17" i="48"/>
  <c r="D18" i="48"/>
  <c r="D19" i="48"/>
  <c r="D20" i="48"/>
  <c r="D21" i="48"/>
  <c r="F21" i="48" s="1"/>
  <c r="D22" i="48"/>
  <c r="D23" i="48"/>
  <c r="D24" i="48"/>
  <c r="D25" i="48"/>
  <c r="D26" i="48"/>
  <c r="D27" i="48"/>
  <c r="D28" i="48"/>
  <c r="D29" i="48"/>
  <c r="F29" i="48" s="1"/>
  <c r="D30" i="48"/>
  <c r="D31" i="48"/>
  <c r="D32" i="48"/>
  <c r="D33" i="48"/>
  <c r="D34" i="48"/>
  <c r="D35" i="48"/>
  <c r="D36" i="48"/>
  <c r="D37" i="48"/>
  <c r="D38" i="48"/>
  <c r="D39" i="48"/>
  <c r="D40" i="48"/>
  <c r="D41" i="48"/>
  <c r="D42" i="48"/>
  <c r="D43" i="48"/>
  <c r="D44" i="48"/>
  <c r="D45" i="48"/>
  <c r="D46" i="48"/>
  <c r="D47" i="48"/>
  <c r="D48" i="48"/>
  <c r="D49" i="48"/>
  <c r="D50" i="48"/>
  <c r="D51" i="48"/>
  <c r="D52" i="48"/>
  <c r="D53" i="48"/>
  <c r="F53" i="48" s="1"/>
  <c r="D54" i="48"/>
  <c r="D55" i="48"/>
  <c r="D56" i="48"/>
  <c r="D57" i="48"/>
  <c r="D58" i="48"/>
  <c r="D59" i="48"/>
  <c r="D60" i="48"/>
  <c r="D61" i="48"/>
  <c r="F61" i="48" s="1"/>
  <c r="D62" i="48"/>
  <c r="D63" i="48"/>
  <c r="D64" i="48"/>
  <c r="D65" i="48"/>
  <c r="D66" i="48"/>
  <c r="D67" i="48"/>
  <c r="D68" i="48"/>
  <c r="D69" i="48"/>
  <c r="D70" i="48"/>
  <c r="D71" i="48"/>
  <c r="D72" i="48"/>
  <c r="D73" i="48"/>
  <c r="D74" i="48"/>
  <c r="D75" i="48"/>
  <c r="D76" i="48"/>
  <c r="D77" i="48"/>
  <c r="D78" i="48"/>
  <c r="D79" i="48"/>
  <c r="D80" i="48"/>
  <c r="D81" i="48"/>
  <c r="D82" i="48"/>
  <c r="D83" i="48"/>
  <c r="D84" i="48"/>
  <c r="D85" i="48"/>
  <c r="F85" i="48" s="1"/>
  <c r="D86" i="48"/>
  <c r="D87" i="48"/>
  <c r="D88" i="48"/>
  <c r="D89" i="48"/>
  <c r="D90" i="48"/>
  <c r="D91" i="48"/>
  <c r="D92" i="48"/>
  <c r="D93" i="48"/>
  <c r="F93" i="48" s="1"/>
  <c r="D94" i="48"/>
  <c r="D95" i="48"/>
  <c r="D96" i="48"/>
  <c r="D97" i="48"/>
  <c r="D98" i="48"/>
  <c r="D99" i="48"/>
  <c r="D100" i="48"/>
  <c r="D101" i="48"/>
  <c r="D102" i="48"/>
  <c r="D103" i="48"/>
  <c r="D104" i="48"/>
  <c r="D105" i="48"/>
  <c r="D106" i="48"/>
  <c r="D107" i="48"/>
  <c r="D108" i="48"/>
  <c r="D109" i="48"/>
  <c r="D110" i="48"/>
  <c r="D111" i="48"/>
  <c r="D112" i="48"/>
  <c r="D113" i="48"/>
  <c r="D114" i="48"/>
  <c r="D115" i="48"/>
  <c r="D116" i="48"/>
  <c r="D117" i="48"/>
  <c r="F117" i="48" s="1"/>
  <c r="D118" i="48"/>
  <c r="D119" i="48"/>
  <c r="D120" i="48"/>
  <c r="D121" i="48"/>
  <c r="D122" i="48"/>
  <c r="D123" i="48"/>
  <c r="D124" i="48"/>
  <c r="D125" i="48"/>
  <c r="D126" i="48"/>
  <c r="D127" i="48"/>
  <c r="D128" i="48"/>
  <c r="D129" i="48"/>
  <c r="D130" i="48"/>
  <c r="D131" i="48"/>
  <c r="D132" i="48"/>
  <c r="D133" i="48"/>
  <c r="D134" i="48"/>
  <c r="D135" i="48"/>
  <c r="D136" i="48"/>
  <c r="D137" i="48"/>
  <c r="D138" i="48"/>
  <c r="D139" i="48"/>
  <c r="D140" i="48"/>
  <c r="D141" i="48"/>
  <c r="D142" i="48"/>
  <c r="D143" i="48"/>
  <c r="D144" i="48"/>
  <c r="D145" i="48"/>
  <c r="D146" i="48"/>
  <c r="D147" i="48"/>
  <c r="D148" i="48"/>
  <c r="D149" i="48"/>
  <c r="F149" i="48" s="1"/>
  <c r="D150" i="48"/>
  <c r="D151" i="48"/>
  <c r="D152" i="48"/>
  <c r="D153" i="48"/>
  <c r="D154" i="48"/>
  <c r="D155" i="48"/>
  <c r="D156" i="48"/>
  <c r="D157" i="48"/>
  <c r="D158" i="48"/>
  <c r="D159" i="48"/>
  <c r="D160" i="48"/>
  <c r="D161" i="48"/>
  <c r="D162" i="48"/>
  <c r="D163" i="48"/>
  <c r="D164" i="48"/>
  <c r="D165" i="48"/>
  <c r="D166" i="48"/>
  <c r="D167" i="48"/>
  <c r="D168" i="48"/>
  <c r="D169" i="48"/>
  <c r="D170" i="48"/>
  <c r="D171" i="48"/>
  <c r="D172" i="48"/>
  <c r="D173" i="48"/>
  <c r="D174" i="48"/>
  <c r="D175" i="48"/>
  <c r="D176" i="48"/>
  <c r="D177" i="48"/>
  <c r="D178" i="48"/>
  <c r="D179" i="48"/>
  <c r="D180" i="48"/>
  <c r="D181" i="48"/>
  <c r="F181" i="48" s="1"/>
  <c r="D182" i="48"/>
  <c r="D183" i="48"/>
  <c r="D184" i="48"/>
  <c r="D185" i="48"/>
  <c r="D186" i="48"/>
  <c r="D187" i="48"/>
  <c r="D188" i="48"/>
  <c r="D189" i="48"/>
  <c r="D190" i="48"/>
  <c r="D191" i="48"/>
  <c r="D192" i="48"/>
  <c r="D193" i="48"/>
  <c r="D194" i="48"/>
  <c r="D195" i="48"/>
  <c r="D196" i="48"/>
  <c r="D197" i="48"/>
  <c r="D198" i="48"/>
  <c r="D199" i="48"/>
  <c r="D200" i="48"/>
  <c r="D201" i="48"/>
  <c r="D202" i="48"/>
  <c r="D203" i="48"/>
  <c r="D204" i="48"/>
  <c r="D205" i="48"/>
  <c r="F205" i="48" s="1"/>
  <c r="D206" i="48"/>
  <c r="D207" i="48"/>
  <c r="D208" i="48"/>
  <c r="D209" i="48"/>
  <c r="D210" i="48"/>
  <c r="D211" i="48"/>
  <c r="D212" i="48"/>
  <c r="D213" i="48"/>
  <c r="D214" i="48"/>
  <c r="D215" i="48"/>
  <c r="D216" i="48"/>
  <c r="D217" i="48"/>
  <c r="D218" i="48"/>
  <c r="D219" i="48"/>
  <c r="D220" i="48"/>
  <c r="D221" i="48"/>
  <c r="D222" i="48"/>
  <c r="D223" i="48"/>
  <c r="D224" i="48"/>
  <c r="D225" i="48"/>
  <c r="D226" i="48"/>
  <c r="D227" i="48"/>
  <c r="D228" i="48"/>
  <c r="D229" i="48"/>
  <c r="D230" i="48"/>
  <c r="D231" i="48"/>
  <c r="D232" i="48"/>
  <c r="D233" i="48"/>
  <c r="D234" i="48"/>
  <c r="D235" i="48"/>
  <c r="D236" i="48"/>
  <c r="D237" i="48"/>
  <c r="D238" i="48"/>
  <c r="D239" i="48"/>
  <c r="D240" i="48"/>
  <c r="D241" i="48"/>
  <c r="D242" i="48"/>
  <c r="D243" i="48"/>
  <c r="D244" i="48"/>
  <c r="D245" i="48"/>
  <c r="D246" i="48"/>
  <c r="D247" i="48"/>
  <c r="D248" i="48"/>
  <c r="D249" i="48"/>
  <c r="D250" i="48"/>
  <c r="D251" i="48"/>
  <c r="D252" i="48"/>
  <c r="D253" i="48"/>
  <c r="D254" i="48"/>
  <c r="D255" i="48"/>
  <c r="D256" i="48"/>
  <c r="D257" i="48"/>
  <c r="D258" i="48"/>
  <c r="D259" i="48"/>
  <c r="D260" i="48"/>
  <c r="D261" i="48"/>
  <c r="D262" i="48"/>
  <c r="D263" i="48"/>
  <c r="D264" i="48"/>
  <c r="D265" i="48"/>
  <c r="D266" i="48"/>
  <c r="D267" i="48"/>
  <c r="D268" i="48"/>
  <c r="D269" i="48"/>
  <c r="D270" i="48"/>
  <c r="D271" i="48"/>
  <c r="D272" i="48"/>
  <c r="D273" i="48"/>
  <c r="D274" i="48"/>
  <c r="D275" i="48"/>
  <c r="D276" i="48"/>
  <c r="D277" i="48"/>
  <c r="D278" i="48"/>
  <c r="D279" i="48"/>
  <c r="D280" i="48"/>
  <c r="D281" i="48"/>
  <c r="D282" i="48"/>
  <c r="D283" i="48"/>
  <c r="D284" i="48"/>
  <c r="D285" i="48"/>
  <c r="D286" i="48"/>
  <c r="D287" i="48"/>
  <c r="D288" i="48"/>
  <c r="D289" i="48"/>
  <c r="D290" i="48"/>
  <c r="D291" i="48"/>
  <c r="D292" i="48"/>
  <c r="D293" i="48"/>
  <c r="D294" i="48"/>
  <c r="D295" i="48"/>
  <c r="D296" i="48"/>
  <c r="D297" i="48"/>
  <c r="D298" i="48"/>
  <c r="D299" i="48"/>
  <c r="D300" i="48"/>
  <c r="D301" i="48"/>
  <c r="D302" i="48"/>
  <c r="D303" i="48"/>
  <c r="D304" i="48"/>
  <c r="D305" i="48"/>
  <c r="D306" i="48"/>
  <c r="D307" i="48"/>
  <c r="D308" i="48"/>
  <c r="D309" i="48"/>
  <c r="D310" i="48"/>
  <c r="F310" i="48" s="1"/>
  <c r="D311" i="48"/>
  <c r="D312" i="48"/>
  <c r="D313" i="48"/>
  <c r="D314" i="48"/>
  <c r="D315" i="48"/>
  <c r="D316" i="48"/>
  <c r="D317" i="48"/>
  <c r="D318" i="48"/>
  <c r="D319" i="48"/>
  <c r="D320" i="48"/>
  <c r="D321" i="48"/>
  <c r="D322" i="48"/>
  <c r="D323" i="48"/>
  <c r="D324" i="48"/>
  <c r="D325" i="48"/>
  <c r="D326" i="48"/>
  <c r="D327" i="48"/>
  <c r="D328" i="48"/>
  <c r="D329" i="48"/>
  <c r="D330" i="48"/>
  <c r="D331" i="48"/>
  <c r="D332" i="48"/>
  <c r="D333" i="48"/>
  <c r="F333" i="48" s="1"/>
  <c r="D334" i="48"/>
  <c r="D335" i="48"/>
  <c r="D336" i="48"/>
  <c r="D337" i="48"/>
  <c r="D338" i="48"/>
  <c r="D339" i="48"/>
  <c r="D340" i="48"/>
  <c r="D341" i="48"/>
  <c r="D342" i="48"/>
  <c r="D343" i="48"/>
  <c r="D344" i="48"/>
  <c r="D345" i="48"/>
  <c r="D346" i="48"/>
  <c r="D347" i="48"/>
  <c r="D348" i="48"/>
  <c r="D349" i="48"/>
  <c r="D350" i="48"/>
  <c r="D351" i="48"/>
  <c r="D352" i="48"/>
  <c r="D353" i="48"/>
  <c r="D354" i="48"/>
  <c r="D355" i="48"/>
  <c r="D356" i="48"/>
  <c r="D357" i="48"/>
  <c r="D358" i="48"/>
  <c r="D359" i="48"/>
  <c r="D360" i="48"/>
  <c r="D361" i="48"/>
  <c r="D362" i="48"/>
  <c r="D363" i="48"/>
  <c r="D364" i="48"/>
  <c r="D365" i="48"/>
  <c r="D366" i="48"/>
  <c r="D367" i="48"/>
  <c r="D368" i="48"/>
  <c r="D369" i="48"/>
  <c r="D370" i="48"/>
  <c r="D371" i="48"/>
  <c r="D372" i="48"/>
  <c r="D373" i="48"/>
  <c r="D374" i="48"/>
  <c r="D375" i="48"/>
  <c r="D376" i="48"/>
  <c r="D377" i="48"/>
  <c r="D378" i="48"/>
  <c r="D379" i="48"/>
  <c r="D380" i="48"/>
  <c r="D381" i="48"/>
  <c r="D382" i="48"/>
  <c r="D383" i="48"/>
  <c r="D384" i="48"/>
  <c r="D385" i="48"/>
  <c r="D386" i="48"/>
  <c r="D387" i="48"/>
  <c r="D388" i="48"/>
  <c r="D389" i="48"/>
  <c r="D390" i="48"/>
  <c r="D391" i="48"/>
  <c r="D392" i="48"/>
  <c r="D393" i="48"/>
  <c r="D394" i="48"/>
  <c r="D395" i="48"/>
  <c r="D396" i="48"/>
  <c r="D397" i="48"/>
  <c r="D398" i="48"/>
  <c r="D399" i="48"/>
  <c r="D400" i="48"/>
  <c r="D401" i="48"/>
  <c r="D402" i="48"/>
  <c r="D403" i="48"/>
  <c r="D404" i="48"/>
  <c r="D405" i="48"/>
  <c r="D406" i="48"/>
  <c r="D407" i="48"/>
  <c r="D408" i="48"/>
  <c r="D409" i="48"/>
  <c r="D410" i="48"/>
  <c r="D411" i="48"/>
  <c r="D412" i="48"/>
  <c r="D413" i="48"/>
  <c r="D414" i="48"/>
  <c r="D415" i="48"/>
  <c r="D416" i="48"/>
  <c r="D417" i="48"/>
  <c r="D418" i="48"/>
  <c r="D419" i="48"/>
  <c r="D420" i="48"/>
  <c r="D421" i="48"/>
  <c r="D422" i="48"/>
  <c r="D423" i="48"/>
  <c r="D424" i="48"/>
  <c r="D425" i="48"/>
  <c r="D426" i="48"/>
  <c r="D427" i="48"/>
  <c r="D428" i="48"/>
  <c r="D429" i="48"/>
  <c r="D430" i="48"/>
  <c r="D431" i="48"/>
  <c r="D432" i="48"/>
  <c r="D433" i="48"/>
  <c r="D434" i="48"/>
  <c r="D435" i="48"/>
  <c r="D436" i="48"/>
  <c r="D437" i="48"/>
  <c r="D438" i="48"/>
  <c r="D439" i="48"/>
  <c r="D440" i="48"/>
  <c r="D441" i="48"/>
  <c r="D442" i="48"/>
  <c r="D443" i="48"/>
  <c r="D444" i="48"/>
  <c r="D445" i="48"/>
  <c r="D446" i="48"/>
  <c r="D447" i="48"/>
  <c r="D448" i="48"/>
  <c r="D449" i="48"/>
  <c r="D450" i="48"/>
  <c r="D451" i="48"/>
  <c r="D452" i="48"/>
  <c r="D453" i="48"/>
  <c r="D454" i="48"/>
  <c r="E3" i="48"/>
  <c r="E4" i="48"/>
  <c r="F4" i="48" s="1"/>
  <c r="E5" i="48"/>
  <c r="E6" i="48"/>
  <c r="E7" i="48"/>
  <c r="E8" i="48"/>
  <c r="E9" i="48"/>
  <c r="E10" i="48"/>
  <c r="E11" i="48"/>
  <c r="E12" i="48"/>
  <c r="F12" i="48" s="1"/>
  <c r="E13" i="48"/>
  <c r="E14" i="48"/>
  <c r="E15" i="48"/>
  <c r="E16" i="48"/>
  <c r="E17" i="48"/>
  <c r="E18" i="48"/>
  <c r="E19" i="48"/>
  <c r="E20" i="48"/>
  <c r="F20" i="48" s="1"/>
  <c r="E21" i="48"/>
  <c r="E22" i="48"/>
  <c r="E23" i="48"/>
  <c r="E24" i="48"/>
  <c r="E25" i="48"/>
  <c r="E26" i="48"/>
  <c r="E27" i="48"/>
  <c r="E28" i="48"/>
  <c r="E29" i="48"/>
  <c r="E30" i="48"/>
  <c r="E31" i="48"/>
  <c r="E32" i="48"/>
  <c r="E33" i="48"/>
  <c r="E34" i="48"/>
  <c r="E35" i="48"/>
  <c r="E36" i="48"/>
  <c r="F36" i="48" s="1"/>
  <c r="E37" i="48"/>
  <c r="E38" i="48"/>
  <c r="E39" i="48"/>
  <c r="E40" i="48"/>
  <c r="E41" i="48"/>
  <c r="E42" i="48"/>
  <c r="E43" i="48"/>
  <c r="E44" i="48"/>
  <c r="F44" i="48" s="1"/>
  <c r="E45" i="48"/>
  <c r="E46" i="48"/>
  <c r="E47" i="48"/>
  <c r="E48" i="48"/>
  <c r="E49" i="48"/>
  <c r="E50" i="48"/>
  <c r="E51" i="48"/>
  <c r="E52" i="48"/>
  <c r="F52" i="48" s="1"/>
  <c r="E53" i="48"/>
  <c r="E54" i="48"/>
  <c r="E55" i="48"/>
  <c r="E56" i="48"/>
  <c r="E57" i="48"/>
  <c r="E58" i="48"/>
  <c r="E59" i="48"/>
  <c r="E60" i="48"/>
  <c r="F60" i="48" s="1"/>
  <c r="E61" i="48"/>
  <c r="E62" i="48"/>
  <c r="E63" i="48"/>
  <c r="E64" i="48"/>
  <c r="E65" i="48"/>
  <c r="E66" i="48"/>
  <c r="E67" i="48"/>
  <c r="E68" i="48"/>
  <c r="F68" i="48" s="1"/>
  <c r="E69" i="48"/>
  <c r="E70" i="48"/>
  <c r="E71" i="48"/>
  <c r="E72" i="48"/>
  <c r="E73" i="48"/>
  <c r="E74" i="48"/>
  <c r="E75" i="48"/>
  <c r="E76" i="48"/>
  <c r="F76" i="48" s="1"/>
  <c r="E77" i="48"/>
  <c r="E78" i="48"/>
  <c r="E79" i="48"/>
  <c r="E80" i="48"/>
  <c r="E81" i="48"/>
  <c r="E82" i="48"/>
  <c r="E83" i="48"/>
  <c r="E84" i="48"/>
  <c r="F84" i="48" s="1"/>
  <c r="E85" i="48"/>
  <c r="E86" i="48"/>
  <c r="E87" i="48"/>
  <c r="E88" i="48"/>
  <c r="E89" i="48"/>
  <c r="E90" i="48"/>
  <c r="E91" i="48"/>
  <c r="E92" i="48"/>
  <c r="E93" i="48"/>
  <c r="E94" i="48"/>
  <c r="E95" i="48"/>
  <c r="E96" i="48"/>
  <c r="E97" i="48"/>
  <c r="E98" i="48"/>
  <c r="E99" i="48"/>
  <c r="E100" i="48"/>
  <c r="F100" i="48" s="1"/>
  <c r="E101" i="48"/>
  <c r="E102" i="48"/>
  <c r="E103" i="48"/>
  <c r="E104" i="48"/>
  <c r="E105" i="48"/>
  <c r="E106" i="48"/>
  <c r="E107" i="48"/>
  <c r="E108" i="48"/>
  <c r="F108" i="48" s="1"/>
  <c r="E109" i="48"/>
  <c r="E110" i="48"/>
  <c r="E111" i="48"/>
  <c r="E112" i="48"/>
  <c r="E113" i="48"/>
  <c r="E114" i="48"/>
  <c r="E115" i="48"/>
  <c r="E116" i="48"/>
  <c r="F116" i="48" s="1"/>
  <c r="E117" i="48"/>
  <c r="E118" i="48"/>
  <c r="E119" i="48"/>
  <c r="E120" i="48"/>
  <c r="E121" i="48"/>
  <c r="E122" i="48"/>
  <c r="E123" i="48"/>
  <c r="E124" i="48"/>
  <c r="F124" i="48" s="1"/>
  <c r="E125" i="48"/>
  <c r="E126" i="48"/>
  <c r="E127" i="48"/>
  <c r="E128" i="48"/>
  <c r="E129" i="48"/>
  <c r="E130" i="48"/>
  <c r="E131" i="48"/>
  <c r="E132" i="48"/>
  <c r="F132" i="48" s="1"/>
  <c r="E133" i="48"/>
  <c r="E134" i="48"/>
  <c r="E135" i="48"/>
  <c r="E136" i="48"/>
  <c r="E137" i="48"/>
  <c r="E138" i="48"/>
  <c r="E139" i="48"/>
  <c r="E140" i="48"/>
  <c r="F140" i="48" s="1"/>
  <c r="E141" i="48"/>
  <c r="E142" i="48"/>
  <c r="E143" i="48"/>
  <c r="E144" i="48"/>
  <c r="E145" i="48"/>
  <c r="E146" i="48"/>
  <c r="E147" i="48"/>
  <c r="E148" i="48"/>
  <c r="F148" i="48" s="1"/>
  <c r="E149" i="48"/>
  <c r="E150" i="48"/>
  <c r="E151" i="48"/>
  <c r="E152" i="48"/>
  <c r="E153" i="48"/>
  <c r="E154" i="48"/>
  <c r="E155" i="48"/>
  <c r="E156" i="48"/>
  <c r="E157" i="48"/>
  <c r="E158" i="48"/>
  <c r="E159" i="48"/>
  <c r="E160" i="48"/>
  <c r="E161" i="48"/>
  <c r="E162" i="48"/>
  <c r="E163" i="48"/>
  <c r="E164" i="48"/>
  <c r="F164" i="48" s="1"/>
  <c r="E165" i="48"/>
  <c r="E166" i="48"/>
  <c r="E167" i="48"/>
  <c r="E168" i="48"/>
  <c r="E169" i="48"/>
  <c r="E170" i="48"/>
  <c r="E171" i="48"/>
  <c r="E172" i="48"/>
  <c r="F172" i="48" s="1"/>
  <c r="E173" i="48"/>
  <c r="E174" i="48"/>
  <c r="E175" i="48"/>
  <c r="E176" i="48"/>
  <c r="E177" i="48"/>
  <c r="E178" i="48"/>
  <c r="E179" i="48"/>
  <c r="E180" i="48"/>
  <c r="F180" i="48" s="1"/>
  <c r="E181" i="48"/>
  <c r="E182" i="48"/>
  <c r="E183" i="48"/>
  <c r="E184" i="48"/>
  <c r="E185" i="48"/>
  <c r="E186" i="48"/>
  <c r="E187" i="48"/>
  <c r="E188" i="48"/>
  <c r="F188" i="48" s="1"/>
  <c r="E189" i="48"/>
  <c r="E190" i="48"/>
  <c r="E191" i="48"/>
  <c r="E192" i="48"/>
  <c r="E193" i="48"/>
  <c r="E194" i="48"/>
  <c r="E195" i="48"/>
  <c r="E196" i="48"/>
  <c r="F196" i="48" s="1"/>
  <c r="E197" i="48"/>
  <c r="E198" i="48"/>
  <c r="E199" i="48"/>
  <c r="E200" i="48"/>
  <c r="E201" i="48"/>
  <c r="E202" i="48"/>
  <c r="E203" i="48"/>
  <c r="E204" i="48"/>
  <c r="E205" i="48"/>
  <c r="E206" i="48"/>
  <c r="E207" i="48"/>
  <c r="E208" i="48"/>
  <c r="E209" i="48"/>
  <c r="E210" i="48"/>
  <c r="E211" i="48"/>
  <c r="E212" i="48"/>
  <c r="F212" i="48" s="1"/>
  <c r="E213" i="48"/>
  <c r="E214" i="48"/>
  <c r="E215" i="48"/>
  <c r="E216" i="48"/>
  <c r="E217" i="48"/>
  <c r="E218" i="48"/>
  <c r="E219" i="48"/>
  <c r="E220" i="48"/>
  <c r="E221" i="48"/>
  <c r="E222" i="48"/>
  <c r="E223" i="48"/>
  <c r="E224" i="48"/>
  <c r="E225" i="48"/>
  <c r="E226" i="48"/>
  <c r="E227" i="48"/>
  <c r="E228" i="48"/>
  <c r="F228" i="48" s="1"/>
  <c r="E229" i="48"/>
  <c r="E230" i="48"/>
  <c r="E231" i="48"/>
  <c r="E232" i="48"/>
  <c r="E233" i="48"/>
  <c r="E234" i="48"/>
  <c r="E235" i="48"/>
  <c r="E236" i="48"/>
  <c r="E237" i="48"/>
  <c r="E238" i="48"/>
  <c r="E239" i="48"/>
  <c r="E240" i="48"/>
  <c r="E241" i="48"/>
  <c r="E242" i="48"/>
  <c r="E243" i="48"/>
  <c r="E244" i="48"/>
  <c r="E245" i="48"/>
  <c r="E246" i="48"/>
  <c r="E247" i="48"/>
  <c r="E248" i="48"/>
  <c r="E249" i="48"/>
  <c r="E250" i="48"/>
  <c r="E251" i="48"/>
  <c r="E252" i="48"/>
  <c r="E253" i="48"/>
  <c r="E254" i="48"/>
  <c r="E255" i="48"/>
  <c r="E256" i="48"/>
  <c r="E257" i="48"/>
  <c r="E258" i="48"/>
  <c r="E259" i="48"/>
  <c r="E260" i="48"/>
  <c r="E261" i="48"/>
  <c r="E262" i="48"/>
  <c r="E263" i="48"/>
  <c r="E264" i="48"/>
  <c r="E265" i="48"/>
  <c r="E266" i="48"/>
  <c r="E267" i="48"/>
  <c r="E268" i="48"/>
  <c r="F268" i="48" s="1"/>
  <c r="E269" i="48"/>
  <c r="E270" i="48"/>
  <c r="E271" i="48"/>
  <c r="E272" i="48"/>
  <c r="E273" i="48"/>
  <c r="E274" i="48"/>
  <c r="E275" i="48"/>
  <c r="E276" i="48"/>
  <c r="E277" i="48"/>
  <c r="E278" i="48"/>
  <c r="E279" i="48"/>
  <c r="E280" i="48"/>
  <c r="E281" i="48"/>
  <c r="E282" i="48"/>
  <c r="E283" i="48"/>
  <c r="E284" i="48"/>
  <c r="F284" i="48" s="1"/>
  <c r="E285" i="48"/>
  <c r="E286" i="48"/>
  <c r="E287" i="48"/>
  <c r="E288" i="48"/>
  <c r="E289" i="48"/>
  <c r="E290" i="48"/>
  <c r="E291" i="48"/>
  <c r="E292" i="48"/>
  <c r="E293" i="48"/>
  <c r="E294" i="48"/>
  <c r="E295" i="48"/>
  <c r="E296" i="48"/>
  <c r="E297" i="48"/>
  <c r="E298" i="48"/>
  <c r="E299" i="48"/>
  <c r="E300" i="48"/>
  <c r="E301" i="48"/>
  <c r="E302" i="48"/>
  <c r="E303" i="48"/>
  <c r="E304" i="48"/>
  <c r="E305" i="48"/>
  <c r="E306" i="48"/>
  <c r="E307" i="48"/>
  <c r="E308" i="48"/>
  <c r="E309" i="48"/>
  <c r="E310" i="48"/>
  <c r="E311" i="48"/>
  <c r="E312" i="48"/>
  <c r="E313" i="48"/>
  <c r="E314" i="48"/>
  <c r="E315" i="48"/>
  <c r="E316" i="48"/>
  <c r="F316" i="48" s="1"/>
  <c r="E317" i="48"/>
  <c r="E318" i="48"/>
  <c r="E319" i="48"/>
  <c r="E320" i="48"/>
  <c r="E321" i="48"/>
  <c r="E322" i="48"/>
  <c r="E323" i="48"/>
  <c r="E324" i="48"/>
  <c r="F324" i="48" s="1"/>
  <c r="E325" i="48"/>
  <c r="E326" i="48"/>
  <c r="E327" i="48"/>
  <c r="E328" i="48"/>
  <c r="E329" i="48"/>
  <c r="E330" i="48"/>
  <c r="E331" i="48"/>
  <c r="E332" i="48"/>
  <c r="E333" i="48"/>
  <c r="E334" i="48"/>
  <c r="E335" i="48"/>
  <c r="E336" i="48"/>
  <c r="E337" i="48"/>
  <c r="E338" i="48"/>
  <c r="E339" i="48"/>
  <c r="E340" i="48"/>
  <c r="E341" i="48"/>
  <c r="E342" i="48"/>
  <c r="E343" i="48"/>
  <c r="E344" i="48"/>
  <c r="E345" i="48"/>
  <c r="E346" i="48"/>
  <c r="E347" i="48"/>
  <c r="E348" i="48"/>
  <c r="E349" i="48"/>
  <c r="E350" i="48"/>
  <c r="E351" i="48"/>
  <c r="E352" i="48"/>
  <c r="E353" i="48"/>
  <c r="E354" i="48"/>
  <c r="E355" i="48"/>
  <c r="E356" i="48"/>
  <c r="F356" i="48" s="1"/>
  <c r="E357" i="48"/>
  <c r="E358" i="48"/>
  <c r="E359" i="48"/>
  <c r="E360" i="48"/>
  <c r="E361" i="48"/>
  <c r="E362" i="48"/>
  <c r="E363" i="48"/>
  <c r="E364" i="48"/>
  <c r="E365" i="48"/>
  <c r="E366" i="48"/>
  <c r="E367" i="48"/>
  <c r="E368" i="48"/>
  <c r="E369" i="48"/>
  <c r="E370" i="48"/>
  <c r="E371" i="48"/>
  <c r="E372" i="48"/>
  <c r="E373" i="48"/>
  <c r="E374" i="48"/>
  <c r="E375" i="48"/>
  <c r="E376" i="48"/>
  <c r="E377" i="48"/>
  <c r="E378" i="48"/>
  <c r="E379" i="48"/>
  <c r="E380" i="48"/>
  <c r="F380" i="48" s="1"/>
  <c r="E381" i="48"/>
  <c r="E382" i="48"/>
  <c r="E383" i="48"/>
  <c r="E384" i="48"/>
  <c r="E385" i="48"/>
  <c r="E386" i="48"/>
  <c r="E387" i="48"/>
  <c r="E388" i="48"/>
  <c r="E389" i="48"/>
  <c r="E390" i="48"/>
  <c r="E391" i="48"/>
  <c r="E392" i="48"/>
  <c r="E393" i="48"/>
  <c r="E394" i="48"/>
  <c r="E395" i="48"/>
  <c r="E396" i="48"/>
  <c r="E397" i="48"/>
  <c r="E398" i="48"/>
  <c r="E399" i="48"/>
  <c r="E400" i="48"/>
  <c r="E401" i="48"/>
  <c r="E402" i="48"/>
  <c r="E403" i="48"/>
  <c r="E404" i="48"/>
  <c r="E405" i="48"/>
  <c r="E406" i="48"/>
  <c r="E407" i="48"/>
  <c r="E408" i="48"/>
  <c r="E409" i="48"/>
  <c r="E410" i="48"/>
  <c r="E411" i="48"/>
  <c r="E412" i="48"/>
  <c r="E413" i="48"/>
  <c r="E414" i="48"/>
  <c r="E415" i="48"/>
  <c r="E416" i="48"/>
  <c r="E417" i="48"/>
  <c r="E418" i="48"/>
  <c r="E419" i="48"/>
  <c r="E420" i="48"/>
  <c r="F420" i="48" s="1"/>
  <c r="E421" i="48"/>
  <c r="E422" i="48"/>
  <c r="E423" i="48"/>
  <c r="E424" i="48"/>
  <c r="E425" i="48"/>
  <c r="E426" i="48"/>
  <c r="E427" i="48"/>
  <c r="E428" i="48"/>
  <c r="E429" i="48"/>
  <c r="E430" i="48"/>
  <c r="E431" i="48"/>
  <c r="E432" i="48"/>
  <c r="E433" i="48"/>
  <c r="E434" i="48"/>
  <c r="E435" i="48"/>
  <c r="E436" i="48"/>
  <c r="E437" i="48"/>
  <c r="E438" i="48"/>
  <c r="E439" i="48"/>
  <c r="E440" i="48"/>
  <c r="E441" i="48"/>
  <c r="E442" i="48"/>
  <c r="E443" i="48"/>
  <c r="E444" i="48"/>
  <c r="E445" i="48"/>
  <c r="E446" i="48"/>
  <c r="E447" i="48"/>
  <c r="E448" i="48"/>
  <c r="E449" i="48"/>
  <c r="E450" i="48"/>
  <c r="E451" i="48"/>
  <c r="E452" i="48"/>
  <c r="E453" i="48"/>
  <c r="E454" i="48"/>
  <c r="F28" i="48"/>
  <c r="F92" i="48"/>
  <c r="F156" i="48"/>
  <c r="F236" i="48"/>
  <c r="F334" i="48"/>
  <c r="F348" i="48"/>
  <c r="F388" i="48"/>
  <c r="F412" i="48"/>
  <c r="F441" i="48"/>
  <c r="F377" i="48" l="1"/>
  <c r="F225" i="48"/>
  <c r="F177" i="48"/>
  <c r="F249" i="48"/>
  <c r="F99" i="48"/>
  <c r="F199" i="48"/>
  <c r="F79" i="48"/>
  <c r="F419" i="48"/>
  <c r="F355" i="48"/>
  <c r="F283" i="48"/>
  <c r="F171" i="48"/>
  <c r="F147" i="48"/>
  <c r="F397" i="48"/>
  <c r="F309" i="48"/>
  <c r="F145" i="48"/>
  <c r="F285" i="48"/>
  <c r="F452" i="48"/>
  <c r="F444" i="48"/>
  <c r="F297" i="48"/>
  <c r="F387" i="48"/>
  <c r="F125" i="48"/>
  <c r="F81" i="48"/>
  <c r="F49" i="48"/>
  <c r="F17" i="48"/>
  <c r="F429" i="48"/>
  <c r="F365" i="48"/>
  <c r="F237" i="48"/>
  <c r="F213" i="48"/>
  <c r="F189" i="48"/>
  <c r="F157" i="48"/>
  <c r="F443" i="48"/>
  <c r="F427" i="48"/>
  <c r="F411" i="48"/>
  <c r="F371" i="48"/>
  <c r="F347" i="48"/>
  <c r="F331" i="48"/>
  <c r="F219" i="48"/>
  <c r="F203" i="48"/>
  <c r="F187" i="48"/>
  <c r="F155" i="48"/>
  <c r="F139" i="48"/>
  <c r="F123" i="48"/>
  <c r="F107" i="48"/>
  <c r="F91" i="48"/>
  <c r="F83" i="48"/>
  <c r="F75" i="48"/>
  <c r="F67" i="48"/>
  <c r="F59" i="48"/>
  <c r="F51" i="48"/>
  <c r="F43" i="48"/>
  <c r="F27" i="48"/>
  <c r="F19" i="48"/>
  <c r="F11" i="48"/>
  <c r="F447" i="48"/>
  <c r="F439" i="48"/>
  <c r="F431" i="48"/>
  <c r="F423" i="48"/>
  <c r="F415" i="48"/>
  <c r="F407" i="48"/>
  <c r="F399" i="48"/>
  <c r="F391" i="48"/>
  <c r="F383" i="48"/>
  <c r="F375" i="48"/>
  <c r="F367" i="48"/>
  <c r="F359" i="48"/>
  <c r="F351" i="48"/>
  <c r="F343" i="48"/>
  <c r="F335" i="48"/>
  <c r="F327" i="48"/>
  <c r="F319" i="48"/>
  <c r="F311" i="48"/>
  <c r="F303" i="48"/>
  <c r="F295" i="48"/>
  <c r="F287" i="48"/>
  <c r="F279" i="48"/>
  <c r="F271" i="48"/>
  <c r="F263" i="48"/>
  <c r="F255" i="48"/>
  <c r="F247" i="48"/>
  <c r="F239" i="48"/>
  <c r="F231" i="48"/>
  <c r="F223" i="48"/>
  <c r="F215" i="48"/>
  <c r="F207" i="48"/>
  <c r="F191" i="48"/>
  <c r="F183" i="48"/>
  <c r="F175" i="48"/>
  <c r="F167" i="48"/>
  <c r="F159" i="48"/>
  <c r="F151" i="48"/>
  <c r="F143" i="48"/>
  <c r="F135" i="48"/>
  <c r="F127" i="48"/>
  <c r="F119" i="48"/>
  <c r="F111" i="48"/>
  <c r="F103" i="48"/>
  <c r="F95" i="48"/>
  <c r="F87" i="48"/>
  <c r="F71" i="48"/>
  <c r="F63" i="48"/>
  <c r="F47" i="48"/>
  <c r="F39" i="48"/>
  <c r="F31" i="48"/>
  <c r="F23" i="48"/>
  <c r="F15" i="48"/>
  <c r="F7" i="48"/>
  <c r="F345" i="48"/>
  <c r="F273" i="48"/>
  <c r="F201" i="48"/>
  <c r="F451" i="48"/>
  <c r="F435" i="48"/>
  <c r="F403" i="48"/>
  <c r="F363" i="48"/>
  <c r="F339" i="48"/>
  <c r="F275" i="48"/>
  <c r="F227" i="48"/>
  <c r="F179" i="48"/>
  <c r="F163" i="48"/>
  <c r="F131" i="48"/>
  <c r="F115" i="48"/>
  <c r="F35" i="48"/>
  <c r="F321" i="48"/>
  <c r="F113" i="48"/>
  <c r="F395" i="48"/>
  <c r="F409" i="48"/>
  <c r="F379" i="48"/>
  <c r="F430" i="48"/>
  <c r="F398" i="48"/>
  <c r="F366" i="48"/>
  <c r="F262" i="48"/>
  <c r="F214" i="48"/>
  <c r="F190" i="48"/>
  <c r="F306" i="48"/>
  <c r="F138" i="48"/>
  <c r="F433" i="48"/>
  <c r="F401" i="48"/>
  <c r="F313" i="48"/>
  <c r="F265" i="48"/>
  <c r="F193" i="48"/>
  <c r="F453" i="48"/>
  <c r="F437" i="48"/>
  <c r="F421" i="48"/>
  <c r="F405" i="48"/>
  <c r="F389" i="48"/>
  <c r="F373" i="48"/>
  <c r="F357" i="48"/>
  <c r="F341" i="48"/>
  <c r="F325" i="48"/>
  <c r="F293" i="48"/>
  <c r="F277" i="48"/>
  <c r="F253" i="48"/>
  <c r="F221" i="48"/>
  <c r="F173" i="48"/>
  <c r="F141" i="48"/>
  <c r="F109" i="48"/>
  <c r="F77" i="48"/>
  <c r="F45" i="48"/>
  <c r="F37" i="48"/>
  <c r="F13" i="48"/>
  <c r="F5" i="48"/>
  <c r="F449" i="48"/>
  <c r="F417" i="48"/>
  <c r="F393" i="48"/>
  <c r="F385" i="48"/>
  <c r="F361" i="48"/>
  <c r="F353" i="48"/>
  <c r="F329" i="48"/>
  <c r="F305" i="48"/>
  <c r="F289" i="48"/>
  <c r="F281" i="48"/>
  <c r="F257" i="48"/>
  <c r="F241" i="48"/>
  <c r="F233" i="48"/>
  <c r="F209" i="48"/>
  <c r="F185" i="48"/>
  <c r="F169" i="48"/>
  <c r="F161" i="48"/>
  <c r="F153" i="48"/>
  <c r="F137" i="48"/>
  <c r="F129" i="48"/>
  <c r="F121" i="48"/>
  <c r="F105" i="48"/>
  <c r="F97" i="48"/>
  <c r="F89" i="48"/>
  <c r="F73" i="48"/>
  <c r="F65" i="48"/>
  <c r="F57" i="48"/>
  <c r="F41" i="48"/>
  <c r="F33" i="48"/>
  <c r="F25" i="48"/>
  <c r="F9" i="48"/>
  <c r="F369" i="48"/>
  <c r="F337" i="48"/>
  <c r="F217" i="48"/>
  <c r="F445" i="48"/>
  <c r="F413" i="48"/>
  <c r="F381" i="48"/>
  <c r="F349" i="48"/>
  <c r="F317" i="48"/>
  <c r="F301" i="48"/>
  <c r="F269" i="48"/>
  <c r="F245" i="48"/>
  <c r="F229" i="48"/>
  <c r="F197" i="48"/>
  <c r="F165" i="48"/>
  <c r="F133" i="48"/>
  <c r="F101" i="48"/>
  <c r="F69" i="48"/>
  <c r="F425" i="48"/>
  <c r="F436" i="48"/>
  <c r="F428" i="48"/>
  <c r="F404" i="48"/>
  <c r="F396" i="48"/>
  <c r="F372" i="48"/>
  <c r="F364" i="48"/>
  <c r="F340" i="48"/>
  <c r="F332" i="48"/>
  <c r="F308" i="48"/>
  <c r="F300" i="48"/>
  <c r="F292" i="48"/>
  <c r="F276" i="48"/>
  <c r="F260" i="48"/>
  <c r="F252" i="48"/>
  <c r="F244" i="48"/>
  <c r="F220" i="48"/>
  <c r="F204" i="48"/>
  <c r="F323" i="48"/>
  <c r="F315" i="48"/>
  <c r="F307" i="48"/>
  <c r="F299" i="48"/>
  <c r="F291" i="48"/>
  <c r="F267" i="48"/>
  <c r="F259" i="48"/>
  <c r="F251" i="48"/>
  <c r="F243" i="48"/>
  <c r="F235" i="48"/>
  <c r="F211" i="48"/>
  <c r="F195" i="48"/>
  <c r="F3" i="48"/>
  <c r="F90" i="48"/>
  <c r="F446" i="48"/>
  <c r="F406" i="48"/>
  <c r="F382" i="48"/>
  <c r="F358" i="48"/>
  <c r="F326" i="48"/>
  <c r="F294" i="48"/>
  <c r="F230" i="48"/>
  <c r="F182" i="48"/>
  <c r="F150" i="48"/>
  <c r="F118" i="48"/>
  <c r="F86" i="48"/>
  <c r="F62" i="48"/>
  <c r="F14" i="48"/>
  <c r="F450" i="48"/>
  <c r="F418" i="48"/>
  <c r="F394" i="48"/>
  <c r="F370" i="48"/>
  <c r="F354" i="48"/>
  <c r="F330" i="48"/>
  <c r="F298" i="48"/>
  <c r="F266" i="48"/>
  <c r="F210" i="48"/>
  <c r="F170" i="48"/>
  <c r="F114" i="48"/>
  <c r="F278" i="48"/>
  <c r="F246" i="48"/>
  <c r="F174" i="48"/>
  <c r="F142" i="48"/>
  <c r="F110" i="48"/>
  <c r="F94" i="48"/>
  <c r="F46" i="48"/>
  <c r="F6" i="48"/>
  <c r="F426" i="48"/>
  <c r="F402" i="48"/>
  <c r="F386" i="48"/>
  <c r="F362" i="48"/>
  <c r="F322" i="48"/>
  <c r="F282" i="48"/>
  <c r="F242" i="48"/>
  <c r="F218" i="48"/>
  <c r="F178" i="48"/>
  <c r="F50" i="48"/>
  <c r="F454" i="48"/>
  <c r="F422" i="48"/>
  <c r="F390" i="48"/>
  <c r="F342" i="48"/>
  <c r="F286" i="48"/>
  <c r="F254" i="48"/>
  <c r="F222" i="48"/>
  <c r="F198" i="48"/>
  <c r="F158" i="48"/>
  <c r="F134" i="48"/>
  <c r="F102" i="48"/>
  <c r="F70" i="48"/>
  <c r="F54" i="48"/>
  <c r="F30" i="48"/>
  <c r="F434" i="48"/>
  <c r="F290" i="48"/>
  <c r="F250" i="48"/>
  <c r="F226" i="48"/>
  <c r="F186" i="48"/>
  <c r="F154" i="48"/>
  <c r="F42" i="48"/>
  <c r="F274" i="48"/>
  <c r="F234" i="48"/>
  <c r="F194" i="48"/>
  <c r="F146" i="48"/>
  <c r="F122" i="48"/>
  <c r="F98" i="48"/>
  <c r="F438" i="48"/>
  <c r="F414" i="48"/>
  <c r="F374" i="48"/>
  <c r="F350" i="48"/>
  <c r="F318" i="48"/>
  <c r="F302" i="48"/>
  <c r="F270" i="48"/>
  <c r="F238" i="48"/>
  <c r="F206" i="48"/>
  <c r="F166" i="48"/>
  <c r="F126" i="48"/>
  <c r="F78" i="48"/>
  <c r="F38" i="48"/>
  <c r="F22" i="48"/>
  <c r="F442" i="48"/>
  <c r="F410" i="48"/>
  <c r="F378" i="48"/>
  <c r="F346" i="48"/>
  <c r="F338" i="48"/>
  <c r="F314" i="48"/>
  <c r="F258" i="48"/>
  <c r="F202" i="48"/>
  <c r="F162" i="48"/>
  <c r="F130" i="48"/>
  <c r="F106" i="48"/>
  <c r="F82" i="48"/>
  <c r="F34" i="48"/>
  <c r="F448" i="48"/>
  <c r="F440" i="48"/>
  <c r="F432" i="48"/>
  <c r="F424" i="48"/>
  <c r="F416" i="48"/>
  <c r="F408" i="48"/>
  <c r="F400" i="48"/>
  <c r="F392" i="48"/>
  <c r="F384" i="48"/>
  <c r="F376" i="48"/>
  <c r="F368" i="48"/>
  <c r="F360" i="48"/>
  <c r="F352" i="48"/>
  <c r="F344" i="48"/>
  <c r="F336" i="48"/>
  <c r="F328" i="48"/>
  <c r="F320" i="48"/>
  <c r="F312" i="48"/>
  <c r="F304" i="48"/>
  <c r="F296" i="48"/>
  <c r="F288" i="48"/>
  <c r="F280" i="48"/>
  <c r="F272" i="48"/>
  <c r="F264" i="48"/>
  <c r="F256" i="48"/>
  <c r="F248" i="48"/>
  <c r="F240" i="48"/>
  <c r="F232" i="48"/>
  <c r="F224" i="48"/>
  <c r="F216" i="48"/>
  <c r="F208" i="48"/>
  <c r="F200" i="48"/>
  <c r="F192" i="48"/>
  <c r="F184" i="48"/>
  <c r="F176" i="48"/>
  <c r="F168" i="48"/>
  <c r="F160" i="48"/>
  <c r="F152" i="48"/>
  <c r="F144" i="48"/>
  <c r="F136" i="48"/>
  <c r="F128" i="48"/>
  <c r="F120" i="48"/>
  <c r="F112" i="48"/>
  <c r="F104" i="48"/>
  <c r="F96" i="48"/>
  <c r="F88" i="48"/>
  <c r="F80" i="48"/>
  <c r="F72" i="48"/>
  <c r="F64" i="48"/>
  <c r="F56" i="48"/>
  <c r="F48" i="48"/>
  <c r="F40" i="48"/>
  <c r="F32" i="48"/>
  <c r="F24" i="48"/>
  <c r="F16" i="48"/>
  <c r="F8" i="48"/>
  <c r="F58" i="48"/>
  <c r="F26" i="48"/>
  <c r="F74" i="48"/>
  <c r="F18" i="48"/>
  <c r="F66" i="48"/>
  <c r="F10" i="48"/>
  <c r="C4" i="101"/>
  <c r="A18" i="59"/>
  <c r="B18" i="59"/>
  <c r="F18" i="59"/>
  <c r="G18" i="59" a="1"/>
  <c r="G18" i="59" s="1"/>
  <c r="J18" i="59"/>
  <c r="K18" i="59"/>
  <c r="L18" i="59"/>
  <c r="M18" i="59"/>
  <c r="U18" i="59"/>
  <c r="Z95" i="136"/>
  <c r="A95" i="136"/>
  <c r="B95" i="136"/>
  <c r="C95" i="136"/>
  <c r="D95" i="136" a="1"/>
  <c r="D95" i="136" s="1"/>
  <c r="E95" i="136"/>
  <c r="F95" i="136"/>
  <c r="G95" i="136"/>
  <c r="H95" i="136"/>
  <c r="I95" i="136"/>
  <c r="J95" i="136"/>
  <c r="K95" i="136"/>
  <c r="L95" i="136"/>
  <c r="M95" i="136"/>
  <c r="N95" i="136"/>
  <c r="Z83" i="136"/>
  <c r="A83" i="136"/>
  <c r="B83" i="136"/>
  <c r="C83" i="136"/>
  <c r="D83" i="136" a="1"/>
  <c r="D83" i="136" s="1"/>
  <c r="E83" i="136"/>
  <c r="F83" i="136"/>
  <c r="G83" i="136"/>
  <c r="H83" i="136"/>
  <c r="I83" i="136"/>
  <c r="J83" i="136"/>
  <c r="K83" i="136"/>
  <c r="L83" i="136"/>
  <c r="M83" i="136"/>
  <c r="N83" i="136"/>
  <c r="Z46" i="136"/>
  <c r="A46" i="136"/>
  <c r="B46" i="136"/>
  <c r="C46" i="136"/>
  <c r="D46" i="136" a="1"/>
  <c r="D46" i="136" s="1"/>
  <c r="E46" i="136"/>
  <c r="F46" i="136"/>
  <c r="G46" i="136"/>
  <c r="H46" i="136"/>
  <c r="I46" i="136"/>
  <c r="J46" i="136"/>
  <c r="K46" i="136"/>
  <c r="L46" i="136"/>
  <c r="M46" i="136"/>
  <c r="N46" i="136"/>
  <c r="Z34" i="136"/>
  <c r="A34" i="136"/>
  <c r="B34" i="136"/>
  <c r="C34" i="136"/>
  <c r="D34" i="136" a="1"/>
  <c r="D34" i="136" s="1"/>
  <c r="E34" i="136"/>
  <c r="F34" i="136"/>
  <c r="G34" i="136"/>
  <c r="H34" i="136"/>
  <c r="I34" i="136"/>
  <c r="J34" i="136"/>
  <c r="K34" i="136"/>
  <c r="L34" i="136"/>
  <c r="M34" i="136"/>
  <c r="N34" i="136"/>
  <c r="A16" i="116"/>
  <c r="B16" i="116"/>
  <c r="C16" i="116"/>
  <c r="D16" i="116"/>
  <c r="E16" i="116"/>
  <c r="F16" i="116"/>
  <c r="G16" i="116" s="1"/>
  <c r="N16" i="116"/>
  <c r="O16" i="116" s="1"/>
  <c r="P16" i="116"/>
  <c r="Q16" i="116" s="1"/>
  <c r="R16" i="116"/>
  <c r="S16" i="116"/>
  <c r="T16" i="116"/>
  <c r="U16" i="116"/>
  <c r="V16" i="116"/>
  <c r="W16" i="116"/>
  <c r="X16" i="116"/>
  <c r="Y16" i="116"/>
  <c r="AE16" i="116"/>
  <c r="H16" i="116" s="1"/>
  <c r="I16" i="116" s="1"/>
  <c r="AF16" i="116"/>
  <c r="J16" i="116" s="1"/>
  <c r="K16" i="116" s="1"/>
  <c r="AG16" i="116"/>
  <c r="L16" i="116" s="1"/>
  <c r="M16" i="116" s="1"/>
  <c r="AM16" i="116"/>
  <c r="A4" i="73"/>
  <c r="A5" i="73"/>
  <c r="A6" i="73"/>
  <c r="A7" i="73"/>
  <c r="A8" i="73"/>
  <c r="A9" i="73"/>
  <c r="A10" i="73"/>
  <c r="A11" i="73"/>
  <c r="B4" i="73"/>
  <c r="B5" i="73"/>
  <c r="B6" i="73"/>
  <c r="B7" i="73"/>
  <c r="B8" i="73"/>
  <c r="B9" i="73"/>
  <c r="B10" i="73"/>
  <c r="B11" i="73"/>
  <c r="C4" i="73"/>
  <c r="C5" i="73"/>
  <c r="C6" i="73"/>
  <c r="C7" i="73"/>
  <c r="C8" i="73"/>
  <c r="C9" i="73"/>
  <c r="C10" i="73"/>
  <c r="C11" i="73"/>
  <c r="D4" i="73"/>
  <c r="D5" i="73"/>
  <c r="D6" i="73"/>
  <c r="D7" i="73"/>
  <c r="D8" i="73"/>
  <c r="D9" i="73"/>
  <c r="D10" i="73"/>
  <c r="D11" i="73"/>
  <c r="F4" i="73"/>
  <c r="F5" i="73"/>
  <c r="F6" i="73"/>
  <c r="F7" i="73"/>
  <c r="F8" i="73"/>
  <c r="F9" i="73"/>
  <c r="F10" i="73"/>
  <c r="F11" i="73"/>
  <c r="G4" i="73"/>
  <c r="G5" i="73"/>
  <c r="G6" i="73"/>
  <c r="G7" i="73"/>
  <c r="G8" i="73"/>
  <c r="G9" i="73"/>
  <c r="G10" i="73"/>
  <c r="G11" i="73"/>
  <c r="I4" i="73"/>
  <c r="I5" i="73"/>
  <c r="I6" i="73"/>
  <c r="I7" i="73"/>
  <c r="I8" i="73"/>
  <c r="I9" i="73"/>
  <c r="I10" i="73"/>
  <c r="I11" i="73"/>
  <c r="A83" i="72"/>
  <c r="B83" i="72"/>
  <c r="D83" i="72" a="1"/>
  <c r="D83" i="72" s="1"/>
  <c r="E83" i="72"/>
  <c r="G83" i="72"/>
  <c r="H83" i="72"/>
  <c r="I83" i="72"/>
  <c r="K83" i="72"/>
  <c r="L83" i="72"/>
  <c r="A51" i="72"/>
  <c r="A79" i="72"/>
  <c r="A24" i="72"/>
  <c r="A47" i="72"/>
  <c r="A82" i="72"/>
  <c r="A4" i="72"/>
  <c r="A65" i="72"/>
  <c r="A8" i="72"/>
  <c r="A2" i="72"/>
  <c r="A55" i="72"/>
  <c r="A30" i="72"/>
  <c r="A56" i="72"/>
  <c r="A80" i="72"/>
  <c r="A60" i="72"/>
  <c r="A27" i="72"/>
  <c r="B51" i="72"/>
  <c r="B79" i="72"/>
  <c r="B24" i="72"/>
  <c r="B47" i="72"/>
  <c r="B82" i="72"/>
  <c r="B4" i="72"/>
  <c r="B65" i="72"/>
  <c r="B8" i="72"/>
  <c r="B2" i="72"/>
  <c r="B55" i="72"/>
  <c r="B30" i="72"/>
  <c r="B56" i="72"/>
  <c r="B80" i="72"/>
  <c r="B60" i="72"/>
  <c r="B27" i="72"/>
  <c r="D51" i="72" a="1"/>
  <c r="D51" i="72" s="1"/>
  <c r="D79" i="72" a="1"/>
  <c r="D79" i="72" s="1"/>
  <c r="D24" i="72" a="1"/>
  <c r="D24" i="72" s="1"/>
  <c r="D47" i="72" a="1"/>
  <c r="D47" i="72" s="1"/>
  <c r="D82" i="72" a="1"/>
  <c r="D82" i="72" s="1"/>
  <c r="D4" i="72" a="1"/>
  <c r="D4" i="72" s="1"/>
  <c r="D65" i="72" a="1"/>
  <c r="D65" i="72" s="1"/>
  <c r="D8" i="72" a="1"/>
  <c r="D8" i="72" s="1"/>
  <c r="D2" i="72" a="1"/>
  <c r="D2" i="72" s="1"/>
  <c r="D55" i="72" a="1"/>
  <c r="D55" i="72" s="1"/>
  <c r="D30" i="72" a="1"/>
  <c r="D30" i="72" s="1"/>
  <c r="D56" i="72" a="1"/>
  <c r="D56" i="72" s="1"/>
  <c r="D80" i="72" a="1"/>
  <c r="D80" i="72" s="1"/>
  <c r="D60" i="72" a="1"/>
  <c r="D60" i="72" s="1"/>
  <c r="D27" i="72" a="1"/>
  <c r="D27" i="72" s="1"/>
  <c r="E51" i="72"/>
  <c r="E79" i="72"/>
  <c r="E24" i="72"/>
  <c r="E47" i="72"/>
  <c r="E82" i="72"/>
  <c r="E4" i="72"/>
  <c r="E65" i="72"/>
  <c r="E8" i="72"/>
  <c r="E2" i="72"/>
  <c r="E55" i="72"/>
  <c r="E30" i="72"/>
  <c r="E56" i="72"/>
  <c r="E80" i="72"/>
  <c r="E60" i="72"/>
  <c r="E27" i="72"/>
  <c r="G51" i="72"/>
  <c r="G79" i="72"/>
  <c r="G24" i="72"/>
  <c r="G47" i="72"/>
  <c r="G82" i="72"/>
  <c r="G4" i="72"/>
  <c r="G65" i="72"/>
  <c r="G8" i="72"/>
  <c r="G2" i="72"/>
  <c r="G55" i="72"/>
  <c r="G30" i="72"/>
  <c r="G56" i="72"/>
  <c r="G80" i="72"/>
  <c r="G60" i="72"/>
  <c r="G27" i="72"/>
  <c r="H51" i="72"/>
  <c r="H79" i="72"/>
  <c r="H24" i="72"/>
  <c r="H47" i="72"/>
  <c r="H82" i="72"/>
  <c r="H4" i="72"/>
  <c r="H65" i="72"/>
  <c r="H8" i="72"/>
  <c r="H2" i="72"/>
  <c r="H55" i="72"/>
  <c r="H30" i="72"/>
  <c r="H56" i="72"/>
  <c r="H80" i="72"/>
  <c r="H60" i="72"/>
  <c r="H27" i="72"/>
  <c r="I51" i="72"/>
  <c r="I79" i="72"/>
  <c r="I24" i="72"/>
  <c r="I47" i="72"/>
  <c r="I82" i="72"/>
  <c r="I4" i="72"/>
  <c r="I65" i="72"/>
  <c r="I8" i="72"/>
  <c r="I2" i="72"/>
  <c r="I55" i="72"/>
  <c r="I30" i="72"/>
  <c r="I56" i="72"/>
  <c r="I80" i="72"/>
  <c r="I60" i="72"/>
  <c r="I27" i="72"/>
  <c r="K51" i="72"/>
  <c r="K79" i="72"/>
  <c r="K24" i="72"/>
  <c r="K47" i="72"/>
  <c r="K82" i="72"/>
  <c r="K4" i="72"/>
  <c r="K65" i="72"/>
  <c r="K8" i="72"/>
  <c r="K2" i="72"/>
  <c r="K55" i="72"/>
  <c r="K30" i="72"/>
  <c r="K56" i="72"/>
  <c r="K80" i="72"/>
  <c r="K60" i="72"/>
  <c r="K27" i="72"/>
  <c r="L51" i="72"/>
  <c r="L79" i="72"/>
  <c r="L24" i="72"/>
  <c r="L47" i="72"/>
  <c r="L82" i="72"/>
  <c r="L4" i="72"/>
  <c r="L65" i="72"/>
  <c r="L8" i="72"/>
  <c r="L2" i="72"/>
  <c r="L55" i="72"/>
  <c r="L30" i="72"/>
  <c r="L56" i="72"/>
  <c r="L80" i="72"/>
  <c r="L60" i="72"/>
  <c r="L27" i="72"/>
  <c r="A44" i="72"/>
  <c r="A35" i="72"/>
  <c r="A28" i="72"/>
  <c r="A37" i="72"/>
  <c r="A40" i="72"/>
  <c r="A45" i="72"/>
  <c r="A36" i="72"/>
  <c r="A77" i="72"/>
  <c r="A81" i="72"/>
  <c r="A78" i="72"/>
  <c r="A59" i="72"/>
  <c r="A26" i="72"/>
  <c r="A3" i="72"/>
  <c r="A42" i="72"/>
  <c r="A29" i="72"/>
  <c r="A25" i="72"/>
  <c r="A18" i="72"/>
  <c r="A43" i="72"/>
  <c r="A61" i="72"/>
  <c r="A64" i="72"/>
  <c r="A7" i="72"/>
  <c r="A63" i="72"/>
  <c r="A5" i="72"/>
  <c r="A14" i="72"/>
  <c r="A19" i="72"/>
  <c r="A22" i="72"/>
  <c r="A74" i="72"/>
  <c r="A76" i="72"/>
  <c r="A9" i="72"/>
  <c r="A23" i="72"/>
  <c r="B44" i="72"/>
  <c r="B35" i="72"/>
  <c r="B28" i="72"/>
  <c r="B37" i="72"/>
  <c r="B40" i="72"/>
  <c r="B45" i="72"/>
  <c r="B36" i="72"/>
  <c r="B77" i="72"/>
  <c r="B81" i="72"/>
  <c r="B78" i="72"/>
  <c r="B59" i="72"/>
  <c r="B26" i="72"/>
  <c r="B3" i="72"/>
  <c r="B42" i="72"/>
  <c r="B29" i="72"/>
  <c r="B25" i="72"/>
  <c r="B18" i="72"/>
  <c r="B43" i="72"/>
  <c r="B61" i="72"/>
  <c r="B64" i="72"/>
  <c r="B7" i="72"/>
  <c r="B63" i="72"/>
  <c r="B5" i="72"/>
  <c r="B14" i="72"/>
  <c r="B19" i="72"/>
  <c r="B22" i="72"/>
  <c r="B74" i="72"/>
  <c r="B76" i="72"/>
  <c r="B9" i="72"/>
  <c r="B23" i="72"/>
  <c r="D44" i="72" a="1"/>
  <c r="D44" i="72" s="1"/>
  <c r="D35" i="72" a="1"/>
  <c r="D35" i="72" s="1"/>
  <c r="D28" i="72" a="1"/>
  <c r="D28" i="72" s="1"/>
  <c r="D37" i="72" a="1"/>
  <c r="D37" i="72" s="1"/>
  <c r="D40" i="72" a="1"/>
  <c r="D40" i="72" s="1"/>
  <c r="D45" i="72" a="1"/>
  <c r="D45" i="72" s="1"/>
  <c r="D36" i="72" a="1"/>
  <c r="D36" i="72" s="1"/>
  <c r="D77" i="72" a="1"/>
  <c r="D77" i="72" s="1"/>
  <c r="D81" i="72" a="1"/>
  <c r="D81" i="72" s="1"/>
  <c r="D78" i="72" a="1"/>
  <c r="D78" i="72" s="1"/>
  <c r="D59" i="72" a="1"/>
  <c r="D59" i="72" s="1"/>
  <c r="D26" i="72" a="1"/>
  <c r="D26" i="72" s="1"/>
  <c r="D3" i="72" a="1"/>
  <c r="D3" i="72" s="1"/>
  <c r="D42" i="72" a="1"/>
  <c r="D42" i="72" s="1"/>
  <c r="D29" i="72" a="1"/>
  <c r="D29" i="72" s="1"/>
  <c r="D25" i="72" a="1"/>
  <c r="D25" i="72" s="1"/>
  <c r="D18" i="72" a="1"/>
  <c r="D18" i="72" s="1"/>
  <c r="D43" i="72" a="1"/>
  <c r="D43" i="72" s="1"/>
  <c r="D61" i="72" a="1"/>
  <c r="D61" i="72" s="1"/>
  <c r="D64" i="72" a="1"/>
  <c r="D64" i="72" s="1"/>
  <c r="D7" i="72" a="1"/>
  <c r="D7" i="72" s="1"/>
  <c r="D63" i="72" a="1"/>
  <c r="D63" i="72" s="1"/>
  <c r="D5" i="72" a="1"/>
  <c r="D5" i="72" s="1"/>
  <c r="D14" i="72" a="1"/>
  <c r="D14" i="72" s="1"/>
  <c r="D19" i="72" a="1"/>
  <c r="D19" i="72" s="1"/>
  <c r="D22" i="72" a="1"/>
  <c r="D22" i="72" s="1"/>
  <c r="D74" i="72" a="1"/>
  <c r="D74" i="72" s="1"/>
  <c r="D76" i="72" a="1"/>
  <c r="D76" i="72" s="1"/>
  <c r="D9" i="72" a="1"/>
  <c r="D9" i="72" s="1"/>
  <c r="D23" i="72" a="1"/>
  <c r="D23" i="72" s="1"/>
  <c r="E44" i="72"/>
  <c r="E35" i="72"/>
  <c r="E28" i="72"/>
  <c r="E37" i="72"/>
  <c r="E40" i="72"/>
  <c r="E45" i="72"/>
  <c r="E36" i="72"/>
  <c r="E77" i="72"/>
  <c r="E81" i="72"/>
  <c r="E78" i="72"/>
  <c r="E59" i="72"/>
  <c r="E26" i="72"/>
  <c r="E3" i="72"/>
  <c r="E42" i="72"/>
  <c r="E29" i="72"/>
  <c r="E25" i="72"/>
  <c r="E18" i="72"/>
  <c r="E43" i="72"/>
  <c r="E61" i="72"/>
  <c r="E64" i="72"/>
  <c r="E7" i="72"/>
  <c r="E63" i="72"/>
  <c r="E5" i="72"/>
  <c r="E14" i="72"/>
  <c r="E19" i="72"/>
  <c r="E22" i="72"/>
  <c r="E74" i="72"/>
  <c r="E76" i="72"/>
  <c r="E9" i="72"/>
  <c r="E23" i="72"/>
  <c r="G44" i="72"/>
  <c r="G35" i="72"/>
  <c r="G28" i="72"/>
  <c r="G37" i="72"/>
  <c r="G40" i="72"/>
  <c r="G45" i="72"/>
  <c r="G36" i="72"/>
  <c r="G77" i="72"/>
  <c r="G81" i="72"/>
  <c r="G78" i="72"/>
  <c r="G59" i="72"/>
  <c r="G26" i="72"/>
  <c r="G3" i="72"/>
  <c r="G42" i="72"/>
  <c r="G29" i="72"/>
  <c r="G25" i="72"/>
  <c r="G18" i="72"/>
  <c r="G43" i="72"/>
  <c r="G61" i="72"/>
  <c r="G64" i="72"/>
  <c r="G7" i="72"/>
  <c r="G63" i="72"/>
  <c r="G5" i="72"/>
  <c r="G14" i="72"/>
  <c r="G19" i="72"/>
  <c r="G22" i="72"/>
  <c r="G74" i="72"/>
  <c r="G76" i="72"/>
  <c r="G9" i="72"/>
  <c r="G23" i="72"/>
  <c r="H44" i="72"/>
  <c r="H35" i="72"/>
  <c r="H28" i="72"/>
  <c r="H37" i="72"/>
  <c r="H40" i="72"/>
  <c r="H45" i="72"/>
  <c r="H36" i="72"/>
  <c r="H77" i="72"/>
  <c r="H81" i="72"/>
  <c r="H78" i="72"/>
  <c r="H59" i="72"/>
  <c r="H26" i="72"/>
  <c r="H3" i="72"/>
  <c r="H42" i="72"/>
  <c r="H29" i="72"/>
  <c r="H25" i="72"/>
  <c r="H18" i="72"/>
  <c r="H43" i="72"/>
  <c r="H61" i="72"/>
  <c r="H64" i="72"/>
  <c r="H7" i="72"/>
  <c r="H63" i="72"/>
  <c r="H5" i="72"/>
  <c r="H14" i="72"/>
  <c r="H19" i="72"/>
  <c r="H22" i="72"/>
  <c r="H74" i="72"/>
  <c r="H76" i="72"/>
  <c r="H9" i="72"/>
  <c r="H23" i="72"/>
  <c r="I44" i="72"/>
  <c r="I35" i="72"/>
  <c r="I28" i="72"/>
  <c r="I37" i="72"/>
  <c r="I40" i="72"/>
  <c r="I45" i="72"/>
  <c r="I36" i="72"/>
  <c r="I77" i="72"/>
  <c r="I81" i="72"/>
  <c r="I78" i="72"/>
  <c r="I59" i="72"/>
  <c r="I26" i="72"/>
  <c r="I3" i="72"/>
  <c r="I42" i="72"/>
  <c r="I29" i="72"/>
  <c r="I25" i="72"/>
  <c r="I18" i="72"/>
  <c r="I43" i="72"/>
  <c r="I61" i="72"/>
  <c r="I64" i="72"/>
  <c r="I7" i="72"/>
  <c r="I63" i="72"/>
  <c r="I5" i="72"/>
  <c r="I14" i="72"/>
  <c r="I19" i="72"/>
  <c r="I22" i="72"/>
  <c r="I74" i="72"/>
  <c r="I76" i="72"/>
  <c r="I9" i="72"/>
  <c r="I23" i="72"/>
  <c r="K44" i="72"/>
  <c r="K35" i="72"/>
  <c r="K28" i="72"/>
  <c r="K37" i="72"/>
  <c r="K40" i="72"/>
  <c r="K45" i="72"/>
  <c r="K36" i="72"/>
  <c r="K77" i="72"/>
  <c r="K81" i="72"/>
  <c r="K78" i="72"/>
  <c r="K59" i="72"/>
  <c r="K26" i="72"/>
  <c r="K3" i="72"/>
  <c r="K42" i="72"/>
  <c r="K29" i="72"/>
  <c r="K25" i="72"/>
  <c r="K18" i="72"/>
  <c r="K43" i="72"/>
  <c r="K61" i="72"/>
  <c r="K64" i="72"/>
  <c r="K7" i="72"/>
  <c r="K63" i="72"/>
  <c r="K5" i="72"/>
  <c r="K14" i="72"/>
  <c r="K19" i="72"/>
  <c r="K22" i="72"/>
  <c r="K74" i="72"/>
  <c r="K76" i="72"/>
  <c r="K9" i="72"/>
  <c r="K23" i="72"/>
  <c r="L44" i="72"/>
  <c r="L35" i="72"/>
  <c r="L28" i="72"/>
  <c r="L37" i="72"/>
  <c r="L40" i="72"/>
  <c r="L45" i="72"/>
  <c r="L36" i="72"/>
  <c r="L77" i="72"/>
  <c r="L81" i="72"/>
  <c r="L78" i="72"/>
  <c r="L59" i="72"/>
  <c r="L26" i="72"/>
  <c r="L3" i="72"/>
  <c r="L42" i="72"/>
  <c r="L29" i="72"/>
  <c r="L25" i="72"/>
  <c r="L18" i="72"/>
  <c r="L43" i="72"/>
  <c r="L61" i="72"/>
  <c r="L64" i="72"/>
  <c r="L7" i="72"/>
  <c r="L63" i="72"/>
  <c r="L5" i="72"/>
  <c r="L14" i="72"/>
  <c r="L19" i="72"/>
  <c r="L22" i="72"/>
  <c r="L74" i="72"/>
  <c r="L76" i="72"/>
  <c r="L9" i="72"/>
  <c r="L23" i="72"/>
  <c r="A74" i="119"/>
  <c r="A75" i="119"/>
  <c r="A76" i="119"/>
  <c r="A77" i="119"/>
  <c r="A78" i="119"/>
  <c r="A79" i="119"/>
  <c r="A80" i="119"/>
  <c r="A81" i="119"/>
  <c r="A82" i="119"/>
  <c r="A83" i="119"/>
  <c r="A84" i="119"/>
  <c r="A85" i="119"/>
  <c r="A86" i="119"/>
  <c r="A87" i="119"/>
  <c r="A88" i="119"/>
  <c r="A89" i="119"/>
  <c r="A90" i="119"/>
  <c r="A91" i="119"/>
  <c r="A92" i="119"/>
  <c r="A93" i="119"/>
  <c r="A94" i="119"/>
  <c r="A95" i="119"/>
  <c r="A96" i="119"/>
  <c r="A97" i="119"/>
  <c r="A98" i="119"/>
  <c r="A99" i="119"/>
  <c r="A100" i="119"/>
  <c r="A101" i="119"/>
  <c r="B74" i="119"/>
  <c r="B75" i="119"/>
  <c r="B76" i="119"/>
  <c r="B77" i="119"/>
  <c r="B78" i="119"/>
  <c r="B79" i="119"/>
  <c r="B80" i="119"/>
  <c r="B81" i="119"/>
  <c r="B82" i="119"/>
  <c r="B83" i="119"/>
  <c r="B84" i="119"/>
  <c r="B85" i="119"/>
  <c r="B86" i="119"/>
  <c r="B87" i="119"/>
  <c r="B88" i="119"/>
  <c r="B89" i="119"/>
  <c r="B90" i="119"/>
  <c r="B91" i="119"/>
  <c r="B92" i="119"/>
  <c r="B93" i="119"/>
  <c r="B94" i="119"/>
  <c r="B95" i="119"/>
  <c r="B96" i="119"/>
  <c r="B97" i="119"/>
  <c r="B98" i="119"/>
  <c r="B99" i="119"/>
  <c r="B100" i="119"/>
  <c r="B101" i="119"/>
  <c r="D74" i="119"/>
  <c r="D75" i="119"/>
  <c r="D76" i="119"/>
  <c r="D77" i="119"/>
  <c r="D78" i="119"/>
  <c r="D79" i="119"/>
  <c r="D80" i="119"/>
  <c r="D81" i="119"/>
  <c r="D82" i="119"/>
  <c r="D83" i="119"/>
  <c r="D84" i="119"/>
  <c r="D85" i="119"/>
  <c r="D86" i="119"/>
  <c r="D87" i="119"/>
  <c r="D88" i="119"/>
  <c r="D89" i="119"/>
  <c r="D90" i="119"/>
  <c r="D91" i="119"/>
  <c r="D92" i="119"/>
  <c r="D93" i="119"/>
  <c r="D94" i="119"/>
  <c r="D95" i="119"/>
  <c r="D96" i="119"/>
  <c r="D97" i="119"/>
  <c r="D98" i="119"/>
  <c r="D99" i="119"/>
  <c r="D100" i="119"/>
  <c r="D101" i="119"/>
  <c r="E74" i="119" a="1"/>
  <c r="E74" i="119" s="1"/>
  <c r="E75" i="119" a="1"/>
  <c r="E75" i="119" s="1"/>
  <c r="E76" i="119" a="1"/>
  <c r="E76" i="119" s="1"/>
  <c r="E77" i="119" a="1"/>
  <c r="E77" i="119" s="1"/>
  <c r="E78" i="119" a="1"/>
  <c r="E78" i="119" s="1"/>
  <c r="E79" i="119" a="1"/>
  <c r="E79" i="119" s="1"/>
  <c r="E80" i="119" a="1"/>
  <c r="E80" i="119" s="1"/>
  <c r="E81" i="119" a="1"/>
  <c r="E81" i="119" s="1"/>
  <c r="E82" i="119" a="1"/>
  <c r="E82" i="119" s="1"/>
  <c r="E83" i="119" a="1"/>
  <c r="E83" i="119" s="1"/>
  <c r="E84" i="119" a="1"/>
  <c r="E84" i="119" s="1"/>
  <c r="E85" i="119" a="1"/>
  <c r="E85" i="119" s="1"/>
  <c r="E86" i="119" a="1"/>
  <c r="E86" i="119" s="1"/>
  <c r="E87" i="119" a="1"/>
  <c r="E87" i="119" s="1"/>
  <c r="E88" i="119" a="1"/>
  <c r="E88" i="119" s="1"/>
  <c r="E89" i="119" a="1"/>
  <c r="E89" i="119" s="1"/>
  <c r="E90" i="119" a="1"/>
  <c r="E90" i="119" s="1"/>
  <c r="E91" i="119" a="1"/>
  <c r="E91" i="119" s="1"/>
  <c r="E92" i="119" a="1"/>
  <c r="E92" i="119" s="1"/>
  <c r="E93" i="119" a="1"/>
  <c r="E93" i="119" s="1"/>
  <c r="E94" i="119" a="1"/>
  <c r="E94" i="119" s="1"/>
  <c r="E95" i="119" a="1"/>
  <c r="E95" i="119" s="1"/>
  <c r="E96" i="119" a="1"/>
  <c r="E96" i="119" s="1"/>
  <c r="E97" i="119" a="1"/>
  <c r="E97" i="119" s="1"/>
  <c r="E98" i="119" a="1"/>
  <c r="E98" i="119" s="1"/>
  <c r="E99" i="119" a="1"/>
  <c r="E99" i="119" s="1"/>
  <c r="E100" i="119" a="1"/>
  <c r="E100" i="119" s="1"/>
  <c r="E101" i="119" a="1"/>
  <c r="E101" i="119" s="1"/>
  <c r="F74" i="119"/>
  <c r="F75" i="119"/>
  <c r="F76" i="119"/>
  <c r="F77" i="119"/>
  <c r="F78" i="119"/>
  <c r="F79" i="119"/>
  <c r="F80" i="119"/>
  <c r="F81" i="119"/>
  <c r="F82" i="119"/>
  <c r="F83" i="119"/>
  <c r="F84" i="119"/>
  <c r="F85" i="119"/>
  <c r="F86" i="119"/>
  <c r="F87" i="119"/>
  <c r="F88" i="119"/>
  <c r="F89" i="119"/>
  <c r="F90" i="119"/>
  <c r="F91" i="119"/>
  <c r="F92" i="119"/>
  <c r="F93" i="119"/>
  <c r="F94" i="119"/>
  <c r="F95" i="119"/>
  <c r="F96" i="119"/>
  <c r="F97" i="119"/>
  <c r="F98" i="119"/>
  <c r="F99" i="119"/>
  <c r="F100" i="119"/>
  <c r="F101" i="119"/>
  <c r="G74" i="119"/>
  <c r="G75" i="119"/>
  <c r="G76" i="119"/>
  <c r="G77" i="119"/>
  <c r="G78" i="119"/>
  <c r="G79" i="119"/>
  <c r="G80" i="119"/>
  <c r="G81" i="119"/>
  <c r="G82" i="119"/>
  <c r="G83" i="119"/>
  <c r="G84" i="119"/>
  <c r="G85" i="119"/>
  <c r="G86" i="119"/>
  <c r="G87" i="119"/>
  <c r="G88" i="119"/>
  <c r="G89" i="119"/>
  <c r="G90" i="119"/>
  <c r="G91" i="119"/>
  <c r="G92" i="119"/>
  <c r="G93" i="119"/>
  <c r="G94" i="119"/>
  <c r="G95" i="119"/>
  <c r="G96" i="119"/>
  <c r="G97" i="119"/>
  <c r="G98" i="119"/>
  <c r="G99" i="119"/>
  <c r="G100" i="119"/>
  <c r="G101" i="119"/>
  <c r="I74" i="119"/>
  <c r="I75" i="119"/>
  <c r="I76" i="119"/>
  <c r="I77" i="119"/>
  <c r="I78" i="119"/>
  <c r="I79" i="119"/>
  <c r="I80" i="119"/>
  <c r="I81" i="119"/>
  <c r="I82" i="119"/>
  <c r="I83" i="119"/>
  <c r="I84" i="119"/>
  <c r="I85" i="119"/>
  <c r="I86" i="119"/>
  <c r="I87" i="119"/>
  <c r="I88" i="119"/>
  <c r="I89" i="119"/>
  <c r="I90" i="119"/>
  <c r="I91" i="119"/>
  <c r="I92" i="119"/>
  <c r="I93" i="119"/>
  <c r="I94" i="119"/>
  <c r="I95" i="119"/>
  <c r="I96" i="119"/>
  <c r="I97" i="119"/>
  <c r="I98" i="119"/>
  <c r="I99" i="119"/>
  <c r="I100" i="119"/>
  <c r="I101" i="119"/>
  <c r="J74" i="119"/>
  <c r="J75" i="119"/>
  <c r="J76" i="119"/>
  <c r="J77" i="119"/>
  <c r="J78" i="119"/>
  <c r="J79" i="119"/>
  <c r="J80" i="119"/>
  <c r="J81" i="119"/>
  <c r="J82" i="119"/>
  <c r="J83" i="119"/>
  <c r="J84" i="119"/>
  <c r="J85" i="119"/>
  <c r="J86" i="119"/>
  <c r="J87" i="119"/>
  <c r="J88" i="119"/>
  <c r="J89" i="119"/>
  <c r="J90" i="119"/>
  <c r="J91" i="119"/>
  <c r="J92" i="119"/>
  <c r="J93" i="119"/>
  <c r="J94" i="119"/>
  <c r="J95" i="119"/>
  <c r="J96" i="119"/>
  <c r="J97" i="119"/>
  <c r="J98" i="119"/>
  <c r="J99" i="119"/>
  <c r="J100" i="119"/>
  <c r="J101" i="119"/>
  <c r="K74" i="119"/>
  <c r="K75" i="119"/>
  <c r="K76" i="119"/>
  <c r="K77" i="119"/>
  <c r="K78" i="119"/>
  <c r="K79" i="119"/>
  <c r="K80" i="119"/>
  <c r="K81" i="119"/>
  <c r="K82" i="119"/>
  <c r="K83" i="119"/>
  <c r="K84" i="119"/>
  <c r="K85" i="119"/>
  <c r="K86" i="119"/>
  <c r="K87" i="119"/>
  <c r="K88" i="119"/>
  <c r="K89" i="119"/>
  <c r="K90" i="119"/>
  <c r="K91" i="119"/>
  <c r="K92" i="119"/>
  <c r="K93" i="119"/>
  <c r="K94" i="119"/>
  <c r="K95" i="119"/>
  <c r="K96" i="119"/>
  <c r="K97" i="119"/>
  <c r="K98" i="119"/>
  <c r="K99" i="119"/>
  <c r="K100" i="119"/>
  <c r="K101" i="119"/>
  <c r="M74" i="119"/>
  <c r="M75" i="119"/>
  <c r="M76" i="119"/>
  <c r="M77" i="119"/>
  <c r="M78" i="119"/>
  <c r="M79" i="119"/>
  <c r="M80" i="119"/>
  <c r="M81" i="119"/>
  <c r="M82" i="119"/>
  <c r="M83" i="119"/>
  <c r="M84" i="119"/>
  <c r="M85" i="119"/>
  <c r="M86" i="119"/>
  <c r="M87" i="119"/>
  <c r="M88" i="119"/>
  <c r="M89" i="119"/>
  <c r="M90" i="119"/>
  <c r="M91" i="119"/>
  <c r="M92" i="119"/>
  <c r="M93" i="119"/>
  <c r="M94" i="119"/>
  <c r="M95" i="119"/>
  <c r="M96" i="119"/>
  <c r="M97" i="119"/>
  <c r="M98" i="119"/>
  <c r="M99" i="119"/>
  <c r="M100" i="119"/>
  <c r="M101" i="119"/>
  <c r="N74" i="119"/>
  <c r="N75" i="119"/>
  <c r="N76" i="119"/>
  <c r="N77" i="119"/>
  <c r="N78" i="119"/>
  <c r="N79" i="119"/>
  <c r="N80" i="119"/>
  <c r="N81" i="119"/>
  <c r="N82" i="119"/>
  <c r="N83" i="119"/>
  <c r="N84" i="119"/>
  <c r="N85" i="119"/>
  <c r="N86" i="119"/>
  <c r="N87" i="119"/>
  <c r="N88" i="119"/>
  <c r="N89" i="119"/>
  <c r="N90" i="119"/>
  <c r="N91" i="119"/>
  <c r="N92" i="119"/>
  <c r="N93" i="119"/>
  <c r="N94" i="119"/>
  <c r="N95" i="119"/>
  <c r="N96" i="119"/>
  <c r="N97" i="119"/>
  <c r="N98" i="119"/>
  <c r="N99" i="119"/>
  <c r="N100" i="119"/>
  <c r="N101" i="119"/>
  <c r="O74" i="119"/>
  <c r="O75" i="119"/>
  <c r="O76" i="119"/>
  <c r="O77" i="119"/>
  <c r="O78" i="119"/>
  <c r="O79" i="119"/>
  <c r="O80" i="119"/>
  <c r="O81" i="119"/>
  <c r="O82" i="119"/>
  <c r="O83" i="119"/>
  <c r="O84" i="119"/>
  <c r="O85" i="119"/>
  <c r="O86" i="119"/>
  <c r="O87" i="119"/>
  <c r="O88" i="119"/>
  <c r="O89" i="119"/>
  <c r="O90" i="119"/>
  <c r="O91" i="119"/>
  <c r="O92" i="119"/>
  <c r="O93" i="119"/>
  <c r="O94" i="119"/>
  <c r="O95" i="119"/>
  <c r="O96" i="119"/>
  <c r="O97" i="119"/>
  <c r="O98" i="119"/>
  <c r="O99" i="119"/>
  <c r="O100" i="119"/>
  <c r="O101" i="119"/>
  <c r="A49" i="72"/>
  <c r="B49" i="72"/>
  <c r="D49" i="72" a="1"/>
  <c r="D49" i="72" s="1"/>
  <c r="E49" i="72"/>
  <c r="G49" i="72"/>
  <c r="H49" i="72"/>
  <c r="I49" i="72"/>
  <c r="K49" i="72"/>
  <c r="L49" i="72"/>
  <c r="A12" i="72"/>
  <c r="A48" i="72"/>
  <c r="A38" i="72"/>
  <c r="A41" i="72"/>
  <c r="A33" i="72"/>
  <c r="A58" i="72"/>
  <c r="A67" i="72"/>
  <c r="A20" i="72"/>
  <c r="A72" i="72"/>
  <c r="A54" i="72"/>
  <c r="A13" i="72"/>
  <c r="A69" i="72"/>
  <c r="A6" i="72"/>
  <c r="A17" i="72"/>
  <c r="A53" i="72"/>
  <c r="A71" i="72"/>
  <c r="A34" i="72"/>
  <c r="A46" i="72"/>
  <c r="A66" i="72"/>
  <c r="A32" i="72"/>
  <c r="B12" i="72"/>
  <c r="B48" i="72"/>
  <c r="B38" i="72"/>
  <c r="B41" i="72"/>
  <c r="B33" i="72"/>
  <c r="B58" i="72"/>
  <c r="B67" i="72"/>
  <c r="B20" i="72"/>
  <c r="B72" i="72"/>
  <c r="B54" i="72"/>
  <c r="B13" i="72"/>
  <c r="B69" i="72"/>
  <c r="B6" i="72"/>
  <c r="B17" i="72"/>
  <c r="B53" i="72"/>
  <c r="B71" i="72"/>
  <c r="B34" i="72"/>
  <c r="B46" i="72"/>
  <c r="B66" i="72"/>
  <c r="B32" i="72"/>
  <c r="D12" i="72" a="1"/>
  <c r="D12" i="72" s="1"/>
  <c r="D48" i="72" a="1"/>
  <c r="D48" i="72" s="1"/>
  <c r="D38" i="72" a="1"/>
  <c r="D38" i="72" s="1"/>
  <c r="D41" i="72" a="1"/>
  <c r="D41" i="72" s="1"/>
  <c r="D33" i="72" a="1"/>
  <c r="D33" i="72" s="1"/>
  <c r="D58" i="72" a="1"/>
  <c r="D58" i="72" s="1"/>
  <c r="D67" i="72" a="1"/>
  <c r="D67" i="72" s="1"/>
  <c r="D20" i="72" a="1"/>
  <c r="D20" i="72" s="1"/>
  <c r="D72" i="72" a="1"/>
  <c r="D72" i="72" s="1"/>
  <c r="D54" i="72" a="1"/>
  <c r="D54" i="72" s="1"/>
  <c r="D13" i="72" a="1"/>
  <c r="D13" i="72" s="1"/>
  <c r="D69" i="72" a="1"/>
  <c r="D69" i="72" s="1"/>
  <c r="D6" i="72" a="1"/>
  <c r="D6" i="72" s="1"/>
  <c r="D17" i="72" a="1"/>
  <c r="D17" i="72" s="1"/>
  <c r="D53" i="72" a="1"/>
  <c r="D53" i="72" s="1"/>
  <c r="D71" i="72" a="1"/>
  <c r="D71" i="72" s="1"/>
  <c r="D34" i="72" a="1"/>
  <c r="D34" i="72" s="1"/>
  <c r="D46" i="72" a="1"/>
  <c r="D46" i="72" s="1"/>
  <c r="D66" i="72" a="1"/>
  <c r="D66" i="72" s="1"/>
  <c r="D32" i="72" a="1"/>
  <c r="D32" i="72" s="1"/>
  <c r="E12" i="72"/>
  <c r="E48" i="72"/>
  <c r="E38" i="72"/>
  <c r="E41" i="72"/>
  <c r="E33" i="72"/>
  <c r="E58" i="72"/>
  <c r="E67" i="72"/>
  <c r="E20" i="72"/>
  <c r="E72" i="72"/>
  <c r="E54" i="72"/>
  <c r="E13" i="72"/>
  <c r="E69" i="72"/>
  <c r="E6" i="72"/>
  <c r="E17" i="72"/>
  <c r="E53" i="72"/>
  <c r="E71" i="72"/>
  <c r="E34" i="72"/>
  <c r="E46" i="72"/>
  <c r="E66" i="72"/>
  <c r="E32" i="72"/>
  <c r="G12" i="72"/>
  <c r="G48" i="72"/>
  <c r="G38" i="72"/>
  <c r="G41" i="72"/>
  <c r="G33" i="72"/>
  <c r="G58" i="72"/>
  <c r="G67" i="72"/>
  <c r="G20" i="72"/>
  <c r="G72" i="72"/>
  <c r="G54" i="72"/>
  <c r="G13" i="72"/>
  <c r="G69" i="72"/>
  <c r="G6" i="72"/>
  <c r="G17" i="72"/>
  <c r="G53" i="72"/>
  <c r="G71" i="72"/>
  <c r="G34" i="72"/>
  <c r="G46" i="72"/>
  <c r="G66" i="72"/>
  <c r="G32" i="72"/>
  <c r="H12" i="72"/>
  <c r="H48" i="72"/>
  <c r="H38" i="72"/>
  <c r="H41" i="72"/>
  <c r="H33" i="72"/>
  <c r="H58" i="72"/>
  <c r="H67" i="72"/>
  <c r="H20" i="72"/>
  <c r="H72" i="72"/>
  <c r="H54" i="72"/>
  <c r="H13" i="72"/>
  <c r="H69" i="72"/>
  <c r="H6" i="72"/>
  <c r="H17" i="72"/>
  <c r="H53" i="72"/>
  <c r="H71" i="72"/>
  <c r="H34" i="72"/>
  <c r="H46" i="72"/>
  <c r="H66" i="72"/>
  <c r="H32" i="72"/>
  <c r="I12" i="72"/>
  <c r="I48" i="72"/>
  <c r="I38" i="72"/>
  <c r="I41" i="72"/>
  <c r="I33" i="72"/>
  <c r="I58" i="72"/>
  <c r="I67" i="72"/>
  <c r="I20" i="72"/>
  <c r="I72" i="72"/>
  <c r="I54" i="72"/>
  <c r="I13" i="72"/>
  <c r="I69" i="72"/>
  <c r="I6" i="72"/>
  <c r="I17" i="72"/>
  <c r="I53" i="72"/>
  <c r="I71" i="72"/>
  <c r="I34" i="72"/>
  <c r="I46" i="72"/>
  <c r="I66" i="72"/>
  <c r="I32" i="72"/>
  <c r="K12" i="72"/>
  <c r="K48" i="72"/>
  <c r="K38" i="72"/>
  <c r="K41" i="72"/>
  <c r="K33" i="72"/>
  <c r="K58" i="72"/>
  <c r="K67" i="72"/>
  <c r="K20" i="72"/>
  <c r="K72" i="72"/>
  <c r="K54" i="72"/>
  <c r="K13" i="72"/>
  <c r="K69" i="72"/>
  <c r="K6" i="72"/>
  <c r="K17" i="72"/>
  <c r="K53" i="72"/>
  <c r="K71" i="72"/>
  <c r="K34" i="72"/>
  <c r="K46" i="72"/>
  <c r="K66" i="72"/>
  <c r="K32" i="72"/>
  <c r="L12" i="72"/>
  <c r="L48" i="72"/>
  <c r="L38" i="72"/>
  <c r="L41" i="72"/>
  <c r="L33" i="72"/>
  <c r="L58" i="72"/>
  <c r="L67" i="72"/>
  <c r="L20" i="72"/>
  <c r="L72" i="72"/>
  <c r="L54" i="72"/>
  <c r="L13" i="72"/>
  <c r="L69" i="72"/>
  <c r="L6" i="72"/>
  <c r="L17" i="72"/>
  <c r="L53" i="72"/>
  <c r="L71" i="72"/>
  <c r="L34" i="72"/>
  <c r="L46" i="72"/>
  <c r="L66" i="72"/>
  <c r="L32" i="72"/>
  <c r="A57" i="72"/>
  <c r="A70" i="72"/>
  <c r="B57" i="72"/>
  <c r="B70" i="72"/>
  <c r="D57" i="72" a="1"/>
  <c r="D57" i="72" s="1"/>
  <c r="D70" i="72" a="1"/>
  <c r="D70" i="72" s="1"/>
  <c r="E57" i="72"/>
  <c r="E70" i="72"/>
  <c r="G57" i="72"/>
  <c r="G70" i="72"/>
  <c r="H57" i="72"/>
  <c r="H70" i="72"/>
  <c r="I57" i="72"/>
  <c r="I70" i="72"/>
  <c r="K57" i="72"/>
  <c r="K70" i="72"/>
  <c r="L57" i="72"/>
  <c r="L70" i="72"/>
  <c r="A15" i="72"/>
  <c r="A11" i="72"/>
  <c r="A21" i="72"/>
  <c r="A31" i="72"/>
  <c r="A50" i="72"/>
  <c r="A68" i="72"/>
  <c r="A39" i="72"/>
  <c r="A16" i="72"/>
  <c r="A73" i="72"/>
  <c r="A62" i="72"/>
  <c r="A10" i="72"/>
  <c r="B15" i="72"/>
  <c r="B11" i="72"/>
  <c r="B21" i="72"/>
  <c r="B31" i="72"/>
  <c r="B50" i="72"/>
  <c r="B68" i="72"/>
  <c r="B39" i="72"/>
  <c r="B16" i="72"/>
  <c r="B73" i="72"/>
  <c r="B62" i="72"/>
  <c r="B10" i="72"/>
  <c r="D15" i="72" a="1"/>
  <c r="D15" i="72" s="1"/>
  <c r="D11" i="72" a="1"/>
  <c r="D11" i="72" s="1"/>
  <c r="D21" i="72" a="1"/>
  <c r="D21" i="72" s="1"/>
  <c r="D31" i="72" a="1"/>
  <c r="D31" i="72" s="1"/>
  <c r="D50" i="72" a="1"/>
  <c r="D50" i="72" s="1"/>
  <c r="D68" i="72" a="1"/>
  <c r="D68" i="72" s="1"/>
  <c r="D39" i="72" a="1"/>
  <c r="D39" i="72" s="1"/>
  <c r="D16" i="72" a="1"/>
  <c r="D16" i="72" s="1"/>
  <c r="D73" i="72" a="1"/>
  <c r="D73" i="72" s="1"/>
  <c r="D62" i="72" a="1"/>
  <c r="D62" i="72" s="1"/>
  <c r="D10" i="72" a="1"/>
  <c r="D10" i="72" s="1"/>
  <c r="E15" i="72"/>
  <c r="E11" i="72"/>
  <c r="E21" i="72"/>
  <c r="E31" i="72"/>
  <c r="E50" i="72"/>
  <c r="E68" i="72"/>
  <c r="E39" i="72"/>
  <c r="E16" i="72"/>
  <c r="E73" i="72"/>
  <c r="E62" i="72"/>
  <c r="E10" i="72"/>
  <c r="G15" i="72"/>
  <c r="G11" i="72"/>
  <c r="G21" i="72"/>
  <c r="G31" i="72"/>
  <c r="G50" i="72"/>
  <c r="G68" i="72"/>
  <c r="G39" i="72"/>
  <c r="G16" i="72"/>
  <c r="G73" i="72"/>
  <c r="G62" i="72"/>
  <c r="G10" i="72"/>
  <c r="H15" i="72"/>
  <c r="H11" i="72"/>
  <c r="H21" i="72"/>
  <c r="H31" i="72"/>
  <c r="H50" i="72"/>
  <c r="H68" i="72"/>
  <c r="H39" i="72"/>
  <c r="H16" i="72"/>
  <c r="H73" i="72"/>
  <c r="H62" i="72"/>
  <c r="H10" i="72"/>
  <c r="I15" i="72"/>
  <c r="I11" i="72"/>
  <c r="I21" i="72"/>
  <c r="I31" i="72"/>
  <c r="I50" i="72"/>
  <c r="I68" i="72"/>
  <c r="I39" i="72"/>
  <c r="I16" i="72"/>
  <c r="I73" i="72"/>
  <c r="I62" i="72"/>
  <c r="I10" i="72"/>
  <c r="K15" i="72"/>
  <c r="K11" i="72"/>
  <c r="K21" i="72"/>
  <c r="K31" i="72"/>
  <c r="K50" i="72"/>
  <c r="K68" i="72"/>
  <c r="K39" i="72"/>
  <c r="K16" i="72"/>
  <c r="K73" i="72"/>
  <c r="K62" i="72"/>
  <c r="K10" i="72"/>
  <c r="L15" i="72"/>
  <c r="L11" i="72"/>
  <c r="L21" i="72"/>
  <c r="L31" i="72"/>
  <c r="L50" i="72"/>
  <c r="L68" i="72"/>
  <c r="L39" i="72"/>
  <c r="L16" i="72"/>
  <c r="L73" i="72"/>
  <c r="L62" i="72"/>
  <c r="L10" i="72"/>
  <c r="A4" i="119"/>
  <c r="A5" i="119"/>
  <c r="A6" i="119"/>
  <c r="A7" i="119"/>
  <c r="A8" i="119"/>
  <c r="A9" i="119"/>
  <c r="A10" i="119"/>
  <c r="A11" i="119"/>
  <c r="A12" i="119"/>
  <c r="A13" i="119"/>
  <c r="A14" i="119"/>
  <c r="A15" i="119"/>
  <c r="A16" i="119"/>
  <c r="A17" i="119"/>
  <c r="A18" i="119"/>
  <c r="A19" i="119"/>
  <c r="A20" i="119"/>
  <c r="A21" i="119"/>
  <c r="A22" i="119"/>
  <c r="A23" i="119"/>
  <c r="A24" i="119"/>
  <c r="A25" i="119"/>
  <c r="A26" i="119"/>
  <c r="A27" i="119"/>
  <c r="A28" i="119"/>
  <c r="A29" i="119"/>
  <c r="A30" i="119"/>
  <c r="A31" i="119"/>
  <c r="A32" i="119"/>
  <c r="A33" i="119"/>
  <c r="A34" i="119"/>
  <c r="A35" i="119"/>
  <c r="A36" i="119"/>
  <c r="A37" i="119"/>
  <c r="A38" i="119"/>
  <c r="A39" i="119"/>
  <c r="A40" i="119"/>
  <c r="A41" i="119"/>
  <c r="A42" i="119"/>
  <c r="A43" i="119"/>
  <c r="A44" i="119"/>
  <c r="A45" i="119"/>
  <c r="A46" i="119"/>
  <c r="A47" i="119"/>
  <c r="A48" i="119"/>
  <c r="A49" i="119"/>
  <c r="A50" i="119"/>
  <c r="A51" i="119"/>
  <c r="A52" i="119"/>
  <c r="A53" i="119"/>
  <c r="A54" i="119"/>
  <c r="A55" i="119"/>
  <c r="A56" i="119"/>
  <c r="A57" i="119"/>
  <c r="A58" i="119"/>
  <c r="A59" i="119"/>
  <c r="A60" i="119"/>
  <c r="A61" i="119"/>
  <c r="A62" i="119"/>
  <c r="A63" i="119"/>
  <c r="A64" i="119"/>
  <c r="A65" i="119"/>
  <c r="A66" i="119"/>
  <c r="A67" i="119"/>
  <c r="A68" i="119"/>
  <c r="A69" i="119"/>
  <c r="A70" i="119"/>
  <c r="A71" i="119"/>
  <c r="A72" i="119"/>
  <c r="A73" i="119"/>
  <c r="B4" i="119"/>
  <c r="B5" i="119"/>
  <c r="B6" i="119"/>
  <c r="B7" i="119"/>
  <c r="B8" i="119"/>
  <c r="B9" i="119"/>
  <c r="B10" i="119"/>
  <c r="B11" i="119"/>
  <c r="B12" i="119"/>
  <c r="B13" i="119"/>
  <c r="B14" i="119"/>
  <c r="B15" i="119"/>
  <c r="B16" i="119"/>
  <c r="B17" i="119"/>
  <c r="B18" i="119"/>
  <c r="B19" i="119"/>
  <c r="B20" i="119"/>
  <c r="B21" i="119"/>
  <c r="B22" i="119"/>
  <c r="B23" i="119"/>
  <c r="B24" i="119"/>
  <c r="B25" i="119"/>
  <c r="B26" i="119"/>
  <c r="B27" i="119"/>
  <c r="B28" i="119"/>
  <c r="B29" i="119"/>
  <c r="B30" i="119"/>
  <c r="B31" i="119"/>
  <c r="B32" i="119"/>
  <c r="B33" i="119"/>
  <c r="B34" i="119"/>
  <c r="B35" i="119"/>
  <c r="B36" i="119"/>
  <c r="B37" i="119"/>
  <c r="B38" i="119"/>
  <c r="B39" i="119"/>
  <c r="B40" i="119"/>
  <c r="B41" i="119"/>
  <c r="B42" i="119"/>
  <c r="B43" i="119"/>
  <c r="B44" i="119"/>
  <c r="B45" i="119"/>
  <c r="B46" i="119"/>
  <c r="B47" i="119"/>
  <c r="B48" i="119"/>
  <c r="B49" i="119"/>
  <c r="B50" i="119"/>
  <c r="B51" i="119"/>
  <c r="B52" i="119"/>
  <c r="B53" i="119"/>
  <c r="B54" i="119"/>
  <c r="B55" i="119"/>
  <c r="B56" i="119"/>
  <c r="B57" i="119"/>
  <c r="B58" i="119"/>
  <c r="B59" i="119"/>
  <c r="B60" i="119"/>
  <c r="B61" i="119"/>
  <c r="B62" i="119"/>
  <c r="B63" i="119"/>
  <c r="B64" i="119"/>
  <c r="B65" i="119"/>
  <c r="B66" i="119"/>
  <c r="B67" i="119"/>
  <c r="B68" i="119"/>
  <c r="B69" i="119"/>
  <c r="B70" i="119"/>
  <c r="B71" i="119"/>
  <c r="B72" i="119"/>
  <c r="B73" i="119"/>
  <c r="D4" i="119"/>
  <c r="D5" i="119"/>
  <c r="D6" i="119"/>
  <c r="D7" i="119"/>
  <c r="D8" i="119"/>
  <c r="D9" i="119"/>
  <c r="D10" i="119"/>
  <c r="D11" i="119"/>
  <c r="D12" i="119"/>
  <c r="D13" i="119"/>
  <c r="D14" i="119"/>
  <c r="D15" i="119"/>
  <c r="D16" i="119"/>
  <c r="D17" i="119"/>
  <c r="D18" i="119"/>
  <c r="D19" i="119"/>
  <c r="D20" i="119"/>
  <c r="D21" i="119"/>
  <c r="D22" i="119"/>
  <c r="D23" i="119"/>
  <c r="D24" i="119"/>
  <c r="D25" i="119"/>
  <c r="D26" i="119"/>
  <c r="D27" i="119"/>
  <c r="D28" i="119"/>
  <c r="D29" i="119"/>
  <c r="D30" i="119"/>
  <c r="D31" i="119"/>
  <c r="D32" i="119"/>
  <c r="D33" i="119"/>
  <c r="D34" i="119"/>
  <c r="D35" i="119"/>
  <c r="D36" i="119"/>
  <c r="D37" i="119"/>
  <c r="D38" i="119"/>
  <c r="D39" i="119"/>
  <c r="D40" i="119"/>
  <c r="D41" i="119"/>
  <c r="D42" i="119"/>
  <c r="D43" i="119"/>
  <c r="D44" i="119"/>
  <c r="D45" i="119"/>
  <c r="D46" i="119"/>
  <c r="D47" i="119"/>
  <c r="D48" i="119"/>
  <c r="D49" i="119"/>
  <c r="D50" i="119"/>
  <c r="D51" i="119"/>
  <c r="D52" i="119"/>
  <c r="D53" i="119"/>
  <c r="D54" i="119"/>
  <c r="D55" i="119"/>
  <c r="D56" i="119"/>
  <c r="D57" i="119"/>
  <c r="D58" i="119"/>
  <c r="D59" i="119"/>
  <c r="D60" i="119"/>
  <c r="D61" i="119"/>
  <c r="D62" i="119"/>
  <c r="D63" i="119"/>
  <c r="D64" i="119"/>
  <c r="D65" i="119"/>
  <c r="D66" i="119"/>
  <c r="D67" i="119"/>
  <c r="D68" i="119"/>
  <c r="D69" i="119"/>
  <c r="D70" i="119"/>
  <c r="D71" i="119"/>
  <c r="D72" i="119"/>
  <c r="D73" i="119"/>
  <c r="E4" i="119" a="1"/>
  <c r="E4" i="119" s="1"/>
  <c r="E5" i="119" a="1"/>
  <c r="E5" i="119" s="1"/>
  <c r="E6" i="119" a="1"/>
  <c r="E6" i="119" s="1"/>
  <c r="E7" i="119" a="1"/>
  <c r="E7" i="119" s="1"/>
  <c r="E8" i="119" a="1"/>
  <c r="E8" i="119" s="1"/>
  <c r="E9" i="119" a="1"/>
  <c r="E9" i="119" s="1"/>
  <c r="E10" i="119" a="1"/>
  <c r="E10" i="119" s="1"/>
  <c r="E11" i="119" a="1"/>
  <c r="E11" i="119" s="1"/>
  <c r="E12" i="119" a="1"/>
  <c r="E12" i="119" s="1"/>
  <c r="E13" i="119" a="1"/>
  <c r="E13" i="119" s="1"/>
  <c r="E14" i="119" a="1"/>
  <c r="E14" i="119" s="1"/>
  <c r="E15" i="119" a="1"/>
  <c r="E15" i="119" s="1"/>
  <c r="E16" i="119" a="1"/>
  <c r="E16" i="119" s="1"/>
  <c r="E17" i="119" a="1"/>
  <c r="E17" i="119" s="1"/>
  <c r="E18" i="119" a="1"/>
  <c r="E18" i="119" s="1"/>
  <c r="E19" i="119" a="1"/>
  <c r="E19" i="119" s="1"/>
  <c r="E20" i="119" a="1"/>
  <c r="E20" i="119" s="1"/>
  <c r="E21" i="119" a="1"/>
  <c r="E21" i="119" s="1"/>
  <c r="E22" i="119" a="1"/>
  <c r="E22" i="119" s="1"/>
  <c r="E23" i="119" a="1"/>
  <c r="E23" i="119" s="1"/>
  <c r="E24" i="119" a="1"/>
  <c r="E24" i="119" s="1"/>
  <c r="E25" i="119" a="1"/>
  <c r="E25" i="119" s="1"/>
  <c r="E26" i="119" a="1"/>
  <c r="E26" i="119" s="1"/>
  <c r="E27" i="119" a="1"/>
  <c r="E27" i="119" s="1"/>
  <c r="E28" i="119" a="1"/>
  <c r="E28" i="119" s="1"/>
  <c r="E29" i="119" a="1"/>
  <c r="E29" i="119" s="1"/>
  <c r="E30" i="119" a="1"/>
  <c r="E30" i="119" s="1"/>
  <c r="E31" i="119" a="1"/>
  <c r="E31" i="119" s="1"/>
  <c r="E32" i="119" a="1"/>
  <c r="E32" i="119" s="1"/>
  <c r="E33" i="119" a="1"/>
  <c r="E33" i="119" s="1"/>
  <c r="E34" i="119" a="1"/>
  <c r="E34" i="119" s="1"/>
  <c r="E35" i="119" a="1"/>
  <c r="E35" i="119" s="1"/>
  <c r="E36" i="119" a="1"/>
  <c r="E36" i="119" s="1"/>
  <c r="E37" i="119" a="1"/>
  <c r="E37" i="119" s="1"/>
  <c r="E38" i="119" a="1"/>
  <c r="E38" i="119" s="1"/>
  <c r="E39" i="119" a="1"/>
  <c r="E39" i="119" s="1"/>
  <c r="E40" i="119" a="1"/>
  <c r="E40" i="119" s="1"/>
  <c r="E41" i="119" a="1"/>
  <c r="E41" i="119" s="1"/>
  <c r="E42" i="119" a="1"/>
  <c r="E42" i="119" s="1"/>
  <c r="E43" i="119" a="1"/>
  <c r="E43" i="119" s="1"/>
  <c r="E44" i="119" a="1"/>
  <c r="E44" i="119" s="1"/>
  <c r="E45" i="119" a="1"/>
  <c r="E45" i="119" s="1"/>
  <c r="E46" i="119" a="1"/>
  <c r="E46" i="119" s="1"/>
  <c r="E47" i="119" a="1"/>
  <c r="E47" i="119" s="1"/>
  <c r="E48" i="119" a="1"/>
  <c r="E48" i="119" s="1"/>
  <c r="E49" i="119" a="1"/>
  <c r="E49" i="119" s="1"/>
  <c r="E50" i="119" a="1"/>
  <c r="E50" i="119" s="1"/>
  <c r="E51" i="119" a="1"/>
  <c r="E51" i="119" s="1"/>
  <c r="E52" i="119" a="1"/>
  <c r="E52" i="119" s="1"/>
  <c r="E53" i="119" a="1"/>
  <c r="E53" i="119" s="1"/>
  <c r="E54" i="119" a="1"/>
  <c r="E54" i="119" s="1"/>
  <c r="E55" i="119" a="1"/>
  <c r="E55" i="119" s="1"/>
  <c r="E56" i="119" a="1"/>
  <c r="E56" i="119" s="1"/>
  <c r="E57" i="119" a="1"/>
  <c r="E57" i="119" s="1"/>
  <c r="E58" i="119" a="1"/>
  <c r="E58" i="119" s="1"/>
  <c r="E59" i="119" a="1"/>
  <c r="E59" i="119" s="1"/>
  <c r="E60" i="119" a="1"/>
  <c r="E60" i="119" s="1"/>
  <c r="E61" i="119" a="1"/>
  <c r="E61" i="119" s="1"/>
  <c r="E62" i="119" a="1"/>
  <c r="E62" i="119" s="1"/>
  <c r="E63" i="119" a="1"/>
  <c r="E63" i="119" s="1"/>
  <c r="E64" i="119" a="1"/>
  <c r="E64" i="119" s="1"/>
  <c r="E65" i="119" a="1"/>
  <c r="E65" i="119" s="1"/>
  <c r="E66" i="119" a="1"/>
  <c r="E66" i="119" s="1"/>
  <c r="E67" i="119" a="1"/>
  <c r="E67" i="119" s="1"/>
  <c r="E68" i="119" a="1"/>
  <c r="E68" i="119" s="1"/>
  <c r="E69" i="119" a="1"/>
  <c r="E69" i="119" s="1"/>
  <c r="E70" i="119" a="1"/>
  <c r="E70" i="119" s="1"/>
  <c r="E71" i="119" a="1"/>
  <c r="E71" i="119" s="1"/>
  <c r="E72" i="119" a="1"/>
  <c r="E72" i="119" s="1"/>
  <c r="E73" i="119" a="1"/>
  <c r="E73" i="119" s="1"/>
  <c r="F4" i="119"/>
  <c r="F5" i="119"/>
  <c r="F6" i="119"/>
  <c r="F7" i="119"/>
  <c r="F8" i="119"/>
  <c r="F9" i="119"/>
  <c r="F10" i="119"/>
  <c r="F11" i="119"/>
  <c r="F12" i="119"/>
  <c r="F13" i="119"/>
  <c r="F14" i="119"/>
  <c r="F15" i="119"/>
  <c r="F16" i="119"/>
  <c r="F17" i="119"/>
  <c r="F18" i="119"/>
  <c r="F19" i="119"/>
  <c r="F20" i="119"/>
  <c r="F21" i="119"/>
  <c r="F22" i="119"/>
  <c r="F23" i="119"/>
  <c r="F24" i="119"/>
  <c r="F25" i="119"/>
  <c r="F26" i="119"/>
  <c r="F27" i="119"/>
  <c r="F28" i="119"/>
  <c r="F29" i="119"/>
  <c r="F30" i="119"/>
  <c r="F31" i="119"/>
  <c r="F32" i="119"/>
  <c r="F33" i="119"/>
  <c r="F34" i="119"/>
  <c r="F35" i="119"/>
  <c r="F36" i="119"/>
  <c r="F37" i="119"/>
  <c r="F38" i="119"/>
  <c r="F39" i="119"/>
  <c r="F40" i="119"/>
  <c r="F41" i="119"/>
  <c r="F42" i="119"/>
  <c r="F43" i="119"/>
  <c r="F44" i="119"/>
  <c r="F45" i="119"/>
  <c r="F46" i="119"/>
  <c r="F47" i="119"/>
  <c r="F48" i="119"/>
  <c r="F49" i="119"/>
  <c r="F50" i="119"/>
  <c r="F51" i="119"/>
  <c r="F52" i="119"/>
  <c r="F53" i="119"/>
  <c r="F54" i="119"/>
  <c r="F55" i="119"/>
  <c r="F56" i="119"/>
  <c r="F57" i="119"/>
  <c r="F58" i="119"/>
  <c r="F59" i="119"/>
  <c r="F60" i="119"/>
  <c r="F61" i="119"/>
  <c r="F62" i="119"/>
  <c r="F63" i="119"/>
  <c r="F64" i="119"/>
  <c r="F65" i="119"/>
  <c r="F66" i="119"/>
  <c r="F67" i="119"/>
  <c r="F68" i="119"/>
  <c r="F69" i="119"/>
  <c r="F70" i="119"/>
  <c r="F71" i="119"/>
  <c r="F72" i="119"/>
  <c r="F73" i="119"/>
  <c r="G4" i="119"/>
  <c r="G5" i="119"/>
  <c r="G6" i="119"/>
  <c r="G7" i="119"/>
  <c r="G8" i="119"/>
  <c r="G9" i="119"/>
  <c r="G10" i="119"/>
  <c r="G11" i="119"/>
  <c r="G12" i="119"/>
  <c r="G13" i="119"/>
  <c r="G14" i="119"/>
  <c r="G15" i="119"/>
  <c r="G16" i="119"/>
  <c r="G17" i="119"/>
  <c r="G18" i="119"/>
  <c r="G19" i="119"/>
  <c r="G20" i="119"/>
  <c r="G21" i="119"/>
  <c r="G22" i="119"/>
  <c r="G23" i="119"/>
  <c r="G24" i="119"/>
  <c r="G25" i="119"/>
  <c r="G26" i="119"/>
  <c r="G27" i="119"/>
  <c r="G28" i="119"/>
  <c r="G29" i="119"/>
  <c r="G30" i="119"/>
  <c r="G31" i="119"/>
  <c r="G32" i="119"/>
  <c r="G33" i="119"/>
  <c r="G34" i="119"/>
  <c r="G35" i="119"/>
  <c r="G36" i="119"/>
  <c r="G37" i="119"/>
  <c r="G38" i="119"/>
  <c r="G39" i="119"/>
  <c r="G40" i="119"/>
  <c r="G41" i="119"/>
  <c r="G42" i="119"/>
  <c r="G43" i="119"/>
  <c r="G44" i="119"/>
  <c r="G45" i="119"/>
  <c r="G46" i="119"/>
  <c r="G47" i="119"/>
  <c r="G48" i="119"/>
  <c r="G49" i="119"/>
  <c r="G50" i="119"/>
  <c r="G51" i="119"/>
  <c r="G52" i="119"/>
  <c r="G53" i="119"/>
  <c r="G54" i="119"/>
  <c r="G55" i="119"/>
  <c r="G56" i="119"/>
  <c r="G57" i="119"/>
  <c r="G58" i="119"/>
  <c r="G59" i="119"/>
  <c r="G60" i="119"/>
  <c r="G61" i="119"/>
  <c r="G62" i="119"/>
  <c r="G63" i="119"/>
  <c r="G64" i="119"/>
  <c r="G65" i="119"/>
  <c r="G66" i="119"/>
  <c r="G67" i="119"/>
  <c r="G68" i="119"/>
  <c r="G69" i="119"/>
  <c r="G70" i="119"/>
  <c r="G71" i="119"/>
  <c r="G72" i="119"/>
  <c r="G73" i="119"/>
  <c r="I4" i="119"/>
  <c r="I5" i="119"/>
  <c r="I6" i="119"/>
  <c r="I7" i="119"/>
  <c r="I8" i="119"/>
  <c r="I9" i="119"/>
  <c r="I10" i="119"/>
  <c r="I11" i="119"/>
  <c r="I12" i="119"/>
  <c r="I13" i="119"/>
  <c r="I14" i="119"/>
  <c r="I15" i="119"/>
  <c r="I16" i="119"/>
  <c r="I17" i="119"/>
  <c r="I18" i="119"/>
  <c r="I19" i="119"/>
  <c r="I20" i="119"/>
  <c r="I21" i="119"/>
  <c r="I22" i="119"/>
  <c r="I23" i="119"/>
  <c r="I24" i="119"/>
  <c r="I25" i="119"/>
  <c r="I26" i="119"/>
  <c r="I27" i="119"/>
  <c r="I28" i="119"/>
  <c r="I29" i="119"/>
  <c r="I30" i="119"/>
  <c r="I31" i="119"/>
  <c r="I32" i="119"/>
  <c r="I33" i="119"/>
  <c r="I34" i="119"/>
  <c r="I35" i="119"/>
  <c r="I36" i="119"/>
  <c r="I37" i="119"/>
  <c r="I38" i="119"/>
  <c r="I39" i="119"/>
  <c r="I40" i="119"/>
  <c r="I41" i="119"/>
  <c r="I42" i="119"/>
  <c r="I43" i="119"/>
  <c r="I44" i="119"/>
  <c r="I45" i="119"/>
  <c r="I46" i="119"/>
  <c r="I47" i="119"/>
  <c r="I48" i="119"/>
  <c r="I49" i="119"/>
  <c r="I50" i="119"/>
  <c r="I51" i="119"/>
  <c r="I52" i="119"/>
  <c r="I53" i="119"/>
  <c r="I54" i="119"/>
  <c r="I55" i="119"/>
  <c r="I56" i="119"/>
  <c r="I57" i="119"/>
  <c r="I58" i="119"/>
  <c r="I59" i="119"/>
  <c r="I60" i="119"/>
  <c r="I61" i="119"/>
  <c r="I62" i="119"/>
  <c r="I63" i="119"/>
  <c r="I64" i="119"/>
  <c r="I65" i="119"/>
  <c r="I66" i="119"/>
  <c r="I67" i="119"/>
  <c r="I68" i="119"/>
  <c r="I69" i="119"/>
  <c r="I70" i="119"/>
  <c r="I71" i="119"/>
  <c r="I72" i="119"/>
  <c r="I73" i="119"/>
  <c r="J4" i="119"/>
  <c r="J5" i="119"/>
  <c r="J6" i="119"/>
  <c r="J7" i="119"/>
  <c r="J8" i="119"/>
  <c r="J9" i="119"/>
  <c r="J10" i="119"/>
  <c r="J11" i="119"/>
  <c r="J12" i="119"/>
  <c r="J13" i="119"/>
  <c r="J14" i="119"/>
  <c r="J15" i="119"/>
  <c r="J16" i="119"/>
  <c r="J17" i="119"/>
  <c r="J18" i="119"/>
  <c r="J19" i="119"/>
  <c r="J20" i="119"/>
  <c r="J21" i="119"/>
  <c r="J22" i="119"/>
  <c r="J23" i="119"/>
  <c r="J24" i="119"/>
  <c r="J25" i="119"/>
  <c r="J26" i="119"/>
  <c r="J27" i="119"/>
  <c r="J28" i="119"/>
  <c r="J29" i="119"/>
  <c r="J30" i="119"/>
  <c r="J31" i="119"/>
  <c r="J32" i="119"/>
  <c r="J33" i="119"/>
  <c r="J34" i="119"/>
  <c r="J35" i="119"/>
  <c r="J36" i="119"/>
  <c r="J37" i="119"/>
  <c r="J38" i="119"/>
  <c r="J39" i="119"/>
  <c r="J40" i="119"/>
  <c r="J41" i="119"/>
  <c r="J42" i="119"/>
  <c r="J43" i="119"/>
  <c r="J44" i="119"/>
  <c r="J45" i="119"/>
  <c r="J46" i="119"/>
  <c r="J47" i="119"/>
  <c r="J48" i="119"/>
  <c r="J49" i="119"/>
  <c r="J50" i="119"/>
  <c r="J51" i="119"/>
  <c r="J52" i="119"/>
  <c r="J53" i="119"/>
  <c r="J54" i="119"/>
  <c r="J55" i="119"/>
  <c r="J56" i="119"/>
  <c r="J57" i="119"/>
  <c r="J58" i="119"/>
  <c r="J59" i="119"/>
  <c r="J60" i="119"/>
  <c r="J61" i="119"/>
  <c r="J62" i="119"/>
  <c r="J63" i="119"/>
  <c r="J64" i="119"/>
  <c r="J65" i="119"/>
  <c r="J66" i="119"/>
  <c r="J67" i="119"/>
  <c r="J68" i="119"/>
  <c r="J69" i="119"/>
  <c r="J70" i="119"/>
  <c r="J71" i="119"/>
  <c r="J72" i="119"/>
  <c r="J73" i="119"/>
  <c r="K4" i="119"/>
  <c r="K5" i="119"/>
  <c r="K6" i="119"/>
  <c r="K7" i="119"/>
  <c r="K8" i="119"/>
  <c r="K9" i="119"/>
  <c r="K10" i="119"/>
  <c r="K11" i="119"/>
  <c r="K12" i="119"/>
  <c r="K13" i="119"/>
  <c r="K14" i="119"/>
  <c r="K15" i="119"/>
  <c r="K16" i="119"/>
  <c r="K17" i="119"/>
  <c r="K18" i="119"/>
  <c r="K19" i="119"/>
  <c r="K20" i="119"/>
  <c r="K21" i="119"/>
  <c r="K22" i="119"/>
  <c r="K23" i="119"/>
  <c r="K24" i="119"/>
  <c r="K25" i="119"/>
  <c r="K26" i="119"/>
  <c r="K27" i="119"/>
  <c r="K28" i="119"/>
  <c r="K29" i="119"/>
  <c r="K30" i="119"/>
  <c r="K31" i="119"/>
  <c r="K32" i="119"/>
  <c r="K33" i="119"/>
  <c r="K34" i="119"/>
  <c r="K35" i="119"/>
  <c r="K36" i="119"/>
  <c r="K37" i="119"/>
  <c r="K38" i="119"/>
  <c r="K39" i="119"/>
  <c r="K40" i="119"/>
  <c r="K41" i="119"/>
  <c r="K42" i="119"/>
  <c r="K43" i="119"/>
  <c r="K44" i="119"/>
  <c r="K45" i="119"/>
  <c r="K46" i="119"/>
  <c r="K47" i="119"/>
  <c r="K48" i="119"/>
  <c r="K49" i="119"/>
  <c r="K50" i="119"/>
  <c r="K51" i="119"/>
  <c r="K52" i="119"/>
  <c r="K53" i="119"/>
  <c r="K54" i="119"/>
  <c r="K55" i="119"/>
  <c r="K56" i="119"/>
  <c r="K57" i="119"/>
  <c r="K58" i="119"/>
  <c r="K59" i="119"/>
  <c r="K60" i="119"/>
  <c r="K61" i="119"/>
  <c r="K62" i="119"/>
  <c r="K63" i="119"/>
  <c r="K64" i="119"/>
  <c r="K65" i="119"/>
  <c r="K66" i="119"/>
  <c r="K67" i="119"/>
  <c r="K68" i="119"/>
  <c r="K69" i="119"/>
  <c r="K70" i="119"/>
  <c r="K71" i="119"/>
  <c r="K72" i="119"/>
  <c r="K73" i="119"/>
  <c r="M4" i="119"/>
  <c r="M5" i="119"/>
  <c r="M6" i="119"/>
  <c r="M7" i="119"/>
  <c r="M8" i="119"/>
  <c r="M9" i="119"/>
  <c r="M10" i="119"/>
  <c r="M11" i="119"/>
  <c r="M12" i="119"/>
  <c r="M13" i="119"/>
  <c r="M14" i="119"/>
  <c r="M15" i="119"/>
  <c r="M16" i="119"/>
  <c r="M17" i="119"/>
  <c r="M18" i="119"/>
  <c r="M19" i="119"/>
  <c r="M20" i="119"/>
  <c r="M21" i="119"/>
  <c r="M22" i="119"/>
  <c r="M23" i="119"/>
  <c r="M24" i="119"/>
  <c r="M25" i="119"/>
  <c r="M26" i="119"/>
  <c r="M27" i="119"/>
  <c r="M28" i="119"/>
  <c r="M29" i="119"/>
  <c r="M30" i="119"/>
  <c r="M31" i="119"/>
  <c r="M32" i="119"/>
  <c r="M33" i="119"/>
  <c r="M34" i="119"/>
  <c r="M35" i="119"/>
  <c r="M36" i="119"/>
  <c r="M37" i="119"/>
  <c r="M38" i="119"/>
  <c r="M39" i="119"/>
  <c r="M40" i="119"/>
  <c r="M41" i="119"/>
  <c r="M42" i="119"/>
  <c r="M43" i="119"/>
  <c r="M44" i="119"/>
  <c r="M45" i="119"/>
  <c r="M46" i="119"/>
  <c r="M47" i="119"/>
  <c r="M48" i="119"/>
  <c r="M49" i="119"/>
  <c r="M50" i="119"/>
  <c r="M51" i="119"/>
  <c r="M52" i="119"/>
  <c r="M53" i="119"/>
  <c r="M54" i="119"/>
  <c r="M55" i="119"/>
  <c r="M56" i="119"/>
  <c r="M57" i="119"/>
  <c r="M58" i="119"/>
  <c r="M59" i="119"/>
  <c r="M60" i="119"/>
  <c r="M61" i="119"/>
  <c r="M62" i="119"/>
  <c r="M63" i="119"/>
  <c r="M64" i="119"/>
  <c r="M65" i="119"/>
  <c r="M66" i="119"/>
  <c r="M67" i="119"/>
  <c r="M68" i="119"/>
  <c r="M69" i="119"/>
  <c r="M70" i="119"/>
  <c r="M71" i="119"/>
  <c r="M72" i="119"/>
  <c r="M73" i="119"/>
  <c r="N4" i="119"/>
  <c r="N5" i="119"/>
  <c r="N6" i="119"/>
  <c r="N7" i="119"/>
  <c r="N8" i="119"/>
  <c r="N9" i="119"/>
  <c r="N10" i="119"/>
  <c r="N11" i="119"/>
  <c r="N12" i="119"/>
  <c r="N13" i="119"/>
  <c r="N14" i="119"/>
  <c r="N15" i="119"/>
  <c r="N16" i="119"/>
  <c r="N17" i="119"/>
  <c r="N18" i="119"/>
  <c r="N19" i="119"/>
  <c r="N20" i="119"/>
  <c r="N21" i="119"/>
  <c r="N22" i="119"/>
  <c r="N23" i="119"/>
  <c r="N24" i="119"/>
  <c r="N25" i="119"/>
  <c r="N26" i="119"/>
  <c r="N27" i="119"/>
  <c r="N28" i="119"/>
  <c r="N29" i="119"/>
  <c r="N30" i="119"/>
  <c r="N31" i="119"/>
  <c r="N32" i="119"/>
  <c r="N33" i="119"/>
  <c r="N34" i="119"/>
  <c r="N35" i="119"/>
  <c r="N36" i="119"/>
  <c r="N37" i="119"/>
  <c r="N38" i="119"/>
  <c r="N39" i="119"/>
  <c r="N40" i="119"/>
  <c r="N41" i="119"/>
  <c r="N42" i="119"/>
  <c r="N43" i="119"/>
  <c r="N44" i="119"/>
  <c r="N45" i="119"/>
  <c r="N46" i="119"/>
  <c r="N47" i="119"/>
  <c r="N48" i="119"/>
  <c r="N49" i="119"/>
  <c r="N50" i="119"/>
  <c r="N51" i="119"/>
  <c r="N52" i="119"/>
  <c r="N53" i="119"/>
  <c r="N54" i="119"/>
  <c r="N55" i="119"/>
  <c r="N56" i="119"/>
  <c r="N57" i="119"/>
  <c r="N58" i="119"/>
  <c r="N59" i="119"/>
  <c r="N60" i="119"/>
  <c r="N61" i="119"/>
  <c r="N62" i="119"/>
  <c r="N63" i="119"/>
  <c r="N64" i="119"/>
  <c r="N65" i="119"/>
  <c r="N66" i="119"/>
  <c r="N67" i="119"/>
  <c r="N68" i="119"/>
  <c r="N69" i="119"/>
  <c r="N70" i="119"/>
  <c r="N71" i="119"/>
  <c r="N72" i="119"/>
  <c r="N73" i="119"/>
  <c r="O4" i="119"/>
  <c r="O5" i="119"/>
  <c r="O6" i="119"/>
  <c r="O7" i="119"/>
  <c r="O8" i="119"/>
  <c r="O9" i="119"/>
  <c r="O10" i="119"/>
  <c r="O11" i="119"/>
  <c r="O12" i="119"/>
  <c r="O13" i="119"/>
  <c r="O14" i="119"/>
  <c r="O15" i="119"/>
  <c r="O16" i="119"/>
  <c r="O17" i="119"/>
  <c r="O18" i="119"/>
  <c r="O19" i="119"/>
  <c r="O20" i="119"/>
  <c r="O21" i="119"/>
  <c r="O22" i="119"/>
  <c r="O23" i="119"/>
  <c r="O24" i="119"/>
  <c r="O25" i="119"/>
  <c r="O26" i="119"/>
  <c r="O27" i="119"/>
  <c r="O28" i="119"/>
  <c r="O29" i="119"/>
  <c r="O30" i="119"/>
  <c r="O31" i="119"/>
  <c r="O32" i="119"/>
  <c r="O33" i="119"/>
  <c r="O34" i="119"/>
  <c r="O35" i="119"/>
  <c r="O36" i="119"/>
  <c r="O37" i="119"/>
  <c r="O38" i="119"/>
  <c r="O39" i="119"/>
  <c r="O40" i="119"/>
  <c r="O41" i="119"/>
  <c r="O42" i="119"/>
  <c r="O43" i="119"/>
  <c r="O44" i="119"/>
  <c r="O45" i="119"/>
  <c r="O46" i="119"/>
  <c r="O47" i="119"/>
  <c r="O48" i="119"/>
  <c r="O49" i="119"/>
  <c r="O50" i="119"/>
  <c r="O51" i="119"/>
  <c r="O52" i="119"/>
  <c r="O53" i="119"/>
  <c r="O54" i="119"/>
  <c r="O55" i="119"/>
  <c r="O56" i="119"/>
  <c r="O57" i="119"/>
  <c r="O58" i="119"/>
  <c r="O59" i="119"/>
  <c r="O60" i="119"/>
  <c r="O61" i="119"/>
  <c r="O62" i="119"/>
  <c r="O63" i="119"/>
  <c r="O64" i="119"/>
  <c r="O65" i="119"/>
  <c r="O66" i="119"/>
  <c r="O67" i="119"/>
  <c r="O68" i="119"/>
  <c r="O69" i="119"/>
  <c r="O70" i="119"/>
  <c r="O71" i="119"/>
  <c r="O72" i="119"/>
  <c r="O73" i="119"/>
  <c r="A397" i="69"/>
  <c r="A398" i="69"/>
  <c r="A399" i="69"/>
  <c r="A400" i="69"/>
  <c r="A401" i="69"/>
  <c r="A402" i="69"/>
  <c r="C397" i="69"/>
  <c r="C398" i="69"/>
  <c r="C399" i="69"/>
  <c r="C400" i="69"/>
  <c r="C401" i="69"/>
  <c r="C402" i="69"/>
  <c r="G397" i="69"/>
  <c r="G398" i="69"/>
  <c r="G399" i="69"/>
  <c r="G400" i="69"/>
  <c r="G401" i="69"/>
  <c r="G402" i="69"/>
  <c r="K397" i="69"/>
  <c r="K398" i="69"/>
  <c r="K399" i="69"/>
  <c r="K400" i="69"/>
  <c r="K401" i="69"/>
  <c r="K402" i="69"/>
  <c r="L397" i="69" a="1"/>
  <c r="L397" i="69" s="1"/>
  <c r="L398" i="69" a="1"/>
  <c r="L398" i="69" s="1"/>
  <c r="L399" i="69" a="1"/>
  <c r="L399" i="69" s="1"/>
  <c r="L400" i="69" a="1"/>
  <c r="L400" i="69" s="1"/>
  <c r="L401" i="69" a="1"/>
  <c r="L401" i="69" s="1"/>
  <c r="L402" i="69" a="1"/>
  <c r="L402" i="69" s="1"/>
  <c r="N397" i="69" a="1"/>
  <c r="N397" i="69" s="1"/>
  <c r="N398" i="69" a="1"/>
  <c r="N398" i="69" s="1"/>
  <c r="N399" i="69" a="1"/>
  <c r="N399" i="69" s="1"/>
  <c r="N400" i="69" a="1"/>
  <c r="N400" i="69" s="1"/>
  <c r="N401" i="69" a="1"/>
  <c r="N401" i="69" s="1"/>
  <c r="N402" i="69" a="1"/>
  <c r="N402" i="69" s="1"/>
  <c r="O397" i="69" a="1"/>
  <c r="O397" i="69" s="1"/>
  <c r="O398" i="69" a="1"/>
  <c r="O398" i="69" s="1"/>
  <c r="O399" i="69" a="1"/>
  <c r="O399" i="69" s="1"/>
  <c r="O400" i="69" a="1"/>
  <c r="O400" i="69" s="1"/>
  <c r="O401" i="69" a="1"/>
  <c r="O401" i="69" s="1"/>
  <c r="O402" i="69" a="1"/>
  <c r="O402" i="69" s="1"/>
  <c r="P397" i="69"/>
  <c r="P398" i="69"/>
  <c r="P399" i="69"/>
  <c r="P400" i="69"/>
  <c r="P401" i="69"/>
  <c r="P402" i="69"/>
  <c r="Q397" i="69"/>
  <c r="Q398" i="69"/>
  <c r="Q399" i="69"/>
  <c r="Q400" i="69"/>
  <c r="Q401" i="69"/>
  <c r="Q402" i="69"/>
  <c r="R397" i="69"/>
  <c r="R398" i="69"/>
  <c r="R399" i="69"/>
  <c r="R400" i="69"/>
  <c r="R401" i="69"/>
  <c r="R402" i="69"/>
  <c r="S397" i="69"/>
  <c r="S398" i="69"/>
  <c r="S399" i="69"/>
  <c r="S400" i="69"/>
  <c r="S401" i="69"/>
  <c r="S402" i="69"/>
  <c r="U397" i="69"/>
  <c r="U398" i="69"/>
  <c r="U399" i="69"/>
  <c r="U400" i="69"/>
  <c r="U401" i="69"/>
  <c r="U402" i="69"/>
  <c r="V397" i="69"/>
  <c r="V398" i="69"/>
  <c r="V399" i="69"/>
  <c r="V400" i="69"/>
  <c r="V401" i="69"/>
  <c r="V402" i="69"/>
  <c r="W397" i="69"/>
  <c r="W398" i="69"/>
  <c r="W399" i="69"/>
  <c r="W400" i="69"/>
  <c r="W401" i="69"/>
  <c r="W402" i="69"/>
  <c r="X397" i="69"/>
  <c r="X398" i="69"/>
  <c r="X399" i="69"/>
  <c r="X400" i="69"/>
  <c r="X401" i="69"/>
  <c r="X402" i="69"/>
  <c r="AG397" i="69"/>
  <c r="AF397" i="69" s="1"/>
  <c r="AG398" i="69"/>
  <c r="AF398" i="69" s="1"/>
  <c r="AG399" i="69"/>
  <c r="AF399" i="69" s="1"/>
  <c r="AG400" i="69"/>
  <c r="AF400" i="69" s="1"/>
  <c r="E400" i="69" s="1" a="1"/>
  <c r="E400" i="69" s="1"/>
  <c r="AG401" i="69"/>
  <c r="AF401" i="69" s="1"/>
  <c r="M401" i="69" s="1"/>
  <c r="AG402" i="69"/>
  <c r="AF402" i="69" s="1"/>
  <c r="E402" i="69" s="1" a="1"/>
  <c r="E402" i="69" s="1"/>
  <c r="AH397" i="69"/>
  <c r="F397" i="69" s="1" a="1"/>
  <c r="F397" i="69" s="1"/>
  <c r="AH398" i="69"/>
  <c r="AH399" i="69"/>
  <c r="AH400" i="69"/>
  <c r="F400" i="69" s="1" a="1"/>
  <c r="F400" i="69" s="1"/>
  <c r="AH401" i="69"/>
  <c r="H401" i="69" s="1"/>
  <c r="AH402" i="69"/>
  <c r="H402" i="69" s="1"/>
  <c r="A352" i="69"/>
  <c r="A353" i="69"/>
  <c r="A354" i="69"/>
  <c r="A355" i="69"/>
  <c r="A356" i="69"/>
  <c r="A357" i="69"/>
  <c r="A358" i="69"/>
  <c r="A359" i="69"/>
  <c r="A360" i="69"/>
  <c r="A361" i="69"/>
  <c r="A362" i="69"/>
  <c r="A363" i="69"/>
  <c r="A364" i="69"/>
  <c r="A365" i="69"/>
  <c r="A366" i="69"/>
  <c r="A367" i="69"/>
  <c r="A368" i="69"/>
  <c r="A369" i="69"/>
  <c r="A370" i="69"/>
  <c r="A371" i="69"/>
  <c r="A372" i="69"/>
  <c r="A373" i="69"/>
  <c r="A374" i="69"/>
  <c r="A375" i="69"/>
  <c r="A376" i="69"/>
  <c r="A377" i="69"/>
  <c r="A378" i="69"/>
  <c r="A379" i="69"/>
  <c r="A380" i="69"/>
  <c r="A381" i="69"/>
  <c r="A382" i="69"/>
  <c r="A383" i="69"/>
  <c r="A384" i="69"/>
  <c r="A385" i="69"/>
  <c r="A386" i="69"/>
  <c r="A387" i="69"/>
  <c r="A388" i="69"/>
  <c r="A389" i="69"/>
  <c r="A390" i="69"/>
  <c r="A391" i="69"/>
  <c r="A392" i="69"/>
  <c r="A393" i="69"/>
  <c r="A394" i="69"/>
  <c r="A395" i="69"/>
  <c r="A396" i="69"/>
  <c r="C352" i="69"/>
  <c r="C353" i="69"/>
  <c r="C354" i="69"/>
  <c r="C355" i="69"/>
  <c r="C356" i="69"/>
  <c r="C357" i="69"/>
  <c r="C358" i="69"/>
  <c r="C359" i="69"/>
  <c r="C360" i="69"/>
  <c r="C361" i="69"/>
  <c r="C362" i="69"/>
  <c r="C363" i="69"/>
  <c r="C364" i="69"/>
  <c r="C365" i="69"/>
  <c r="C366" i="69"/>
  <c r="C367" i="69"/>
  <c r="C368" i="69"/>
  <c r="C369" i="69"/>
  <c r="C370" i="69"/>
  <c r="C371" i="69"/>
  <c r="C372" i="69"/>
  <c r="C373" i="69"/>
  <c r="C374" i="69"/>
  <c r="C375" i="69"/>
  <c r="C376" i="69"/>
  <c r="C377" i="69"/>
  <c r="C378" i="69"/>
  <c r="C379" i="69"/>
  <c r="C380" i="69"/>
  <c r="C381" i="69"/>
  <c r="C382" i="69"/>
  <c r="C383" i="69"/>
  <c r="C384" i="69"/>
  <c r="C385" i="69"/>
  <c r="C386" i="69"/>
  <c r="C387" i="69"/>
  <c r="C388" i="69"/>
  <c r="C389" i="69"/>
  <c r="C390" i="69"/>
  <c r="C391" i="69"/>
  <c r="C392" i="69"/>
  <c r="C393" i="69"/>
  <c r="C394" i="69"/>
  <c r="C395" i="69"/>
  <c r="C396" i="69"/>
  <c r="G352" i="69"/>
  <c r="G353" i="69"/>
  <c r="G354" i="69"/>
  <c r="G355" i="69"/>
  <c r="G356" i="69"/>
  <c r="G357" i="69"/>
  <c r="G358" i="69"/>
  <c r="G359" i="69"/>
  <c r="G360" i="69"/>
  <c r="G361" i="69"/>
  <c r="G362" i="69"/>
  <c r="G363" i="69"/>
  <c r="G364" i="69"/>
  <c r="G365" i="69"/>
  <c r="G366" i="69"/>
  <c r="G367" i="69"/>
  <c r="G368" i="69"/>
  <c r="G369" i="69"/>
  <c r="G370" i="69"/>
  <c r="G371" i="69"/>
  <c r="G372" i="69"/>
  <c r="G373" i="69"/>
  <c r="G374" i="69"/>
  <c r="G375" i="69"/>
  <c r="G376" i="69"/>
  <c r="G377" i="69"/>
  <c r="G378" i="69"/>
  <c r="G379" i="69"/>
  <c r="G380" i="69"/>
  <c r="G381" i="69"/>
  <c r="G382" i="69"/>
  <c r="G383" i="69"/>
  <c r="G384" i="69"/>
  <c r="G385" i="69"/>
  <c r="G386" i="69"/>
  <c r="G387" i="69"/>
  <c r="G388" i="69"/>
  <c r="G389" i="69"/>
  <c r="G390" i="69"/>
  <c r="G391" i="69"/>
  <c r="G392" i="69"/>
  <c r="G393" i="69"/>
  <c r="G394" i="69"/>
  <c r="G395" i="69"/>
  <c r="G396" i="69"/>
  <c r="K352" i="69"/>
  <c r="K353" i="69"/>
  <c r="K354" i="69"/>
  <c r="K355" i="69"/>
  <c r="K356" i="69"/>
  <c r="K357" i="69"/>
  <c r="K358" i="69"/>
  <c r="K359" i="69"/>
  <c r="K360" i="69"/>
  <c r="K361" i="69"/>
  <c r="K362" i="69"/>
  <c r="K363" i="69"/>
  <c r="K364" i="69"/>
  <c r="K365" i="69"/>
  <c r="K366" i="69"/>
  <c r="K367" i="69"/>
  <c r="K368" i="69"/>
  <c r="K369" i="69"/>
  <c r="K370" i="69"/>
  <c r="K371" i="69"/>
  <c r="K372" i="69"/>
  <c r="K373" i="69"/>
  <c r="K374" i="69"/>
  <c r="K375" i="69"/>
  <c r="K376" i="69"/>
  <c r="K377" i="69"/>
  <c r="K378" i="69"/>
  <c r="K379" i="69"/>
  <c r="K380" i="69"/>
  <c r="K381" i="69"/>
  <c r="K382" i="69"/>
  <c r="K383" i="69"/>
  <c r="K384" i="69"/>
  <c r="K385" i="69"/>
  <c r="K386" i="69"/>
  <c r="K387" i="69"/>
  <c r="K388" i="69"/>
  <c r="K389" i="69"/>
  <c r="K390" i="69"/>
  <c r="K391" i="69"/>
  <c r="K392" i="69"/>
  <c r="K393" i="69"/>
  <c r="K394" i="69"/>
  <c r="K395" i="69"/>
  <c r="K396" i="69"/>
  <c r="L352" i="69" a="1"/>
  <c r="L352" i="69" s="1"/>
  <c r="L353" i="69" a="1"/>
  <c r="L353" i="69" s="1"/>
  <c r="L354" i="69" a="1"/>
  <c r="L354" i="69" s="1"/>
  <c r="L355" i="69" a="1"/>
  <c r="L355" i="69" s="1"/>
  <c r="L356" i="69" a="1"/>
  <c r="L356" i="69" s="1"/>
  <c r="L357" i="69" a="1"/>
  <c r="L357" i="69" s="1"/>
  <c r="L358" i="69" a="1"/>
  <c r="L358" i="69" s="1"/>
  <c r="L359" i="69" a="1"/>
  <c r="L359" i="69" s="1"/>
  <c r="L360" i="69" a="1"/>
  <c r="L360" i="69" s="1"/>
  <c r="L361" i="69" a="1"/>
  <c r="L361" i="69" s="1"/>
  <c r="L362" i="69" a="1"/>
  <c r="L362" i="69" s="1"/>
  <c r="L363" i="69" a="1"/>
  <c r="L363" i="69" s="1"/>
  <c r="L364" i="69" a="1"/>
  <c r="L364" i="69" s="1"/>
  <c r="L365" i="69" a="1"/>
  <c r="L365" i="69" s="1"/>
  <c r="L366" i="69" a="1"/>
  <c r="L366" i="69" s="1"/>
  <c r="L367" i="69" a="1"/>
  <c r="L367" i="69" s="1"/>
  <c r="L368" i="69" a="1"/>
  <c r="L368" i="69" s="1"/>
  <c r="L369" i="69" a="1"/>
  <c r="L369" i="69" s="1"/>
  <c r="L370" i="69" a="1"/>
  <c r="L370" i="69" s="1"/>
  <c r="L371" i="69" a="1"/>
  <c r="L371" i="69" s="1"/>
  <c r="L372" i="69" a="1"/>
  <c r="L372" i="69" s="1"/>
  <c r="L373" i="69" a="1"/>
  <c r="L373" i="69" s="1"/>
  <c r="L374" i="69" a="1"/>
  <c r="L374" i="69" s="1"/>
  <c r="L375" i="69" a="1"/>
  <c r="L375" i="69" s="1"/>
  <c r="L376" i="69" a="1"/>
  <c r="L376" i="69" s="1"/>
  <c r="L377" i="69" a="1"/>
  <c r="L377" i="69" s="1"/>
  <c r="L378" i="69" a="1"/>
  <c r="L378" i="69" s="1"/>
  <c r="L379" i="69" a="1"/>
  <c r="L379" i="69" s="1"/>
  <c r="L380" i="69" a="1"/>
  <c r="L380" i="69" s="1"/>
  <c r="L381" i="69" a="1"/>
  <c r="L381" i="69" s="1"/>
  <c r="L382" i="69" a="1"/>
  <c r="L382" i="69" s="1"/>
  <c r="L383" i="69" a="1"/>
  <c r="L383" i="69" s="1"/>
  <c r="L384" i="69" a="1"/>
  <c r="L384" i="69" s="1"/>
  <c r="L385" i="69" a="1"/>
  <c r="L385" i="69" s="1"/>
  <c r="L386" i="69" a="1"/>
  <c r="L386" i="69" s="1"/>
  <c r="L387" i="69" a="1"/>
  <c r="L387" i="69" s="1"/>
  <c r="L388" i="69" a="1"/>
  <c r="L388" i="69" s="1"/>
  <c r="L389" i="69" a="1"/>
  <c r="L389" i="69" s="1"/>
  <c r="L390" i="69" a="1"/>
  <c r="L390" i="69" s="1"/>
  <c r="L391" i="69" a="1"/>
  <c r="L391" i="69" s="1"/>
  <c r="L392" i="69" a="1"/>
  <c r="L392" i="69" s="1"/>
  <c r="L393" i="69" a="1"/>
  <c r="L393" i="69" s="1"/>
  <c r="L394" i="69" a="1"/>
  <c r="L394" i="69" s="1"/>
  <c r="L395" i="69" a="1"/>
  <c r="L395" i="69" s="1"/>
  <c r="L396" i="69" a="1"/>
  <c r="L396" i="69" s="1"/>
  <c r="N352" i="69" a="1"/>
  <c r="N352" i="69" s="1"/>
  <c r="N353" i="69" a="1"/>
  <c r="N353" i="69" s="1"/>
  <c r="N354" i="69" a="1"/>
  <c r="N354" i="69" s="1"/>
  <c r="N355" i="69" a="1"/>
  <c r="N355" i="69" s="1"/>
  <c r="N356" i="69" a="1"/>
  <c r="N356" i="69" s="1"/>
  <c r="N357" i="69" a="1"/>
  <c r="N357" i="69" s="1"/>
  <c r="N358" i="69" a="1"/>
  <c r="N358" i="69" s="1"/>
  <c r="N359" i="69" a="1"/>
  <c r="N359" i="69" s="1"/>
  <c r="N360" i="69" a="1"/>
  <c r="N360" i="69" s="1"/>
  <c r="N361" i="69" a="1"/>
  <c r="N361" i="69" s="1"/>
  <c r="N362" i="69" a="1"/>
  <c r="N362" i="69" s="1"/>
  <c r="N363" i="69" a="1"/>
  <c r="N363" i="69" s="1"/>
  <c r="N364" i="69" a="1"/>
  <c r="N364" i="69" s="1"/>
  <c r="N365" i="69" a="1"/>
  <c r="N365" i="69" s="1"/>
  <c r="N366" i="69" a="1"/>
  <c r="N366" i="69" s="1"/>
  <c r="N367" i="69" a="1"/>
  <c r="N367" i="69" s="1"/>
  <c r="N368" i="69" a="1"/>
  <c r="N368" i="69" s="1"/>
  <c r="N369" i="69" a="1"/>
  <c r="N369" i="69" s="1"/>
  <c r="N370" i="69" a="1"/>
  <c r="N370" i="69" s="1"/>
  <c r="N371" i="69" a="1"/>
  <c r="N371" i="69" s="1"/>
  <c r="N372" i="69" a="1"/>
  <c r="N372" i="69" s="1"/>
  <c r="N373" i="69" a="1"/>
  <c r="N373" i="69" s="1"/>
  <c r="N374" i="69" a="1"/>
  <c r="N374" i="69" s="1"/>
  <c r="N375" i="69" a="1"/>
  <c r="N375" i="69" s="1"/>
  <c r="N376" i="69" a="1"/>
  <c r="N376" i="69" s="1"/>
  <c r="N377" i="69" a="1"/>
  <c r="N377" i="69" s="1"/>
  <c r="N378" i="69" a="1"/>
  <c r="N378" i="69" s="1"/>
  <c r="N379" i="69" a="1"/>
  <c r="N379" i="69" s="1"/>
  <c r="N380" i="69" a="1"/>
  <c r="N380" i="69" s="1"/>
  <c r="N381" i="69" a="1"/>
  <c r="N381" i="69" s="1"/>
  <c r="N382" i="69" a="1"/>
  <c r="N382" i="69" s="1"/>
  <c r="N383" i="69" a="1"/>
  <c r="N383" i="69" s="1"/>
  <c r="N384" i="69" a="1"/>
  <c r="N384" i="69" s="1"/>
  <c r="N385" i="69" a="1"/>
  <c r="N385" i="69" s="1"/>
  <c r="N386" i="69" a="1"/>
  <c r="N386" i="69" s="1"/>
  <c r="N387" i="69" a="1"/>
  <c r="N387" i="69" s="1"/>
  <c r="N388" i="69" a="1"/>
  <c r="N388" i="69" s="1"/>
  <c r="N389" i="69" a="1"/>
  <c r="N389" i="69" s="1"/>
  <c r="N390" i="69" a="1"/>
  <c r="N390" i="69" s="1"/>
  <c r="N391" i="69" a="1"/>
  <c r="N391" i="69" s="1"/>
  <c r="N392" i="69" a="1"/>
  <c r="N392" i="69" s="1"/>
  <c r="N393" i="69" a="1"/>
  <c r="N393" i="69" s="1"/>
  <c r="N394" i="69" a="1"/>
  <c r="N394" i="69" s="1"/>
  <c r="N395" i="69" a="1"/>
  <c r="N395" i="69" s="1"/>
  <c r="N396" i="69" a="1"/>
  <c r="N396" i="69" s="1"/>
  <c r="O352" i="69" a="1"/>
  <c r="O352" i="69" s="1"/>
  <c r="O353" i="69" a="1"/>
  <c r="O353" i="69" s="1"/>
  <c r="O354" i="69" a="1"/>
  <c r="O354" i="69" s="1"/>
  <c r="O355" i="69" a="1"/>
  <c r="O355" i="69" s="1"/>
  <c r="O356" i="69" a="1"/>
  <c r="O356" i="69" s="1"/>
  <c r="O357" i="69" a="1"/>
  <c r="O357" i="69" s="1"/>
  <c r="O358" i="69" a="1"/>
  <c r="O358" i="69" s="1"/>
  <c r="O359" i="69" a="1"/>
  <c r="O359" i="69" s="1"/>
  <c r="O360" i="69" a="1"/>
  <c r="O360" i="69" s="1"/>
  <c r="O361" i="69" a="1"/>
  <c r="O361" i="69" s="1"/>
  <c r="O362" i="69" a="1"/>
  <c r="O362" i="69" s="1"/>
  <c r="O363" i="69" a="1"/>
  <c r="O363" i="69" s="1"/>
  <c r="O364" i="69" a="1"/>
  <c r="O364" i="69" s="1"/>
  <c r="O365" i="69" a="1"/>
  <c r="O365" i="69" s="1"/>
  <c r="O366" i="69" a="1"/>
  <c r="O366" i="69" s="1"/>
  <c r="O367" i="69" a="1"/>
  <c r="O367" i="69" s="1"/>
  <c r="O368" i="69" a="1"/>
  <c r="O368" i="69" s="1"/>
  <c r="O369" i="69" a="1"/>
  <c r="O369" i="69" s="1"/>
  <c r="O370" i="69" a="1"/>
  <c r="O370" i="69" s="1"/>
  <c r="O371" i="69" a="1"/>
  <c r="O371" i="69" s="1"/>
  <c r="O372" i="69" a="1"/>
  <c r="O372" i="69" s="1"/>
  <c r="O373" i="69" a="1"/>
  <c r="O373" i="69" s="1"/>
  <c r="O374" i="69" a="1"/>
  <c r="O374" i="69" s="1"/>
  <c r="O375" i="69" a="1"/>
  <c r="O375" i="69" s="1"/>
  <c r="O376" i="69" a="1"/>
  <c r="O376" i="69" s="1"/>
  <c r="O377" i="69" a="1"/>
  <c r="O377" i="69" s="1"/>
  <c r="O378" i="69" a="1"/>
  <c r="O378" i="69" s="1"/>
  <c r="O379" i="69" a="1"/>
  <c r="O379" i="69" s="1"/>
  <c r="O380" i="69" a="1"/>
  <c r="O380" i="69" s="1"/>
  <c r="O381" i="69" a="1"/>
  <c r="O381" i="69" s="1"/>
  <c r="O382" i="69" a="1"/>
  <c r="O382" i="69" s="1"/>
  <c r="O383" i="69" a="1"/>
  <c r="O383" i="69" s="1"/>
  <c r="O384" i="69" a="1"/>
  <c r="O384" i="69" s="1"/>
  <c r="O385" i="69" a="1"/>
  <c r="O385" i="69" s="1"/>
  <c r="O386" i="69" a="1"/>
  <c r="O386" i="69" s="1"/>
  <c r="O387" i="69" a="1"/>
  <c r="O387" i="69" s="1"/>
  <c r="O388" i="69" a="1"/>
  <c r="O388" i="69" s="1"/>
  <c r="O389" i="69" a="1"/>
  <c r="O389" i="69" s="1"/>
  <c r="O390" i="69" a="1"/>
  <c r="O390" i="69" s="1"/>
  <c r="O391" i="69" a="1"/>
  <c r="O391" i="69" s="1"/>
  <c r="O392" i="69" a="1"/>
  <c r="O392" i="69" s="1"/>
  <c r="O393" i="69" a="1"/>
  <c r="O393" i="69" s="1"/>
  <c r="O394" i="69" a="1"/>
  <c r="O394" i="69" s="1"/>
  <c r="O395" i="69" a="1"/>
  <c r="O395" i="69" s="1"/>
  <c r="O396" i="69" a="1"/>
  <c r="O396" i="69" s="1"/>
  <c r="P352" i="69"/>
  <c r="P353" i="69"/>
  <c r="P354" i="69"/>
  <c r="P355" i="69"/>
  <c r="P356" i="69"/>
  <c r="P357" i="69"/>
  <c r="P358" i="69"/>
  <c r="P359" i="69"/>
  <c r="P360" i="69"/>
  <c r="P361" i="69"/>
  <c r="P362" i="69"/>
  <c r="P363" i="69"/>
  <c r="P364" i="69"/>
  <c r="P365" i="69"/>
  <c r="P366" i="69"/>
  <c r="P367" i="69"/>
  <c r="P368" i="69"/>
  <c r="P369" i="69"/>
  <c r="P370" i="69"/>
  <c r="P371" i="69"/>
  <c r="P372" i="69"/>
  <c r="P373" i="69"/>
  <c r="P374" i="69"/>
  <c r="P375" i="69"/>
  <c r="P376" i="69"/>
  <c r="P377" i="69"/>
  <c r="P378" i="69"/>
  <c r="P379" i="69"/>
  <c r="P380" i="69"/>
  <c r="P381" i="69"/>
  <c r="P382" i="69"/>
  <c r="P383" i="69"/>
  <c r="P384" i="69"/>
  <c r="P385" i="69"/>
  <c r="P386" i="69"/>
  <c r="P387" i="69"/>
  <c r="P388" i="69"/>
  <c r="P389" i="69"/>
  <c r="P390" i="69"/>
  <c r="P391" i="69"/>
  <c r="P392" i="69"/>
  <c r="P393" i="69"/>
  <c r="P394" i="69"/>
  <c r="P395" i="69"/>
  <c r="P396" i="69"/>
  <c r="Q352" i="69"/>
  <c r="Q353" i="69"/>
  <c r="Q354" i="69"/>
  <c r="Q355" i="69"/>
  <c r="Q356" i="69"/>
  <c r="Q357" i="69"/>
  <c r="Q358" i="69"/>
  <c r="Q359" i="69"/>
  <c r="Q360" i="69"/>
  <c r="Q361" i="69"/>
  <c r="Q362" i="69"/>
  <c r="Q363" i="69"/>
  <c r="Q364" i="69"/>
  <c r="Q365" i="69"/>
  <c r="Q366" i="69"/>
  <c r="Q367" i="69"/>
  <c r="Q368" i="69"/>
  <c r="Q369" i="69"/>
  <c r="Q370" i="69"/>
  <c r="Q371" i="69"/>
  <c r="Q372" i="69"/>
  <c r="Q373" i="69"/>
  <c r="Q374" i="69"/>
  <c r="Q375" i="69"/>
  <c r="Q376" i="69"/>
  <c r="Q377" i="69"/>
  <c r="Q378" i="69"/>
  <c r="Q379" i="69"/>
  <c r="Q380" i="69"/>
  <c r="Q381" i="69"/>
  <c r="Q382" i="69"/>
  <c r="Q383" i="69"/>
  <c r="Q384" i="69"/>
  <c r="Q385" i="69"/>
  <c r="Q386" i="69"/>
  <c r="Q387" i="69"/>
  <c r="Q388" i="69"/>
  <c r="Q389" i="69"/>
  <c r="Q390" i="69"/>
  <c r="Q391" i="69"/>
  <c r="Q392" i="69"/>
  <c r="Q393" i="69"/>
  <c r="Q394" i="69"/>
  <c r="Q395" i="69"/>
  <c r="Q396" i="69"/>
  <c r="R352" i="69"/>
  <c r="R353" i="69"/>
  <c r="R354" i="69"/>
  <c r="R355" i="69"/>
  <c r="R356" i="69"/>
  <c r="R357" i="69"/>
  <c r="R358" i="69"/>
  <c r="R359" i="69"/>
  <c r="R360" i="69"/>
  <c r="R361" i="69"/>
  <c r="R362" i="69"/>
  <c r="R363" i="69"/>
  <c r="R364" i="69"/>
  <c r="R365" i="69"/>
  <c r="R366" i="69"/>
  <c r="R367" i="69"/>
  <c r="R368" i="69"/>
  <c r="R369" i="69"/>
  <c r="R370" i="69"/>
  <c r="R371" i="69"/>
  <c r="R372" i="69"/>
  <c r="R373" i="69"/>
  <c r="R374" i="69"/>
  <c r="R375" i="69"/>
  <c r="R376" i="69"/>
  <c r="R377" i="69"/>
  <c r="R378" i="69"/>
  <c r="R379" i="69"/>
  <c r="R380" i="69"/>
  <c r="R381" i="69"/>
  <c r="R382" i="69"/>
  <c r="R383" i="69"/>
  <c r="R384" i="69"/>
  <c r="R385" i="69"/>
  <c r="R386" i="69"/>
  <c r="R387" i="69"/>
  <c r="R388" i="69"/>
  <c r="R389" i="69"/>
  <c r="R390" i="69"/>
  <c r="R391" i="69"/>
  <c r="R392" i="69"/>
  <c r="R393" i="69"/>
  <c r="R394" i="69"/>
  <c r="R395" i="69"/>
  <c r="R396" i="69"/>
  <c r="S352" i="69"/>
  <c r="S353" i="69"/>
  <c r="S354" i="69"/>
  <c r="S355" i="69"/>
  <c r="S356" i="69"/>
  <c r="S357" i="69"/>
  <c r="S358" i="69"/>
  <c r="S359" i="69"/>
  <c r="S360" i="69"/>
  <c r="S361" i="69"/>
  <c r="S362" i="69"/>
  <c r="S363" i="69"/>
  <c r="S364" i="69"/>
  <c r="S365" i="69"/>
  <c r="S366" i="69"/>
  <c r="S367" i="69"/>
  <c r="S368" i="69"/>
  <c r="S369" i="69"/>
  <c r="S370" i="69"/>
  <c r="S371" i="69"/>
  <c r="S372" i="69"/>
  <c r="S373" i="69"/>
  <c r="S374" i="69"/>
  <c r="S375" i="69"/>
  <c r="S376" i="69"/>
  <c r="S377" i="69"/>
  <c r="S378" i="69"/>
  <c r="S379" i="69"/>
  <c r="S380" i="69"/>
  <c r="S381" i="69"/>
  <c r="S382" i="69"/>
  <c r="S383" i="69"/>
  <c r="S384" i="69"/>
  <c r="S385" i="69"/>
  <c r="S386" i="69"/>
  <c r="S387" i="69"/>
  <c r="S388" i="69"/>
  <c r="S389" i="69"/>
  <c r="S390" i="69"/>
  <c r="S391" i="69"/>
  <c r="S392" i="69"/>
  <c r="S393" i="69"/>
  <c r="S394" i="69"/>
  <c r="S395" i="69"/>
  <c r="S396" i="69"/>
  <c r="U352" i="69"/>
  <c r="U353" i="69"/>
  <c r="U354" i="69"/>
  <c r="U355" i="69"/>
  <c r="U356" i="69"/>
  <c r="U357" i="69"/>
  <c r="U358" i="69"/>
  <c r="U359" i="69"/>
  <c r="U360" i="69"/>
  <c r="U361" i="69"/>
  <c r="U362" i="69"/>
  <c r="U363" i="69"/>
  <c r="U364" i="69"/>
  <c r="U365" i="69"/>
  <c r="U366" i="69"/>
  <c r="U367" i="69"/>
  <c r="U368" i="69"/>
  <c r="U369" i="69"/>
  <c r="U370" i="69"/>
  <c r="U371" i="69"/>
  <c r="U372" i="69"/>
  <c r="U373" i="69"/>
  <c r="U374" i="69"/>
  <c r="U375" i="69"/>
  <c r="U376" i="69"/>
  <c r="U377" i="69"/>
  <c r="U378" i="69"/>
  <c r="U379" i="69"/>
  <c r="U380" i="69"/>
  <c r="U381" i="69"/>
  <c r="U382" i="69"/>
  <c r="U383" i="69"/>
  <c r="U384" i="69"/>
  <c r="U385" i="69"/>
  <c r="U386" i="69"/>
  <c r="U387" i="69"/>
  <c r="U388" i="69"/>
  <c r="U389" i="69"/>
  <c r="U390" i="69"/>
  <c r="U391" i="69"/>
  <c r="U392" i="69"/>
  <c r="U393" i="69"/>
  <c r="U394" i="69"/>
  <c r="U395" i="69"/>
  <c r="U396" i="69"/>
  <c r="V352" i="69"/>
  <c r="V353" i="69"/>
  <c r="V354" i="69"/>
  <c r="V355" i="69"/>
  <c r="V356" i="69"/>
  <c r="V357" i="69"/>
  <c r="V358" i="69"/>
  <c r="V359" i="69"/>
  <c r="V360" i="69"/>
  <c r="V361" i="69"/>
  <c r="V362" i="69"/>
  <c r="V363" i="69"/>
  <c r="V364" i="69"/>
  <c r="V365" i="69"/>
  <c r="V366" i="69"/>
  <c r="V367" i="69"/>
  <c r="V368" i="69"/>
  <c r="V369" i="69"/>
  <c r="V370" i="69"/>
  <c r="V371" i="69"/>
  <c r="V372" i="69"/>
  <c r="V373" i="69"/>
  <c r="V374" i="69"/>
  <c r="V375" i="69"/>
  <c r="V376" i="69"/>
  <c r="V377" i="69"/>
  <c r="V378" i="69"/>
  <c r="V379" i="69"/>
  <c r="V380" i="69"/>
  <c r="V381" i="69"/>
  <c r="V382" i="69"/>
  <c r="V383" i="69"/>
  <c r="V384" i="69"/>
  <c r="V385" i="69"/>
  <c r="V386" i="69"/>
  <c r="V387" i="69"/>
  <c r="V388" i="69"/>
  <c r="V389" i="69"/>
  <c r="V390" i="69"/>
  <c r="V391" i="69"/>
  <c r="V392" i="69"/>
  <c r="V393" i="69"/>
  <c r="V394" i="69"/>
  <c r="V395" i="69"/>
  <c r="V396" i="69"/>
  <c r="W352" i="69"/>
  <c r="W353" i="69"/>
  <c r="W354" i="69"/>
  <c r="W355" i="69"/>
  <c r="W356" i="69"/>
  <c r="W357" i="69"/>
  <c r="W358" i="69"/>
  <c r="W359" i="69"/>
  <c r="W360" i="69"/>
  <c r="W361" i="69"/>
  <c r="W362" i="69"/>
  <c r="W363" i="69"/>
  <c r="W364" i="69"/>
  <c r="W365" i="69"/>
  <c r="W366" i="69"/>
  <c r="W367" i="69"/>
  <c r="W368" i="69"/>
  <c r="W369" i="69"/>
  <c r="W370" i="69"/>
  <c r="W371" i="69"/>
  <c r="W372" i="69"/>
  <c r="W373" i="69"/>
  <c r="W374" i="69"/>
  <c r="W375" i="69"/>
  <c r="W376" i="69"/>
  <c r="W377" i="69"/>
  <c r="W378" i="69"/>
  <c r="W379" i="69"/>
  <c r="W380" i="69"/>
  <c r="W381" i="69"/>
  <c r="W382" i="69"/>
  <c r="W383" i="69"/>
  <c r="W384" i="69"/>
  <c r="W385" i="69"/>
  <c r="W386" i="69"/>
  <c r="W387" i="69"/>
  <c r="W388" i="69"/>
  <c r="W389" i="69"/>
  <c r="W390" i="69"/>
  <c r="W391" i="69"/>
  <c r="W392" i="69"/>
  <c r="W393" i="69"/>
  <c r="W394" i="69"/>
  <c r="W395" i="69"/>
  <c r="W396" i="69"/>
  <c r="X352" i="69"/>
  <c r="X353" i="69"/>
  <c r="X354" i="69"/>
  <c r="X355" i="69"/>
  <c r="X356" i="69"/>
  <c r="X357" i="69"/>
  <c r="X358" i="69"/>
  <c r="X359" i="69"/>
  <c r="X360" i="69"/>
  <c r="X361" i="69"/>
  <c r="X362" i="69"/>
  <c r="X363" i="69"/>
  <c r="X364" i="69"/>
  <c r="X365" i="69"/>
  <c r="X366" i="69"/>
  <c r="X367" i="69"/>
  <c r="X368" i="69"/>
  <c r="X369" i="69"/>
  <c r="X370" i="69"/>
  <c r="X371" i="69"/>
  <c r="X372" i="69"/>
  <c r="X373" i="69"/>
  <c r="X374" i="69"/>
  <c r="X375" i="69"/>
  <c r="X376" i="69"/>
  <c r="X377" i="69"/>
  <c r="X378" i="69"/>
  <c r="X379" i="69"/>
  <c r="X380" i="69"/>
  <c r="X381" i="69"/>
  <c r="X382" i="69"/>
  <c r="X383" i="69"/>
  <c r="X384" i="69"/>
  <c r="X385" i="69"/>
  <c r="X386" i="69"/>
  <c r="X387" i="69"/>
  <c r="X388" i="69"/>
  <c r="X389" i="69"/>
  <c r="X390" i="69"/>
  <c r="X391" i="69"/>
  <c r="X392" i="69"/>
  <c r="X393" i="69"/>
  <c r="X394" i="69"/>
  <c r="X395" i="69"/>
  <c r="X396" i="69"/>
  <c r="AG352" i="69"/>
  <c r="AF352" i="69" s="1"/>
  <c r="AG353" i="69"/>
  <c r="AF353" i="69" s="1"/>
  <c r="AG354" i="69"/>
  <c r="AF354" i="69" s="1"/>
  <c r="AG355" i="69"/>
  <c r="AF355" i="69" s="1"/>
  <c r="E355" i="69" s="1" a="1"/>
  <c r="E355" i="69" s="1"/>
  <c r="AG356" i="69"/>
  <c r="AF356" i="69" s="1"/>
  <c r="E356" i="69" s="1" a="1"/>
  <c r="E356" i="69" s="1"/>
  <c r="AG357" i="69"/>
  <c r="AF357" i="69" s="1"/>
  <c r="AG358" i="69"/>
  <c r="AF358" i="69" s="1"/>
  <c r="AG359" i="69"/>
  <c r="AF359" i="69" s="1"/>
  <c r="AG360" i="69"/>
  <c r="AF360" i="69" s="1"/>
  <c r="AG361" i="69"/>
  <c r="AF361" i="69" s="1"/>
  <c r="AG362" i="69"/>
  <c r="AF362" i="69" s="1"/>
  <c r="AG363" i="69"/>
  <c r="AF363" i="69" s="1"/>
  <c r="E363" i="69" s="1" a="1"/>
  <c r="E363" i="69" s="1"/>
  <c r="AG364" i="69"/>
  <c r="AF364" i="69" s="1"/>
  <c r="E364" i="69" s="1" a="1"/>
  <c r="E364" i="69" s="1"/>
  <c r="AG365" i="69"/>
  <c r="AF365" i="69" s="1"/>
  <c r="AG366" i="69"/>
  <c r="AF366" i="69" s="1"/>
  <c r="AG367" i="69"/>
  <c r="AF367" i="69" s="1"/>
  <c r="AG368" i="69"/>
  <c r="AF368" i="69" s="1"/>
  <c r="AG369" i="69"/>
  <c r="AF369" i="69" s="1"/>
  <c r="AG370" i="69"/>
  <c r="AF370" i="69" s="1"/>
  <c r="AG371" i="69"/>
  <c r="AF371" i="69" s="1"/>
  <c r="M371" i="69" s="1"/>
  <c r="AG372" i="69"/>
  <c r="AF372" i="69" s="1"/>
  <c r="E372" i="69" s="1" a="1"/>
  <c r="E372" i="69" s="1"/>
  <c r="AG373" i="69"/>
  <c r="AF373" i="69" s="1"/>
  <c r="AG374" i="69"/>
  <c r="AF374" i="69" s="1"/>
  <c r="AG375" i="69"/>
  <c r="AF375" i="69" s="1"/>
  <c r="AG376" i="69"/>
  <c r="AF376" i="69" s="1"/>
  <c r="AG377" i="69"/>
  <c r="AF377" i="69" s="1"/>
  <c r="AG378" i="69"/>
  <c r="AF378" i="69" s="1"/>
  <c r="AG379" i="69"/>
  <c r="AF379" i="69" s="1"/>
  <c r="E379" i="69" s="1" a="1"/>
  <c r="E379" i="69" s="1"/>
  <c r="AG380" i="69"/>
  <c r="AF380" i="69" s="1"/>
  <c r="E380" i="69" s="1" a="1"/>
  <c r="E380" i="69" s="1"/>
  <c r="AG381" i="69"/>
  <c r="AF381" i="69" s="1"/>
  <c r="AG382" i="69"/>
  <c r="AF382" i="69" s="1"/>
  <c r="AG383" i="69"/>
  <c r="AF383" i="69" s="1"/>
  <c r="AG384" i="69"/>
  <c r="AF384" i="69" s="1"/>
  <c r="AG385" i="69"/>
  <c r="AF385" i="69" s="1"/>
  <c r="AG386" i="69"/>
  <c r="AF386" i="69" s="1"/>
  <c r="AG387" i="69"/>
  <c r="AF387" i="69" s="1"/>
  <c r="M387" i="69" s="1"/>
  <c r="AG388" i="69"/>
  <c r="AF388" i="69" s="1"/>
  <c r="E388" i="69" s="1" a="1"/>
  <c r="E388" i="69" s="1"/>
  <c r="AG389" i="69"/>
  <c r="AF389" i="69" s="1"/>
  <c r="AG390" i="69"/>
  <c r="AF390" i="69" s="1"/>
  <c r="AG391" i="69"/>
  <c r="AF391" i="69" s="1"/>
  <c r="AG392" i="69"/>
  <c r="AF392" i="69" s="1"/>
  <c r="AG393" i="69"/>
  <c r="AF393" i="69" s="1"/>
  <c r="AG394" i="69"/>
  <c r="AF394" i="69" s="1"/>
  <c r="AG395" i="69"/>
  <c r="AF395" i="69" s="1"/>
  <c r="AG396" i="69"/>
  <c r="AF396" i="69" s="1"/>
  <c r="E396" i="69" s="1" a="1"/>
  <c r="E396" i="69" s="1"/>
  <c r="AH352" i="69"/>
  <c r="I352" i="69" s="1" a="1"/>
  <c r="I352" i="69" s="1"/>
  <c r="AH353" i="69"/>
  <c r="AH354" i="69"/>
  <c r="AH355" i="69"/>
  <c r="F355" i="69" s="1" a="1"/>
  <c r="F355" i="69" s="1"/>
  <c r="AH356" i="69"/>
  <c r="AH357" i="69"/>
  <c r="F357" i="69" s="1" a="1"/>
  <c r="F357" i="69" s="1"/>
  <c r="AH358" i="69"/>
  <c r="F358" i="69" s="1" a="1"/>
  <c r="F358" i="69" s="1"/>
  <c r="AH359" i="69"/>
  <c r="AH360" i="69"/>
  <c r="AH361" i="69"/>
  <c r="AH362" i="69"/>
  <c r="F362" i="69" s="1" a="1"/>
  <c r="F362" i="69" s="1"/>
  <c r="AH363" i="69"/>
  <c r="F363" i="69" s="1" a="1"/>
  <c r="F363" i="69" s="1"/>
  <c r="AH364" i="69"/>
  <c r="I364" i="69" s="1" a="1"/>
  <c r="I364" i="69" s="1"/>
  <c r="AH365" i="69"/>
  <c r="F365" i="69" s="1" a="1"/>
  <c r="F365" i="69" s="1"/>
  <c r="AH366" i="69"/>
  <c r="AH367" i="69"/>
  <c r="AH368" i="69"/>
  <c r="I368" i="69" s="1" a="1"/>
  <c r="I368" i="69" s="1"/>
  <c r="AH369" i="69"/>
  <c r="AH370" i="69"/>
  <c r="AH371" i="69"/>
  <c r="F371" i="69" s="1" a="1"/>
  <c r="F371" i="69" s="1"/>
  <c r="AH372" i="69"/>
  <c r="AH373" i="69"/>
  <c r="F373" i="69" s="1" a="1"/>
  <c r="F373" i="69" s="1"/>
  <c r="AH374" i="69"/>
  <c r="F374" i="69" s="1" a="1"/>
  <c r="F374" i="69" s="1"/>
  <c r="AH375" i="69"/>
  <c r="AH376" i="69"/>
  <c r="AH377" i="69"/>
  <c r="AH378" i="69"/>
  <c r="F378" i="69" s="1" a="1"/>
  <c r="F378" i="69" s="1"/>
  <c r="AH379" i="69"/>
  <c r="F379" i="69" s="1" a="1"/>
  <c r="F379" i="69" s="1"/>
  <c r="AH380" i="69"/>
  <c r="I380" i="69" s="1" a="1"/>
  <c r="I380" i="69" s="1"/>
  <c r="AH381" i="69"/>
  <c r="H381" i="69" s="1"/>
  <c r="AH382" i="69"/>
  <c r="AH383" i="69"/>
  <c r="AH384" i="69"/>
  <c r="I384" i="69" s="1" a="1"/>
  <c r="I384" i="69" s="1"/>
  <c r="AH385" i="69"/>
  <c r="AH386" i="69"/>
  <c r="F386" i="69" s="1" a="1"/>
  <c r="F386" i="69" s="1"/>
  <c r="AH387" i="69"/>
  <c r="F387" i="69" s="1" a="1"/>
  <c r="F387" i="69" s="1"/>
  <c r="AH388" i="69"/>
  <c r="AH389" i="69"/>
  <c r="F389" i="69" s="1" a="1"/>
  <c r="F389" i="69" s="1"/>
  <c r="AH390" i="69"/>
  <c r="F390" i="69" s="1" a="1"/>
  <c r="F390" i="69" s="1"/>
  <c r="AH391" i="69"/>
  <c r="AH392" i="69"/>
  <c r="AH393" i="69"/>
  <c r="AH394" i="69"/>
  <c r="F394" i="69" s="1" a="1"/>
  <c r="F394" i="69" s="1"/>
  <c r="AH395" i="69"/>
  <c r="F395" i="69" s="1" a="1"/>
  <c r="F395" i="69" s="1"/>
  <c r="AH396" i="69"/>
  <c r="I396" i="69" s="1" a="1"/>
  <c r="I396" i="69" s="1"/>
  <c r="A299" i="69"/>
  <c r="A300" i="69"/>
  <c r="A301" i="69"/>
  <c r="A302" i="69"/>
  <c r="A303" i="69"/>
  <c r="A304" i="69"/>
  <c r="A305" i="69"/>
  <c r="A306" i="69"/>
  <c r="A307" i="69"/>
  <c r="A308" i="69"/>
  <c r="A309" i="69"/>
  <c r="A310" i="69"/>
  <c r="A311" i="69"/>
  <c r="A312" i="69"/>
  <c r="A313" i="69"/>
  <c r="A314" i="69"/>
  <c r="A315" i="69"/>
  <c r="A316" i="69"/>
  <c r="A317" i="69"/>
  <c r="A318" i="69"/>
  <c r="A319" i="69"/>
  <c r="A320" i="69"/>
  <c r="A321" i="69"/>
  <c r="A322" i="69"/>
  <c r="A323" i="69"/>
  <c r="A324" i="69"/>
  <c r="A325" i="69"/>
  <c r="A326" i="69"/>
  <c r="A327" i="69"/>
  <c r="A328" i="69"/>
  <c r="A329" i="69"/>
  <c r="A330" i="69"/>
  <c r="A331" i="69"/>
  <c r="A332" i="69"/>
  <c r="A333" i="69"/>
  <c r="A334" i="69"/>
  <c r="A335" i="69"/>
  <c r="A336" i="69"/>
  <c r="A337" i="69"/>
  <c r="A338" i="69"/>
  <c r="A339" i="69"/>
  <c r="A340" i="69"/>
  <c r="A341" i="69"/>
  <c r="A342" i="69"/>
  <c r="A343" i="69"/>
  <c r="A344" i="69"/>
  <c r="A345" i="69"/>
  <c r="A346" i="69"/>
  <c r="A347" i="69"/>
  <c r="A348" i="69"/>
  <c r="A349" i="69"/>
  <c r="A350" i="69"/>
  <c r="A351" i="69"/>
  <c r="C299" i="69"/>
  <c r="C300" i="69"/>
  <c r="C301" i="69"/>
  <c r="C302" i="69"/>
  <c r="C303" i="69"/>
  <c r="C304" i="69"/>
  <c r="C305" i="69"/>
  <c r="C306" i="69"/>
  <c r="C307" i="69"/>
  <c r="C308" i="69"/>
  <c r="C309" i="69"/>
  <c r="C310" i="69"/>
  <c r="C311" i="69"/>
  <c r="C312" i="69"/>
  <c r="C313" i="69"/>
  <c r="C314" i="69"/>
  <c r="C315" i="69"/>
  <c r="C316" i="69"/>
  <c r="C317" i="69"/>
  <c r="C318" i="69"/>
  <c r="C319" i="69"/>
  <c r="C320" i="69"/>
  <c r="C321" i="69"/>
  <c r="C322" i="69"/>
  <c r="C323" i="69"/>
  <c r="C324" i="69"/>
  <c r="C325" i="69"/>
  <c r="C326" i="69"/>
  <c r="C327" i="69"/>
  <c r="C328" i="69"/>
  <c r="C329" i="69"/>
  <c r="C330" i="69"/>
  <c r="C331" i="69"/>
  <c r="C332" i="69"/>
  <c r="C333" i="69"/>
  <c r="C334" i="69"/>
  <c r="C335" i="69"/>
  <c r="C336" i="69"/>
  <c r="C337" i="69"/>
  <c r="C338" i="69"/>
  <c r="C339" i="69"/>
  <c r="C340" i="69"/>
  <c r="C341" i="69"/>
  <c r="C342" i="69"/>
  <c r="C343" i="69"/>
  <c r="C344" i="69"/>
  <c r="C345" i="69"/>
  <c r="C346" i="69"/>
  <c r="C347" i="69"/>
  <c r="C348" i="69"/>
  <c r="C349" i="69"/>
  <c r="C350" i="69"/>
  <c r="C351" i="69"/>
  <c r="G299" i="69"/>
  <c r="G300" i="69"/>
  <c r="G301" i="69"/>
  <c r="G302" i="69"/>
  <c r="G303" i="69"/>
  <c r="G304" i="69"/>
  <c r="G305" i="69"/>
  <c r="G306" i="69"/>
  <c r="G307" i="69"/>
  <c r="G308" i="69"/>
  <c r="G309" i="69"/>
  <c r="G310" i="69"/>
  <c r="G311" i="69"/>
  <c r="G312" i="69"/>
  <c r="G313" i="69"/>
  <c r="G314" i="69"/>
  <c r="G315" i="69"/>
  <c r="G316" i="69"/>
  <c r="G317" i="69"/>
  <c r="G318" i="69"/>
  <c r="G319" i="69"/>
  <c r="G320" i="69"/>
  <c r="G321" i="69"/>
  <c r="G322" i="69"/>
  <c r="G323" i="69"/>
  <c r="G324" i="69"/>
  <c r="G325" i="69"/>
  <c r="G326" i="69"/>
  <c r="G327" i="69"/>
  <c r="G328" i="69"/>
  <c r="G329" i="69"/>
  <c r="G330" i="69"/>
  <c r="G331" i="69"/>
  <c r="G332" i="69"/>
  <c r="G333" i="69"/>
  <c r="G334" i="69"/>
  <c r="G335" i="69"/>
  <c r="G336" i="69"/>
  <c r="G337" i="69"/>
  <c r="G338" i="69"/>
  <c r="G339" i="69"/>
  <c r="G340" i="69"/>
  <c r="G341" i="69"/>
  <c r="G342" i="69"/>
  <c r="G343" i="69"/>
  <c r="G344" i="69"/>
  <c r="G345" i="69"/>
  <c r="G346" i="69"/>
  <c r="G347" i="69"/>
  <c r="G348" i="69"/>
  <c r="G349" i="69"/>
  <c r="G350" i="69"/>
  <c r="G351" i="69"/>
  <c r="K299" i="69"/>
  <c r="K300" i="69"/>
  <c r="K301" i="69"/>
  <c r="K302" i="69"/>
  <c r="K303" i="69"/>
  <c r="K304" i="69"/>
  <c r="K305" i="69"/>
  <c r="K306" i="69"/>
  <c r="K307" i="69"/>
  <c r="K308" i="69"/>
  <c r="K309" i="69"/>
  <c r="K310" i="69"/>
  <c r="K311" i="69"/>
  <c r="K312" i="69"/>
  <c r="K313" i="69"/>
  <c r="K314" i="69"/>
  <c r="K315" i="69"/>
  <c r="K316" i="69"/>
  <c r="K317" i="69"/>
  <c r="K318" i="69"/>
  <c r="K319" i="69"/>
  <c r="K320" i="69"/>
  <c r="K321" i="69"/>
  <c r="K322" i="69"/>
  <c r="K323" i="69"/>
  <c r="K324" i="69"/>
  <c r="K325" i="69"/>
  <c r="K326" i="69"/>
  <c r="K327" i="69"/>
  <c r="K328" i="69"/>
  <c r="K329" i="69"/>
  <c r="K330" i="69"/>
  <c r="K331" i="69"/>
  <c r="K332" i="69"/>
  <c r="K333" i="69"/>
  <c r="K334" i="69"/>
  <c r="K335" i="69"/>
  <c r="K336" i="69"/>
  <c r="K337" i="69"/>
  <c r="K338" i="69"/>
  <c r="K339" i="69"/>
  <c r="K340" i="69"/>
  <c r="K341" i="69"/>
  <c r="K342" i="69"/>
  <c r="K343" i="69"/>
  <c r="K344" i="69"/>
  <c r="K345" i="69"/>
  <c r="K346" i="69"/>
  <c r="K347" i="69"/>
  <c r="K348" i="69"/>
  <c r="K349" i="69"/>
  <c r="K350" i="69"/>
  <c r="K351" i="69"/>
  <c r="L299" i="69" a="1"/>
  <c r="L299" i="69" s="1"/>
  <c r="L300" i="69" a="1"/>
  <c r="L300" i="69" s="1"/>
  <c r="L301" i="69" a="1"/>
  <c r="L301" i="69" s="1"/>
  <c r="L302" i="69" a="1"/>
  <c r="L302" i="69" s="1"/>
  <c r="L303" i="69" a="1"/>
  <c r="L303" i="69" s="1"/>
  <c r="L304" i="69" a="1"/>
  <c r="L304" i="69" s="1"/>
  <c r="L305" i="69" a="1"/>
  <c r="L305" i="69" s="1"/>
  <c r="L306" i="69" a="1"/>
  <c r="L306" i="69" s="1"/>
  <c r="L307" i="69" a="1"/>
  <c r="L307" i="69" s="1"/>
  <c r="L308" i="69" a="1"/>
  <c r="L308" i="69" s="1"/>
  <c r="L309" i="69" a="1"/>
  <c r="L309" i="69" s="1"/>
  <c r="L310" i="69" a="1"/>
  <c r="L310" i="69" s="1"/>
  <c r="L311" i="69" a="1"/>
  <c r="L311" i="69" s="1"/>
  <c r="L312" i="69" a="1"/>
  <c r="L312" i="69" s="1"/>
  <c r="L313" i="69" a="1"/>
  <c r="L313" i="69" s="1"/>
  <c r="L314" i="69" a="1"/>
  <c r="L314" i="69" s="1"/>
  <c r="L315" i="69" a="1"/>
  <c r="L315" i="69" s="1"/>
  <c r="L316" i="69" a="1"/>
  <c r="L316" i="69" s="1"/>
  <c r="L317" i="69" a="1"/>
  <c r="L317" i="69" s="1"/>
  <c r="L318" i="69" a="1"/>
  <c r="L318" i="69" s="1"/>
  <c r="L319" i="69" a="1"/>
  <c r="L319" i="69" s="1"/>
  <c r="L320" i="69" a="1"/>
  <c r="L320" i="69" s="1"/>
  <c r="L321" i="69" a="1"/>
  <c r="L321" i="69" s="1"/>
  <c r="L322" i="69" a="1"/>
  <c r="L322" i="69" s="1"/>
  <c r="L323" i="69" a="1"/>
  <c r="L323" i="69" s="1"/>
  <c r="L324" i="69" a="1"/>
  <c r="L324" i="69" s="1"/>
  <c r="L325" i="69" a="1"/>
  <c r="L325" i="69" s="1"/>
  <c r="L326" i="69" a="1"/>
  <c r="L326" i="69" s="1"/>
  <c r="L327" i="69" a="1"/>
  <c r="L327" i="69" s="1"/>
  <c r="L328" i="69" a="1"/>
  <c r="L328" i="69" s="1"/>
  <c r="L329" i="69" a="1"/>
  <c r="L329" i="69" s="1"/>
  <c r="L330" i="69" a="1"/>
  <c r="L330" i="69" s="1"/>
  <c r="L331" i="69" a="1"/>
  <c r="L331" i="69" s="1"/>
  <c r="L332" i="69" a="1"/>
  <c r="L332" i="69" s="1"/>
  <c r="L333" i="69" a="1"/>
  <c r="L333" i="69" s="1"/>
  <c r="L334" i="69" a="1"/>
  <c r="L334" i="69" s="1"/>
  <c r="L335" i="69" a="1"/>
  <c r="L335" i="69" s="1"/>
  <c r="L336" i="69" a="1"/>
  <c r="L336" i="69" s="1"/>
  <c r="L337" i="69" a="1"/>
  <c r="L337" i="69" s="1"/>
  <c r="L338" i="69" a="1"/>
  <c r="L338" i="69" s="1"/>
  <c r="L339" i="69" a="1"/>
  <c r="L339" i="69" s="1"/>
  <c r="L340" i="69" a="1"/>
  <c r="L340" i="69" s="1"/>
  <c r="L341" i="69" a="1"/>
  <c r="L341" i="69" s="1"/>
  <c r="L342" i="69" a="1"/>
  <c r="L342" i="69" s="1"/>
  <c r="L343" i="69" a="1"/>
  <c r="L343" i="69" s="1"/>
  <c r="L344" i="69" a="1"/>
  <c r="L344" i="69" s="1"/>
  <c r="L345" i="69" a="1"/>
  <c r="L345" i="69" s="1"/>
  <c r="L346" i="69" a="1"/>
  <c r="L346" i="69" s="1"/>
  <c r="L347" i="69" a="1"/>
  <c r="L347" i="69" s="1"/>
  <c r="L348" i="69" a="1"/>
  <c r="L348" i="69" s="1"/>
  <c r="L349" i="69" a="1"/>
  <c r="L349" i="69" s="1"/>
  <c r="L350" i="69" a="1"/>
  <c r="L350" i="69" s="1"/>
  <c r="L351" i="69" a="1"/>
  <c r="L351" i="69" s="1"/>
  <c r="N299" i="69" a="1"/>
  <c r="N299" i="69" s="1"/>
  <c r="N300" i="69" a="1"/>
  <c r="N300" i="69" s="1"/>
  <c r="N301" i="69" a="1"/>
  <c r="N301" i="69" s="1"/>
  <c r="N302" i="69" a="1"/>
  <c r="N302" i="69" s="1"/>
  <c r="N303" i="69" a="1"/>
  <c r="N303" i="69" s="1"/>
  <c r="N304" i="69" a="1"/>
  <c r="N304" i="69" s="1"/>
  <c r="N305" i="69" a="1"/>
  <c r="N305" i="69" s="1"/>
  <c r="N306" i="69" a="1"/>
  <c r="N306" i="69" s="1"/>
  <c r="N307" i="69" a="1"/>
  <c r="N307" i="69" s="1"/>
  <c r="N308" i="69" a="1"/>
  <c r="N308" i="69" s="1"/>
  <c r="N309" i="69" a="1"/>
  <c r="N309" i="69" s="1"/>
  <c r="N310" i="69" a="1"/>
  <c r="N310" i="69" s="1"/>
  <c r="N311" i="69" a="1"/>
  <c r="N311" i="69" s="1"/>
  <c r="N312" i="69" a="1"/>
  <c r="N312" i="69" s="1"/>
  <c r="N313" i="69" a="1"/>
  <c r="N313" i="69" s="1"/>
  <c r="N314" i="69" a="1"/>
  <c r="N314" i="69" s="1"/>
  <c r="N315" i="69" a="1"/>
  <c r="N315" i="69" s="1"/>
  <c r="N316" i="69" a="1"/>
  <c r="N316" i="69" s="1"/>
  <c r="N317" i="69" a="1"/>
  <c r="N317" i="69" s="1"/>
  <c r="N318" i="69" a="1"/>
  <c r="N318" i="69" s="1"/>
  <c r="N319" i="69" a="1"/>
  <c r="N319" i="69" s="1"/>
  <c r="N320" i="69" a="1"/>
  <c r="N320" i="69" s="1"/>
  <c r="N321" i="69" a="1"/>
  <c r="N321" i="69" s="1"/>
  <c r="N322" i="69" a="1"/>
  <c r="N322" i="69" s="1"/>
  <c r="N323" i="69" a="1"/>
  <c r="N323" i="69" s="1"/>
  <c r="N324" i="69" a="1"/>
  <c r="N324" i="69" s="1"/>
  <c r="N325" i="69" a="1"/>
  <c r="N325" i="69" s="1"/>
  <c r="N326" i="69" a="1"/>
  <c r="N326" i="69" s="1"/>
  <c r="N327" i="69" a="1"/>
  <c r="N327" i="69" s="1"/>
  <c r="N328" i="69" a="1"/>
  <c r="N328" i="69" s="1"/>
  <c r="N329" i="69" a="1"/>
  <c r="N329" i="69" s="1"/>
  <c r="N330" i="69" a="1"/>
  <c r="N330" i="69" s="1"/>
  <c r="N331" i="69" a="1"/>
  <c r="N331" i="69" s="1"/>
  <c r="N332" i="69" a="1"/>
  <c r="N332" i="69" s="1"/>
  <c r="N333" i="69" a="1"/>
  <c r="N333" i="69" s="1"/>
  <c r="N334" i="69" a="1"/>
  <c r="N334" i="69" s="1"/>
  <c r="N335" i="69" a="1"/>
  <c r="N335" i="69" s="1"/>
  <c r="N336" i="69" a="1"/>
  <c r="N336" i="69" s="1"/>
  <c r="N337" i="69" a="1"/>
  <c r="N337" i="69" s="1"/>
  <c r="N338" i="69" a="1"/>
  <c r="N338" i="69" s="1"/>
  <c r="N339" i="69" a="1"/>
  <c r="N339" i="69" s="1"/>
  <c r="N340" i="69" a="1"/>
  <c r="N340" i="69" s="1"/>
  <c r="N341" i="69" a="1"/>
  <c r="N341" i="69" s="1"/>
  <c r="N342" i="69" a="1"/>
  <c r="N342" i="69" s="1"/>
  <c r="N343" i="69" a="1"/>
  <c r="N343" i="69" s="1"/>
  <c r="N344" i="69" a="1"/>
  <c r="N344" i="69" s="1"/>
  <c r="N345" i="69" a="1"/>
  <c r="N345" i="69" s="1"/>
  <c r="N346" i="69" a="1"/>
  <c r="N346" i="69" s="1"/>
  <c r="N347" i="69" a="1"/>
  <c r="N347" i="69" s="1"/>
  <c r="N348" i="69" a="1"/>
  <c r="N348" i="69" s="1"/>
  <c r="N349" i="69" a="1"/>
  <c r="N349" i="69" s="1"/>
  <c r="N350" i="69" a="1"/>
  <c r="N350" i="69" s="1"/>
  <c r="N351" i="69" a="1"/>
  <c r="N351" i="69" s="1"/>
  <c r="O299" i="69" a="1"/>
  <c r="O299" i="69" s="1"/>
  <c r="O300" i="69" a="1"/>
  <c r="O300" i="69" s="1"/>
  <c r="O301" i="69" a="1"/>
  <c r="O301" i="69" s="1"/>
  <c r="O302" i="69" a="1"/>
  <c r="O302" i="69" s="1"/>
  <c r="O303" i="69" a="1"/>
  <c r="O303" i="69" s="1"/>
  <c r="O304" i="69" a="1"/>
  <c r="O304" i="69" s="1"/>
  <c r="O305" i="69" a="1"/>
  <c r="O305" i="69" s="1"/>
  <c r="O306" i="69" a="1"/>
  <c r="O306" i="69" s="1"/>
  <c r="O307" i="69" a="1"/>
  <c r="O307" i="69" s="1"/>
  <c r="O308" i="69" a="1"/>
  <c r="O308" i="69" s="1"/>
  <c r="O309" i="69" a="1"/>
  <c r="O309" i="69" s="1"/>
  <c r="O310" i="69" a="1"/>
  <c r="O310" i="69" s="1"/>
  <c r="O311" i="69" a="1"/>
  <c r="O311" i="69" s="1"/>
  <c r="O312" i="69" a="1"/>
  <c r="O312" i="69" s="1"/>
  <c r="O313" i="69" a="1"/>
  <c r="O313" i="69" s="1"/>
  <c r="O314" i="69" a="1"/>
  <c r="O314" i="69" s="1"/>
  <c r="O315" i="69" a="1"/>
  <c r="O315" i="69" s="1"/>
  <c r="O316" i="69" a="1"/>
  <c r="O316" i="69" s="1"/>
  <c r="O317" i="69" a="1"/>
  <c r="O317" i="69" s="1"/>
  <c r="O318" i="69" a="1"/>
  <c r="O318" i="69" s="1"/>
  <c r="O319" i="69" a="1"/>
  <c r="O319" i="69" s="1"/>
  <c r="O320" i="69" a="1"/>
  <c r="O320" i="69" s="1"/>
  <c r="O321" i="69" a="1"/>
  <c r="O321" i="69" s="1"/>
  <c r="O322" i="69" a="1"/>
  <c r="O322" i="69" s="1"/>
  <c r="O323" i="69" a="1"/>
  <c r="O323" i="69" s="1"/>
  <c r="O324" i="69" a="1"/>
  <c r="O324" i="69" s="1"/>
  <c r="O325" i="69" a="1"/>
  <c r="O325" i="69" s="1"/>
  <c r="O326" i="69" a="1"/>
  <c r="O326" i="69" s="1"/>
  <c r="O327" i="69" a="1"/>
  <c r="O327" i="69" s="1"/>
  <c r="O328" i="69" a="1"/>
  <c r="O328" i="69" s="1"/>
  <c r="O329" i="69" a="1"/>
  <c r="O329" i="69" s="1"/>
  <c r="O330" i="69" a="1"/>
  <c r="O330" i="69" s="1"/>
  <c r="O331" i="69" a="1"/>
  <c r="O331" i="69" s="1"/>
  <c r="O332" i="69" a="1"/>
  <c r="O332" i="69" s="1"/>
  <c r="O333" i="69" a="1"/>
  <c r="O333" i="69" s="1"/>
  <c r="O334" i="69" a="1"/>
  <c r="O334" i="69" s="1"/>
  <c r="O335" i="69" a="1"/>
  <c r="O335" i="69" s="1"/>
  <c r="O336" i="69" a="1"/>
  <c r="O336" i="69" s="1"/>
  <c r="O337" i="69" a="1"/>
  <c r="O337" i="69" s="1"/>
  <c r="O338" i="69" a="1"/>
  <c r="O338" i="69" s="1"/>
  <c r="O339" i="69" a="1"/>
  <c r="O339" i="69" s="1"/>
  <c r="O340" i="69" a="1"/>
  <c r="O340" i="69" s="1"/>
  <c r="O341" i="69" a="1"/>
  <c r="O341" i="69" s="1"/>
  <c r="O342" i="69" a="1"/>
  <c r="O342" i="69" s="1"/>
  <c r="O343" i="69" a="1"/>
  <c r="O343" i="69" s="1"/>
  <c r="O344" i="69" a="1"/>
  <c r="O344" i="69" s="1"/>
  <c r="O345" i="69" a="1"/>
  <c r="O345" i="69" s="1"/>
  <c r="O346" i="69" a="1"/>
  <c r="O346" i="69" s="1"/>
  <c r="O347" i="69" a="1"/>
  <c r="O347" i="69" s="1"/>
  <c r="O348" i="69" a="1"/>
  <c r="O348" i="69" s="1"/>
  <c r="O349" i="69" a="1"/>
  <c r="O349" i="69" s="1"/>
  <c r="O350" i="69" a="1"/>
  <c r="O350" i="69" s="1"/>
  <c r="O351" i="69" a="1"/>
  <c r="O351" i="69" s="1"/>
  <c r="P299" i="69"/>
  <c r="P300" i="69"/>
  <c r="P301" i="69"/>
  <c r="P302" i="69"/>
  <c r="P303" i="69"/>
  <c r="P304" i="69"/>
  <c r="P305" i="69"/>
  <c r="P306" i="69"/>
  <c r="P307" i="69"/>
  <c r="P308" i="69"/>
  <c r="P309" i="69"/>
  <c r="P310" i="69"/>
  <c r="P311" i="69"/>
  <c r="P312" i="69"/>
  <c r="P313" i="69"/>
  <c r="P314" i="69"/>
  <c r="P315" i="69"/>
  <c r="P316" i="69"/>
  <c r="P317" i="69"/>
  <c r="P318" i="69"/>
  <c r="P319" i="69"/>
  <c r="P320" i="69"/>
  <c r="P321" i="69"/>
  <c r="P322" i="69"/>
  <c r="P323" i="69"/>
  <c r="P324" i="69"/>
  <c r="P325" i="69"/>
  <c r="P326" i="69"/>
  <c r="P327" i="69"/>
  <c r="P328" i="69"/>
  <c r="P329" i="69"/>
  <c r="P330" i="69"/>
  <c r="P331" i="69"/>
  <c r="P332" i="69"/>
  <c r="P333" i="69"/>
  <c r="P334" i="69"/>
  <c r="P335" i="69"/>
  <c r="P336" i="69"/>
  <c r="P337" i="69"/>
  <c r="P338" i="69"/>
  <c r="P339" i="69"/>
  <c r="P340" i="69"/>
  <c r="P341" i="69"/>
  <c r="P342" i="69"/>
  <c r="P343" i="69"/>
  <c r="P344" i="69"/>
  <c r="P345" i="69"/>
  <c r="P346" i="69"/>
  <c r="P347" i="69"/>
  <c r="P348" i="69"/>
  <c r="P349" i="69"/>
  <c r="P350" i="69"/>
  <c r="P351" i="69"/>
  <c r="Q299" i="69"/>
  <c r="Q300" i="69"/>
  <c r="Q301" i="69"/>
  <c r="Q302" i="69"/>
  <c r="Q303" i="69"/>
  <c r="Q304" i="69"/>
  <c r="Q305" i="69"/>
  <c r="Q306" i="69"/>
  <c r="Q307" i="69"/>
  <c r="Q308" i="69"/>
  <c r="Q309" i="69"/>
  <c r="Q310" i="69"/>
  <c r="Q311" i="69"/>
  <c r="Q312" i="69"/>
  <c r="Q313" i="69"/>
  <c r="Q314" i="69"/>
  <c r="Q315" i="69"/>
  <c r="Q316" i="69"/>
  <c r="Q317" i="69"/>
  <c r="Q318" i="69"/>
  <c r="Q319" i="69"/>
  <c r="Q320" i="69"/>
  <c r="Q321" i="69"/>
  <c r="Q322" i="69"/>
  <c r="Q323" i="69"/>
  <c r="Q324" i="69"/>
  <c r="Q325" i="69"/>
  <c r="Q326" i="69"/>
  <c r="Q327" i="69"/>
  <c r="Q328" i="69"/>
  <c r="Q329" i="69"/>
  <c r="Q330" i="69"/>
  <c r="Q331" i="69"/>
  <c r="Q332" i="69"/>
  <c r="Q333" i="69"/>
  <c r="Q334" i="69"/>
  <c r="Q335" i="69"/>
  <c r="Q336" i="69"/>
  <c r="Q337" i="69"/>
  <c r="Q338" i="69"/>
  <c r="Q339" i="69"/>
  <c r="Q340" i="69"/>
  <c r="Q341" i="69"/>
  <c r="Q342" i="69"/>
  <c r="Q343" i="69"/>
  <c r="Q344" i="69"/>
  <c r="Q345" i="69"/>
  <c r="Q346" i="69"/>
  <c r="Q347" i="69"/>
  <c r="Q348" i="69"/>
  <c r="Q349" i="69"/>
  <c r="Q350" i="69"/>
  <c r="Q351" i="69"/>
  <c r="R299" i="69"/>
  <c r="R300" i="69"/>
  <c r="R301" i="69"/>
  <c r="R302" i="69"/>
  <c r="R303" i="69"/>
  <c r="R304" i="69"/>
  <c r="R305" i="69"/>
  <c r="R306" i="69"/>
  <c r="R307" i="69"/>
  <c r="R308" i="69"/>
  <c r="R309" i="69"/>
  <c r="R310" i="69"/>
  <c r="R311" i="69"/>
  <c r="R312" i="69"/>
  <c r="R313" i="69"/>
  <c r="R314" i="69"/>
  <c r="R315" i="69"/>
  <c r="R316" i="69"/>
  <c r="R317" i="69"/>
  <c r="R318" i="69"/>
  <c r="R319" i="69"/>
  <c r="R320" i="69"/>
  <c r="R321" i="69"/>
  <c r="R322" i="69"/>
  <c r="R323" i="69"/>
  <c r="R324" i="69"/>
  <c r="R325" i="69"/>
  <c r="R326" i="69"/>
  <c r="R327" i="69"/>
  <c r="R328" i="69"/>
  <c r="R329" i="69"/>
  <c r="R330" i="69"/>
  <c r="R331" i="69"/>
  <c r="R332" i="69"/>
  <c r="R333" i="69"/>
  <c r="R334" i="69"/>
  <c r="R335" i="69"/>
  <c r="R336" i="69"/>
  <c r="R337" i="69"/>
  <c r="R338" i="69"/>
  <c r="R339" i="69"/>
  <c r="R340" i="69"/>
  <c r="R341" i="69"/>
  <c r="R342" i="69"/>
  <c r="R343" i="69"/>
  <c r="R344" i="69"/>
  <c r="R345" i="69"/>
  <c r="R346" i="69"/>
  <c r="R347" i="69"/>
  <c r="R348" i="69"/>
  <c r="R349" i="69"/>
  <c r="R350" i="69"/>
  <c r="R351" i="69"/>
  <c r="S299" i="69"/>
  <c r="S300" i="69"/>
  <c r="S301" i="69"/>
  <c r="S302" i="69"/>
  <c r="S303" i="69"/>
  <c r="S304" i="69"/>
  <c r="S305" i="69"/>
  <c r="S306" i="69"/>
  <c r="S307" i="69"/>
  <c r="S308" i="69"/>
  <c r="S309" i="69"/>
  <c r="S310" i="69"/>
  <c r="S311" i="69"/>
  <c r="S312" i="69"/>
  <c r="S313" i="69"/>
  <c r="S314" i="69"/>
  <c r="S315" i="69"/>
  <c r="S316" i="69"/>
  <c r="S317" i="69"/>
  <c r="S318" i="69"/>
  <c r="S319" i="69"/>
  <c r="S320" i="69"/>
  <c r="S321" i="69"/>
  <c r="S322" i="69"/>
  <c r="S323" i="69"/>
  <c r="S324" i="69"/>
  <c r="S325" i="69"/>
  <c r="S326" i="69"/>
  <c r="S327" i="69"/>
  <c r="S328" i="69"/>
  <c r="S329" i="69"/>
  <c r="S330" i="69"/>
  <c r="S331" i="69"/>
  <c r="S332" i="69"/>
  <c r="S333" i="69"/>
  <c r="S334" i="69"/>
  <c r="S335" i="69"/>
  <c r="S336" i="69"/>
  <c r="S337" i="69"/>
  <c r="S338" i="69"/>
  <c r="S339" i="69"/>
  <c r="S340" i="69"/>
  <c r="S341" i="69"/>
  <c r="S342" i="69"/>
  <c r="S343" i="69"/>
  <c r="S344" i="69"/>
  <c r="S345" i="69"/>
  <c r="S346" i="69"/>
  <c r="S347" i="69"/>
  <c r="S348" i="69"/>
  <c r="S349" i="69"/>
  <c r="S350" i="69"/>
  <c r="S351" i="69"/>
  <c r="U299" i="69"/>
  <c r="U300" i="69"/>
  <c r="U301" i="69"/>
  <c r="U302" i="69"/>
  <c r="U303" i="69"/>
  <c r="U304" i="69"/>
  <c r="U305" i="69"/>
  <c r="U306" i="69"/>
  <c r="U307" i="69"/>
  <c r="U308" i="69"/>
  <c r="U309" i="69"/>
  <c r="U310" i="69"/>
  <c r="U311" i="69"/>
  <c r="U312" i="69"/>
  <c r="U313" i="69"/>
  <c r="U314" i="69"/>
  <c r="U315" i="69"/>
  <c r="U316" i="69"/>
  <c r="U317" i="69"/>
  <c r="U318" i="69"/>
  <c r="U319" i="69"/>
  <c r="U320" i="69"/>
  <c r="U321" i="69"/>
  <c r="U322" i="69"/>
  <c r="U323" i="69"/>
  <c r="U324" i="69"/>
  <c r="U325" i="69"/>
  <c r="U326" i="69"/>
  <c r="U327" i="69"/>
  <c r="U328" i="69"/>
  <c r="U329" i="69"/>
  <c r="U330" i="69"/>
  <c r="U331" i="69"/>
  <c r="U332" i="69"/>
  <c r="U333" i="69"/>
  <c r="U334" i="69"/>
  <c r="U335" i="69"/>
  <c r="U336" i="69"/>
  <c r="U337" i="69"/>
  <c r="U338" i="69"/>
  <c r="U339" i="69"/>
  <c r="U340" i="69"/>
  <c r="U341" i="69"/>
  <c r="U342" i="69"/>
  <c r="U343" i="69"/>
  <c r="U344" i="69"/>
  <c r="U345" i="69"/>
  <c r="U346" i="69"/>
  <c r="U347" i="69"/>
  <c r="U348" i="69"/>
  <c r="U349" i="69"/>
  <c r="U350" i="69"/>
  <c r="U351" i="69"/>
  <c r="V299" i="69"/>
  <c r="V300" i="69"/>
  <c r="V301" i="69"/>
  <c r="V302" i="69"/>
  <c r="V303" i="69"/>
  <c r="V304" i="69"/>
  <c r="V305" i="69"/>
  <c r="V306" i="69"/>
  <c r="V307" i="69"/>
  <c r="V308" i="69"/>
  <c r="V309" i="69"/>
  <c r="V310" i="69"/>
  <c r="V311" i="69"/>
  <c r="V312" i="69"/>
  <c r="V313" i="69"/>
  <c r="V314" i="69"/>
  <c r="V315" i="69"/>
  <c r="V316" i="69"/>
  <c r="V317" i="69"/>
  <c r="V318" i="69"/>
  <c r="V319" i="69"/>
  <c r="V320" i="69"/>
  <c r="V321" i="69"/>
  <c r="V322" i="69"/>
  <c r="V323" i="69"/>
  <c r="V324" i="69"/>
  <c r="V325" i="69"/>
  <c r="V326" i="69"/>
  <c r="V327" i="69"/>
  <c r="V328" i="69"/>
  <c r="V329" i="69"/>
  <c r="V330" i="69"/>
  <c r="V331" i="69"/>
  <c r="V332" i="69"/>
  <c r="V333" i="69"/>
  <c r="V334" i="69"/>
  <c r="V335" i="69"/>
  <c r="V336" i="69"/>
  <c r="V337" i="69"/>
  <c r="V338" i="69"/>
  <c r="V339" i="69"/>
  <c r="V340" i="69"/>
  <c r="V341" i="69"/>
  <c r="V342" i="69"/>
  <c r="V343" i="69"/>
  <c r="V344" i="69"/>
  <c r="V345" i="69"/>
  <c r="V346" i="69"/>
  <c r="V347" i="69"/>
  <c r="V348" i="69"/>
  <c r="V349" i="69"/>
  <c r="V350" i="69"/>
  <c r="V351" i="69"/>
  <c r="W299" i="69"/>
  <c r="W300" i="69"/>
  <c r="W301" i="69"/>
  <c r="W302" i="69"/>
  <c r="W303" i="69"/>
  <c r="W304" i="69"/>
  <c r="W305" i="69"/>
  <c r="W306" i="69"/>
  <c r="W307" i="69"/>
  <c r="W308" i="69"/>
  <c r="W309" i="69"/>
  <c r="W310" i="69"/>
  <c r="W311" i="69"/>
  <c r="W312" i="69"/>
  <c r="W313" i="69"/>
  <c r="W314" i="69"/>
  <c r="W315" i="69"/>
  <c r="W316" i="69"/>
  <c r="W317" i="69"/>
  <c r="W318" i="69"/>
  <c r="W319" i="69"/>
  <c r="W320" i="69"/>
  <c r="W321" i="69"/>
  <c r="W322" i="69"/>
  <c r="W323" i="69"/>
  <c r="W324" i="69"/>
  <c r="W325" i="69"/>
  <c r="W326" i="69"/>
  <c r="W327" i="69"/>
  <c r="W328" i="69"/>
  <c r="W329" i="69"/>
  <c r="W330" i="69"/>
  <c r="W331" i="69"/>
  <c r="W332" i="69"/>
  <c r="W333" i="69"/>
  <c r="W334" i="69"/>
  <c r="W335" i="69"/>
  <c r="W336" i="69"/>
  <c r="W337" i="69"/>
  <c r="W338" i="69"/>
  <c r="W339" i="69"/>
  <c r="W340" i="69"/>
  <c r="W341" i="69"/>
  <c r="W342" i="69"/>
  <c r="W343" i="69"/>
  <c r="W344" i="69"/>
  <c r="W345" i="69"/>
  <c r="W346" i="69"/>
  <c r="W347" i="69"/>
  <c r="W348" i="69"/>
  <c r="W349" i="69"/>
  <c r="W350" i="69"/>
  <c r="W351" i="69"/>
  <c r="X299" i="69"/>
  <c r="X300" i="69"/>
  <c r="X301" i="69"/>
  <c r="X302" i="69"/>
  <c r="X303" i="69"/>
  <c r="X304" i="69"/>
  <c r="X305" i="69"/>
  <c r="X306" i="69"/>
  <c r="X307" i="69"/>
  <c r="X308" i="69"/>
  <c r="X309" i="69"/>
  <c r="X310" i="69"/>
  <c r="X311" i="69"/>
  <c r="X312" i="69"/>
  <c r="X313" i="69"/>
  <c r="X314" i="69"/>
  <c r="X315" i="69"/>
  <c r="X316" i="69"/>
  <c r="X317" i="69"/>
  <c r="X318" i="69"/>
  <c r="X319" i="69"/>
  <c r="X320" i="69"/>
  <c r="X321" i="69"/>
  <c r="X322" i="69"/>
  <c r="X323" i="69"/>
  <c r="X324" i="69"/>
  <c r="X325" i="69"/>
  <c r="X326" i="69"/>
  <c r="X327" i="69"/>
  <c r="X328" i="69"/>
  <c r="X329" i="69"/>
  <c r="X330" i="69"/>
  <c r="X331" i="69"/>
  <c r="X332" i="69"/>
  <c r="X333" i="69"/>
  <c r="X334" i="69"/>
  <c r="X335" i="69"/>
  <c r="X336" i="69"/>
  <c r="X337" i="69"/>
  <c r="X338" i="69"/>
  <c r="X339" i="69"/>
  <c r="X340" i="69"/>
  <c r="X341" i="69"/>
  <c r="X342" i="69"/>
  <c r="X343" i="69"/>
  <c r="X344" i="69"/>
  <c r="X345" i="69"/>
  <c r="X346" i="69"/>
  <c r="X347" i="69"/>
  <c r="X348" i="69"/>
  <c r="X349" i="69"/>
  <c r="X350" i="69"/>
  <c r="X351" i="69"/>
  <c r="AG299" i="69"/>
  <c r="AF299" i="69" s="1"/>
  <c r="AG300" i="69"/>
  <c r="AF300" i="69" s="1"/>
  <c r="AG301" i="69"/>
  <c r="AF301" i="69" s="1"/>
  <c r="E301" i="69" s="1" a="1"/>
  <c r="E301" i="69" s="1"/>
  <c r="AG302" i="69"/>
  <c r="AF302" i="69" s="1"/>
  <c r="M302" i="69" s="1"/>
  <c r="AG303" i="69"/>
  <c r="AF303" i="69" s="1"/>
  <c r="AG304" i="69"/>
  <c r="AF304" i="69" s="1"/>
  <c r="AG305" i="69"/>
  <c r="AF305" i="69" s="1"/>
  <c r="AG306" i="69"/>
  <c r="AF306" i="69" s="1"/>
  <c r="AG307" i="69"/>
  <c r="AF307" i="69" s="1"/>
  <c r="AG308" i="69"/>
  <c r="AF308" i="69" s="1"/>
  <c r="AG309" i="69"/>
  <c r="AF309" i="69" s="1"/>
  <c r="AG310" i="69"/>
  <c r="AF310" i="69" s="1"/>
  <c r="M310" i="69" s="1"/>
  <c r="AG311" i="69"/>
  <c r="AF311" i="69" s="1"/>
  <c r="AG312" i="69"/>
  <c r="AF312" i="69" s="1"/>
  <c r="AG313" i="69"/>
  <c r="AF313" i="69" s="1"/>
  <c r="AG314" i="69"/>
  <c r="AF314" i="69" s="1"/>
  <c r="AG315" i="69"/>
  <c r="AF315" i="69" s="1"/>
  <c r="AG316" i="69"/>
  <c r="AF316" i="69" s="1"/>
  <c r="AG317" i="69"/>
  <c r="AF317" i="69" s="1"/>
  <c r="E317" i="69" s="1" a="1"/>
  <c r="E317" i="69" s="1"/>
  <c r="AG318" i="69"/>
  <c r="AF318" i="69" s="1"/>
  <c r="M318" i="69" s="1"/>
  <c r="AG319" i="69"/>
  <c r="AF319" i="69" s="1"/>
  <c r="AG320" i="69"/>
  <c r="AF320" i="69" s="1"/>
  <c r="AG321" i="69"/>
  <c r="AF321" i="69" s="1"/>
  <c r="AG322" i="69"/>
  <c r="AF322" i="69" s="1"/>
  <c r="AG323" i="69"/>
  <c r="AF323" i="69" s="1"/>
  <c r="AG324" i="69"/>
  <c r="AF324" i="69" s="1"/>
  <c r="AG325" i="69"/>
  <c r="AF325" i="69" s="1"/>
  <c r="E325" i="69" s="1" a="1"/>
  <c r="E325" i="69" s="1"/>
  <c r="AG326" i="69"/>
  <c r="AF326" i="69" s="1"/>
  <c r="M326" i="69" s="1"/>
  <c r="AG327" i="69"/>
  <c r="AF327" i="69" s="1"/>
  <c r="AG328" i="69"/>
  <c r="AF328" i="69" s="1"/>
  <c r="AG329" i="69"/>
  <c r="AF329" i="69" s="1"/>
  <c r="AG330" i="69"/>
  <c r="AF330" i="69" s="1"/>
  <c r="AG331" i="69"/>
  <c r="AF331" i="69" s="1"/>
  <c r="AG332" i="69"/>
  <c r="AF332" i="69" s="1"/>
  <c r="AG333" i="69"/>
  <c r="AF333" i="69" s="1"/>
  <c r="E333" i="69" s="1" a="1"/>
  <c r="E333" i="69" s="1"/>
  <c r="AG334" i="69"/>
  <c r="AF334" i="69" s="1"/>
  <c r="M334" i="69" s="1"/>
  <c r="AG335" i="69"/>
  <c r="AF335" i="69" s="1"/>
  <c r="AG336" i="69"/>
  <c r="AF336" i="69" s="1"/>
  <c r="AG337" i="69"/>
  <c r="AF337" i="69" s="1"/>
  <c r="AG338" i="69"/>
  <c r="AF338" i="69" s="1"/>
  <c r="AG339" i="69"/>
  <c r="AF339" i="69" s="1"/>
  <c r="AG340" i="69"/>
  <c r="AF340" i="69" s="1"/>
  <c r="AG341" i="69"/>
  <c r="AF341" i="69" s="1"/>
  <c r="E341" i="69" s="1" a="1"/>
  <c r="E341" i="69" s="1"/>
  <c r="AG342" i="69"/>
  <c r="AF342" i="69" s="1"/>
  <c r="M342" i="69" s="1"/>
  <c r="AG343" i="69"/>
  <c r="AF343" i="69" s="1"/>
  <c r="AG344" i="69"/>
  <c r="AF344" i="69" s="1"/>
  <c r="AG345" i="69"/>
  <c r="AF345" i="69" s="1"/>
  <c r="AG346" i="69"/>
  <c r="AF346" i="69" s="1"/>
  <c r="AG347" i="69"/>
  <c r="AF347" i="69" s="1"/>
  <c r="AG348" i="69"/>
  <c r="AF348" i="69" s="1"/>
  <c r="AG349" i="69"/>
  <c r="AF349" i="69" s="1"/>
  <c r="E349" i="69" s="1" a="1"/>
  <c r="E349" i="69" s="1"/>
  <c r="AG350" i="69"/>
  <c r="AF350" i="69" s="1"/>
  <c r="M350" i="69" s="1"/>
  <c r="AG351" i="69"/>
  <c r="AF351" i="69" s="1"/>
  <c r="AH299" i="69"/>
  <c r="AH300" i="69"/>
  <c r="AH301" i="69"/>
  <c r="F301" i="69" s="1" a="1"/>
  <c r="F301" i="69" s="1"/>
  <c r="AH302" i="69"/>
  <c r="AH303" i="69"/>
  <c r="H303" i="69" s="1"/>
  <c r="AH304" i="69"/>
  <c r="H304" i="69" s="1"/>
  <c r="AH305" i="69"/>
  <c r="F305" i="69" s="1" a="1"/>
  <c r="F305" i="69" s="1"/>
  <c r="AH306" i="69"/>
  <c r="AH307" i="69"/>
  <c r="AH308" i="69"/>
  <c r="AH309" i="69"/>
  <c r="F309" i="69" s="1" a="1"/>
  <c r="F309" i="69" s="1"/>
  <c r="AH310" i="69"/>
  <c r="AH311" i="69"/>
  <c r="I311" i="69" s="1" a="1"/>
  <c r="I311" i="69" s="1"/>
  <c r="AH312" i="69"/>
  <c r="H312" i="69" s="1"/>
  <c r="AH313" i="69"/>
  <c r="AH314" i="69"/>
  <c r="AH315" i="69"/>
  <c r="AH316" i="69"/>
  <c r="AH317" i="69"/>
  <c r="F317" i="69" s="1" a="1"/>
  <c r="F317" i="69" s="1"/>
  <c r="AH318" i="69"/>
  <c r="AH319" i="69"/>
  <c r="H319" i="69" s="1"/>
  <c r="AH320" i="69"/>
  <c r="AH321" i="69"/>
  <c r="F321" i="69" s="1" a="1"/>
  <c r="F321" i="69" s="1"/>
  <c r="AH322" i="69"/>
  <c r="AH323" i="69"/>
  <c r="AH324" i="69"/>
  <c r="AH325" i="69"/>
  <c r="F325" i="69" s="1" a="1"/>
  <c r="F325" i="69" s="1"/>
  <c r="AH326" i="69"/>
  <c r="AH327" i="69"/>
  <c r="I327" i="69" s="1" a="1"/>
  <c r="I327" i="69" s="1"/>
  <c r="AH328" i="69"/>
  <c r="AH329" i="69"/>
  <c r="AH330" i="69"/>
  <c r="AH331" i="69"/>
  <c r="AH332" i="69"/>
  <c r="AH333" i="69"/>
  <c r="F333" i="69" s="1" a="1"/>
  <c r="F333" i="69" s="1"/>
  <c r="AH334" i="69"/>
  <c r="AH335" i="69"/>
  <c r="H335" i="69" s="1"/>
  <c r="AH336" i="69"/>
  <c r="H336" i="69" s="1"/>
  <c r="AH337" i="69"/>
  <c r="F337" i="69" s="1" a="1"/>
  <c r="F337" i="69" s="1"/>
  <c r="AH338" i="69"/>
  <c r="AH339" i="69"/>
  <c r="AH340" i="69"/>
  <c r="AH341" i="69"/>
  <c r="F341" i="69" s="1" a="1"/>
  <c r="F341" i="69" s="1"/>
  <c r="AH342" i="69"/>
  <c r="AH343" i="69"/>
  <c r="I343" i="69" s="1" a="1"/>
  <c r="I343" i="69" s="1"/>
  <c r="AH344" i="69"/>
  <c r="H344" i="69" s="1"/>
  <c r="AH345" i="69"/>
  <c r="AH346" i="69"/>
  <c r="AH347" i="69"/>
  <c r="AH348" i="69"/>
  <c r="AH349" i="69"/>
  <c r="F349" i="69" s="1" a="1"/>
  <c r="F349" i="69" s="1"/>
  <c r="AH350" i="69"/>
  <c r="AH351" i="69"/>
  <c r="H351" i="69" s="1"/>
  <c r="A260" i="60"/>
  <c r="A261" i="60"/>
  <c r="A262" i="60"/>
  <c r="A263" i="60"/>
  <c r="A264" i="60"/>
  <c r="A265" i="60"/>
  <c r="A266" i="60"/>
  <c r="A267" i="60"/>
  <c r="A268" i="60"/>
  <c r="A269" i="60"/>
  <c r="A270" i="60"/>
  <c r="A271" i="60"/>
  <c r="A272" i="60"/>
  <c r="A273" i="60"/>
  <c r="A274" i="60"/>
  <c r="A275" i="60"/>
  <c r="A276" i="60"/>
  <c r="A277" i="60"/>
  <c r="A278" i="60"/>
  <c r="A279" i="60"/>
  <c r="A280" i="60"/>
  <c r="A281" i="60"/>
  <c r="A282" i="60"/>
  <c r="A283" i="60"/>
  <c r="A284" i="60"/>
  <c r="A285" i="60"/>
  <c r="A286" i="60"/>
  <c r="A287" i="60"/>
  <c r="A288" i="60"/>
  <c r="A289" i="60"/>
  <c r="A290" i="60"/>
  <c r="A291" i="60"/>
  <c r="A292" i="60"/>
  <c r="A293" i="60"/>
  <c r="A294" i="60"/>
  <c r="A295" i="60"/>
  <c r="A296" i="60"/>
  <c r="A297" i="60"/>
  <c r="A298" i="60"/>
  <c r="A299" i="60"/>
  <c r="A300" i="60"/>
  <c r="A301" i="60"/>
  <c r="A302" i="60"/>
  <c r="A303" i="60"/>
  <c r="A304" i="60"/>
  <c r="A305" i="60"/>
  <c r="A306" i="60"/>
  <c r="A307" i="60"/>
  <c r="A308" i="60"/>
  <c r="A309" i="60"/>
  <c r="A310" i="60"/>
  <c r="A311" i="60"/>
  <c r="A312" i="60"/>
  <c r="A313" i="60"/>
  <c r="A314" i="60"/>
  <c r="A315" i="60"/>
  <c r="A316" i="60"/>
  <c r="A317" i="60"/>
  <c r="A318" i="60"/>
  <c r="A319" i="60"/>
  <c r="A320" i="60"/>
  <c r="A321" i="60"/>
  <c r="A322" i="60"/>
  <c r="A323" i="60"/>
  <c r="A324" i="60"/>
  <c r="A325" i="60"/>
  <c r="A326" i="60"/>
  <c r="A327" i="60"/>
  <c r="A328" i="60"/>
  <c r="A329" i="60"/>
  <c r="A330" i="60"/>
  <c r="A331" i="60"/>
  <c r="A332" i="60"/>
  <c r="A333" i="60"/>
  <c r="A334" i="60"/>
  <c r="A335" i="60"/>
  <c r="A336" i="60"/>
  <c r="A337" i="60"/>
  <c r="A338" i="60"/>
  <c r="C260" i="60"/>
  <c r="C261" i="60"/>
  <c r="C262" i="60"/>
  <c r="C263" i="60"/>
  <c r="C264" i="60"/>
  <c r="C265" i="60"/>
  <c r="C266" i="60"/>
  <c r="C267" i="60"/>
  <c r="C268" i="60"/>
  <c r="C269" i="60"/>
  <c r="C270" i="60"/>
  <c r="C271" i="60"/>
  <c r="C272" i="60"/>
  <c r="C273" i="60"/>
  <c r="C274" i="60"/>
  <c r="C275" i="60"/>
  <c r="C276" i="60"/>
  <c r="C277" i="60"/>
  <c r="C278" i="60"/>
  <c r="C279" i="60"/>
  <c r="C280" i="60"/>
  <c r="C281" i="60"/>
  <c r="C282" i="60"/>
  <c r="C283" i="60"/>
  <c r="C284" i="60"/>
  <c r="C285" i="60"/>
  <c r="C286" i="60"/>
  <c r="C287" i="60"/>
  <c r="C288" i="60"/>
  <c r="C289" i="60"/>
  <c r="C290" i="60"/>
  <c r="C291" i="60"/>
  <c r="C292" i="60"/>
  <c r="C293" i="60"/>
  <c r="C294" i="60"/>
  <c r="C295" i="60"/>
  <c r="C296" i="60"/>
  <c r="C297" i="60"/>
  <c r="C298" i="60"/>
  <c r="C299" i="60"/>
  <c r="C300" i="60"/>
  <c r="C301" i="60"/>
  <c r="C302" i="60"/>
  <c r="C303" i="60"/>
  <c r="C304" i="60"/>
  <c r="C305" i="60"/>
  <c r="C306" i="60"/>
  <c r="C307" i="60"/>
  <c r="C308" i="60"/>
  <c r="C309" i="60"/>
  <c r="C310" i="60"/>
  <c r="C311" i="60"/>
  <c r="C312" i="60"/>
  <c r="C313" i="60"/>
  <c r="C314" i="60"/>
  <c r="C315" i="60"/>
  <c r="C316" i="60"/>
  <c r="C317" i="60"/>
  <c r="C318" i="60"/>
  <c r="C319" i="60"/>
  <c r="C320" i="60"/>
  <c r="C321" i="60"/>
  <c r="C322" i="60"/>
  <c r="C323" i="60"/>
  <c r="C324" i="60"/>
  <c r="C325" i="60"/>
  <c r="C326" i="60"/>
  <c r="C327" i="60"/>
  <c r="C328" i="60"/>
  <c r="C329" i="60"/>
  <c r="C330" i="60"/>
  <c r="C331" i="60"/>
  <c r="C332" i="60"/>
  <c r="C333" i="60"/>
  <c r="C334" i="60"/>
  <c r="C335" i="60"/>
  <c r="C336" i="60"/>
  <c r="C337" i="60"/>
  <c r="C338" i="60"/>
  <c r="G260" i="60"/>
  <c r="G261" i="60"/>
  <c r="G262" i="60"/>
  <c r="G263" i="60"/>
  <c r="G264" i="60"/>
  <c r="G265" i="60"/>
  <c r="G266" i="60"/>
  <c r="G267" i="60"/>
  <c r="G268" i="60"/>
  <c r="G269" i="60"/>
  <c r="G270" i="60"/>
  <c r="G271" i="60"/>
  <c r="G272" i="60"/>
  <c r="G273" i="60"/>
  <c r="G274" i="60"/>
  <c r="G275" i="60"/>
  <c r="G276" i="60"/>
  <c r="G277" i="60"/>
  <c r="G278" i="60"/>
  <c r="G279" i="60"/>
  <c r="G280" i="60"/>
  <c r="G281" i="60"/>
  <c r="G282" i="60"/>
  <c r="G283" i="60"/>
  <c r="G284" i="60"/>
  <c r="G285" i="60"/>
  <c r="G286" i="60"/>
  <c r="G287" i="60"/>
  <c r="G288" i="60"/>
  <c r="G289" i="60"/>
  <c r="G290" i="60"/>
  <c r="G291" i="60"/>
  <c r="G292" i="60"/>
  <c r="G293" i="60"/>
  <c r="G294" i="60"/>
  <c r="G295" i="60"/>
  <c r="G296" i="60"/>
  <c r="G297" i="60"/>
  <c r="G298" i="60"/>
  <c r="G299" i="60"/>
  <c r="G300" i="60"/>
  <c r="G301" i="60"/>
  <c r="G302" i="60"/>
  <c r="G303" i="60"/>
  <c r="G304" i="60"/>
  <c r="G305" i="60"/>
  <c r="G306" i="60"/>
  <c r="G307" i="60"/>
  <c r="G308" i="60"/>
  <c r="G309" i="60"/>
  <c r="G310" i="60"/>
  <c r="G311" i="60"/>
  <c r="G312" i="60"/>
  <c r="G313" i="60"/>
  <c r="G314" i="60"/>
  <c r="G315" i="60"/>
  <c r="G316" i="60"/>
  <c r="G317" i="60"/>
  <c r="G318" i="60"/>
  <c r="G319" i="60"/>
  <c r="G320" i="60"/>
  <c r="G321" i="60"/>
  <c r="G322" i="60"/>
  <c r="G323" i="60"/>
  <c r="G324" i="60"/>
  <c r="G325" i="60"/>
  <c r="G326" i="60"/>
  <c r="G327" i="60"/>
  <c r="G328" i="60"/>
  <c r="G329" i="60"/>
  <c r="G330" i="60"/>
  <c r="G331" i="60"/>
  <c r="G332" i="60"/>
  <c r="G333" i="60"/>
  <c r="G334" i="60"/>
  <c r="G335" i="60"/>
  <c r="G336" i="60"/>
  <c r="G337" i="60"/>
  <c r="G338" i="60"/>
  <c r="K260" i="60"/>
  <c r="K261" i="60"/>
  <c r="K262" i="60"/>
  <c r="K263" i="60"/>
  <c r="K264" i="60"/>
  <c r="K265" i="60"/>
  <c r="K266" i="60"/>
  <c r="K267" i="60"/>
  <c r="K268" i="60"/>
  <c r="K269" i="60"/>
  <c r="K270" i="60"/>
  <c r="K271" i="60"/>
  <c r="K272" i="60"/>
  <c r="K273" i="60"/>
  <c r="K274" i="60"/>
  <c r="K275" i="60"/>
  <c r="K276" i="60"/>
  <c r="K277" i="60"/>
  <c r="K278" i="60"/>
  <c r="K279" i="60"/>
  <c r="K280" i="60"/>
  <c r="K281" i="60"/>
  <c r="K282" i="60"/>
  <c r="K283" i="60"/>
  <c r="K284" i="60"/>
  <c r="K285" i="60"/>
  <c r="K286" i="60"/>
  <c r="K287" i="60"/>
  <c r="K288" i="60"/>
  <c r="K289" i="60"/>
  <c r="K290" i="60"/>
  <c r="K291" i="60"/>
  <c r="K292" i="60"/>
  <c r="K293" i="60"/>
  <c r="K294" i="60"/>
  <c r="K295" i="60"/>
  <c r="K296" i="60"/>
  <c r="K297" i="60"/>
  <c r="K298" i="60"/>
  <c r="K299" i="60"/>
  <c r="K300" i="60"/>
  <c r="K301" i="60"/>
  <c r="K302" i="60"/>
  <c r="K303" i="60"/>
  <c r="K304" i="60"/>
  <c r="K305" i="60"/>
  <c r="K306" i="60"/>
  <c r="K307" i="60"/>
  <c r="K308" i="60"/>
  <c r="K309" i="60"/>
  <c r="K310" i="60"/>
  <c r="K311" i="60"/>
  <c r="K312" i="60"/>
  <c r="K313" i="60"/>
  <c r="K314" i="60"/>
  <c r="K315" i="60"/>
  <c r="K316" i="60"/>
  <c r="K317" i="60"/>
  <c r="K318" i="60"/>
  <c r="K319" i="60"/>
  <c r="K320" i="60"/>
  <c r="K321" i="60"/>
  <c r="K322" i="60"/>
  <c r="K323" i="60"/>
  <c r="K324" i="60"/>
  <c r="K325" i="60"/>
  <c r="K326" i="60"/>
  <c r="K327" i="60"/>
  <c r="K328" i="60"/>
  <c r="K329" i="60"/>
  <c r="K330" i="60"/>
  <c r="K331" i="60"/>
  <c r="K332" i="60"/>
  <c r="K333" i="60"/>
  <c r="K334" i="60"/>
  <c r="K335" i="60"/>
  <c r="K336" i="60"/>
  <c r="K337" i="60"/>
  <c r="K338" i="60"/>
  <c r="L260" i="60" a="1"/>
  <c r="L260" i="60" s="1"/>
  <c r="L261" i="60" a="1"/>
  <c r="L261" i="60" s="1"/>
  <c r="L262" i="60" a="1"/>
  <c r="L262" i="60" s="1"/>
  <c r="L263" i="60" a="1"/>
  <c r="L263" i="60" s="1"/>
  <c r="L264" i="60" a="1"/>
  <c r="L264" i="60" s="1"/>
  <c r="L265" i="60" a="1"/>
  <c r="L265" i="60" s="1"/>
  <c r="L266" i="60" a="1"/>
  <c r="L266" i="60" s="1"/>
  <c r="L267" i="60" a="1"/>
  <c r="L267" i="60" s="1"/>
  <c r="L268" i="60" a="1"/>
  <c r="L268" i="60" s="1"/>
  <c r="L269" i="60" a="1"/>
  <c r="L269" i="60" s="1"/>
  <c r="L270" i="60" a="1"/>
  <c r="L270" i="60" s="1"/>
  <c r="L271" i="60" a="1"/>
  <c r="L271" i="60" s="1"/>
  <c r="L272" i="60" a="1"/>
  <c r="L272" i="60" s="1"/>
  <c r="L273" i="60" a="1"/>
  <c r="L273" i="60" s="1"/>
  <c r="L274" i="60" a="1"/>
  <c r="L274" i="60" s="1"/>
  <c r="L275" i="60" a="1"/>
  <c r="L275" i="60" s="1"/>
  <c r="L276" i="60" a="1"/>
  <c r="L276" i="60" s="1"/>
  <c r="L277" i="60" a="1"/>
  <c r="L277" i="60" s="1"/>
  <c r="L278" i="60" a="1"/>
  <c r="L278" i="60" s="1"/>
  <c r="L279" i="60" a="1"/>
  <c r="L279" i="60" s="1"/>
  <c r="L280" i="60" a="1"/>
  <c r="L280" i="60" s="1"/>
  <c r="L281" i="60" a="1"/>
  <c r="L281" i="60" s="1"/>
  <c r="L282" i="60" a="1"/>
  <c r="L282" i="60" s="1"/>
  <c r="L283" i="60" a="1"/>
  <c r="L283" i="60" s="1"/>
  <c r="L284" i="60" a="1"/>
  <c r="L284" i="60" s="1"/>
  <c r="L285" i="60" a="1"/>
  <c r="L285" i="60" s="1"/>
  <c r="L286" i="60" a="1"/>
  <c r="L286" i="60" s="1"/>
  <c r="L287" i="60" a="1"/>
  <c r="L287" i="60" s="1"/>
  <c r="L288" i="60" a="1"/>
  <c r="L288" i="60" s="1"/>
  <c r="L289" i="60" a="1"/>
  <c r="L289" i="60" s="1"/>
  <c r="L290" i="60" a="1"/>
  <c r="L290" i="60" s="1"/>
  <c r="L291" i="60" a="1"/>
  <c r="L291" i="60" s="1"/>
  <c r="L292" i="60" a="1"/>
  <c r="L292" i="60" s="1"/>
  <c r="L293" i="60" a="1"/>
  <c r="L293" i="60" s="1"/>
  <c r="L294" i="60" a="1"/>
  <c r="L294" i="60" s="1"/>
  <c r="L295" i="60" a="1"/>
  <c r="L295" i="60" s="1"/>
  <c r="L296" i="60" a="1"/>
  <c r="L296" i="60" s="1"/>
  <c r="L297" i="60" a="1"/>
  <c r="L297" i="60" s="1"/>
  <c r="L298" i="60" a="1"/>
  <c r="L298" i="60" s="1"/>
  <c r="L299" i="60" a="1"/>
  <c r="L299" i="60" s="1"/>
  <c r="L300" i="60" a="1"/>
  <c r="L300" i="60" s="1"/>
  <c r="L301" i="60" a="1"/>
  <c r="L301" i="60" s="1"/>
  <c r="L302" i="60" a="1"/>
  <c r="L302" i="60" s="1"/>
  <c r="L303" i="60" a="1"/>
  <c r="L303" i="60" s="1"/>
  <c r="L304" i="60" a="1"/>
  <c r="L304" i="60" s="1"/>
  <c r="L305" i="60" a="1"/>
  <c r="L305" i="60" s="1"/>
  <c r="L306" i="60" a="1"/>
  <c r="L306" i="60" s="1"/>
  <c r="L307" i="60" a="1"/>
  <c r="L307" i="60" s="1"/>
  <c r="L308" i="60" a="1"/>
  <c r="L308" i="60" s="1"/>
  <c r="L309" i="60" a="1"/>
  <c r="L309" i="60" s="1"/>
  <c r="L310" i="60" a="1"/>
  <c r="L310" i="60" s="1"/>
  <c r="L311" i="60" a="1"/>
  <c r="L311" i="60" s="1"/>
  <c r="L312" i="60" a="1"/>
  <c r="L312" i="60" s="1"/>
  <c r="L313" i="60" a="1"/>
  <c r="L313" i="60" s="1"/>
  <c r="L314" i="60" a="1"/>
  <c r="L314" i="60" s="1"/>
  <c r="L315" i="60" a="1"/>
  <c r="L315" i="60" s="1"/>
  <c r="L316" i="60" a="1"/>
  <c r="L316" i="60" s="1"/>
  <c r="L317" i="60" a="1"/>
  <c r="L317" i="60" s="1"/>
  <c r="L318" i="60" a="1"/>
  <c r="L318" i="60" s="1"/>
  <c r="L319" i="60" a="1"/>
  <c r="L319" i="60" s="1"/>
  <c r="L320" i="60" a="1"/>
  <c r="L320" i="60" s="1"/>
  <c r="L321" i="60" a="1"/>
  <c r="L321" i="60" s="1"/>
  <c r="L322" i="60" a="1"/>
  <c r="L322" i="60" s="1"/>
  <c r="L323" i="60" a="1"/>
  <c r="L323" i="60" s="1"/>
  <c r="L324" i="60" a="1"/>
  <c r="L324" i="60" s="1"/>
  <c r="L325" i="60" a="1"/>
  <c r="L325" i="60" s="1"/>
  <c r="L326" i="60" a="1"/>
  <c r="L326" i="60" s="1"/>
  <c r="L327" i="60" a="1"/>
  <c r="L327" i="60" s="1"/>
  <c r="L328" i="60" a="1"/>
  <c r="L328" i="60" s="1"/>
  <c r="L329" i="60" a="1"/>
  <c r="L329" i="60" s="1"/>
  <c r="L330" i="60" a="1"/>
  <c r="L330" i="60" s="1"/>
  <c r="L331" i="60" a="1"/>
  <c r="L331" i="60" s="1"/>
  <c r="L332" i="60" a="1"/>
  <c r="L332" i="60" s="1"/>
  <c r="L333" i="60" a="1"/>
  <c r="L333" i="60" s="1"/>
  <c r="L334" i="60" a="1"/>
  <c r="L334" i="60" s="1"/>
  <c r="L335" i="60" a="1"/>
  <c r="L335" i="60" s="1"/>
  <c r="L336" i="60" a="1"/>
  <c r="L336" i="60" s="1"/>
  <c r="L337" i="60" a="1"/>
  <c r="L337" i="60" s="1"/>
  <c r="L338" i="60" a="1"/>
  <c r="L338" i="60" s="1"/>
  <c r="N260" i="60" a="1"/>
  <c r="N260" i="60" s="1"/>
  <c r="N261" i="60" a="1"/>
  <c r="N261" i="60" s="1"/>
  <c r="N262" i="60" a="1"/>
  <c r="N262" i="60" s="1"/>
  <c r="N263" i="60" a="1"/>
  <c r="N263" i="60" s="1"/>
  <c r="N264" i="60" a="1"/>
  <c r="N264" i="60" s="1"/>
  <c r="N265" i="60" a="1"/>
  <c r="N265" i="60" s="1"/>
  <c r="N266" i="60" a="1"/>
  <c r="N266" i="60" s="1"/>
  <c r="N267" i="60" a="1"/>
  <c r="N267" i="60" s="1"/>
  <c r="N268" i="60" a="1"/>
  <c r="N268" i="60" s="1"/>
  <c r="N269" i="60" a="1"/>
  <c r="N269" i="60" s="1"/>
  <c r="N270" i="60" a="1"/>
  <c r="N270" i="60" s="1"/>
  <c r="N271" i="60" a="1"/>
  <c r="N271" i="60" s="1"/>
  <c r="N272" i="60" a="1"/>
  <c r="N272" i="60" s="1"/>
  <c r="N273" i="60" a="1"/>
  <c r="N273" i="60" s="1"/>
  <c r="N274" i="60" a="1"/>
  <c r="N274" i="60" s="1"/>
  <c r="N275" i="60" a="1"/>
  <c r="N275" i="60" s="1"/>
  <c r="N276" i="60" a="1"/>
  <c r="N276" i="60" s="1"/>
  <c r="N277" i="60" a="1"/>
  <c r="N277" i="60" s="1"/>
  <c r="N278" i="60" a="1"/>
  <c r="N278" i="60" s="1"/>
  <c r="N279" i="60" a="1"/>
  <c r="N279" i="60" s="1"/>
  <c r="N280" i="60" a="1"/>
  <c r="N280" i="60" s="1"/>
  <c r="N281" i="60" a="1"/>
  <c r="N281" i="60" s="1"/>
  <c r="N282" i="60" a="1"/>
  <c r="N282" i="60" s="1"/>
  <c r="N283" i="60" a="1"/>
  <c r="N283" i="60" s="1"/>
  <c r="N284" i="60" a="1"/>
  <c r="N284" i="60" s="1"/>
  <c r="N285" i="60" a="1"/>
  <c r="N285" i="60" s="1"/>
  <c r="N286" i="60" a="1"/>
  <c r="N286" i="60" s="1"/>
  <c r="N287" i="60" a="1"/>
  <c r="N287" i="60" s="1"/>
  <c r="N288" i="60" a="1"/>
  <c r="N288" i="60" s="1"/>
  <c r="N289" i="60" a="1"/>
  <c r="N289" i="60" s="1"/>
  <c r="N290" i="60" a="1"/>
  <c r="N290" i="60" s="1"/>
  <c r="N291" i="60" a="1"/>
  <c r="N291" i="60" s="1"/>
  <c r="N292" i="60" a="1"/>
  <c r="N292" i="60" s="1"/>
  <c r="N293" i="60" a="1"/>
  <c r="N293" i="60" s="1"/>
  <c r="N294" i="60" a="1"/>
  <c r="N294" i="60" s="1"/>
  <c r="N295" i="60" a="1"/>
  <c r="N295" i="60" s="1"/>
  <c r="N296" i="60" a="1"/>
  <c r="N296" i="60" s="1"/>
  <c r="N297" i="60" a="1"/>
  <c r="N297" i="60" s="1"/>
  <c r="N298" i="60" a="1"/>
  <c r="N298" i="60" s="1"/>
  <c r="N299" i="60" a="1"/>
  <c r="N299" i="60" s="1"/>
  <c r="N300" i="60" a="1"/>
  <c r="N300" i="60" s="1"/>
  <c r="N301" i="60" a="1"/>
  <c r="N301" i="60" s="1"/>
  <c r="N302" i="60" a="1"/>
  <c r="N302" i="60" s="1"/>
  <c r="N303" i="60" a="1"/>
  <c r="N303" i="60" s="1"/>
  <c r="N304" i="60" a="1"/>
  <c r="N304" i="60" s="1"/>
  <c r="N305" i="60" a="1"/>
  <c r="N305" i="60" s="1"/>
  <c r="N306" i="60" a="1"/>
  <c r="N306" i="60" s="1"/>
  <c r="N307" i="60" a="1"/>
  <c r="N307" i="60" s="1"/>
  <c r="N308" i="60" a="1"/>
  <c r="N308" i="60" s="1"/>
  <c r="N309" i="60" a="1"/>
  <c r="N309" i="60" s="1"/>
  <c r="N310" i="60" a="1"/>
  <c r="N310" i="60" s="1"/>
  <c r="N311" i="60" a="1"/>
  <c r="N311" i="60" s="1"/>
  <c r="N312" i="60" a="1"/>
  <c r="N312" i="60" s="1"/>
  <c r="N313" i="60" a="1"/>
  <c r="N313" i="60" s="1"/>
  <c r="N314" i="60" a="1"/>
  <c r="N314" i="60" s="1"/>
  <c r="N315" i="60" a="1"/>
  <c r="N315" i="60" s="1"/>
  <c r="N316" i="60" a="1"/>
  <c r="N316" i="60" s="1"/>
  <c r="N317" i="60" a="1"/>
  <c r="N317" i="60" s="1"/>
  <c r="N318" i="60" a="1"/>
  <c r="N318" i="60" s="1"/>
  <c r="N319" i="60" a="1"/>
  <c r="N319" i="60" s="1"/>
  <c r="N320" i="60" a="1"/>
  <c r="N320" i="60" s="1"/>
  <c r="N321" i="60" a="1"/>
  <c r="N321" i="60" s="1"/>
  <c r="N322" i="60" a="1"/>
  <c r="N322" i="60" s="1"/>
  <c r="N323" i="60" a="1"/>
  <c r="N323" i="60" s="1"/>
  <c r="N324" i="60" a="1"/>
  <c r="N324" i="60" s="1"/>
  <c r="N325" i="60" a="1"/>
  <c r="N325" i="60" s="1"/>
  <c r="N326" i="60" a="1"/>
  <c r="N326" i="60" s="1"/>
  <c r="N327" i="60" a="1"/>
  <c r="N327" i="60" s="1"/>
  <c r="N328" i="60" a="1"/>
  <c r="N328" i="60" s="1"/>
  <c r="N329" i="60" a="1"/>
  <c r="N329" i="60" s="1"/>
  <c r="N330" i="60" a="1"/>
  <c r="N330" i="60" s="1"/>
  <c r="N331" i="60" a="1"/>
  <c r="N331" i="60" s="1"/>
  <c r="N332" i="60" a="1"/>
  <c r="N332" i="60" s="1"/>
  <c r="N333" i="60" a="1"/>
  <c r="N333" i="60" s="1"/>
  <c r="N334" i="60" a="1"/>
  <c r="N334" i="60" s="1"/>
  <c r="N335" i="60" a="1"/>
  <c r="N335" i="60" s="1"/>
  <c r="N336" i="60" a="1"/>
  <c r="N336" i="60" s="1"/>
  <c r="N337" i="60" a="1"/>
  <c r="N337" i="60" s="1"/>
  <c r="N338" i="60" a="1"/>
  <c r="N338" i="60" s="1"/>
  <c r="O260" i="60" a="1"/>
  <c r="O260" i="60" s="1"/>
  <c r="O261" i="60" a="1"/>
  <c r="O261" i="60" s="1"/>
  <c r="O262" i="60" a="1"/>
  <c r="O262" i="60" s="1"/>
  <c r="O263" i="60" a="1"/>
  <c r="O263" i="60" s="1"/>
  <c r="O264" i="60" a="1"/>
  <c r="O264" i="60" s="1"/>
  <c r="O265" i="60" a="1"/>
  <c r="O265" i="60" s="1"/>
  <c r="O266" i="60" a="1"/>
  <c r="O266" i="60" s="1"/>
  <c r="O267" i="60" a="1"/>
  <c r="O267" i="60" s="1"/>
  <c r="O268" i="60" a="1"/>
  <c r="O268" i="60" s="1"/>
  <c r="O269" i="60" a="1"/>
  <c r="O269" i="60" s="1"/>
  <c r="O270" i="60" a="1"/>
  <c r="O270" i="60" s="1"/>
  <c r="O271" i="60" a="1"/>
  <c r="O271" i="60" s="1"/>
  <c r="O272" i="60" a="1"/>
  <c r="O272" i="60" s="1"/>
  <c r="O273" i="60" a="1"/>
  <c r="O273" i="60" s="1"/>
  <c r="O274" i="60" a="1"/>
  <c r="O274" i="60" s="1"/>
  <c r="O275" i="60" a="1"/>
  <c r="O275" i="60" s="1"/>
  <c r="O276" i="60" a="1"/>
  <c r="O276" i="60" s="1"/>
  <c r="O277" i="60" a="1"/>
  <c r="O277" i="60" s="1"/>
  <c r="O278" i="60" a="1"/>
  <c r="O278" i="60" s="1"/>
  <c r="O279" i="60" a="1"/>
  <c r="O279" i="60" s="1"/>
  <c r="O280" i="60" a="1"/>
  <c r="O280" i="60" s="1"/>
  <c r="O281" i="60" a="1"/>
  <c r="O281" i="60" s="1"/>
  <c r="O282" i="60" a="1"/>
  <c r="O282" i="60" s="1"/>
  <c r="O283" i="60" a="1"/>
  <c r="O283" i="60" s="1"/>
  <c r="O284" i="60" a="1"/>
  <c r="O284" i="60" s="1"/>
  <c r="O285" i="60" a="1"/>
  <c r="O285" i="60" s="1"/>
  <c r="O286" i="60" a="1"/>
  <c r="O286" i="60" s="1"/>
  <c r="O287" i="60" a="1"/>
  <c r="O287" i="60" s="1"/>
  <c r="O288" i="60" a="1"/>
  <c r="O288" i="60" s="1"/>
  <c r="O289" i="60" a="1"/>
  <c r="O289" i="60" s="1"/>
  <c r="O290" i="60" a="1"/>
  <c r="O290" i="60" s="1"/>
  <c r="O291" i="60" a="1"/>
  <c r="O291" i="60" s="1"/>
  <c r="O292" i="60" a="1"/>
  <c r="O292" i="60" s="1"/>
  <c r="O293" i="60" a="1"/>
  <c r="O293" i="60" s="1"/>
  <c r="O294" i="60" a="1"/>
  <c r="O294" i="60" s="1"/>
  <c r="O295" i="60" a="1"/>
  <c r="O295" i="60" s="1"/>
  <c r="O296" i="60" a="1"/>
  <c r="O296" i="60" s="1"/>
  <c r="O297" i="60" a="1"/>
  <c r="O297" i="60" s="1"/>
  <c r="O298" i="60" a="1"/>
  <c r="O298" i="60" s="1"/>
  <c r="O299" i="60" a="1"/>
  <c r="O299" i="60" s="1"/>
  <c r="O300" i="60" a="1"/>
  <c r="O300" i="60" s="1"/>
  <c r="O301" i="60" a="1"/>
  <c r="O301" i="60" s="1"/>
  <c r="O302" i="60" a="1"/>
  <c r="O302" i="60" s="1"/>
  <c r="O303" i="60" a="1"/>
  <c r="O303" i="60" s="1"/>
  <c r="O304" i="60" a="1"/>
  <c r="O304" i="60" s="1"/>
  <c r="O305" i="60" a="1"/>
  <c r="O305" i="60" s="1"/>
  <c r="O306" i="60" a="1"/>
  <c r="O306" i="60" s="1"/>
  <c r="O307" i="60" a="1"/>
  <c r="O307" i="60" s="1"/>
  <c r="O308" i="60" a="1"/>
  <c r="O308" i="60" s="1"/>
  <c r="O309" i="60" a="1"/>
  <c r="O309" i="60" s="1"/>
  <c r="O310" i="60" a="1"/>
  <c r="O310" i="60" s="1"/>
  <c r="O311" i="60" a="1"/>
  <c r="O311" i="60" s="1"/>
  <c r="O312" i="60" a="1"/>
  <c r="O312" i="60" s="1"/>
  <c r="O313" i="60" a="1"/>
  <c r="O313" i="60" s="1"/>
  <c r="O314" i="60" a="1"/>
  <c r="O314" i="60" s="1"/>
  <c r="O315" i="60" a="1"/>
  <c r="O315" i="60" s="1"/>
  <c r="O316" i="60" a="1"/>
  <c r="O316" i="60" s="1"/>
  <c r="O317" i="60" a="1"/>
  <c r="O317" i="60" s="1"/>
  <c r="O318" i="60" a="1"/>
  <c r="O318" i="60" s="1"/>
  <c r="O319" i="60" a="1"/>
  <c r="O319" i="60" s="1"/>
  <c r="O320" i="60" a="1"/>
  <c r="O320" i="60" s="1"/>
  <c r="O321" i="60" a="1"/>
  <c r="O321" i="60" s="1"/>
  <c r="O322" i="60" a="1"/>
  <c r="O322" i="60" s="1"/>
  <c r="O323" i="60" a="1"/>
  <c r="O323" i="60" s="1"/>
  <c r="O324" i="60" a="1"/>
  <c r="O324" i="60" s="1"/>
  <c r="O325" i="60" a="1"/>
  <c r="O325" i="60" s="1"/>
  <c r="O326" i="60" a="1"/>
  <c r="O326" i="60" s="1"/>
  <c r="O327" i="60" a="1"/>
  <c r="O327" i="60" s="1"/>
  <c r="O328" i="60" a="1"/>
  <c r="O328" i="60" s="1"/>
  <c r="O329" i="60" a="1"/>
  <c r="O329" i="60" s="1"/>
  <c r="O330" i="60" a="1"/>
  <c r="O330" i="60" s="1"/>
  <c r="O331" i="60" a="1"/>
  <c r="O331" i="60" s="1"/>
  <c r="O332" i="60" a="1"/>
  <c r="O332" i="60" s="1"/>
  <c r="O333" i="60" a="1"/>
  <c r="O333" i="60" s="1"/>
  <c r="O334" i="60" a="1"/>
  <c r="O334" i="60" s="1"/>
  <c r="O335" i="60" a="1"/>
  <c r="O335" i="60" s="1"/>
  <c r="O336" i="60" a="1"/>
  <c r="O336" i="60" s="1"/>
  <c r="O337" i="60" a="1"/>
  <c r="O337" i="60" s="1"/>
  <c r="O338" i="60" a="1"/>
  <c r="O338" i="60" s="1"/>
  <c r="P260" i="60"/>
  <c r="P261" i="60"/>
  <c r="P262" i="60"/>
  <c r="P263" i="60"/>
  <c r="P264" i="60"/>
  <c r="P265" i="60"/>
  <c r="P266" i="60"/>
  <c r="P267" i="60"/>
  <c r="P268" i="60"/>
  <c r="P269" i="60"/>
  <c r="P270" i="60"/>
  <c r="P271" i="60"/>
  <c r="P272" i="60"/>
  <c r="P273" i="60"/>
  <c r="P274" i="60"/>
  <c r="P275" i="60"/>
  <c r="P276" i="60"/>
  <c r="P277" i="60"/>
  <c r="P278" i="60"/>
  <c r="P279" i="60"/>
  <c r="P280" i="60"/>
  <c r="P281" i="60"/>
  <c r="P282" i="60"/>
  <c r="P283" i="60"/>
  <c r="P284" i="60"/>
  <c r="P285" i="60"/>
  <c r="P286" i="60"/>
  <c r="P287" i="60"/>
  <c r="P288" i="60"/>
  <c r="P289" i="60"/>
  <c r="P290" i="60"/>
  <c r="P291" i="60"/>
  <c r="P292" i="60"/>
  <c r="P293" i="60"/>
  <c r="P294" i="60"/>
  <c r="P295" i="60"/>
  <c r="P296" i="60"/>
  <c r="P297" i="60"/>
  <c r="P298" i="60"/>
  <c r="P299" i="60"/>
  <c r="P300" i="60"/>
  <c r="P301" i="60"/>
  <c r="P302" i="60"/>
  <c r="P303" i="60"/>
  <c r="P304" i="60"/>
  <c r="P305" i="60"/>
  <c r="P306" i="60"/>
  <c r="P307" i="60"/>
  <c r="P308" i="60"/>
  <c r="P309" i="60"/>
  <c r="P310" i="60"/>
  <c r="P311" i="60"/>
  <c r="P312" i="60"/>
  <c r="P313" i="60"/>
  <c r="P314" i="60"/>
  <c r="P315" i="60"/>
  <c r="P316" i="60"/>
  <c r="P317" i="60"/>
  <c r="P318" i="60"/>
  <c r="P319" i="60"/>
  <c r="P320" i="60"/>
  <c r="P321" i="60"/>
  <c r="P322" i="60"/>
  <c r="P323" i="60"/>
  <c r="P324" i="60"/>
  <c r="P325" i="60"/>
  <c r="P326" i="60"/>
  <c r="P327" i="60"/>
  <c r="P328" i="60"/>
  <c r="P329" i="60"/>
  <c r="P330" i="60"/>
  <c r="P331" i="60"/>
  <c r="P332" i="60"/>
  <c r="P333" i="60"/>
  <c r="P334" i="60"/>
  <c r="P335" i="60"/>
  <c r="P336" i="60"/>
  <c r="P337" i="60"/>
  <c r="P338" i="60"/>
  <c r="Q260" i="60"/>
  <c r="Q261" i="60"/>
  <c r="Q262" i="60"/>
  <c r="Q263" i="60"/>
  <c r="Q264" i="60"/>
  <c r="Q265" i="60"/>
  <c r="Q266" i="60"/>
  <c r="Q267" i="60"/>
  <c r="Q268" i="60"/>
  <c r="Q269" i="60"/>
  <c r="Q270" i="60"/>
  <c r="Q271" i="60"/>
  <c r="Q272" i="60"/>
  <c r="Q273" i="60"/>
  <c r="Q274" i="60"/>
  <c r="Q275" i="60"/>
  <c r="Q276" i="60"/>
  <c r="Q277" i="60"/>
  <c r="Q278" i="60"/>
  <c r="Q279" i="60"/>
  <c r="Q280" i="60"/>
  <c r="Q281" i="60"/>
  <c r="Q282" i="60"/>
  <c r="Q283" i="60"/>
  <c r="Q284" i="60"/>
  <c r="Q285" i="60"/>
  <c r="Q286" i="60"/>
  <c r="Q287" i="60"/>
  <c r="Q288" i="60"/>
  <c r="Q289" i="60"/>
  <c r="Q290" i="60"/>
  <c r="Q291" i="60"/>
  <c r="Q292" i="60"/>
  <c r="Q293" i="60"/>
  <c r="Q294" i="60"/>
  <c r="Q295" i="60"/>
  <c r="Q296" i="60"/>
  <c r="Q297" i="60"/>
  <c r="Q298" i="60"/>
  <c r="Q299" i="60"/>
  <c r="Q300" i="60"/>
  <c r="Q301" i="60"/>
  <c r="Q302" i="60"/>
  <c r="Q303" i="60"/>
  <c r="Q304" i="60"/>
  <c r="Q305" i="60"/>
  <c r="Q306" i="60"/>
  <c r="Q307" i="60"/>
  <c r="Q308" i="60"/>
  <c r="Q309" i="60"/>
  <c r="Q310" i="60"/>
  <c r="Q311" i="60"/>
  <c r="Q312" i="60"/>
  <c r="Q313" i="60"/>
  <c r="Q314" i="60"/>
  <c r="Q315" i="60"/>
  <c r="Q316" i="60"/>
  <c r="Q317" i="60"/>
  <c r="Q318" i="60"/>
  <c r="Q319" i="60"/>
  <c r="Q320" i="60"/>
  <c r="Q321" i="60"/>
  <c r="Q322" i="60"/>
  <c r="Q323" i="60"/>
  <c r="Q324" i="60"/>
  <c r="Q325" i="60"/>
  <c r="Q326" i="60"/>
  <c r="Q327" i="60"/>
  <c r="Q328" i="60"/>
  <c r="Q329" i="60"/>
  <c r="Q330" i="60"/>
  <c r="Q331" i="60"/>
  <c r="Q332" i="60"/>
  <c r="Q333" i="60"/>
  <c r="Q334" i="60"/>
  <c r="Q335" i="60"/>
  <c r="Q336" i="60"/>
  <c r="Q337" i="60"/>
  <c r="Q338" i="60"/>
  <c r="R260" i="60"/>
  <c r="R261" i="60"/>
  <c r="R262" i="60"/>
  <c r="R263" i="60"/>
  <c r="R264" i="60"/>
  <c r="R265" i="60"/>
  <c r="R266" i="60"/>
  <c r="R267" i="60"/>
  <c r="R268" i="60"/>
  <c r="R269" i="60"/>
  <c r="R270" i="60"/>
  <c r="R271" i="60"/>
  <c r="R272" i="60"/>
  <c r="R273" i="60"/>
  <c r="R274" i="60"/>
  <c r="R275" i="60"/>
  <c r="R276" i="60"/>
  <c r="R277" i="60"/>
  <c r="R278" i="60"/>
  <c r="R279" i="60"/>
  <c r="R280" i="60"/>
  <c r="R281" i="60"/>
  <c r="R282" i="60"/>
  <c r="R283" i="60"/>
  <c r="R284" i="60"/>
  <c r="R285" i="60"/>
  <c r="R286" i="60"/>
  <c r="R287" i="60"/>
  <c r="R288" i="60"/>
  <c r="R289" i="60"/>
  <c r="R290" i="60"/>
  <c r="R291" i="60"/>
  <c r="R292" i="60"/>
  <c r="R293" i="60"/>
  <c r="R294" i="60"/>
  <c r="R295" i="60"/>
  <c r="R296" i="60"/>
  <c r="R297" i="60"/>
  <c r="R298" i="60"/>
  <c r="R299" i="60"/>
  <c r="R300" i="60"/>
  <c r="R301" i="60"/>
  <c r="R302" i="60"/>
  <c r="R303" i="60"/>
  <c r="R304" i="60"/>
  <c r="R305" i="60"/>
  <c r="R306" i="60"/>
  <c r="R307" i="60"/>
  <c r="R308" i="60"/>
  <c r="R309" i="60"/>
  <c r="R310" i="60"/>
  <c r="R311" i="60"/>
  <c r="R312" i="60"/>
  <c r="R313" i="60"/>
  <c r="R314" i="60"/>
  <c r="R315" i="60"/>
  <c r="R316" i="60"/>
  <c r="R317" i="60"/>
  <c r="R318" i="60"/>
  <c r="R319" i="60"/>
  <c r="R320" i="60"/>
  <c r="R321" i="60"/>
  <c r="R322" i="60"/>
  <c r="R323" i="60"/>
  <c r="R324" i="60"/>
  <c r="R325" i="60"/>
  <c r="R326" i="60"/>
  <c r="R327" i="60"/>
  <c r="R328" i="60"/>
  <c r="R329" i="60"/>
  <c r="R330" i="60"/>
  <c r="R331" i="60"/>
  <c r="R332" i="60"/>
  <c r="R333" i="60"/>
  <c r="R334" i="60"/>
  <c r="R335" i="60"/>
  <c r="R336" i="60"/>
  <c r="R337" i="60"/>
  <c r="R338" i="60"/>
  <c r="S260" i="60"/>
  <c r="S261" i="60"/>
  <c r="S262" i="60"/>
  <c r="S263" i="60"/>
  <c r="S264" i="60"/>
  <c r="S265" i="60"/>
  <c r="S266" i="60"/>
  <c r="S267" i="60"/>
  <c r="S268" i="60"/>
  <c r="S269" i="60"/>
  <c r="S270" i="60"/>
  <c r="S271" i="60"/>
  <c r="S272" i="60"/>
  <c r="S273" i="60"/>
  <c r="S274" i="60"/>
  <c r="S275" i="60"/>
  <c r="S276" i="60"/>
  <c r="S277" i="60"/>
  <c r="S278" i="60"/>
  <c r="S279" i="60"/>
  <c r="S280" i="60"/>
  <c r="S281" i="60"/>
  <c r="S282" i="60"/>
  <c r="S283" i="60"/>
  <c r="S284" i="60"/>
  <c r="S285" i="60"/>
  <c r="S286" i="60"/>
  <c r="S287" i="60"/>
  <c r="S288" i="60"/>
  <c r="S289" i="60"/>
  <c r="S290" i="60"/>
  <c r="S291" i="60"/>
  <c r="S292" i="60"/>
  <c r="S293" i="60"/>
  <c r="S294" i="60"/>
  <c r="S295" i="60"/>
  <c r="S296" i="60"/>
  <c r="S297" i="60"/>
  <c r="S298" i="60"/>
  <c r="S299" i="60"/>
  <c r="S300" i="60"/>
  <c r="S301" i="60"/>
  <c r="S302" i="60"/>
  <c r="S303" i="60"/>
  <c r="S304" i="60"/>
  <c r="S305" i="60"/>
  <c r="S306" i="60"/>
  <c r="S307" i="60"/>
  <c r="S308" i="60"/>
  <c r="S309" i="60"/>
  <c r="S310" i="60"/>
  <c r="S311" i="60"/>
  <c r="S312" i="60"/>
  <c r="S313" i="60"/>
  <c r="S314" i="60"/>
  <c r="S315" i="60"/>
  <c r="S316" i="60"/>
  <c r="S317" i="60"/>
  <c r="S318" i="60"/>
  <c r="S319" i="60"/>
  <c r="S320" i="60"/>
  <c r="S321" i="60"/>
  <c r="S322" i="60"/>
  <c r="S323" i="60"/>
  <c r="S324" i="60"/>
  <c r="S325" i="60"/>
  <c r="S326" i="60"/>
  <c r="S327" i="60"/>
  <c r="S328" i="60"/>
  <c r="S329" i="60"/>
  <c r="S330" i="60"/>
  <c r="S331" i="60"/>
  <c r="S332" i="60"/>
  <c r="S333" i="60"/>
  <c r="S334" i="60"/>
  <c r="S335" i="60"/>
  <c r="S336" i="60"/>
  <c r="S337" i="60"/>
  <c r="S338" i="60"/>
  <c r="U260" i="60"/>
  <c r="U261" i="60"/>
  <c r="U262" i="60"/>
  <c r="U263" i="60"/>
  <c r="U264" i="60"/>
  <c r="U265" i="60"/>
  <c r="U266" i="60"/>
  <c r="U267" i="60"/>
  <c r="U268" i="60"/>
  <c r="U269" i="60"/>
  <c r="U270" i="60"/>
  <c r="U271" i="60"/>
  <c r="U272" i="60"/>
  <c r="U273" i="60"/>
  <c r="U274" i="60"/>
  <c r="U275" i="60"/>
  <c r="U276" i="60"/>
  <c r="U277" i="60"/>
  <c r="U278" i="60"/>
  <c r="U279" i="60"/>
  <c r="U280" i="60"/>
  <c r="U281" i="60"/>
  <c r="U282" i="60"/>
  <c r="U283" i="60"/>
  <c r="U284" i="60"/>
  <c r="U285" i="60"/>
  <c r="U286" i="60"/>
  <c r="U287" i="60"/>
  <c r="U288" i="60"/>
  <c r="U289" i="60"/>
  <c r="U290" i="60"/>
  <c r="U291" i="60"/>
  <c r="U292" i="60"/>
  <c r="U293" i="60"/>
  <c r="U294" i="60"/>
  <c r="U295" i="60"/>
  <c r="U296" i="60"/>
  <c r="U297" i="60"/>
  <c r="U298" i="60"/>
  <c r="U299" i="60"/>
  <c r="U300" i="60"/>
  <c r="U301" i="60"/>
  <c r="U302" i="60"/>
  <c r="U303" i="60"/>
  <c r="U304" i="60"/>
  <c r="U305" i="60"/>
  <c r="U306" i="60"/>
  <c r="U307" i="60"/>
  <c r="U308" i="60"/>
  <c r="U309" i="60"/>
  <c r="U310" i="60"/>
  <c r="U311" i="60"/>
  <c r="U312" i="60"/>
  <c r="U313" i="60"/>
  <c r="U314" i="60"/>
  <c r="U315" i="60"/>
  <c r="U316" i="60"/>
  <c r="U317" i="60"/>
  <c r="U318" i="60"/>
  <c r="U319" i="60"/>
  <c r="U320" i="60"/>
  <c r="U321" i="60"/>
  <c r="U322" i="60"/>
  <c r="U323" i="60"/>
  <c r="U324" i="60"/>
  <c r="U325" i="60"/>
  <c r="U326" i="60"/>
  <c r="U327" i="60"/>
  <c r="U328" i="60"/>
  <c r="U329" i="60"/>
  <c r="U330" i="60"/>
  <c r="U331" i="60"/>
  <c r="U332" i="60"/>
  <c r="U333" i="60"/>
  <c r="U334" i="60"/>
  <c r="U335" i="60"/>
  <c r="U336" i="60"/>
  <c r="U337" i="60"/>
  <c r="U338" i="60"/>
  <c r="V260" i="60"/>
  <c r="V261" i="60"/>
  <c r="V262" i="60"/>
  <c r="V263" i="60"/>
  <c r="V264" i="60"/>
  <c r="V265" i="60"/>
  <c r="V266" i="60"/>
  <c r="V267" i="60"/>
  <c r="V268" i="60"/>
  <c r="V269" i="60"/>
  <c r="V270" i="60"/>
  <c r="V271" i="60"/>
  <c r="V272" i="60"/>
  <c r="V273" i="60"/>
  <c r="V274" i="60"/>
  <c r="V275" i="60"/>
  <c r="V276" i="60"/>
  <c r="V277" i="60"/>
  <c r="V278" i="60"/>
  <c r="V279" i="60"/>
  <c r="V280" i="60"/>
  <c r="V281" i="60"/>
  <c r="V282" i="60"/>
  <c r="V283" i="60"/>
  <c r="V284" i="60"/>
  <c r="V285" i="60"/>
  <c r="V286" i="60"/>
  <c r="V287" i="60"/>
  <c r="V288" i="60"/>
  <c r="V289" i="60"/>
  <c r="V290" i="60"/>
  <c r="V291" i="60"/>
  <c r="V292" i="60"/>
  <c r="V293" i="60"/>
  <c r="V294" i="60"/>
  <c r="V295" i="60"/>
  <c r="V296" i="60"/>
  <c r="V297" i="60"/>
  <c r="V298" i="60"/>
  <c r="V299" i="60"/>
  <c r="V300" i="60"/>
  <c r="V301" i="60"/>
  <c r="V302" i="60"/>
  <c r="V303" i="60"/>
  <c r="V304" i="60"/>
  <c r="V305" i="60"/>
  <c r="V306" i="60"/>
  <c r="V307" i="60"/>
  <c r="V308" i="60"/>
  <c r="V309" i="60"/>
  <c r="V310" i="60"/>
  <c r="V311" i="60"/>
  <c r="V312" i="60"/>
  <c r="V313" i="60"/>
  <c r="V314" i="60"/>
  <c r="V315" i="60"/>
  <c r="V316" i="60"/>
  <c r="V317" i="60"/>
  <c r="V318" i="60"/>
  <c r="V319" i="60"/>
  <c r="V320" i="60"/>
  <c r="V321" i="60"/>
  <c r="V322" i="60"/>
  <c r="V323" i="60"/>
  <c r="V324" i="60"/>
  <c r="V325" i="60"/>
  <c r="V326" i="60"/>
  <c r="V327" i="60"/>
  <c r="V328" i="60"/>
  <c r="V329" i="60"/>
  <c r="V330" i="60"/>
  <c r="V331" i="60"/>
  <c r="V332" i="60"/>
  <c r="V333" i="60"/>
  <c r="V334" i="60"/>
  <c r="V335" i="60"/>
  <c r="V336" i="60"/>
  <c r="V337" i="60"/>
  <c r="V338" i="60"/>
  <c r="W260" i="60"/>
  <c r="W261" i="60"/>
  <c r="W262" i="60"/>
  <c r="W263" i="60"/>
  <c r="W264" i="60"/>
  <c r="W265" i="60"/>
  <c r="W266" i="60"/>
  <c r="W267" i="60"/>
  <c r="W268" i="60"/>
  <c r="W269" i="60"/>
  <c r="W270" i="60"/>
  <c r="W271" i="60"/>
  <c r="W272" i="60"/>
  <c r="W273" i="60"/>
  <c r="W274" i="60"/>
  <c r="W275" i="60"/>
  <c r="W276" i="60"/>
  <c r="W277" i="60"/>
  <c r="W278" i="60"/>
  <c r="W279" i="60"/>
  <c r="W280" i="60"/>
  <c r="W281" i="60"/>
  <c r="W282" i="60"/>
  <c r="W283" i="60"/>
  <c r="W284" i="60"/>
  <c r="W285" i="60"/>
  <c r="W286" i="60"/>
  <c r="W287" i="60"/>
  <c r="W288" i="60"/>
  <c r="W289" i="60"/>
  <c r="W290" i="60"/>
  <c r="W291" i="60"/>
  <c r="W292" i="60"/>
  <c r="W293" i="60"/>
  <c r="W294" i="60"/>
  <c r="W295" i="60"/>
  <c r="W296" i="60"/>
  <c r="W297" i="60"/>
  <c r="W298" i="60"/>
  <c r="W299" i="60"/>
  <c r="W300" i="60"/>
  <c r="W301" i="60"/>
  <c r="W302" i="60"/>
  <c r="W303" i="60"/>
  <c r="W304" i="60"/>
  <c r="W305" i="60"/>
  <c r="W306" i="60"/>
  <c r="W307" i="60"/>
  <c r="W308" i="60"/>
  <c r="W309" i="60"/>
  <c r="W310" i="60"/>
  <c r="W311" i="60"/>
  <c r="W312" i="60"/>
  <c r="W313" i="60"/>
  <c r="W314" i="60"/>
  <c r="W315" i="60"/>
  <c r="W316" i="60"/>
  <c r="W317" i="60"/>
  <c r="W318" i="60"/>
  <c r="W319" i="60"/>
  <c r="W320" i="60"/>
  <c r="W321" i="60"/>
  <c r="W322" i="60"/>
  <c r="W323" i="60"/>
  <c r="W324" i="60"/>
  <c r="W325" i="60"/>
  <c r="W326" i="60"/>
  <c r="W327" i="60"/>
  <c r="W328" i="60"/>
  <c r="W329" i="60"/>
  <c r="W330" i="60"/>
  <c r="W331" i="60"/>
  <c r="W332" i="60"/>
  <c r="W333" i="60"/>
  <c r="W334" i="60"/>
  <c r="W335" i="60"/>
  <c r="W336" i="60"/>
  <c r="W337" i="60"/>
  <c r="W338" i="60"/>
  <c r="X260" i="60"/>
  <c r="X261" i="60"/>
  <c r="X262" i="60"/>
  <c r="X263" i="60"/>
  <c r="X264" i="60"/>
  <c r="X265" i="60"/>
  <c r="X266" i="60"/>
  <c r="X267" i="60"/>
  <c r="X268" i="60"/>
  <c r="X269" i="60"/>
  <c r="X270" i="60"/>
  <c r="X271" i="60"/>
  <c r="X272" i="60"/>
  <c r="X273" i="60"/>
  <c r="X274" i="60"/>
  <c r="X275" i="60"/>
  <c r="X276" i="60"/>
  <c r="X277" i="60"/>
  <c r="X278" i="60"/>
  <c r="X279" i="60"/>
  <c r="X280" i="60"/>
  <c r="X281" i="60"/>
  <c r="X282" i="60"/>
  <c r="X283" i="60"/>
  <c r="X284" i="60"/>
  <c r="X285" i="60"/>
  <c r="X286" i="60"/>
  <c r="X287" i="60"/>
  <c r="X288" i="60"/>
  <c r="X289" i="60"/>
  <c r="X290" i="60"/>
  <c r="X291" i="60"/>
  <c r="X292" i="60"/>
  <c r="X293" i="60"/>
  <c r="X294" i="60"/>
  <c r="X295" i="60"/>
  <c r="X296" i="60"/>
  <c r="X297" i="60"/>
  <c r="X298" i="60"/>
  <c r="X299" i="60"/>
  <c r="X300" i="60"/>
  <c r="X301" i="60"/>
  <c r="X302" i="60"/>
  <c r="X303" i="60"/>
  <c r="X304" i="60"/>
  <c r="X305" i="60"/>
  <c r="X306" i="60"/>
  <c r="X307" i="60"/>
  <c r="X308" i="60"/>
  <c r="X309" i="60"/>
  <c r="X310" i="60"/>
  <c r="X311" i="60"/>
  <c r="X312" i="60"/>
  <c r="X313" i="60"/>
  <c r="X314" i="60"/>
  <c r="X315" i="60"/>
  <c r="X316" i="60"/>
  <c r="X317" i="60"/>
  <c r="X318" i="60"/>
  <c r="X319" i="60"/>
  <c r="X320" i="60"/>
  <c r="X321" i="60"/>
  <c r="X322" i="60"/>
  <c r="X323" i="60"/>
  <c r="X324" i="60"/>
  <c r="X325" i="60"/>
  <c r="X326" i="60"/>
  <c r="X327" i="60"/>
  <c r="X328" i="60"/>
  <c r="X329" i="60"/>
  <c r="X330" i="60"/>
  <c r="X331" i="60"/>
  <c r="X332" i="60"/>
  <c r="X333" i="60"/>
  <c r="X334" i="60"/>
  <c r="X335" i="60"/>
  <c r="X336" i="60"/>
  <c r="X337" i="60"/>
  <c r="X338" i="60"/>
  <c r="AG260" i="60"/>
  <c r="AF260" i="60" s="1"/>
  <c r="AG261" i="60"/>
  <c r="AF261" i="60" s="1"/>
  <c r="E261" i="60" s="1" a="1"/>
  <c r="E261" i="60" s="1"/>
  <c r="AG262" i="60"/>
  <c r="AF262" i="60" s="1"/>
  <c r="AG263" i="60"/>
  <c r="AF263" i="60" s="1"/>
  <c r="E263" i="60" s="1" a="1"/>
  <c r="E263" i="60" s="1"/>
  <c r="AG264" i="60"/>
  <c r="AF264" i="60" s="1"/>
  <c r="AG265" i="60"/>
  <c r="AF265" i="60" s="1"/>
  <c r="AG266" i="60"/>
  <c r="AF266" i="60" s="1"/>
  <c r="AG267" i="60"/>
  <c r="AF267" i="60" s="1"/>
  <c r="AG268" i="60"/>
  <c r="AF268" i="60" s="1"/>
  <c r="AG269" i="60"/>
  <c r="AF269" i="60" s="1"/>
  <c r="E269" i="60" s="1" a="1"/>
  <c r="E269" i="60" s="1"/>
  <c r="AG270" i="60"/>
  <c r="AF270" i="60" s="1"/>
  <c r="AG271" i="60"/>
  <c r="AF271" i="60" s="1"/>
  <c r="E271" i="60" s="1" a="1"/>
  <c r="E271" i="60" s="1"/>
  <c r="AG272" i="60"/>
  <c r="AF272" i="60" s="1"/>
  <c r="AG273" i="60"/>
  <c r="AF273" i="60" s="1"/>
  <c r="E273" i="60" s="1" a="1"/>
  <c r="E273" i="60" s="1"/>
  <c r="AG274" i="60"/>
  <c r="AF274" i="60" s="1"/>
  <c r="AG275" i="60"/>
  <c r="AF275" i="60" s="1"/>
  <c r="AG276" i="60"/>
  <c r="AF276" i="60" s="1"/>
  <c r="AG277" i="60"/>
  <c r="AF277" i="60" s="1"/>
  <c r="E277" i="60" s="1" a="1"/>
  <c r="E277" i="60" s="1"/>
  <c r="AG278" i="60"/>
  <c r="AF278" i="60" s="1"/>
  <c r="AG279" i="60"/>
  <c r="AF279" i="60" s="1"/>
  <c r="E279" i="60" s="1" a="1"/>
  <c r="E279" i="60" s="1"/>
  <c r="AG280" i="60"/>
  <c r="AF280" i="60" s="1"/>
  <c r="AG281" i="60"/>
  <c r="AF281" i="60" s="1"/>
  <c r="E281" i="60" s="1" a="1"/>
  <c r="E281" i="60" s="1"/>
  <c r="AG282" i="60"/>
  <c r="AF282" i="60" s="1"/>
  <c r="AG283" i="60"/>
  <c r="AF283" i="60" s="1"/>
  <c r="M283" i="60" s="1"/>
  <c r="AG284" i="60"/>
  <c r="AF284" i="60" s="1"/>
  <c r="AG285" i="60"/>
  <c r="AF285" i="60" s="1"/>
  <c r="E285" i="60" s="1" a="1"/>
  <c r="E285" i="60" s="1"/>
  <c r="AG286" i="60"/>
  <c r="AF286" i="60" s="1"/>
  <c r="AG287" i="60"/>
  <c r="AF287" i="60" s="1"/>
  <c r="E287" i="60" s="1" a="1"/>
  <c r="E287" i="60" s="1"/>
  <c r="AG288" i="60"/>
  <c r="AF288" i="60" s="1"/>
  <c r="AG289" i="60"/>
  <c r="AF289" i="60" s="1"/>
  <c r="E289" i="60" s="1" a="1"/>
  <c r="E289" i="60" s="1"/>
  <c r="AG290" i="60"/>
  <c r="AF290" i="60" s="1"/>
  <c r="AG291" i="60"/>
  <c r="AF291" i="60" s="1"/>
  <c r="AG292" i="60"/>
  <c r="AF292" i="60" s="1"/>
  <c r="AG293" i="60"/>
  <c r="AF293" i="60" s="1"/>
  <c r="AG294" i="60"/>
  <c r="AF294" i="60" s="1"/>
  <c r="AG295" i="60"/>
  <c r="AF295" i="60" s="1"/>
  <c r="E295" i="60" s="1" a="1"/>
  <c r="E295" i="60" s="1"/>
  <c r="AG296" i="60"/>
  <c r="AF296" i="60" s="1"/>
  <c r="AG297" i="60"/>
  <c r="AF297" i="60" s="1"/>
  <c r="E297" i="60" s="1" a="1"/>
  <c r="E297" i="60" s="1"/>
  <c r="AG298" i="60"/>
  <c r="AF298" i="60" s="1"/>
  <c r="AG299" i="60"/>
  <c r="AF299" i="60" s="1"/>
  <c r="AG300" i="60"/>
  <c r="AF300" i="60" s="1"/>
  <c r="AG301" i="60"/>
  <c r="AF301" i="60" s="1"/>
  <c r="E301" i="60" s="1" a="1"/>
  <c r="E301" i="60" s="1"/>
  <c r="AG302" i="60"/>
  <c r="AF302" i="60" s="1"/>
  <c r="AG303" i="60"/>
  <c r="AF303" i="60" s="1"/>
  <c r="E303" i="60" s="1" a="1"/>
  <c r="E303" i="60" s="1"/>
  <c r="AG304" i="60"/>
  <c r="AF304" i="60" s="1"/>
  <c r="AG305" i="60"/>
  <c r="AF305" i="60" s="1"/>
  <c r="E305" i="60" s="1" a="1"/>
  <c r="E305" i="60" s="1"/>
  <c r="AG306" i="60"/>
  <c r="AF306" i="60" s="1"/>
  <c r="AG307" i="60"/>
  <c r="AF307" i="60" s="1"/>
  <c r="AG308" i="60"/>
  <c r="AF308" i="60" s="1"/>
  <c r="AG309" i="60"/>
  <c r="AF309" i="60" s="1"/>
  <c r="AG310" i="60"/>
  <c r="AF310" i="60" s="1"/>
  <c r="AG311" i="60"/>
  <c r="AF311" i="60" s="1"/>
  <c r="AG312" i="60"/>
  <c r="AF312" i="60" s="1"/>
  <c r="AG313" i="60"/>
  <c r="AF313" i="60" s="1"/>
  <c r="E313" i="60" s="1" a="1"/>
  <c r="E313" i="60" s="1"/>
  <c r="AG314" i="60"/>
  <c r="AF314" i="60" s="1"/>
  <c r="AG315" i="60"/>
  <c r="AF315" i="60" s="1"/>
  <c r="AG316" i="60"/>
  <c r="AF316" i="60" s="1"/>
  <c r="AG317" i="60"/>
  <c r="AF317" i="60" s="1"/>
  <c r="E317" i="60" s="1" a="1"/>
  <c r="E317" i="60" s="1"/>
  <c r="AG318" i="60"/>
  <c r="AF318" i="60" s="1"/>
  <c r="AG319" i="60"/>
  <c r="AF319" i="60" s="1"/>
  <c r="M319" i="60" s="1"/>
  <c r="AG320" i="60"/>
  <c r="AF320" i="60" s="1"/>
  <c r="AG321" i="60"/>
  <c r="AF321" i="60" s="1"/>
  <c r="E321" i="60" s="1" a="1"/>
  <c r="E321" i="60" s="1"/>
  <c r="AG322" i="60"/>
  <c r="AF322" i="60" s="1"/>
  <c r="AG323" i="60"/>
  <c r="AF323" i="60" s="1"/>
  <c r="AG324" i="60"/>
  <c r="AF324" i="60" s="1"/>
  <c r="AG325" i="60"/>
  <c r="AF325" i="60" s="1"/>
  <c r="E325" i="60" s="1" a="1"/>
  <c r="E325" i="60" s="1"/>
  <c r="AG326" i="60"/>
  <c r="AF326" i="60" s="1"/>
  <c r="AG327" i="60"/>
  <c r="AF327" i="60" s="1"/>
  <c r="AG328" i="60"/>
  <c r="AF328" i="60" s="1"/>
  <c r="AG329" i="60"/>
  <c r="AF329" i="60" s="1"/>
  <c r="E329" i="60" s="1" a="1"/>
  <c r="E329" i="60" s="1"/>
  <c r="AG330" i="60"/>
  <c r="AF330" i="60" s="1"/>
  <c r="AG331" i="60"/>
  <c r="AF331" i="60" s="1"/>
  <c r="AG332" i="60"/>
  <c r="AF332" i="60" s="1"/>
  <c r="AG333" i="60"/>
  <c r="AF333" i="60" s="1"/>
  <c r="E333" i="60" s="1" a="1"/>
  <c r="E333" i="60" s="1"/>
  <c r="AG334" i="60"/>
  <c r="AF334" i="60" s="1"/>
  <c r="AG335" i="60"/>
  <c r="AF335" i="60" s="1"/>
  <c r="E335" i="60" s="1" a="1"/>
  <c r="E335" i="60" s="1"/>
  <c r="AG336" i="60"/>
  <c r="AF336" i="60" s="1"/>
  <c r="AG337" i="60"/>
  <c r="AF337" i="60" s="1"/>
  <c r="E337" i="60" s="1" a="1"/>
  <c r="E337" i="60" s="1"/>
  <c r="AG338" i="60"/>
  <c r="AF338" i="60" s="1"/>
  <c r="AH260" i="60"/>
  <c r="AH261" i="60"/>
  <c r="AH262" i="60"/>
  <c r="AH263" i="60"/>
  <c r="H263" i="60" s="1"/>
  <c r="AH264" i="60"/>
  <c r="AH265" i="60"/>
  <c r="AH266" i="60"/>
  <c r="AH267" i="60"/>
  <c r="AH268" i="60"/>
  <c r="F268" i="60" s="1" a="1"/>
  <c r="F268" i="60" s="1"/>
  <c r="AH269" i="60"/>
  <c r="AH270" i="60"/>
  <c r="I270" i="60" s="1" a="1"/>
  <c r="I270" i="60" s="1"/>
  <c r="AH271" i="60"/>
  <c r="AH272" i="60"/>
  <c r="AH273" i="60"/>
  <c r="AH274" i="60"/>
  <c r="AH275" i="60"/>
  <c r="F275" i="60" s="1" a="1"/>
  <c r="F275" i="60" s="1"/>
  <c r="AH276" i="60"/>
  <c r="AH277" i="60"/>
  <c r="AH278" i="60"/>
  <c r="AH279" i="60"/>
  <c r="AH280" i="60"/>
  <c r="AH281" i="60"/>
  <c r="AH282" i="60"/>
  <c r="AH283" i="60"/>
  <c r="AH284" i="60"/>
  <c r="AH285" i="60"/>
  <c r="AH286" i="60"/>
  <c r="H286" i="60" s="1"/>
  <c r="AH287" i="60"/>
  <c r="AH288" i="60"/>
  <c r="AH289" i="60"/>
  <c r="AH290" i="60"/>
  <c r="AH291" i="60"/>
  <c r="AH292" i="60"/>
  <c r="I292" i="60" s="1" a="1"/>
  <c r="I292" i="60" s="1"/>
  <c r="AH293" i="60"/>
  <c r="AH294" i="60"/>
  <c r="AH295" i="60"/>
  <c r="AH296" i="60"/>
  <c r="AH297" i="60"/>
  <c r="AH298" i="60"/>
  <c r="AH299" i="60"/>
  <c r="AH300" i="60"/>
  <c r="H300" i="60" s="1"/>
  <c r="AH301" i="60"/>
  <c r="AH302" i="60"/>
  <c r="AH303" i="60"/>
  <c r="AH304" i="60"/>
  <c r="AH305" i="60"/>
  <c r="AH306" i="60"/>
  <c r="AH307" i="60"/>
  <c r="AH308" i="60"/>
  <c r="AH309" i="60"/>
  <c r="AH310" i="60"/>
  <c r="AH311" i="60"/>
  <c r="AH312" i="60"/>
  <c r="AH313" i="60"/>
  <c r="AH314" i="60"/>
  <c r="AH315" i="60"/>
  <c r="AH316" i="60"/>
  <c r="AH317" i="60"/>
  <c r="AH318" i="60"/>
  <c r="F318" i="60" s="1" a="1"/>
  <c r="F318" i="60" s="1"/>
  <c r="AH319" i="60"/>
  <c r="AH320" i="60"/>
  <c r="AH321" i="60"/>
  <c r="AH322" i="60"/>
  <c r="AH323" i="60"/>
  <c r="H323" i="60" s="1"/>
  <c r="AH324" i="60"/>
  <c r="I324" i="60" s="1" a="1"/>
  <c r="I324" i="60" s="1"/>
  <c r="AH325" i="60"/>
  <c r="AH326" i="60"/>
  <c r="AH327" i="60"/>
  <c r="AH328" i="60"/>
  <c r="AH329" i="60"/>
  <c r="AH330" i="60"/>
  <c r="AH331" i="60"/>
  <c r="AH332" i="60"/>
  <c r="AH333" i="60"/>
  <c r="AH334" i="60"/>
  <c r="AH335" i="60"/>
  <c r="AH336" i="60"/>
  <c r="AH337" i="60"/>
  <c r="AH338" i="60"/>
  <c r="A253" i="60"/>
  <c r="A254" i="60"/>
  <c r="A255" i="60"/>
  <c r="A256" i="60"/>
  <c r="A257" i="60"/>
  <c r="A258" i="60"/>
  <c r="A259" i="60"/>
  <c r="C253" i="60"/>
  <c r="C254" i="60"/>
  <c r="C255" i="60"/>
  <c r="C256" i="60"/>
  <c r="C257" i="60"/>
  <c r="C258" i="60"/>
  <c r="C259" i="60"/>
  <c r="G253" i="60"/>
  <c r="G254" i="60"/>
  <c r="G255" i="60"/>
  <c r="G256" i="60"/>
  <c r="G257" i="60"/>
  <c r="G258" i="60"/>
  <c r="G259" i="60"/>
  <c r="K253" i="60"/>
  <c r="K254" i="60"/>
  <c r="K255" i="60"/>
  <c r="K256" i="60"/>
  <c r="K257" i="60"/>
  <c r="K258" i="60"/>
  <c r="K259" i="60"/>
  <c r="L253" i="60" a="1"/>
  <c r="L253" i="60" s="1"/>
  <c r="L254" i="60" a="1"/>
  <c r="L254" i="60" s="1"/>
  <c r="L255" i="60" a="1"/>
  <c r="L255" i="60" s="1"/>
  <c r="L256" i="60" a="1"/>
  <c r="L256" i="60" s="1"/>
  <c r="L257" i="60" a="1"/>
  <c r="L257" i="60" s="1"/>
  <c r="L258" i="60" a="1"/>
  <c r="L258" i="60" s="1"/>
  <c r="L259" i="60" a="1"/>
  <c r="L259" i="60" s="1"/>
  <c r="N253" i="60" a="1"/>
  <c r="N253" i="60" s="1"/>
  <c r="N254" i="60" a="1"/>
  <c r="N254" i="60" s="1"/>
  <c r="N255" i="60" a="1"/>
  <c r="N255" i="60" s="1"/>
  <c r="N256" i="60" a="1"/>
  <c r="N256" i="60" s="1"/>
  <c r="N257" i="60" a="1"/>
  <c r="N257" i="60" s="1"/>
  <c r="N258" i="60" a="1"/>
  <c r="N258" i="60" s="1"/>
  <c r="N259" i="60" a="1"/>
  <c r="N259" i="60" s="1"/>
  <c r="O253" i="60" a="1"/>
  <c r="O253" i="60" s="1"/>
  <c r="O254" i="60" a="1"/>
  <c r="O254" i="60" s="1"/>
  <c r="O255" i="60" a="1"/>
  <c r="O255" i="60" s="1"/>
  <c r="O256" i="60" a="1"/>
  <c r="O256" i="60" s="1"/>
  <c r="O257" i="60" a="1"/>
  <c r="O257" i="60" s="1"/>
  <c r="O258" i="60" a="1"/>
  <c r="O258" i="60" s="1"/>
  <c r="O259" i="60" a="1"/>
  <c r="O259" i="60" s="1"/>
  <c r="P253" i="60"/>
  <c r="P254" i="60"/>
  <c r="P255" i="60"/>
  <c r="P256" i="60"/>
  <c r="P257" i="60"/>
  <c r="P258" i="60"/>
  <c r="P259" i="60"/>
  <c r="Q253" i="60"/>
  <c r="Q254" i="60"/>
  <c r="Q255" i="60"/>
  <c r="Q256" i="60"/>
  <c r="Q257" i="60"/>
  <c r="Q258" i="60"/>
  <c r="Q259" i="60"/>
  <c r="R253" i="60"/>
  <c r="R254" i="60"/>
  <c r="R255" i="60"/>
  <c r="R256" i="60"/>
  <c r="R257" i="60"/>
  <c r="R258" i="60"/>
  <c r="R259" i="60"/>
  <c r="S253" i="60"/>
  <c r="S254" i="60"/>
  <c r="S255" i="60"/>
  <c r="S256" i="60"/>
  <c r="S257" i="60"/>
  <c r="S258" i="60"/>
  <c r="S259" i="60"/>
  <c r="U253" i="60"/>
  <c r="U254" i="60"/>
  <c r="U255" i="60"/>
  <c r="U256" i="60"/>
  <c r="U257" i="60"/>
  <c r="U258" i="60"/>
  <c r="U259" i="60"/>
  <c r="V253" i="60"/>
  <c r="V254" i="60"/>
  <c r="V255" i="60"/>
  <c r="V256" i="60"/>
  <c r="V257" i="60"/>
  <c r="V258" i="60"/>
  <c r="V259" i="60"/>
  <c r="W253" i="60"/>
  <c r="W254" i="60"/>
  <c r="W255" i="60"/>
  <c r="W256" i="60"/>
  <c r="W257" i="60"/>
  <c r="W258" i="60"/>
  <c r="W259" i="60"/>
  <c r="X253" i="60"/>
  <c r="X254" i="60"/>
  <c r="X255" i="60"/>
  <c r="X256" i="60"/>
  <c r="X257" i="60"/>
  <c r="X258" i="60"/>
  <c r="X259" i="60"/>
  <c r="AG253" i="60"/>
  <c r="AF253" i="60" s="1"/>
  <c r="AG254" i="60"/>
  <c r="AF254" i="60" s="1"/>
  <c r="AG255" i="60"/>
  <c r="AF255" i="60" s="1"/>
  <c r="M255" i="60" s="1"/>
  <c r="AG256" i="60"/>
  <c r="AF256" i="60" s="1"/>
  <c r="AG257" i="60"/>
  <c r="AF257" i="60" s="1"/>
  <c r="AG258" i="60"/>
  <c r="AF258" i="60" s="1"/>
  <c r="M258" i="60" s="1"/>
  <c r="AG259" i="60"/>
  <c r="AF259" i="60" s="1"/>
  <c r="AH253" i="60"/>
  <c r="F253" i="60" s="1" a="1"/>
  <c r="F253" i="60" s="1"/>
  <c r="AH254" i="60"/>
  <c r="F254" i="60" s="1" a="1"/>
  <c r="F254" i="60" s="1"/>
  <c r="AH255" i="60"/>
  <c r="H255" i="60" s="1"/>
  <c r="AH256" i="60"/>
  <c r="H256" i="60" s="1"/>
  <c r="AH257" i="60"/>
  <c r="F257" i="60" s="1" a="1"/>
  <c r="F257" i="60" s="1"/>
  <c r="AH258" i="60"/>
  <c r="F258" i="60" s="1" a="1"/>
  <c r="F258" i="60" s="1"/>
  <c r="AH259" i="60"/>
  <c r="I259" i="60" s="1" a="1"/>
  <c r="I259" i="60" s="1"/>
  <c r="A276" i="69"/>
  <c r="A277" i="69"/>
  <c r="A278" i="69"/>
  <c r="A279" i="69"/>
  <c r="A280" i="69"/>
  <c r="A281" i="69"/>
  <c r="A282" i="69"/>
  <c r="A283" i="69"/>
  <c r="A284" i="69"/>
  <c r="A285" i="69"/>
  <c r="A286" i="69"/>
  <c r="A287" i="69"/>
  <c r="A288" i="69"/>
  <c r="A289" i="69"/>
  <c r="A290" i="69"/>
  <c r="A291" i="69"/>
  <c r="A292" i="69"/>
  <c r="A293" i="69"/>
  <c r="A294" i="69"/>
  <c r="A295" i="69"/>
  <c r="A296" i="69"/>
  <c r="A297" i="69"/>
  <c r="A298" i="69"/>
  <c r="C276" i="69"/>
  <c r="C277" i="69"/>
  <c r="C278" i="69"/>
  <c r="C279" i="69"/>
  <c r="C280" i="69"/>
  <c r="C281" i="69"/>
  <c r="C282" i="69"/>
  <c r="C283" i="69"/>
  <c r="C284" i="69"/>
  <c r="C285" i="69"/>
  <c r="C286" i="69"/>
  <c r="C287" i="69"/>
  <c r="C288" i="69"/>
  <c r="C289" i="69"/>
  <c r="C290" i="69"/>
  <c r="C291" i="69"/>
  <c r="C292" i="69"/>
  <c r="C293" i="69"/>
  <c r="C294" i="69"/>
  <c r="C295" i="69"/>
  <c r="C296" i="69"/>
  <c r="C297" i="69"/>
  <c r="C298" i="69"/>
  <c r="G276" i="69"/>
  <c r="G277" i="69"/>
  <c r="G278" i="69"/>
  <c r="G279" i="69"/>
  <c r="G280" i="69"/>
  <c r="G281" i="69"/>
  <c r="G282" i="69"/>
  <c r="G283" i="69"/>
  <c r="G284" i="69"/>
  <c r="G285" i="69"/>
  <c r="G286" i="69"/>
  <c r="G287" i="69"/>
  <c r="G288" i="69"/>
  <c r="G289" i="69"/>
  <c r="G290" i="69"/>
  <c r="G291" i="69"/>
  <c r="G292" i="69"/>
  <c r="G293" i="69"/>
  <c r="G294" i="69"/>
  <c r="G295" i="69"/>
  <c r="G296" i="69"/>
  <c r="G297" i="69"/>
  <c r="G298" i="69"/>
  <c r="K276" i="69"/>
  <c r="K277" i="69"/>
  <c r="K278" i="69"/>
  <c r="K279" i="69"/>
  <c r="K280" i="69"/>
  <c r="K281" i="69"/>
  <c r="K282" i="69"/>
  <c r="K283" i="69"/>
  <c r="K284" i="69"/>
  <c r="K285" i="69"/>
  <c r="K286" i="69"/>
  <c r="K287" i="69"/>
  <c r="K288" i="69"/>
  <c r="K289" i="69"/>
  <c r="K290" i="69"/>
  <c r="K291" i="69"/>
  <c r="K292" i="69"/>
  <c r="K293" i="69"/>
  <c r="K294" i="69"/>
  <c r="K295" i="69"/>
  <c r="K296" i="69"/>
  <c r="K297" i="69"/>
  <c r="K298" i="69"/>
  <c r="L276" i="69" a="1"/>
  <c r="L276" i="69" s="1"/>
  <c r="L277" i="69" a="1"/>
  <c r="L277" i="69" s="1"/>
  <c r="L278" i="69" a="1"/>
  <c r="L278" i="69" s="1"/>
  <c r="L279" i="69" a="1"/>
  <c r="L279" i="69" s="1"/>
  <c r="L280" i="69" a="1"/>
  <c r="L280" i="69" s="1"/>
  <c r="L281" i="69" a="1"/>
  <c r="L281" i="69" s="1"/>
  <c r="L282" i="69" a="1"/>
  <c r="L282" i="69" s="1"/>
  <c r="L283" i="69" a="1"/>
  <c r="L283" i="69" s="1"/>
  <c r="L284" i="69" a="1"/>
  <c r="L284" i="69" s="1"/>
  <c r="L285" i="69" a="1"/>
  <c r="L285" i="69" s="1"/>
  <c r="L286" i="69" a="1"/>
  <c r="L286" i="69" s="1"/>
  <c r="L287" i="69" a="1"/>
  <c r="L287" i="69" s="1"/>
  <c r="L288" i="69" a="1"/>
  <c r="L288" i="69" s="1"/>
  <c r="L289" i="69" a="1"/>
  <c r="L289" i="69" s="1"/>
  <c r="L290" i="69" a="1"/>
  <c r="L290" i="69" s="1"/>
  <c r="L291" i="69" a="1"/>
  <c r="L291" i="69" s="1"/>
  <c r="L292" i="69" a="1"/>
  <c r="L292" i="69" s="1"/>
  <c r="L293" i="69" a="1"/>
  <c r="L293" i="69" s="1"/>
  <c r="L294" i="69" a="1"/>
  <c r="L294" i="69" s="1"/>
  <c r="L295" i="69" a="1"/>
  <c r="L295" i="69" s="1"/>
  <c r="L296" i="69" a="1"/>
  <c r="L296" i="69" s="1"/>
  <c r="L297" i="69" a="1"/>
  <c r="L297" i="69" s="1"/>
  <c r="L298" i="69" a="1"/>
  <c r="L298" i="69" s="1"/>
  <c r="N276" i="69" a="1"/>
  <c r="N276" i="69" s="1"/>
  <c r="N277" i="69" a="1"/>
  <c r="N277" i="69" s="1"/>
  <c r="N278" i="69" a="1"/>
  <c r="N278" i="69" s="1"/>
  <c r="N279" i="69" a="1"/>
  <c r="N279" i="69" s="1"/>
  <c r="N280" i="69" a="1"/>
  <c r="N280" i="69" s="1"/>
  <c r="N281" i="69" a="1"/>
  <c r="N281" i="69" s="1"/>
  <c r="N282" i="69" a="1"/>
  <c r="N282" i="69" s="1"/>
  <c r="N283" i="69" a="1"/>
  <c r="N283" i="69" s="1"/>
  <c r="N284" i="69" a="1"/>
  <c r="N284" i="69" s="1"/>
  <c r="N285" i="69" a="1"/>
  <c r="N285" i="69" s="1"/>
  <c r="N286" i="69" a="1"/>
  <c r="N286" i="69" s="1"/>
  <c r="N287" i="69" a="1"/>
  <c r="N287" i="69" s="1"/>
  <c r="N288" i="69" a="1"/>
  <c r="N288" i="69" s="1"/>
  <c r="N289" i="69" a="1"/>
  <c r="N289" i="69" s="1"/>
  <c r="N290" i="69" a="1"/>
  <c r="N290" i="69" s="1"/>
  <c r="N291" i="69" a="1"/>
  <c r="N291" i="69" s="1"/>
  <c r="N292" i="69" a="1"/>
  <c r="N292" i="69" s="1"/>
  <c r="N293" i="69" a="1"/>
  <c r="N293" i="69" s="1"/>
  <c r="N294" i="69" a="1"/>
  <c r="N294" i="69" s="1"/>
  <c r="N295" i="69" a="1"/>
  <c r="N295" i="69" s="1"/>
  <c r="N296" i="69" a="1"/>
  <c r="N296" i="69" s="1"/>
  <c r="N297" i="69" a="1"/>
  <c r="N297" i="69" s="1"/>
  <c r="N298" i="69" a="1"/>
  <c r="N298" i="69" s="1"/>
  <c r="O276" i="69" a="1"/>
  <c r="O276" i="69" s="1"/>
  <c r="O277" i="69" a="1"/>
  <c r="O277" i="69" s="1"/>
  <c r="O278" i="69" a="1"/>
  <c r="O278" i="69" s="1"/>
  <c r="O279" i="69" a="1"/>
  <c r="O279" i="69" s="1"/>
  <c r="O280" i="69" a="1"/>
  <c r="O280" i="69" s="1"/>
  <c r="O281" i="69" a="1"/>
  <c r="O281" i="69" s="1"/>
  <c r="O282" i="69" a="1"/>
  <c r="O282" i="69" s="1"/>
  <c r="O283" i="69" a="1"/>
  <c r="O283" i="69" s="1"/>
  <c r="O284" i="69" a="1"/>
  <c r="O284" i="69" s="1"/>
  <c r="O285" i="69" a="1"/>
  <c r="O285" i="69" s="1"/>
  <c r="O286" i="69" a="1"/>
  <c r="O286" i="69" s="1"/>
  <c r="O287" i="69" a="1"/>
  <c r="O287" i="69" s="1"/>
  <c r="O288" i="69" a="1"/>
  <c r="O288" i="69" s="1"/>
  <c r="O289" i="69" a="1"/>
  <c r="O289" i="69" s="1"/>
  <c r="O290" i="69" a="1"/>
  <c r="O290" i="69" s="1"/>
  <c r="O291" i="69" a="1"/>
  <c r="O291" i="69" s="1"/>
  <c r="O292" i="69" a="1"/>
  <c r="O292" i="69" s="1"/>
  <c r="O293" i="69" a="1"/>
  <c r="O293" i="69" s="1"/>
  <c r="O294" i="69" a="1"/>
  <c r="O294" i="69" s="1"/>
  <c r="O295" i="69" a="1"/>
  <c r="O295" i="69" s="1"/>
  <c r="O296" i="69" a="1"/>
  <c r="O296" i="69" s="1"/>
  <c r="O297" i="69" a="1"/>
  <c r="O297" i="69" s="1"/>
  <c r="O298" i="69" a="1"/>
  <c r="O298" i="69" s="1"/>
  <c r="P276" i="69"/>
  <c r="P277" i="69"/>
  <c r="P278" i="69"/>
  <c r="P279" i="69"/>
  <c r="P280" i="69"/>
  <c r="P281" i="69"/>
  <c r="P282" i="69"/>
  <c r="P283" i="69"/>
  <c r="P284" i="69"/>
  <c r="P285" i="69"/>
  <c r="P286" i="69"/>
  <c r="P287" i="69"/>
  <c r="P288" i="69"/>
  <c r="P289" i="69"/>
  <c r="P290" i="69"/>
  <c r="P291" i="69"/>
  <c r="P292" i="69"/>
  <c r="P293" i="69"/>
  <c r="P294" i="69"/>
  <c r="P295" i="69"/>
  <c r="P296" i="69"/>
  <c r="P297" i="69"/>
  <c r="P298" i="69"/>
  <c r="Q276" i="69"/>
  <c r="Q277" i="69"/>
  <c r="Q278" i="69"/>
  <c r="Q279" i="69"/>
  <c r="Q280" i="69"/>
  <c r="Q281" i="69"/>
  <c r="Q282" i="69"/>
  <c r="Q283" i="69"/>
  <c r="Q284" i="69"/>
  <c r="Q285" i="69"/>
  <c r="Q286" i="69"/>
  <c r="Q287" i="69"/>
  <c r="Q288" i="69"/>
  <c r="Q289" i="69"/>
  <c r="Q290" i="69"/>
  <c r="Q291" i="69"/>
  <c r="Q292" i="69"/>
  <c r="Q293" i="69"/>
  <c r="Q294" i="69"/>
  <c r="Q295" i="69"/>
  <c r="Q296" i="69"/>
  <c r="Q297" i="69"/>
  <c r="Q298" i="69"/>
  <c r="R276" i="69"/>
  <c r="R277" i="69"/>
  <c r="R278" i="69"/>
  <c r="R279" i="69"/>
  <c r="R280" i="69"/>
  <c r="R281" i="69"/>
  <c r="R282" i="69"/>
  <c r="R283" i="69"/>
  <c r="R284" i="69"/>
  <c r="R285" i="69"/>
  <c r="R286" i="69"/>
  <c r="R287" i="69"/>
  <c r="R288" i="69"/>
  <c r="R289" i="69"/>
  <c r="R290" i="69"/>
  <c r="R291" i="69"/>
  <c r="R292" i="69"/>
  <c r="R293" i="69"/>
  <c r="R294" i="69"/>
  <c r="R295" i="69"/>
  <c r="R296" i="69"/>
  <c r="R297" i="69"/>
  <c r="R298" i="69"/>
  <c r="S276" i="69"/>
  <c r="S277" i="69"/>
  <c r="S278" i="69"/>
  <c r="S279" i="69"/>
  <c r="S280" i="69"/>
  <c r="S281" i="69"/>
  <c r="S282" i="69"/>
  <c r="S283" i="69"/>
  <c r="S284" i="69"/>
  <c r="S285" i="69"/>
  <c r="S286" i="69"/>
  <c r="S287" i="69"/>
  <c r="S288" i="69"/>
  <c r="S289" i="69"/>
  <c r="S290" i="69"/>
  <c r="S291" i="69"/>
  <c r="S292" i="69"/>
  <c r="S293" i="69"/>
  <c r="S294" i="69"/>
  <c r="S295" i="69"/>
  <c r="S296" i="69"/>
  <c r="S297" i="69"/>
  <c r="S298" i="69"/>
  <c r="U276" i="69"/>
  <c r="U277" i="69"/>
  <c r="U278" i="69"/>
  <c r="U279" i="69"/>
  <c r="U280" i="69"/>
  <c r="U281" i="69"/>
  <c r="U282" i="69"/>
  <c r="U283" i="69"/>
  <c r="U284" i="69"/>
  <c r="U285" i="69"/>
  <c r="U286" i="69"/>
  <c r="U287" i="69"/>
  <c r="U288" i="69"/>
  <c r="U289" i="69"/>
  <c r="U290" i="69"/>
  <c r="U291" i="69"/>
  <c r="U292" i="69"/>
  <c r="U293" i="69"/>
  <c r="U294" i="69"/>
  <c r="U295" i="69"/>
  <c r="U296" i="69"/>
  <c r="U297" i="69"/>
  <c r="U298" i="69"/>
  <c r="V276" i="69"/>
  <c r="V277" i="69"/>
  <c r="V278" i="69"/>
  <c r="V279" i="69"/>
  <c r="V280" i="69"/>
  <c r="V281" i="69"/>
  <c r="V282" i="69"/>
  <c r="V283" i="69"/>
  <c r="V284" i="69"/>
  <c r="V285" i="69"/>
  <c r="V286" i="69"/>
  <c r="V287" i="69"/>
  <c r="V288" i="69"/>
  <c r="V289" i="69"/>
  <c r="V290" i="69"/>
  <c r="V291" i="69"/>
  <c r="V292" i="69"/>
  <c r="V293" i="69"/>
  <c r="V294" i="69"/>
  <c r="V295" i="69"/>
  <c r="V296" i="69"/>
  <c r="V297" i="69"/>
  <c r="V298" i="69"/>
  <c r="W276" i="69"/>
  <c r="W277" i="69"/>
  <c r="W278" i="69"/>
  <c r="W279" i="69"/>
  <c r="W280" i="69"/>
  <c r="W281" i="69"/>
  <c r="W282" i="69"/>
  <c r="W283" i="69"/>
  <c r="W284" i="69"/>
  <c r="W285" i="69"/>
  <c r="W286" i="69"/>
  <c r="W287" i="69"/>
  <c r="W288" i="69"/>
  <c r="W289" i="69"/>
  <c r="W290" i="69"/>
  <c r="W291" i="69"/>
  <c r="W292" i="69"/>
  <c r="W293" i="69"/>
  <c r="W294" i="69"/>
  <c r="W295" i="69"/>
  <c r="W296" i="69"/>
  <c r="W297" i="69"/>
  <c r="W298" i="69"/>
  <c r="X276" i="69"/>
  <c r="X277" i="69"/>
  <c r="X278" i="69"/>
  <c r="X279" i="69"/>
  <c r="X280" i="69"/>
  <c r="X281" i="69"/>
  <c r="X282" i="69"/>
  <c r="X283" i="69"/>
  <c r="X284" i="69"/>
  <c r="X285" i="69"/>
  <c r="X286" i="69"/>
  <c r="X287" i="69"/>
  <c r="X288" i="69"/>
  <c r="X289" i="69"/>
  <c r="X290" i="69"/>
  <c r="X291" i="69"/>
  <c r="X292" i="69"/>
  <c r="X293" i="69"/>
  <c r="X294" i="69"/>
  <c r="X295" i="69"/>
  <c r="X296" i="69"/>
  <c r="X297" i="69"/>
  <c r="X298" i="69"/>
  <c r="AG276" i="69"/>
  <c r="AF276" i="69" s="1"/>
  <c r="AG277" i="69"/>
  <c r="AF277" i="69" s="1"/>
  <c r="E277" i="69" s="1" a="1"/>
  <c r="E277" i="69" s="1"/>
  <c r="AG278" i="69"/>
  <c r="AF278" i="69" s="1"/>
  <c r="AG279" i="69"/>
  <c r="AF279" i="69" s="1"/>
  <c r="AG280" i="69"/>
  <c r="AF280" i="69" s="1"/>
  <c r="M280" i="69" s="1"/>
  <c r="AG281" i="69"/>
  <c r="AF281" i="69" s="1"/>
  <c r="AG282" i="69"/>
  <c r="AF282" i="69" s="1"/>
  <c r="AG283" i="69"/>
  <c r="AF283" i="69" s="1"/>
  <c r="E283" i="69" s="1" a="1"/>
  <c r="E283" i="69" s="1"/>
  <c r="AG284" i="69"/>
  <c r="AF284" i="69" s="1"/>
  <c r="AG285" i="69"/>
  <c r="AF285" i="69" s="1"/>
  <c r="E285" i="69" s="1" a="1"/>
  <c r="E285" i="69" s="1"/>
  <c r="AG286" i="69"/>
  <c r="AF286" i="69" s="1"/>
  <c r="M286" i="69" s="1"/>
  <c r="AG287" i="69"/>
  <c r="AF287" i="69" s="1"/>
  <c r="AG288" i="69"/>
  <c r="AF288" i="69" s="1"/>
  <c r="M288" i="69" s="1"/>
  <c r="AG289" i="69"/>
  <c r="AF289" i="69" s="1"/>
  <c r="AG290" i="69"/>
  <c r="AF290" i="69" s="1"/>
  <c r="AG291" i="69"/>
  <c r="AF291" i="69" s="1"/>
  <c r="E291" i="69" s="1" a="1"/>
  <c r="E291" i="69" s="1"/>
  <c r="AG292" i="69"/>
  <c r="AF292" i="69" s="1"/>
  <c r="AG293" i="69"/>
  <c r="AF293" i="69" s="1"/>
  <c r="E293" i="69" s="1" a="1"/>
  <c r="E293" i="69" s="1"/>
  <c r="AG294" i="69"/>
  <c r="AF294" i="69" s="1"/>
  <c r="M294" i="69" s="1"/>
  <c r="AG295" i="69"/>
  <c r="AF295" i="69" s="1"/>
  <c r="AG296" i="69"/>
  <c r="AF296" i="69" s="1"/>
  <c r="M296" i="69" s="1"/>
  <c r="AG297" i="69"/>
  <c r="AF297" i="69" s="1"/>
  <c r="E297" i="69" s="1" a="1"/>
  <c r="E297" i="69" s="1"/>
  <c r="AG298" i="69"/>
  <c r="AF298" i="69" s="1"/>
  <c r="AH276" i="69"/>
  <c r="F276" i="69" s="1" a="1"/>
  <c r="F276" i="69" s="1"/>
  <c r="AH277" i="69"/>
  <c r="F277" i="69" s="1" a="1"/>
  <c r="F277" i="69" s="1"/>
  <c r="AH278" i="69"/>
  <c r="AH279" i="69"/>
  <c r="I279" i="69" s="1" a="1"/>
  <c r="I279" i="69" s="1"/>
  <c r="AH280" i="69"/>
  <c r="AH281" i="69"/>
  <c r="F281" i="69" s="1" a="1"/>
  <c r="F281" i="69" s="1"/>
  <c r="AH282" i="69"/>
  <c r="I282" i="69" s="1" a="1"/>
  <c r="I282" i="69" s="1"/>
  <c r="AH283" i="69"/>
  <c r="H283" i="69" s="1"/>
  <c r="AH284" i="69"/>
  <c r="H284" i="69" s="1"/>
  <c r="AH285" i="69"/>
  <c r="F285" i="69" s="1" a="1"/>
  <c r="F285" i="69" s="1"/>
  <c r="AH286" i="69"/>
  <c r="AH287" i="69"/>
  <c r="F287" i="69" s="1" a="1"/>
  <c r="F287" i="69" s="1"/>
  <c r="AH288" i="69"/>
  <c r="AH289" i="69"/>
  <c r="I289" i="69" s="1" a="1"/>
  <c r="I289" i="69" s="1"/>
  <c r="AH290" i="69"/>
  <c r="F290" i="69" s="1" a="1"/>
  <c r="F290" i="69" s="1"/>
  <c r="AH291" i="69"/>
  <c r="I291" i="69" s="1" a="1"/>
  <c r="I291" i="69" s="1"/>
  <c r="AH292" i="69"/>
  <c r="H292" i="69" s="1"/>
  <c r="AH293" i="69"/>
  <c r="H293" i="69" s="1"/>
  <c r="AH294" i="69"/>
  <c r="AH295" i="69"/>
  <c r="H295" i="69" s="1"/>
  <c r="AH296" i="69"/>
  <c r="I296" i="69" s="1" a="1"/>
  <c r="I296" i="69" s="1"/>
  <c r="AH297" i="69"/>
  <c r="I297" i="69" s="1" a="1"/>
  <c r="I297" i="69" s="1"/>
  <c r="AH298" i="69"/>
  <c r="I298" i="69" s="1" a="1"/>
  <c r="I298" i="69" s="1"/>
  <c r="A118" i="69"/>
  <c r="A119" i="69"/>
  <c r="A120" i="69"/>
  <c r="A121" i="69"/>
  <c r="A122" i="69"/>
  <c r="A123" i="69"/>
  <c r="A124" i="69"/>
  <c r="A125" i="69"/>
  <c r="A126" i="69"/>
  <c r="A127" i="69"/>
  <c r="A128" i="69"/>
  <c r="A129" i="69"/>
  <c r="A130" i="69"/>
  <c r="A131" i="69"/>
  <c r="A132" i="69"/>
  <c r="A133" i="69"/>
  <c r="A134" i="69"/>
  <c r="A135" i="69"/>
  <c r="A136" i="69"/>
  <c r="A137" i="69"/>
  <c r="A138" i="69"/>
  <c r="A139" i="69"/>
  <c r="A140" i="69"/>
  <c r="A141" i="69"/>
  <c r="A142" i="69"/>
  <c r="A143" i="69"/>
  <c r="A144" i="69"/>
  <c r="A145" i="69"/>
  <c r="A146" i="69"/>
  <c r="A147" i="69"/>
  <c r="A148" i="69"/>
  <c r="A149" i="69"/>
  <c r="A150" i="69"/>
  <c r="A151" i="69"/>
  <c r="A152" i="69"/>
  <c r="A153" i="69"/>
  <c r="A154" i="69"/>
  <c r="A155" i="69"/>
  <c r="A156" i="69"/>
  <c r="A157" i="69"/>
  <c r="A158" i="69"/>
  <c r="A159" i="69"/>
  <c r="A160" i="69"/>
  <c r="A161" i="69"/>
  <c r="A162" i="69"/>
  <c r="A163" i="69"/>
  <c r="A164" i="69"/>
  <c r="A165" i="69"/>
  <c r="A166" i="69"/>
  <c r="A167" i="69"/>
  <c r="A168" i="69"/>
  <c r="A169" i="69"/>
  <c r="A170" i="69"/>
  <c r="A171" i="69"/>
  <c r="A172" i="69"/>
  <c r="A173" i="69"/>
  <c r="A174" i="69"/>
  <c r="A175" i="69"/>
  <c r="A176" i="69"/>
  <c r="A177" i="69"/>
  <c r="A178" i="69"/>
  <c r="A179" i="69"/>
  <c r="A180" i="69"/>
  <c r="A181" i="69"/>
  <c r="A182" i="69"/>
  <c r="A183" i="69"/>
  <c r="A184" i="69"/>
  <c r="A185" i="69"/>
  <c r="A186" i="69"/>
  <c r="A187" i="69"/>
  <c r="A188" i="69"/>
  <c r="A189" i="69"/>
  <c r="A190" i="69"/>
  <c r="A191" i="69"/>
  <c r="A192" i="69"/>
  <c r="A193" i="69"/>
  <c r="A194" i="69"/>
  <c r="A195" i="69"/>
  <c r="A196" i="69"/>
  <c r="A197" i="69"/>
  <c r="A198" i="69"/>
  <c r="A199" i="69"/>
  <c r="A200" i="69"/>
  <c r="A201" i="69"/>
  <c r="A202" i="69"/>
  <c r="A203" i="69"/>
  <c r="A204" i="69"/>
  <c r="A205" i="69"/>
  <c r="A206" i="69"/>
  <c r="A207" i="69"/>
  <c r="A208" i="69"/>
  <c r="A209" i="69"/>
  <c r="A210" i="69"/>
  <c r="A211" i="69"/>
  <c r="A212" i="69"/>
  <c r="A213" i="69"/>
  <c r="A214" i="69"/>
  <c r="A215" i="69"/>
  <c r="A216" i="69"/>
  <c r="A217" i="69"/>
  <c r="A218" i="69"/>
  <c r="A219" i="69"/>
  <c r="A220" i="69"/>
  <c r="A221" i="69"/>
  <c r="A222" i="69"/>
  <c r="A223" i="69"/>
  <c r="A224" i="69"/>
  <c r="A225" i="69"/>
  <c r="A226" i="69"/>
  <c r="A227" i="69"/>
  <c r="A228" i="69"/>
  <c r="A229" i="69"/>
  <c r="A230" i="69"/>
  <c r="A231" i="69"/>
  <c r="A232" i="69"/>
  <c r="A233" i="69"/>
  <c r="A234" i="69"/>
  <c r="A235" i="69"/>
  <c r="A236" i="69"/>
  <c r="A237" i="69"/>
  <c r="A238" i="69"/>
  <c r="A239" i="69"/>
  <c r="A240" i="69"/>
  <c r="A241" i="69"/>
  <c r="A242" i="69"/>
  <c r="A243" i="69"/>
  <c r="A244" i="69"/>
  <c r="A245" i="69"/>
  <c r="A246" i="69"/>
  <c r="A247" i="69"/>
  <c r="A248" i="69"/>
  <c r="A249" i="69"/>
  <c r="A250" i="69"/>
  <c r="A251" i="69"/>
  <c r="A252" i="69"/>
  <c r="A253" i="69"/>
  <c r="A254" i="69"/>
  <c r="A255" i="69"/>
  <c r="A256" i="69"/>
  <c r="A257" i="69"/>
  <c r="A258" i="69"/>
  <c r="A259" i="69"/>
  <c r="A260" i="69"/>
  <c r="A261" i="69"/>
  <c r="A262" i="69"/>
  <c r="A263" i="69"/>
  <c r="A264" i="69"/>
  <c r="A265" i="69"/>
  <c r="A266" i="69"/>
  <c r="A267" i="69"/>
  <c r="A268" i="69"/>
  <c r="A269" i="69"/>
  <c r="A270" i="69"/>
  <c r="A271" i="69"/>
  <c r="A272" i="69"/>
  <c r="A273" i="69"/>
  <c r="A274" i="69"/>
  <c r="A275" i="69"/>
  <c r="C118" i="69"/>
  <c r="C119" i="69"/>
  <c r="C120" i="69"/>
  <c r="C121" i="69"/>
  <c r="C122" i="69"/>
  <c r="C123" i="69"/>
  <c r="C124" i="69"/>
  <c r="C125" i="69"/>
  <c r="C126" i="69"/>
  <c r="C127" i="69"/>
  <c r="C128" i="69"/>
  <c r="C129" i="69"/>
  <c r="C130" i="69"/>
  <c r="C131" i="69"/>
  <c r="C132" i="69"/>
  <c r="C133" i="69"/>
  <c r="C134" i="69"/>
  <c r="C135" i="69"/>
  <c r="C136" i="69"/>
  <c r="C137" i="69"/>
  <c r="C138" i="69"/>
  <c r="C139" i="69"/>
  <c r="C140" i="69"/>
  <c r="C141" i="69"/>
  <c r="C142" i="69"/>
  <c r="C143" i="69"/>
  <c r="C144" i="69"/>
  <c r="C145" i="69"/>
  <c r="C146" i="69"/>
  <c r="C147" i="69"/>
  <c r="C148" i="69"/>
  <c r="C149" i="69"/>
  <c r="C150" i="69"/>
  <c r="C151" i="69"/>
  <c r="C152" i="69"/>
  <c r="C153" i="69"/>
  <c r="C154" i="69"/>
  <c r="C155" i="69"/>
  <c r="C156" i="69"/>
  <c r="C157" i="69"/>
  <c r="C158" i="69"/>
  <c r="C159" i="69"/>
  <c r="C160" i="69"/>
  <c r="C161" i="69"/>
  <c r="C162" i="69"/>
  <c r="C163" i="69"/>
  <c r="C164" i="69"/>
  <c r="C165" i="69"/>
  <c r="C166" i="69"/>
  <c r="C167" i="69"/>
  <c r="C168" i="69"/>
  <c r="C169" i="69"/>
  <c r="C170" i="69"/>
  <c r="C171" i="69"/>
  <c r="C172" i="69"/>
  <c r="C173" i="69"/>
  <c r="C174" i="69"/>
  <c r="C175" i="69"/>
  <c r="C176" i="69"/>
  <c r="C177" i="69"/>
  <c r="C178" i="69"/>
  <c r="C179" i="69"/>
  <c r="C180" i="69"/>
  <c r="C181" i="69"/>
  <c r="C182" i="69"/>
  <c r="C183" i="69"/>
  <c r="C184" i="69"/>
  <c r="C185" i="69"/>
  <c r="C186" i="69"/>
  <c r="C187" i="69"/>
  <c r="C188" i="69"/>
  <c r="C189" i="69"/>
  <c r="C190" i="69"/>
  <c r="C191" i="69"/>
  <c r="C192" i="69"/>
  <c r="C193" i="69"/>
  <c r="C194" i="69"/>
  <c r="C195" i="69"/>
  <c r="C196" i="69"/>
  <c r="C197" i="69"/>
  <c r="C198" i="69"/>
  <c r="C199" i="69"/>
  <c r="C200" i="69"/>
  <c r="C201" i="69"/>
  <c r="C202" i="69"/>
  <c r="C203" i="69"/>
  <c r="C204" i="69"/>
  <c r="C205" i="69"/>
  <c r="C206" i="69"/>
  <c r="C207" i="69"/>
  <c r="C208" i="69"/>
  <c r="C209" i="69"/>
  <c r="C210" i="69"/>
  <c r="C211" i="69"/>
  <c r="C212" i="69"/>
  <c r="C213" i="69"/>
  <c r="C214" i="69"/>
  <c r="C215" i="69"/>
  <c r="C216" i="69"/>
  <c r="C217" i="69"/>
  <c r="C218" i="69"/>
  <c r="C219" i="69"/>
  <c r="C220" i="69"/>
  <c r="C221" i="69"/>
  <c r="C222" i="69"/>
  <c r="C223" i="69"/>
  <c r="C224" i="69"/>
  <c r="C225" i="69"/>
  <c r="C226" i="69"/>
  <c r="C227" i="69"/>
  <c r="C228" i="69"/>
  <c r="C229" i="69"/>
  <c r="C230" i="69"/>
  <c r="C231" i="69"/>
  <c r="C232" i="69"/>
  <c r="C233" i="69"/>
  <c r="C234" i="69"/>
  <c r="C235" i="69"/>
  <c r="C236" i="69"/>
  <c r="C237" i="69"/>
  <c r="C238" i="69"/>
  <c r="C239" i="69"/>
  <c r="C240" i="69"/>
  <c r="C241" i="69"/>
  <c r="C242" i="69"/>
  <c r="C243" i="69"/>
  <c r="C244" i="69"/>
  <c r="C245" i="69"/>
  <c r="C246" i="69"/>
  <c r="C247" i="69"/>
  <c r="C248" i="69"/>
  <c r="C249" i="69"/>
  <c r="C250" i="69"/>
  <c r="C251" i="69"/>
  <c r="C252" i="69"/>
  <c r="C253" i="69"/>
  <c r="C254" i="69"/>
  <c r="C255" i="69"/>
  <c r="C256" i="69"/>
  <c r="C257" i="69"/>
  <c r="C258" i="69"/>
  <c r="C259" i="69"/>
  <c r="C260" i="69"/>
  <c r="C261" i="69"/>
  <c r="C262" i="69"/>
  <c r="C263" i="69"/>
  <c r="C264" i="69"/>
  <c r="C265" i="69"/>
  <c r="C266" i="69"/>
  <c r="C267" i="69"/>
  <c r="C268" i="69"/>
  <c r="C269" i="69"/>
  <c r="C270" i="69"/>
  <c r="C271" i="69"/>
  <c r="C272" i="69"/>
  <c r="C273" i="69"/>
  <c r="C274" i="69"/>
  <c r="C275" i="69"/>
  <c r="G118" i="69"/>
  <c r="G119" i="69"/>
  <c r="G120" i="69"/>
  <c r="G121" i="69"/>
  <c r="G122" i="69"/>
  <c r="G123" i="69"/>
  <c r="G124" i="69"/>
  <c r="G125" i="69"/>
  <c r="G126" i="69"/>
  <c r="G127" i="69"/>
  <c r="G128" i="69"/>
  <c r="G129" i="69"/>
  <c r="G130" i="69"/>
  <c r="G131" i="69"/>
  <c r="G132" i="69"/>
  <c r="G133" i="69"/>
  <c r="G134" i="69"/>
  <c r="G135" i="69"/>
  <c r="G136" i="69"/>
  <c r="G137" i="69"/>
  <c r="G138" i="69"/>
  <c r="G139" i="69"/>
  <c r="G140" i="69"/>
  <c r="G141" i="69"/>
  <c r="G142" i="69"/>
  <c r="G143" i="69"/>
  <c r="G144" i="69"/>
  <c r="G145" i="69"/>
  <c r="G146" i="69"/>
  <c r="G147" i="69"/>
  <c r="G148" i="69"/>
  <c r="G149" i="69"/>
  <c r="G150" i="69"/>
  <c r="G151" i="69"/>
  <c r="G152" i="69"/>
  <c r="G153" i="69"/>
  <c r="G154" i="69"/>
  <c r="G155" i="69"/>
  <c r="G156" i="69"/>
  <c r="G157" i="69"/>
  <c r="G158" i="69"/>
  <c r="G159" i="69"/>
  <c r="G160" i="69"/>
  <c r="G161" i="69"/>
  <c r="G162" i="69"/>
  <c r="G163" i="69"/>
  <c r="G164" i="69"/>
  <c r="G165" i="69"/>
  <c r="G166" i="69"/>
  <c r="G167" i="69"/>
  <c r="G168" i="69"/>
  <c r="G169" i="69"/>
  <c r="G170" i="69"/>
  <c r="G171" i="69"/>
  <c r="G172" i="69"/>
  <c r="G173" i="69"/>
  <c r="G174" i="69"/>
  <c r="G175" i="69"/>
  <c r="G176" i="69"/>
  <c r="G177" i="69"/>
  <c r="G178" i="69"/>
  <c r="G179" i="69"/>
  <c r="G180" i="69"/>
  <c r="G181" i="69"/>
  <c r="G182" i="69"/>
  <c r="G183" i="69"/>
  <c r="G184" i="69"/>
  <c r="G185" i="69"/>
  <c r="G186" i="69"/>
  <c r="G187" i="69"/>
  <c r="G188" i="69"/>
  <c r="G189" i="69"/>
  <c r="G190" i="69"/>
  <c r="G191" i="69"/>
  <c r="G192" i="69"/>
  <c r="G193" i="69"/>
  <c r="G194" i="69"/>
  <c r="G195" i="69"/>
  <c r="G196" i="69"/>
  <c r="G197" i="69"/>
  <c r="G198" i="69"/>
  <c r="G199" i="69"/>
  <c r="G200" i="69"/>
  <c r="G201" i="69"/>
  <c r="G202" i="69"/>
  <c r="G203" i="69"/>
  <c r="G204" i="69"/>
  <c r="G205" i="69"/>
  <c r="G206" i="69"/>
  <c r="G207" i="69"/>
  <c r="G208" i="69"/>
  <c r="G209" i="69"/>
  <c r="G210" i="69"/>
  <c r="G211" i="69"/>
  <c r="G212" i="69"/>
  <c r="G213" i="69"/>
  <c r="G214" i="69"/>
  <c r="G215" i="69"/>
  <c r="G216" i="69"/>
  <c r="G217" i="69"/>
  <c r="G218" i="69"/>
  <c r="G219" i="69"/>
  <c r="G220" i="69"/>
  <c r="G221" i="69"/>
  <c r="G222" i="69"/>
  <c r="G223" i="69"/>
  <c r="G224" i="69"/>
  <c r="G225" i="69"/>
  <c r="G226" i="69"/>
  <c r="G227" i="69"/>
  <c r="G228" i="69"/>
  <c r="G229" i="69"/>
  <c r="G230" i="69"/>
  <c r="G231" i="69"/>
  <c r="G232" i="69"/>
  <c r="G233" i="69"/>
  <c r="G234" i="69"/>
  <c r="G235" i="69"/>
  <c r="G236" i="69"/>
  <c r="G237" i="69"/>
  <c r="G238" i="69"/>
  <c r="G239" i="69"/>
  <c r="G240" i="69"/>
  <c r="G241" i="69"/>
  <c r="G242" i="69"/>
  <c r="G243" i="69"/>
  <c r="G244" i="69"/>
  <c r="G245" i="69"/>
  <c r="G246" i="69"/>
  <c r="G247" i="69"/>
  <c r="G248" i="69"/>
  <c r="G249" i="69"/>
  <c r="G250" i="69"/>
  <c r="G251" i="69"/>
  <c r="G252" i="69"/>
  <c r="G253" i="69"/>
  <c r="G254" i="69"/>
  <c r="G255" i="69"/>
  <c r="G256" i="69"/>
  <c r="G257" i="69"/>
  <c r="G258" i="69"/>
  <c r="G259" i="69"/>
  <c r="G260" i="69"/>
  <c r="G261" i="69"/>
  <c r="G262" i="69"/>
  <c r="G263" i="69"/>
  <c r="G264" i="69"/>
  <c r="G265" i="69"/>
  <c r="G266" i="69"/>
  <c r="G267" i="69"/>
  <c r="G268" i="69"/>
  <c r="G269" i="69"/>
  <c r="G270" i="69"/>
  <c r="G271" i="69"/>
  <c r="G272" i="69"/>
  <c r="G273" i="69"/>
  <c r="G274" i="69"/>
  <c r="G275" i="69"/>
  <c r="K118" i="69"/>
  <c r="K119" i="69"/>
  <c r="K120" i="69"/>
  <c r="K121" i="69"/>
  <c r="K122" i="69"/>
  <c r="K123" i="69"/>
  <c r="K124" i="69"/>
  <c r="K125" i="69"/>
  <c r="K126" i="69"/>
  <c r="K127" i="69"/>
  <c r="K128" i="69"/>
  <c r="K129" i="69"/>
  <c r="K130" i="69"/>
  <c r="K131" i="69"/>
  <c r="K132" i="69"/>
  <c r="K133" i="69"/>
  <c r="K134" i="69"/>
  <c r="K135" i="69"/>
  <c r="K136" i="69"/>
  <c r="K137" i="69"/>
  <c r="K138" i="69"/>
  <c r="K139" i="69"/>
  <c r="K140" i="69"/>
  <c r="K141" i="69"/>
  <c r="K142" i="69"/>
  <c r="K143" i="69"/>
  <c r="K144" i="69"/>
  <c r="K145" i="69"/>
  <c r="K146" i="69"/>
  <c r="K147" i="69"/>
  <c r="K148" i="69"/>
  <c r="K149" i="69"/>
  <c r="K150" i="69"/>
  <c r="K151" i="69"/>
  <c r="K152" i="69"/>
  <c r="K153" i="69"/>
  <c r="K154" i="69"/>
  <c r="K155" i="69"/>
  <c r="K156" i="69"/>
  <c r="K157" i="69"/>
  <c r="K158" i="69"/>
  <c r="K159" i="69"/>
  <c r="K160" i="69"/>
  <c r="K161" i="69"/>
  <c r="K162" i="69"/>
  <c r="K163" i="69"/>
  <c r="K164" i="69"/>
  <c r="K165" i="69"/>
  <c r="K166" i="69"/>
  <c r="K167" i="69"/>
  <c r="K168" i="69"/>
  <c r="K169" i="69"/>
  <c r="K170" i="69"/>
  <c r="K171" i="69"/>
  <c r="K172" i="69"/>
  <c r="K173" i="69"/>
  <c r="K174" i="69"/>
  <c r="K175" i="69"/>
  <c r="K176" i="69"/>
  <c r="K177" i="69"/>
  <c r="K178" i="69"/>
  <c r="K179" i="69"/>
  <c r="K180" i="69"/>
  <c r="K181" i="69"/>
  <c r="K182" i="69"/>
  <c r="K183" i="69"/>
  <c r="K184" i="69"/>
  <c r="K185" i="69"/>
  <c r="K186" i="69"/>
  <c r="K187" i="69"/>
  <c r="K188" i="69"/>
  <c r="K189" i="69"/>
  <c r="K190" i="69"/>
  <c r="K191" i="69"/>
  <c r="K192" i="69"/>
  <c r="K193" i="69"/>
  <c r="K194" i="69"/>
  <c r="K195" i="69"/>
  <c r="K196" i="69"/>
  <c r="K197" i="69"/>
  <c r="K198" i="69"/>
  <c r="K199" i="69"/>
  <c r="K200" i="69"/>
  <c r="K201" i="69"/>
  <c r="K202" i="69"/>
  <c r="K203" i="69"/>
  <c r="K204" i="69"/>
  <c r="K205" i="69"/>
  <c r="K206" i="69"/>
  <c r="K207" i="69"/>
  <c r="K208" i="69"/>
  <c r="K209" i="69"/>
  <c r="K210" i="69"/>
  <c r="K211" i="69"/>
  <c r="K212" i="69"/>
  <c r="K213" i="69"/>
  <c r="K214" i="69"/>
  <c r="K215" i="69"/>
  <c r="K216" i="69"/>
  <c r="K217" i="69"/>
  <c r="K218" i="69"/>
  <c r="K219" i="69"/>
  <c r="K220" i="69"/>
  <c r="K221" i="69"/>
  <c r="K222" i="69"/>
  <c r="K223" i="69"/>
  <c r="K224" i="69"/>
  <c r="K225" i="69"/>
  <c r="K226" i="69"/>
  <c r="K227" i="69"/>
  <c r="K228" i="69"/>
  <c r="K229" i="69"/>
  <c r="K230" i="69"/>
  <c r="K231" i="69"/>
  <c r="K232" i="69"/>
  <c r="K233" i="69"/>
  <c r="K234" i="69"/>
  <c r="K235" i="69"/>
  <c r="K236" i="69"/>
  <c r="K237" i="69"/>
  <c r="K238" i="69"/>
  <c r="K239" i="69"/>
  <c r="K240" i="69"/>
  <c r="K241" i="69"/>
  <c r="K242" i="69"/>
  <c r="K243" i="69"/>
  <c r="K244" i="69"/>
  <c r="K245" i="69"/>
  <c r="K246" i="69"/>
  <c r="K247" i="69"/>
  <c r="K248" i="69"/>
  <c r="K249" i="69"/>
  <c r="K250" i="69"/>
  <c r="K251" i="69"/>
  <c r="K252" i="69"/>
  <c r="K253" i="69"/>
  <c r="K254" i="69"/>
  <c r="K255" i="69"/>
  <c r="K256" i="69"/>
  <c r="K257" i="69"/>
  <c r="K258" i="69"/>
  <c r="K259" i="69"/>
  <c r="K260" i="69"/>
  <c r="K261" i="69"/>
  <c r="K262" i="69"/>
  <c r="K263" i="69"/>
  <c r="K264" i="69"/>
  <c r="K265" i="69"/>
  <c r="K266" i="69"/>
  <c r="K267" i="69"/>
  <c r="K268" i="69"/>
  <c r="K269" i="69"/>
  <c r="K270" i="69"/>
  <c r="K271" i="69"/>
  <c r="K272" i="69"/>
  <c r="K273" i="69"/>
  <c r="K274" i="69"/>
  <c r="K275" i="69"/>
  <c r="L118" i="69" a="1"/>
  <c r="L118" i="69" s="1"/>
  <c r="L119" i="69" a="1"/>
  <c r="L119" i="69" s="1"/>
  <c r="L120" i="69" a="1"/>
  <c r="L120" i="69" s="1"/>
  <c r="L121" i="69" a="1"/>
  <c r="L121" i="69" s="1"/>
  <c r="L122" i="69" a="1"/>
  <c r="L122" i="69" s="1"/>
  <c r="L123" i="69" a="1"/>
  <c r="L123" i="69" s="1"/>
  <c r="L124" i="69" a="1"/>
  <c r="L124" i="69" s="1"/>
  <c r="L125" i="69" a="1"/>
  <c r="L125" i="69" s="1"/>
  <c r="L126" i="69" a="1"/>
  <c r="L126" i="69" s="1"/>
  <c r="L127" i="69" a="1"/>
  <c r="L127" i="69" s="1"/>
  <c r="L128" i="69" a="1"/>
  <c r="L128" i="69" s="1"/>
  <c r="L129" i="69" a="1"/>
  <c r="L129" i="69" s="1"/>
  <c r="L130" i="69" a="1"/>
  <c r="L130" i="69" s="1"/>
  <c r="L131" i="69" a="1"/>
  <c r="L131" i="69" s="1"/>
  <c r="L132" i="69" a="1"/>
  <c r="L132" i="69" s="1"/>
  <c r="L133" i="69" a="1"/>
  <c r="L133" i="69" s="1"/>
  <c r="L134" i="69" a="1"/>
  <c r="L134" i="69" s="1"/>
  <c r="L135" i="69" a="1"/>
  <c r="L135" i="69" s="1"/>
  <c r="L136" i="69" a="1"/>
  <c r="L136" i="69" s="1"/>
  <c r="L137" i="69" a="1"/>
  <c r="L137" i="69" s="1"/>
  <c r="L138" i="69" a="1"/>
  <c r="L138" i="69" s="1"/>
  <c r="L139" i="69" a="1"/>
  <c r="L139" i="69" s="1"/>
  <c r="L140" i="69" a="1"/>
  <c r="L140" i="69" s="1"/>
  <c r="L141" i="69" a="1"/>
  <c r="L141" i="69" s="1"/>
  <c r="L142" i="69" a="1"/>
  <c r="L142" i="69" s="1"/>
  <c r="L143" i="69" a="1"/>
  <c r="L143" i="69" s="1"/>
  <c r="L144" i="69" a="1"/>
  <c r="L144" i="69" s="1"/>
  <c r="L145" i="69" a="1"/>
  <c r="L145" i="69" s="1"/>
  <c r="L146" i="69" a="1"/>
  <c r="L146" i="69" s="1"/>
  <c r="L147" i="69" a="1"/>
  <c r="L147" i="69" s="1"/>
  <c r="L148" i="69" a="1"/>
  <c r="L148" i="69" s="1"/>
  <c r="L149" i="69" a="1"/>
  <c r="L149" i="69" s="1"/>
  <c r="L150" i="69" a="1"/>
  <c r="L150" i="69" s="1"/>
  <c r="L151" i="69" a="1"/>
  <c r="L151" i="69" s="1"/>
  <c r="L152" i="69" a="1"/>
  <c r="L152" i="69" s="1"/>
  <c r="L153" i="69" a="1"/>
  <c r="L153" i="69" s="1"/>
  <c r="L154" i="69" a="1"/>
  <c r="L154" i="69" s="1"/>
  <c r="L155" i="69" a="1"/>
  <c r="L155" i="69" s="1"/>
  <c r="L156" i="69" a="1"/>
  <c r="L156" i="69" s="1"/>
  <c r="L157" i="69" a="1"/>
  <c r="L157" i="69" s="1"/>
  <c r="L158" i="69" a="1"/>
  <c r="L158" i="69" s="1"/>
  <c r="L159" i="69" a="1"/>
  <c r="L159" i="69" s="1"/>
  <c r="L160" i="69" a="1"/>
  <c r="L160" i="69" s="1"/>
  <c r="L161" i="69" a="1"/>
  <c r="L161" i="69" s="1"/>
  <c r="L162" i="69" a="1"/>
  <c r="L162" i="69" s="1"/>
  <c r="L163" i="69" a="1"/>
  <c r="L163" i="69" s="1"/>
  <c r="L164" i="69" a="1"/>
  <c r="L164" i="69" s="1"/>
  <c r="L165" i="69" a="1"/>
  <c r="L165" i="69" s="1"/>
  <c r="L166" i="69" a="1"/>
  <c r="L166" i="69" s="1"/>
  <c r="L167" i="69" a="1"/>
  <c r="L167" i="69" s="1"/>
  <c r="L168" i="69" a="1"/>
  <c r="L168" i="69" s="1"/>
  <c r="L169" i="69" a="1"/>
  <c r="L169" i="69" s="1"/>
  <c r="L170" i="69" a="1"/>
  <c r="L170" i="69" s="1"/>
  <c r="L171" i="69" a="1"/>
  <c r="L171" i="69" s="1"/>
  <c r="L172" i="69" a="1"/>
  <c r="L172" i="69" s="1"/>
  <c r="L173" i="69" a="1"/>
  <c r="L173" i="69" s="1"/>
  <c r="L174" i="69" a="1"/>
  <c r="L174" i="69" s="1"/>
  <c r="L175" i="69" a="1"/>
  <c r="L175" i="69" s="1"/>
  <c r="L176" i="69" a="1"/>
  <c r="L176" i="69" s="1"/>
  <c r="L177" i="69" a="1"/>
  <c r="L177" i="69" s="1"/>
  <c r="L178" i="69" a="1"/>
  <c r="L178" i="69" s="1"/>
  <c r="L179" i="69" a="1"/>
  <c r="L179" i="69" s="1"/>
  <c r="L180" i="69" a="1"/>
  <c r="L180" i="69" s="1"/>
  <c r="L181" i="69" a="1"/>
  <c r="L181" i="69" s="1"/>
  <c r="L182" i="69" a="1"/>
  <c r="L182" i="69" s="1"/>
  <c r="L183" i="69" a="1"/>
  <c r="L183" i="69" s="1"/>
  <c r="L184" i="69" a="1"/>
  <c r="L184" i="69" s="1"/>
  <c r="L185" i="69" a="1"/>
  <c r="L185" i="69" s="1"/>
  <c r="L186" i="69" a="1"/>
  <c r="L186" i="69" s="1"/>
  <c r="L187" i="69" a="1"/>
  <c r="L187" i="69" s="1"/>
  <c r="L188" i="69" a="1"/>
  <c r="L188" i="69" s="1"/>
  <c r="L189" i="69" a="1"/>
  <c r="L189" i="69" s="1"/>
  <c r="L190" i="69" a="1"/>
  <c r="L190" i="69" s="1"/>
  <c r="L191" i="69" a="1"/>
  <c r="L191" i="69" s="1"/>
  <c r="L192" i="69" a="1"/>
  <c r="L192" i="69" s="1"/>
  <c r="L193" i="69" a="1"/>
  <c r="L193" i="69" s="1"/>
  <c r="L194" i="69" a="1"/>
  <c r="L194" i="69" s="1"/>
  <c r="L195" i="69" a="1"/>
  <c r="L195" i="69" s="1"/>
  <c r="L196" i="69" a="1"/>
  <c r="L196" i="69" s="1"/>
  <c r="L197" i="69" a="1"/>
  <c r="L197" i="69" s="1"/>
  <c r="L198" i="69" a="1"/>
  <c r="L198" i="69" s="1"/>
  <c r="L199" i="69" a="1"/>
  <c r="L199" i="69" s="1"/>
  <c r="L200" i="69" a="1"/>
  <c r="L200" i="69" s="1"/>
  <c r="L201" i="69" a="1"/>
  <c r="L201" i="69" s="1"/>
  <c r="L202" i="69" a="1"/>
  <c r="L202" i="69" s="1"/>
  <c r="L203" i="69" a="1"/>
  <c r="L203" i="69" s="1"/>
  <c r="L204" i="69" a="1"/>
  <c r="L204" i="69" s="1"/>
  <c r="L205" i="69" a="1"/>
  <c r="L205" i="69" s="1"/>
  <c r="L206" i="69" a="1"/>
  <c r="L206" i="69" s="1"/>
  <c r="L207" i="69" a="1"/>
  <c r="L207" i="69" s="1"/>
  <c r="L208" i="69" a="1"/>
  <c r="L208" i="69" s="1"/>
  <c r="L209" i="69" a="1"/>
  <c r="L209" i="69" s="1"/>
  <c r="L210" i="69" a="1"/>
  <c r="L210" i="69" s="1"/>
  <c r="L211" i="69" a="1"/>
  <c r="L211" i="69" s="1"/>
  <c r="L212" i="69" a="1"/>
  <c r="L212" i="69" s="1"/>
  <c r="L213" i="69" a="1"/>
  <c r="L213" i="69" s="1"/>
  <c r="L214" i="69" a="1"/>
  <c r="L214" i="69" s="1"/>
  <c r="L215" i="69" a="1"/>
  <c r="L215" i="69" s="1"/>
  <c r="L216" i="69" a="1"/>
  <c r="L216" i="69" s="1"/>
  <c r="L217" i="69" a="1"/>
  <c r="L217" i="69" s="1"/>
  <c r="L218" i="69" a="1"/>
  <c r="L218" i="69" s="1"/>
  <c r="L219" i="69" a="1"/>
  <c r="L219" i="69" s="1"/>
  <c r="L220" i="69" a="1"/>
  <c r="L220" i="69" s="1"/>
  <c r="L221" i="69" a="1"/>
  <c r="L221" i="69" s="1"/>
  <c r="L222" i="69" a="1"/>
  <c r="L222" i="69" s="1"/>
  <c r="L223" i="69" a="1"/>
  <c r="L223" i="69" s="1"/>
  <c r="L224" i="69" a="1"/>
  <c r="L224" i="69" s="1"/>
  <c r="L225" i="69" a="1"/>
  <c r="L225" i="69" s="1"/>
  <c r="L226" i="69" a="1"/>
  <c r="L226" i="69" s="1"/>
  <c r="L227" i="69" a="1"/>
  <c r="L227" i="69" s="1"/>
  <c r="L228" i="69" a="1"/>
  <c r="L228" i="69" s="1"/>
  <c r="L229" i="69" a="1"/>
  <c r="L229" i="69" s="1"/>
  <c r="L230" i="69" a="1"/>
  <c r="L230" i="69" s="1"/>
  <c r="L231" i="69" a="1"/>
  <c r="L231" i="69" s="1"/>
  <c r="L232" i="69" a="1"/>
  <c r="L232" i="69" s="1"/>
  <c r="L233" i="69" a="1"/>
  <c r="L233" i="69" s="1"/>
  <c r="L234" i="69" a="1"/>
  <c r="L234" i="69" s="1"/>
  <c r="L235" i="69" a="1"/>
  <c r="L235" i="69" s="1"/>
  <c r="L236" i="69" a="1"/>
  <c r="L236" i="69" s="1"/>
  <c r="L237" i="69" a="1"/>
  <c r="L237" i="69" s="1"/>
  <c r="L238" i="69" a="1"/>
  <c r="L238" i="69" s="1"/>
  <c r="L239" i="69" a="1"/>
  <c r="L239" i="69" s="1"/>
  <c r="L240" i="69" a="1"/>
  <c r="L240" i="69" s="1"/>
  <c r="L241" i="69" a="1"/>
  <c r="L241" i="69" s="1"/>
  <c r="L242" i="69" a="1"/>
  <c r="L242" i="69" s="1"/>
  <c r="L243" i="69" a="1"/>
  <c r="L243" i="69" s="1"/>
  <c r="L244" i="69" a="1"/>
  <c r="L244" i="69" s="1"/>
  <c r="L245" i="69" a="1"/>
  <c r="L245" i="69" s="1"/>
  <c r="L246" i="69" a="1"/>
  <c r="L246" i="69" s="1"/>
  <c r="L247" i="69" a="1"/>
  <c r="L247" i="69" s="1"/>
  <c r="L248" i="69" a="1"/>
  <c r="L248" i="69" s="1"/>
  <c r="L249" i="69" a="1"/>
  <c r="L249" i="69" s="1"/>
  <c r="L250" i="69" a="1"/>
  <c r="L250" i="69" s="1"/>
  <c r="L251" i="69" a="1"/>
  <c r="L251" i="69" s="1"/>
  <c r="L252" i="69" a="1"/>
  <c r="L252" i="69" s="1"/>
  <c r="L253" i="69" a="1"/>
  <c r="L253" i="69" s="1"/>
  <c r="L254" i="69" a="1"/>
  <c r="L254" i="69" s="1"/>
  <c r="L255" i="69" a="1"/>
  <c r="L255" i="69" s="1"/>
  <c r="L256" i="69" a="1"/>
  <c r="L256" i="69" s="1"/>
  <c r="L257" i="69" a="1"/>
  <c r="L257" i="69" s="1"/>
  <c r="L258" i="69" a="1"/>
  <c r="L258" i="69" s="1"/>
  <c r="L259" i="69" a="1"/>
  <c r="L259" i="69" s="1"/>
  <c r="L260" i="69" a="1"/>
  <c r="L260" i="69" s="1"/>
  <c r="L261" i="69" a="1"/>
  <c r="L261" i="69" s="1"/>
  <c r="L262" i="69" a="1"/>
  <c r="L262" i="69" s="1"/>
  <c r="L263" i="69" a="1"/>
  <c r="L263" i="69" s="1"/>
  <c r="L264" i="69" a="1"/>
  <c r="L264" i="69" s="1"/>
  <c r="L265" i="69" a="1"/>
  <c r="L265" i="69" s="1"/>
  <c r="L266" i="69" a="1"/>
  <c r="L266" i="69" s="1"/>
  <c r="L267" i="69" a="1"/>
  <c r="L267" i="69" s="1"/>
  <c r="L268" i="69" a="1"/>
  <c r="L268" i="69" s="1"/>
  <c r="L269" i="69" a="1"/>
  <c r="L269" i="69" s="1"/>
  <c r="L270" i="69" a="1"/>
  <c r="L270" i="69" s="1"/>
  <c r="L271" i="69" a="1"/>
  <c r="L271" i="69" s="1"/>
  <c r="L272" i="69" a="1"/>
  <c r="L272" i="69" s="1"/>
  <c r="L273" i="69" a="1"/>
  <c r="L273" i="69" s="1"/>
  <c r="L274" i="69" a="1"/>
  <c r="L274" i="69" s="1"/>
  <c r="L275" i="69" a="1"/>
  <c r="L275" i="69" s="1"/>
  <c r="N118" i="69" a="1"/>
  <c r="N118" i="69" s="1"/>
  <c r="N119" i="69" a="1"/>
  <c r="N119" i="69" s="1"/>
  <c r="N120" i="69" a="1"/>
  <c r="N120" i="69" s="1"/>
  <c r="N121" i="69" a="1"/>
  <c r="N121" i="69" s="1"/>
  <c r="N122" i="69" a="1"/>
  <c r="N122" i="69" s="1"/>
  <c r="N123" i="69" a="1"/>
  <c r="N123" i="69" s="1"/>
  <c r="N124" i="69" a="1"/>
  <c r="N124" i="69" s="1"/>
  <c r="N125" i="69" a="1"/>
  <c r="N125" i="69" s="1"/>
  <c r="N126" i="69" a="1"/>
  <c r="N126" i="69" s="1"/>
  <c r="N127" i="69" a="1"/>
  <c r="N127" i="69" s="1"/>
  <c r="N128" i="69" a="1"/>
  <c r="N128" i="69" s="1"/>
  <c r="N129" i="69" a="1"/>
  <c r="N129" i="69" s="1"/>
  <c r="N130" i="69" a="1"/>
  <c r="N130" i="69" s="1"/>
  <c r="N131" i="69" a="1"/>
  <c r="N131" i="69" s="1"/>
  <c r="N132" i="69" a="1"/>
  <c r="N132" i="69" s="1"/>
  <c r="N133" i="69" a="1"/>
  <c r="N133" i="69" s="1"/>
  <c r="N134" i="69" a="1"/>
  <c r="N134" i="69" s="1"/>
  <c r="N135" i="69" a="1"/>
  <c r="N135" i="69" s="1"/>
  <c r="N136" i="69" a="1"/>
  <c r="N136" i="69" s="1"/>
  <c r="N137" i="69" a="1"/>
  <c r="N137" i="69" s="1"/>
  <c r="N138" i="69" a="1"/>
  <c r="N138" i="69" s="1"/>
  <c r="N139" i="69" a="1"/>
  <c r="N139" i="69" s="1"/>
  <c r="N140" i="69" a="1"/>
  <c r="N140" i="69" s="1"/>
  <c r="N141" i="69" a="1"/>
  <c r="N141" i="69" s="1"/>
  <c r="N142" i="69" a="1"/>
  <c r="N142" i="69" s="1"/>
  <c r="N143" i="69" a="1"/>
  <c r="N143" i="69" s="1"/>
  <c r="N144" i="69" a="1"/>
  <c r="N144" i="69" s="1"/>
  <c r="N145" i="69" a="1"/>
  <c r="N145" i="69" s="1"/>
  <c r="N146" i="69" a="1"/>
  <c r="N146" i="69" s="1"/>
  <c r="N147" i="69" a="1"/>
  <c r="N147" i="69" s="1"/>
  <c r="N148" i="69" a="1"/>
  <c r="N148" i="69" s="1"/>
  <c r="N149" i="69" a="1"/>
  <c r="N149" i="69" s="1"/>
  <c r="N150" i="69" a="1"/>
  <c r="N150" i="69" s="1"/>
  <c r="N151" i="69" a="1"/>
  <c r="N151" i="69" s="1"/>
  <c r="N152" i="69" a="1"/>
  <c r="N152" i="69" s="1"/>
  <c r="N153" i="69" a="1"/>
  <c r="N153" i="69" s="1"/>
  <c r="N154" i="69" a="1"/>
  <c r="N154" i="69" s="1"/>
  <c r="N155" i="69" a="1"/>
  <c r="N155" i="69" s="1"/>
  <c r="N156" i="69" a="1"/>
  <c r="N156" i="69" s="1"/>
  <c r="N157" i="69" a="1"/>
  <c r="N157" i="69" s="1"/>
  <c r="N158" i="69" a="1"/>
  <c r="N158" i="69" s="1"/>
  <c r="N159" i="69" a="1"/>
  <c r="N159" i="69" s="1"/>
  <c r="N160" i="69" a="1"/>
  <c r="N160" i="69" s="1"/>
  <c r="N161" i="69" a="1"/>
  <c r="N161" i="69" s="1"/>
  <c r="N162" i="69" a="1"/>
  <c r="N162" i="69" s="1"/>
  <c r="N163" i="69" a="1"/>
  <c r="N163" i="69" s="1"/>
  <c r="N164" i="69" a="1"/>
  <c r="N164" i="69" s="1"/>
  <c r="N165" i="69" a="1"/>
  <c r="N165" i="69" s="1"/>
  <c r="N166" i="69" a="1"/>
  <c r="N166" i="69" s="1"/>
  <c r="N167" i="69" a="1"/>
  <c r="N167" i="69" s="1"/>
  <c r="N168" i="69" a="1"/>
  <c r="N168" i="69" s="1"/>
  <c r="N169" i="69" a="1"/>
  <c r="N169" i="69" s="1"/>
  <c r="N170" i="69" a="1"/>
  <c r="N170" i="69" s="1"/>
  <c r="N171" i="69" a="1"/>
  <c r="N171" i="69" s="1"/>
  <c r="N172" i="69" a="1"/>
  <c r="N172" i="69" s="1"/>
  <c r="N173" i="69" a="1"/>
  <c r="N173" i="69" s="1"/>
  <c r="N174" i="69" a="1"/>
  <c r="N174" i="69" s="1"/>
  <c r="N175" i="69" a="1"/>
  <c r="N175" i="69" s="1"/>
  <c r="N176" i="69" a="1"/>
  <c r="N176" i="69" s="1"/>
  <c r="N177" i="69" a="1"/>
  <c r="N177" i="69" s="1"/>
  <c r="N178" i="69" a="1"/>
  <c r="N178" i="69" s="1"/>
  <c r="N179" i="69" a="1"/>
  <c r="N179" i="69" s="1"/>
  <c r="N180" i="69" a="1"/>
  <c r="N180" i="69" s="1"/>
  <c r="N181" i="69" a="1"/>
  <c r="N181" i="69" s="1"/>
  <c r="N182" i="69" a="1"/>
  <c r="N182" i="69" s="1"/>
  <c r="N183" i="69" a="1"/>
  <c r="N183" i="69" s="1"/>
  <c r="N184" i="69" a="1"/>
  <c r="N184" i="69" s="1"/>
  <c r="N185" i="69" a="1"/>
  <c r="N185" i="69" s="1"/>
  <c r="N186" i="69" a="1"/>
  <c r="N186" i="69" s="1"/>
  <c r="N187" i="69" a="1"/>
  <c r="N187" i="69" s="1"/>
  <c r="N188" i="69" a="1"/>
  <c r="N188" i="69" s="1"/>
  <c r="N189" i="69" a="1"/>
  <c r="N189" i="69" s="1"/>
  <c r="N190" i="69" a="1"/>
  <c r="N190" i="69" s="1"/>
  <c r="N191" i="69" a="1"/>
  <c r="N191" i="69" s="1"/>
  <c r="N192" i="69" a="1"/>
  <c r="N192" i="69" s="1"/>
  <c r="N193" i="69" a="1"/>
  <c r="N193" i="69" s="1"/>
  <c r="N194" i="69" a="1"/>
  <c r="N194" i="69" s="1"/>
  <c r="N195" i="69" a="1"/>
  <c r="N195" i="69" s="1"/>
  <c r="N196" i="69" a="1"/>
  <c r="N196" i="69" s="1"/>
  <c r="N197" i="69" a="1"/>
  <c r="N197" i="69" s="1"/>
  <c r="N198" i="69" a="1"/>
  <c r="N198" i="69" s="1"/>
  <c r="N199" i="69" a="1"/>
  <c r="N199" i="69" s="1"/>
  <c r="N200" i="69" a="1"/>
  <c r="N200" i="69" s="1"/>
  <c r="N201" i="69" a="1"/>
  <c r="N201" i="69" s="1"/>
  <c r="N202" i="69" a="1"/>
  <c r="N202" i="69" s="1"/>
  <c r="N203" i="69" a="1"/>
  <c r="N203" i="69" s="1"/>
  <c r="N204" i="69" a="1"/>
  <c r="N204" i="69" s="1"/>
  <c r="N205" i="69" a="1"/>
  <c r="N205" i="69" s="1"/>
  <c r="N206" i="69" a="1"/>
  <c r="N206" i="69" s="1"/>
  <c r="N207" i="69" a="1"/>
  <c r="N207" i="69" s="1"/>
  <c r="N208" i="69" a="1"/>
  <c r="N208" i="69" s="1"/>
  <c r="N209" i="69" a="1"/>
  <c r="N209" i="69" s="1"/>
  <c r="N210" i="69" a="1"/>
  <c r="N210" i="69" s="1"/>
  <c r="N211" i="69" a="1"/>
  <c r="N211" i="69" s="1"/>
  <c r="N212" i="69" a="1"/>
  <c r="N212" i="69" s="1"/>
  <c r="N213" i="69" a="1"/>
  <c r="N213" i="69" s="1"/>
  <c r="N214" i="69" a="1"/>
  <c r="N214" i="69" s="1"/>
  <c r="N215" i="69" a="1"/>
  <c r="N215" i="69" s="1"/>
  <c r="N216" i="69" a="1"/>
  <c r="N216" i="69" s="1"/>
  <c r="N217" i="69" a="1"/>
  <c r="N217" i="69" s="1"/>
  <c r="N218" i="69" a="1"/>
  <c r="N218" i="69" s="1"/>
  <c r="N219" i="69" a="1"/>
  <c r="N219" i="69" s="1"/>
  <c r="N220" i="69" a="1"/>
  <c r="N220" i="69" s="1"/>
  <c r="N221" i="69" a="1"/>
  <c r="N221" i="69" s="1"/>
  <c r="N222" i="69" a="1"/>
  <c r="N222" i="69" s="1"/>
  <c r="N223" i="69" a="1"/>
  <c r="N223" i="69" s="1"/>
  <c r="N224" i="69" a="1"/>
  <c r="N224" i="69" s="1"/>
  <c r="N225" i="69" a="1"/>
  <c r="N225" i="69" s="1"/>
  <c r="N226" i="69" a="1"/>
  <c r="N226" i="69" s="1"/>
  <c r="N227" i="69" a="1"/>
  <c r="N227" i="69" s="1"/>
  <c r="N228" i="69" a="1"/>
  <c r="N228" i="69" s="1"/>
  <c r="N229" i="69" a="1"/>
  <c r="N229" i="69" s="1"/>
  <c r="N230" i="69" a="1"/>
  <c r="N230" i="69" s="1"/>
  <c r="N231" i="69" a="1"/>
  <c r="N231" i="69" s="1"/>
  <c r="N232" i="69" a="1"/>
  <c r="N232" i="69" s="1"/>
  <c r="N233" i="69" a="1"/>
  <c r="N233" i="69" s="1"/>
  <c r="N234" i="69" a="1"/>
  <c r="N234" i="69" s="1"/>
  <c r="N235" i="69" a="1"/>
  <c r="N235" i="69" s="1"/>
  <c r="N236" i="69" a="1"/>
  <c r="N236" i="69" s="1"/>
  <c r="N237" i="69" a="1"/>
  <c r="N237" i="69" s="1"/>
  <c r="N238" i="69" a="1"/>
  <c r="N238" i="69" s="1"/>
  <c r="N239" i="69" a="1"/>
  <c r="N239" i="69" s="1"/>
  <c r="N240" i="69" a="1"/>
  <c r="N240" i="69" s="1"/>
  <c r="N241" i="69" a="1"/>
  <c r="N241" i="69" s="1"/>
  <c r="N242" i="69" a="1"/>
  <c r="N242" i="69" s="1"/>
  <c r="N243" i="69" a="1"/>
  <c r="N243" i="69" s="1"/>
  <c r="N244" i="69" a="1"/>
  <c r="N244" i="69" s="1"/>
  <c r="N245" i="69" a="1"/>
  <c r="N245" i="69" s="1"/>
  <c r="N246" i="69" a="1"/>
  <c r="N246" i="69" s="1"/>
  <c r="N247" i="69" a="1"/>
  <c r="N247" i="69" s="1"/>
  <c r="N248" i="69" a="1"/>
  <c r="N248" i="69" s="1"/>
  <c r="N249" i="69" a="1"/>
  <c r="N249" i="69" s="1"/>
  <c r="N250" i="69" a="1"/>
  <c r="N250" i="69" s="1"/>
  <c r="N251" i="69" a="1"/>
  <c r="N251" i="69" s="1"/>
  <c r="N252" i="69" a="1"/>
  <c r="N252" i="69" s="1"/>
  <c r="N253" i="69" a="1"/>
  <c r="N253" i="69" s="1"/>
  <c r="N254" i="69" a="1"/>
  <c r="N254" i="69" s="1"/>
  <c r="N255" i="69" a="1"/>
  <c r="N255" i="69" s="1"/>
  <c r="N256" i="69" a="1"/>
  <c r="N256" i="69" s="1"/>
  <c r="N257" i="69" a="1"/>
  <c r="N257" i="69" s="1"/>
  <c r="N258" i="69" a="1"/>
  <c r="N258" i="69" s="1"/>
  <c r="N259" i="69" a="1"/>
  <c r="N259" i="69" s="1"/>
  <c r="N260" i="69" a="1"/>
  <c r="N260" i="69" s="1"/>
  <c r="N261" i="69" a="1"/>
  <c r="N261" i="69" s="1"/>
  <c r="N262" i="69" a="1"/>
  <c r="N262" i="69" s="1"/>
  <c r="N263" i="69" a="1"/>
  <c r="N263" i="69" s="1"/>
  <c r="N264" i="69" a="1"/>
  <c r="N264" i="69" s="1"/>
  <c r="N265" i="69" a="1"/>
  <c r="N265" i="69" s="1"/>
  <c r="N266" i="69" a="1"/>
  <c r="N266" i="69" s="1"/>
  <c r="N267" i="69" a="1"/>
  <c r="N267" i="69" s="1"/>
  <c r="N268" i="69" a="1"/>
  <c r="N268" i="69" s="1"/>
  <c r="N269" i="69" a="1"/>
  <c r="N269" i="69" s="1"/>
  <c r="N270" i="69" a="1"/>
  <c r="N270" i="69" s="1"/>
  <c r="N271" i="69" a="1"/>
  <c r="N271" i="69" s="1"/>
  <c r="N272" i="69" a="1"/>
  <c r="N272" i="69" s="1"/>
  <c r="N273" i="69" a="1"/>
  <c r="N273" i="69" s="1"/>
  <c r="N274" i="69" a="1"/>
  <c r="N274" i="69" s="1"/>
  <c r="N275" i="69" a="1"/>
  <c r="N275" i="69" s="1"/>
  <c r="O118" i="69" a="1"/>
  <c r="O118" i="69" s="1"/>
  <c r="O119" i="69" a="1"/>
  <c r="O119" i="69" s="1"/>
  <c r="O120" i="69" a="1"/>
  <c r="O120" i="69" s="1"/>
  <c r="O121" i="69" a="1"/>
  <c r="O121" i="69" s="1"/>
  <c r="O122" i="69" a="1"/>
  <c r="O122" i="69" s="1"/>
  <c r="O123" i="69" a="1"/>
  <c r="O123" i="69" s="1"/>
  <c r="O124" i="69" a="1"/>
  <c r="O124" i="69" s="1"/>
  <c r="O125" i="69" a="1"/>
  <c r="O125" i="69" s="1"/>
  <c r="O126" i="69" a="1"/>
  <c r="O126" i="69" s="1"/>
  <c r="O127" i="69" a="1"/>
  <c r="O127" i="69" s="1"/>
  <c r="O128" i="69" a="1"/>
  <c r="O128" i="69" s="1"/>
  <c r="O129" i="69" a="1"/>
  <c r="O129" i="69" s="1"/>
  <c r="O130" i="69" a="1"/>
  <c r="O130" i="69" s="1"/>
  <c r="O131" i="69" a="1"/>
  <c r="O131" i="69" s="1"/>
  <c r="O132" i="69" a="1"/>
  <c r="O132" i="69" s="1"/>
  <c r="O133" i="69" a="1"/>
  <c r="O133" i="69" s="1"/>
  <c r="O134" i="69" a="1"/>
  <c r="O134" i="69" s="1"/>
  <c r="O135" i="69" a="1"/>
  <c r="O135" i="69" s="1"/>
  <c r="O136" i="69" a="1"/>
  <c r="O136" i="69" s="1"/>
  <c r="O137" i="69" a="1"/>
  <c r="O137" i="69" s="1"/>
  <c r="O138" i="69" a="1"/>
  <c r="O138" i="69" s="1"/>
  <c r="O139" i="69" a="1"/>
  <c r="O139" i="69" s="1"/>
  <c r="O140" i="69" a="1"/>
  <c r="O140" i="69" s="1"/>
  <c r="O141" i="69" a="1"/>
  <c r="O141" i="69" s="1"/>
  <c r="O142" i="69" a="1"/>
  <c r="O142" i="69" s="1"/>
  <c r="O143" i="69" a="1"/>
  <c r="O143" i="69" s="1"/>
  <c r="O144" i="69" a="1"/>
  <c r="O144" i="69" s="1"/>
  <c r="O145" i="69" a="1"/>
  <c r="O145" i="69" s="1"/>
  <c r="O146" i="69" a="1"/>
  <c r="O146" i="69" s="1"/>
  <c r="O147" i="69" a="1"/>
  <c r="O147" i="69" s="1"/>
  <c r="O148" i="69" a="1"/>
  <c r="O148" i="69" s="1"/>
  <c r="O149" i="69" a="1"/>
  <c r="O149" i="69" s="1"/>
  <c r="O150" i="69" a="1"/>
  <c r="O150" i="69" s="1"/>
  <c r="O151" i="69" a="1"/>
  <c r="O151" i="69" s="1"/>
  <c r="O152" i="69" a="1"/>
  <c r="O152" i="69" s="1"/>
  <c r="O153" i="69" a="1"/>
  <c r="O153" i="69" s="1"/>
  <c r="O154" i="69" a="1"/>
  <c r="O154" i="69" s="1"/>
  <c r="O155" i="69" a="1"/>
  <c r="O155" i="69" s="1"/>
  <c r="O156" i="69" a="1"/>
  <c r="O156" i="69" s="1"/>
  <c r="O157" i="69" a="1"/>
  <c r="O157" i="69" s="1"/>
  <c r="O158" i="69" a="1"/>
  <c r="O158" i="69" s="1"/>
  <c r="O159" i="69" a="1"/>
  <c r="O159" i="69" s="1"/>
  <c r="O160" i="69" a="1"/>
  <c r="O160" i="69" s="1"/>
  <c r="O161" i="69" a="1"/>
  <c r="O161" i="69" s="1"/>
  <c r="O162" i="69" a="1"/>
  <c r="O162" i="69" s="1"/>
  <c r="O163" i="69" a="1"/>
  <c r="O163" i="69" s="1"/>
  <c r="O164" i="69" a="1"/>
  <c r="O164" i="69" s="1"/>
  <c r="O165" i="69" a="1"/>
  <c r="O165" i="69" s="1"/>
  <c r="O166" i="69" a="1"/>
  <c r="O166" i="69" s="1"/>
  <c r="O167" i="69" a="1"/>
  <c r="O167" i="69" s="1"/>
  <c r="O168" i="69" a="1"/>
  <c r="O168" i="69" s="1"/>
  <c r="O169" i="69" a="1"/>
  <c r="O169" i="69" s="1"/>
  <c r="O170" i="69" a="1"/>
  <c r="O170" i="69" s="1"/>
  <c r="O171" i="69" a="1"/>
  <c r="O171" i="69" s="1"/>
  <c r="O172" i="69" a="1"/>
  <c r="O172" i="69" s="1"/>
  <c r="O173" i="69" a="1"/>
  <c r="O173" i="69" s="1"/>
  <c r="O174" i="69" a="1"/>
  <c r="O174" i="69" s="1"/>
  <c r="O175" i="69" a="1"/>
  <c r="O175" i="69" s="1"/>
  <c r="O176" i="69" a="1"/>
  <c r="O176" i="69" s="1"/>
  <c r="O177" i="69" a="1"/>
  <c r="O177" i="69" s="1"/>
  <c r="O178" i="69" a="1"/>
  <c r="O178" i="69" s="1"/>
  <c r="O179" i="69" a="1"/>
  <c r="O179" i="69" s="1"/>
  <c r="O180" i="69" a="1"/>
  <c r="O180" i="69" s="1"/>
  <c r="O181" i="69" a="1"/>
  <c r="O181" i="69" s="1"/>
  <c r="O182" i="69" a="1"/>
  <c r="O182" i="69" s="1"/>
  <c r="O183" i="69" a="1"/>
  <c r="O183" i="69" s="1"/>
  <c r="O184" i="69" a="1"/>
  <c r="O184" i="69" s="1"/>
  <c r="O185" i="69" a="1"/>
  <c r="O185" i="69" s="1"/>
  <c r="O186" i="69" a="1"/>
  <c r="O186" i="69" s="1"/>
  <c r="O187" i="69" a="1"/>
  <c r="O187" i="69" s="1"/>
  <c r="O188" i="69" a="1"/>
  <c r="O188" i="69" s="1"/>
  <c r="O189" i="69" a="1"/>
  <c r="O189" i="69" s="1"/>
  <c r="O190" i="69" a="1"/>
  <c r="O190" i="69" s="1"/>
  <c r="O191" i="69" a="1"/>
  <c r="O191" i="69" s="1"/>
  <c r="O192" i="69" a="1"/>
  <c r="O192" i="69" s="1"/>
  <c r="O193" i="69" a="1"/>
  <c r="O193" i="69" s="1"/>
  <c r="O194" i="69" a="1"/>
  <c r="O194" i="69" s="1"/>
  <c r="O195" i="69" a="1"/>
  <c r="O195" i="69" s="1"/>
  <c r="O196" i="69" a="1"/>
  <c r="O196" i="69" s="1"/>
  <c r="O197" i="69" a="1"/>
  <c r="O197" i="69" s="1"/>
  <c r="O198" i="69" a="1"/>
  <c r="O198" i="69" s="1"/>
  <c r="O199" i="69" a="1"/>
  <c r="O199" i="69" s="1"/>
  <c r="O200" i="69" a="1"/>
  <c r="O200" i="69" s="1"/>
  <c r="O201" i="69" a="1"/>
  <c r="O201" i="69" s="1"/>
  <c r="O202" i="69" a="1"/>
  <c r="O202" i="69" s="1"/>
  <c r="O203" i="69" a="1"/>
  <c r="O203" i="69" s="1"/>
  <c r="O204" i="69" a="1"/>
  <c r="O204" i="69" s="1"/>
  <c r="O205" i="69" a="1"/>
  <c r="O205" i="69" s="1"/>
  <c r="O206" i="69" a="1"/>
  <c r="O206" i="69" s="1"/>
  <c r="O207" i="69" a="1"/>
  <c r="O207" i="69" s="1"/>
  <c r="O208" i="69" a="1"/>
  <c r="O208" i="69" s="1"/>
  <c r="O209" i="69" a="1"/>
  <c r="O209" i="69" s="1"/>
  <c r="O210" i="69" a="1"/>
  <c r="O210" i="69" s="1"/>
  <c r="O211" i="69" a="1"/>
  <c r="O211" i="69" s="1"/>
  <c r="O212" i="69" a="1"/>
  <c r="O212" i="69" s="1"/>
  <c r="O213" i="69" a="1"/>
  <c r="O213" i="69" s="1"/>
  <c r="O214" i="69" a="1"/>
  <c r="O214" i="69" s="1"/>
  <c r="O215" i="69" a="1"/>
  <c r="O215" i="69" s="1"/>
  <c r="O216" i="69" a="1"/>
  <c r="O216" i="69" s="1"/>
  <c r="O217" i="69" a="1"/>
  <c r="O217" i="69" s="1"/>
  <c r="O218" i="69" a="1"/>
  <c r="O218" i="69" s="1"/>
  <c r="O219" i="69" a="1"/>
  <c r="O219" i="69" s="1"/>
  <c r="O220" i="69" a="1"/>
  <c r="O220" i="69" s="1"/>
  <c r="O221" i="69" a="1"/>
  <c r="O221" i="69" s="1"/>
  <c r="O222" i="69" a="1"/>
  <c r="O222" i="69" s="1"/>
  <c r="O223" i="69" a="1"/>
  <c r="O223" i="69" s="1"/>
  <c r="O224" i="69" a="1"/>
  <c r="O224" i="69" s="1"/>
  <c r="O225" i="69" a="1"/>
  <c r="O225" i="69" s="1"/>
  <c r="O226" i="69" a="1"/>
  <c r="O226" i="69" s="1"/>
  <c r="O227" i="69" a="1"/>
  <c r="O227" i="69" s="1"/>
  <c r="O228" i="69" a="1"/>
  <c r="O228" i="69" s="1"/>
  <c r="O229" i="69" a="1"/>
  <c r="O229" i="69" s="1"/>
  <c r="O230" i="69" a="1"/>
  <c r="O230" i="69" s="1"/>
  <c r="O231" i="69" a="1"/>
  <c r="O231" i="69" s="1"/>
  <c r="O232" i="69" a="1"/>
  <c r="O232" i="69" s="1"/>
  <c r="O233" i="69" a="1"/>
  <c r="O233" i="69" s="1"/>
  <c r="O234" i="69" a="1"/>
  <c r="O234" i="69" s="1"/>
  <c r="O235" i="69" a="1"/>
  <c r="O235" i="69" s="1"/>
  <c r="O236" i="69" a="1"/>
  <c r="O236" i="69" s="1"/>
  <c r="O237" i="69" a="1"/>
  <c r="O237" i="69" s="1"/>
  <c r="O238" i="69" a="1"/>
  <c r="O238" i="69" s="1"/>
  <c r="O239" i="69" a="1"/>
  <c r="O239" i="69" s="1"/>
  <c r="O240" i="69" a="1"/>
  <c r="O240" i="69" s="1"/>
  <c r="O241" i="69" a="1"/>
  <c r="O241" i="69" s="1"/>
  <c r="O242" i="69" a="1"/>
  <c r="O242" i="69" s="1"/>
  <c r="O243" i="69" a="1"/>
  <c r="O243" i="69" s="1"/>
  <c r="O244" i="69" a="1"/>
  <c r="O244" i="69" s="1"/>
  <c r="O245" i="69" a="1"/>
  <c r="O245" i="69" s="1"/>
  <c r="O246" i="69" a="1"/>
  <c r="O246" i="69" s="1"/>
  <c r="O247" i="69" a="1"/>
  <c r="O247" i="69" s="1"/>
  <c r="O248" i="69" a="1"/>
  <c r="O248" i="69" s="1"/>
  <c r="O249" i="69" a="1"/>
  <c r="O249" i="69" s="1"/>
  <c r="O250" i="69" a="1"/>
  <c r="O250" i="69" s="1"/>
  <c r="O251" i="69" a="1"/>
  <c r="O251" i="69" s="1"/>
  <c r="O252" i="69" a="1"/>
  <c r="O252" i="69" s="1"/>
  <c r="O253" i="69" a="1"/>
  <c r="O253" i="69" s="1"/>
  <c r="O254" i="69" a="1"/>
  <c r="O254" i="69" s="1"/>
  <c r="O255" i="69" a="1"/>
  <c r="O255" i="69" s="1"/>
  <c r="O256" i="69" a="1"/>
  <c r="O256" i="69" s="1"/>
  <c r="O257" i="69" a="1"/>
  <c r="O257" i="69" s="1"/>
  <c r="O258" i="69" a="1"/>
  <c r="O258" i="69" s="1"/>
  <c r="O259" i="69" a="1"/>
  <c r="O259" i="69" s="1"/>
  <c r="O260" i="69" a="1"/>
  <c r="O260" i="69" s="1"/>
  <c r="O261" i="69" a="1"/>
  <c r="O261" i="69" s="1"/>
  <c r="O262" i="69" a="1"/>
  <c r="O262" i="69" s="1"/>
  <c r="O263" i="69" a="1"/>
  <c r="O263" i="69" s="1"/>
  <c r="O264" i="69" a="1"/>
  <c r="O264" i="69" s="1"/>
  <c r="O265" i="69" a="1"/>
  <c r="O265" i="69" s="1"/>
  <c r="O266" i="69" a="1"/>
  <c r="O266" i="69" s="1"/>
  <c r="O267" i="69" a="1"/>
  <c r="O267" i="69" s="1"/>
  <c r="O268" i="69" a="1"/>
  <c r="O268" i="69" s="1"/>
  <c r="O269" i="69" a="1"/>
  <c r="O269" i="69" s="1"/>
  <c r="O270" i="69" a="1"/>
  <c r="O270" i="69" s="1"/>
  <c r="O271" i="69" a="1"/>
  <c r="O271" i="69" s="1"/>
  <c r="O272" i="69" a="1"/>
  <c r="O272" i="69" s="1"/>
  <c r="O273" i="69" a="1"/>
  <c r="O273" i="69" s="1"/>
  <c r="O274" i="69" a="1"/>
  <c r="O274" i="69" s="1"/>
  <c r="O275" i="69" a="1"/>
  <c r="O275" i="69" s="1"/>
  <c r="P118" i="69"/>
  <c r="P119" i="69"/>
  <c r="P120" i="69"/>
  <c r="P121" i="69"/>
  <c r="P122" i="69"/>
  <c r="P123" i="69"/>
  <c r="P124" i="69"/>
  <c r="P125" i="69"/>
  <c r="P126" i="69"/>
  <c r="P127" i="69"/>
  <c r="P128" i="69"/>
  <c r="P129" i="69"/>
  <c r="P130" i="69"/>
  <c r="P131" i="69"/>
  <c r="P132" i="69"/>
  <c r="P133" i="69"/>
  <c r="P134" i="69"/>
  <c r="P135" i="69"/>
  <c r="P136" i="69"/>
  <c r="P137" i="69"/>
  <c r="P138" i="69"/>
  <c r="P139" i="69"/>
  <c r="P140" i="69"/>
  <c r="P141" i="69"/>
  <c r="P142" i="69"/>
  <c r="P143" i="69"/>
  <c r="P144" i="69"/>
  <c r="P145" i="69"/>
  <c r="P146" i="69"/>
  <c r="P147" i="69"/>
  <c r="P148" i="69"/>
  <c r="P149" i="69"/>
  <c r="P150" i="69"/>
  <c r="P151" i="69"/>
  <c r="P152" i="69"/>
  <c r="P153" i="69"/>
  <c r="P154" i="69"/>
  <c r="P155" i="69"/>
  <c r="P156" i="69"/>
  <c r="P157" i="69"/>
  <c r="P158" i="69"/>
  <c r="P159" i="69"/>
  <c r="P160" i="69"/>
  <c r="P161" i="69"/>
  <c r="P162" i="69"/>
  <c r="P163" i="69"/>
  <c r="P164" i="69"/>
  <c r="P165" i="69"/>
  <c r="P166" i="69"/>
  <c r="P167" i="69"/>
  <c r="P168" i="69"/>
  <c r="P169" i="69"/>
  <c r="P170" i="69"/>
  <c r="P171" i="69"/>
  <c r="P172" i="69"/>
  <c r="P173" i="69"/>
  <c r="P174" i="69"/>
  <c r="P175" i="69"/>
  <c r="P176" i="69"/>
  <c r="P177" i="69"/>
  <c r="P178" i="69"/>
  <c r="P179" i="69"/>
  <c r="P180" i="69"/>
  <c r="P181" i="69"/>
  <c r="P182" i="69"/>
  <c r="P183" i="69"/>
  <c r="P184" i="69"/>
  <c r="P185" i="69"/>
  <c r="P186" i="69"/>
  <c r="P187" i="69"/>
  <c r="P188" i="69"/>
  <c r="P189" i="69"/>
  <c r="P190" i="69"/>
  <c r="P191" i="69"/>
  <c r="P192" i="69"/>
  <c r="P193" i="69"/>
  <c r="P194" i="69"/>
  <c r="P195" i="69"/>
  <c r="P196" i="69"/>
  <c r="P197" i="69"/>
  <c r="P198" i="69"/>
  <c r="P199" i="69"/>
  <c r="P200" i="69"/>
  <c r="P201" i="69"/>
  <c r="P202" i="69"/>
  <c r="P203" i="69"/>
  <c r="P204" i="69"/>
  <c r="P205" i="69"/>
  <c r="P206" i="69"/>
  <c r="P207" i="69"/>
  <c r="P208" i="69"/>
  <c r="P209" i="69"/>
  <c r="P210" i="69"/>
  <c r="P211" i="69"/>
  <c r="P212" i="69"/>
  <c r="P213" i="69"/>
  <c r="P214" i="69"/>
  <c r="P215" i="69"/>
  <c r="P216" i="69"/>
  <c r="P217" i="69"/>
  <c r="P218" i="69"/>
  <c r="P219" i="69"/>
  <c r="P220" i="69"/>
  <c r="P221" i="69"/>
  <c r="P222" i="69"/>
  <c r="P223" i="69"/>
  <c r="P224" i="69"/>
  <c r="P225" i="69"/>
  <c r="P226" i="69"/>
  <c r="P227" i="69"/>
  <c r="P228" i="69"/>
  <c r="P229" i="69"/>
  <c r="P230" i="69"/>
  <c r="P231" i="69"/>
  <c r="P232" i="69"/>
  <c r="P233" i="69"/>
  <c r="P234" i="69"/>
  <c r="P235" i="69"/>
  <c r="P236" i="69"/>
  <c r="P237" i="69"/>
  <c r="P238" i="69"/>
  <c r="P239" i="69"/>
  <c r="P240" i="69"/>
  <c r="P241" i="69"/>
  <c r="P242" i="69"/>
  <c r="P243" i="69"/>
  <c r="P244" i="69"/>
  <c r="P245" i="69"/>
  <c r="P246" i="69"/>
  <c r="P247" i="69"/>
  <c r="P248" i="69"/>
  <c r="P249" i="69"/>
  <c r="P250" i="69"/>
  <c r="P251" i="69"/>
  <c r="P252" i="69"/>
  <c r="P253" i="69"/>
  <c r="P254" i="69"/>
  <c r="P255" i="69"/>
  <c r="P256" i="69"/>
  <c r="P257" i="69"/>
  <c r="P258" i="69"/>
  <c r="P259" i="69"/>
  <c r="P260" i="69"/>
  <c r="P261" i="69"/>
  <c r="P262" i="69"/>
  <c r="P263" i="69"/>
  <c r="P264" i="69"/>
  <c r="P265" i="69"/>
  <c r="P266" i="69"/>
  <c r="P267" i="69"/>
  <c r="P268" i="69"/>
  <c r="P269" i="69"/>
  <c r="P270" i="69"/>
  <c r="P271" i="69"/>
  <c r="P272" i="69"/>
  <c r="P273" i="69"/>
  <c r="P274" i="69"/>
  <c r="P275" i="69"/>
  <c r="Q118" i="69"/>
  <c r="Q119" i="69"/>
  <c r="Q120" i="69"/>
  <c r="Q121" i="69"/>
  <c r="Q122" i="69"/>
  <c r="Q123" i="69"/>
  <c r="Q124" i="69"/>
  <c r="Q125" i="69"/>
  <c r="Q126" i="69"/>
  <c r="Q127" i="69"/>
  <c r="Q128" i="69"/>
  <c r="Q129" i="69"/>
  <c r="Q130" i="69"/>
  <c r="Q131" i="69"/>
  <c r="Q132" i="69"/>
  <c r="Q133" i="69"/>
  <c r="Q134" i="69"/>
  <c r="Q135" i="69"/>
  <c r="Q136" i="69"/>
  <c r="Q137" i="69"/>
  <c r="Q138" i="69"/>
  <c r="Q139" i="69"/>
  <c r="Q140" i="69"/>
  <c r="Q141" i="69"/>
  <c r="Q142" i="69"/>
  <c r="Q143" i="69"/>
  <c r="Q144" i="69"/>
  <c r="Q145" i="69"/>
  <c r="Q146" i="69"/>
  <c r="Q147" i="69"/>
  <c r="Q148" i="69"/>
  <c r="Q149" i="69"/>
  <c r="Q150" i="69"/>
  <c r="Q151" i="69"/>
  <c r="Q152" i="69"/>
  <c r="Q153" i="69"/>
  <c r="Q154" i="69"/>
  <c r="Q155" i="69"/>
  <c r="Q156" i="69"/>
  <c r="Q157" i="69"/>
  <c r="Q158" i="69"/>
  <c r="Q159" i="69"/>
  <c r="Q160" i="69"/>
  <c r="Q161" i="69"/>
  <c r="Q162" i="69"/>
  <c r="Q163" i="69"/>
  <c r="Q164" i="69"/>
  <c r="Q165" i="69"/>
  <c r="Q166" i="69"/>
  <c r="Q167" i="69"/>
  <c r="Q168" i="69"/>
  <c r="Q169" i="69"/>
  <c r="Q170" i="69"/>
  <c r="Q171" i="69"/>
  <c r="Q172" i="69"/>
  <c r="Q173" i="69"/>
  <c r="Q174" i="69"/>
  <c r="Q175" i="69"/>
  <c r="Q176" i="69"/>
  <c r="Q177" i="69"/>
  <c r="Q178" i="69"/>
  <c r="Q179" i="69"/>
  <c r="Q180" i="69"/>
  <c r="Q181" i="69"/>
  <c r="Q182" i="69"/>
  <c r="Q183" i="69"/>
  <c r="Q184" i="69"/>
  <c r="Q185" i="69"/>
  <c r="Q186" i="69"/>
  <c r="Q187" i="69"/>
  <c r="Q188" i="69"/>
  <c r="Q189" i="69"/>
  <c r="Q190" i="69"/>
  <c r="Q191" i="69"/>
  <c r="Q192" i="69"/>
  <c r="Q193" i="69"/>
  <c r="Q194" i="69"/>
  <c r="Q195" i="69"/>
  <c r="Q196" i="69"/>
  <c r="Q197" i="69"/>
  <c r="Q198" i="69"/>
  <c r="Q199" i="69"/>
  <c r="Q200" i="69"/>
  <c r="Q201" i="69"/>
  <c r="Q202" i="69"/>
  <c r="Q203" i="69"/>
  <c r="Q204" i="69"/>
  <c r="Q205" i="69"/>
  <c r="Q206" i="69"/>
  <c r="Q207" i="69"/>
  <c r="Q208" i="69"/>
  <c r="Q209" i="69"/>
  <c r="Q210" i="69"/>
  <c r="Q211" i="69"/>
  <c r="Q212" i="69"/>
  <c r="Q213" i="69"/>
  <c r="Q214" i="69"/>
  <c r="Q215" i="69"/>
  <c r="Q216" i="69"/>
  <c r="Q217" i="69"/>
  <c r="Q218" i="69"/>
  <c r="Q219" i="69"/>
  <c r="Q220" i="69"/>
  <c r="Q221" i="69"/>
  <c r="Q222" i="69"/>
  <c r="Q223" i="69"/>
  <c r="Q224" i="69"/>
  <c r="Q225" i="69"/>
  <c r="Q226" i="69"/>
  <c r="Q227" i="69"/>
  <c r="Q228" i="69"/>
  <c r="Q229" i="69"/>
  <c r="Q230" i="69"/>
  <c r="Q231" i="69"/>
  <c r="Q232" i="69"/>
  <c r="Q233" i="69"/>
  <c r="Q234" i="69"/>
  <c r="Q235" i="69"/>
  <c r="Q236" i="69"/>
  <c r="Q237" i="69"/>
  <c r="Q238" i="69"/>
  <c r="Q239" i="69"/>
  <c r="Q240" i="69"/>
  <c r="Q241" i="69"/>
  <c r="Q242" i="69"/>
  <c r="Q243" i="69"/>
  <c r="Q244" i="69"/>
  <c r="Q245" i="69"/>
  <c r="Q246" i="69"/>
  <c r="Q247" i="69"/>
  <c r="Q248" i="69"/>
  <c r="Q249" i="69"/>
  <c r="Q250" i="69"/>
  <c r="Q251" i="69"/>
  <c r="Q252" i="69"/>
  <c r="Q253" i="69"/>
  <c r="Q254" i="69"/>
  <c r="Q255" i="69"/>
  <c r="Q256" i="69"/>
  <c r="Q257" i="69"/>
  <c r="Q258" i="69"/>
  <c r="Q259" i="69"/>
  <c r="Q260" i="69"/>
  <c r="Q261" i="69"/>
  <c r="Q262" i="69"/>
  <c r="Q263" i="69"/>
  <c r="Q264" i="69"/>
  <c r="Q265" i="69"/>
  <c r="Q266" i="69"/>
  <c r="Q267" i="69"/>
  <c r="Q268" i="69"/>
  <c r="Q269" i="69"/>
  <c r="Q270" i="69"/>
  <c r="Q271" i="69"/>
  <c r="Q272" i="69"/>
  <c r="Q273" i="69"/>
  <c r="Q274" i="69"/>
  <c r="Q275" i="69"/>
  <c r="R118" i="69"/>
  <c r="R119" i="69"/>
  <c r="R120" i="69"/>
  <c r="R121" i="69"/>
  <c r="R122" i="69"/>
  <c r="R123" i="69"/>
  <c r="R124" i="69"/>
  <c r="R125" i="69"/>
  <c r="R126" i="69"/>
  <c r="R127" i="69"/>
  <c r="R128" i="69"/>
  <c r="R129" i="69"/>
  <c r="R130" i="69"/>
  <c r="R131" i="69"/>
  <c r="R132" i="69"/>
  <c r="R133" i="69"/>
  <c r="R134" i="69"/>
  <c r="R135" i="69"/>
  <c r="R136" i="69"/>
  <c r="R137" i="69"/>
  <c r="R138" i="69"/>
  <c r="R139" i="69"/>
  <c r="R140" i="69"/>
  <c r="R141" i="69"/>
  <c r="R142" i="69"/>
  <c r="R143" i="69"/>
  <c r="R144" i="69"/>
  <c r="R145" i="69"/>
  <c r="R146" i="69"/>
  <c r="R147" i="69"/>
  <c r="R148" i="69"/>
  <c r="R149" i="69"/>
  <c r="R150" i="69"/>
  <c r="R151" i="69"/>
  <c r="R152" i="69"/>
  <c r="R153" i="69"/>
  <c r="R154" i="69"/>
  <c r="R155" i="69"/>
  <c r="R156" i="69"/>
  <c r="R157" i="69"/>
  <c r="R158" i="69"/>
  <c r="R159" i="69"/>
  <c r="R160" i="69"/>
  <c r="R161" i="69"/>
  <c r="R162" i="69"/>
  <c r="R163" i="69"/>
  <c r="R164" i="69"/>
  <c r="R165" i="69"/>
  <c r="R166" i="69"/>
  <c r="R167" i="69"/>
  <c r="R168" i="69"/>
  <c r="R169" i="69"/>
  <c r="R170" i="69"/>
  <c r="R171" i="69"/>
  <c r="R172" i="69"/>
  <c r="R173" i="69"/>
  <c r="R174" i="69"/>
  <c r="R175" i="69"/>
  <c r="R176" i="69"/>
  <c r="R177" i="69"/>
  <c r="R178" i="69"/>
  <c r="R179" i="69"/>
  <c r="R180" i="69"/>
  <c r="R181" i="69"/>
  <c r="R182" i="69"/>
  <c r="R183" i="69"/>
  <c r="R184" i="69"/>
  <c r="R185" i="69"/>
  <c r="R186" i="69"/>
  <c r="R187" i="69"/>
  <c r="R188" i="69"/>
  <c r="R189" i="69"/>
  <c r="R190" i="69"/>
  <c r="R191" i="69"/>
  <c r="R192" i="69"/>
  <c r="R193" i="69"/>
  <c r="R194" i="69"/>
  <c r="R195" i="69"/>
  <c r="R196" i="69"/>
  <c r="R197" i="69"/>
  <c r="R198" i="69"/>
  <c r="R199" i="69"/>
  <c r="R200" i="69"/>
  <c r="R201" i="69"/>
  <c r="R202" i="69"/>
  <c r="R203" i="69"/>
  <c r="R204" i="69"/>
  <c r="R205" i="69"/>
  <c r="R206" i="69"/>
  <c r="R207" i="69"/>
  <c r="R208" i="69"/>
  <c r="R209" i="69"/>
  <c r="R210" i="69"/>
  <c r="R211" i="69"/>
  <c r="R212" i="69"/>
  <c r="R213" i="69"/>
  <c r="R214" i="69"/>
  <c r="R215" i="69"/>
  <c r="R216" i="69"/>
  <c r="R217" i="69"/>
  <c r="R218" i="69"/>
  <c r="R219" i="69"/>
  <c r="R220" i="69"/>
  <c r="R221" i="69"/>
  <c r="R222" i="69"/>
  <c r="R223" i="69"/>
  <c r="R224" i="69"/>
  <c r="R225" i="69"/>
  <c r="R226" i="69"/>
  <c r="R227" i="69"/>
  <c r="R228" i="69"/>
  <c r="R229" i="69"/>
  <c r="R230" i="69"/>
  <c r="R231" i="69"/>
  <c r="R232" i="69"/>
  <c r="R233" i="69"/>
  <c r="R234" i="69"/>
  <c r="R235" i="69"/>
  <c r="R236" i="69"/>
  <c r="R237" i="69"/>
  <c r="R238" i="69"/>
  <c r="R239" i="69"/>
  <c r="R240" i="69"/>
  <c r="R241" i="69"/>
  <c r="R242" i="69"/>
  <c r="R243" i="69"/>
  <c r="R244" i="69"/>
  <c r="R245" i="69"/>
  <c r="R246" i="69"/>
  <c r="R247" i="69"/>
  <c r="R248" i="69"/>
  <c r="R249" i="69"/>
  <c r="R250" i="69"/>
  <c r="R251" i="69"/>
  <c r="R252" i="69"/>
  <c r="R253" i="69"/>
  <c r="R254" i="69"/>
  <c r="R255" i="69"/>
  <c r="R256" i="69"/>
  <c r="R257" i="69"/>
  <c r="R258" i="69"/>
  <c r="R259" i="69"/>
  <c r="R260" i="69"/>
  <c r="R261" i="69"/>
  <c r="R262" i="69"/>
  <c r="R263" i="69"/>
  <c r="R264" i="69"/>
  <c r="R265" i="69"/>
  <c r="R266" i="69"/>
  <c r="R267" i="69"/>
  <c r="R268" i="69"/>
  <c r="R269" i="69"/>
  <c r="R270" i="69"/>
  <c r="R271" i="69"/>
  <c r="R272" i="69"/>
  <c r="R273" i="69"/>
  <c r="R274" i="69"/>
  <c r="R275" i="69"/>
  <c r="S118" i="69"/>
  <c r="S119" i="69"/>
  <c r="S120" i="69"/>
  <c r="S121" i="69"/>
  <c r="S122" i="69"/>
  <c r="S123" i="69"/>
  <c r="S124" i="69"/>
  <c r="S125" i="69"/>
  <c r="S126" i="69"/>
  <c r="S127" i="69"/>
  <c r="S128" i="69"/>
  <c r="S129" i="69"/>
  <c r="S130" i="69"/>
  <c r="S131" i="69"/>
  <c r="S132" i="69"/>
  <c r="S133" i="69"/>
  <c r="S134" i="69"/>
  <c r="S135" i="69"/>
  <c r="S136" i="69"/>
  <c r="S137" i="69"/>
  <c r="S138" i="69"/>
  <c r="S139" i="69"/>
  <c r="S140" i="69"/>
  <c r="S141" i="69"/>
  <c r="S142" i="69"/>
  <c r="S143" i="69"/>
  <c r="S144" i="69"/>
  <c r="S145" i="69"/>
  <c r="S146" i="69"/>
  <c r="S147" i="69"/>
  <c r="S148" i="69"/>
  <c r="S149" i="69"/>
  <c r="S150" i="69"/>
  <c r="S151" i="69"/>
  <c r="S152" i="69"/>
  <c r="S153" i="69"/>
  <c r="S154" i="69"/>
  <c r="S155" i="69"/>
  <c r="S156" i="69"/>
  <c r="S157" i="69"/>
  <c r="S158" i="69"/>
  <c r="S159" i="69"/>
  <c r="S160" i="69"/>
  <c r="S161" i="69"/>
  <c r="S162" i="69"/>
  <c r="S163" i="69"/>
  <c r="S164" i="69"/>
  <c r="S165" i="69"/>
  <c r="S166" i="69"/>
  <c r="S167" i="69"/>
  <c r="S168" i="69"/>
  <c r="S169" i="69"/>
  <c r="S170" i="69"/>
  <c r="S171" i="69"/>
  <c r="S172" i="69"/>
  <c r="S173" i="69"/>
  <c r="S174" i="69"/>
  <c r="S175" i="69"/>
  <c r="S176" i="69"/>
  <c r="S177" i="69"/>
  <c r="S178" i="69"/>
  <c r="S179" i="69"/>
  <c r="S180" i="69"/>
  <c r="S181" i="69"/>
  <c r="S182" i="69"/>
  <c r="S183" i="69"/>
  <c r="S184" i="69"/>
  <c r="S185" i="69"/>
  <c r="S186" i="69"/>
  <c r="S187" i="69"/>
  <c r="S188" i="69"/>
  <c r="S189" i="69"/>
  <c r="S190" i="69"/>
  <c r="S191" i="69"/>
  <c r="S192" i="69"/>
  <c r="S193" i="69"/>
  <c r="S194" i="69"/>
  <c r="S195" i="69"/>
  <c r="S196" i="69"/>
  <c r="S197" i="69"/>
  <c r="S198" i="69"/>
  <c r="S199" i="69"/>
  <c r="S200" i="69"/>
  <c r="S201" i="69"/>
  <c r="S202" i="69"/>
  <c r="S203" i="69"/>
  <c r="S204" i="69"/>
  <c r="S205" i="69"/>
  <c r="S206" i="69"/>
  <c r="S207" i="69"/>
  <c r="S208" i="69"/>
  <c r="S209" i="69"/>
  <c r="S210" i="69"/>
  <c r="S211" i="69"/>
  <c r="S212" i="69"/>
  <c r="S213" i="69"/>
  <c r="S214" i="69"/>
  <c r="S215" i="69"/>
  <c r="S216" i="69"/>
  <c r="S217" i="69"/>
  <c r="S218" i="69"/>
  <c r="S219" i="69"/>
  <c r="S220" i="69"/>
  <c r="S221" i="69"/>
  <c r="S222" i="69"/>
  <c r="S223" i="69"/>
  <c r="S224" i="69"/>
  <c r="S225" i="69"/>
  <c r="S226" i="69"/>
  <c r="S227" i="69"/>
  <c r="S228" i="69"/>
  <c r="S229" i="69"/>
  <c r="S230" i="69"/>
  <c r="S231" i="69"/>
  <c r="S232" i="69"/>
  <c r="S233" i="69"/>
  <c r="S234" i="69"/>
  <c r="S235" i="69"/>
  <c r="S236" i="69"/>
  <c r="S237" i="69"/>
  <c r="S238" i="69"/>
  <c r="S239" i="69"/>
  <c r="S240" i="69"/>
  <c r="S241" i="69"/>
  <c r="S242" i="69"/>
  <c r="S243" i="69"/>
  <c r="S244" i="69"/>
  <c r="S245" i="69"/>
  <c r="S246" i="69"/>
  <c r="S247" i="69"/>
  <c r="S248" i="69"/>
  <c r="S249" i="69"/>
  <c r="S250" i="69"/>
  <c r="S251" i="69"/>
  <c r="S252" i="69"/>
  <c r="S253" i="69"/>
  <c r="S254" i="69"/>
  <c r="S255" i="69"/>
  <c r="S256" i="69"/>
  <c r="S257" i="69"/>
  <c r="S258" i="69"/>
  <c r="S259" i="69"/>
  <c r="S260" i="69"/>
  <c r="S261" i="69"/>
  <c r="S262" i="69"/>
  <c r="S263" i="69"/>
  <c r="S264" i="69"/>
  <c r="S265" i="69"/>
  <c r="S266" i="69"/>
  <c r="S267" i="69"/>
  <c r="S268" i="69"/>
  <c r="S269" i="69"/>
  <c r="S270" i="69"/>
  <c r="S271" i="69"/>
  <c r="S272" i="69"/>
  <c r="S273" i="69"/>
  <c r="S274" i="69"/>
  <c r="S275" i="69"/>
  <c r="U118" i="69"/>
  <c r="U119" i="69"/>
  <c r="U120" i="69"/>
  <c r="U121" i="69"/>
  <c r="U122" i="69"/>
  <c r="U123" i="69"/>
  <c r="U124" i="69"/>
  <c r="U125" i="69"/>
  <c r="U126" i="69"/>
  <c r="U127" i="69"/>
  <c r="U128" i="69"/>
  <c r="U129" i="69"/>
  <c r="U130" i="69"/>
  <c r="U131" i="69"/>
  <c r="U132" i="69"/>
  <c r="U133" i="69"/>
  <c r="U134" i="69"/>
  <c r="U135" i="69"/>
  <c r="U136" i="69"/>
  <c r="U137" i="69"/>
  <c r="U138" i="69"/>
  <c r="U139" i="69"/>
  <c r="U140" i="69"/>
  <c r="U141" i="69"/>
  <c r="U142" i="69"/>
  <c r="U143" i="69"/>
  <c r="U144" i="69"/>
  <c r="U145" i="69"/>
  <c r="U146" i="69"/>
  <c r="U147" i="69"/>
  <c r="U148" i="69"/>
  <c r="U149" i="69"/>
  <c r="U150" i="69"/>
  <c r="U151" i="69"/>
  <c r="U152" i="69"/>
  <c r="U153" i="69"/>
  <c r="U154" i="69"/>
  <c r="U155" i="69"/>
  <c r="U156" i="69"/>
  <c r="U157" i="69"/>
  <c r="U158" i="69"/>
  <c r="U159" i="69"/>
  <c r="U160" i="69"/>
  <c r="U161" i="69"/>
  <c r="U162" i="69"/>
  <c r="U163" i="69"/>
  <c r="U164" i="69"/>
  <c r="U165" i="69"/>
  <c r="U166" i="69"/>
  <c r="U167" i="69"/>
  <c r="U168" i="69"/>
  <c r="U169" i="69"/>
  <c r="U170" i="69"/>
  <c r="U171" i="69"/>
  <c r="U172" i="69"/>
  <c r="U173" i="69"/>
  <c r="U174" i="69"/>
  <c r="U175" i="69"/>
  <c r="U176" i="69"/>
  <c r="U177" i="69"/>
  <c r="U178" i="69"/>
  <c r="U179" i="69"/>
  <c r="U180" i="69"/>
  <c r="U181" i="69"/>
  <c r="U182" i="69"/>
  <c r="U183" i="69"/>
  <c r="U184" i="69"/>
  <c r="U185" i="69"/>
  <c r="U186" i="69"/>
  <c r="U187" i="69"/>
  <c r="U188" i="69"/>
  <c r="U189" i="69"/>
  <c r="U190" i="69"/>
  <c r="U191" i="69"/>
  <c r="U192" i="69"/>
  <c r="U193" i="69"/>
  <c r="U194" i="69"/>
  <c r="U195" i="69"/>
  <c r="U196" i="69"/>
  <c r="U197" i="69"/>
  <c r="U198" i="69"/>
  <c r="U199" i="69"/>
  <c r="U200" i="69"/>
  <c r="U201" i="69"/>
  <c r="U202" i="69"/>
  <c r="U203" i="69"/>
  <c r="U204" i="69"/>
  <c r="U205" i="69"/>
  <c r="U206" i="69"/>
  <c r="U207" i="69"/>
  <c r="U208" i="69"/>
  <c r="U209" i="69"/>
  <c r="U210" i="69"/>
  <c r="U211" i="69"/>
  <c r="U212" i="69"/>
  <c r="U213" i="69"/>
  <c r="U214" i="69"/>
  <c r="U215" i="69"/>
  <c r="U216" i="69"/>
  <c r="U217" i="69"/>
  <c r="U218" i="69"/>
  <c r="U219" i="69"/>
  <c r="U220" i="69"/>
  <c r="U221" i="69"/>
  <c r="U222" i="69"/>
  <c r="U223" i="69"/>
  <c r="U224" i="69"/>
  <c r="U225" i="69"/>
  <c r="U226" i="69"/>
  <c r="U227" i="69"/>
  <c r="U228" i="69"/>
  <c r="U229" i="69"/>
  <c r="U230" i="69"/>
  <c r="U231" i="69"/>
  <c r="U232" i="69"/>
  <c r="U233" i="69"/>
  <c r="U234" i="69"/>
  <c r="U235" i="69"/>
  <c r="U236" i="69"/>
  <c r="U237" i="69"/>
  <c r="U238" i="69"/>
  <c r="U239" i="69"/>
  <c r="U240" i="69"/>
  <c r="U241" i="69"/>
  <c r="U242" i="69"/>
  <c r="U243" i="69"/>
  <c r="U244" i="69"/>
  <c r="U245" i="69"/>
  <c r="U246" i="69"/>
  <c r="U247" i="69"/>
  <c r="U248" i="69"/>
  <c r="U249" i="69"/>
  <c r="U250" i="69"/>
  <c r="U251" i="69"/>
  <c r="U252" i="69"/>
  <c r="U253" i="69"/>
  <c r="U254" i="69"/>
  <c r="U255" i="69"/>
  <c r="U256" i="69"/>
  <c r="U257" i="69"/>
  <c r="U258" i="69"/>
  <c r="U259" i="69"/>
  <c r="U260" i="69"/>
  <c r="U261" i="69"/>
  <c r="U262" i="69"/>
  <c r="U263" i="69"/>
  <c r="U264" i="69"/>
  <c r="U265" i="69"/>
  <c r="U266" i="69"/>
  <c r="U267" i="69"/>
  <c r="U268" i="69"/>
  <c r="U269" i="69"/>
  <c r="U270" i="69"/>
  <c r="U271" i="69"/>
  <c r="U272" i="69"/>
  <c r="U273" i="69"/>
  <c r="U274" i="69"/>
  <c r="U275" i="69"/>
  <c r="V118" i="69"/>
  <c r="V119" i="69"/>
  <c r="V120" i="69"/>
  <c r="V121" i="69"/>
  <c r="V122" i="69"/>
  <c r="V123" i="69"/>
  <c r="V124" i="69"/>
  <c r="V125" i="69"/>
  <c r="V126" i="69"/>
  <c r="V127" i="69"/>
  <c r="V128" i="69"/>
  <c r="V129" i="69"/>
  <c r="V130" i="69"/>
  <c r="V131" i="69"/>
  <c r="V132" i="69"/>
  <c r="V133" i="69"/>
  <c r="V134" i="69"/>
  <c r="V135" i="69"/>
  <c r="V136" i="69"/>
  <c r="V137" i="69"/>
  <c r="V138" i="69"/>
  <c r="V139" i="69"/>
  <c r="V140" i="69"/>
  <c r="V141" i="69"/>
  <c r="V142" i="69"/>
  <c r="V143" i="69"/>
  <c r="V144" i="69"/>
  <c r="V145" i="69"/>
  <c r="V146" i="69"/>
  <c r="V147" i="69"/>
  <c r="V148" i="69"/>
  <c r="V149" i="69"/>
  <c r="V150" i="69"/>
  <c r="V151" i="69"/>
  <c r="V152" i="69"/>
  <c r="V153" i="69"/>
  <c r="V154" i="69"/>
  <c r="V155" i="69"/>
  <c r="V156" i="69"/>
  <c r="V157" i="69"/>
  <c r="V158" i="69"/>
  <c r="V159" i="69"/>
  <c r="V160" i="69"/>
  <c r="V161" i="69"/>
  <c r="V162" i="69"/>
  <c r="V163" i="69"/>
  <c r="V164" i="69"/>
  <c r="V165" i="69"/>
  <c r="V166" i="69"/>
  <c r="V167" i="69"/>
  <c r="V168" i="69"/>
  <c r="V169" i="69"/>
  <c r="V170" i="69"/>
  <c r="V171" i="69"/>
  <c r="V172" i="69"/>
  <c r="V173" i="69"/>
  <c r="V174" i="69"/>
  <c r="V175" i="69"/>
  <c r="V176" i="69"/>
  <c r="V177" i="69"/>
  <c r="V178" i="69"/>
  <c r="V179" i="69"/>
  <c r="V180" i="69"/>
  <c r="V181" i="69"/>
  <c r="V182" i="69"/>
  <c r="V183" i="69"/>
  <c r="V184" i="69"/>
  <c r="V185" i="69"/>
  <c r="V186" i="69"/>
  <c r="V187" i="69"/>
  <c r="V188" i="69"/>
  <c r="V189" i="69"/>
  <c r="V190" i="69"/>
  <c r="V191" i="69"/>
  <c r="V192" i="69"/>
  <c r="V193" i="69"/>
  <c r="V194" i="69"/>
  <c r="V195" i="69"/>
  <c r="V196" i="69"/>
  <c r="V197" i="69"/>
  <c r="V198" i="69"/>
  <c r="V199" i="69"/>
  <c r="V200" i="69"/>
  <c r="V201" i="69"/>
  <c r="V202" i="69"/>
  <c r="V203" i="69"/>
  <c r="V204" i="69"/>
  <c r="V205" i="69"/>
  <c r="V206" i="69"/>
  <c r="V207" i="69"/>
  <c r="V208" i="69"/>
  <c r="V209" i="69"/>
  <c r="V210" i="69"/>
  <c r="V211" i="69"/>
  <c r="V212" i="69"/>
  <c r="V213" i="69"/>
  <c r="V214" i="69"/>
  <c r="V215" i="69"/>
  <c r="V216" i="69"/>
  <c r="V217" i="69"/>
  <c r="V218" i="69"/>
  <c r="V219" i="69"/>
  <c r="V220" i="69"/>
  <c r="V221" i="69"/>
  <c r="V222" i="69"/>
  <c r="V223" i="69"/>
  <c r="V224" i="69"/>
  <c r="V225" i="69"/>
  <c r="V226" i="69"/>
  <c r="V227" i="69"/>
  <c r="V228" i="69"/>
  <c r="V229" i="69"/>
  <c r="V230" i="69"/>
  <c r="V231" i="69"/>
  <c r="V232" i="69"/>
  <c r="V233" i="69"/>
  <c r="V234" i="69"/>
  <c r="V235" i="69"/>
  <c r="V236" i="69"/>
  <c r="V237" i="69"/>
  <c r="V238" i="69"/>
  <c r="V239" i="69"/>
  <c r="V240" i="69"/>
  <c r="V241" i="69"/>
  <c r="V242" i="69"/>
  <c r="V243" i="69"/>
  <c r="V244" i="69"/>
  <c r="V245" i="69"/>
  <c r="V246" i="69"/>
  <c r="V247" i="69"/>
  <c r="V248" i="69"/>
  <c r="V249" i="69"/>
  <c r="V250" i="69"/>
  <c r="V251" i="69"/>
  <c r="V252" i="69"/>
  <c r="V253" i="69"/>
  <c r="V254" i="69"/>
  <c r="V255" i="69"/>
  <c r="V256" i="69"/>
  <c r="V257" i="69"/>
  <c r="V258" i="69"/>
  <c r="V259" i="69"/>
  <c r="V260" i="69"/>
  <c r="V261" i="69"/>
  <c r="V262" i="69"/>
  <c r="V263" i="69"/>
  <c r="V264" i="69"/>
  <c r="V265" i="69"/>
  <c r="V266" i="69"/>
  <c r="V267" i="69"/>
  <c r="V268" i="69"/>
  <c r="V269" i="69"/>
  <c r="V270" i="69"/>
  <c r="V271" i="69"/>
  <c r="V272" i="69"/>
  <c r="V273" i="69"/>
  <c r="V274" i="69"/>
  <c r="V275" i="69"/>
  <c r="W118" i="69"/>
  <c r="W119" i="69"/>
  <c r="W120" i="69"/>
  <c r="W121" i="69"/>
  <c r="W122" i="69"/>
  <c r="W123" i="69"/>
  <c r="W124" i="69"/>
  <c r="W125" i="69"/>
  <c r="W126" i="69"/>
  <c r="W127" i="69"/>
  <c r="W128" i="69"/>
  <c r="W129" i="69"/>
  <c r="W130" i="69"/>
  <c r="W131" i="69"/>
  <c r="W132" i="69"/>
  <c r="W133" i="69"/>
  <c r="W134" i="69"/>
  <c r="W135" i="69"/>
  <c r="W136" i="69"/>
  <c r="W137" i="69"/>
  <c r="W138" i="69"/>
  <c r="W139" i="69"/>
  <c r="W140" i="69"/>
  <c r="W141" i="69"/>
  <c r="W142" i="69"/>
  <c r="W143" i="69"/>
  <c r="W144" i="69"/>
  <c r="W145" i="69"/>
  <c r="W146" i="69"/>
  <c r="W147" i="69"/>
  <c r="W148" i="69"/>
  <c r="W149" i="69"/>
  <c r="W150" i="69"/>
  <c r="W151" i="69"/>
  <c r="W152" i="69"/>
  <c r="W153" i="69"/>
  <c r="W154" i="69"/>
  <c r="W155" i="69"/>
  <c r="W156" i="69"/>
  <c r="W157" i="69"/>
  <c r="W158" i="69"/>
  <c r="W159" i="69"/>
  <c r="W160" i="69"/>
  <c r="W161" i="69"/>
  <c r="W162" i="69"/>
  <c r="W163" i="69"/>
  <c r="W164" i="69"/>
  <c r="W165" i="69"/>
  <c r="W166" i="69"/>
  <c r="W167" i="69"/>
  <c r="W168" i="69"/>
  <c r="W169" i="69"/>
  <c r="W170" i="69"/>
  <c r="W171" i="69"/>
  <c r="W172" i="69"/>
  <c r="W173" i="69"/>
  <c r="W174" i="69"/>
  <c r="W175" i="69"/>
  <c r="W176" i="69"/>
  <c r="W177" i="69"/>
  <c r="W178" i="69"/>
  <c r="W179" i="69"/>
  <c r="W180" i="69"/>
  <c r="W181" i="69"/>
  <c r="W182" i="69"/>
  <c r="W183" i="69"/>
  <c r="W184" i="69"/>
  <c r="W185" i="69"/>
  <c r="W186" i="69"/>
  <c r="W187" i="69"/>
  <c r="W188" i="69"/>
  <c r="W189" i="69"/>
  <c r="W190" i="69"/>
  <c r="W191" i="69"/>
  <c r="W192" i="69"/>
  <c r="W193" i="69"/>
  <c r="W194" i="69"/>
  <c r="W195" i="69"/>
  <c r="W196" i="69"/>
  <c r="W197" i="69"/>
  <c r="W198" i="69"/>
  <c r="W199" i="69"/>
  <c r="W200" i="69"/>
  <c r="W201" i="69"/>
  <c r="W202" i="69"/>
  <c r="W203" i="69"/>
  <c r="W204" i="69"/>
  <c r="W205" i="69"/>
  <c r="W206" i="69"/>
  <c r="W207" i="69"/>
  <c r="W208" i="69"/>
  <c r="W209" i="69"/>
  <c r="W210" i="69"/>
  <c r="W211" i="69"/>
  <c r="W212" i="69"/>
  <c r="W213" i="69"/>
  <c r="W214" i="69"/>
  <c r="W215" i="69"/>
  <c r="W216" i="69"/>
  <c r="W217" i="69"/>
  <c r="W218" i="69"/>
  <c r="W219" i="69"/>
  <c r="W220" i="69"/>
  <c r="W221" i="69"/>
  <c r="W222" i="69"/>
  <c r="W223" i="69"/>
  <c r="W224" i="69"/>
  <c r="W225" i="69"/>
  <c r="W226" i="69"/>
  <c r="W227" i="69"/>
  <c r="W228" i="69"/>
  <c r="W229" i="69"/>
  <c r="W230" i="69"/>
  <c r="W231" i="69"/>
  <c r="W232" i="69"/>
  <c r="W233" i="69"/>
  <c r="W234" i="69"/>
  <c r="W235" i="69"/>
  <c r="W236" i="69"/>
  <c r="W237" i="69"/>
  <c r="W238" i="69"/>
  <c r="W239" i="69"/>
  <c r="W240" i="69"/>
  <c r="W241" i="69"/>
  <c r="W242" i="69"/>
  <c r="W243" i="69"/>
  <c r="W244" i="69"/>
  <c r="W245" i="69"/>
  <c r="W246" i="69"/>
  <c r="W247" i="69"/>
  <c r="W248" i="69"/>
  <c r="W249" i="69"/>
  <c r="W250" i="69"/>
  <c r="W251" i="69"/>
  <c r="W252" i="69"/>
  <c r="W253" i="69"/>
  <c r="W254" i="69"/>
  <c r="W255" i="69"/>
  <c r="W256" i="69"/>
  <c r="W257" i="69"/>
  <c r="W258" i="69"/>
  <c r="W259" i="69"/>
  <c r="W260" i="69"/>
  <c r="W261" i="69"/>
  <c r="W262" i="69"/>
  <c r="W263" i="69"/>
  <c r="W264" i="69"/>
  <c r="W265" i="69"/>
  <c r="W266" i="69"/>
  <c r="W267" i="69"/>
  <c r="W268" i="69"/>
  <c r="W269" i="69"/>
  <c r="W270" i="69"/>
  <c r="W271" i="69"/>
  <c r="W272" i="69"/>
  <c r="W273" i="69"/>
  <c r="W274" i="69"/>
  <c r="W275" i="69"/>
  <c r="X118" i="69"/>
  <c r="X119" i="69"/>
  <c r="X120" i="69"/>
  <c r="X121" i="69"/>
  <c r="X122" i="69"/>
  <c r="X123" i="69"/>
  <c r="X124" i="69"/>
  <c r="X125" i="69"/>
  <c r="X126" i="69"/>
  <c r="X127" i="69"/>
  <c r="X128" i="69"/>
  <c r="X129" i="69"/>
  <c r="X130" i="69"/>
  <c r="X131" i="69"/>
  <c r="X132" i="69"/>
  <c r="X133" i="69"/>
  <c r="X134" i="69"/>
  <c r="X135" i="69"/>
  <c r="X136" i="69"/>
  <c r="X137" i="69"/>
  <c r="X138" i="69"/>
  <c r="X139" i="69"/>
  <c r="X140" i="69"/>
  <c r="X141" i="69"/>
  <c r="X142" i="69"/>
  <c r="X143" i="69"/>
  <c r="X144" i="69"/>
  <c r="X145" i="69"/>
  <c r="X146" i="69"/>
  <c r="X147" i="69"/>
  <c r="X148" i="69"/>
  <c r="X149" i="69"/>
  <c r="X150" i="69"/>
  <c r="X151" i="69"/>
  <c r="X152" i="69"/>
  <c r="X153" i="69"/>
  <c r="X154" i="69"/>
  <c r="X155" i="69"/>
  <c r="X156" i="69"/>
  <c r="X157" i="69"/>
  <c r="X158" i="69"/>
  <c r="X159" i="69"/>
  <c r="X160" i="69"/>
  <c r="X161" i="69"/>
  <c r="X162" i="69"/>
  <c r="X163" i="69"/>
  <c r="X164" i="69"/>
  <c r="X165" i="69"/>
  <c r="X166" i="69"/>
  <c r="X167" i="69"/>
  <c r="X168" i="69"/>
  <c r="X169" i="69"/>
  <c r="X170" i="69"/>
  <c r="X171" i="69"/>
  <c r="X172" i="69"/>
  <c r="X173" i="69"/>
  <c r="X174" i="69"/>
  <c r="X175" i="69"/>
  <c r="X176" i="69"/>
  <c r="X177" i="69"/>
  <c r="X178" i="69"/>
  <c r="X179" i="69"/>
  <c r="X180" i="69"/>
  <c r="X181" i="69"/>
  <c r="X182" i="69"/>
  <c r="X183" i="69"/>
  <c r="X184" i="69"/>
  <c r="X185" i="69"/>
  <c r="X186" i="69"/>
  <c r="X187" i="69"/>
  <c r="X188" i="69"/>
  <c r="X189" i="69"/>
  <c r="X190" i="69"/>
  <c r="X191" i="69"/>
  <c r="X192" i="69"/>
  <c r="X193" i="69"/>
  <c r="X194" i="69"/>
  <c r="X195" i="69"/>
  <c r="X196" i="69"/>
  <c r="X197" i="69"/>
  <c r="X198" i="69"/>
  <c r="X199" i="69"/>
  <c r="X200" i="69"/>
  <c r="X201" i="69"/>
  <c r="X202" i="69"/>
  <c r="X203" i="69"/>
  <c r="X204" i="69"/>
  <c r="X205" i="69"/>
  <c r="X206" i="69"/>
  <c r="X207" i="69"/>
  <c r="X208" i="69"/>
  <c r="X209" i="69"/>
  <c r="X210" i="69"/>
  <c r="X211" i="69"/>
  <c r="X212" i="69"/>
  <c r="X213" i="69"/>
  <c r="X214" i="69"/>
  <c r="X215" i="69"/>
  <c r="X216" i="69"/>
  <c r="X217" i="69"/>
  <c r="X218" i="69"/>
  <c r="X219" i="69"/>
  <c r="X220" i="69"/>
  <c r="X221" i="69"/>
  <c r="X222" i="69"/>
  <c r="X223" i="69"/>
  <c r="X224" i="69"/>
  <c r="X225" i="69"/>
  <c r="X226" i="69"/>
  <c r="X227" i="69"/>
  <c r="X228" i="69"/>
  <c r="X229" i="69"/>
  <c r="X230" i="69"/>
  <c r="X231" i="69"/>
  <c r="X232" i="69"/>
  <c r="X233" i="69"/>
  <c r="X234" i="69"/>
  <c r="X235" i="69"/>
  <c r="X236" i="69"/>
  <c r="X237" i="69"/>
  <c r="X238" i="69"/>
  <c r="X239" i="69"/>
  <c r="X240" i="69"/>
  <c r="X241" i="69"/>
  <c r="X242" i="69"/>
  <c r="X243" i="69"/>
  <c r="X244" i="69"/>
  <c r="X245" i="69"/>
  <c r="X246" i="69"/>
  <c r="X247" i="69"/>
  <c r="X248" i="69"/>
  <c r="X249" i="69"/>
  <c r="X250" i="69"/>
  <c r="X251" i="69"/>
  <c r="X252" i="69"/>
  <c r="X253" i="69"/>
  <c r="X254" i="69"/>
  <c r="X255" i="69"/>
  <c r="X256" i="69"/>
  <c r="X257" i="69"/>
  <c r="X258" i="69"/>
  <c r="X259" i="69"/>
  <c r="X260" i="69"/>
  <c r="X261" i="69"/>
  <c r="X262" i="69"/>
  <c r="X263" i="69"/>
  <c r="X264" i="69"/>
  <c r="X265" i="69"/>
  <c r="X266" i="69"/>
  <c r="X267" i="69"/>
  <c r="X268" i="69"/>
  <c r="X269" i="69"/>
  <c r="X270" i="69"/>
  <c r="X271" i="69"/>
  <c r="X272" i="69"/>
  <c r="X273" i="69"/>
  <c r="X274" i="69"/>
  <c r="X275" i="69"/>
  <c r="AG118" i="69"/>
  <c r="AF118" i="69" s="1"/>
  <c r="AG119" i="69"/>
  <c r="AF119" i="69" s="1"/>
  <c r="AG120" i="69"/>
  <c r="AF120" i="69" s="1"/>
  <c r="AG121" i="69"/>
  <c r="AF121" i="69" s="1"/>
  <c r="AG122" i="69"/>
  <c r="AF122" i="69" s="1"/>
  <c r="AG123" i="69"/>
  <c r="AF123" i="69" s="1"/>
  <c r="E123" i="69" s="1" a="1"/>
  <c r="E123" i="69" s="1"/>
  <c r="AG124" i="69"/>
  <c r="AF124" i="69" s="1"/>
  <c r="E124" i="69" s="1" a="1"/>
  <c r="E124" i="69" s="1"/>
  <c r="AG125" i="69"/>
  <c r="AF125" i="69" s="1"/>
  <c r="AG126" i="69"/>
  <c r="AF126" i="69" s="1"/>
  <c r="AG127" i="69"/>
  <c r="AF127" i="69" s="1"/>
  <c r="AG128" i="69"/>
  <c r="AF128" i="69" s="1"/>
  <c r="AG129" i="69"/>
  <c r="AF129" i="69" s="1"/>
  <c r="AG130" i="69"/>
  <c r="AF130" i="69" s="1"/>
  <c r="AG131" i="69"/>
  <c r="AF131" i="69" s="1"/>
  <c r="AG132" i="69"/>
  <c r="AF132" i="69" s="1"/>
  <c r="AG133" i="69"/>
  <c r="AF133" i="69" s="1"/>
  <c r="AG134" i="69"/>
  <c r="AF134" i="69" s="1"/>
  <c r="AG135" i="69"/>
  <c r="AF135" i="69" s="1"/>
  <c r="AG136" i="69"/>
  <c r="AF136" i="69" s="1"/>
  <c r="AG137" i="69"/>
  <c r="AF137" i="69" s="1"/>
  <c r="AG138" i="69"/>
  <c r="AF138" i="69" s="1"/>
  <c r="AG139" i="69"/>
  <c r="AF139" i="69" s="1"/>
  <c r="AG140" i="69"/>
  <c r="AF140" i="69" s="1"/>
  <c r="AG141" i="69"/>
  <c r="AF141" i="69" s="1"/>
  <c r="AG142" i="69"/>
  <c r="AF142" i="69" s="1"/>
  <c r="AG143" i="69"/>
  <c r="AF143" i="69" s="1"/>
  <c r="AG144" i="69"/>
  <c r="AF144" i="69" s="1"/>
  <c r="AG145" i="69"/>
  <c r="AF145" i="69" s="1"/>
  <c r="AG146" i="69"/>
  <c r="AF146" i="69" s="1"/>
  <c r="AG147" i="69"/>
  <c r="AF147" i="69" s="1"/>
  <c r="AG148" i="69"/>
  <c r="AF148" i="69" s="1"/>
  <c r="AG149" i="69"/>
  <c r="AF149" i="69" s="1"/>
  <c r="AG150" i="69"/>
  <c r="AF150" i="69" s="1"/>
  <c r="AG151" i="69"/>
  <c r="AF151" i="69" s="1"/>
  <c r="AG152" i="69"/>
  <c r="AF152" i="69" s="1"/>
  <c r="E152" i="69" s="1" a="1"/>
  <c r="E152" i="69" s="1"/>
  <c r="AG153" i="69"/>
  <c r="AF153" i="69" s="1"/>
  <c r="AG154" i="69"/>
  <c r="AF154" i="69" s="1"/>
  <c r="AG155" i="69"/>
  <c r="AF155" i="69" s="1"/>
  <c r="AG156" i="69"/>
  <c r="AF156" i="69" s="1"/>
  <c r="AG157" i="69"/>
  <c r="AF157" i="69" s="1"/>
  <c r="AG158" i="69"/>
  <c r="AF158" i="69" s="1"/>
  <c r="AG159" i="69"/>
  <c r="AF159" i="69" s="1"/>
  <c r="AG160" i="69"/>
  <c r="AF160" i="69" s="1"/>
  <c r="AG161" i="69"/>
  <c r="AF161" i="69" s="1"/>
  <c r="AG162" i="69"/>
  <c r="AF162" i="69" s="1"/>
  <c r="AG163" i="69"/>
  <c r="AF163" i="69" s="1"/>
  <c r="AG164" i="69"/>
  <c r="AF164" i="69" s="1"/>
  <c r="AG165" i="69"/>
  <c r="AF165" i="69" s="1"/>
  <c r="AG166" i="69"/>
  <c r="AF166" i="69" s="1"/>
  <c r="AG167" i="69"/>
  <c r="AF167" i="69" s="1"/>
  <c r="AG168" i="69"/>
  <c r="AF168" i="69" s="1"/>
  <c r="E168" i="69" s="1" a="1"/>
  <c r="E168" i="69" s="1"/>
  <c r="AG169" i="69"/>
  <c r="AF169" i="69" s="1"/>
  <c r="AG170" i="69"/>
  <c r="AF170" i="69" s="1"/>
  <c r="AG171" i="69"/>
  <c r="AF171" i="69" s="1"/>
  <c r="AG172" i="69"/>
  <c r="AF172" i="69" s="1"/>
  <c r="AG173" i="69"/>
  <c r="AF173" i="69" s="1"/>
  <c r="AG174" i="69"/>
  <c r="AF174" i="69" s="1"/>
  <c r="AG175" i="69"/>
  <c r="AF175" i="69" s="1"/>
  <c r="AG176" i="69"/>
  <c r="AF176" i="69" s="1"/>
  <c r="AG177" i="69"/>
  <c r="AF177" i="69" s="1"/>
  <c r="AG178" i="69"/>
  <c r="AF178" i="69" s="1"/>
  <c r="AG179" i="69"/>
  <c r="AF179" i="69" s="1"/>
  <c r="E179" i="69" s="1" a="1"/>
  <c r="E179" i="69" s="1"/>
  <c r="AG180" i="69"/>
  <c r="AF180" i="69" s="1"/>
  <c r="AG181" i="69"/>
  <c r="AF181" i="69" s="1"/>
  <c r="AG182" i="69"/>
  <c r="AF182" i="69" s="1"/>
  <c r="AG183" i="69"/>
  <c r="AF183" i="69" s="1"/>
  <c r="AG184" i="69"/>
  <c r="AF184" i="69" s="1"/>
  <c r="AG185" i="69"/>
  <c r="AF185" i="69" s="1"/>
  <c r="AG186" i="69"/>
  <c r="AF186" i="69" s="1"/>
  <c r="AG187" i="69"/>
  <c r="AF187" i="69" s="1"/>
  <c r="AG188" i="69"/>
  <c r="AF188" i="69" s="1"/>
  <c r="AG189" i="69"/>
  <c r="AF189" i="69" s="1"/>
  <c r="AG190" i="69"/>
  <c r="AF190" i="69" s="1"/>
  <c r="AG191" i="69"/>
  <c r="AF191" i="69" s="1"/>
  <c r="AG192" i="69"/>
  <c r="AF192" i="69" s="1"/>
  <c r="AG193" i="69"/>
  <c r="AF193" i="69" s="1"/>
  <c r="AG194" i="69"/>
  <c r="AF194" i="69" s="1"/>
  <c r="AG195" i="69"/>
  <c r="AF195" i="69" s="1"/>
  <c r="AG196" i="69"/>
  <c r="AF196" i="69" s="1"/>
  <c r="E196" i="69" s="1" a="1"/>
  <c r="E196" i="69" s="1"/>
  <c r="AG197" i="69"/>
  <c r="AF197" i="69" s="1"/>
  <c r="AG198" i="69"/>
  <c r="AF198" i="69" s="1"/>
  <c r="AG199" i="69"/>
  <c r="AF199" i="69" s="1"/>
  <c r="AG200" i="69"/>
  <c r="AF200" i="69" s="1"/>
  <c r="AG201" i="69"/>
  <c r="AF201" i="69" s="1"/>
  <c r="AG202" i="69"/>
  <c r="AF202" i="69" s="1"/>
  <c r="AG203" i="69"/>
  <c r="AF203" i="69" s="1"/>
  <c r="AG204" i="69"/>
  <c r="AF204" i="69" s="1"/>
  <c r="M204" i="69" s="1"/>
  <c r="AG205" i="69"/>
  <c r="AF205" i="69" s="1"/>
  <c r="AG206" i="69"/>
  <c r="AF206" i="69" s="1"/>
  <c r="AG207" i="69"/>
  <c r="AF207" i="69" s="1"/>
  <c r="AG208" i="69"/>
  <c r="AF208" i="69" s="1"/>
  <c r="AG209" i="69"/>
  <c r="AF209" i="69" s="1"/>
  <c r="AG210" i="69"/>
  <c r="AF210" i="69" s="1"/>
  <c r="AG211" i="69"/>
  <c r="AF211" i="69" s="1"/>
  <c r="AG212" i="69"/>
  <c r="AF212" i="69" s="1"/>
  <c r="AG213" i="69"/>
  <c r="AF213" i="69" s="1"/>
  <c r="AG214" i="69"/>
  <c r="AF214" i="69" s="1"/>
  <c r="AG215" i="69"/>
  <c r="AF215" i="69" s="1"/>
  <c r="AG216" i="69"/>
  <c r="AF216" i="69" s="1"/>
  <c r="AG217" i="69"/>
  <c r="AF217" i="69" s="1"/>
  <c r="AG218" i="69"/>
  <c r="AF218" i="69" s="1"/>
  <c r="AG219" i="69"/>
  <c r="AF219" i="69" s="1"/>
  <c r="AG220" i="69"/>
  <c r="AF220" i="69" s="1"/>
  <c r="AG221" i="69"/>
  <c r="AF221" i="69" s="1"/>
  <c r="AG222" i="69"/>
  <c r="AF222" i="69" s="1"/>
  <c r="AG223" i="69"/>
  <c r="AF223" i="69" s="1"/>
  <c r="AG224" i="69"/>
  <c r="AF224" i="69" s="1"/>
  <c r="E224" i="69" s="1" a="1"/>
  <c r="E224" i="69" s="1"/>
  <c r="AG225" i="69"/>
  <c r="AF225" i="69" s="1"/>
  <c r="AG226" i="69"/>
  <c r="AF226" i="69" s="1"/>
  <c r="AG227" i="69"/>
  <c r="AF227" i="69" s="1"/>
  <c r="AG228" i="69"/>
  <c r="AF228" i="69" s="1"/>
  <c r="AG229" i="69"/>
  <c r="AF229" i="69" s="1"/>
  <c r="AG230" i="69"/>
  <c r="AF230" i="69" s="1"/>
  <c r="AG231" i="69"/>
  <c r="AF231" i="69" s="1"/>
  <c r="AG232" i="69"/>
  <c r="AF232" i="69" s="1"/>
  <c r="AG233" i="69"/>
  <c r="AF233" i="69" s="1"/>
  <c r="AG234" i="69"/>
  <c r="AF234" i="69" s="1"/>
  <c r="AG235" i="69"/>
  <c r="AF235" i="69" s="1"/>
  <c r="AG236" i="69"/>
  <c r="AF236" i="69" s="1"/>
  <c r="E236" i="69" s="1" a="1"/>
  <c r="E236" i="69" s="1"/>
  <c r="AG237" i="69"/>
  <c r="AF237" i="69" s="1"/>
  <c r="AG238" i="69"/>
  <c r="AF238" i="69" s="1"/>
  <c r="AG239" i="69"/>
  <c r="AF239" i="69" s="1"/>
  <c r="AG240" i="69"/>
  <c r="AF240" i="69" s="1"/>
  <c r="E240" i="69" s="1" a="1"/>
  <c r="E240" i="69" s="1"/>
  <c r="AG241" i="69"/>
  <c r="AF241" i="69" s="1"/>
  <c r="AG242" i="69"/>
  <c r="AF242" i="69" s="1"/>
  <c r="AG243" i="69"/>
  <c r="AF243" i="69" s="1"/>
  <c r="AG244" i="69"/>
  <c r="AF244" i="69" s="1"/>
  <c r="AG245" i="69"/>
  <c r="AF245" i="69" s="1"/>
  <c r="AG246" i="69"/>
  <c r="AF246" i="69" s="1"/>
  <c r="AG247" i="69"/>
  <c r="AF247" i="69" s="1"/>
  <c r="AG248" i="69"/>
  <c r="AF248" i="69" s="1"/>
  <c r="AG249" i="69"/>
  <c r="AF249" i="69" s="1"/>
  <c r="AG250" i="69"/>
  <c r="AF250" i="69" s="1"/>
  <c r="AG251" i="69"/>
  <c r="AF251" i="69" s="1"/>
  <c r="E251" i="69" s="1" a="1"/>
  <c r="E251" i="69" s="1"/>
  <c r="AG252" i="69"/>
  <c r="AF252" i="69" s="1"/>
  <c r="AG253" i="69"/>
  <c r="AF253" i="69" s="1"/>
  <c r="AG254" i="69"/>
  <c r="AF254" i="69" s="1"/>
  <c r="AG255" i="69"/>
  <c r="AF255" i="69" s="1"/>
  <c r="AG256" i="69"/>
  <c r="AF256" i="69" s="1"/>
  <c r="AG257" i="69"/>
  <c r="AF257" i="69" s="1"/>
  <c r="AG258" i="69"/>
  <c r="AF258" i="69" s="1"/>
  <c r="AG259" i="69"/>
  <c r="AF259" i="69" s="1"/>
  <c r="E259" i="69" s="1" a="1"/>
  <c r="E259" i="69" s="1"/>
  <c r="AG260" i="69"/>
  <c r="AF260" i="69" s="1"/>
  <c r="E260" i="69" s="1" a="1"/>
  <c r="E260" i="69" s="1"/>
  <c r="AG261" i="69"/>
  <c r="AF261" i="69" s="1"/>
  <c r="AG262" i="69"/>
  <c r="AF262" i="69" s="1"/>
  <c r="AG263" i="69"/>
  <c r="AF263" i="69" s="1"/>
  <c r="AG264" i="69"/>
  <c r="AF264" i="69" s="1"/>
  <c r="AG265" i="69"/>
  <c r="AF265" i="69" s="1"/>
  <c r="AG266" i="69"/>
  <c r="AF266" i="69" s="1"/>
  <c r="AG267" i="69"/>
  <c r="AF267" i="69" s="1"/>
  <c r="AG268" i="69"/>
  <c r="AF268" i="69" s="1"/>
  <c r="E268" i="69" s="1" a="1"/>
  <c r="E268" i="69" s="1"/>
  <c r="AG269" i="69"/>
  <c r="AF269" i="69" s="1"/>
  <c r="AG270" i="69"/>
  <c r="AF270" i="69" s="1"/>
  <c r="AG271" i="69"/>
  <c r="AF271" i="69" s="1"/>
  <c r="AG272" i="69"/>
  <c r="AF272" i="69" s="1"/>
  <c r="AG273" i="69"/>
  <c r="AF273" i="69" s="1"/>
  <c r="AG274" i="69"/>
  <c r="AF274" i="69" s="1"/>
  <c r="AG275" i="69"/>
  <c r="AF275" i="69" s="1"/>
  <c r="AH118" i="69"/>
  <c r="AH119" i="69"/>
  <c r="AH120" i="69"/>
  <c r="AH121" i="69"/>
  <c r="I121" i="69" s="1" a="1"/>
  <c r="I121" i="69" s="1"/>
  <c r="AH122" i="69"/>
  <c r="AH123" i="69"/>
  <c r="AH124" i="69"/>
  <c r="AH125" i="69"/>
  <c r="AH126" i="69"/>
  <c r="AH127" i="69"/>
  <c r="AH128" i="69"/>
  <c r="AH129" i="69"/>
  <c r="I129" i="69" s="1" a="1"/>
  <c r="I129" i="69" s="1"/>
  <c r="AH130" i="69"/>
  <c r="AH131" i="69"/>
  <c r="AH132" i="69"/>
  <c r="AH133" i="69"/>
  <c r="AH134" i="69"/>
  <c r="AH135" i="69"/>
  <c r="AH136" i="69"/>
  <c r="AH137" i="69"/>
  <c r="AH138" i="69"/>
  <c r="AH139" i="69"/>
  <c r="AH140" i="69"/>
  <c r="AH141" i="69"/>
  <c r="AH142" i="69"/>
  <c r="AH143" i="69"/>
  <c r="AH144" i="69"/>
  <c r="AH145" i="69"/>
  <c r="AH146" i="69"/>
  <c r="AH147" i="69"/>
  <c r="AH148" i="69"/>
  <c r="AH149" i="69"/>
  <c r="AH150" i="69"/>
  <c r="AH151" i="69"/>
  <c r="AH152" i="69"/>
  <c r="AH153" i="69"/>
  <c r="AH154" i="69"/>
  <c r="AH155" i="69"/>
  <c r="AH156" i="69"/>
  <c r="AH157" i="69"/>
  <c r="H157" i="69" s="1"/>
  <c r="AH158" i="69"/>
  <c r="AH159" i="69"/>
  <c r="AH160" i="69"/>
  <c r="AH161" i="69"/>
  <c r="AH162" i="69"/>
  <c r="AH163" i="69"/>
  <c r="AH164" i="69"/>
  <c r="AH165" i="69"/>
  <c r="AH166" i="69"/>
  <c r="AH167" i="69"/>
  <c r="AH168" i="69"/>
  <c r="AH169" i="69"/>
  <c r="AH170" i="69"/>
  <c r="AH171" i="69"/>
  <c r="AH172" i="69"/>
  <c r="AH173" i="69"/>
  <c r="AH174" i="69"/>
  <c r="AH175" i="69"/>
  <c r="AH176" i="69"/>
  <c r="AH177" i="69"/>
  <c r="AH178" i="69"/>
  <c r="AH179" i="69"/>
  <c r="AH180" i="69"/>
  <c r="AH181" i="69"/>
  <c r="AH182" i="69"/>
  <c r="AH183" i="69"/>
  <c r="AH184" i="69"/>
  <c r="AH185" i="69"/>
  <c r="AH186" i="69"/>
  <c r="AH187" i="69"/>
  <c r="AH188" i="69"/>
  <c r="AH189" i="69"/>
  <c r="AH190" i="69"/>
  <c r="AH191" i="69"/>
  <c r="AH192" i="69"/>
  <c r="H192" i="69" s="1"/>
  <c r="AH193" i="69"/>
  <c r="AH194" i="69"/>
  <c r="AH195" i="69"/>
  <c r="AH196" i="69"/>
  <c r="AH197" i="69"/>
  <c r="AH198" i="69"/>
  <c r="AH199" i="69"/>
  <c r="AH200" i="69"/>
  <c r="AH201" i="69"/>
  <c r="AH202" i="69"/>
  <c r="AH203" i="69"/>
  <c r="AH204" i="69"/>
  <c r="AH205" i="69"/>
  <c r="AH206" i="69"/>
  <c r="AH207" i="69"/>
  <c r="AH208" i="69"/>
  <c r="AH209" i="69"/>
  <c r="AH210" i="69"/>
  <c r="AH211" i="69"/>
  <c r="AH212" i="69"/>
  <c r="AH213" i="69"/>
  <c r="AH214" i="69"/>
  <c r="AH215" i="69"/>
  <c r="AH216" i="69"/>
  <c r="AH217" i="69"/>
  <c r="AH218" i="69"/>
  <c r="AH219" i="69"/>
  <c r="AH220" i="69"/>
  <c r="AH221" i="69"/>
  <c r="AH222" i="69"/>
  <c r="AH223" i="69"/>
  <c r="AH224" i="69"/>
  <c r="AH225" i="69"/>
  <c r="AH226" i="69"/>
  <c r="AH227" i="69"/>
  <c r="AH228" i="69"/>
  <c r="AH229" i="69"/>
  <c r="AH230" i="69"/>
  <c r="AH231" i="69"/>
  <c r="AH232" i="69"/>
  <c r="AH233" i="69"/>
  <c r="AH234" i="69"/>
  <c r="AH235" i="69"/>
  <c r="AH236" i="69"/>
  <c r="AH237" i="69"/>
  <c r="AH238" i="69"/>
  <c r="AH239" i="69"/>
  <c r="AH240" i="69"/>
  <c r="AH241" i="69"/>
  <c r="AH242" i="69"/>
  <c r="AH243" i="69"/>
  <c r="AH244" i="69"/>
  <c r="AH245" i="69"/>
  <c r="AH246" i="69"/>
  <c r="AH247" i="69"/>
  <c r="AH248" i="69"/>
  <c r="AH249" i="69"/>
  <c r="AH250" i="69"/>
  <c r="AH251" i="69"/>
  <c r="AH252" i="69"/>
  <c r="AH253" i="69"/>
  <c r="AH254" i="69"/>
  <c r="AH255" i="69"/>
  <c r="AH256" i="69"/>
  <c r="AH257" i="69"/>
  <c r="AH258" i="69"/>
  <c r="AH259" i="69"/>
  <c r="AH260" i="69"/>
  <c r="AH261" i="69"/>
  <c r="AH262" i="69"/>
  <c r="AH263" i="69"/>
  <c r="AH264" i="69"/>
  <c r="AH265" i="69"/>
  <c r="AH266" i="69"/>
  <c r="AH267" i="69"/>
  <c r="AH268" i="69"/>
  <c r="AH269" i="69"/>
  <c r="AH270" i="69"/>
  <c r="AH271" i="69"/>
  <c r="AH272" i="69"/>
  <c r="AH273" i="69"/>
  <c r="AH274" i="69"/>
  <c r="AH275" i="69"/>
  <c r="A3" i="69"/>
  <c r="A4" i="69"/>
  <c r="A5" i="69"/>
  <c r="A6" i="69"/>
  <c r="A7" i="69"/>
  <c r="A8" i="69"/>
  <c r="A9" i="69"/>
  <c r="A10" i="69"/>
  <c r="A11" i="69"/>
  <c r="A12" i="69"/>
  <c r="A13" i="69"/>
  <c r="A14" i="69"/>
  <c r="A15" i="69"/>
  <c r="A16" i="69"/>
  <c r="A17" i="69"/>
  <c r="A18" i="69"/>
  <c r="A19" i="69"/>
  <c r="A20" i="69"/>
  <c r="A21" i="69"/>
  <c r="A22" i="69"/>
  <c r="A23" i="69"/>
  <c r="A24" i="69"/>
  <c r="A25" i="69"/>
  <c r="A26" i="69"/>
  <c r="A27" i="69"/>
  <c r="A28" i="69"/>
  <c r="A29" i="69"/>
  <c r="A30" i="69"/>
  <c r="A31" i="69"/>
  <c r="A32" i="69"/>
  <c r="A33" i="69"/>
  <c r="A34" i="69"/>
  <c r="A35" i="69"/>
  <c r="A36" i="69"/>
  <c r="A37" i="69"/>
  <c r="A38" i="69"/>
  <c r="A39" i="69"/>
  <c r="A40" i="69"/>
  <c r="A41" i="69"/>
  <c r="A42" i="69"/>
  <c r="A43" i="69"/>
  <c r="A44" i="69"/>
  <c r="A45" i="69"/>
  <c r="A46" i="69"/>
  <c r="A47" i="69"/>
  <c r="A48" i="69"/>
  <c r="A49" i="69"/>
  <c r="A50" i="69"/>
  <c r="A51" i="69"/>
  <c r="A52" i="69"/>
  <c r="A53" i="69"/>
  <c r="A54" i="69"/>
  <c r="A55" i="69"/>
  <c r="A56" i="69"/>
  <c r="A57" i="69"/>
  <c r="A58" i="69"/>
  <c r="A59" i="69"/>
  <c r="A60" i="69"/>
  <c r="A61" i="69"/>
  <c r="A62" i="69"/>
  <c r="A63" i="69"/>
  <c r="A64" i="69"/>
  <c r="A65" i="69"/>
  <c r="A66" i="69"/>
  <c r="A67" i="69"/>
  <c r="A68" i="69"/>
  <c r="A69" i="69"/>
  <c r="A70" i="69"/>
  <c r="A71" i="69"/>
  <c r="A72" i="69"/>
  <c r="A73" i="69"/>
  <c r="A74" i="69"/>
  <c r="A75" i="69"/>
  <c r="A76" i="69"/>
  <c r="A77" i="69"/>
  <c r="A78" i="69"/>
  <c r="A79" i="69"/>
  <c r="A80" i="69"/>
  <c r="A81" i="69"/>
  <c r="A82" i="69"/>
  <c r="A83" i="69"/>
  <c r="A84" i="69"/>
  <c r="A85" i="69"/>
  <c r="A86" i="69"/>
  <c r="A87" i="69"/>
  <c r="A88" i="69"/>
  <c r="A89" i="69"/>
  <c r="A90" i="69"/>
  <c r="A91" i="69"/>
  <c r="A92" i="69"/>
  <c r="A93" i="69"/>
  <c r="A94" i="69"/>
  <c r="A95" i="69"/>
  <c r="A96" i="69"/>
  <c r="A97" i="69"/>
  <c r="A98" i="69"/>
  <c r="A99" i="69"/>
  <c r="A100" i="69"/>
  <c r="A101" i="69"/>
  <c r="A102" i="69"/>
  <c r="A103" i="69"/>
  <c r="A104" i="69"/>
  <c r="A105" i="69"/>
  <c r="A106" i="69"/>
  <c r="A107" i="69"/>
  <c r="A108" i="69"/>
  <c r="A109" i="69"/>
  <c r="A110" i="69"/>
  <c r="A111" i="69"/>
  <c r="A112" i="69"/>
  <c r="A113" i="69"/>
  <c r="A114" i="69"/>
  <c r="A115" i="69"/>
  <c r="A116" i="69"/>
  <c r="A117" i="69"/>
  <c r="C3" i="69"/>
  <c r="C4" i="69"/>
  <c r="C5" i="69"/>
  <c r="C6" i="69"/>
  <c r="C7" i="69"/>
  <c r="C8" i="69"/>
  <c r="C9" i="69"/>
  <c r="C10" i="69"/>
  <c r="C11" i="69"/>
  <c r="C12" i="69"/>
  <c r="C13" i="69"/>
  <c r="C14" i="69"/>
  <c r="C15" i="69"/>
  <c r="C16" i="69"/>
  <c r="C17" i="69"/>
  <c r="C18" i="69"/>
  <c r="C19" i="69"/>
  <c r="C20" i="69"/>
  <c r="C21" i="69"/>
  <c r="C22" i="69"/>
  <c r="C23" i="69"/>
  <c r="C24" i="69"/>
  <c r="C25" i="69"/>
  <c r="C26" i="69"/>
  <c r="C27" i="69"/>
  <c r="C28" i="69"/>
  <c r="C29" i="69"/>
  <c r="C30" i="69"/>
  <c r="C31" i="69"/>
  <c r="C32" i="69"/>
  <c r="C33" i="69"/>
  <c r="C34" i="69"/>
  <c r="C35" i="69"/>
  <c r="C36" i="69"/>
  <c r="C37" i="69"/>
  <c r="C38" i="69"/>
  <c r="C39" i="69"/>
  <c r="C40" i="69"/>
  <c r="C41" i="69"/>
  <c r="C42" i="69"/>
  <c r="C43" i="69"/>
  <c r="C44" i="69"/>
  <c r="C45" i="69"/>
  <c r="C46" i="69"/>
  <c r="C47" i="69"/>
  <c r="C48" i="69"/>
  <c r="C49" i="69"/>
  <c r="C50" i="69"/>
  <c r="C51" i="69"/>
  <c r="C52" i="69"/>
  <c r="C53" i="69"/>
  <c r="C54" i="69"/>
  <c r="C55" i="69"/>
  <c r="C56" i="69"/>
  <c r="C57" i="69"/>
  <c r="C58" i="69"/>
  <c r="C59" i="69"/>
  <c r="C60" i="69"/>
  <c r="C61" i="69"/>
  <c r="C62" i="69"/>
  <c r="C63" i="69"/>
  <c r="C64" i="69"/>
  <c r="C65" i="69"/>
  <c r="C66" i="69"/>
  <c r="C67" i="69"/>
  <c r="C68" i="69"/>
  <c r="C69" i="69"/>
  <c r="C70" i="69"/>
  <c r="C71" i="69"/>
  <c r="C72" i="69"/>
  <c r="C73" i="69"/>
  <c r="C74" i="69"/>
  <c r="C75" i="69"/>
  <c r="C76" i="69"/>
  <c r="C77" i="69"/>
  <c r="C78" i="69"/>
  <c r="C79" i="69"/>
  <c r="C80" i="69"/>
  <c r="C81" i="69"/>
  <c r="C82" i="69"/>
  <c r="C83" i="69"/>
  <c r="C84" i="69"/>
  <c r="C85" i="69"/>
  <c r="C86" i="69"/>
  <c r="C87" i="69"/>
  <c r="C88" i="69"/>
  <c r="C89" i="69"/>
  <c r="C90" i="69"/>
  <c r="C91" i="69"/>
  <c r="C92" i="69"/>
  <c r="C93" i="69"/>
  <c r="C94" i="69"/>
  <c r="C95" i="69"/>
  <c r="C96" i="69"/>
  <c r="C97" i="69"/>
  <c r="C98" i="69"/>
  <c r="C99" i="69"/>
  <c r="C100" i="69"/>
  <c r="C101" i="69"/>
  <c r="C102" i="69"/>
  <c r="C103" i="69"/>
  <c r="C104" i="69"/>
  <c r="C105" i="69"/>
  <c r="C106" i="69"/>
  <c r="C107" i="69"/>
  <c r="C108" i="69"/>
  <c r="C109" i="69"/>
  <c r="C110" i="69"/>
  <c r="C111" i="69"/>
  <c r="C112" i="69"/>
  <c r="C113" i="69"/>
  <c r="C114" i="69"/>
  <c r="C115" i="69"/>
  <c r="C116" i="69"/>
  <c r="C117" i="69"/>
  <c r="G3" i="69"/>
  <c r="G4" i="69"/>
  <c r="G5" i="69"/>
  <c r="G6" i="69"/>
  <c r="G7" i="69"/>
  <c r="G8" i="69"/>
  <c r="G9" i="69"/>
  <c r="G10" i="69"/>
  <c r="G11" i="69"/>
  <c r="G12" i="69"/>
  <c r="G13" i="69"/>
  <c r="G14" i="69"/>
  <c r="G15" i="69"/>
  <c r="G16" i="69"/>
  <c r="G17" i="69"/>
  <c r="G18" i="69"/>
  <c r="G19" i="69"/>
  <c r="G20" i="69"/>
  <c r="G21" i="69"/>
  <c r="G22" i="69"/>
  <c r="G23" i="69"/>
  <c r="G24" i="69"/>
  <c r="G25" i="69"/>
  <c r="G26" i="69"/>
  <c r="G27" i="69"/>
  <c r="G28" i="69"/>
  <c r="G29" i="69"/>
  <c r="G30" i="69"/>
  <c r="G31" i="69"/>
  <c r="G32" i="69"/>
  <c r="G33" i="69"/>
  <c r="G34" i="69"/>
  <c r="G35" i="69"/>
  <c r="G36" i="69"/>
  <c r="G37" i="69"/>
  <c r="G38" i="69"/>
  <c r="G39" i="69"/>
  <c r="G40" i="69"/>
  <c r="G41" i="69"/>
  <c r="G42" i="69"/>
  <c r="G43" i="69"/>
  <c r="G44" i="69"/>
  <c r="G45" i="69"/>
  <c r="G46" i="69"/>
  <c r="G47" i="69"/>
  <c r="G48" i="69"/>
  <c r="G49" i="69"/>
  <c r="G50" i="69"/>
  <c r="G51" i="69"/>
  <c r="G52" i="69"/>
  <c r="G53" i="69"/>
  <c r="G54" i="69"/>
  <c r="G55" i="69"/>
  <c r="G56" i="69"/>
  <c r="G57" i="69"/>
  <c r="G58" i="69"/>
  <c r="G59" i="69"/>
  <c r="G60" i="69"/>
  <c r="G61" i="69"/>
  <c r="G62" i="69"/>
  <c r="G63" i="69"/>
  <c r="G64" i="69"/>
  <c r="G65" i="69"/>
  <c r="G66" i="69"/>
  <c r="G67" i="69"/>
  <c r="G68" i="69"/>
  <c r="G69" i="69"/>
  <c r="G70" i="69"/>
  <c r="G71" i="69"/>
  <c r="G72" i="69"/>
  <c r="G73" i="69"/>
  <c r="G74" i="69"/>
  <c r="G75" i="69"/>
  <c r="G76" i="69"/>
  <c r="G77" i="69"/>
  <c r="G78" i="69"/>
  <c r="G79" i="69"/>
  <c r="G80" i="69"/>
  <c r="G81" i="69"/>
  <c r="G82" i="69"/>
  <c r="G83" i="69"/>
  <c r="G84" i="69"/>
  <c r="G85" i="69"/>
  <c r="G86" i="69"/>
  <c r="G87" i="69"/>
  <c r="G88" i="69"/>
  <c r="G89" i="69"/>
  <c r="G90" i="69"/>
  <c r="G91" i="69"/>
  <c r="G92" i="69"/>
  <c r="G93" i="69"/>
  <c r="G94" i="69"/>
  <c r="G95" i="69"/>
  <c r="G96" i="69"/>
  <c r="G97" i="69"/>
  <c r="G98" i="69"/>
  <c r="G99" i="69"/>
  <c r="G100" i="69"/>
  <c r="G101" i="69"/>
  <c r="G102" i="69"/>
  <c r="G103" i="69"/>
  <c r="G104" i="69"/>
  <c r="G105" i="69"/>
  <c r="G106" i="69"/>
  <c r="G107" i="69"/>
  <c r="G108" i="69"/>
  <c r="G109" i="69"/>
  <c r="G110" i="69"/>
  <c r="G111" i="69"/>
  <c r="G112" i="69"/>
  <c r="G113" i="69"/>
  <c r="G114" i="69"/>
  <c r="G115" i="69"/>
  <c r="G116" i="69"/>
  <c r="G117" i="69"/>
  <c r="K3" i="69"/>
  <c r="K4" i="69"/>
  <c r="K5" i="69"/>
  <c r="K6" i="69"/>
  <c r="K7" i="69"/>
  <c r="K8" i="69"/>
  <c r="K9" i="69"/>
  <c r="K10" i="69"/>
  <c r="K11" i="69"/>
  <c r="K12" i="69"/>
  <c r="K13" i="69"/>
  <c r="K14" i="69"/>
  <c r="K15" i="69"/>
  <c r="K16" i="69"/>
  <c r="K17" i="69"/>
  <c r="K18" i="69"/>
  <c r="K19" i="69"/>
  <c r="K20" i="69"/>
  <c r="K21" i="69"/>
  <c r="K22" i="69"/>
  <c r="K23" i="69"/>
  <c r="K24" i="69"/>
  <c r="K25" i="69"/>
  <c r="K26" i="69"/>
  <c r="K27" i="69"/>
  <c r="K28" i="69"/>
  <c r="K29" i="69"/>
  <c r="K30" i="69"/>
  <c r="K31" i="69"/>
  <c r="K32" i="69"/>
  <c r="K33" i="69"/>
  <c r="K34" i="69"/>
  <c r="K35" i="69"/>
  <c r="K36" i="69"/>
  <c r="K37" i="69"/>
  <c r="K38" i="69"/>
  <c r="K39" i="69"/>
  <c r="K40" i="69"/>
  <c r="K41" i="69"/>
  <c r="K42" i="69"/>
  <c r="K43" i="69"/>
  <c r="K44" i="69"/>
  <c r="K45" i="69"/>
  <c r="K46" i="69"/>
  <c r="K47" i="69"/>
  <c r="K48" i="69"/>
  <c r="K49" i="69"/>
  <c r="K50" i="69"/>
  <c r="K51" i="69"/>
  <c r="K52" i="69"/>
  <c r="K53" i="69"/>
  <c r="K54" i="69"/>
  <c r="K55" i="69"/>
  <c r="K56" i="69"/>
  <c r="K57" i="69"/>
  <c r="K58" i="69"/>
  <c r="K59" i="69"/>
  <c r="K60" i="69"/>
  <c r="K61" i="69"/>
  <c r="K62" i="69"/>
  <c r="K63" i="69"/>
  <c r="K64" i="69"/>
  <c r="K65" i="69"/>
  <c r="K66" i="69"/>
  <c r="K67" i="69"/>
  <c r="K68" i="69"/>
  <c r="K69" i="69"/>
  <c r="K70" i="69"/>
  <c r="K71" i="69"/>
  <c r="K72" i="69"/>
  <c r="K73" i="69"/>
  <c r="K74" i="69"/>
  <c r="K75" i="69"/>
  <c r="K76" i="69"/>
  <c r="K77" i="69"/>
  <c r="K78" i="69"/>
  <c r="K79" i="69"/>
  <c r="K80" i="69"/>
  <c r="K81" i="69"/>
  <c r="K82" i="69"/>
  <c r="K83" i="69"/>
  <c r="K84" i="69"/>
  <c r="K85" i="69"/>
  <c r="K86" i="69"/>
  <c r="K87" i="69"/>
  <c r="K88" i="69"/>
  <c r="K89" i="69"/>
  <c r="K90" i="69"/>
  <c r="K91" i="69"/>
  <c r="K92" i="69"/>
  <c r="K93" i="69"/>
  <c r="K94" i="69"/>
  <c r="K95" i="69"/>
  <c r="K96" i="69"/>
  <c r="K97" i="69"/>
  <c r="K98" i="69"/>
  <c r="K99" i="69"/>
  <c r="K100" i="69"/>
  <c r="K101" i="69"/>
  <c r="K102" i="69"/>
  <c r="K103" i="69"/>
  <c r="K104" i="69"/>
  <c r="K105" i="69"/>
  <c r="K106" i="69"/>
  <c r="K107" i="69"/>
  <c r="K108" i="69"/>
  <c r="K109" i="69"/>
  <c r="K110" i="69"/>
  <c r="K111" i="69"/>
  <c r="K112" i="69"/>
  <c r="K113" i="69"/>
  <c r="K114" i="69"/>
  <c r="K115" i="69"/>
  <c r="K116" i="69"/>
  <c r="K117" i="69"/>
  <c r="L3" i="69" a="1"/>
  <c r="L3" i="69" s="1"/>
  <c r="L4" i="69" a="1"/>
  <c r="L4" i="69" s="1"/>
  <c r="L5" i="69" a="1"/>
  <c r="L5" i="69" s="1"/>
  <c r="L6" i="69" a="1"/>
  <c r="L6" i="69" s="1"/>
  <c r="L7" i="69" a="1"/>
  <c r="L7" i="69" s="1"/>
  <c r="L8" i="69" a="1"/>
  <c r="L8" i="69" s="1"/>
  <c r="L9" i="69" a="1"/>
  <c r="L9" i="69" s="1"/>
  <c r="L10" i="69" a="1"/>
  <c r="L10" i="69" s="1"/>
  <c r="L11" i="69" a="1"/>
  <c r="L11" i="69" s="1"/>
  <c r="L12" i="69" a="1"/>
  <c r="L12" i="69" s="1"/>
  <c r="L13" i="69" a="1"/>
  <c r="L13" i="69" s="1"/>
  <c r="L14" i="69" a="1"/>
  <c r="L14" i="69" s="1"/>
  <c r="L15" i="69" a="1"/>
  <c r="L15" i="69" s="1"/>
  <c r="L16" i="69" a="1"/>
  <c r="L16" i="69" s="1"/>
  <c r="L17" i="69" a="1"/>
  <c r="L17" i="69" s="1"/>
  <c r="L18" i="69" a="1"/>
  <c r="L18" i="69" s="1"/>
  <c r="L19" i="69" a="1"/>
  <c r="L19" i="69" s="1"/>
  <c r="L20" i="69" a="1"/>
  <c r="L20" i="69" s="1"/>
  <c r="L21" i="69" a="1"/>
  <c r="L21" i="69" s="1"/>
  <c r="L22" i="69" a="1"/>
  <c r="L22" i="69" s="1"/>
  <c r="L23" i="69" a="1"/>
  <c r="L23" i="69" s="1"/>
  <c r="L24" i="69" a="1"/>
  <c r="L24" i="69" s="1"/>
  <c r="L25" i="69" a="1"/>
  <c r="L25" i="69" s="1"/>
  <c r="L26" i="69" a="1"/>
  <c r="L26" i="69" s="1"/>
  <c r="L27" i="69" a="1"/>
  <c r="L27" i="69" s="1"/>
  <c r="L28" i="69" a="1"/>
  <c r="L28" i="69" s="1"/>
  <c r="L29" i="69" a="1"/>
  <c r="L29" i="69" s="1"/>
  <c r="L30" i="69" a="1"/>
  <c r="L30" i="69" s="1"/>
  <c r="L31" i="69" a="1"/>
  <c r="L31" i="69" s="1"/>
  <c r="L32" i="69" a="1"/>
  <c r="L32" i="69" s="1"/>
  <c r="L33" i="69" a="1"/>
  <c r="L33" i="69" s="1"/>
  <c r="L34" i="69" a="1"/>
  <c r="L34" i="69" s="1"/>
  <c r="L35" i="69" a="1"/>
  <c r="L35" i="69" s="1"/>
  <c r="L36" i="69" a="1"/>
  <c r="L36" i="69" s="1"/>
  <c r="L37" i="69" a="1"/>
  <c r="L37" i="69" s="1"/>
  <c r="L38" i="69" a="1"/>
  <c r="L38" i="69" s="1"/>
  <c r="L39" i="69" a="1"/>
  <c r="L39" i="69" s="1"/>
  <c r="L40" i="69" a="1"/>
  <c r="L40" i="69" s="1"/>
  <c r="L41" i="69" a="1"/>
  <c r="L41" i="69" s="1"/>
  <c r="L42" i="69" a="1"/>
  <c r="L42" i="69" s="1"/>
  <c r="L43" i="69" a="1"/>
  <c r="L43" i="69" s="1"/>
  <c r="L44" i="69" a="1"/>
  <c r="L44" i="69" s="1"/>
  <c r="L45" i="69" a="1"/>
  <c r="L45" i="69" s="1"/>
  <c r="L46" i="69" a="1"/>
  <c r="L46" i="69" s="1"/>
  <c r="L47" i="69" a="1"/>
  <c r="L47" i="69" s="1"/>
  <c r="L48" i="69" a="1"/>
  <c r="L48" i="69" s="1"/>
  <c r="L49" i="69" a="1"/>
  <c r="L49" i="69" s="1"/>
  <c r="L50" i="69" a="1"/>
  <c r="L50" i="69" s="1"/>
  <c r="L51" i="69" a="1"/>
  <c r="L51" i="69" s="1"/>
  <c r="L52" i="69" a="1"/>
  <c r="L52" i="69" s="1"/>
  <c r="L53" i="69" a="1"/>
  <c r="L53" i="69" s="1"/>
  <c r="L54" i="69" a="1"/>
  <c r="L54" i="69" s="1"/>
  <c r="L55" i="69" a="1"/>
  <c r="L55" i="69" s="1"/>
  <c r="L56" i="69" a="1"/>
  <c r="L56" i="69" s="1"/>
  <c r="L57" i="69" a="1"/>
  <c r="L57" i="69" s="1"/>
  <c r="L58" i="69" a="1"/>
  <c r="L58" i="69" s="1"/>
  <c r="L59" i="69" a="1"/>
  <c r="L59" i="69" s="1"/>
  <c r="L60" i="69" a="1"/>
  <c r="L60" i="69" s="1"/>
  <c r="L61" i="69" a="1"/>
  <c r="L61" i="69" s="1"/>
  <c r="L62" i="69" a="1"/>
  <c r="L62" i="69" s="1"/>
  <c r="L63" i="69" a="1"/>
  <c r="L63" i="69" s="1"/>
  <c r="L64" i="69" a="1"/>
  <c r="L64" i="69" s="1"/>
  <c r="L65" i="69" a="1"/>
  <c r="L65" i="69" s="1"/>
  <c r="L66" i="69" a="1"/>
  <c r="L66" i="69" s="1"/>
  <c r="L67" i="69" a="1"/>
  <c r="L67" i="69" s="1"/>
  <c r="L68" i="69" a="1"/>
  <c r="L68" i="69" s="1"/>
  <c r="L69" i="69" a="1"/>
  <c r="L69" i="69" s="1"/>
  <c r="L70" i="69" a="1"/>
  <c r="L70" i="69" s="1"/>
  <c r="L71" i="69" a="1"/>
  <c r="L71" i="69" s="1"/>
  <c r="L72" i="69" a="1"/>
  <c r="L72" i="69" s="1"/>
  <c r="L73" i="69" a="1"/>
  <c r="L73" i="69" s="1"/>
  <c r="L74" i="69" a="1"/>
  <c r="L74" i="69" s="1"/>
  <c r="L75" i="69" a="1"/>
  <c r="L75" i="69" s="1"/>
  <c r="L76" i="69" a="1"/>
  <c r="L76" i="69" s="1"/>
  <c r="L77" i="69" a="1"/>
  <c r="L77" i="69" s="1"/>
  <c r="L78" i="69" a="1"/>
  <c r="L78" i="69" s="1"/>
  <c r="L79" i="69" a="1"/>
  <c r="L79" i="69" s="1"/>
  <c r="L80" i="69" a="1"/>
  <c r="L80" i="69" s="1"/>
  <c r="L81" i="69" a="1"/>
  <c r="L81" i="69" s="1"/>
  <c r="L82" i="69" a="1"/>
  <c r="L82" i="69" s="1"/>
  <c r="L83" i="69" a="1"/>
  <c r="L83" i="69" s="1"/>
  <c r="L84" i="69" a="1"/>
  <c r="L84" i="69" s="1"/>
  <c r="L85" i="69" a="1"/>
  <c r="L85" i="69" s="1"/>
  <c r="L86" i="69" a="1"/>
  <c r="L86" i="69" s="1"/>
  <c r="L87" i="69" a="1"/>
  <c r="L87" i="69" s="1"/>
  <c r="L88" i="69" a="1"/>
  <c r="L88" i="69" s="1"/>
  <c r="L89" i="69" a="1"/>
  <c r="L89" i="69" s="1"/>
  <c r="L90" i="69" a="1"/>
  <c r="L90" i="69" s="1"/>
  <c r="L91" i="69" a="1"/>
  <c r="L91" i="69" s="1"/>
  <c r="L92" i="69" a="1"/>
  <c r="L92" i="69" s="1"/>
  <c r="L93" i="69" a="1"/>
  <c r="L93" i="69" s="1"/>
  <c r="L94" i="69" a="1"/>
  <c r="L94" i="69" s="1"/>
  <c r="L95" i="69" a="1"/>
  <c r="L95" i="69" s="1"/>
  <c r="L96" i="69" a="1"/>
  <c r="L96" i="69" s="1"/>
  <c r="L97" i="69" a="1"/>
  <c r="L97" i="69" s="1"/>
  <c r="L98" i="69" a="1"/>
  <c r="L98" i="69" s="1"/>
  <c r="L99" i="69" a="1"/>
  <c r="L99" i="69" s="1"/>
  <c r="L100" i="69" a="1"/>
  <c r="L100" i="69" s="1"/>
  <c r="L101" i="69" a="1"/>
  <c r="L101" i="69" s="1"/>
  <c r="L102" i="69" a="1"/>
  <c r="L102" i="69" s="1"/>
  <c r="L103" i="69" a="1"/>
  <c r="L103" i="69" s="1"/>
  <c r="L104" i="69" a="1"/>
  <c r="L104" i="69" s="1"/>
  <c r="L105" i="69" a="1"/>
  <c r="L105" i="69" s="1"/>
  <c r="L106" i="69" a="1"/>
  <c r="L106" i="69" s="1"/>
  <c r="L107" i="69" a="1"/>
  <c r="L107" i="69" s="1"/>
  <c r="L108" i="69" a="1"/>
  <c r="L108" i="69" s="1"/>
  <c r="L109" i="69" a="1"/>
  <c r="L109" i="69" s="1"/>
  <c r="L110" i="69" a="1"/>
  <c r="L110" i="69" s="1"/>
  <c r="L111" i="69" a="1"/>
  <c r="L111" i="69" s="1"/>
  <c r="L112" i="69" a="1"/>
  <c r="L112" i="69" s="1"/>
  <c r="L113" i="69" a="1"/>
  <c r="L113" i="69" s="1"/>
  <c r="L114" i="69" a="1"/>
  <c r="L114" i="69" s="1"/>
  <c r="L115" i="69" a="1"/>
  <c r="L115" i="69" s="1"/>
  <c r="L116" i="69" a="1"/>
  <c r="L116" i="69" s="1"/>
  <c r="L117" i="69" a="1"/>
  <c r="L117" i="69" s="1"/>
  <c r="N3" i="69" a="1"/>
  <c r="N3" i="69" s="1"/>
  <c r="N4" i="69" a="1"/>
  <c r="N4" i="69" s="1"/>
  <c r="N5" i="69" a="1"/>
  <c r="N5" i="69" s="1"/>
  <c r="N6" i="69" a="1"/>
  <c r="N6" i="69" s="1"/>
  <c r="N7" i="69" a="1"/>
  <c r="N7" i="69" s="1"/>
  <c r="N8" i="69" a="1"/>
  <c r="N8" i="69" s="1"/>
  <c r="N9" i="69" a="1"/>
  <c r="N9" i="69" s="1"/>
  <c r="N10" i="69" a="1"/>
  <c r="N10" i="69" s="1"/>
  <c r="N11" i="69" a="1"/>
  <c r="N11" i="69" s="1"/>
  <c r="N12" i="69" a="1"/>
  <c r="N12" i="69" s="1"/>
  <c r="N13" i="69" a="1"/>
  <c r="N13" i="69" s="1"/>
  <c r="N14" i="69" a="1"/>
  <c r="N14" i="69" s="1"/>
  <c r="N15" i="69" a="1"/>
  <c r="N15" i="69" s="1"/>
  <c r="N16" i="69" a="1"/>
  <c r="N16" i="69" s="1"/>
  <c r="N17" i="69" a="1"/>
  <c r="N17" i="69" s="1"/>
  <c r="N18" i="69" a="1"/>
  <c r="N18" i="69" s="1"/>
  <c r="N19" i="69" a="1"/>
  <c r="N19" i="69" s="1"/>
  <c r="N20" i="69" a="1"/>
  <c r="N20" i="69" s="1"/>
  <c r="N21" i="69" a="1"/>
  <c r="N21" i="69" s="1"/>
  <c r="N22" i="69" a="1"/>
  <c r="N22" i="69" s="1"/>
  <c r="N23" i="69" a="1"/>
  <c r="N23" i="69" s="1"/>
  <c r="N24" i="69" a="1"/>
  <c r="N24" i="69" s="1"/>
  <c r="N25" i="69" a="1"/>
  <c r="N25" i="69" s="1"/>
  <c r="N26" i="69" a="1"/>
  <c r="N26" i="69" s="1"/>
  <c r="N27" i="69" a="1"/>
  <c r="N27" i="69" s="1"/>
  <c r="N28" i="69" a="1"/>
  <c r="N28" i="69" s="1"/>
  <c r="N29" i="69" a="1"/>
  <c r="N29" i="69" s="1"/>
  <c r="N30" i="69" a="1"/>
  <c r="N30" i="69" s="1"/>
  <c r="N31" i="69" a="1"/>
  <c r="N31" i="69" s="1"/>
  <c r="N32" i="69" a="1"/>
  <c r="N32" i="69" s="1"/>
  <c r="N33" i="69" a="1"/>
  <c r="N33" i="69" s="1"/>
  <c r="N34" i="69" a="1"/>
  <c r="N34" i="69" s="1"/>
  <c r="N35" i="69" a="1"/>
  <c r="N35" i="69" s="1"/>
  <c r="N36" i="69" a="1"/>
  <c r="N36" i="69" s="1"/>
  <c r="N37" i="69" a="1"/>
  <c r="N37" i="69" s="1"/>
  <c r="N38" i="69" a="1"/>
  <c r="N38" i="69" s="1"/>
  <c r="N39" i="69" a="1"/>
  <c r="N39" i="69" s="1"/>
  <c r="N40" i="69" a="1"/>
  <c r="N40" i="69" s="1"/>
  <c r="N41" i="69" a="1"/>
  <c r="N41" i="69" s="1"/>
  <c r="N42" i="69" a="1"/>
  <c r="N42" i="69" s="1"/>
  <c r="N43" i="69" a="1"/>
  <c r="N43" i="69" s="1"/>
  <c r="N44" i="69" a="1"/>
  <c r="N44" i="69" s="1"/>
  <c r="N45" i="69" a="1"/>
  <c r="N45" i="69" s="1"/>
  <c r="N46" i="69" a="1"/>
  <c r="N46" i="69" s="1"/>
  <c r="N47" i="69" a="1"/>
  <c r="N47" i="69" s="1"/>
  <c r="N48" i="69" a="1"/>
  <c r="N48" i="69" s="1"/>
  <c r="N49" i="69" a="1"/>
  <c r="N49" i="69" s="1"/>
  <c r="N50" i="69" a="1"/>
  <c r="N50" i="69" s="1"/>
  <c r="N51" i="69" a="1"/>
  <c r="N51" i="69" s="1"/>
  <c r="N52" i="69" a="1"/>
  <c r="N52" i="69" s="1"/>
  <c r="N53" i="69" a="1"/>
  <c r="N53" i="69" s="1"/>
  <c r="N54" i="69" a="1"/>
  <c r="N54" i="69" s="1"/>
  <c r="N55" i="69" a="1"/>
  <c r="N55" i="69" s="1"/>
  <c r="N56" i="69" a="1"/>
  <c r="N56" i="69" s="1"/>
  <c r="N57" i="69" a="1"/>
  <c r="N57" i="69" s="1"/>
  <c r="N58" i="69" a="1"/>
  <c r="N58" i="69" s="1"/>
  <c r="N59" i="69" a="1"/>
  <c r="N59" i="69" s="1"/>
  <c r="N60" i="69" a="1"/>
  <c r="N60" i="69" s="1"/>
  <c r="N61" i="69" a="1"/>
  <c r="N61" i="69" s="1"/>
  <c r="N62" i="69" a="1"/>
  <c r="N62" i="69" s="1"/>
  <c r="N63" i="69" a="1"/>
  <c r="N63" i="69" s="1"/>
  <c r="N64" i="69" a="1"/>
  <c r="N64" i="69" s="1"/>
  <c r="N65" i="69" a="1"/>
  <c r="N65" i="69" s="1"/>
  <c r="N66" i="69" a="1"/>
  <c r="N66" i="69" s="1"/>
  <c r="N67" i="69" a="1"/>
  <c r="N67" i="69" s="1"/>
  <c r="N68" i="69" a="1"/>
  <c r="N68" i="69" s="1"/>
  <c r="N69" i="69" a="1"/>
  <c r="N69" i="69" s="1"/>
  <c r="N70" i="69" a="1"/>
  <c r="N70" i="69" s="1"/>
  <c r="N71" i="69" a="1"/>
  <c r="N71" i="69" s="1"/>
  <c r="N72" i="69" a="1"/>
  <c r="N72" i="69" s="1"/>
  <c r="N73" i="69" a="1"/>
  <c r="N73" i="69" s="1"/>
  <c r="N74" i="69" a="1"/>
  <c r="N74" i="69" s="1"/>
  <c r="N75" i="69" a="1"/>
  <c r="N75" i="69" s="1"/>
  <c r="N76" i="69" a="1"/>
  <c r="N76" i="69" s="1"/>
  <c r="N77" i="69" a="1"/>
  <c r="N77" i="69" s="1"/>
  <c r="N78" i="69" a="1"/>
  <c r="N78" i="69" s="1"/>
  <c r="N79" i="69" a="1"/>
  <c r="N79" i="69" s="1"/>
  <c r="N80" i="69" a="1"/>
  <c r="N80" i="69" s="1"/>
  <c r="N81" i="69" a="1"/>
  <c r="N81" i="69" s="1"/>
  <c r="N82" i="69" a="1"/>
  <c r="N82" i="69" s="1"/>
  <c r="N83" i="69" a="1"/>
  <c r="N83" i="69" s="1"/>
  <c r="N84" i="69" a="1"/>
  <c r="N84" i="69" s="1"/>
  <c r="N85" i="69" a="1"/>
  <c r="N85" i="69" s="1"/>
  <c r="N86" i="69" a="1"/>
  <c r="N86" i="69" s="1"/>
  <c r="N87" i="69" a="1"/>
  <c r="N87" i="69" s="1"/>
  <c r="N88" i="69" a="1"/>
  <c r="N88" i="69" s="1"/>
  <c r="N89" i="69" a="1"/>
  <c r="N89" i="69" s="1"/>
  <c r="N90" i="69" a="1"/>
  <c r="N90" i="69" s="1"/>
  <c r="N91" i="69" a="1"/>
  <c r="N91" i="69" s="1"/>
  <c r="N92" i="69" a="1"/>
  <c r="N92" i="69" s="1"/>
  <c r="N93" i="69" a="1"/>
  <c r="N93" i="69" s="1"/>
  <c r="N94" i="69" a="1"/>
  <c r="N94" i="69" s="1"/>
  <c r="N95" i="69" a="1"/>
  <c r="N95" i="69" s="1"/>
  <c r="N96" i="69" a="1"/>
  <c r="N96" i="69" s="1"/>
  <c r="N97" i="69" a="1"/>
  <c r="N97" i="69" s="1"/>
  <c r="N98" i="69" a="1"/>
  <c r="N98" i="69" s="1"/>
  <c r="N99" i="69" a="1"/>
  <c r="N99" i="69" s="1"/>
  <c r="N100" i="69" a="1"/>
  <c r="N100" i="69" s="1"/>
  <c r="N101" i="69" a="1"/>
  <c r="N101" i="69" s="1"/>
  <c r="N102" i="69" a="1"/>
  <c r="N102" i="69" s="1"/>
  <c r="N103" i="69" a="1"/>
  <c r="N103" i="69" s="1"/>
  <c r="N104" i="69" a="1"/>
  <c r="N104" i="69" s="1"/>
  <c r="N105" i="69" a="1"/>
  <c r="N105" i="69" s="1"/>
  <c r="N106" i="69" a="1"/>
  <c r="N106" i="69" s="1"/>
  <c r="N107" i="69" a="1"/>
  <c r="N107" i="69" s="1"/>
  <c r="N108" i="69" a="1"/>
  <c r="N108" i="69" s="1"/>
  <c r="N109" i="69" a="1"/>
  <c r="N109" i="69" s="1"/>
  <c r="N110" i="69" a="1"/>
  <c r="N110" i="69" s="1"/>
  <c r="N111" i="69" a="1"/>
  <c r="N111" i="69" s="1"/>
  <c r="N112" i="69" a="1"/>
  <c r="N112" i="69" s="1"/>
  <c r="N113" i="69" a="1"/>
  <c r="N113" i="69" s="1"/>
  <c r="N114" i="69" a="1"/>
  <c r="N114" i="69" s="1"/>
  <c r="N115" i="69" a="1"/>
  <c r="N115" i="69" s="1"/>
  <c r="N116" i="69" a="1"/>
  <c r="N116" i="69" s="1"/>
  <c r="N117" i="69" a="1"/>
  <c r="N117" i="69" s="1"/>
  <c r="O3" i="69" a="1"/>
  <c r="O3" i="69" s="1"/>
  <c r="O4" i="69" a="1"/>
  <c r="O4" i="69" s="1"/>
  <c r="O5" i="69" a="1"/>
  <c r="O5" i="69" s="1"/>
  <c r="O6" i="69" a="1"/>
  <c r="O6" i="69" s="1"/>
  <c r="O7" i="69" a="1"/>
  <c r="O7" i="69" s="1"/>
  <c r="O8" i="69" a="1"/>
  <c r="O8" i="69" s="1"/>
  <c r="O9" i="69" a="1"/>
  <c r="O9" i="69" s="1"/>
  <c r="O10" i="69" a="1"/>
  <c r="O10" i="69" s="1"/>
  <c r="O11" i="69" a="1"/>
  <c r="O11" i="69" s="1"/>
  <c r="O12" i="69" a="1"/>
  <c r="O12" i="69" s="1"/>
  <c r="O13" i="69" a="1"/>
  <c r="O13" i="69" s="1"/>
  <c r="O14" i="69" a="1"/>
  <c r="O14" i="69" s="1"/>
  <c r="O15" i="69" a="1"/>
  <c r="O15" i="69" s="1"/>
  <c r="O16" i="69" a="1"/>
  <c r="O16" i="69" s="1"/>
  <c r="O17" i="69" a="1"/>
  <c r="O17" i="69" s="1"/>
  <c r="O18" i="69" a="1"/>
  <c r="O18" i="69" s="1"/>
  <c r="O19" i="69" a="1"/>
  <c r="O19" i="69" s="1"/>
  <c r="O20" i="69" a="1"/>
  <c r="O20" i="69" s="1"/>
  <c r="O21" i="69" a="1"/>
  <c r="O21" i="69" s="1"/>
  <c r="O22" i="69" a="1"/>
  <c r="O22" i="69" s="1"/>
  <c r="O23" i="69" a="1"/>
  <c r="O23" i="69" s="1"/>
  <c r="O24" i="69" a="1"/>
  <c r="O24" i="69" s="1"/>
  <c r="O25" i="69" a="1"/>
  <c r="O25" i="69" s="1"/>
  <c r="O26" i="69" a="1"/>
  <c r="O26" i="69" s="1"/>
  <c r="O27" i="69" a="1"/>
  <c r="O27" i="69" s="1"/>
  <c r="O28" i="69" a="1"/>
  <c r="O28" i="69" s="1"/>
  <c r="O29" i="69" a="1"/>
  <c r="O29" i="69" s="1"/>
  <c r="O30" i="69" a="1"/>
  <c r="O30" i="69" s="1"/>
  <c r="O31" i="69" a="1"/>
  <c r="O31" i="69" s="1"/>
  <c r="O32" i="69" a="1"/>
  <c r="O32" i="69" s="1"/>
  <c r="O33" i="69" a="1"/>
  <c r="O33" i="69" s="1"/>
  <c r="O34" i="69" a="1"/>
  <c r="O34" i="69" s="1"/>
  <c r="O35" i="69" a="1"/>
  <c r="O35" i="69" s="1"/>
  <c r="O36" i="69" a="1"/>
  <c r="O36" i="69" s="1"/>
  <c r="O37" i="69" a="1"/>
  <c r="O37" i="69" s="1"/>
  <c r="O38" i="69" a="1"/>
  <c r="O38" i="69" s="1"/>
  <c r="O39" i="69" a="1"/>
  <c r="O39" i="69" s="1"/>
  <c r="O40" i="69" a="1"/>
  <c r="O40" i="69" s="1"/>
  <c r="O41" i="69" a="1"/>
  <c r="O41" i="69" s="1"/>
  <c r="O42" i="69" a="1"/>
  <c r="O42" i="69" s="1"/>
  <c r="O43" i="69" a="1"/>
  <c r="O43" i="69" s="1"/>
  <c r="O44" i="69" a="1"/>
  <c r="O44" i="69" s="1"/>
  <c r="O45" i="69" a="1"/>
  <c r="O45" i="69" s="1"/>
  <c r="O46" i="69" a="1"/>
  <c r="O46" i="69" s="1"/>
  <c r="O47" i="69" a="1"/>
  <c r="O47" i="69" s="1"/>
  <c r="O48" i="69" a="1"/>
  <c r="O48" i="69" s="1"/>
  <c r="O49" i="69" a="1"/>
  <c r="O49" i="69" s="1"/>
  <c r="O50" i="69" a="1"/>
  <c r="O50" i="69" s="1"/>
  <c r="O51" i="69" a="1"/>
  <c r="O51" i="69" s="1"/>
  <c r="O52" i="69" a="1"/>
  <c r="O52" i="69" s="1"/>
  <c r="O53" i="69" a="1"/>
  <c r="O53" i="69" s="1"/>
  <c r="O54" i="69" a="1"/>
  <c r="O54" i="69" s="1"/>
  <c r="O55" i="69" a="1"/>
  <c r="O55" i="69" s="1"/>
  <c r="O56" i="69" a="1"/>
  <c r="O56" i="69" s="1"/>
  <c r="O57" i="69" a="1"/>
  <c r="O57" i="69" s="1"/>
  <c r="O58" i="69" a="1"/>
  <c r="O58" i="69" s="1"/>
  <c r="O59" i="69" a="1"/>
  <c r="O59" i="69" s="1"/>
  <c r="O60" i="69" a="1"/>
  <c r="O60" i="69" s="1"/>
  <c r="O61" i="69" a="1"/>
  <c r="O61" i="69" s="1"/>
  <c r="O62" i="69" a="1"/>
  <c r="O62" i="69" s="1"/>
  <c r="O63" i="69" a="1"/>
  <c r="O63" i="69" s="1"/>
  <c r="O64" i="69" a="1"/>
  <c r="O64" i="69" s="1"/>
  <c r="O65" i="69" a="1"/>
  <c r="O65" i="69" s="1"/>
  <c r="O66" i="69" a="1"/>
  <c r="O66" i="69" s="1"/>
  <c r="O67" i="69" a="1"/>
  <c r="O67" i="69" s="1"/>
  <c r="O68" i="69" a="1"/>
  <c r="O68" i="69" s="1"/>
  <c r="O69" i="69" a="1"/>
  <c r="O69" i="69" s="1"/>
  <c r="O70" i="69" a="1"/>
  <c r="O70" i="69" s="1"/>
  <c r="O71" i="69" a="1"/>
  <c r="O71" i="69" s="1"/>
  <c r="O72" i="69" a="1"/>
  <c r="O72" i="69" s="1"/>
  <c r="O73" i="69" a="1"/>
  <c r="O73" i="69" s="1"/>
  <c r="O74" i="69" a="1"/>
  <c r="O74" i="69" s="1"/>
  <c r="O75" i="69" a="1"/>
  <c r="O75" i="69" s="1"/>
  <c r="O76" i="69" a="1"/>
  <c r="O76" i="69" s="1"/>
  <c r="O77" i="69" a="1"/>
  <c r="O77" i="69" s="1"/>
  <c r="O78" i="69" a="1"/>
  <c r="O78" i="69" s="1"/>
  <c r="O79" i="69" a="1"/>
  <c r="O79" i="69" s="1"/>
  <c r="O80" i="69" a="1"/>
  <c r="O80" i="69" s="1"/>
  <c r="O81" i="69" a="1"/>
  <c r="O81" i="69" s="1"/>
  <c r="O82" i="69" a="1"/>
  <c r="O82" i="69" s="1"/>
  <c r="O83" i="69" a="1"/>
  <c r="O83" i="69" s="1"/>
  <c r="O84" i="69" a="1"/>
  <c r="O84" i="69" s="1"/>
  <c r="O85" i="69" a="1"/>
  <c r="O85" i="69" s="1"/>
  <c r="O86" i="69" a="1"/>
  <c r="O86" i="69" s="1"/>
  <c r="O87" i="69" a="1"/>
  <c r="O87" i="69" s="1"/>
  <c r="O88" i="69" a="1"/>
  <c r="O88" i="69" s="1"/>
  <c r="O89" i="69" a="1"/>
  <c r="O89" i="69" s="1"/>
  <c r="O90" i="69" a="1"/>
  <c r="O90" i="69" s="1"/>
  <c r="O91" i="69" a="1"/>
  <c r="O91" i="69" s="1"/>
  <c r="O92" i="69" a="1"/>
  <c r="O92" i="69" s="1"/>
  <c r="O93" i="69" a="1"/>
  <c r="O93" i="69" s="1"/>
  <c r="O94" i="69" a="1"/>
  <c r="O94" i="69" s="1"/>
  <c r="O95" i="69" a="1"/>
  <c r="O95" i="69" s="1"/>
  <c r="O96" i="69" a="1"/>
  <c r="O96" i="69" s="1"/>
  <c r="O97" i="69" a="1"/>
  <c r="O97" i="69" s="1"/>
  <c r="O98" i="69" a="1"/>
  <c r="O98" i="69" s="1"/>
  <c r="O99" i="69" a="1"/>
  <c r="O99" i="69" s="1"/>
  <c r="O100" i="69" a="1"/>
  <c r="O100" i="69" s="1"/>
  <c r="O101" i="69" a="1"/>
  <c r="O101" i="69" s="1"/>
  <c r="O102" i="69" a="1"/>
  <c r="O102" i="69" s="1"/>
  <c r="O103" i="69" a="1"/>
  <c r="O103" i="69" s="1"/>
  <c r="O104" i="69" a="1"/>
  <c r="O104" i="69" s="1"/>
  <c r="O105" i="69" a="1"/>
  <c r="O105" i="69" s="1"/>
  <c r="O106" i="69" a="1"/>
  <c r="O106" i="69" s="1"/>
  <c r="O107" i="69" a="1"/>
  <c r="O107" i="69" s="1"/>
  <c r="O108" i="69" a="1"/>
  <c r="O108" i="69" s="1"/>
  <c r="O109" i="69" a="1"/>
  <c r="O109" i="69" s="1"/>
  <c r="O110" i="69" a="1"/>
  <c r="O110" i="69" s="1"/>
  <c r="O111" i="69" a="1"/>
  <c r="O111" i="69" s="1"/>
  <c r="O112" i="69" a="1"/>
  <c r="O112" i="69" s="1"/>
  <c r="O113" i="69" a="1"/>
  <c r="O113" i="69" s="1"/>
  <c r="O114" i="69" a="1"/>
  <c r="O114" i="69" s="1"/>
  <c r="O115" i="69" a="1"/>
  <c r="O115" i="69" s="1"/>
  <c r="O116" i="69" a="1"/>
  <c r="O116" i="69" s="1"/>
  <c r="O117" i="69" a="1"/>
  <c r="O117" i="69" s="1"/>
  <c r="P3" i="69"/>
  <c r="P4" i="69"/>
  <c r="P5" i="69"/>
  <c r="P6" i="69"/>
  <c r="P7" i="69"/>
  <c r="P8" i="69"/>
  <c r="P9" i="69"/>
  <c r="P10" i="69"/>
  <c r="P11" i="69"/>
  <c r="P12" i="69"/>
  <c r="P13" i="69"/>
  <c r="P14" i="69"/>
  <c r="P15" i="69"/>
  <c r="P16" i="69"/>
  <c r="P17" i="69"/>
  <c r="P18" i="69"/>
  <c r="P19" i="69"/>
  <c r="P20" i="69"/>
  <c r="P21" i="69"/>
  <c r="P22" i="69"/>
  <c r="P23" i="69"/>
  <c r="P24" i="69"/>
  <c r="P25" i="69"/>
  <c r="P26" i="69"/>
  <c r="P27" i="69"/>
  <c r="P28" i="69"/>
  <c r="P29" i="69"/>
  <c r="P30" i="69"/>
  <c r="P31" i="69"/>
  <c r="P32" i="69"/>
  <c r="P33" i="69"/>
  <c r="P34" i="69"/>
  <c r="P35" i="69"/>
  <c r="P36" i="69"/>
  <c r="P37" i="69"/>
  <c r="P38" i="69"/>
  <c r="P39" i="69"/>
  <c r="P40" i="69"/>
  <c r="P41" i="69"/>
  <c r="P42" i="69"/>
  <c r="P43" i="69"/>
  <c r="P44" i="69"/>
  <c r="P45" i="69"/>
  <c r="P46" i="69"/>
  <c r="P47" i="69"/>
  <c r="P48" i="69"/>
  <c r="P49" i="69"/>
  <c r="P50" i="69"/>
  <c r="P51" i="69"/>
  <c r="P52" i="69"/>
  <c r="P53" i="69"/>
  <c r="P54" i="69"/>
  <c r="P55" i="69"/>
  <c r="P56" i="69"/>
  <c r="P57" i="69"/>
  <c r="P58" i="69"/>
  <c r="P59" i="69"/>
  <c r="P60" i="69"/>
  <c r="P61" i="69"/>
  <c r="P62" i="69"/>
  <c r="P63" i="69"/>
  <c r="P64" i="69"/>
  <c r="P65" i="69"/>
  <c r="P66" i="69"/>
  <c r="P67" i="69"/>
  <c r="P68" i="69"/>
  <c r="P69" i="69"/>
  <c r="P70" i="69"/>
  <c r="P71" i="69"/>
  <c r="P72" i="69"/>
  <c r="P73" i="69"/>
  <c r="P74" i="69"/>
  <c r="P75" i="69"/>
  <c r="P76" i="69"/>
  <c r="P77" i="69"/>
  <c r="P78" i="69"/>
  <c r="P79" i="69"/>
  <c r="P80" i="69"/>
  <c r="P81" i="69"/>
  <c r="P82" i="69"/>
  <c r="P83" i="69"/>
  <c r="P84" i="69"/>
  <c r="P85" i="69"/>
  <c r="P86" i="69"/>
  <c r="P87" i="69"/>
  <c r="P88" i="69"/>
  <c r="P89" i="69"/>
  <c r="P90" i="69"/>
  <c r="P91" i="69"/>
  <c r="P92" i="69"/>
  <c r="P93" i="69"/>
  <c r="P94" i="69"/>
  <c r="P95" i="69"/>
  <c r="P96" i="69"/>
  <c r="P97" i="69"/>
  <c r="P98" i="69"/>
  <c r="P99" i="69"/>
  <c r="P100" i="69"/>
  <c r="P101" i="69"/>
  <c r="P102" i="69"/>
  <c r="P103" i="69"/>
  <c r="P104" i="69"/>
  <c r="P105" i="69"/>
  <c r="P106" i="69"/>
  <c r="P107" i="69"/>
  <c r="P108" i="69"/>
  <c r="P109" i="69"/>
  <c r="P110" i="69"/>
  <c r="P111" i="69"/>
  <c r="P112" i="69"/>
  <c r="P113" i="69"/>
  <c r="P114" i="69"/>
  <c r="P115" i="69"/>
  <c r="P116" i="69"/>
  <c r="P117" i="69"/>
  <c r="Q3" i="69"/>
  <c r="Q4" i="69"/>
  <c r="Q5" i="69"/>
  <c r="Q6" i="69"/>
  <c r="Q7" i="69"/>
  <c r="Q8" i="69"/>
  <c r="Q9" i="69"/>
  <c r="Q10" i="69"/>
  <c r="Q11" i="69"/>
  <c r="Q12" i="69"/>
  <c r="Q13" i="69"/>
  <c r="Q14" i="69"/>
  <c r="Q15" i="69"/>
  <c r="Q16" i="69"/>
  <c r="Q17" i="69"/>
  <c r="Q18" i="69"/>
  <c r="Q19" i="69"/>
  <c r="Q20" i="69"/>
  <c r="Q21" i="69"/>
  <c r="Q22" i="69"/>
  <c r="Q23" i="69"/>
  <c r="Q24" i="69"/>
  <c r="Q25" i="69"/>
  <c r="Q26" i="69"/>
  <c r="Q27" i="69"/>
  <c r="Q28" i="69"/>
  <c r="Q29" i="69"/>
  <c r="Q30" i="69"/>
  <c r="Q31" i="69"/>
  <c r="Q32" i="69"/>
  <c r="Q33" i="69"/>
  <c r="Q34" i="69"/>
  <c r="Q35" i="69"/>
  <c r="Q36" i="69"/>
  <c r="Q37" i="69"/>
  <c r="Q38" i="69"/>
  <c r="Q39" i="69"/>
  <c r="Q40" i="69"/>
  <c r="Q41" i="69"/>
  <c r="Q42" i="69"/>
  <c r="Q43" i="69"/>
  <c r="Q44" i="69"/>
  <c r="Q45" i="69"/>
  <c r="Q46" i="69"/>
  <c r="Q47" i="69"/>
  <c r="Q48" i="69"/>
  <c r="Q49" i="69"/>
  <c r="Q50" i="69"/>
  <c r="Q51" i="69"/>
  <c r="Q52" i="69"/>
  <c r="Q53" i="69"/>
  <c r="Q54" i="69"/>
  <c r="Q55" i="69"/>
  <c r="Q56" i="69"/>
  <c r="Q57" i="69"/>
  <c r="Q58" i="69"/>
  <c r="Q59" i="69"/>
  <c r="Q60" i="69"/>
  <c r="Q61" i="69"/>
  <c r="Q62" i="69"/>
  <c r="Q63" i="69"/>
  <c r="Q64" i="69"/>
  <c r="Q65" i="69"/>
  <c r="Q66" i="69"/>
  <c r="Q67" i="69"/>
  <c r="Q68" i="69"/>
  <c r="Q69" i="69"/>
  <c r="Q70" i="69"/>
  <c r="Q71" i="69"/>
  <c r="Q72" i="69"/>
  <c r="Q73" i="69"/>
  <c r="Q74" i="69"/>
  <c r="Q75" i="69"/>
  <c r="Q76" i="69"/>
  <c r="Q77" i="69"/>
  <c r="Q78" i="69"/>
  <c r="Q79" i="69"/>
  <c r="Q80" i="69"/>
  <c r="Q81" i="69"/>
  <c r="Q82" i="69"/>
  <c r="Q83" i="69"/>
  <c r="Q84" i="69"/>
  <c r="Q85" i="69"/>
  <c r="Q86" i="69"/>
  <c r="Q87" i="69"/>
  <c r="Q88" i="69"/>
  <c r="Q89" i="69"/>
  <c r="Q90" i="69"/>
  <c r="Q91" i="69"/>
  <c r="Q92" i="69"/>
  <c r="Q93" i="69"/>
  <c r="Q94" i="69"/>
  <c r="Q95" i="69"/>
  <c r="Q96" i="69"/>
  <c r="Q97" i="69"/>
  <c r="Q98" i="69"/>
  <c r="Q99" i="69"/>
  <c r="Q100" i="69"/>
  <c r="Q101" i="69"/>
  <c r="Q102" i="69"/>
  <c r="Q103" i="69"/>
  <c r="Q104" i="69"/>
  <c r="Q105" i="69"/>
  <c r="Q106" i="69"/>
  <c r="Q107" i="69"/>
  <c r="Q108" i="69"/>
  <c r="Q109" i="69"/>
  <c r="Q110" i="69"/>
  <c r="Q111" i="69"/>
  <c r="Q112" i="69"/>
  <c r="Q113" i="69"/>
  <c r="Q114" i="69"/>
  <c r="Q115" i="69"/>
  <c r="Q116" i="69"/>
  <c r="Q117" i="69"/>
  <c r="R3" i="69"/>
  <c r="R4" i="69"/>
  <c r="R5" i="69"/>
  <c r="R6" i="69"/>
  <c r="R7" i="69"/>
  <c r="R8" i="69"/>
  <c r="R9" i="69"/>
  <c r="R10" i="69"/>
  <c r="R11" i="69"/>
  <c r="R12" i="69"/>
  <c r="R13" i="69"/>
  <c r="R14" i="69"/>
  <c r="R15" i="69"/>
  <c r="R16" i="69"/>
  <c r="R17" i="69"/>
  <c r="R18" i="69"/>
  <c r="R19" i="69"/>
  <c r="R20" i="69"/>
  <c r="R21" i="69"/>
  <c r="R22" i="69"/>
  <c r="R23" i="69"/>
  <c r="R24" i="69"/>
  <c r="R25" i="69"/>
  <c r="R26" i="69"/>
  <c r="R27" i="69"/>
  <c r="R28" i="69"/>
  <c r="R29" i="69"/>
  <c r="R30" i="69"/>
  <c r="R31" i="69"/>
  <c r="R32" i="69"/>
  <c r="R33" i="69"/>
  <c r="R34" i="69"/>
  <c r="R35" i="69"/>
  <c r="R36" i="69"/>
  <c r="R37" i="69"/>
  <c r="R38" i="69"/>
  <c r="R39" i="69"/>
  <c r="R40" i="69"/>
  <c r="R41" i="69"/>
  <c r="R42" i="69"/>
  <c r="R43" i="69"/>
  <c r="R44" i="69"/>
  <c r="R45" i="69"/>
  <c r="R46" i="69"/>
  <c r="R47" i="69"/>
  <c r="R48" i="69"/>
  <c r="R49" i="69"/>
  <c r="R50" i="69"/>
  <c r="R51" i="69"/>
  <c r="R52" i="69"/>
  <c r="R53" i="69"/>
  <c r="R54" i="69"/>
  <c r="R55" i="69"/>
  <c r="R56" i="69"/>
  <c r="R57" i="69"/>
  <c r="R58" i="69"/>
  <c r="R59" i="69"/>
  <c r="R60" i="69"/>
  <c r="R61" i="69"/>
  <c r="R62" i="69"/>
  <c r="R63" i="69"/>
  <c r="R64" i="69"/>
  <c r="R65" i="69"/>
  <c r="R66" i="69"/>
  <c r="R67" i="69"/>
  <c r="R68" i="69"/>
  <c r="R69" i="69"/>
  <c r="R70" i="69"/>
  <c r="R71" i="69"/>
  <c r="R72" i="69"/>
  <c r="R73" i="69"/>
  <c r="R74" i="69"/>
  <c r="R75" i="69"/>
  <c r="R76" i="69"/>
  <c r="R77" i="69"/>
  <c r="R78" i="69"/>
  <c r="R79" i="69"/>
  <c r="R80" i="69"/>
  <c r="R81" i="69"/>
  <c r="R82" i="69"/>
  <c r="R83" i="69"/>
  <c r="R84" i="69"/>
  <c r="R85" i="69"/>
  <c r="R86" i="69"/>
  <c r="R87" i="69"/>
  <c r="R88" i="69"/>
  <c r="R89" i="69"/>
  <c r="R90" i="69"/>
  <c r="R91" i="69"/>
  <c r="R92" i="69"/>
  <c r="R93" i="69"/>
  <c r="R94" i="69"/>
  <c r="R95" i="69"/>
  <c r="R96" i="69"/>
  <c r="R97" i="69"/>
  <c r="R98" i="69"/>
  <c r="R99" i="69"/>
  <c r="R100" i="69"/>
  <c r="R101" i="69"/>
  <c r="R102" i="69"/>
  <c r="R103" i="69"/>
  <c r="R104" i="69"/>
  <c r="R105" i="69"/>
  <c r="R106" i="69"/>
  <c r="R107" i="69"/>
  <c r="R108" i="69"/>
  <c r="R109" i="69"/>
  <c r="R110" i="69"/>
  <c r="R111" i="69"/>
  <c r="R112" i="69"/>
  <c r="R113" i="69"/>
  <c r="R114" i="69"/>
  <c r="R115" i="69"/>
  <c r="R116" i="69"/>
  <c r="R117" i="69"/>
  <c r="S3" i="69"/>
  <c r="S4" i="69"/>
  <c r="S5" i="69"/>
  <c r="S6" i="69"/>
  <c r="S7" i="69"/>
  <c r="S8" i="69"/>
  <c r="S9" i="69"/>
  <c r="S10" i="69"/>
  <c r="S11" i="69"/>
  <c r="S12" i="69"/>
  <c r="S13" i="69"/>
  <c r="S14" i="69"/>
  <c r="S15" i="69"/>
  <c r="S16" i="69"/>
  <c r="S17" i="69"/>
  <c r="S18" i="69"/>
  <c r="S19" i="69"/>
  <c r="S20" i="69"/>
  <c r="S21" i="69"/>
  <c r="S22" i="69"/>
  <c r="S23" i="69"/>
  <c r="S24" i="69"/>
  <c r="S25" i="69"/>
  <c r="S26" i="69"/>
  <c r="S27" i="69"/>
  <c r="S28" i="69"/>
  <c r="S29" i="69"/>
  <c r="S30" i="69"/>
  <c r="S31" i="69"/>
  <c r="S32" i="69"/>
  <c r="S33" i="69"/>
  <c r="S34" i="69"/>
  <c r="S35" i="69"/>
  <c r="S36" i="69"/>
  <c r="S37" i="69"/>
  <c r="S38" i="69"/>
  <c r="S39" i="69"/>
  <c r="S40" i="69"/>
  <c r="S41" i="69"/>
  <c r="S42" i="69"/>
  <c r="S43" i="69"/>
  <c r="S44" i="69"/>
  <c r="S45" i="69"/>
  <c r="S46" i="69"/>
  <c r="S47" i="69"/>
  <c r="S48" i="69"/>
  <c r="S49" i="69"/>
  <c r="S50" i="69"/>
  <c r="S51" i="69"/>
  <c r="S52" i="69"/>
  <c r="S53" i="69"/>
  <c r="S54" i="69"/>
  <c r="S55" i="69"/>
  <c r="S56" i="69"/>
  <c r="S57" i="69"/>
  <c r="S58" i="69"/>
  <c r="S59" i="69"/>
  <c r="S60" i="69"/>
  <c r="S61" i="69"/>
  <c r="S62" i="69"/>
  <c r="S63" i="69"/>
  <c r="S64" i="69"/>
  <c r="S65" i="69"/>
  <c r="S66" i="69"/>
  <c r="S67" i="69"/>
  <c r="S68" i="69"/>
  <c r="S69" i="69"/>
  <c r="S70" i="69"/>
  <c r="S71" i="69"/>
  <c r="S72" i="69"/>
  <c r="S73" i="69"/>
  <c r="S74" i="69"/>
  <c r="S75" i="69"/>
  <c r="S76" i="69"/>
  <c r="S77" i="69"/>
  <c r="S78" i="69"/>
  <c r="S79" i="69"/>
  <c r="S80" i="69"/>
  <c r="S81" i="69"/>
  <c r="S82" i="69"/>
  <c r="S83" i="69"/>
  <c r="S84" i="69"/>
  <c r="S85" i="69"/>
  <c r="S86" i="69"/>
  <c r="S87" i="69"/>
  <c r="S88" i="69"/>
  <c r="S89" i="69"/>
  <c r="S90" i="69"/>
  <c r="S91" i="69"/>
  <c r="S92" i="69"/>
  <c r="S93" i="69"/>
  <c r="S94" i="69"/>
  <c r="S95" i="69"/>
  <c r="S96" i="69"/>
  <c r="S97" i="69"/>
  <c r="S98" i="69"/>
  <c r="S99" i="69"/>
  <c r="S100" i="69"/>
  <c r="S101" i="69"/>
  <c r="S102" i="69"/>
  <c r="S103" i="69"/>
  <c r="S104" i="69"/>
  <c r="S105" i="69"/>
  <c r="S106" i="69"/>
  <c r="S107" i="69"/>
  <c r="S108" i="69"/>
  <c r="S109" i="69"/>
  <c r="S110" i="69"/>
  <c r="S111" i="69"/>
  <c r="S112" i="69"/>
  <c r="S113" i="69"/>
  <c r="S114" i="69"/>
  <c r="S115" i="69"/>
  <c r="S116" i="69"/>
  <c r="S117" i="69"/>
  <c r="U3" i="69"/>
  <c r="U4" i="69"/>
  <c r="U5" i="69"/>
  <c r="U6" i="69"/>
  <c r="U7" i="69"/>
  <c r="U8" i="69"/>
  <c r="U9" i="69"/>
  <c r="U10" i="69"/>
  <c r="U11" i="69"/>
  <c r="U12" i="69"/>
  <c r="U13" i="69"/>
  <c r="U14" i="69"/>
  <c r="U15" i="69"/>
  <c r="U16" i="69"/>
  <c r="U17" i="69"/>
  <c r="U18" i="69"/>
  <c r="U19" i="69"/>
  <c r="U20" i="69"/>
  <c r="U21" i="69"/>
  <c r="U22" i="69"/>
  <c r="U23" i="69"/>
  <c r="U24" i="69"/>
  <c r="U25" i="69"/>
  <c r="U26" i="69"/>
  <c r="U27" i="69"/>
  <c r="U28" i="69"/>
  <c r="U29" i="69"/>
  <c r="U30" i="69"/>
  <c r="U31" i="69"/>
  <c r="U32" i="69"/>
  <c r="U33" i="69"/>
  <c r="U34" i="69"/>
  <c r="U35" i="69"/>
  <c r="U36" i="69"/>
  <c r="U37" i="69"/>
  <c r="U38" i="69"/>
  <c r="U39" i="69"/>
  <c r="U40" i="69"/>
  <c r="U41" i="69"/>
  <c r="U42" i="69"/>
  <c r="U43" i="69"/>
  <c r="U44" i="69"/>
  <c r="U45" i="69"/>
  <c r="U46" i="69"/>
  <c r="U47" i="69"/>
  <c r="U48" i="69"/>
  <c r="U49" i="69"/>
  <c r="U50" i="69"/>
  <c r="U51" i="69"/>
  <c r="U52" i="69"/>
  <c r="U53" i="69"/>
  <c r="U54" i="69"/>
  <c r="U55" i="69"/>
  <c r="U56" i="69"/>
  <c r="U57" i="69"/>
  <c r="U58" i="69"/>
  <c r="U59" i="69"/>
  <c r="U60" i="69"/>
  <c r="U61" i="69"/>
  <c r="U62" i="69"/>
  <c r="U63" i="69"/>
  <c r="U64" i="69"/>
  <c r="U65" i="69"/>
  <c r="U66" i="69"/>
  <c r="U67" i="69"/>
  <c r="U68" i="69"/>
  <c r="U69" i="69"/>
  <c r="U70" i="69"/>
  <c r="U71" i="69"/>
  <c r="U72" i="69"/>
  <c r="U73" i="69"/>
  <c r="U74" i="69"/>
  <c r="U75" i="69"/>
  <c r="U76" i="69"/>
  <c r="U77" i="69"/>
  <c r="U78" i="69"/>
  <c r="U79" i="69"/>
  <c r="U80" i="69"/>
  <c r="U81" i="69"/>
  <c r="U82" i="69"/>
  <c r="U83" i="69"/>
  <c r="U84" i="69"/>
  <c r="U85" i="69"/>
  <c r="U86" i="69"/>
  <c r="U87" i="69"/>
  <c r="U88" i="69"/>
  <c r="U89" i="69"/>
  <c r="U90" i="69"/>
  <c r="U91" i="69"/>
  <c r="U92" i="69"/>
  <c r="U93" i="69"/>
  <c r="U94" i="69"/>
  <c r="U95" i="69"/>
  <c r="U96" i="69"/>
  <c r="U97" i="69"/>
  <c r="U98" i="69"/>
  <c r="U99" i="69"/>
  <c r="U100" i="69"/>
  <c r="U101" i="69"/>
  <c r="U102" i="69"/>
  <c r="U103" i="69"/>
  <c r="U104" i="69"/>
  <c r="U105" i="69"/>
  <c r="U106" i="69"/>
  <c r="U107" i="69"/>
  <c r="U108" i="69"/>
  <c r="U109" i="69"/>
  <c r="U110" i="69"/>
  <c r="U111" i="69"/>
  <c r="U112" i="69"/>
  <c r="U113" i="69"/>
  <c r="U114" i="69"/>
  <c r="U115" i="69"/>
  <c r="U116" i="69"/>
  <c r="U117" i="69"/>
  <c r="V3" i="69"/>
  <c r="V4" i="69"/>
  <c r="V5" i="69"/>
  <c r="V6" i="69"/>
  <c r="V7" i="69"/>
  <c r="V8" i="69"/>
  <c r="V9" i="69"/>
  <c r="V10" i="69"/>
  <c r="V11" i="69"/>
  <c r="V12" i="69"/>
  <c r="V13" i="69"/>
  <c r="V14" i="69"/>
  <c r="V15" i="69"/>
  <c r="V16" i="69"/>
  <c r="V17" i="69"/>
  <c r="V18" i="69"/>
  <c r="V19" i="69"/>
  <c r="V20" i="69"/>
  <c r="V21" i="69"/>
  <c r="V22" i="69"/>
  <c r="V23" i="69"/>
  <c r="V24" i="69"/>
  <c r="V25" i="69"/>
  <c r="V26" i="69"/>
  <c r="V27" i="69"/>
  <c r="V28" i="69"/>
  <c r="V29" i="69"/>
  <c r="V30" i="69"/>
  <c r="V31" i="69"/>
  <c r="V32" i="69"/>
  <c r="V33" i="69"/>
  <c r="V34" i="69"/>
  <c r="V35" i="69"/>
  <c r="V36" i="69"/>
  <c r="V37" i="69"/>
  <c r="V38" i="69"/>
  <c r="V39" i="69"/>
  <c r="V40" i="69"/>
  <c r="V41" i="69"/>
  <c r="V42" i="69"/>
  <c r="V43" i="69"/>
  <c r="V44" i="69"/>
  <c r="V45" i="69"/>
  <c r="V46" i="69"/>
  <c r="V47" i="69"/>
  <c r="V48" i="69"/>
  <c r="V49" i="69"/>
  <c r="V50" i="69"/>
  <c r="V51" i="69"/>
  <c r="V52" i="69"/>
  <c r="V53" i="69"/>
  <c r="V54" i="69"/>
  <c r="V55" i="69"/>
  <c r="V56" i="69"/>
  <c r="V57" i="69"/>
  <c r="V58" i="69"/>
  <c r="V59" i="69"/>
  <c r="V60" i="69"/>
  <c r="V61" i="69"/>
  <c r="V62" i="69"/>
  <c r="V63" i="69"/>
  <c r="V64" i="69"/>
  <c r="V65" i="69"/>
  <c r="V66" i="69"/>
  <c r="V67" i="69"/>
  <c r="V68" i="69"/>
  <c r="V69" i="69"/>
  <c r="V70" i="69"/>
  <c r="V71" i="69"/>
  <c r="V72" i="69"/>
  <c r="V73" i="69"/>
  <c r="V74" i="69"/>
  <c r="V75" i="69"/>
  <c r="V76" i="69"/>
  <c r="V77" i="69"/>
  <c r="V78" i="69"/>
  <c r="V79" i="69"/>
  <c r="V80" i="69"/>
  <c r="V81" i="69"/>
  <c r="V82" i="69"/>
  <c r="V83" i="69"/>
  <c r="V84" i="69"/>
  <c r="V85" i="69"/>
  <c r="V86" i="69"/>
  <c r="V87" i="69"/>
  <c r="V88" i="69"/>
  <c r="V89" i="69"/>
  <c r="V90" i="69"/>
  <c r="V91" i="69"/>
  <c r="V92" i="69"/>
  <c r="V93" i="69"/>
  <c r="V94" i="69"/>
  <c r="V95" i="69"/>
  <c r="V96" i="69"/>
  <c r="V97" i="69"/>
  <c r="V98" i="69"/>
  <c r="V99" i="69"/>
  <c r="V100" i="69"/>
  <c r="V101" i="69"/>
  <c r="V102" i="69"/>
  <c r="V103" i="69"/>
  <c r="V104" i="69"/>
  <c r="V105" i="69"/>
  <c r="V106" i="69"/>
  <c r="V107" i="69"/>
  <c r="V108" i="69"/>
  <c r="V109" i="69"/>
  <c r="V110" i="69"/>
  <c r="V111" i="69"/>
  <c r="V112" i="69"/>
  <c r="V113" i="69"/>
  <c r="V114" i="69"/>
  <c r="V115" i="69"/>
  <c r="V116" i="69"/>
  <c r="V117" i="69"/>
  <c r="W3" i="69"/>
  <c r="W4" i="69"/>
  <c r="W5" i="69"/>
  <c r="W6" i="69"/>
  <c r="W7" i="69"/>
  <c r="W8" i="69"/>
  <c r="W9" i="69"/>
  <c r="W10" i="69"/>
  <c r="W11" i="69"/>
  <c r="W12" i="69"/>
  <c r="W13" i="69"/>
  <c r="W14" i="69"/>
  <c r="W15" i="69"/>
  <c r="W16" i="69"/>
  <c r="W17" i="69"/>
  <c r="W18" i="69"/>
  <c r="W19" i="69"/>
  <c r="W20" i="69"/>
  <c r="W21" i="69"/>
  <c r="W22" i="69"/>
  <c r="W23" i="69"/>
  <c r="W24" i="69"/>
  <c r="W25" i="69"/>
  <c r="W26" i="69"/>
  <c r="W27" i="69"/>
  <c r="W28" i="69"/>
  <c r="W29" i="69"/>
  <c r="W30" i="69"/>
  <c r="W31" i="69"/>
  <c r="W32" i="69"/>
  <c r="W33" i="69"/>
  <c r="W34" i="69"/>
  <c r="W35" i="69"/>
  <c r="W36" i="69"/>
  <c r="W37" i="69"/>
  <c r="W38" i="69"/>
  <c r="W39" i="69"/>
  <c r="W40" i="69"/>
  <c r="W41" i="69"/>
  <c r="W42" i="69"/>
  <c r="W43" i="69"/>
  <c r="W44" i="69"/>
  <c r="W45" i="69"/>
  <c r="W46" i="69"/>
  <c r="W47" i="69"/>
  <c r="W48" i="69"/>
  <c r="W49" i="69"/>
  <c r="W50" i="69"/>
  <c r="W51" i="69"/>
  <c r="W52" i="69"/>
  <c r="W53" i="69"/>
  <c r="W54" i="69"/>
  <c r="W55" i="69"/>
  <c r="W56" i="69"/>
  <c r="W57" i="69"/>
  <c r="W58" i="69"/>
  <c r="W59" i="69"/>
  <c r="W60" i="69"/>
  <c r="W61" i="69"/>
  <c r="W62" i="69"/>
  <c r="W63" i="69"/>
  <c r="W64" i="69"/>
  <c r="W65" i="69"/>
  <c r="W66" i="69"/>
  <c r="W67" i="69"/>
  <c r="W68" i="69"/>
  <c r="W69" i="69"/>
  <c r="W70" i="69"/>
  <c r="W71" i="69"/>
  <c r="W72" i="69"/>
  <c r="W73" i="69"/>
  <c r="W74" i="69"/>
  <c r="W75" i="69"/>
  <c r="W76" i="69"/>
  <c r="W77" i="69"/>
  <c r="W78" i="69"/>
  <c r="W79" i="69"/>
  <c r="W80" i="69"/>
  <c r="W81" i="69"/>
  <c r="W82" i="69"/>
  <c r="W83" i="69"/>
  <c r="W84" i="69"/>
  <c r="W85" i="69"/>
  <c r="W86" i="69"/>
  <c r="W87" i="69"/>
  <c r="W88" i="69"/>
  <c r="W89" i="69"/>
  <c r="W90" i="69"/>
  <c r="W91" i="69"/>
  <c r="W92" i="69"/>
  <c r="W93" i="69"/>
  <c r="W94" i="69"/>
  <c r="W95" i="69"/>
  <c r="W96" i="69"/>
  <c r="W97" i="69"/>
  <c r="W98" i="69"/>
  <c r="W99" i="69"/>
  <c r="W100" i="69"/>
  <c r="W101" i="69"/>
  <c r="W102" i="69"/>
  <c r="W103" i="69"/>
  <c r="W104" i="69"/>
  <c r="W105" i="69"/>
  <c r="W106" i="69"/>
  <c r="W107" i="69"/>
  <c r="W108" i="69"/>
  <c r="W109" i="69"/>
  <c r="W110" i="69"/>
  <c r="W111" i="69"/>
  <c r="W112" i="69"/>
  <c r="W113" i="69"/>
  <c r="W114" i="69"/>
  <c r="W115" i="69"/>
  <c r="W116" i="69"/>
  <c r="W117" i="69"/>
  <c r="X3" i="69"/>
  <c r="X4" i="69"/>
  <c r="X5" i="69"/>
  <c r="X6" i="69"/>
  <c r="X7" i="69"/>
  <c r="X8" i="69"/>
  <c r="X9" i="69"/>
  <c r="X10" i="69"/>
  <c r="X11" i="69"/>
  <c r="X12" i="69"/>
  <c r="X13" i="69"/>
  <c r="X14" i="69"/>
  <c r="X15" i="69"/>
  <c r="X16" i="69"/>
  <c r="X17" i="69"/>
  <c r="X18" i="69"/>
  <c r="X19" i="69"/>
  <c r="X20" i="69"/>
  <c r="X21" i="69"/>
  <c r="X22" i="69"/>
  <c r="X23" i="69"/>
  <c r="X24" i="69"/>
  <c r="X25" i="69"/>
  <c r="X26" i="69"/>
  <c r="X27" i="69"/>
  <c r="X28" i="69"/>
  <c r="X29" i="69"/>
  <c r="X30" i="69"/>
  <c r="X31" i="69"/>
  <c r="X32" i="69"/>
  <c r="X33" i="69"/>
  <c r="X34" i="69"/>
  <c r="X35" i="69"/>
  <c r="X36" i="69"/>
  <c r="X37" i="69"/>
  <c r="X38" i="69"/>
  <c r="X39" i="69"/>
  <c r="X40" i="69"/>
  <c r="X41" i="69"/>
  <c r="X42" i="69"/>
  <c r="X43" i="69"/>
  <c r="X44" i="69"/>
  <c r="X45" i="69"/>
  <c r="X46" i="69"/>
  <c r="X47" i="69"/>
  <c r="X48" i="69"/>
  <c r="X49" i="69"/>
  <c r="X50" i="69"/>
  <c r="X51" i="69"/>
  <c r="X52" i="69"/>
  <c r="X53" i="69"/>
  <c r="X54" i="69"/>
  <c r="X55" i="69"/>
  <c r="X56" i="69"/>
  <c r="X57" i="69"/>
  <c r="X58" i="69"/>
  <c r="X59" i="69"/>
  <c r="X60" i="69"/>
  <c r="X61" i="69"/>
  <c r="X62" i="69"/>
  <c r="X63" i="69"/>
  <c r="X64" i="69"/>
  <c r="X65" i="69"/>
  <c r="X66" i="69"/>
  <c r="X67" i="69"/>
  <c r="X68" i="69"/>
  <c r="X69" i="69"/>
  <c r="X70" i="69"/>
  <c r="X71" i="69"/>
  <c r="X72" i="69"/>
  <c r="X73" i="69"/>
  <c r="X74" i="69"/>
  <c r="X75" i="69"/>
  <c r="X76" i="69"/>
  <c r="X77" i="69"/>
  <c r="X78" i="69"/>
  <c r="X79" i="69"/>
  <c r="X80" i="69"/>
  <c r="X81" i="69"/>
  <c r="X82" i="69"/>
  <c r="X83" i="69"/>
  <c r="X84" i="69"/>
  <c r="X85" i="69"/>
  <c r="X86" i="69"/>
  <c r="X87" i="69"/>
  <c r="X88" i="69"/>
  <c r="X89" i="69"/>
  <c r="X90" i="69"/>
  <c r="X91" i="69"/>
  <c r="X92" i="69"/>
  <c r="X93" i="69"/>
  <c r="X94" i="69"/>
  <c r="X95" i="69"/>
  <c r="X96" i="69"/>
  <c r="X97" i="69"/>
  <c r="X98" i="69"/>
  <c r="X99" i="69"/>
  <c r="X100" i="69"/>
  <c r="X101" i="69"/>
  <c r="X102" i="69"/>
  <c r="X103" i="69"/>
  <c r="X104" i="69"/>
  <c r="X105" i="69"/>
  <c r="X106" i="69"/>
  <c r="X107" i="69"/>
  <c r="X108" i="69"/>
  <c r="X109" i="69"/>
  <c r="X110" i="69"/>
  <c r="X111" i="69"/>
  <c r="X112" i="69"/>
  <c r="X113" i="69"/>
  <c r="X114" i="69"/>
  <c r="X115" i="69"/>
  <c r="X116" i="69"/>
  <c r="X117" i="69"/>
  <c r="AG3" i="69"/>
  <c r="AF3" i="69" s="1"/>
  <c r="AG4" i="69"/>
  <c r="AF4" i="69" s="1"/>
  <c r="AG5" i="69"/>
  <c r="AF5" i="69" s="1"/>
  <c r="AG6" i="69"/>
  <c r="AF6" i="69" s="1"/>
  <c r="AG7" i="69"/>
  <c r="AF7" i="69" s="1"/>
  <c r="AG8" i="69"/>
  <c r="AF8" i="69" s="1"/>
  <c r="E8" i="69" s="1" a="1"/>
  <c r="E8" i="69" s="1"/>
  <c r="AG9" i="69"/>
  <c r="AF9" i="69" s="1"/>
  <c r="AG10" i="69"/>
  <c r="AF10" i="69" s="1"/>
  <c r="AG11" i="69"/>
  <c r="AF11" i="69" s="1"/>
  <c r="AG12" i="69"/>
  <c r="AF12" i="69" s="1"/>
  <c r="AG13" i="69"/>
  <c r="AF13" i="69" s="1"/>
  <c r="AG14" i="69"/>
  <c r="AF14" i="69" s="1"/>
  <c r="AG15" i="69"/>
  <c r="AF15" i="69" s="1"/>
  <c r="AG16" i="69"/>
  <c r="AF16" i="69" s="1"/>
  <c r="AG17" i="69"/>
  <c r="AF17" i="69" s="1"/>
  <c r="AG18" i="69"/>
  <c r="AF18" i="69" s="1"/>
  <c r="AG19" i="69"/>
  <c r="AF19" i="69" s="1"/>
  <c r="E19" i="69" s="1" a="1"/>
  <c r="E19" i="69" s="1"/>
  <c r="AG20" i="69"/>
  <c r="AF20" i="69" s="1"/>
  <c r="AG21" i="69"/>
  <c r="AF21" i="69" s="1"/>
  <c r="AG22" i="69"/>
  <c r="AF22" i="69" s="1"/>
  <c r="AG23" i="69"/>
  <c r="AF23" i="69" s="1"/>
  <c r="AG24" i="69"/>
  <c r="AF24" i="69" s="1"/>
  <c r="AG25" i="69"/>
  <c r="AF25" i="69" s="1"/>
  <c r="AG26" i="69"/>
  <c r="AF26" i="69" s="1"/>
  <c r="AG27" i="69"/>
  <c r="AF27" i="69" s="1"/>
  <c r="E27" i="69" s="1" a="1"/>
  <c r="E27" i="69" s="1"/>
  <c r="AG28" i="69"/>
  <c r="AF28" i="69" s="1"/>
  <c r="AG29" i="69"/>
  <c r="AF29" i="69" s="1"/>
  <c r="AG30" i="69"/>
  <c r="AF30" i="69" s="1"/>
  <c r="AG31" i="69"/>
  <c r="AF31" i="69" s="1"/>
  <c r="AG32" i="69"/>
  <c r="AF32" i="69" s="1"/>
  <c r="AG33" i="69"/>
  <c r="AF33" i="69" s="1"/>
  <c r="AG34" i="69"/>
  <c r="AF34" i="69" s="1"/>
  <c r="AG35" i="69"/>
  <c r="AF35" i="69" s="1"/>
  <c r="E35" i="69" s="1" a="1"/>
  <c r="E35" i="69" s="1"/>
  <c r="AG36" i="69"/>
  <c r="AF36" i="69" s="1"/>
  <c r="AG37" i="69"/>
  <c r="AF37" i="69" s="1"/>
  <c r="E37" i="69" s="1" a="1"/>
  <c r="E37" i="69" s="1"/>
  <c r="AG38" i="69"/>
  <c r="AF38" i="69" s="1"/>
  <c r="AG39" i="69"/>
  <c r="AF39" i="69" s="1"/>
  <c r="AG40" i="69"/>
  <c r="AF40" i="69" s="1"/>
  <c r="AG41" i="69"/>
  <c r="AF41" i="69" s="1"/>
  <c r="AG42" i="69"/>
  <c r="AF42" i="69" s="1"/>
  <c r="AG43" i="69"/>
  <c r="AF43" i="69" s="1"/>
  <c r="AG44" i="69"/>
  <c r="AF44" i="69" s="1"/>
  <c r="AG45" i="69"/>
  <c r="AF45" i="69" s="1"/>
  <c r="E45" i="69" s="1" a="1"/>
  <c r="E45" i="69" s="1"/>
  <c r="AG46" i="69"/>
  <c r="AF46" i="69" s="1"/>
  <c r="AG47" i="69"/>
  <c r="AF47" i="69" s="1"/>
  <c r="AG48" i="69"/>
  <c r="AF48" i="69" s="1"/>
  <c r="AG49" i="69"/>
  <c r="AF49" i="69" s="1"/>
  <c r="AG50" i="69"/>
  <c r="AF50" i="69" s="1"/>
  <c r="AG51" i="69"/>
  <c r="AF51" i="69" s="1"/>
  <c r="AG52" i="69"/>
  <c r="AF52" i="69" s="1"/>
  <c r="AG53" i="69"/>
  <c r="AF53" i="69" s="1"/>
  <c r="E53" i="69" s="1" a="1"/>
  <c r="E53" i="69" s="1"/>
  <c r="AG54" i="69"/>
  <c r="AF54" i="69" s="1"/>
  <c r="AG55" i="69"/>
  <c r="AF55" i="69" s="1"/>
  <c r="AG56" i="69"/>
  <c r="AF56" i="69" s="1"/>
  <c r="E56" i="69" s="1" a="1"/>
  <c r="E56" i="69" s="1"/>
  <c r="AG57" i="69"/>
  <c r="AF57" i="69" s="1"/>
  <c r="AG58" i="69"/>
  <c r="AF58" i="69" s="1"/>
  <c r="AG59" i="69"/>
  <c r="AF59" i="69" s="1"/>
  <c r="E59" i="69" s="1" a="1"/>
  <c r="E59" i="69" s="1"/>
  <c r="AG60" i="69"/>
  <c r="AF60" i="69" s="1"/>
  <c r="AG61" i="69"/>
  <c r="AF61" i="69" s="1"/>
  <c r="AG62" i="69"/>
  <c r="AF62" i="69" s="1"/>
  <c r="AG63" i="69"/>
  <c r="AF63" i="69" s="1"/>
  <c r="AG64" i="69"/>
  <c r="AF64" i="69" s="1"/>
  <c r="E64" i="69" s="1" a="1"/>
  <c r="E64" i="69" s="1"/>
  <c r="AG65" i="69"/>
  <c r="AF65" i="69" s="1"/>
  <c r="AG66" i="69"/>
  <c r="AF66" i="69" s="1"/>
  <c r="AG67" i="69"/>
  <c r="AF67" i="69" s="1"/>
  <c r="AG68" i="69"/>
  <c r="AF68" i="69" s="1"/>
  <c r="AG69" i="69"/>
  <c r="AF69" i="69" s="1"/>
  <c r="AG70" i="69"/>
  <c r="AF70" i="69" s="1"/>
  <c r="AG71" i="69"/>
  <c r="AF71" i="69" s="1"/>
  <c r="AG72" i="69"/>
  <c r="AF72" i="69" s="1"/>
  <c r="E72" i="69" s="1" a="1"/>
  <c r="E72" i="69" s="1"/>
  <c r="AG73" i="69"/>
  <c r="AF73" i="69" s="1"/>
  <c r="AG74" i="69"/>
  <c r="AF74" i="69" s="1"/>
  <c r="AG75" i="69"/>
  <c r="AF75" i="69" s="1"/>
  <c r="AG76" i="69"/>
  <c r="AF76" i="69" s="1"/>
  <c r="AG77" i="69"/>
  <c r="AF77" i="69" s="1"/>
  <c r="E77" i="69" s="1" a="1"/>
  <c r="E77" i="69" s="1"/>
  <c r="AG78" i="69"/>
  <c r="AF78" i="69" s="1"/>
  <c r="AG79" i="69"/>
  <c r="AF79" i="69" s="1"/>
  <c r="AG80" i="69"/>
  <c r="AF80" i="69" s="1"/>
  <c r="AG81" i="69"/>
  <c r="AF81" i="69" s="1"/>
  <c r="AG82" i="69"/>
  <c r="AF82" i="69" s="1"/>
  <c r="AG83" i="69"/>
  <c r="AF83" i="69" s="1"/>
  <c r="E83" i="69" s="1" a="1"/>
  <c r="E83" i="69" s="1"/>
  <c r="AG84" i="69"/>
  <c r="AF84" i="69" s="1"/>
  <c r="AG85" i="69"/>
  <c r="AF85" i="69" s="1"/>
  <c r="AG86" i="69"/>
  <c r="AF86" i="69" s="1"/>
  <c r="AG87" i="69"/>
  <c r="AF87" i="69" s="1"/>
  <c r="AG88" i="69"/>
  <c r="AF88" i="69" s="1"/>
  <c r="AG89" i="69"/>
  <c r="AF89" i="69" s="1"/>
  <c r="AG90" i="69"/>
  <c r="AF90" i="69" s="1"/>
  <c r="AG91" i="69"/>
  <c r="AF91" i="69" s="1"/>
  <c r="E91" i="69" s="1" a="1"/>
  <c r="E91" i="69" s="1"/>
  <c r="AG92" i="69"/>
  <c r="AF92" i="69" s="1"/>
  <c r="AG93" i="69"/>
  <c r="AF93" i="69" s="1"/>
  <c r="AG94" i="69"/>
  <c r="AF94" i="69" s="1"/>
  <c r="AG95" i="69"/>
  <c r="AF95" i="69" s="1"/>
  <c r="AG96" i="69"/>
  <c r="AF96" i="69" s="1"/>
  <c r="E96" i="69" s="1" a="1"/>
  <c r="E96" i="69" s="1"/>
  <c r="AG97" i="69"/>
  <c r="AF97" i="69" s="1"/>
  <c r="AG98" i="69"/>
  <c r="AF98" i="69" s="1"/>
  <c r="AG99" i="69"/>
  <c r="AF99" i="69" s="1"/>
  <c r="E99" i="69" s="1" a="1"/>
  <c r="E99" i="69" s="1"/>
  <c r="AG100" i="69"/>
  <c r="AF100" i="69" s="1"/>
  <c r="AG101" i="69"/>
  <c r="AF101" i="69" s="1"/>
  <c r="E101" i="69" s="1" a="1"/>
  <c r="E101" i="69" s="1"/>
  <c r="AG102" i="69"/>
  <c r="AF102" i="69" s="1"/>
  <c r="AG103" i="69"/>
  <c r="AF103" i="69" s="1"/>
  <c r="AG104" i="69"/>
  <c r="AF104" i="69" s="1"/>
  <c r="AG105" i="69"/>
  <c r="AF105" i="69" s="1"/>
  <c r="AG106" i="69"/>
  <c r="AF106" i="69" s="1"/>
  <c r="AG107" i="69"/>
  <c r="AF107" i="69" s="1"/>
  <c r="AG108" i="69"/>
  <c r="AF108" i="69" s="1"/>
  <c r="AG109" i="69"/>
  <c r="AF109" i="69" s="1"/>
  <c r="E109" i="69" s="1" a="1"/>
  <c r="E109" i="69" s="1"/>
  <c r="AG110" i="69"/>
  <c r="AF110" i="69" s="1"/>
  <c r="AG111" i="69"/>
  <c r="AF111" i="69" s="1"/>
  <c r="AG112" i="69"/>
  <c r="AF112" i="69" s="1"/>
  <c r="AG113" i="69"/>
  <c r="AF113" i="69" s="1"/>
  <c r="AG114" i="69"/>
  <c r="AF114" i="69" s="1"/>
  <c r="AG115" i="69"/>
  <c r="AF115" i="69" s="1"/>
  <c r="AG116" i="69"/>
  <c r="AF116" i="69" s="1"/>
  <c r="AG117" i="69"/>
  <c r="AF117" i="69" s="1"/>
  <c r="E117" i="69" s="1" a="1"/>
  <c r="E117" i="69" s="1"/>
  <c r="AH3" i="69"/>
  <c r="AH4" i="69"/>
  <c r="AH5" i="69"/>
  <c r="AH6" i="69"/>
  <c r="AH7" i="69"/>
  <c r="AH8" i="69"/>
  <c r="AH9" i="69"/>
  <c r="AH10" i="69"/>
  <c r="AH11" i="69"/>
  <c r="AH12" i="69"/>
  <c r="AH13" i="69"/>
  <c r="AH14" i="69"/>
  <c r="AH15" i="69"/>
  <c r="AH16" i="69"/>
  <c r="AH17" i="69"/>
  <c r="AH18" i="69"/>
  <c r="AH19" i="69"/>
  <c r="AH20" i="69"/>
  <c r="AH21" i="69"/>
  <c r="AH22" i="69"/>
  <c r="AH23" i="69"/>
  <c r="AH24" i="69"/>
  <c r="AH25" i="69"/>
  <c r="AH26" i="69"/>
  <c r="AH27" i="69"/>
  <c r="AH28" i="69"/>
  <c r="AH29" i="69"/>
  <c r="AH30" i="69"/>
  <c r="AH31" i="69"/>
  <c r="AH32" i="69"/>
  <c r="AH33" i="69"/>
  <c r="AH34" i="69"/>
  <c r="AH35" i="69"/>
  <c r="AH36" i="69"/>
  <c r="AH37" i="69"/>
  <c r="AH38" i="69"/>
  <c r="AH39" i="69"/>
  <c r="AH40" i="69"/>
  <c r="AH41" i="69"/>
  <c r="AH42" i="69"/>
  <c r="F42" i="69" s="1" a="1"/>
  <c r="F42" i="69" s="1"/>
  <c r="AH43" i="69"/>
  <c r="AH44" i="69"/>
  <c r="AH45" i="69"/>
  <c r="AH46" i="69"/>
  <c r="AH47" i="69"/>
  <c r="AH48" i="69"/>
  <c r="AH49" i="69"/>
  <c r="AH50" i="69"/>
  <c r="AH51" i="69"/>
  <c r="AH52" i="69"/>
  <c r="AH53" i="69"/>
  <c r="AH54" i="69"/>
  <c r="AH55" i="69"/>
  <c r="AH56" i="69"/>
  <c r="AH57" i="69"/>
  <c r="AH58" i="69"/>
  <c r="AH59" i="69"/>
  <c r="AH60" i="69"/>
  <c r="AH61" i="69"/>
  <c r="AH62" i="69"/>
  <c r="AH63" i="69"/>
  <c r="AH64" i="69"/>
  <c r="AH65" i="69"/>
  <c r="AH66" i="69"/>
  <c r="AH67" i="69"/>
  <c r="AH68" i="69"/>
  <c r="AH69" i="69"/>
  <c r="AH70" i="69"/>
  <c r="AH71" i="69"/>
  <c r="AH72" i="69"/>
  <c r="AH73" i="69"/>
  <c r="AH74" i="69"/>
  <c r="AH75" i="69"/>
  <c r="AH76" i="69"/>
  <c r="AH77" i="69"/>
  <c r="AH78" i="69"/>
  <c r="AH79" i="69"/>
  <c r="AH80" i="69"/>
  <c r="AH81" i="69"/>
  <c r="AH82" i="69"/>
  <c r="AH83" i="69"/>
  <c r="AH84" i="69"/>
  <c r="AH85" i="69"/>
  <c r="AH86" i="69"/>
  <c r="AH87" i="69"/>
  <c r="AH88" i="69"/>
  <c r="AH89" i="69"/>
  <c r="AH90" i="69"/>
  <c r="AH91" i="69"/>
  <c r="AH92" i="69"/>
  <c r="AH93" i="69"/>
  <c r="AH94" i="69"/>
  <c r="AH95" i="69"/>
  <c r="AH96" i="69"/>
  <c r="AH97" i="69"/>
  <c r="AH98" i="69"/>
  <c r="AH99" i="69"/>
  <c r="AH100" i="69"/>
  <c r="AH101" i="69"/>
  <c r="AH102" i="69"/>
  <c r="AH103" i="69"/>
  <c r="AH104" i="69"/>
  <c r="AH105" i="69"/>
  <c r="AH106" i="69"/>
  <c r="AH107" i="69"/>
  <c r="AH108" i="69"/>
  <c r="AH109" i="69"/>
  <c r="AH110" i="69"/>
  <c r="AH111" i="69"/>
  <c r="AH112" i="69"/>
  <c r="AH113" i="69"/>
  <c r="AH114" i="69"/>
  <c r="AH115" i="69"/>
  <c r="AH116" i="69"/>
  <c r="AH117" i="69"/>
  <c r="A26" i="60"/>
  <c r="A27" i="60"/>
  <c r="A28" i="60"/>
  <c r="A29" i="60"/>
  <c r="A30" i="60"/>
  <c r="A31" i="60"/>
  <c r="A32" i="60"/>
  <c r="A33" i="60"/>
  <c r="A34" i="60"/>
  <c r="A35" i="60"/>
  <c r="A36" i="60"/>
  <c r="A37" i="60"/>
  <c r="A38" i="60"/>
  <c r="A39" i="60"/>
  <c r="A40" i="60"/>
  <c r="A41" i="60"/>
  <c r="A42" i="60"/>
  <c r="A43" i="60"/>
  <c r="A44" i="60"/>
  <c r="A45" i="60"/>
  <c r="A46" i="60"/>
  <c r="A47" i="60"/>
  <c r="A48" i="60"/>
  <c r="A49" i="60"/>
  <c r="A50" i="60"/>
  <c r="A51" i="60"/>
  <c r="A52" i="60"/>
  <c r="A53" i="60"/>
  <c r="A54" i="60"/>
  <c r="A55" i="60"/>
  <c r="A56" i="60"/>
  <c r="A57" i="60"/>
  <c r="A58" i="60"/>
  <c r="A59" i="60"/>
  <c r="A60" i="60"/>
  <c r="A61" i="60"/>
  <c r="A62" i="60"/>
  <c r="A63" i="60"/>
  <c r="A64" i="60"/>
  <c r="A65" i="60"/>
  <c r="A66" i="60"/>
  <c r="A67" i="60"/>
  <c r="A68" i="60"/>
  <c r="A69" i="60"/>
  <c r="A70" i="60"/>
  <c r="A71" i="60"/>
  <c r="A72" i="60"/>
  <c r="A73" i="60"/>
  <c r="A74" i="60"/>
  <c r="A75" i="60"/>
  <c r="A76" i="60"/>
  <c r="A77" i="60"/>
  <c r="A78" i="60"/>
  <c r="A79" i="60"/>
  <c r="A80" i="60"/>
  <c r="A81" i="60"/>
  <c r="A82" i="60"/>
  <c r="A83" i="60"/>
  <c r="A84" i="60"/>
  <c r="A85" i="60"/>
  <c r="A86" i="60"/>
  <c r="A87" i="60"/>
  <c r="A88" i="60"/>
  <c r="A89" i="60"/>
  <c r="A90" i="60"/>
  <c r="A91" i="60"/>
  <c r="A92" i="60"/>
  <c r="A93" i="60"/>
  <c r="A94" i="60"/>
  <c r="A95" i="60"/>
  <c r="A96" i="60"/>
  <c r="A97" i="60"/>
  <c r="A98" i="60"/>
  <c r="A99" i="60"/>
  <c r="A100" i="60"/>
  <c r="A101" i="60"/>
  <c r="A102" i="60"/>
  <c r="A103" i="60"/>
  <c r="A104" i="60"/>
  <c r="A105" i="60"/>
  <c r="A106" i="60"/>
  <c r="A107" i="60"/>
  <c r="A108" i="60"/>
  <c r="A109" i="60"/>
  <c r="A110" i="60"/>
  <c r="A111" i="60"/>
  <c r="A112" i="60"/>
  <c r="A113" i="60"/>
  <c r="A114" i="60"/>
  <c r="A115" i="60"/>
  <c r="A116" i="60"/>
  <c r="A117" i="60"/>
  <c r="A118" i="60"/>
  <c r="A119" i="60"/>
  <c r="A120" i="60"/>
  <c r="A121" i="60"/>
  <c r="A122" i="60"/>
  <c r="A123" i="60"/>
  <c r="A124" i="60"/>
  <c r="A125" i="60"/>
  <c r="A126" i="60"/>
  <c r="A127" i="60"/>
  <c r="A128" i="60"/>
  <c r="A129" i="60"/>
  <c r="A130" i="60"/>
  <c r="A131" i="60"/>
  <c r="A132" i="60"/>
  <c r="A133" i="60"/>
  <c r="A134" i="60"/>
  <c r="A135" i="60"/>
  <c r="A136" i="60"/>
  <c r="A137" i="60"/>
  <c r="A138" i="60"/>
  <c r="A139" i="60"/>
  <c r="A140" i="60"/>
  <c r="A141" i="60"/>
  <c r="A142" i="60"/>
  <c r="A143" i="60"/>
  <c r="A144" i="60"/>
  <c r="A145" i="60"/>
  <c r="A146" i="60"/>
  <c r="A147" i="60"/>
  <c r="A148" i="60"/>
  <c r="A149" i="60"/>
  <c r="A150" i="60"/>
  <c r="A151" i="60"/>
  <c r="A152" i="60"/>
  <c r="A153" i="60"/>
  <c r="A154" i="60"/>
  <c r="A155" i="60"/>
  <c r="A156" i="60"/>
  <c r="A157" i="60"/>
  <c r="A158" i="60"/>
  <c r="A159" i="60"/>
  <c r="A160" i="60"/>
  <c r="A161" i="60"/>
  <c r="A162" i="60"/>
  <c r="A163" i="60"/>
  <c r="A164" i="60"/>
  <c r="A165" i="60"/>
  <c r="A166" i="60"/>
  <c r="A167" i="60"/>
  <c r="A168" i="60"/>
  <c r="A169" i="60"/>
  <c r="A170" i="60"/>
  <c r="A171" i="60"/>
  <c r="A172" i="60"/>
  <c r="A173" i="60"/>
  <c r="A174" i="60"/>
  <c r="A175" i="60"/>
  <c r="A176" i="60"/>
  <c r="A177" i="60"/>
  <c r="A178" i="60"/>
  <c r="A179" i="60"/>
  <c r="A180" i="60"/>
  <c r="A181" i="60"/>
  <c r="A182" i="60"/>
  <c r="A183" i="60"/>
  <c r="A184" i="60"/>
  <c r="A185" i="60"/>
  <c r="A186" i="60"/>
  <c r="A187" i="60"/>
  <c r="A188" i="60"/>
  <c r="A189" i="60"/>
  <c r="A190" i="60"/>
  <c r="A191" i="60"/>
  <c r="A192" i="60"/>
  <c r="A193" i="60"/>
  <c r="A194" i="60"/>
  <c r="A195" i="60"/>
  <c r="A196" i="60"/>
  <c r="A197" i="60"/>
  <c r="A198" i="60"/>
  <c r="A199" i="60"/>
  <c r="A200" i="60"/>
  <c r="A201" i="60"/>
  <c r="A202" i="60"/>
  <c r="A203" i="60"/>
  <c r="A204" i="60"/>
  <c r="A205" i="60"/>
  <c r="A206" i="60"/>
  <c r="A207" i="60"/>
  <c r="A208" i="60"/>
  <c r="A209" i="60"/>
  <c r="A210" i="60"/>
  <c r="A211" i="60"/>
  <c r="A212" i="60"/>
  <c r="A213" i="60"/>
  <c r="A214" i="60"/>
  <c r="A215" i="60"/>
  <c r="A216" i="60"/>
  <c r="A217" i="60"/>
  <c r="A218" i="60"/>
  <c r="A219" i="60"/>
  <c r="A220" i="60"/>
  <c r="A221" i="60"/>
  <c r="A222" i="60"/>
  <c r="A223" i="60"/>
  <c r="A224" i="60"/>
  <c r="A225" i="60"/>
  <c r="A226" i="60"/>
  <c r="A227" i="60"/>
  <c r="A228" i="60"/>
  <c r="A229" i="60"/>
  <c r="A230" i="60"/>
  <c r="A231" i="60"/>
  <c r="A232" i="60"/>
  <c r="A233" i="60"/>
  <c r="A234" i="60"/>
  <c r="A235" i="60"/>
  <c r="A236" i="60"/>
  <c r="A237" i="60"/>
  <c r="A238" i="60"/>
  <c r="A239" i="60"/>
  <c r="A240" i="60"/>
  <c r="A241" i="60"/>
  <c r="A242" i="60"/>
  <c r="A243" i="60"/>
  <c r="A244" i="60"/>
  <c r="A245" i="60"/>
  <c r="A246" i="60"/>
  <c r="A247" i="60"/>
  <c r="A248" i="60"/>
  <c r="A249" i="60"/>
  <c r="A250" i="60"/>
  <c r="A251" i="60"/>
  <c r="A252" i="60"/>
  <c r="C26" i="60"/>
  <c r="C27" i="60"/>
  <c r="C28" i="60"/>
  <c r="C29" i="60"/>
  <c r="C30" i="60"/>
  <c r="C31" i="60"/>
  <c r="C32" i="60"/>
  <c r="C33" i="60"/>
  <c r="C34" i="60"/>
  <c r="C35" i="60"/>
  <c r="C36" i="60"/>
  <c r="C37" i="60"/>
  <c r="C38" i="60"/>
  <c r="C39" i="60"/>
  <c r="C40" i="60"/>
  <c r="C41" i="60"/>
  <c r="C42" i="60"/>
  <c r="C43" i="60"/>
  <c r="C44" i="60"/>
  <c r="C45" i="60"/>
  <c r="C46" i="60"/>
  <c r="C47" i="60"/>
  <c r="C48" i="60"/>
  <c r="C49" i="60"/>
  <c r="C50" i="60"/>
  <c r="C51" i="60"/>
  <c r="C52" i="60"/>
  <c r="C53" i="60"/>
  <c r="C54" i="60"/>
  <c r="C55" i="60"/>
  <c r="C56" i="60"/>
  <c r="C57" i="60"/>
  <c r="C58" i="60"/>
  <c r="C59" i="60"/>
  <c r="C60" i="60"/>
  <c r="C61" i="60"/>
  <c r="C62" i="60"/>
  <c r="C63" i="60"/>
  <c r="C64" i="60"/>
  <c r="C65" i="60"/>
  <c r="C66" i="60"/>
  <c r="C67" i="60"/>
  <c r="C68" i="60"/>
  <c r="C69" i="60"/>
  <c r="C70" i="60"/>
  <c r="C71" i="60"/>
  <c r="C72" i="60"/>
  <c r="C73" i="60"/>
  <c r="C74" i="60"/>
  <c r="C75" i="60"/>
  <c r="C76" i="60"/>
  <c r="C77" i="60"/>
  <c r="C78" i="60"/>
  <c r="C79" i="60"/>
  <c r="C80" i="60"/>
  <c r="C81" i="60"/>
  <c r="C82" i="60"/>
  <c r="C83" i="60"/>
  <c r="C84" i="60"/>
  <c r="C85" i="60"/>
  <c r="C86" i="60"/>
  <c r="C87" i="60"/>
  <c r="C88" i="60"/>
  <c r="C89" i="60"/>
  <c r="C90" i="60"/>
  <c r="C91" i="60"/>
  <c r="C92" i="60"/>
  <c r="C93" i="60"/>
  <c r="C94" i="60"/>
  <c r="C95" i="60"/>
  <c r="C96" i="60"/>
  <c r="C97" i="60"/>
  <c r="C98" i="60"/>
  <c r="C99" i="60"/>
  <c r="C100" i="60"/>
  <c r="C101" i="60"/>
  <c r="C102" i="60"/>
  <c r="C103" i="60"/>
  <c r="C104" i="60"/>
  <c r="C105" i="60"/>
  <c r="C106" i="60"/>
  <c r="C107" i="60"/>
  <c r="C108" i="60"/>
  <c r="C109" i="60"/>
  <c r="C110" i="60"/>
  <c r="C111" i="60"/>
  <c r="C112" i="60"/>
  <c r="C113" i="60"/>
  <c r="C114" i="60"/>
  <c r="C115" i="60"/>
  <c r="C116" i="60"/>
  <c r="C117" i="60"/>
  <c r="C118" i="60"/>
  <c r="C119" i="60"/>
  <c r="C120" i="60"/>
  <c r="C121" i="60"/>
  <c r="C122" i="60"/>
  <c r="C123" i="60"/>
  <c r="C124" i="60"/>
  <c r="C125" i="60"/>
  <c r="C126" i="60"/>
  <c r="C127" i="60"/>
  <c r="C128" i="60"/>
  <c r="C129" i="60"/>
  <c r="C130" i="60"/>
  <c r="C131" i="60"/>
  <c r="C132" i="60"/>
  <c r="C133" i="60"/>
  <c r="C134" i="60"/>
  <c r="C135" i="60"/>
  <c r="C136" i="60"/>
  <c r="C137" i="60"/>
  <c r="C138" i="60"/>
  <c r="C139" i="60"/>
  <c r="C140" i="60"/>
  <c r="C141" i="60"/>
  <c r="C142" i="60"/>
  <c r="C143" i="60"/>
  <c r="C144" i="60"/>
  <c r="C145" i="60"/>
  <c r="C146" i="60"/>
  <c r="C147" i="60"/>
  <c r="C148" i="60"/>
  <c r="C149" i="60"/>
  <c r="C150" i="60"/>
  <c r="C151" i="60"/>
  <c r="C152" i="60"/>
  <c r="C153" i="60"/>
  <c r="C154" i="60"/>
  <c r="C155" i="60"/>
  <c r="C156" i="60"/>
  <c r="C157" i="60"/>
  <c r="C158" i="60"/>
  <c r="C159" i="60"/>
  <c r="C160" i="60"/>
  <c r="C161" i="60"/>
  <c r="C162" i="60"/>
  <c r="C163" i="60"/>
  <c r="C164" i="60"/>
  <c r="C165" i="60"/>
  <c r="C166" i="60"/>
  <c r="C167" i="60"/>
  <c r="C168" i="60"/>
  <c r="C169" i="60"/>
  <c r="C170" i="60"/>
  <c r="C171" i="60"/>
  <c r="C172" i="60"/>
  <c r="C173" i="60"/>
  <c r="C174" i="60"/>
  <c r="C175" i="60"/>
  <c r="C176" i="60"/>
  <c r="C177" i="60"/>
  <c r="C178" i="60"/>
  <c r="C179" i="60"/>
  <c r="C180" i="60"/>
  <c r="C181" i="60"/>
  <c r="C182" i="60"/>
  <c r="C183" i="60"/>
  <c r="C184" i="60"/>
  <c r="C185" i="60"/>
  <c r="C186" i="60"/>
  <c r="C187" i="60"/>
  <c r="C188" i="60"/>
  <c r="C189" i="60"/>
  <c r="C190" i="60"/>
  <c r="C191" i="60"/>
  <c r="C192" i="60"/>
  <c r="C193" i="60"/>
  <c r="C194" i="60"/>
  <c r="C195" i="60"/>
  <c r="C196" i="60"/>
  <c r="C197" i="60"/>
  <c r="C198" i="60"/>
  <c r="C199" i="60"/>
  <c r="C200" i="60"/>
  <c r="C201" i="60"/>
  <c r="C202" i="60"/>
  <c r="C203" i="60"/>
  <c r="C204" i="60"/>
  <c r="C205" i="60"/>
  <c r="C206" i="60"/>
  <c r="C207" i="60"/>
  <c r="C208" i="60"/>
  <c r="C209" i="60"/>
  <c r="C210" i="60"/>
  <c r="C211" i="60"/>
  <c r="C212" i="60"/>
  <c r="C213" i="60"/>
  <c r="C214" i="60"/>
  <c r="C215" i="60"/>
  <c r="C216" i="60"/>
  <c r="C217" i="60"/>
  <c r="C218" i="60"/>
  <c r="C219" i="60"/>
  <c r="C220" i="60"/>
  <c r="C221" i="60"/>
  <c r="C222" i="60"/>
  <c r="C223" i="60"/>
  <c r="C224" i="60"/>
  <c r="C225" i="60"/>
  <c r="C226" i="60"/>
  <c r="C227" i="60"/>
  <c r="C228" i="60"/>
  <c r="C229" i="60"/>
  <c r="C230" i="60"/>
  <c r="C231" i="60"/>
  <c r="C232" i="60"/>
  <c r="C233" i="60"/>
  <c r="C234" i="60"/>
  <c r="C235" i="60"/>
  <c r="C236" i="60"/>
  <c r="C237" i="60"/>
  <c r="C238" i="60"/>
  <c r="C239" i="60"/>
  <c r="C240" i="60"/>
  <c r="C241" i="60"/>
  <c r="C242" i="60"/>
  <c r="C243" i="60"/>
  <c r="C244" i="60"/>
  <c r="C245" i="60"/>
  <c r="C246" i="60"/>
  <c r="C247" i="60"/>
  <c r="C248" i="60"/>
  <c r="C249" i="60"/>
  <c r="C250" i="60"/>
  <c r="C251" i="60"/>
  <c r="C252" i="60"/>
  <c r="G26" i="60"/>
  <c r="G27" i="60"/>
  <c r="G28" i="60"/>
  <c r="G29" i="60"/>
  <c r="G30" i="60"/>
  <c r="G31" i="60"/>
  <c r="G32" i="60"/>
  <c r="G33" i="60"/>
  <c r="G34" i="60"/>
  <c r="G35" i="60"/>
  <c r="G36" i="60"/>
  <c r="G37" i="60"/>
  <c r="G38" i="60"/>
  <c r="G39" i="60"/>
  <c r="G40" i="60"/>
  <c r="G41" i="60"/>
  <c r="G42" i="60"/>
  <c r="G43" i="60"/>
  <c r="G44" i="60"/>
  <c r="G45" i="60"/>
  <c r="G46" i="60"/>
  <c r="G47" i="60"/>
  <c r="G48" i="60"/>
  <c r="G49" i="60"/>
  <c r="G50" i="60"/>
  <c r="G51" i="60"/>
  <c r="G52" i="60"/>
  <c r="G53" i="60"/>
  <c r="G54" i="60"/>
  <c r="G55" i="60"/>
  <c r="G56" i="60"/>
  <c r="G57" i="60"/>
  <c r="G58" i="60"/>
  <c r="G59" i="60"/>
  <c r="G60" i="60"/>
  <c r="G61" i="60"/>
  <c r="G62" i="60"/>
  <c r="G63" i="60"/>
  <c r="G64" i="60"/>
  <c r="G65" i="60"/>
  <c r="G66" i="60"/>
  <c r="G67" i="60"/>
  <c r="G68" i="60"/>
  <c r="G69" i="60"/>
  <c r="G70" i="60"/>
  <c r="G71" i="60"/>
  <c r="G72" i="60"/>
  <c r="G73" i="60"/>
  <c r="G74" i="60"/>
  <c r="G75" i="60"/>
  <c r="G76" i="60"/>
  <c r="G77" i="60"/>
  <c r="G78" i="60"/>
  <c r="G79" i="60"/>
  <c r="G80" i="60"/>
  <c r="G81" i="60"/>
  <c r="G82" i="60"/>
  <c r="G83" i="60"/>
  <c r="G84" i="60"/>
  <c r="G85" i="60"/>
  <c r="G86" i="60"/>
  <c r="G87" i="60"/>
  <c r="G88" i="60"/>
  <c r="G89" i="60"/>
  <c r="G90" i="60"/>
  <c r="G91" i="60"/>
  <c r="G92" i="60"/>
  <c r="G93" i="60"/>
  <c r="G94" i="60"/>
  <c r="G95" i="60"/>
  <c r="G96" i="60"/>
  <c r="G97" i="60"/>
  <c r="G98" i="60"/>
  <c r="G99" i="60"/>
  <c r="G100" i="60"/>
  <c r="G101" i="60"/>
  <c r="G102" i="60"/>
  <c r="G103" i="60"/>
  <c r="G104" i="60"/>
  <c r="G105" i="60"/>
  <c r="G106" i="60"/>
  <c r="G107" i="60"/>
  <c r="G108" i="60"/>
  <c r="G109" i="60"/>
  <c r="G110" i="60"/>
  <c r="G111" i="60"/>
  <c r="G112" i="60"/>
  <c r="G113" i="60"/>
  <c r="G114" i="60"/>
  <c r="G115" i="60"/>
  <c r="G116" i="60"/>
  <c r="G117" i="60"/>
  <c r="G118" i="60"/>
  <c r="G119" i="60"/>
  <c r="G120" i="60"/>
  <c r="G121" i="60"/>
  <c r="G122" i="60"/>
  <c r="G123" i="60"/>
  <c r="G124" i="60"/>
  <c r="G125" i="60"/>
  <c r="G126" i="60"/>
  <c r="G127" i="60"/>
  <c r="G128" i="60"/>
  <c r="G129" i="60"/>
  <c r="G130" i="60"/>
  <c r="G131" i="60"/>
  <c r="G132" i="60"/>
  <c r="G133" i="60"/>
  <c r="G134" i="60"/>
  <c r="G135" i="60"/>
  <c r="G136" i="60"/>
  <c r="G137" i="60"/>
  <c r="G138" i="60"/>
  <c r="G139" i="60"/>
  <c r="G140" i="60"/>
  <c r="G141" i="60"/>
  <c r="G142" i="60"/>
  <c r="G143" i="60"/>
  <c r="G144" i="60"/>
  <c r="G145" i="60"/>
  <c r="G146" i="60"/>
  <c r="G147" i="60"/>
  <c r="G148" i="60"/>
  <c r="G149" i="60"/>
  <c r="G150" i="60"/>
  <c r="G151" i="60"/>
  <c r="G152" i="60"/>
  <c r="G153" i="60"/>
  <c r="G154" i="60"/>
  <c r="G155" i="60"/>
  <c r="G156" i="60"/>
  <c r="G157" i="60"/>
  <c r="G158" i="60"/>
  <c r="G159" i="60"/>
  <c r="G160" i="60"/>
  <c r="G161" i="60"/>
  <c r="G162" i="60"/>
  <c r="G163" i="60"/>
  <c r="G164" i="60"/>
  <c r="G165" i="60"/>
  <c r="G166" i="60"/>
  <c r="G167" i="60"/>
  <c r="G168" i="60"/>
  <c r="G169" i="60"/>
  <c r="G170" i="60"/>
  <c r="G171" i="60"/>
  <c r="G172" i="60"/>
  <c r="G173" i="60"/>
  <c r="G174" i="60"/>
  <c r="G175" i="60"/>
  <c r="G176" i="60"/>
  <c r="G177" i="60"/>
  <c r="G178" i="60"/>
  <c r="G179" i="60"/>
  <c r="G180" i="60"/>
  <c r="G181" i="60"/>
  <c r="G182" i="60"/>
  <c r="G183" i="60"/>
  <c r="G184" i="60"/>
  <c r="G185" i="60"/>
  <c r="G186" i="60"/>
  <c r="G187" i="60"/>
  <c r="G188" i="60"/>
  <c r="G189" i="60"/>
  <c r="G190" i="60"/>
  <c r="G191" i="60"/>
  <c r="G192" i="60"/>
  <c r="G193" i="60"/>
  <c r="G194" i="60"/>
  <c r="G195" i="60"/>
  <c r="G196" i="60"/>
  <c r="G197" i="60"/>
  <c r="G198" i="60"/>
  <c r="G199" i="60"/>
  <c r="G200" i="60"/>
  <c r="G201" i="60"/>
  <c r="G202" i="60"/>
  <c r="G203" i="60"/>
  <c r="G204" i="60"/>
  <c r="G205" i="60"/>
  <c r="G206" i="60"/>
  <c r="G207" i="60"/>
  <c r="G208" i="60"/>
  <c r="G209" i="60"/>
  <c r="G210" i="60"/>
  <c r="G211" i="60"/>
  <c r="G212" i="60"/>
  <c r="G213" i="60"/>
  <c r="G214" i="60"/>
  <c r="G215" i="60"/>
  <c r="G216" i="60"/>
  <c r="G217" i="60"/>
  <c r="G218" i="60"/>
  <c r="G219" i="60"/>
  <c r="G220" i="60"/>
  <c r="G221" i="60"/>
  <c r="G222" i="60"/>
  <c r="G223" i="60"/>
  <c r="G224" i="60"/>
  <c r="G225" i="60"/>
  <c r="G226" i="60"/>
  <c r="G227" i="60"/>
  <c r="G228" i="60"/>
  <c r="G229" i="60"/>
  <c r="G230" i="60"/>
  <c r="G231" i="60"/>
  <c r="G232" i="60"/>
  <c r="G233" i="60"/>
  <c r="G234" i="60"/>
  <c r="G235" i="60"/>
  <c r="G236" i="60"/>
  <c r="G237" i="60"/>
  <c r="G238" i="60"/>
  <c r="G239" i="60"/>
  <c r="G240" i="60"/>
  <c r="G241" i="60"/>
  <c r="G242" i="60"/>
  <c r="G243" i="60"/>
  <c r="G244" i="60"/>
  <c r="G245" i="60"/>
  <c r="G246" i="60"/>
  <c r="G247" i="60"/>
  <c r="G248" i="60"/>
  <c r="G249" i="60"/>
  <c r="G250" i="60"/>
  <c r="G251" i="60"/>
  <c r="G252" i="60"/>
  <c r="K26" i="60"/>
  <c r="K27" i="60"/>
  <c r="K28" i="60"/>
  <c r="K29" i="60"/>
  <c r="K30" i="60"/>
  <c r="K31" i="60"/>
  <c r="K32" i="60"/>
  <c r="K33" i="60"/>
  <c r="K34" i="60"/>
  <c r="K35" i="60"/>
  <c r="K36" i="60"/>
  <c r="K37" i="60"/>
  <c r="K38" i="60"/>
  <c r="K39" i="60"/>
  <c r="K40" i="60"/>
  <c r="K41" i="60"/>
  <c r="K42" i="60"/>
  <c r="K43" i="60"/>
  <c r="K44" i="60"/>
  <c r="K45" i="60"/>
  <c r="K46" i="60"/>
  <c r="K47" i="60"/>
  <c r="K48" i="60"/>
  <c r="K49" i="60"/>
  <c r="K50" i="60"/>
  <c r="K51" i="60"/>
  <c r="K52" i="60"/>
  <c r="K53" i="60"/>
  <c r="K54" i="60"/>
  <c r="K55" i="60"/>
  <c r="K56" i="60"/>
  <c r="K57" i="60"/>
  <c r="K58" i="60"/>
  <c r="K59" i="60"/>
  <c r="K60" i="60"/>
  <c r="K61" i="60"/>
  <c r="K62" i="60"/>
  <c r="K63" i="60"/>
  <c r="K64" i="60"/>
  <c r="K65" i="60"/>
  <c r="K66" i="60"/>
  <c r="K67" i="60"/>
  <c r="K68" i="60"/>
  <c r="K69" i="60"/>
  <c r="K70" i="60"/>
  <c r="K71" i="60"/>
  <c r="K72" i="60"/>
  <c r="K73" i="60"/>
  <c r="K74" i="60"/>
  <c r="K75" i="60"/>
  <c r="K76" i="60"/>
  <c r="K77" i="60"/>
  <c r="K78" i="60"/>
  <c r="K79" i="60"/>
  <c r="K80" i="60"/>
  <c r="K81" i="60"/>
  <c r="K82" i="60"/>
  <c r="K83" i="60"/>
  <c r="K84" i="60"/>
  <c r="K85" i="60"/>
  <c r="K86" i="60"/>
  <c r="K87" i="60"/>
  <c r="K88" i="60"/>
  <c r="K89" i="60"/>
  <c r="K90" i="60"/>
  <c r="K91" i="60"/>
  <c r="K92" i="60"/>
  <c r="K93" i="60"/>
  <c r="K94" i="60"/>
  <c r="K95" i="60"/>
  <c r="K96" i="60"/>
  <c r="K97" i="60"/>
  <c r="K98" i="60"/>
  <c r="K99" i="60"/>
  <c r="K100" i="60"/>
  <c r="K101" i="60"/>
  <c r="K102" i="60"/>
  <c r="K103" i="60"/>
  <c r="K104" i="60"/>
  <c r="K105" i="60"/>
  <c r="K106" i="60"/>
  <c r="K107" i="60"/>
  <c r="K108" i="60"/>
  <c r="K109" i="60"/>
  <c r="K110" i="60"/>
  <c r="K111" i="60"/>
  <c r="K112" i="60"/>
  <c r="K113" i="60"/>
  <c r="K114" i="60"/>
  <c r="K115" i="60"/>
  <c r="K116" i="60"/>
  <c r="K117" i="60"/>
  <c r="K118" i="60"/>
  <c r="K119" i="60"/>
  <c r="K120" i="60"/>
  <c r="K121" i="60"/>
  <c r="K122" i="60"/>
  <c r="K123" i="60"/>
  <c r="K124" i="60"/>
  <c r="K125" i="60"/>
  <c r="K126" i="60"/>
  <c r="K127" i="60"/>
  <c r="K128" i="60"/>
  <c r="K129" i="60"/>
  <c r="K130" i="60"/>
  <c r="K131" i="60"/>
  <c r="K132" i="60"/>
  <c r="K133" i="60"/>
  <c r="K134" i="60"/>
  <c r="K135" i="60"/>
  <c r="K136" i="60"/>
  <c r="K137" i="60"/>
  <c r="K138" i="60"/>
  <c r="K139" i="60"/>
  <c r="K140" i="60"/>
  <c r="K141" i="60"/>
  <c r="K142" i="60"/>
  <c r="K143" i="60"/>
  <c r="K144" i="60"/>
  <c r="K145" i="60"/>
  <c r="K146" i="60"/>
  <c r="K147" i="60"/>
  <c r="K148" i="60"/>
  <c r="K149" i="60"/>
  <c r="K150" i="60"/>
  <c r="K151" i="60"/>
  <c r="K152" i="60"/>
  <c r="K153" i="60"/>
  <c r="K154" i="60"/>
  <c r="K155" i="60"/>
  <c r="K156" i="60"/>
  <c r="K157" i="60"/>
  <c r="K158" i="60"/>
  <c r="K159" i="60"/>
  <c r="K160" i="60"/>
  <c r="K161" i="60"/>
  <c r="K162" i="60"/>
  <c r="K163" i="60"/>
  <c r="K164" i="60"/>
  <c r="K165" i="60"/>
  <c r="K166" i="60"/>
  <c r="K167" i="60"/>
  <c r="K168" i="60"/>
  <c r="K169" i="60"/>
  <c r="K170" i="60"/>
  <c r="K171" i="60"/>
  <c r="K172" i="60"/>
  <c r="K173" i="60"/>
  <c r="K174" i="60"/>
  <c r="K175" i="60"/>
  <c r="K176" i="60"/>
  <c r="K177" i="60"/>
  <c r="K178" i="60"/>
  <c r="K179" i="60"/>
  <c r="K180" i="60"/>
  <c r="K181" i="60"/>
  <c r="K182" i="60"/>
  <c r="K183" i="60"/>
  <c r="K184" i="60"/>
  <c r="K185" i="60"/>
  <c r="K186" i="60"/>
  <c r="K187" i="60"/>
  <c r="K188" i="60"/>
  <c r="K189" i="60"/>
  <c r="K190" i="60"/>
  <c r="K191" i="60"/>
  <c r="K192" i="60"/>
  <c r="K193" i="60"/>
  <c r="K194" i="60"/>
  <c r="K195" i="60"/>
  <c r="K196" i="60"/>
  <c r="K197" i="60"/>
  <c r="K198" i="60"/>
  <c r="K199" i="60"/>
  <c r="K200" i="60"/>
  <c r="K201" i="60"/>
  <c r="K202" i="60"/>
  <c r="K203" i="60"/>
  <c r="K204" i="60"/>
  <c r="K205" i="60"/>
  <c r="K206" i="60"/>
  <c r="K207" i="60"/>
  <c r="K208" i="60"/>
  <c r="K209" i="60"/>
  <c r="K210" i="60"/>
  <c r="K211" i="60"/>
  <c r="K212" i="60"/>
  <c r="K213" i="60"/>
  <c r="K214" i="60"/>
  <c r="K215" i="60"/>
  <c r="K216" i="60"/>
  <c r="K217" i="60"/>
  <c r="K218" i="60"/>
  <c r="K219" i="60"/>
  <c r="K220" i="60"/>
  <c r="K221" i="60"/>
  <c r="K222" i="60"/>
  <c r="K223" i="60"/>
  <c r="K224" i="60"/>
  <c r="K225" i="60"/>
  <c r="K226" i="60"/>
  <c r="K227" i="60"/>
  <c r="K228" i="60"/>
  <c r="K229" i="60"/>
  <c r="K230" i="60"/>
  <c r="K231" i="60"/>
  <c r="K232" i="60"/>
  <c r="K233" i="60"/>
  <c r="K234" i="60"/>
  <c r="K235" i="60"/>
  <c r="K236" i="60"/>
  <c r="K237" i="60"/>
  <c r="K238" i="60"/>
  <c r="K239" i="60"/>
  <c r="K240" i="60"/>
  <c r="K241" i="60"/>
  <c r="K242" i="60"/>
  <c r="K243" i="60"/>
  <c r="K244" i="60"/>
  <c r="K245" i="60"/>
  <c r="K246" i="60"/>
  <c r="K247" i="60"/>
  <c r="K248" i="60"/>
  <c r="K249" i="60"/>
  <c r="K250" i="60"/>
  <c r="K251" i="60"/>
  <c r="K252" i="60"/>
  <c r="L26" i="60" a="1"/>
  <c r="L26" i="60" s="1"/>
  <c r="L27" i="60" a="1"/>
  <c r="L27" i="60" s="1"/>
  <c r="L28" i="60" a="1"/>
  <c r="L28" i="60" s="1"/>
  <c r="L29" i="60" a="1"/>
  <c r="L29" i="60" s="1"/>
  <c r="L30" i="60" a="1"/>
  <c r="L30" i="60" s="1"/>
  <c r="L31" i="60" a="1"/>
  <c r="L31" i="60" s="1"/>
  <c r="L32" i="60" a="1"/>
  <c r="L32" i="60" s="1"/>
  <c r="L33" i="60" a="1"/>
  <c r="L33" i="60" s="1"/>
  <c r="L34" i="60" a="1"/>
  <c r="L34" i="60" s="1"/>
  <c r="L35" i="60" a="1"/>
  <c r="L35" i="60" s="1"/>
  <c r="L36" i="60" a="1"/>
  <c r="L36" i="60" s="1"/>
  <c r="L37" i="60" a="1"/>
  <c r="L37" i="60" s="1"/>
  <c r="L38" i="60" a="1"/>
  <c r="L38" i="60" s="1"/>
  <c r="L39" i="60" a="1"/>
  <c r="L39" i="60" s="1"/>
  <c r="L40" i="60" a="1"/>
  <c r="L40" i="60" s="1"/>
  <c r="L41" i="60" a="1"/>
  <c r="L41" i="60" s="1"/>
  <c r="L42" i="60" a="1"/>
  <c r="L42" i="60" s="1"/>
  <c r="L43" i="60" a="1"/>
  <c r="L43" i="60" s="1"/>
  <c r="L44" i="60" a="1"/>
  <c r="L44" i="60" s="1"/>
  <c r="L45" i="60" a="1"/>
  <c r="L45" i="60" s="1"/>
  <c r="L46" i="60" a="1"/>
  <c r="L46" i="60" s="1"/>
  <c r="L47" i="60" a="1"/>
  <c r="L47" i="60" s="1"/>
  <c r="L48" i="60" a="1"/>
  <c r="L48" i="60" s="1"/>
  <c r="L49" i="60" a="1"/>
  <c r="L49" i="60" s="1"/>
  <c r="L50" i="60" a="1"/>
  <c r="L50" i="60" s="1"/>
  <c r="L51" i="60" a="1"/>
  <c r="L51" i="60" s="1"/>
  <c r="L52" i="60" a="1"/>
  <c r="L52" i="60" s="1"/>
  <c r="L53" i="60" a="1"/>
  <c r="L53" i="60" s="1"/>
  <c r="L54" i="60" a="1"/>
  <c r="L54" i="60" s="1"/>
  <c r="L55" i="60" a="1"/>
  <c r="L55" i="60" s="1"/>
  <c r="L56" i="60" a="1"/>
  <c r="L56" i="60" s="1"/>
  <c r="L57" i="60" a="1"/>
  <c r="L57" i="60" s="1"/>
  <c r="L58" i="60" a="1"/>
  <c r="L58" i="60" s="1"/>
  <c r="L59" i="60" a="1"/>
  <c r="L59" i="60" s="1"/>
  <c r="L60" i="60" a="1"/>
  <c r="L60" i="60" s="1"/>
  <c r="L61" i="60" a="1"/>
  <c r="L61" i="60" s="1"/>
  <c r="L62" i="60" a="1"/>
  <c r="L62" i="60" s="1"/>
  <c r="L63" i="60" a="1"/>
  <c r="L63" i="60" s="1"/>
  <c r="L64" i="60" a="1"/>
  <c r="L64" i="60" s="1"/>
  <c r="L65" i="60" a="1"/>
  <c r="L65" i="60" s="1"/>
  <c r="L66" i="60" a="1"/>
  <c r="L66" i="60" s="1"/>
  <c r="L67" i="60" a="1"/>
  <c r="L67" i="60" s="1"/>
  <c r="L68" i="60" a="1"/>
  <c r="L68" i="60" s="1"/>
  <c r="L69" i="60" a="1"/>
  <c r="L69" i="60" s="1"/>
  <c r="L70" i="60" a="1"/>
  <c r="L70" i="60" s="1"/>
  <c r="L71" i="60" a="1"/>
  <c r="L71" i="60" s="1"/>
  <c r="L72" i="60" a="1"/>
  <c r="L72" i="60" s="1"/>
  <c r="L73" i="60" a="1"/>
  <c r="L73" i="60" s="1"/>
  <c r="L74" i="60" a="1"/>
  <c r="L74" i="60" s="1"/>
  <c r="L75" i="60" a="1"/>
  <c r="L75" i="60" s="1"/>
  <c r="L76" i="60" a="1"/>
  <c r="L76" i="60" s="1"/>
  <c r="L77" i="60" a="1"/>
  <c r="L77" i="60" s="1"/>
  <c r="L78" i="60" a="1"/>
  <c r="L78" i="60" s="1"/>
  <c r="L79" i="60" a="1"/>
  <c r="L79" i="60" s="1"/>
  <c r="L80" i="60" a="1"/>
  <c r="L80" i="60" s="1"/>
  <c r="L81" i="60" a="1"/>
  <c r="L81" i="60" s="1"/>
  <c r="L82" i="60" a="1"/>
  <c r="L82" i="60" s="1"/>
  <c r="L83" i="60" a="1"/>
  <c r="L83" i="60" s="1"/>
  <c r="L84" i="60" a="1"/>
  <c r="L84" i="60" s="1"/>
  <c r="L85" i="60" a="1"/>
  <c r="L85" i="60" s="1"/>
  <c r="L86" i="60" a="1"/>
  <c r="L86" i="60" s="1"/>
  <c r="L87" i="60" a="1"/>
  <c r="L87" i="60" s="1"/>
  <c r="L88" i="60" a="1"/>
  <c r="L88" i="60" s="1"/>
  <c r="L89" i="60" a="1"/>
  <c r="L89" i="60" s="1"/>
  <c r="L90" i="60" a="1"/>
  <c r="L90" i="60" s="1"/>
  <c r="L91" i="60" a="1"/>
  <c r="L91" i="60" s="1"/>
  <c r="L92" i="60" a="1"/>
  <c r="L92" i="60" s="1"/>
  <c r="L93" i="60" a="1"/>
  <c r="L93" i="60" s="1"/>
  <c r="L94" i="60" a="1"/>
  <c r="L94" i="60" s="1"/>
  <c r="L95" i="60" a="1"/>
  <c r="L95" i="60" s="1"/>
  <c r="L96" i="60" a="1"/>
  <c r="L96" i="60" s="1"/>
  <c r="L97" i="60" a="1"/>
  <c r="L97" i="60" s="1"/>
  <c r="L98" i="60" a="1"/>
  <c r="L98" i="60" s="1"/>
  <c r="L99" i="60" a="1"/>
  <c r="L99" i="60" s="1"/>
  <c r="L100" i="60" a="1"/>
  <c r="L100" i="60" s="1"/>
  <c r="L101" i="60" a="1"/>
  <c r="L101" i="60" s="1"/>
  <c r="L102" i="60" a="1"/>
  <c r="L102" i="60" s="1"/>
  <c r="L103" i="60" a="1"/>
  <c r="L103" i="60" s="1"/>
  <c r="L104" i="60" a="1"/>
  <c r="L104" i="60" s="1"/>
  <c r="L105" i="60" a="1"/>
  <c r="L105" i="60" s="1"/>
  <c r="L106" i="60" a="1"/>
  <c r="L106" i="60" s="1"/>
  <c r="L107" i="60" a="1"/>
  <c r="L107" i="60" s="1"/>
  <c r="L108" i="60" a="1"/>
  <c r="L108" i="60" s="1"/>
  <c r="L109" i="60" a="1"/>
  <c r="L109" i="60" s="1"/>
  <c r="L110" i="60" a="1"/>
  <c r="L110" i="60" s="1"/>
  <c r="L111" i="60" a="1"/>
  <c r="L111" i="60" s="1"/>
  <c r="L112" i="60" a="1"/>
  <c r="L112" i="60" s="1"/>
  <c r="L113" i="60" a="1"/>
  <c r="L113" i="60" s="1"/>
  <c r="L114" i="60" a="1"/>
  <c r="L114" i="60" s="1"/>
  <c r="L115" i="60" a="1"/>
  <c r="L115" i="60" s="1"/>
  <c r="L116" i="60" a="1"/>
  <c r="L116" i="60" s="1"/>
  <c r="L117" i="60" a="1"/>
  <c r="L117" i="60" s="1"/>
  <c r="L118" i="60" a="1"/>
  <c r="L118" i="60" s="1"/>
  <c r="L119" i="60" a="1"/>
  <c r="L119" i="60" s="1"/>
  <c r="L120" i="60" a="1"/>
  <c r="L120" i="60" s="1"/>
  <c r="L121" i="60" a="1"/>
  <c r="L121" i="60" s="1"/>
  <c r="L122" i="60" a="1"/>
  <c r="L122" i="60" s="1"/>
  <c r="L123" i="60" a="1"/>
  <c r="L123" i="60" s="1"/>
  <c r="L124" i="60" a="1"/>
  <c r="L124" i="60" s="1"/>
  <c r="L125" i="60" a="1"/>
  <c r="L125" i="60" s="1"/>
  <c r="L126" i="60" a="1"/>
  <c r="L126" i="60" s="1"/>
  <c r="L127" i="60" a="1"/>
  <c r="L127" i="60" s="1"/>
  <c r="L128" i="60" a="1"/>
  <c r="L128" i="60" s="1"/>
  <c r="L129" i="60" a="1"/>
  <c r="L129" i="60" s="1"/>
  <c r="L130" i="60" a="1"/>
  <c r="L130" i="60" s="1"/>
  <c r="L131" i="60" a="1"/>
  <c r="L131" i="60" s="1"/>
  <c r="L132" i="60" a="1"/>
  <c r="L132" i="60" s="1"/>
  <c r="L133" i="60" a="1"/>
  <c r="L133" i="60" s="1"/>
  <c r="L134" i="60" a="1"/>
  <c r="L134" i="60" s="1"/>
  <c r="L135" i="60" a="1"/>
  <c r="L135" i="60" s="1"/>
  <c r="L136" i="60" a="1"/>
  <c r="L136" i="60" s="1"/>
  <c r="L137" i="60" a="1"/>
  <c r="L137" i="60" s="1"/>
  <c r="L138" i="60" a="1"/>
  <c r="L138" i="60" s="1"/>
  <c r="L139" i="60" a="1"/>
  <c r="L139" i="60" s="1"/>
  <c r="L140" i="60" a="1"/>
  <c r="L140" i="60" s="1"/>
  <c r="L141" i="60" a="1"/>
  <c r="L141" i="60" s="1"/>
  <c r="L142" i="60" a="1"/>
  <c r="L142" i="60" s="1"/>
  <c r="L143" i="60" a="1"/>
  <c r="L143" i="60" s="1"/>
  <c r="L144" i="60" a="1"/>
  <c r="L144" i="60" s="1"/>
  <c r="L145" i="60" a="1"/>
  <c r="L145" i="60" s="1"/>
  <c r="L146" i="60" a="1"/>
  <c r="L146" i="60" s="1"/>
  <c r="L147" i="60" a="1"/>
  <c r="L147" i="60" s="1"/>
  <c r="L148" i="60" a="1"/>
  <c r="L148" i="60" s="1"/>
  <c r="L149" i="60" a="1"/>
  <c r="L149" i="60" s="1"/>
  <c r="L150" i="60" a="1"/>
  <c r="L150" i="60" s="1"/>
  <c r="L151" i="60" a="1"/>
  <c r="L151" i="60" s="1"/>
  <c r="L152" i="60" a="1"/>
  <c r="L152" i="60" s="1"/>
  <c r="L153" i="60" a="1"/>
  <c r="L153" i="60" s="1"/>
  <c r="L154" i="60" a="1"/>
  <c r="L154" i="60" s="1"/>
  <c r="L155" i="60" a="1"/>
  <c r="L155" i="60" s="1"/>
  <c r="L156" i="60" a="1"/>
  <c r="L156" i="60" s="1"/>
  <c r="L157" i="60" a="1"/>
  <c r="L157" i="60" s="1"/>
  <c r="L158" i="60" a="1"/>
  <c r="L158" i="60" s="1"/>
  <c r="L159" i="60" a="1"/>
  <c r="L159" i="60" s="1"/>
  <c r="L160" i="60" a="1"/>
  <c r="L160" i="60" s="1"/>
  <c r="L161" i="60" a="1"/>
  <c r="L161" i="60" s="1"/>
  <c r="L162" i="60" a="1"/>
  <c r="L162" i="60" s="1"/>
  <c r="L163" i="60" a="1"/>
  <c r="L163" i="60" s="1"/>
  <c r="L164" i="60" a="1"/>
  <c r="L164" i="60" s="1"/>
  <c r="L165" i="60" a="1"/>
  <c r="L165" i="60" s="1"/>
  <c r="L166" i="60" a="1"/>
  <c r="L166" i="60" s="1"/>
  <c r="L167" i="60" a="1"/>
  <c r="L167" i="60" s="1"/>
  <c r="L168" i="60" a="1"/>
  <c r="L168" i="60" s="1"/>
  <c r="L169" i="60" a="1"/>
  <c r="L169" i="60" s="1"/>
  <c r="L170" i="60" a="1"/>
  <c r="L170" i="60" s="1"/>
  <c r="L171" i="60" a="1"/>
  <c r="L171" i="60" s="1"/>
  <c r="L172" i="60" a="1"/>
  <c r="L172" i="60" s="1"/>
  <c r="L173" i="60" a="1"/>
  <c r="L173" i="60" s="1"/>
  <c r="L174" i="60" a="1"/>
  <c r="L174" i="60" s="1"/>
  <c r="L175" i="60" a="1"/>
  <c r="L175" i="60" s="1"/>
  <c r="L176" i="60" a="1"/>
  <c r="L176" i="60" s="1"/>
  <c r="L177" i="60" a="1"/>
  <c r="L177" i="60" s="1"/>
  <c r="L178" i="60" a="1"/>
  <c r="L178" i="60" s="1"/>
  <c r="L179" i="60" a="1"/>
  <c r="L179" i="60" s="1"/>
  <c r="L180" i="60" a="1"/>
  <c r="L180" i="60" s="1"/>
  <c r="L181" i="60" a="1"/>
  <c r="L181" i="60" s="1"/>
  <c r="L182" i="60" a="1"/>
  <c r="L182" i="60" s="1"/>
  <c r="L183" i="60" a="1"/>
  <c r="L183" i="60" s="1"/>
  <c r="L184" i="60" a="1"/>
  <c r="L184" i="60" s="1"/>
  <c r="L185" i="60" a="1"/>
  <c r="L185" i="60" s="1"/>
  <c r="L186" i="60" a="1"/>
  <c r="L186" i="60" s="1"/>
  <c r="L187" i="60" a="1"/>
  <c r="L187" i="60" s="1"/>
  <c r="L188" i="60" a="1"/>
  <c r="L188" i="60" s="1"/>
  <c r="L189" i="60" a="1"/>
  <c r="L189" i="60" s="1"/>
  <c r="L190" i="60" a="1"/>
  <c r="L190" i="60" s="1"/>
  <c r="L191" i="60" a="1"/>
  <c r="L191" i="60" s="1"/>
  <c r="L192" i="60" a="1"/>
  <c r="L192" i="60" s="1"/>
  <c r="L193" i="60" a="1"/>
  <c r="L193" i="60" s="1"/>
  <c r="L194" i="60" a="1"/>
  <c r="L194" i="60" s="1"/>
  <c r="L195" i="60" a="1"/>
  <c r="L195" i="60" s="1"/>
  <c r="L196" i="60" a="1"/>
  <c r="L196" i="60" s="1"/>
  <c r="L197" i="60" a="1"/>
  <c r="L197" i="60" s="1"/>
  <c r="L198" i="60" a="1"/>
  <c r="L198" i="60" s="1"/>
  <c r="L199" i="60" a="1"/>
  <c r="L199" i="60" s="1"/>
  <c r="L200" i="60" a="1"/>
  <c r="L200" i="60" s="1"/>
  <c r="L201" i="60" a="1"/>
  <c r="L201" i="60" s="1"/>
  <c r="L202" i="60" a="1"/>
  <c r="L202" i="60" s="1"/>
  <c r="L203" i="60" a="1"/>
  <c r="L203" i="60" s="1"/>
  <c r="L204" i="60" a="1"/>
  <c r="L204" i="60" s="1"/>
  <c r="L205" i="60" a="1"/>
  <c r="L205" i="60" s="1"/>
  <c r="L206" i="60" a="1"/>
  <c r="L206" i="60" s="1"/>
  <c r="L207" i="60" a="1"/>
  <c r="L207" i="60" s="1"/>
  <c r="L208" i="60" a="1"/>
  <c r="L208" i="60" s="1"/>
  <c r="L209" i="60" a="1"/>
  <c r="L209" i="60" s="1"/>
  <c r="L210" i="60" a="1"/>
  <c r="L210" i="60" s="1"/>
  <c r="L211" i="60" a="1"/>
  <c r="L211" i="60" s="1"/>
  <c r="L212" i="60" a="1"/>
  <c r="L212" i="60" s="1"/>
  <c r="L213" i="60" a="1"/>
  <c r="L213" i="60" s="1"/>
  <c r="L214" i="60" a="1"/>
  <c r="L214" i="60" s="1"/>
  <c r="L215" i="60" a="1"/>
  <c r="L215" i="60" s="1"/>
  <c r="L216" i="60" a="1"/>
  <c r="L216" i="60" s="1"/>
  <c r="L217" i="60" a="1"/>
  <c r="L217" i="60" s="1"/>
  <c r="L218" i="60" a="1"/>
  <c r="L218" i="60" s="1"/>
  <c r="L219" i="60" a="1"/>
  <c r="L219" i="60" s="1"/>
  <c r="L220" i="60" a="1"/>
  <c r="L220" i="60" s="1"/>
  <c r="L221" i="60" a="1"/>
  <c r="L221" i="60" s="1"/>
  <c r="L222" i="60" a="1"/>
  <c r="L222" i="60" s="1"/>
  <c r="L223" i="60" a="1"/>
  <c r="L223" i="60" s="1"/>
  <c r="L224" i="60" a="1"/>
  <c r="L224" i="60" s="1"/>
  <c r="L225" i="60" a="1"/>
  <c r="L225" i="60" s="1"/>
  <c r="L226" i="60" a="1"/>
  <c r="L226" i="60" s="1"/>
  <c r="L227" i="60" a="1"/>
  <c r="L227" i="60" s="1"/>
  <c r="L228" i="60" a="1"/>
  <c r="L228" i="60" s="1"/>
  <c r="L229" i="60" a="1"/>
  <c r="L229" i="60" s="1"/>
  <c r="L230" i="60" a="1"/>
  <c r="L230" i="60" s="1"/>
  <c r="L231" i="60" a="1"/>
  <c r="L231" i="60" s="1"/>
  <c r="L232" i="60" a="1"/>
  <c r="L232" i="60" s="1"/>
  <c r="L233" i="60" a="1"/>
  <c r="L233" i="60" s="1"/>
  <c r="L234" i="60" a="1"/>
  <c r="L234" i="60" s="1"/>
  <c r="L235" i="60" a="1"/>
  <c r="L235" i="60" s="1"/>
  <c r="L236" i="60" a="1"/>
  <c r="L236" i="60" s="1"/>
  <c r="L237" i="60" a="1"/>
  <c r="L237" i="60" s="1"/>
  <c r="L238" i="60" a="1"/>
  <c r="L238" i="60" s="1"/>
  <c r="L239" i="60" a="1"/>
  <c r="L239" i="60" s="1"/>
  <c r="L240" i="60" a="1"/>
  <c r="L240" i="60" s="1"/>
  <c r="L241" i="60" a="1"/>
  <c r="L241" i="60" s="1"/>
  <c r="L242" i="60" a="1"/>
  <c r="L242" i="60" s="1"/>
  <c r="L243" i="60" a="1"/>
  <c r="L243" i="60" s="1"/>
  <c r="L244" i="60" a="1"/>
  <c r="L244" i="60" s="1"/>
  <c r="L245" i="60" a="1"/>
  <c r="L245" i="60" s="1"/>
  <c r="L246" i="60" a="1"/>
  <c r="L246" i="60" s="1"/>
  <c r="L247" i="60" a="1"/>
  <c r="L247" i="60" s="1"/>
  <c r="L248" i="60" a="1"/>
  <c r="L248" i="60" s="1"/>
  <c r="L249" i="60" a="1"/>
  <c r="L249" i="60" s="1"/>
  <c r="L250" i="60" a="1"/>
  <c r="L250" i="60" s="1"/>
  <c r="L251" i="60" a="1"/>
  <c r="L251" i="60" s="1"/>
  <c r="L252" i="60" a="1"/>
  <c r="L252" i="60" s="1"/>
  <c r="N26" i="60" a="1"/>
  <c r="N26" i="60" s="1"/>
  <c r="N27" i="60" a="1"/>
  <c r="N27" i="60" s="1"/>
  <c r="N28" i="60" a="1"/>
  <c r="N28" i="60" s="1"/>
  <c r="N29" i="60" a="1"/>
  <c r="N29" i="60" s="1"/>
  <c r="N30" i="60" a="1"/>
  <c r="N30" i="60" s="1"/>
  <c r="N31" i="60" a="1"/>
  <c r="N31" i="60" s="1"/>
  <c r="N32" i="60" a="1"/>
  <c r="N32" i="60" s="1"/>
  <c r="N33" i="60" a="1"/>
  <c r="N33" i="60" s="1"/>
  <c r="N34" i="60" a="1"/>
  <c r="N34" i="60" s="1"/>
  <c r="N35" i="60" a="1"/>
  <c r="N35" i="60" s="1"/>
  <c r="N36" i="60" a="1"/>
  <c r="N36" i="60" s="1"/>
  <c r="N37" i="60" a="1"/>
  <c r="N37" i="60" s="1"/>
  <c r="N38" i="60" a="1"/>
  <c r="N38" i="60" s="1"/>
  <c r="N39" i="60" a="1"/>
  <c r="N39" i="60" s="1"/>
  <c r="N40" i="60" a="1"/>
  <c r="N40" i="60" s="1"/>
  <c r="N41" i="60" a="1"/>
  <c r="N41" i="60" s="1"/>
  <c r="N42" i="60" a="1"/>
  <c r="N42" i="60" s="1"/>
  <c r="N43" i="60" a="1"/>
  <c r="N43" i="60" s="1"/>
  <c r="N44" i="60" a="1"/>
  <c r="N44" i="60" s="1"/>
  <c r="N45" i="60" a="1"/>
  <c r="N45" i="60" s="1"/>
  <c r="N46" i="60" a="1"/>
  <c r="N46" i="60" s="1"/>
  <c r="N47" i="60" a="1"/>
  <c r="N47" i="60" s="1"/>
  <c r="N48" i="60" a="1"/>
  <c r="N48" i="60" s="1"/>
  <c r="N49" i="60" a="1"/>
  <c r="N49" i="60" s="1"/>
  <c r="N50" i="60" a="1"/>
  <c r="N50" i="60" s="1"/>
  <c r="N51" i="60" a="1"/>
  <c r="N51" i="60" s="1"/>
  <c r="N52" i="60" a="1"/>
  <c r="N52" i="60" s="1"/>
  <c r="N53" i="60" a="1"/>
  <c r="N53" i="60" s="1"/>
  <c r="N54" i="60" a="1"/>
  <c r="N54" i="60" s="1"/>
  <c r="N55" i="60" a="1"/>
  <c r="N55" i="60" s="1"/>
  <c r="N56" i="60" a="1"/>
  <c r="N56" i="60" s="1"/>
  <c r="N57" i="60" a="1"/>
  <c r="N57" i="60" s="1"/>
  <c r="N58" i="60" a="1"/>
  <c r="N58" i="60" s="1"/>
  <c r="N59" i="60" a="1"/>
  <c r="N59" i="60" s="1"/>
  <c r="N60" i="60" a="1"/>
  <c r="N60" i="60" s="1"/>
  <c r="N61" i="60" a="1"/>
  <c r="N61" i="60" s="1"/>
  <c r="N62" i="60" a="1"/>
  <c r="N62" i="60" s="1"/>
  <c r="N63" i="60" a="1"/>
  <c r="N63" i="60" s="1"/>
  <c r="N64" i="60" a="1"/>
  <c r="N64" i="60" s="1"/>
  <c r="N65" i="60" a="1"/>
  <c r="N65" i="60" s="1"/>
  <c r="N66" i="60" a="1"/>
  <c r="N66" i="60" s="1"/>
  <c r="N67" i="60" a="1"/>
  <c r="N67" i="60" s="1"/>
  <c r="N68" i="60" a="1"/>
  <c r="N68" i="60" s="1"/>
  <c r="N69" i="60" a="1"/>
  <c r="N69" i="60" s="1"/>
  <c r="N70" i="60" a="1"/>
  <c r="N70" i="60" s="1"/>
  <c r="N71" i="60" a="1"/>
  <c r="N71" i="60" s="1"/>
  <c r="N72" i="60" a="1"/>
  <c r="N72" i="60" s="1"/>
  <c r="N73" i="60" a="1"/>
  <c r="N73" i="60" s="1"/>
  <c r="N74" i="60" a="1"/>
  <c r="N74" i="60" s="1"/>
  <c r="N75" i="60" a="1"/>
  <c r="N75" i="60" s="1"/>
  <c r="N76" i="60" a="1"/>
  <c r="N76" i="60" s="1"/>
  <c r="N77" i="60" a="1"/>
  <c r="N77" i="60" s="1"/>
  <c r="N78" i="60" a="1"/>
  <c r="N78" i="60" s="1"/>
  <c r="N79" i="60" a="1"/>
  <c r="N79" i="60" s="1"/>
  <c r="N80" i="60" a="1"/>
  <c r="N80" i="60" s="1"/>
  <c r="N81" i="60" a="1"/>
  <c r="N81" i="60" s="1"/>
  <c r="N82" i="60" a="1"/>
  <c r="N82" i="60" s="1"/>
  <c r="N83" i="60" a="1"/>
  <c r="N83" i="60" s="1"/>
  <c r="N84" i="60" a="1"/>
  <c r="N84" i="60" s="1"/>
  <c r="N85" i="60" a="1"/>
  <c r="N85" i="60" s="1"/>
  <c r="N86" i="60" a="1"/>
  <c r="N86" i="60" s="1"/>
  <c r="N87" i="60" a="1"/>
  <c r="N87" i="60" s="1"/>
  <c r="N88" i="60" a="1"/>
  <c r="N88" i="60" s="1"/>
  <c r="N89" i="60" a="1"/>
  <c r="N89" i="60" s="1"/>
  <c r="N90" i="60" a="1"/>
  <c r="N90" i="60" s="1"/>
  <c r="N91" i="60" a="1"/>
  <c r="N91" i="60" s="1"/>
  <c r="N92" i="60" a="1"/>
  <c r="N92" i="60" s="1"/>
  <c r="N93" i="60" a="1"/>
  <c r="N93" i="60" s="1"/>
  <c r="N94" i="60" a="1"/>
  <c r="N94" i="60" s="1"/>
  <c r="N95" i="60" a="1"/>
  <c r="N95" i="60" s="1"/>
  <c r="N96" i="60" a="1"/>
  <c r="N96" i="60" s="1"/>
  <c r="N97" i="60" a="1"/>
  <c r="N97" i="60" s="1"/>
  <c r="N98" i="60" a="1"/>
  <c r="N98" i="60" s="1"/>
  <c r="N99" i="60" a="1"/>
  <c r="N99" i="60" s="1"/>
  <c r="N100" i="60" a="1"/>
  <c r="N100" i="60" s="1"/>
  <c r="N101" i="60" a="1"/>
  <c r="N101" i="60" s="1"/>
  <c r="N102" i="60" a="1"/>
  <c r="N102" i="60" s="1"/>
  <c r="N103" i="60" a="1"/>
  <c r="N103" i="60" s="1"/>
  <c r="N104" i="60" a="1"/>
  <c r="N104" i="60" s="1"/>
  <c r="N105" i="60" a="1"/>
  <c r="N105" i="60" s="1"/>
  <c r="N106" i="60" a="1"/>
  <c r="N106" i="60" s="1"/>
  <c r="N107" i="60" a="1"/>
  <c r="N107" i="60" s="1"/>
  <c r="N108" i="60" a="1"/>
  <c r="N108" i="60" s="1"/>
  <c r="N109" i="60" a="1"/>
  <c r="N109" i="60" s="1"/>
  <c r="N110" i="60" a="1"/>
  <c r="N110" i="60" s="1"/>
  <c r="N111" i="60" a="1"/>
  <c r="N111" i="60" s="1"/>
  <c r="N112" i="60" a="1"/>
  <c r="N112" i="60" s="1"/>
  <c r="N113" i="60" a="1"/>
  <c r="N113" i="60" s="1"/>
  <c r="N114" i="60" a="1"/>
  <c r="N114" i="60" s="1"/>
  <c r="N115" i="60" a="1"/>
  <c r="N115" i="60" s="1"/>
  <c r="N116" i="60" a="1"/>
  <c r="N116" i="60" s="1"/>
  <c r="N117" i="60" a="1"/>
  <c r="N117" i="60" s="1"/>
  <c r="N118" i="60" a="1"/>
  <c r="N118" i="60" s="1"/>
  <c r="N119" i="60" a="1"/>
  <c r="N119" i="60" s="1"/>
  <c r="N120" i="60" a="1"/>
  <c r="N120" i="60" s="1"/>
  <c r="N121" i="60" a="1"/>
  <c r="N121" i="60" s="1"/>
  <c r="N122" i="60" a="1"/>
  <c r="N122" i="60" s="1"/>
  <c r="N123" i="60" a="1"/>
  <c r="N123" i="60" s="1"/>
  <c r="N124" i="60" a="1"/>
  <c r="N124" i="60" s="1"/>
  <c r="N125" i="60" a="1"/>
  <c r="N125" i="60" s="1"/>
  <c r="N126" i="60" a="1"/>
  <c r="N126" i="60" s="1"/>
  <c r="N127" i="60" a="1"/>
  <c r="N127" i="60" s="1"/>
  <c r="N128" i="60" a="1"/>
  <c r="N128" i="60" s="1"/>
  <c r="N129" i="60" a="1"/>
  <c r="N129" i="60" s="1"/>
  <c r="N130" i="60" a="1"/>
  <c r="N130" i="60" s="1"/>
  <c r="N131" i="60" a="1"/>
  <c r="N131" i="60" s="1"/>
  <c r="N132" i="60" a="1"/>
  <c r="N132" i="60" s="1"/>
  <c r="N133" i="60" a="1"/>
  <c r="N133" i="60" s="1"/>
  <c r="N134" i="60" a="1"/>
  <c r="N134" i="60" s="1"/>
  <c r="N135" i="60" a="1"/>
  <c r="N135" i="60" s="1"/>
  <c r="N136" i="60" a="1"/>
  <c r="N136" i="60" s="1"/>
  <c r="N137" i="60" a="1"/>
  <c r="N137" i="60" s="1"/>
  <c r="N138" i="60" a="1"/>
  <c r="N138" i="60" s="1"/>
  <c r="N139" i="60" a="1"/>
  <c r="N139" i="60" s="1"/>
  <c r="N140" i="60" a="1"/>
  <c r="N140" i="60" s="1"/>
  <c r="N141" i="60" a="1"/>
  <c r="N141" i="60" s="1"/>
  <c r="N142" i="60" a="1"/>
  <c r="N142" i="60" s="1"/>
  <c r="N143" i="60" a="1"/>
  <c r="N143" i="60" s="1"/>
  <c r="N144" i="60" a="1"/>
  <c r="N144" i="60" s="1"/>
  <c r="N145" i="60" a="1"/>
  <c r="N145" i="60" s="1"/>
  <c r="N146" i="60" a="1"/>
  <c r="N146" i="60" s="1"/>
  <c r="N147" i="60" a="1"/>
  <c r="N147" i="60" s="1"/>
  <c r="N148" i="60" a="1"/>
  <c r="N148" i="60" s="1"/>
  <c r="N149" i="60" a="1"/>
  <c r="N149" i="60" s="1"/>
  <c r="N150" i="60" a="1"/>
  <c r="N150" i="60" s="1"/>
  <c r="N151" i="60" a="1"/>
  <c r="N151" i="60" s="1"/>
  <c r="N152" i="60" a="1"/>
  <c r="N152" i="60" s="1"/>
  <c r="N153" i="60" a="1"/>
  <c r="N153" i="60" s="1"/>
  <c r="N154" i="60" a="1"/>
  <c r="N154" i="60" s="1"/>
  <c r="N155" i="60" a="1"/>
  <c r="N155" i="60" s="1"/>
  <c r="N156" i="60" a="1"/>
  <c r="N156" i="60" s="1"/>
  <c r="N157" i="60" a="1"/>
  <c r="N157" i="60" s="1"/>
  <c r="N158" i="60" a="1"/>
  <c r="N158" i="60" s="1"/>
  <c r="N159" i="60" a="1"/>
  <c r="N159" i="60" s="1"/>
  <c r="N160" i="60" a="1"/>
  <c r="N160" i="60" s="1"/>
  <c r="N161" i="60" a="1"/>
  <c r="N161" i="60" s="1"/>
  <c r="N162" i="60" a="1"/>
  <c r="N162" i="60" s="1"/>
  <c r="N163" i="60" a="1"/>
  <c r="N163" i="60" s="1"/>
  <c r="N164" i="60" a="1"/>
  <c r="N164" i="60" s="1"/>
  <c r="N165" i="60" a="1"/>
  <c r="N165" i="60" s="1"/>
  <c r="N166" i="60" a="1"/>
  <c r="N166" i="60" s="1"/>
  <c r="N167" i="60" a="1"/>
  <c r="N167" i="60" s="1"/>
  <c r="N168" i="60" a="1"/>
  <c r="N168" i="60" s="1"/>
  <c r="N169" i="60" a="1"/>
  <c r="N169" i="60" s="1"/>
  <c r="N170" i="60" a="1"/>
  <c r="N170" i="60" s="1"/>
  <c r="N171" i="60" a="1"/>
  <c r="N171" i="60" s="1"/>
  <c r="N172" i="60" a="1"/>
  <c r="N172" i="60" s="1"/>
  <c r="N173" i="60" a="1"/>
  <c r="N173" i="60" s="1"/>
  <c r="N174" i="60" a="1"/>
  <c r="N174" i="60" s="1"/>
  <c r="N175" i="60" a="1"/>
  <c r="N175" i="60" s="1"/>
  <c r="N176" i="60" a="1"/>
  <c r="N176" i="60" s="1"/>
  <c r="N177" i="60" a="1"/>
  <c r="N177" i="60" s="1"/>
  <c r="N178" i="60" a="1"/>
  <c r="N178" i="60" s="1"/>
  <c r="N179" i="60" a="1"/>
  <c r="N179" i="60" s="1"/>
  <c r="N180" i="60" a="1"/>
  <c r="N180" i="60" s="1"/>
  <c r="N181" i="60" a="1"/>
  <c r="N181" i="60" s="1"/>
  <c r="N182" i="60" a="1"/>
  <c r="N182" i="60" s="1"/>
  <c r="N183" i="60" a="1"/>
  <c r="N183" i="60" s="1"/>
  <c r="N184" i="60" a="1"/>
  <c r="N184" i="60" s="1"/>
  <c r="N185" i="60" a="1"/>
  <c r="N185" i="60" s="1"/>
  <c r="N186" i="60" a="1"/>
  <c r="N186" i="60" s="1"/>
  <c r="N187" i="60" a="1"/>
  <c r="N187" i="60" s="1"/>
  <c r="N188" i="60" a="1"/>
  <c r="N188" i="60" s="1"/>
  <c r="N189" i="60" a="1"/>
  <c r="N189" i="60" s="1"/>
  <c r="N190" i="60" a="1"/>
  <c r="N190" i="60" s="1"/>
  <c r="N191" i="60" a="1"/>
  <c r="N191" i="60" s="1"/>
  <c r="N192" i="60" a="1"/>
  <c r="N192" i="60" s="1"/>
  <c r="N193" i="60" a="1"/>
  <c r="N193" i="60" s="1"/>
  <c r="N194" i="60" a="1"/>
  <c r="N194" i="60" s="1"/>
  <c r="N195" i="60" a="1"/>
  <c r="N195" i="60" s="1"/>
  <c r="N196" i="60" a="1"/>
  <c r="N196" i="60" s="1"/>
  <c r="N197" i="60" a="1"/>
  <c r="N197" i="60" s="1"/>
  <c r="N198" i="60" a="1"/>
  <c r="N198" i="60" s="1"/>
  <c r="N199" i="60" a="1"/>
  <c r="N199" i="60" s="1"/>
  <c r="N200" i="60" a="1"/>
  <c r="N200" i="60" s="1"/>
  <c r="N201" i="60" a="1"/>
  <c r="N201" i="60" s="1"/>
  <c r="N202" i="60" a="1"/>
  <c r="N202" i="60" s="1"/>
  <c r="N203" i="60" a="1"/>
  <c r="N203" i="60" s="1"/>
  <c r="N204" i="60" a="1"/>
  <c r="N204" i="60" s="1"/>
  <c r="N205" i="60" a="1"/>
  <c r="N205" i="60" s="1"/>
  <c r="N206" i="60" a="1"/>
  <c r="N206" i="60" s="1"/>
  <c r="N207" i="60" a="1"/>
  <c r="N207" i="60" s="1"/>
  <c r="N208" i="60" a="1"/>
  <c r="N208" i="60" s="1"/>
  <c r="N209" i="60" a="1"/>
  <c r="N209" i="60" s="1"/>
  <c r="N210" i="60" a="1"/>
  <c r="N210" i="60" s="1"/>
  <c r="N211" i="60" a="1"/>
  <c r="N211" i="60" s="1"/>
  <c r="N212" i="60" a="1"/>
  <c r="N212" i="60" s="1"/>
  <c r="N213" i="60" a="1"/>
  <c r="N213" i="60" s="1"/>
  <c r="N214" i="60" a="1"/>
  <c r="N214" i="60" s="1"/>
  <c r="N215" i="60" a="1"/>
  <c r="N215" i="60" s="1"/>
  <c r="N216" i="60" a="1"/>
  <c r="N216" i="60" s="1"/>
  <c r="N217" i="60" a="1"/>
  <c r="N217" i="60" s="1"/>
  <c r="N218" i="60" a="1"/>
  <c r="N218" i="60" s="1"/>
  <c r="N219" i="60" a="1"/>
  <c r="N219" i="60" s="1"/>
  <c r="N220" i="60" a="1"/>
  <c r="N220" i="60" s="1"/>
  <c r="N221" i="60" a="1"/>
  <c r="N221" i="60" s="1"/>
  <c r="N222" i="60" a="1"/>
  <c r="N222" i="60" s="1"/>
  <c r="N223" i="60" a="1"/>
  <c r="N223" i="60" s="1"/>
  <c r="N224" i="60" a="1"/>
  <c r="N224" i="60" s="1"/>
  <c r="N225" i="60" a="1"/>
  <c r="N225" i="60" s="1"/>
  <c r="N226" i="60" a="1"/>
  <c r="N226" i="60" s="1"/>
  <c r="N227" i="60" a="1"/>
  <c r="N227" i="60" s="1"/>
  <c r="N228" i="60" a="1"/>
  <c r="N228" i="60" s="1"/>
  <c r="N229" i="60" a="1"/>
  <c r="N229" i="60" s="1"/>
  <c r="N230" i="60" a="1"/>
  <c r="N230" i="60" s="1"/>
  <c r="N231" i="60" a="1"/>
  <c r="N231" i="60" s="1"/>
  <c r="N232" i="60" a="1"/>
  <c r="N232" i="60" s="1"/>
  <c r="N233" i="60" a="1"/>
  <c r="N233" i="60" s="1"/>
  <c r="N234" i="60" a="1"/>
  <c r="N234" i="60" s="1"/>
  <c r="N235" i="60" a="1"/>
  <c r="N235" i="60" s="1"/>
  <c r="N236" i="60" a="1"/>
  <c r="N236" i="60" s="1"/>
  <c r="N237" i="60" a="1"/>
  <c r="N237" i="60" s="1"/>
  <c r="N238" i="60" a="1"/>
  <c r="N238" i="60" s="1"/>
  <c r="N239" i="60" a="1"/>
  <c r="N239" i="60" s="1"/>
  <c r="N240" i="60" a="1"/>
  <c r="N240" i="60" s="1"/>
  <c r="N241" i="60" a="1"/>
  <c r="N241" i="60" s="1"/>
  <c r="N242" i="60" a="1"/>
  <c r="N242" i="60" s="1"/>
  <c r="N243" i="60" a="1"/>
  <c r="N243" i="60" s="1"/>
  <c r="N244" i="60" a="1"/>
  <c r="N244" i="60" s="1"/>
  <c r="N245" i="60" a="1"/>
  <c r="N245" i="60" s="1"/>
  <c r="N246" i="60" a="1"/>
  <c r="N246" i="60" s="1"/>
  <c r="N247" i="60" a="1"/>
  <c r="N247" i="60" s="1"/>
  <c r="N248" i="60" a="1"/>
  <c r="N248" i="60" s="1"/>
  <c r="N249" i="60" a="1"/>
  <c r="N249" i="60" s="1"/>
  <c r="N250" i="60" a="1"/>
  <c r="N250" i="60" s="1"/>
  <c r="N251" i="60" a="1"/>
  <c r="N251" i="60" s="1"/>
  <c r="N252" i="60" a="1"/>
  <c r="N252" i="60" s="1"/>
  <c r="O26" i="60" a="1"/>
  <c r="O26" i="60" s="1"/>
  <c r="O27" i="60" a="1"/>
  <c r="O27" i="60" s="1"/>
  <c r="O28" i="60" a="1"/>
  <c r="O28" i="60" s="1"/>
  <c r="O29" i="60" a="1"/>
  <c r="O29" i="60" s="1"/>
  <c r="O30" i="60" a="1"/>
  <c r="O30" i="60" s="1"/>
  <c r="O31" i="60" a="1"/>
  <c r="O31" i="60" s="1"/>
  <c r="O32" i="60" a="1"/>
  <c r="O32" i="60" s="1"/>
  <c r="O33" i="60" a="1"/>
  <c r="O33" i="60" s="1"/>
  <c r="O34" i="60" a="1"/>
  <c r="O34" i="60" s="1"/>
  <c r="O35" i="60" a="1"/>
  <c r="O35" i="60" s="1"/>
  <c r="O36" i="60" a="1"/>
  <c r="O36" i="60" s="1"/>
  <c r="O37" i="60" a="1"/>
  <c r="O37" i="60" s="1"/>
  <c r="O38" i="60" a="1"/>
  <c r="O38" i="60" s="1"/>
  <c r="O39" i="60" a="1"/>
  <c r="O39" i="60" s="1"/>
  <c r="O40" i="60" a="1"/>
  <c r="O40" i="60" s="1"/>
  <c r="O41" i="60" a="1"/>
  <c r="O41" i="60" s="1"/>
  <c r="O42" i="60" a="1"/>
  <c r="O42" i="60" s="1"/>
  <c r="O43" i="60" a="1"/>
  <c r="O43" i="60" s="1"/>
  <c r="O44" i="60" a="1"/>
  <c r="O44" i="60" s="1"/>
  <c r="O45" i="60" a="1"/>
  <c r="O45" i="60" s="1"/>
  <c r="O46" i="60" a="1"/>
  <c r="O46" i="60" s="1"/>
  <c r="O47" i="60" a="1"/>
  <c r="O47" i="60" s="1"/>
  <c r="O48" i="60" a="1"/>
  <c r="O48" i="60" s="1"/>
  <c r="O49" i="60" a="1"/>
  <c r="O49" i="60" s="1"/>
  <c r="O50" i="60" a="1"/>
  <c r="O50" i="60" s="1"/>
  <c r="O51" i="60" a="1"/>
  <c r="O51" i="60" s="1"/>
  <c r="O52" i="60" a="1"/>
  <c r="O52" i="60" s="1"/>
  <c r="O53" i="60" a="1"/>
  <c r="O53" i="60" s="1"/>
  <c r="O54" i="60" a="1"/>
  <c r="O54" i="60" s="1"/>
  <c r="O55" i="60" a="1"/>
  <c r="O55" i="60" s="1"/>
  <c r="O56" i="60" a="1"/>
  <c r="O56" i="60" s="1"/>
  <c r="O57" i="60" a="1"/>
  <c r="O57" i="60" s="1"/>
  <c r="O58" i="60" a="1"/>
  <c r="O58" i="60" s="1"/>
  <c r="O59" i="60" a="1"/>
  <c r="O59" i="60" s="1"/>
  <c r="O60" i="60" a="1"/>
  <c r="O60" i="60" s="1"/>
  <c r="O61" i="60" a="1"/>
  <c r="O61" i="60" s="1"/>
  <c r="O62" i="60" a="1"/>
  <c r="O62" i="60" s="1"/>
  <c r="O63" i="60" a="1"/>
  <c r="O63" i="60" s="1"/>
  <c r="O64" i="60" a="1"/>
  <c r="O64" i="60" s="1"/>
  <c r="O65" i="60" a="1"/>
  <c r="O65" i="60" s="1"/>
  <c r="O66" i="60" a="1"/>
  <c r="O66" i="60" s="1"/>
  <c r="O67" i="60" a="1"/>
  <c r="O67" i="60" s="1"/>
  <c r="O68" i="60" a="1"/>
  <c r="O68" i="60" s="1"/>
  <c r="O69" i="60" a="1"/>
  <c r="O69" i="60" s="1"/>
  <c r="O70" i="60" a="1"/>
  <c r="O70" i="60" s="1"/>
  <c r="O71" i="60" a="1"/>
  <c r="O71" i="60" s="1"/>
  <c r="O72" i="60" a="1"/>
  <c r="O72" i="60" s="1"/>
  <c r="O73" i="60" a="1"/>
  <c r="O73" i="60" s="1"/>
  <c r="O74" i="60" a="1"/>
  <c r="O74" i="60" s="1"/>
  <c r="O75" i="60" a="1"/>
  <c r="O75" i="60" s="1"/>
  <c r="O76" i="60" a="1"/>
  <c r="O76" i="60" s="1"/>
  <c r="O77" i="60" a="1"/>
  <c r="O77" i="60" s="1"/>
  <c r="O78" i="60" a="1"/>
  <c r="O78" i="60" s="1"/>
  <c r="O79" i="60" a="1"/>
  <c r="O79" i="60" s="1"/>
  <c r="O80" i="60" a="1"/>
  <c r="O80" i="60" s="1"/>
  <c r="O81" i="60" a="1"/>
  <c r="O81" i="60" s="1"/>
  <c r="O82" i="60" a="1"/>
  <c r="O82" i="60" s="1"/>
  <c r="O83" i="60" a="1"/>
  <c r="O83" i="60" s="1"/>
  <c r="O84" i="60" a="1"/>
  <c r="O84" i="60" s="1"/>
  <c r="O85" i="60" a="1"/>
  <c r="O85" i="60" s="1"/>
  <c r="O86" i="60" a="1"/>
  <c r="O86" i="60" s="1"/>
  <c r="O87" i="60" a="1"/>
  <c r="O87" i="60" s="1"/>
  <c r="O88" i="60" a="1"/>
  <c r="O88" i="60" s="1"/>
  <c r="O89" i="60" a="1"/>
  <c r="O89" i="60" s="1"/>
  <c r="O90" i="60" a="1"/>
  <c r="O90" i="60" s="1"/>
  <c r="O91" i="60" a="1"/>
  <c r="O91" i="60" s="1"/>
  <c r="O92" i="60" a="1"/>
  <c r="O92" i="60" s="1"/>
  <c r="O93" i="60" a="1"/>
  <c r="O93" i="60" s="1"/>
  <c r="O94" i="60" a="1"/>
  <c r="O94" i="60" s="1"/>
  <c r="O95" i="60" a="1"/>
  <c r="O95" i="60" s="1"/>
  <c r="O96" i="60" a="1"/>
  <c r="O96" i="60" s="1"/>
  <c r="O97" i="60" a="1"/>
  <c r="O97" i="60" s="1"/>
  <c r="O98" i="60" a="1"/>
  <c r="O98" i="60" s="1"/>
  <c r="O99" i="60" a="1"/>
  <c r="O99" i="60" s="1"/>
  <c r="O100" i="60" a="1"/>
  <c r="O100" i="60" s="1"/>
  <c r="O101" i="60" a="1"/>
  <c r="O101" i="60" s="1"/>
  <c r="O102" i="60" a="1"/>
  <c r="O102" i="60" s="1"/>
  <c r="O103" i="60" a="1"/>
  <c r="O103" i="60" s="1"/>
  <c r="O104" i="60" a="1"/>
  <c r="O104" i="60" s="1"/>
  <c r="O105" i="60" a="1"/>
  <c r="O105" i="60" s="1"/>
  <c r="O106" i="60" a="1"/>
  <c r="O106" i="60" s="1"/>
  <c r="O107" i="60" a="1"/>
  <c r="O107" i="60" s="1"/>
  <c r="O108" i="60" a="1"/>
  <c r="O108" i="60" s="1"/>
  <c r="O109" i="60" a="1"/>
  <c r="O109" i="60" s="1"/>
  <c r="O110" i="60" a="1"/>
  <c r="O110" i="60" s="1"/>
  <c r="O111" i="60" a="1"/>
  <c r="O111" i="60" s="1"/>
  <c r="O112" i="60" a="1"/>
  <c r="O112" i="60" s="1"/>
  <c r="O113" i="60" a="1"/>
  <c r="O113" i="60" s="1"/>
  <c r="O114" i="60" a="1"/>
  <c r="O114" i="60" s="1"/>
  <c r="O115" i="60" a="1"/>
  <c r="O115" i="60" s="1"/>
  <c r="O116" i="60" a="1"/>
  <c r="O116" i="60" s="1"/>
  <c r="O117" i="60" a="1"/>
  <c r="O117" i="60" s="1"/>
  <c r="O118" i="60" a="1"/>
  <c r="O118" i="60" s="1"/>
  <c r="O119" i="60" a="1"/>
  <c r="O119" i="60" s="1"/>
  <c r="O120" i="60" a="1"/>
  <c r="O120" i="60" s="1"/>
  <c r="O121" i="60" a="1"/>
  <c r="O121" i="60" s="1"/>
  <c r="O122" i="60" a="1"/>
  <c r="O122" i="60" s="1"/>
  <c r="O123" i="60" a="1"/>
  <c r="O123" i="60" s="1"/>
  <c r="O124" i="60" a="1"/>
  <c r="O124" i="60" s="1"/>
  <c r="O125" i="60" a="1"/>
  <c r="O125" i="60" s="1"/>
  <c r="O126" i="60" a="1"/>
  <c r="O126" i="60" s="1"/>
  <c r="O127" i="60" a="1"/>
  <c r="O127" i="60" s="1"/>
  <c r="O128" i="60" a="1"/>
  <c r="O128" i="60" s="1"/>
  <c r="O129" i="60" a="1"/>
  <c r="O129" i="60" s="1"/>
  <c r="O130" i="60" a="1"/>
  <c r="O130" i="60" s="1"/>
  <c r="O131" i="60" a="1"/>
  <c r="O131" i="60" s="1"/>
  <c r="O132" i="60" a="1"/>
  <c r="O132" i="60" s="1"/>
  <c r="O133" i="60" a="1"/>
  <c r="O133" i="60" s="1"/>
  <c r="O134" i="60" a="1"/>
  <c r="O134" i="60" s="1"/>
  <c r="O135" i="60" a="1"/>
  <c r="O135" i="60" s="1"/>
  <c r="O136" i="60" a="1"/>
  <c r="O136" i="60" s="1"/>
  <c r="O137" i="60" a="1"/>
  <c r="O137" i="60" s="1"/>
  <c r="O138" i="60" a="1"/>
  <c r="O138" i="60" s="1"/>
  <c r="O139" i="60" a="1"/>
  <c r="O139" i="60" s="1"/>
  <c r="O140" i="60" a="1"/>
  <c r="O140" i="60" s="1"/>
  <c r="O141" i="60" a="1"/>
  <c r="O141" i="60" s="1"/>
  <c r="O142" i="60" a="1"/>
  <c r="O142" i="60" s="1"/>
  <c r="O143" i="60" a="1"/>
  <c r="O143" i="60" s="1"/>
  <c r="O144" i="60" a="1"/>
  <c r="O144" i="60" s="1"/>
  <c r="O145" i="60" a="1"/>
  <c r="O145" i="60" s="1"/>
  <c r="O146" i="60" a="1"/>
  <c r="O146" i="60" s="1"/>
  <c r="O147" i="60" a="1"/>
  <c r="O147" i="60" s="1"/>
  <c r="O148" i="60" a="1"/>
  <c r="O148" i="60" s="1"/>
  <c r="O149" i="60" a="1"/>
  <c r="O149" i="60" s="1"/>
  <c r="O150" i="60" a="1"/>
  <c r="O150" i="60" s="1"/>
  <c r="O151" i="60" a="1"/>
  <c r="O151" i="60" s="1"/>
  <c r="O152" i="60" a="1"/>
  <c r="O152" i="60" s="1"/>
  <c r="O153" i="60" a="1"/>
  <c r="O153" i="60" s="1"/>
  <c r="O154" i="60" a="1"/>
  <c r="O154" i="60" s="1"/>
  <c r="O155" i="60" a="1"/>
  <c r="O155" i="60" s="1"/>
  <c r="O156" i="60" a="1"/>
  <c r="O156" i="60" s="1"/>
  <c r="O157" i="60" a="1"/>
  <c r="O157" i="60" s="1"/>
  <c r="O158" i="60" a="1"/>
  <c r="O158" i="60" s="1"/>
  <c r="O159" i="60" a="1"/>
  <c r="O159" i="60" s="1"/>
  <c r="O160" i="60" a="1"/>
  <c r="O160" i="60" s="1"/>
  <c r="O161" i="60" a="1"/>
  <c r="O161" i="60" s="1"/>
  <c r="O162" i="60" a="1"/>
  <c r="O162" i="60" s="1"/>
  <c r="O163" i="60" a="1"/>
  <c r="O163" i="60" s="1"/>
  <c r="O164" i="60" a="1"/>
  <c r="O164" i="60" s="1"/>
  <c r="O165" i="60" a="1"/>
  <c r="O165" i="60" s="1"/>
  <c r="O166" i="60" a="1"/>
  <c r="O166" i="60" s="1"/>
  <c r="O167" i="60" a="1"/>
  <c r="O167" i="60" s="1"/>
  <c r="O168" i="60" a="1"/>
  <c r="O168" i="60" s="1"/>
  <c r="O169" i="60" a="1"/>
  <c r="O169" i="60" s="1"/>
  <c r="O170" i="60" a="1"/>
  <c r="O170" i="60" s="1"/>
  <c r="O171" i="60" a="1"/>
  <c r="O171" i="60" s="1"/>
  <c r="O172" i="60" a="1"/>
  <c r="O172" i="60" s="1"/>
  <c r="O173" i="60" a="1"/>
  <c r="O173" i="60" s="1"/>
  <c r="O174" i="60" a="1"/>
  <c r="O174" i="60" s="1"/>
  <c r="O175" i="60" a="1"/>
  <c r="O175" i="60" s="1"/>
  <c r="O176" i="60" a="1"/>
  <c r="O176" i="60" s="1"/>
  <c r="O177" i="60" a="1"/>
  <c r="O177" i="60" s="1"/>
  <c r="O178" i="60" a="1"/>
  <c r="O178" i="60" s="1"/>
  <c r="O179" i="60" a="1"/>
  <c r="O179" i="60" s="1"/>
  <c r="O180" i="60" a="1"/>
  <c r="O180" i="60" s="1"/>
  <c r="O181" i="60" a="1"/>
  <c r="O181" i="60" s="1"/>
  <c r="O182" i="60" a="1"/>
  <c r="O182" i="60" s="1"/>
  <c r="O183" i="60" a="1"/>
  <c r="O183" i="60" s="1"/>
  <c r="O184" i="60" a="1"/>
  <c r="O184" i="60" s="1"/>
  <c r="O185" i="60" a="1"/>
  <c r="O185" i="60" s="1"/>
  <c r="O186" i="60" a="1"/>
  <c r="O186" i="60" s="1"/>
  <c r="O187" i="60" a="1"/>
  <c r="O187" i="60" s="1"/>
  <c r="O188" i="60" a="1"/>
  <c r="O188" i="60" s="1"/>
  <c r="O189" i="60" a="1"/>
  <c r="O189" i="60" s="1"/>
  <c r="O190" i="60" a="1"/>
  <c r="O190" i="60" s="1"/>
  <c r="O191" i="60" a="1"/>
  <c r="O191" i="60" s="1"/>
  <c r="O192" i="60" a="1"/>
  <c r="O192" i="60" s="1"/>
  <c r="O193" i="60" a="1"/>
  <c r="O193" i="60" s="1"/>
  <c r="O194" i="60" a="1"/>
  <c r="O194" i="60" s="1"/>
  <c r="O195" i="60" a="1"/>
  <c r="O195" i="60" s="1"/>
  <c r="O196" i="60" a="1"/>
  <c r="O196" i="60" s="1"/>
  <c r="O197" i="60" a="1"/>
  <c r="O197" i="60" s="1"/>
  <c r="O198" i="60" a="1"/>
  <c r="O198" i="60" s="1"/>
  <c r="O199" i="60" a="1"/>
  <c r="O199" i="60" s="1"/>
  <c r="O200" i="60" a="1"/>
  <c r="O200" i="60" s="1"/>
  <c r="O201" i="60" a="1"/>
  <c r="O201" i="60" s="1"/>
  <c r="O202" i="60" a="1"/>
  <c r="O202" i="60" s="1"/>
  <c r="O203" i="60" a="1"/>
  <c r="O203" i="60" s="1"/>
  <c r="O204" i="60" a="1"/>
  <c r="O204" i="60" s="1"/>
  <c r="O205" i="60" a="1"/>
  <c r="O205" i="60" s="1"/>
  <c r="O206" i="60" a="1"/>
  <c r="O206" i="60" s="1"/>
  <c r="O207" i="60" a="1"/>
  <c r="O207" i="60" s="1"/>
  <c r="O208" i="60" a="1"/>
  <c r="O208" i="60" s="1"/>
  <c r="O209" i="60" a="1"/>
  <c r="O209" i="60" s="1"/>
  <c r="O210" i="60" a="1"/>
  <c r="O210" i="60" s="1"/>
  <c r="O211" i="60" a="1"/>
  <c r="O211" i="60" s="1"/>
  <c r="O212" i="60" a="1"/>
  <c r="O212" i="60" s="1"/>
  <c r="O213" i="60" a="1"/>
  <c r="O213" i="60" s="1"/>
  <c r="O214" i="60" a="1"/>
  <c r="O214" i="60" s="1"/>
  <c r="O215" i="60" a="1"/>
  <c r="O215" i="60" s="1"/>
  <c r="O216" i="60" a="1"/>
  <c r="O216" i="60" s="1"/>
  <c r="O217" i="60" a="1"/>
  <c r="O217" i="60" s="1"/>
  <c r="O218" i="60" a="1"/>
  <c r="O218" i="60" s="1"/>
  <c r="O219" i="60" a="1"/>
  <c r="O219" i="60" s="1"/>
  <c r="O220" i="60" a="1"/>
  <c r="O220" i="60" s="1"/>
  <c r="O221" i="60" a="1"/>
  <c r="O221" i="60" s="1"/>
  <c r="O222" i="60" a="1"/>
  <c r="O222" i="60" s="1"/>
  <c r="O223" i="60" a="1"/>
  <c r="O223" i="60" s="1"/>
  <c r="O224" i="60" a="1"/>
  <c r="O224" i="60" s="1"/>
  <c r="O225" i="60" a="1"/>
  <c r="O225" i="60" s="1"/>
  <c r="O226" i="60" a="1"/>
  <c r="O226" i="60" s="1"/>
  <c r="O227" i="60" a="1"/>
  <c r="O227" i="60" s="1"/>
  <c r="O228" i="60" a="1"/>
  <c r="O228" i="60" s="1"/>
  <c r="O229" i="60" a="1"/>
  <c r="O229" i="60" s="1"/>
  <c r="O230" i="60" a="1"/>
  <c r="O230" i="60" s="1"/>
  <c r="O231" i="60" a="1"/>
  <c r="O231" i="60" s="1"/>
  <c r="O232" i="60" a="1"/>
  <c r="O232" i="60" s="1"/>
  <c r="O233" i="60" a="1"/>
  <c r="O233" i="60" s="1"/>
  <c r="O234" i="60" a="1"/>
  <c r="O234" i="60" s="1"/>
  <c r="O235" i="60" a="1"/>
  <c r="O235" i="60" s="1"/>
  <c r="O236" i="60" a="1"/>
  <c r="O236" i="60" s="1"/>
  <c r="O237" i="60" a="1"/>
  <c r="O237" i="60" s="1"/>
  <c r="O238" i="60" a="1"/>
  <c r="O238" i="60" s="1"/>
  <c r="O239" i="60" a="1"/>
  <c r="O239" i="60" s="1"/>
  <c r="O240" i="60" a="1"/>
  <c r="O240" i="60" s="1"/>
  <c r="O241" i="60" a="1"/>
  <c r="O241" i="60" s="1"/>
  <c r="O242" i="60" a="1"/>
  <c r="O242" i="60" s="1"/>
  <c r="O243" i="60" a="1"/>
  <c r="O243" i="60" s="1"/>
  <c r="O244" i="60" a="1"/>
  <c r="O244" i="60" s="1"/>
  <c r="O245" i="60" a="1"/>
  <c r="O245" i="60" s="1"/>
  <c r="O246" i="60" a="1"/>
  <c r="O246" i="60" s="1"/>
  <c r="O247" i="60" a="1"/>
  <c r="O247" i="60" s="1"/>
  <c r="O248" i="60" a="1"/>
  <c r="O248" i="60" s="1"/>
  <c r="O249" i="60" a="1"/>
  <c r="O249" i="60" s="1"/>
  <c r="O250" i="60" a="1"/>
  <c r="O250" i="60" s="1"/>
  <c r="O251" i="60" a="1"/>
  <c r="O251" i="60" s="1"/>
  <c r="O252" i="60" a="1"/>
  <c r="O252" i="60" s="1"/>
  <c r="P26" i="60"/>
  <c r="P27" i="60"/>
  <c r="P28" i="60"/>
  <c r="P29" i="60"/>
  <c r="P30" i="60"/>
  <c r="P31" i="60"/>
  <c r="P32" i="60"/>
  <c r="P33" i="60"/>
  <c r="P34" i="60"/>
  <c r="P35" i="60"/>
  <c r="P36" i="60"/>
  <c r="P37" i="60"/>
  <c r="P38" i="60"/>
  <c r="P39" i="60"/>
  <c r="P40" i="60"/>
  <c r="P41" i="60"/>
  <c r="P42" i="60"/>
  <c r="P43" i="60"/>
  <c r="P44" i="60"/>
  <c r="P45" i="60"/>
  <c r="P46" i="60"/>
  <c r="P47" i="60"/>
  <c r="P48" i="60"/>
  <c r="P49" i="60"/>
  <c r="P50" i="60"/>
  <c r="P51" i="60"/>
  <c r="P52" i="60"/>
  <c r="P53" i="60"/>
  <c r="P54" i="60"/>
  <c r="P55" i="60"/>
  <c r="P56" i="60"/>
  <c r="P57" i="60"/>
  <c r="P58" i="60"/>
  <c r="P59" i="60"/>
  <c r="P60" i="60"/>
  <c r="P61" i="60"/>
  <c r="P62" i="60"/>
  <c r="P63" i="60"/>
  <c r="P64" i="60"/>
  <c r="P65" i="60"/>
  <c r="P66" i="60"/>
  <c r="P67" i="60"/>
  <c r="P68" i="60"/>
  <c r="P69" i="60"/>
  <c r="P70" i="60"/>
  <c r="P71" i="60"/>
  <c r="P72" i="60"/>
  <c r="P73" i="60"/>
  <c r="P74" i="60"/>
  <c r="P75" i="60"/>
  <c r="P76" i="60"/>
  <c r="P77" i="60"/>
  <c r="P78" i="60"/>
  <c r="P79" i="60"/>
  <c r="P80" i="60"/>
  <c r="P81" i="60"/>
  <c r="P82" i="60"/>
  <c r="P83" i="60"/>
  <c r="P84" i="60"/>
  <c r="P85" i="60"/>
  <c r="P86" i="60"/>
  <c r="P87" i="60"/>
  <c r="P88" i="60"/>
  <c r="P89" i="60"/>
  <c r="P90" i="60"/>
  <c r="P91" i="60"/>
  <c r="P92" i="60"/>
  <c r="P93" i="60"/>
  <c r="P94" i="60"/>
  <c r="P95" i="60"/>
  <c r="P96" i="60"/>
  <c r="P97" i="60"/>
  <c r="P98" i="60"/>
  <c r="P99" i="60"/>
  <c r="P100" i="60"/>
  <c r="P101" i="60"/>
  <c r="P102" i="60"/>
  <c r="P103" i="60"/>
  <c r="P104" i="60"/>
  <c r="P105" i="60"/>
  <c r="P106" i="60"/>
  <c r="P107" i="60"/>
  <c r="P108" i="60"/>
  <c r="P109" i="60"/>
  <c r="P110" i="60"/>
  <c r="P111" i="60"/>
  <c r="P112" i="60"/>
  <c r="P113" i="60"/>
  <c r="P114" i="60"/>
  <c r="P115" i="60"/>
  <c r="P116" i="60"/>
  <c r="P117" i="60"/>
  <c r="P118" i="60"/>
  <c r="P119" i="60"/>
  <c r="P120" i="60"/>
  <c r="P121" i="60"/>
  <c r="P122" i="60"/>
  <c r="P123" i="60"/>
  <c r="P124" i="60"/>
  <c r="P125" i="60"/>
  <c r="P126" i="60"/>
  <c r="P127" i="60"/>
  <c r="P128" i="60"/>
  <c r="P129" i="60"/>
  <c r="P130" i="60"/>
  <c r="P131" i="60"/>
  <c r="P132" i="60"/>
  <c r="P133" i="60"/>
  <c r="P134" i="60"/>
  <c r="P135" i="60"/>
  <c r="P136" i="60"/>
  <c r="P137" i="60"/>
  <c r="P138" i="60"/>
  <c r="P139" i="60"/>
  <c r="P140" i="60"/>
  <c r="P141" i="60"/>
  <c r="P142" i="60"/>
  <c r="P143" i="60"/>
  <c r="P144" i="60"/>
  <c r="P145" i="60"/>
  <c r="P146" i="60"/>
  <c r="P147" i="60"/>
  <c r="P148" i="60"/>
  <c r="P149" i="60"/>
  <c r="P150" i="60"/>
  <c r="P151" i="60"/>
  <c r="P152" i="60"/>
  <c r="P153" i="60"/>
  <c r="P154" i="60"/>
  <c r="P155" i="60"/>
  <c r="P156" i="60"/>
  <c r="P157" i="60"/>
  <c r="P158" i="60"/>
  <c r="P159" i="60"/>
  <c r="P160" i="60"/>
  <c r="P161" i="60"/>
  <c r="P162" i="60"/>
  <c r="P163" i="60"/>
  <c r="P164" i="60"/>
  <c r="P165" i="60"/>
  <c r="P166" i="60"/>
  <c r="P167" i="60"/>
  <c r="P168" i="60"/>
  <c r="P169" i="60"/>
  <c r="P170" i="60"/>
  <c r="P171" i="60"/>
  <c r="P172" i="60"/>
  <c r="P173" i="60"/>
  <c r="P174" i="60"/>
  <c r="P175" i="60"/>
  <c r="P176" i="60"/>
  <c r="P177" i="60"/>
  <c r="P178" i="60"/>
  <c r="P179" i="60"/>
  <c r="P180" i="60"/>
  <c r="P181" i="60"/>
  <c r="P182" i="60"/>
  <c r="P183" i="60"/>
  <c r="P184" i="60"/>
  <c r="P185" i="60"/>
  <c r="P186" i="60"/>
  <c r="P187" i="60"/>
  <c r="P188" i="60"/>
  <c r="P189" i="60"/>
  <c r="P190" i="60"/>
  <c r="P191" i="60"/>
  <c r="P192" i="60"/>
  <c r="P193" i="60"/>
  <c r="P194" i="60"/>
  <c r="P195" i="60"/>
  <c r="P196" i="60"/>
  <c r="P197" i="60"/>
  <c r="P198" i="60"/>
  <c r="P199" i="60"/>
  <c r="P200" i="60"/>
  <c r="P201" i="60"/>
  <c r="P202" i="60"/>
  <c r="P203" i="60"/>
  <c r="P204" i="60"/>
  <c r="P205" i="60"/>
  <c r="P206" i="60"/>
  <c r="P207" i="60"/>
  <c r="P208" i="60"/>
  <c r="P209" i="60"/>
  <c r="P210" i="60"/>
  <c r="P211" i="60"/>
  <c r="P212" i="60"/>
  <c r="P213" i="60"/>
  <c r="P214" i="60"/>
  <c r="P215" i="60"/>
  <c r="P216" i="60"/>
  <c r="P217" i="60"/>
  <c r="P218" i="60"/>
  <c r="P219" i="60"/>
  <c r="P220" i="60"/>
  <c r="P221" i="60"/>
  <c r="P222" i="60"/>
  <c r="P223" i="60"/>
  <c r="P224" i="60"/>
  <c r="P225" i="60"/>
  <c r="P226" i="60"/>
  <c r="P227" i="60"/>
  <c r="P228" i="60"/>
  <c r="P229" i="60"/>
  <c r="P230" i="60"/>
  <c r="P231" i="60"/>
  <c r="P232" i="60"/>
  <c r="P233" i="60"/>
  <c r="P234" i="60"/>
  <c r="P235" i="60"/>
  <c r="P236" i="60"/>
  <c r="P237" i="60"/>
  <c r="P238" i="60"/>
  <c r="P239" i="60"/>
  <c r="P240" i="60"/>
  <c r="P241" i="60"/>
  <c r="P242" i="60"/>
  <c r="P243" i="60"/>
  <c r="P244" i="60"/>
  <c r="P245" i="60"/>
  <c r="P246" i="60"/>
  <c r="P247" i="60"/>
  <c r="P248" i="60"/>
  <c r="P249" i="60"/>
  <c r="P250" i="60"/>
  <c r="P251" i="60"/>
  <c r="P252" i="60"/>
  <c r="Q26" i="60"/>
  <c r="Q27" i="60"/>
  <c r="Q28" i="60"/>
  <c r="Q29" i="60"/>
  <c r="Q30" i="60"/>
  <c r="Q31" i="60"/>
  <c r="Q32" i="60"/>
  <c r="Q33" i="60"/>
  <c r="Q34" i="60"/>
  <c r="Q35" i="60"/>
  <c r="Q36" i="60"/>
  <c r="Q37" i="60"/>
  <c r="Q38" i="60"/>
  <c r="Q39" i="60"/>
  <c r="Q40" i="60"/>
  <c r="Q41" i="60"/>
  <c r="Q42" i="60"/>
  <c r="Q43" i="60"/>
  <c r="Q44" i="60"/>
  <c r="Q45" i="60"/>
  <c r="Q46" i="60"/>
  <c r="Q47" i="60"/>
  <c r="Q48" i="60"/>
  <c r="Q49" i="60"/>
  <c r="Q50" i="60"/>
  <c r="Q51" i="60"/>
  <c r="Q52" i="60"/>
  <c r="Q53" i="60"/>
  <c r="Q54" i="60"/>
  <c r="Q55" i="60"/>
  <c r="Q56" i="60"/>
  <c r="Q57" i="60"/>
  <c r="Q58" i="60"/>
  <c r="Q59" i="60"/>
  <c r="Q60" i="60"/>
  <c r="Q61" i="60"/>
  <c r="Q62" i="60"/>
  <c r="Q63" i="60"/>
  <c r="Q64" i="60"/>
  <c r="Q65" i="60"/>
  <c r="Q66" i="60"/>
  <c r="Q67" i="60"/>
  <c r="Q68" i="60"/>
  <c r="Q69" i="60"/>
  <c r="Q70" i="60"/>
  <c r="Q71" i="60"/>
  <c r="Q72" i="60"/>
  <c r="Q73" i="60"/>
  <c r="Q74" i="60"/>
  <c r="Q75" i="60"/>
  <c r="Q76" i="60"/>
  <c r="Q77" i="60"/>
  <c r="Q78" i="60"/>
  <c r="Q79" i="60"/>
  <c r="Q80" i="60"/>
  <c r="Q81" i="60"/>
  <c r="Q82" i="60"/>
  <c r="Q83" i="60"/>
  <c r="Q84" i="60"/>
  <c r="Q85" i="60"/>
  <c r="Q86" i="60"/>
  <c r="Q87" i="60"/>
  <c r="Q88" i="60"/>
  <c r="Q89" i="60"/>
  <c r="Q90" i="60"/>
  <c r="Q91" i="60"/>
  <c r="Q92" i="60"/>
  <c r="Q93" i="60"/>
  <c r="Q94" i="60"/>
  <c r="Q95" i="60"/>
  <c r="Q96" i="60"/>
  <c r="Q97" i="60"/>
  <c r="Q98" i="60"/>
  <c r="Q99" i="60"/>
  <c r="Q100" i="60"/>
  <c r="Q101" i="60"/>
  <c r="Q102" i="60"/>
  <c r="Q103" i="60"/>
  <c r="Q104" i="60"/>
  <c r="Q105" i="60"/>
  <c r="Q106" i="60"/>
  <c r="Q107" i="60"/>
  <c r="Q108" i="60"/>
  <c r="Q109" i="60"/>
  <c r="Q110" i="60"/>
  <c r="Q111" i="60"/>
  <c r="Q112" i="60"/>
  <c r="Q113" i="60"/>
  <c r="Q114" i="60"/>
  <c r="Q115" i="60"/>
  <c r="Q116" i="60"/>
  <c r="Q117" i="60"/>
  <c r="Q118" i="60"/>
  <c r="Q119" i="60"/>
  <c r="Q120" i="60"/>
  <c r="Q121" i="60"/>
  <c r="Q122" i="60"/>
  <c r="Q123" i="60"/>
  <c r="Q124" i="60"/>
  <c r="Q125" i="60"/>
  <c r="Q126" i="60"/>
  <c r="Q127" i="60"/>
  <c r="Q128" i="60"/>
  <c r="Q129" i="60"/>
  <c r="Q130" i="60"/>
  <c r="Q131" i="60"/>
  <c r="Q132" i="60"/>
  <c r="Q133" i="60"/>
  <c r="Q134" i="60"/>
  <c r="Q135" i="60"/>
  <c r="Q136" i="60"/>
  <c r="Q137" i="60"/>
  <c r="Q138" i="60"/>
  <c r="Q139" i="60"/>
  <c r="Q140" i="60"/>
  <c r="Q141" i="60"/>
  <c r="Q142" i="60"/>
  <c r="Q143" i="60"/>
  <c r="Q144" i="60"/>
  <c r="Q145" i="60"/>
  <c r="Q146" i="60"/>
  <c r="Q147" i="60"/>
  <c r="Q148" i="60"/>
  <c r="Q149" i="60"/>
  <c r="Q150" i="60"/>
  <c r="Q151" i="60"/>
  <c r="Q152" i="60"/>
  <c r="Q153" i="60"/>
  <c r="Q154" i="60"/>
  <c r="Q155" i="60"/>
  <c r="Q156" i="60"/>
  <c r="Q157" i="60"/>
  <c r="Q158" i="60"/>
  <c r="Q159" i="60"/>
  <c r="Q160" i="60"/>
  <c r="Q161" i="60"/>
  <c r="Q162" i="60"/>
  <c r="Q163" i="60"/>
  <c r="Q164" i="60"/>
  <c r="Q165" i="60"/>
  <c r="Q166" i="60"/>
  <c r="Q167" i="60"/>
  <c r="Q168" i="60"/>
  <c r="Q169" i="60"/>
  <c r="Q170" i="60"/>
  <c r="Q171" i="60"/>
  <c r="Q172" i="60"/>
  <c r="Q173" i="60"/>
  <c r="Q174" i="60"/>
  <c r="Q175" i="60"/>
  <c r="Q176" i="60"/>
  <c r="Q177" i="60"/>
  <c r="Q178" i="60"/>
  <c r="Q179" i="60"/>
  <c r="Q180" i="60"/>
  <c r="Q181" i="60"/>
  <c r="Q182" i="60"/>
  <c r="Q183" i="60"/>
  <c r="Q184" i="60"/>
  <c r="Q185" i="60"/>
  <c r="Q186" i="60"/>
  <c r="Q187" i="60"/>
  <c r="Q188" i="60"/>
  <c r="Q189" i="60"/>
  <c r="Q190" i="60"/>
  <c r="Q191" i="60"/>
  <c r="Q192" i="60"/>
  <c r="Q193" i="60"/>
  <c r="Q194" i="60"/>
  <c r="Q195" i="60"/>
  <c r="Q196" i="60"/>
  <c r="Q197" i="60"/>
  <c r="Q198" i="60"/>
  <c r="Q199" i="60"/>
  <c r="Q200" i="60"/>
  <c r="Q201" i="60"/>
  <c r="Q202" i="60"/>
  <c r="Q203" i="60"/>
  <c r="Q204" i="60"/>
  <c r="Q205" i="60"/>
  <c r="Q206" i="60"/>
  <c r="Q207" i="60"/>
  <c r="Q208" i="60"/>
  <c r="Q209" i="60"/>
  <c r="Q210" i="60"/>
  <c r="Q211" i="60"/>
  <c r="Q212" i="60"/>
  <c r="Q213" i="60"/>
  <c r="Q214" i="60"/>
  <c r="Q215" i="60"/>
  <c r="Q216" i="60"/>
  <c r="Q217" i="60"/>
  <c r="Q218" i="60"/>
  <c r="Q219" i="60"/>
  <c r="Q220" i="60"/>
  <c r="Q221" i="60"/>
  <c r="Q222" i="60"/>
  <c r="Q223" i="60"/>
  <c r="Q224" i="60"/>
  <c r="Q225" i="60"/>
  <c r="Q226" i="60"/>
  <c r="Q227" i="60"/>
  <c r="Q228" i="60"/>
  <c r="Q229" i="60"/>
  <c r="Q230" i="60"/>
  <c r="Q231" i="60"/>
  <c r="Q232" i="60"/>
  <c r="Q233" i="60"/>
  <c r="Q234" i="60"/>
  <c r="Q235" i="60"/>
  <c r="Q236" i="60"/>
  <c r="Q237" i="60"/>
  <c r="Q238" i="60"/>
  <c r="Q239" i="60"/>
  <c r="Q240" i="60"/>
  <c r="Q241" i="60"/>
  <c r="Q242" i="60"/>
  <c r="Q243" i="60"/>
  <c r="Q244" i="60"/>
  <c r="Q245" i="60"/>
  <c r="Q246" i="60"/>
  <c r="Q247" i="60"/>
  <c r="Q248" i="60"/>
  <c r="Q249" i="60"/>
  <c r="Q250" i="60"/>
  <c r="Q251" i="60"/>
  <c r="Q252" i="60"/>
  <c r="R26" i="60"/>
  <c r="R27" i="60"/>
  <c r="R28" i="60"/>
  <c r="R29" i="60"/>
  <c r="R30" i="60"/>
  <c r="R31" i="60"/>
  <c r="R32" i="60"/>
  <c r="R33" i="60"/>
  <c r="R34" i="60"/>
  <c r="R35" i="60"/>
  <c r="R36" i="60"/>
  <c r="R37" i="60"/>
  <c r="R38" i="60"/>
  <c r="R39" i="60"/>
  <c r="R40" i="60"/>
  <c r="R41" i="60"/>
  <c r="R42" i="60"/>
  <c r="R43" i="60"/>
  <c r="R44" i="60"/>
  <c r="R45" i="60"/>
  <c r="R46" i="60"/>
  <c r="R47" i="60"/>
  <c r="R48" i="60"/>
  <c r="R49" i="60"/>
  <c r="R50" i="60"/>
  <c r="R51" i="60"/>
  <c r="R52" i="60"/>
  <c r="R53" i="60"/>
  <c r="R54" i="60"/>
  <c r="R55" i="60"/>
  <c r="R56" i="60"/>
  <c r="R57" i="60"/>
  <c r="R58" i="60"/>
  <c r="R59" i="60"/>
  <c r="R60" i="60"/>
  <c r="R61" i="60"/>
  <c r="R62" i="60"/>
  <c r="R63" i="60"/>
  <c r="R64" i="60"/>
  <c r="R65" i="60"/>
  <c r="R66" i="60"/>
  <c r="R67" i="60"/>
  <c r="R68" i="60"/>
  <c r="R69" i="60"/>
  <c r="R70" i="60"/>
  <c r="R71" i="60"/>
  <c r="R72" i="60"/>
  <c r="R73" i="60"/>
  <c r="R74" i="60"/>
  <c r="R75" i="60"/>
  <c r="R76" i="60"/>
  <c r="R77" i="60"/>
  <c r="R78" i="60"/>
  <c r="R79" i="60"/>
  <c r="R80" i="60"/>
  <c r="R81" i="60"/>
  <c r="R82" i="60"/>
  <c r="R83" i="60"/>
  <c r="R84" i="60"/>
  <c r="R85" i="60"/>
  <c r="R86" i="60"/>
  <c r="R87" i="60"/>
  <c r="R88" i="60"/>
  <c r="R89" i="60"/>
  <c r="R90" i="60"/>
  <c r="R91" i="60"/>
  <c r="R92" i="60"/>
  <c r="R93" i="60"/>
  <c r="R94" i="60"/>
  <c r="R95" i="60"/>
  <c r="R96" i="60"/>
  <c r="R97" i="60"/>
  <c r="R98" i="60"/>
  <c r="R99" i="60"/>
  <c r="R100" i="60"/>
  <c r="R101" i="60"/>
  <c r="R102" i="60"/>
  <c r="R103" i="60"/>
  <c r="R104" i="60"/>
  <c r="R105" i="60"/>
  <c r="R106" i="60"/>
  <c r="R107" i="60"/>
  <c r="R108" i="60"/>
  <c r="R109" i="60"/>
  <c r="R110" i="60"/>
  <c r="R111" i="60"/>
  <c r="R112" i="60"/>
  <c r="R113" i="60"/>
  <c r="R114" i="60"/>
  <c r="R115" i="60"/>
  <c r="R116" i="60"/>
  <c r="R117" i="60"/>
  <c r="R118" i="60"/>
  <c r="R119" i="60"/>
  <c r="R120" i="60"/>
  <c r="R121" i="60"/>
  <c r="R122" i="60"/>
  <c r="R123" i="60"/>
  <c r="R124" i="60"/>
  <c r="R125" i="60"/>
  <c r="R126" i="60"/>
  <c r="R127" i="60"/>
  <c r="R128" i="60"/>
  <c r="R129" i="60"/>
  <c r="R130" i="60"/>
  <c r="R131" i="60"/>
  <c r="R132" i="60"/>
  <c r="R133" i="60"/>
  <c r="R134" i="60"/>
  <c r="R135" i="60"/>
  <c r="R136" i="60"/>
  <c r="R137" i="60"/>
  <c r="R138" i="60"/>
  <c r="R139" i="60"/>
  <c r="R140" i="60"/>
  <c r="R141" i="60"/>
  <c r="R142" i="60"/>
  <c r="R143" i="60"/>
  <c r="R144" i="60"/>
  <c r="R145" i="60"/>
  <c r="R146" i="60"/>
  <c r="R147" i="60"/>
  <c r="R148" i="60"/>
  <c r="R149" i="60"/>
  <c r="R150" i="60"/>
  <c r="R151" i="60"/>
  <c r="R152" i="60"/>
  <c r="R153" i="60"/>
  <c r="R154" i="60"/>
  <c r="R155" i="60"/>
  <c r="R156" i="60"/>
  <c r="R157" i="60"/>
  <c r="R158" i="60"/>
  <c r="R159" i="60"/>
  <c r="R160" i="60"/>
  <c r="R161" i="60"/>
  <c r="R162" i="60"/>
  <c r="R163" i="60"/>
  <c r="R164" i="60"/>
  <c r="R165" i="60"/>
  <c r="R166" i="60"/>
  <c r="R167" i="60"/>
  <c r="R168" i="60"/>
  <c r="R169" i="60"/>
  <c r="R170" i="60"/>
  <c r="R171" i="60"/>
  <c r="R172" i="60"/>
  <c r="R173" i="60"/>
  <c r="R174" i="60"/>
  <c r="R175" i="60"/>
  <c r="R176" i="60"/>
  <c r="R177" i="60"/>
  <c r="R178" i="60"/>
  <c r="R179" i="60"/>
  <c r="R180" i="60"/>
  <c r="R181" i="60"/>
  <c r="R182" i="60"/>
  <c r="R183" i="60"/>
  <c r="R184" i="60"/>
  <c r="R185" i="60"/>
  <c r="R186" i="60"/>
  <c r="R187" i="60"/>
  <c r="R188" i="60"/>
  <c r="R189" i="60"/>
  <c r="R190" i="60"/>
  <c r="R191" i="60"/>
  <c r="R192" i="60"/>
  <c r="R193" i="60"/>
  <c r="R194" i="60"/>
  <c r="R195" i="60"/>
  <c r="R196" i="60"/>
  <c r="R197" i="60"/>
  <c r="R198" i="60"/>
  <c r="R199" i="60"/>
  <c r="R200" i="60"/>
  <c r="R201" i="60"/>
  <c r="R202" i="60"/>
  <c r="R203" i="60"/>
  <c r="R204" i="60"/>
  <c r="R205" i="60"/>
  <c r="R206" i="60"/>
  <c r="R207" i="60"/>
  <c r="R208" i="60"/>
  <c r="R209" i="60"/>
  <c r="R210" i="60"/>
  <c r="R211" i="60"/>
  <c r="R212" i="60"/>
  <c r="R213" i="60"/>
  <c r="R214" i="60"/>
  <c r="R215" i="60"/>
  <c r="R216" i="60"/>
  <c r="R217" i="60"/>
  <c r="R218" i="60"/>
  <c r="R219" i="60"/>
  <c r="R220" i="60"/>
  <c r="R221" i="60"/>
  <c r="R222" i="60"/>
  <c r="R223" i="60"/>
  <c r="R224" i="60"/>
  <c r="R225" i="60"/>
  <c r="R226" i="60"/>
  <c r="R227" i="60"/>
  <c r="R228" i="60"/>
  <c r="R229" i="60"/>
  <c r="R230" i="60"/>
  <c r="R231" i="60"/>
  <c r="R232" i="60"/>
  <c r="R233" i="60"/>
  <c r="R234" i="60"/>
  <c r="R235" i="60"/>
  <c r="R236" i="60"/>
  <c r="R237" i="60"/>
  <c r="R238" i="60"/>
  <c r="R239" i="60"/>
  <c r="R240" i="60"/>
  <c r="R241" i="60"/>
  <c r="R242" i="60"/>
  <c r="R243" i="60"/>
  <c r="R244" i="60"/>
  <c r="R245" i="60"/>
  <c r="R246" i="60"/>
  <c r="R247" i="60"/>
  <c r="R248" i="60"/>
  <c r="R249" i="60"/>
  <c r="R250" i="60"/>
  <c r="R251" i="60"/>
  <c r="R252" i="60"/>
  <c r="S26" i="60"/>
  <c r="S27" i="60"/>
  <c r="S28" i="60"/>
  <c r="S29" i="60"/>
  <c r="S30" i="60"/>
  <c r="S31" i="60"/>
  <c r="S32" i="60"/>
  <c r="S33" i="60"/>
  <c r="S34" i="60"/>
  <c r="S35" i="60"/>
  <c r="S36" i="60"/>
  <c r="S37" i="60"/>
  <c r="S38" i="60"/>
  <c r="S39" i="60"/>
  <c r="S40" i="60"/>
  <c r="S41" i="60"/>
  <c r="S42" i="60"/>
  <c r="S43" i="60"/>
  <c r="S44" i="60"/>
  <c r="S45" i="60"/>
  <c r="S46" i="60"/>
  <c r="S47" i="60"/>
  <c r="S48" i="60"/>
  <c r="S49" i="60"/>
  <c r="S50" i="60"/>
  <c r="S51" i="60"/>
  <c r="S52" i="60"/>
  <c r="S53" i="60"/>
  <c r="S54" i="60"/>
  <c r="S55" i="60"/>
  <c r="S56" i="60"/>
  <c r="S57" i="60"/>
  <c r="S58" i="60"/>
  <c r="S59" i="60"/>
  <c r="S60" i="60"/>
  <c r="S61" i="60"/>
  <c r="S62" i="60"/>
  <c r="S63" i="60"/>
  <c r="S64" i="60"/>
  <c r="S65" i="60"/>
  <c r="S66" i="60"/>
  <c r="S67" i="60"/>
  <c r="S68" i="60"/>
  <c r="S69" i="60"/>
  <c r="S70" i="60"/>
  <c r="S71" i="60"/>
  <c r="S72" i="60"/>
  <c r="S73" i="60"/>
  <c r="S74" i="60"/>
  <c r="S75" i="60"/>
  <c r="S76" i="60"/>
  <c r="S77" i="60"/>
  <c r="S78" i="60"/>
  <c r="S79" i="60"/>
  <c r="S80" i="60"/>
  <c r="S81" i="60"/>
  <c r="S82" i="60"/>
  <c r="S83" i="60"/>
  <c r="S84" i="60"/>
  <c r="S85" i="60"/>
  <c r="S86" i="60"/>
  <c r="S87" i="60"/>
  <c r="S88" i="60"/>
  <c r="S89" i="60"/>
  <c r="S90" i="60"/>
  <c r="S91" i="60"/>
  <c r="S92" i="60"/>
  <c r="S93" i="60"/>
  <c r="S94" i="60"/>
  <c r="S95" i="60"/>
  <c r="S96" i="60"/>
  <c r="S97" i="60"/>
  <c r="S98" i="60"/>
  <c r="S99" i="60"/>
  <c r="S100" i="60"/>
  <c r="S101" i="60"/>
  <c r="S102" i="60"/>
  <c r="S103" i="60"/>
  <c r="S104" i="60"/>
  <c r="S105" i="60"/>
  <c r="S106" i="60"/>
  <c r="S107" i="60"/>
  <c r="S108" i="60"/>
  <c r="S109" i="60"/>
  <c r="S110" i="60"/>
  <c r="S111" i="60"/>
  <c r="S112" i="60"/>
  <c r="S113" i="60"/>
  <c r="S114" i="60"/>
  <c r="S115" i="60"/>
  <c r="S116" i="60"/>
  <c r="S117" i="60"/>
  <c r="S118" i="60"/>
  <c r="S119" i="60"/>
  <c r="S120" i="60"/>
  <c r="S121" i="60"/>
  <c r="S122" i="60"/>
  <c r="S123" i="60"/>
  <c r="S124" i="60"/>
  <c r="S125" i="60"/>
  <c r="S126" i="60"/>
  <c r="S127" i="60"/>
  <c r="S128" i="60"/>
  <c r="S129" i="60"/>
  <c r="S130" i="60"/>
  <c r="S131" i="60"/>
  <c r="S132" i="60"/>
  <c r="S133" i="60"/>
  <c r="S134" i="60"/>
  <c r="S135" i="60"/>
  <c r="S136" i="60"/>
  <c r="S137" i="60"/>
  <c r="S138" i="60"/>
  <c r="S139" i="60"/>
  <c r="S140" i="60"/>
  <c r="S141" i="60"/>
  <c r="S142" i="60"/>
  <c r="S143" i="60"/>
  <c r="S144" i="60"/>
  <c r="S145" i="60"/>
  <c r="S146" i="60"/>
  <c r="S147" i="60"/>
  <c r="S148" i="60"/>
  <c r="S149" i="60"/>
  <c r="S150" i="60"/>
  <c r="S151" i="60"/>
  <c r="S152" i="60"/>
  <c r="S153" i="60"/>
  <c r="S154" i="60"/>
  <c r="S155" i="60"/>
  <c r="S156" i="60"/>
  <c r="S157" i="60"/>
  <c r="S158" i="60"/>
  <c r="S159" i="60"/>
  <c r="S160" i="60"/>
  <c r="S161" i="60"/>
  <c r="S162" i="60"/>
  <c r="S163" i="60"/>
  <c r="S164" i="60"/>
  <c r="S165" i="60"/>
  <c r="S166" i="60"/>
  <c r="S167" i="60"/>
  <c r="S168" i="60"/>
  <c r="S169" i="60"/>
  <c r="S170" i="60"/>
  <c r="S171" i="60"/>
  <c r="S172" i="60"/>
  <c r="S173" i="60"/>
  <c r="S174" i="60"/>
  <c r="S175" i="60"/>
  <c r="S176" i="60"/>
  <c r="S177" i="60"/>
  <c r="S178" i="60"/>
  <c r="S179" i="60"/>
  <c r="S180" i="60"/>
  <c r="S181" i="60"/>
  <c r="S182" i="60"/>
  <c r="S183" i="60"/>
  <c r="S184" i="60"/>
  <c r="S185" i="60"/>
  <c r="S186" i="60"/>
  <c r="S187" i="60"/>
  <c r="S188" i="60"/>
  <c r="S189" i="60"/>
  <c r="S190" i="60"/>
  <c r="S191" i="60"/>
  <c r="S192" i="60"/>
  <c r="S193" i="60"/>
  <c r="S194" i="60"/>
  <c r="S195" i="60"/>
  <c r="S196" i="60"/>
  <c r="S197" i="60"/>
  <c r="S198" i="60"/>
  <c r="S199" i="60"/>
  <c r="S200" i="60"/>
  <c r="S201" i="60"/>
  <c r="S202" i="60"/>
  <c r="S203" i="60"/>
  <c r="S204" i="60"/>
  <c r="S205" i="60"/>
  <c r="S206" i="60"/>
  <c r="S207" i="60"/>
  <c r="S208" i="60"/>
  <c r="S209" i="60"/>
  <c r="S210" i="60"/>
  <c r="S211" i="60"/>
  <c r="S212" i="60"/>
  <c r="S213" i="60"/>
  <c r="S214" i="60"/>
  <c r="S215" i="60"/>
  <c r="S216" i="60"/>
  <c r="S217" i="60"/>
  <c r="S218" i="60"/>
  <c r="S219" i="60"/>
  <c r="S220" i="60"/>
  <c r="S221" i="60"/>
  <c r="S222" i="60"/>
  <c r="S223" i="60"/>
  <c r="S224" i="60"/>
  <c r="S225" i="60"/>
  <c r="S226" i="60"/>
  <c r="S227" i="60"/>
  <c r="S228" i="60"/>
  <c r="S229" i="60"/>
  <c r="S230" i="60"/>
  <c r="S231" i="60"/>
  <c r="S232" i="60"/>
  <c r="S233" i="60"/>
  <c r="S234" i="60"/>
  <c r="S235" i="60"/>
  <c r="S236" i="60"/>
  <c r="S237" i="60"/>
  <c r="S238" i="60"/>
  <c r="S239" i="60"/>
  <c r="S240" i="60"/>
  <c r="S241" i="60"/>
  <c r="S242" i="60"/>
  <c r="S243" i="60"/>
  <c r="S244" i="60"/>
  <c r="S245" i="60"/>
  <c r="S246" i="60"/>
  <c r="S247" i="60"/>
  <c r="S248" i="60"/>
  <c r="S249" i="60"/>
  <c r="S250" i="60"/>
  <c r="S251" i="60"/>
  <c r="S252" i="60"/>
  <c r="U26" i="60"/>
  <c r="U27" i="60"/>
  <c r="U28" i="60"/>
  <c r="U29" i="60"/>
  <c r="U30" i="60"/>
  <c r="U31" i="60"/>
  <c r="U32" i="60"/>
  <c r="U33" i="60"/>
  <c r="U34" i="60"/>
  <c r="U35" i="60"/>
  <c r="U36" i="60"/>
  <c r="U37" i="60"/>
  <c r="U38" i="60"/>
  <c r="U39" i="60"/>
  <c r="U40" i="60"/>
  <c r="U41" i="60"/>
  <c r="U42" i="60"/>
  <c r="U43" i="60"/>
  <c r="U44" i="60"/>
  <c r="U45" i="60"/>
  <c r="U46" i="60"/>
  <c r="U47" i="60"/>
  <c r="U48" i="60"/>
  <c r="U49" i="60"/>
  <c r="U50" i="60"/>
  <c r="U51" i="60"/>
  <c r="U52" i="60"/>
  <c r="U53" i="60"/>
  <c r="U54" i="60"/>
  <c r="U55" i="60"/>
  <c r="U56" i="60"/>
  <c r="U57" i="60"/>
  <c r="U58" i="60"/>
  <c r="U59" i="60"/>
  <c r="U60" i="60"/>
  <c r="U61" i="60"/>
  <c r="U62" i="60"/>
  <c r="U63" i="60"/>
  <c r="U64" i="60"/>
  <c r="U65" i="60"/>
  <c r="U66" i="60"/>
  <c r="U67" i="60"/>
  <c r="U68" i="60"/>
  <c r="U69" i="60"/>
  <c r="U70" i="60"/>
  <c r="U71" i="60"/>
  <c r="U72" i="60"/>
  <c r="U73" i="60"/>
  <c r="U74" i="60"/>
  <c r="U75" i="60"/>
  <c r="U76" i="60"/>
  <c r="U77" i="60"/>
  <c r="U78" i="60"/>
  <c r="U79" i="60"/>
  <c r="U80" i="60"/>
  <c r="U81" i="60"/>
  <c r="U82" i="60"/>
  <c r="U83" i="60"/>
  <c r="U84" i="60"/>
  <c r="U85" i="60"/>
  <c r="U86" i="60"/>
  <c r="U87" i="60"/>
  <c r="U88" i="60"/>
  <c r="U89" i="60"/>
  <c r="U90" i="60"/>
  <c r="U91" i="60"/>
  <c r="U92" i="60"/>
  <c r="U93" i="60"/>
  <c r="U94" i="60"/>
  <c r="U95" i="60"/>
  <c r="U96" i="60"/>
  <c r="U97" i="60"/>
  <c r="U98" i="60"/>
  <c r="U99" i="60"/>
  <c r="U100" i="60"/>
  <c r="U101" i="60"/>
  <c r="U102" i="60"/>
  <c r="U103" i="60"/>
  <c r="U104" i="60"/>
  <c r="U105" i="60"/>
  <c r="U106" i="60"/>
  <c r="U107" i="60"/>
  <c r="U108" i="60"/>
  <c r="U109" i="60"/>
  <c r="U110" i="60"/>
  <c r="U111" i="60"/>
  <c r="U112" i="60"/>
  <c r="U113" i="60"/>
  <c r="U114" i="60"/>
  <c r="U115" i="60"/>
  <c r="U116" i="60"/>
  <c r="U117" i="60"/>
  <c r="U118" i="60"/>
  <c r="U119" i="60"/>
  <c r="U120" i="60"/>
  <c r="U121" i="60"/>
  <c r="U122" i="60"/>
  <c r="U123" i="60"/>
  <c r="U124" i="60"/>
  <c r="U125" i="60"/>
  <c r="U126" i="60"/>
  <c r="U127" i="60"/>
  <c r="U128" i="60"/>
  <c r="U129" i="60"/>
  <c r="U130" i="60"/>
  <c r="U131" i="60"/>
  <c r="U132" i="60"/>
  <c r="U133" i="60"/>
  <c r="U134" i="60"/>
  <c r="U135" i="60"/>
  <c r="U136" i="60"/>
  <c r="U137" i="60"/>
  <c r="U138" i="60"/>
  <c r="U139" i="60"/>
  <c r="U140" i="60"/>
  <c r="U141" i="60"/>
  <c r="U142" i="60"/>
  <c r="U143" i="60"/>
  <c r="U144" i="60"/>
  <c r="U145" i="60"/>
  <c r="U146" i="60"/>
  <c r="U147" i="60"/>
  <c r="U148" i="60"/>
  <c r="U149" i="60"/>
  <c r="U150" i="60"/>
  <c r="U151" i="60"/>
  <c r="U152" i="60"/>
  <c r="U153" i="60"/>
  <c r="U154" i="60"/>
  <c r="U155" i="60"/>
  <c r="U156" i="60"/>
  <c r="U157" i="60"/>
  <c r="U158" i="60"/>
  <c r="U159" i="60"/>
  <c r="U160" i="60"/>
  <c r="U161" i="60"/>
  <c r="U162" i="60"/>
  <c r="U163" i="60"/>
  <c r="U164" i="60"/>
  <c r="U165" i="60"/>
  <c r="U166" i="60"/>
  <c r="U167" i="60"/>
  <c r="U168" i="60"/>
  <c r="U169" i="60"/>
  <c r="U170" i="60"/>
  <c r="U171" i="60"/>
  <c r="U172" i="60"/>
  <c r="U173" i="60"/>
  <c r="U174" i="60"/>
  <c r="U175" i="60"/>
  <c r="U176" i="60"/>
  <c r="U177" i="60"/>
  <c r="U178" i="60"/>
  <c r="U179" i="60"/>
  <c r="U180" i="60"/>
  <c r="U181" i="60"/>
  <c r="U182" i="60"/>
  <c r="U183" i="60"/>
  <c r="U184" i="60"/>
  <c r="U185" i="60"/>
  <c r="U186" i="60"/>
  <c r="U187" i="60"/>
  <c r="U188" i="60"/>
  <c r="U189" i="60"/>
  <c r="U190" i="60"/>
  <c r="U191" i="60"/>
  <c r="U192" i="60"/>
  <c r="U193" i="60"/>
  <c r="U194" i="60"/>
  <c r="U195" i="60"/>
  <c r="U196" i="60"/>
  <c r="U197" i="60"/>
  <c r="U198" i="60"/>
  <c r="U199" i="60"/>
  <c r="U200" i="60"/>
  <c r="U201" i="60"/>
  <c r="U202" i="60"/>
  <c r="U203" i="60"/>
  <c r="U204" i="60"/>
  <c r="U205" i="60"/>
  <c r="U206" i="60"/>
  <c r="U207" i="60"/>
  <c r="U208" i="60"/>
  <c r="U209" i="60"/>
  <c r="U210" i="60"/>
  <c r="U211" i="60"/>
  <c r="U212" i="60"/>
  <c r="U213" i="60"/>
  <c r="U214" i="60"/>
  <c r="U215" i="60"/>
  <c r="U216" i="60"/>
  <c r="U217" i="60"/>
  <c r="U218" i="60"/>
  <c r="U219" i="60"/>
  <c r="U220" i="60"/>
  <c r="U221" i="60"/>
  <c r="U222" i="60"/>
  <c r="U223" i="60"/>
  <c r="U224" i="60"/>
  <c r="U225" i="60"/>
  <c r="U226" i="60"/>
  <c r="U227" i="60"/>
  <c r="U228" i="60"/>
  <c r="U229" i="60"/>
  <c r="U230" i="60"/>
  <c r="U231" i="60"/>
  <c r="U232" i="60"/>
  <c r="U233" i="60"/>
  <c r="U234" i="60"/>
  <c r="U235" i="60"/>
  <c r="U236" i="60"/>
  <c r="U237" i="60"/>
  <c r="U238" i="60"/>
  <c r="U239" i="60"/>
  <c r="U240" i="60"/>
  <c r="U241" i="60"/>
  <c r="U242" i="60"/>
  <c r="U243" i="60"/>
  <c r="U244" i="60"/>
  <c r="U245" i="60"/>
  <c r="U246" i="60"/>
  <c r="U247" i="60"/>
  <c r="U248" i="60"/>
  <c r="U249" i="60"/>
  <c r="U250" i="60"/>
  <c r="U251" i="60"/>
  <c r="U252" i="60"/>
  <c r="V26" i="60"/>
  <c r="V27" i="60"/>
  <c r="V28" i="60"/>
  <c r="V29" i="60"/>
  <c r="V30" i="60"/>
  <c r="V31" i="60"/>
  <c r="V32" i="60"/>
  <c r="V33" i="60"/>
  <c r="V34" i="60"/>
  <c r="V35" i="60"/>
  <c r="V36" i="60"/>
  <c r="V37" i="60"/>
  <c r="V38" i="60"/>
  <c r="V39" i="60"/>
  <c r="V40" i="60"/>
  <c r="V41" i="60"/>
  <c r="V42" i="60"/>
  <c r="V43" i="60"/>
  <c r="V44" i="60"/>
  <c r="V45" i="60"/>
  <c r="V46" i="60"/>
  <c r="V47" i="60"/>
  <c r="V48" i="60"/>
  <c r="V49" i="60"/>
  <c r="V50" i="60"/>
  <c r="V51" i="60"/>
  <c r="V52" i="60"/>
  <c r="V53" i="60"/>
  <c r="V54" i="60"/>
  <c r="V55" i="60"/>
  <c r="V56" i="60"/>
  <c r="V57" i="60"/>
  <c r="V58" i="60"/>
  <c r="V59" i="60"/>
  <c r="V60" i="60"/>
  <c r="V61" i="60"/>
  <c r="V62" i="60"/>
  <c r="V63" i="60"/>
  <c r="V64" i="60"/>
  <c r="V65" i="60"/>
  <c r="V66" i="60"/>
  <c r="V67" i="60"/>
  <c r="V68" i="60"/>
  <c r="V69" i="60"/>
  <c r="V70" i="60"/>
  <c r="V71" i="60"/>
  <c r="V72" i="60"/>
  <c r="V73" i="60"/>
  <c r="V74" i="60"/>
  <c r="V75" i="60"/>
  <c r="V76" i="60"/>
  <c r="V77" i="60"/>
  <c r="V78" i="60"/>
  <c r="V79" i="60"/>
  <c r="V80" i="60"/>
  <c r="V81" i="60"/>
  <c r="V82" i="60"/>
  <c r="V83" i="60"/>
  <c r="V84" i="60"/>
  <c r="V85" i="60"/>
  <c r="V86" i="60"/>
  <c r="V87" i="60"/>
  <c r="V88" i="60"/>
  <c r="V89" i="60"/>
  <c r="V90" i="60"/>
  <c r="V91" i="60"/>
  <c r="V92" i="60"/>
  <c r="V93" i="60"/>
  <c r="V94" i="60"/>
  <c r="V95" i="60"/>
  <c r="V96" i="60"/>
  <c r="V97" i="60"/>
  <c r="V98" i="60"/>
  <c r="V99" i="60"/>
  <c r="V100" i="60"/>
  <c r="V101" i="60"/>
  <c r="V102" i="60"/>
  <c r="V103" i="60"/>
  <c r="V104" i="60"/>
  <c r="V105" i="60"/>
  <c r="V106" i="60"/>
  <c r="V107" i="60"/>
  <c r="V108" i="60"/>
  <c r="V109" i="60"/>
  <c r="V110" i="60"/>
  <c r="V111" i="60"/>
  <c r="V112" i="60"/>
  <c r="V113" i="60"/>
  <c r="V114" i="60"/>
  <c r="V115" i="60"/>
  <c r="V116" i="60"/>
  <c r="V117" i="60"/>
  <c r="V118" i="60"/>
  <c r="V119" i="60"/>
  <c r="V120" i="60"/>
  <c r="V121" i="60"/>
  <c r="V122" i="60"/>
  <c r="V123" i="60"/>
  <c r="V124" i="60"/>
  <c r="V125" i="60"/>
  <c r="V126" i="60"/>
  <c r="V127" i="60"/>
  <c r="V128" i="60"/>
  <c r="V129" i="60"/>
  <c r="V130" i="60"/>
  <c r="V131" i="60"/>
  <c r="V132" i="60"/>
  <c r="V133" i="60"/>
  <c r="V134" i="60"/>
  <c r="V135" i="60"/>
  <c r="V136" i="60"/>
  <c r="V137" i="60"/>
  <c r="V138" i="60"/>
  <c r="V139" i="60"/>
  <c r="V140" i="60"/>
  <c r="V141" i="60"/>
  <c r="V142" i="60"/>
  <c r="V143" i="60"/>
  <c r="V144" i="60"/>
  <c r="V145" i="60"/>
  <c r="V146" i="60"/>
  <c r="V147" i="60"/>
  <c r="V148" i="60"/>
  <c r="V149" i="60"/>
  <c r="V150" i="60"/>
  <c r="V151" i="60"/>
  <c r="V152" i="60"/>
  <c r="V153" i="60"/>
  <c r="V154" i="60"/>
  <c r="V155" i="60"/>
  <c r="V156" i="60"/>
  <c r="V157" i="60"/>
  <c r="V158" i="60"/>
  <c r="V159" i="60"/>
  <c r="V160" i="60"/>
  <c r="V161" i="60"/>
  <c r="V162" i="60"/>
  <c r="V163" i="60"/>
  <c r="V164" i="60"/>
  <c r="V165" i="60"/>
  <c r="V166" i="60"/>
  <c r="V167" i="60"/>
  <c r="V168" i="60"/>
  <c r="V169" i="60"/>
  <c r="V170" i="60"/>
  <c r="V171" i="60"/>
  <c r="V172" i="60"/>
  <c r="V173" i="60"/>
  <c r="V174" i="60"/>
  <c r="V175" i="60"/>
  <c r="V176" i="60"/>
  <c r="V177" i="60"/>
  <c r="V178" i="60"/>
  <c r="V179" i="60"/>
  <c r="V180" i="60"/>
  <c r="V181" i="60"/>
  <c r="V182" i="60"/>
  <c r="V183" i="60"/>
  <c r="V184" i="60"/>
  <c r="V185" i="60"/>
  <c r="V186" i="60"/>
  <c r="V187" i="60"/>
  <c r="V188" i="60"/>
  <c r="V189" i="60"/>
  <c r="V190" i="60"/>
  <c r="V191" i="60"/>
  <c r="V192" i="60"/>
  <c r="V193" i="60"/>
  <c r="V194" i="60"/>
  <c r="V195" i="60"/>
  <c r="V196" i="60"/>
  <c r="V197" i="60"/>
  <c r="V198" i="60"/>
  <c r="V199" i="60"/>
  <c r="V200" i="60"/>
  <c r="V201" i="60"/>
  <c r="V202" i="60"/>
  <c r="V203" i="60"/>
  <c r="V204" i="60"/>
  <c r="V205" i="60"/>
  <c r="V206" i="60"/>
  <c r="V207" i="60"/>
  <c r="V208" i="60"/>
  <c r="V209" i="60"/>
  <c r="V210" i="60"/>
  <c r="V211" i="60"/>
  <c r="V212" i="60"/>
  <c r="V213" i="60"/>
  <c r="V214" i="60"/>
  <c r="V215" i="60"/>
  <c r="V216" i="60"/>
  <c r="V217" i="60"/>
  <c r="V218" i="60"/>
  <c r="V219" i="60"/>
  <c r="V220" i="60"/>
  <c r="V221" i="60"/>
  <c r="V222" i="60"/>
  <c r="V223" i="60"/>
  <c r="V224" i="60"/>
  <c r="V225" i="60"/>
  <c r="V226" i="60"/>
  <c r="V227" i="60"/>
  <c r="V228" i="60"/>
  <c r="V229" i="60"/>
  <c r="V230" i="60"/>
  <c r="V231" i="60"/>
  <c r="V232" i="60"/>
  <c r="V233" i="60"/>
  <c r="V234" i="60"/>
  <c r="V235" i="60"/>
  <c r="V236" i="60"/>
  <c r="V237" i="60"/>
  <c r="V238" i="60"/>
  <c r="V239" i="60"/>
  <c r="V240" i="60"/>
  <c r="V241" i="60"/>
  <c r="V242" i="60"/>
  <c r="V243" i="60"/>
  <c r="V244" i="60"/>
  <c r="V245" i="60"/>
  <c r="V246" i="60"/>
  <c r="V247" i="60"/>
  <c r="V248" i="60"/>
  <c r="V249" i="60"/>
  <c r="V250" i="60"/>
  <c r="V251" i="60"/>
  <c r="V252" i="60"/>
  <c r="W26" i="60"/>
  <c r="W27" i="60"/>
  <c r="W28" i="60"/>
  <c r="W29" i="60"/>
  <c r="W30" i="60"/>
  <c r="W31" i="60"/>
  <c r="W32" i="60"/>
  <c r="W33" i="60"/>
  <c r="W34" i="60"/>
  <c r="W35" i="60"/>
  <c r="W36" i="60"/>
  <c r="W37" i="60"/>
  <c r="W38" i="60"/>
  <c r="W39" i="60"/>
  <c r="W40" i="60"/>
  <c r="W41" i="60"/>
  <c r="W42" i="60"/>
  <c r="W43" i="60"/>
  <c r="W44" i="60"/>
  <c r="W45" i="60"/>
  <c r="W46" i="60"/>
  <c r="W47" i="60"/>
  <c r="W48" i="60"/>
  <c r="W49" i="60"/>
  <c r="W50" i="60"/>
  <c r="W51" i="60"/>
  <c r="W52" i="60"/>
  <c r="W53" i="60"/>
  <c r="W54" i="60"/>
  <c r="W55" i="60"/>
  <c r="W56" i="60"/>
  <c r="W57" i="60"/>
  <c r="W58" i="60"/>
  <c r="W59" i="60"/>
  <c r="W60" i="60"/>
  <c r="W61" i="60"/>
  <c r="W62" i="60"/>
  <c r="W63" i="60"/>
  <c r="W64" i="60"/>
  <c r="W65" i="60"/>
  <c r="W66" i="60"/>
  <c r="W67" i="60"/>
  <c r="W68" i="60"/>
  <c r="W69" i="60"/>
  <c r="W70" i="60"/>
  <c r="W71" i="60"/>
  <c r="W72" i="60"/>
  <c r="W73" i="60"/>
  <c r="W74" i="60"/>
  <c r="W75" i="60"/>
  <c r="W76" i="60"/>
  <c r="W77" i="60"/>
  <c r="W78" i="60"/>
  <c r="W79" i="60"/>
  <c r="W80" i="60"/>
  <c r="W81" i="60"/>
  <c r="W82" i="60"/>
  <c r="W83" i="60"/>
  <c r="W84" i="60"/>
  <c r="W85" i="60"/>
  <c r="W86" i="60"/>
  <c r="W87" i="60"/>
  <c r="W88" i="60"/>
  <c r="W89" i="60"/>
  <c r="W90" i="60"/>
  <c r="W91" i="60"/>
  <c r="W92" i="60"/>
  <c r="W93" i="60"/>
  <c r="W94" i="60"/>
  <c r="W95" i="60"/>
  <c r="W96" i="60"/>
  <c r="W97" i="60"/>
  <c r="W98" i="60"/>
  <c r="W99" i="60"/>
  <c r="W100" i="60"/>
  <c r="W101" i="60"/>
  <c r="W102" i="60"/>
  <c r="W103" i="60"/>
  <c r="W104" i="60"/>
  <c r="W105" i="60"/>
  <c r="W106" i="60"/>
  <c r="W107" i="60"/>
  <c r="W108" i="60"/>
  <c r="W109" i="60"/>
  <c r="W110" i="60"/>
  <c r="W111" i="60"/>
  <c r="W112" i="60"/>
  <c r="W113" i="60"/>
  <c r="W114" i="60"/>
  <c r="W115" i="60"/>
  <c r="W116" i="60"/>
  <c r="W117" i="60"/>
  <c r="W118" i="60"/>
  <c r="W119" i="60"/>
  <c r="W120" i="60"/>
  <c r="W121" i="60"/>
  <c r="W122" i="60"/>
  <c r="W123" i="60"/>
  <c r="W124" i="60"/>
  <c r="W125" i="60"/>
  <c r="W126" i="60"/>
  <c r="W127" i="60"/>
  <c r="W128" i="60"/>
  <c r="W129" i="60"/>
  <c r="W130" i="60"/>
  <c r="W131" i="60"/>
  <c r="W132" i="60"/>
  <c r="W133" i="60"/>
  <c r="W134" i="60"/>
  <c r="W135" i="60"/>
  <c r="W136" i="60"/>
  <c r="W137" i="60"/>
  <c r="W138" i="60"/>
  <c r="W139" i="60"/>
  <c r="W140" i="60"/>
  <c r="W141" i="60"/>
  <c r="W142" i="60"/>
  <c r="W143" i="60"/>
  <c r="W144" i="60"/>
  <c r="W145" i="60"/>
  <c r="W146" i="60"/>
  <c r="W147" i="60"/>
  <c r="W148" i="60"/>
  <c r="W149" i="60"/>
  <c r="W150" i="60"/>
  <c r="W151" i="60"/>
  <c r="W152" i="60"/>
  <c r="W153" i="60"/>
  <c r="W154" i="60"/>
  <c r="W155" i="60"/>
  <c r="W156" i="60"/>
  <c r="W157" i="60"/>
  <c r="W158" i="60"/>
  <c r="W159" i="60"/>
  <c r="W160" i="60"/>
  <c r="W161" i="60"/>
  <c r="W162" i="60"/>
  <c r="W163" i="60"/>
  <c r="W164" i="60"/>
  <c r="W165" i="60"/>
  <c r="W166" i="60"/>
  <c r="W167" i="60"/>
  <c r="W168" i="60"/>
  <c r="W169" i="60"/>
  <c r="W170" i="60"/>
  <c r="W171" i="60"/>
  <c r="W172" i="60"/>
  <c r="W173" i="60"/>
  <c r="W174" i="60"/>
  <c r="W175" i="60"/>
  <c r="W176" i="60"/>
  <c r="W177" i="60"/>
  <c r="W178" i="60"/>
  <c r="W179" i="60"/>
  <c r="W180" i="60"/>
  <c r="W181" i="60"/>
  <c r="W182" i="60"/>
  <c r="W183" i="60"/>
  <c r="W184" i="60"/>
  <c r="W185" i="60"/>
  <c r="W186" i="60"/>
  <c r="W187" i="60"/>
  <c r="W188" i="60"/>
  <c r="W189" i="60"/>
  <c r="W190" i="60"/>
  <c r="W191" i="60"/>
  <c r="W192" i="60"/>
  <c r="W193" i="60"/>
  <c r="W194" i="60"/>
  <c r="W195" i="60"/>
  <c r="W196" i="60"/>
  <c r="W197" i="60"/>
  <c r="W198" i="60"/>
  <c r="W199" i="60"/>
  <c r="W200" i="60"/>
  <c r="W201" i="60"/>
  <c r="W202" i="60"/>
  <c r="W203" i="60"/>
  <c r="W204" i="60"/>
  <c r="W205" i="60"/>
  <c r="W206" i="60"/>
  <c r="W207" i="60"/>
  <c r="W208" i="60"/>
  <c r="W209" i="60"/>
  <c r="W210" i="60"/>
  <c r="W211" i="60"/>
  <c r="W212" i="60"/>
  <c r="W213" i="60"/>
  <c r="W214" i="60"/>
  <c r="W215" i="60"/>
  <c r="W216" i="60"/>
  <c r="W217" i="60"/>
  <c r="W218" i="60"/>
  <c r="W219" i="60"/>
  <c r="W220" i="60"/>
  <c r="W221" i="60"/>
  <c r="W222" i="60"/>
  <c r="W223" i="60"/>
  <c r="W224" i="60"/>
  <c r="W225" i="60"/>
  <c r="W226" i="60"/>
  <c r="W227" i="60"/>
  <c r="W228" i="60"/>
  <c r="W229" i="60"/>
  <c r="W230" i="60"/>
  <c r="W231" i="60"/>
  <c r="W232" i="60"/>
  <c r="W233" i="60"/>
  <c r="W234" i="60"/>
  <c r="W235" i="60"/>
  <c r="W236" i="60"/>
  <c r="W237" i="60"/>
  <c r="W238" i="60"/>
  <c r="W239" i="60"/>
  <c r="W240" i="60"/>
  <c r="W241" i="60"/>
  <c r="W242" i="60"/>
  <c r="W243" i="60"/>
  <c r="W244" i="60"/>
  <c r="W245" i="60"/>
  <c r="W246" i="60"/>
  <c r="W247" i="60"/>
  <c r="W248" i="60"/>
  <c r="W249" i="60"/>
  <c r="W250" i="60"/>
  <c r="W251" i="60"/>
  <c r="W252" i="60"/>
  <c r="X26" i="60"/>
  <c r="X27" i="60"/>
  <c r="X28" i="60"/>
  <c r="X29" i="60"/>
  <c r="X30" i="60"/>
  <c r="X31" i="60"/>
  <c r="X32" i="60"/>
  <c r="X33" i="60"/>
  <c r="X34" i="60"/>
  <c r="X35" i="60"/>
  <c r="X36" i="60"/>
  <c r="X37" i="60"/>
  <c r="X38" i="60"/>
  <c r="X39" i="60"/>
  <c r="X40" i="60"/>
  <c r="X41" i="60"/>
  <c r="X42" i="60"/>
  <c r="X43" i="60"/>
  <c r="X44" i="60"/>
  <c r="X45" i="60"/>
  <c r="X46" i="60"/>
  <c r="X47" i="60"/>
  <c r="X48" i="60"/>
  <c r="X49" i="60"/>
  <c r="X50" i="60"/>
  <c r="X51" i="60"/>
  <c r="X52" i="60"/>
  <c r="X53" i="60"/>
  <c r="X54" i="60"/>
  <c r="X55" i="60"/>
  <c r="X56" i="60"/>
  <c r="X57" i="60"/>
  <c r="X58" i="60"/>
  <c r="X59" i="60"/>
  <c r="X60" i="60"/>
  <c r="X61" i="60"/>
  <c r="X62" i="60"/>
  <c r="X63" i="60"/>
  <c r="X64" i="60"/>
  <c r="X65" i="60"/>
  <c r="X66" i="60"/>
  <c r="X67" i="60"/>
  <c r="X68" i="60"/>
  <c r="X69" i="60"/>
  <c r="X70" i="60"/>
  <c r="X71" i="60"/>
  <c r="X72" i="60"/>
  <c r="X73" i="60"/>
  <c r="X74" i="60"/>
  <c r="X75" i="60"/>
  <c r="X76" i="60"/>
  <c r="X77" i="60"/>
  <c r="X78" i="60"/>
  <c r="X79" i="60"/>
  <c r="X80" i="60"/>
  <c r="X81" i="60"/>
  <c r="X82" i="60"/>
  <c r="X83" i="60"/>
  <c r="X84" i="60"/>
  <c r="X85" i="60"/>
  <c r="X86" i="60"/>
  <c r="X87" i="60"/>
  <c r="X88" i="60"/>
  <c r="X89" i="60"/>
  <c r="X90" i="60"/>
  <c r="X91" i="60"/>
  <c r="X92" i="60"/>
  <c r="X93" i="60"/>
  <c r="X94" i="60"/>
  <c r="X95" i="60"/>
  <c r="X96" i="60"/>
  <c r="X97" i="60"/>
  <c r="X98" i="60"/>
  <c r="X99" i="60"/>
  <c r="X100" i="60"/>
  <c r="X101" i="60"/>
  <c r="X102" i="60"/>
  <c r="X103" i="60"/>
  <c r="X104" i="60"/>
  <c r="X105" i="60"/>
  <c r="X106" i="60"/>
  <c r="X107" i="60"/>
  <c r="X108" i="60"/>
  <c r="X109" i="60"/>
  <c r="X110" i="60"/>
  <c r="X111" i="60"/>
  <c r="X112" i="60"/>
  <c r="X113" i="60"/>
  <c r="X114" i="60"/>
  <c r="X115" i="60"/>
  <c r="X116" i="60"/>
  <c r="X117" i="60"/>
  <c r="X118" i="60"/>
  <c r="X119" i="60"/>
  <c r="X120" i="60"/>
  <c r="X121" i="60"/>
  <c r="X122" i="60"/>
  <c r="X123" i="60"/>
  <c r="X124" i="60"/>
  <c r="X125" i="60"/>
  <c r="X126" i="60"/>
  <c r="X127" i="60"/>
  <c r="X128" i="60"/>
  <c r="X129" i="60"/>
  <c r="X130" i="60"/>
  <c r="X131" i="60"/>
  <c r="X132" i="60"/>
  <c r="X133" i="60"/>
  <c r="X134" i="60"/>
  <c r="X135" i="60"/>
  <c r="X136" i="60"/>
  <c r="X137" i="60"/>
  <c r="X138" i="60"/>
  <c r="X139" i="60"/>
  <c r="X140" i="60"/>
  <c r="X141" i="60"/>
  <c r="X142" i="60"/>
  <c r="X143" i="60"/>
  <c r="X144" i="60"/>
  <c r="X145" i="60"/>
  <c r="X146" i="60"/>
  <c r="X147" i="60"/>
  <c r="X148" i="60"/>
  <c r="X149" i="60"/>
  <c r="X150" i="60"/>
  <c r="X151" i="60"/>
  <c r="X152" i="60"/>
  <c r="X153" i="60"/>
  <c r="X154" i="60"/>
  <c r="X155" i="60"/>
  <c r="X156" i="60"/>
  <c r="X157" i="60"/>
  <c r="X158" i="60"/>
  <c r="X159" i="60"/>
  <c r="X160" i="60"/>
  <c r="X161" i="60"/>
  <c r="X162" i="60"/>
  <c r="X163" i="60"/>
  <c r="X164" i="60"/>
  <c r="X165" i="60"/>
  <c r="X166" i="60"/>
  <c r="X167" i="60"/>
  <c r="X168" i="60"/>
  <c r="X169" i="60"/>
  <c r="X170" i="60"/>
  <c r="X171" i="60"/>
  <c r="X172" i="60"/>
  <c r="X173" i="60"/>
  <c r="X174" i="60"/>
  <c r="X175" i="60"/>
  <c r="X176" i="60"/>
  <c r="X177" i="60"/>
  <c r="X178" i="60"/>
  <c r="X179" i="60"/>
  <c r="X180" i="60"/>
  <c r="X181" i="60"/>
  <c r="X182" i="60"/>
  <c r="X183" i="60"/>
  <c r="X184" i="60"/>
  <c r="X185" i="60"/>
  <c r="X186" i="60"/>
  <c r="X187" i="60"/>
  <c r="X188" i="60"/>
  <c r="X189" i="60"/>
  <c r="X190" i="60"/>
  <c r="X191" i="60"/>
  <c r="X192" i="60"/>
  <c r="X193" i="60"/>
  <c r="X194" i="60"/>
  <c r="X195" i="60"/>
  <c r="X196" i="60"/>
  <c r="X197" i="60"/>
  <c r="X198" i="60"/>
  <c r="X199" i="60"/>
  <c r="X200" i="60"/>
  <c r="X201" i="60"/>
  <c r="X202" i="60"/>
  <c r="X203" i="60"/>
  <c r="X204" i="60"/>
  <c r="X205" i="60"/>
  <c r="X206" i="60"/>
  <c r="X207" i="60"/>
  <c r="X208" i="60"/>
  <c r="X209" i="60"/>
  <c r="X210" i="60"/>
  <c r="X211" i="60"/>
  <c r="X212" i="60"/>
  <c r="X213" i="60"/>
  <c r="X214" i="60"/>
  <c r="X215" i="60"/>
  <c r="X216" i="60"/>
  <c r="X217" i="60"/>
  <c r="X218" i="60"/>
  <c r="X219" i="60"/>
  <c r="X220" i="60"/>
  <c r="X221" i="60"/>
  <c r="X222" i="60"/>
  <c r="X223" i="60"/>
  <c r="X224" i="60"/>
  <c r="X225" i="60"/>
  <c r="X226" i="60"/>
  <c r="X227" i="60"/>
  <c r="X228" i="60"/>
  <c r="X229" i="60"/>
  <c r="X230" i="60"/>
  <c r="X231" i="60"/>
  <c r="X232" i="60"/>
  <c r="X233" i="60"/>
  <c r="X234" i="60"/>
  <c r="X235" i="60"/>
  <c r="X236" i="60"/>
  <c r="X237" i="60"/>
  <c r="X238" i="60"/>
  <c r="X239" i="60"/>
  <c r="X240" i="60"/>
  <c r="X241" i="60"/>
  <c r="X242" i="60"/>
  <c r="X243" i="60"/>
  <c r="X244" i="60"/>
  <c r="X245" i="60"/>
  <c r="X246" i="60"/>
  <c r="X247" i="60"/>
  <c r="X248" i="60"/>
  <c r="X249" i="60"/>
  <c r="X250" i="60"/>
  <c r="X251" i="60"/>
  <c r="X252" i="60"/>
  <c r="AG26" i="60"/>
  <c r="AF26" i="60" s="1"/>
  <c r="AG27" i="60"/>
  <c r="AF27" i="60" s="1"/>
  <c r="AG28" i="60"/>
  <c r="AF28" i="60" s="1"/>
  <c r="AG29" i="60"/>
  <c r="AF29" i="60" s="1"/>
  <c r="AG30" i="60"/>
  <c r="AF30" i="60" s="1"/>
  <c r="AG31" i="60"/>
  <c r="AF31" i="60" s="1"/>
  <c r="AG32" i="60"/>
  <c r="AF32" i="60" s="1"/>
  <c r="AG33" i="60"/>
  <c r="AF33" i="60" s="1"/>
  <c r="AG34" i="60"/>
  <c r="AF34" i="60" s="1"/>
  <c r="AG35" i="60"/>
  <c r="AF35" i="60" s="1"/>
  <c r="AG36" i="60"/>
  <c r="AF36" i="60" s="1"/>
  <c r="AG37" i="60"/>
  <c r="AF37" i="60" s="1"/>
  <c r="AG38" i="60"/>
  <c r="AF38" i="60" s="1"/>
  <c r="AG39" i="60"/>
  <c r="AF39" i="60" s="1"/>
  <c r="AG40" i="60"/>
  <c r="AF40" i="60" s="1"/>
  <c r="AG41" i="60"/>
  <c r="AF41" i="60" s="1"/>
  <c r="AG42" i="60"/>
  <c r="AF42" i="60" s="1"/>
  <c r="AG43" i="60"/>
  <c r="AF43" i="60" s="1"/>
  <c r="AG44" i="60"/>
  <c r="AF44" i="60" s="1"/>
  <c r="AG45" i="60"/>
  <c r="AF45" i="60" s="1"/>
  <c r="AG46" i="60"/>
  <c r="AF46" i="60" s="1"/>
  <c r="AG47" i="60"/>
  <c r="AF47" i="60" s="1"/>
  <c r="AG48" i="60"/>
  <c r="AF48" i="60" s="1"/>
  <c r="AG49" i="60"/>
  <c r="AF49" i="60" s="1"/>
  <c r="AG50" i="60"/>
  <c r="AF50" i="60" s="1"/>
  <c r="AG51" i="60"/>
  <c r="AF51" i="60" s="1"/>
  <c r="AG52" i="60"/>
  <c r="AF52" i="60" s="1"/>
  <c r="AG53" i="60"/>
  <c r="AF53" i="60" s="1"/>
  <c r="AG54" i="60"/>
  <c r="AF54" i="60" s="1"/>
  <c r="AG55" i="60"/>
  <c r="AF55" i="60" s="1"/>
  <c r="AG56" i="60"/>
  <c r="AF56" i="60" s="1"/>
  <c r="AG57" i="60"/>
  <c r="AF57" i="60" s="1"/>
  <c r="AG58" i="60"/>
  <c r="AF58" i="60" s="1"/>
  <c r="AG59" i="60"/>
  <c r="AF59" i="60" s="1"/>
  <c r="AG60" i="60"/>
  <c r="AF60" i="60" s="1"/>
  <c r="AG61" i="60"/>
  <c r="AF61" i="60" s="1"/>
  <c r="AG62" i="60"/>
  <c r="AF62" i="60" s="1"/>
  <c r="AG63" i="60"/>
  <c r="AF63" i="60" s="1"/>
  <c r="AG64" i="60"/>
  <c r="AF64" i="60" s="1"/>
  <c r="AG65" i="60"/>
  <c r="AF65" i="60" s="1"/>
  <c r="AG66" i="60"/>
  <c r="AF66" i="60" s="1"/>
  <c r="AG67" i="60"/>
  <c r="AF67" i="60" s="1"/>
  <c r="AG68" i="60"/>
  <c r="AF68" i="60" s="1"/>
  <c r="AG69" i="60"/>
  <c r="AF69" i="60" s="1"/>
  <c r="AG70" i="60"/>
  <c r="AF70" i="60" s="1"/>
  <c r="AG71" i="60"/>
  <c r="AF71" i="60" s="1"/>
  <c r="AG72" i="60"/>
  <c r="AF72" i="60" s="1"/>
  <c r="AG73" i="60"/>
  <c r="AF73" i="60" s="1"/>
  <c r="AG74" i="60"/>
  <c r="AF74" i="60" s="1"/>
  <c r="AG75" i="60"/>
  <c r="AF75" i="60" s="1"/>
  <c r="AG76" i="60"/>
  <c r="AF76" i="60" s="1"/>
  <c r="AG77" i="60"/>
  <c r="AF77" i="60" s="1"/>
  <c r="AG78" i="60"/>
  <c r="AF78" i="60" s="1"/>
  <c r="E78" i="60" s="1" a="1"/>
  <c r="E78" i="60" s="1"/>
  <c r="AG79" i="60"/>
  <c r="AF79" i="60" s="1"/>
  <c r="AG80" i="60"/>
  <c r="AF80" i="60" s="1"/>
  <c r="AG81" i="60"/>
  <c r="AF81" i="60" s="1"/>
  <c r="AG82" i="60"/>
  <c r="AF82" i="60" s="1"/>
  <c r="AG83" i="60"/>
  <c r="AF83" i="60" s="1"/>
  <c r="AG84" i="60"/>
  <c r="AF84" i="60" s="1"/>
  <c r="AG85" i="60"/>
  <c r="AF85" i="60" s="1"/>
  <c r="AG86" i="60"/>
  <c r="AF86" i="60" s="1"/>
  <c r="AG87" i="60"/>
  <c r="AF87" i="60" s="1"/>
  <c r="AG88" i="60"/>
  <c r="AF88" i="60" s="1"/>
  <c r="AG89" i="60"/>
  <c r="AF89" i="60" s="1"/>
  <c r="AG90" i="60"/>
  <c r="AF90" i="60" s="1"/>
  <c r="AG91" i="60"/>
  <c r="AF91" i="60" s="1"/>
  <c r="AG92" i="60"/>
  <c r="AF92" i="60" s="1"/>
  <c r="AG93" i="60"/>
  <c r="AF93" i="60" s="1"/>
  <c r="AG94" i="60"/>
  <c r="AF94" i="60" s="1"/>
  <c r="AG95" i="60"/>
  <c r="AF95" i="60" s="1"/>
  <c r="AG96" i="60"/>
  <c r="AF96" i="60" s="1"/>
  <c r="AG97" i="60"/>
  <c r="AF97" i="60" s="1"/>
  <c r="AG98" i="60"/>
  <c r="AF98" i="60" s="1"/>
  <c r="AG99" i="60"/>
  <c r="AF99" i="60" s="1"/>
  <c r="AG100" i="60"/>
  <c r="AF100" i="60" s="1"/>
  <c r="AG101" i="60"/>
  <c r="AF101" i="60" s="1"/>
  <c r="AG102" i="60"/>
  <c r="AF102" i="60" s="1"/>
  <c r="AG103" i="60"/>
  <c r="AF103" i="60" s="1"/>
  <c r="AG104" i="60"/>
  <c r="AF104" i="60" s="1"/>
  <c r="AG105" i="60"/>
  <c r="AF105" i="60" s="1"/>
  <c r="AG106" i="60"/>
  <c r="AF106" i="60" s="1"/>
  <c r="AG107" i="60"/>
  <c r="AF107" i="60" s="1"/>
  <c r="AG108" i="60"/>
  <c r="AF108" i="60" s="1"/>
  <c r="AG109" i="60"/>
  <c r="AF109" i="60" s="1"/>
  <c r="AG110" i="60"/>
  <c r="AF110" i="60" s="1"/>
  <c r="AG111" i="60"/>
  <c r="AF111" i="60" s="1"/>
  <c r="AG112" i="60"/>
  <c r="AF112" i="60" s="1"/>
  <c r="AG113" i="60"/>
  <c r="AF113" i="60" s="1"/>
  <c r="AG114" i="60"/>
  <c r="AF114" i="60" s="1"/>
  <c r="AG115" i="60"/>
  <c r="AF115" i="60" s="1"/>
  <c r="AG116" i="60"/>
  <c r="AF116" i="60" s="1"/>
  <c r="AG117" i="60"/>
  <c r="AF117" i="60" s="1"/>
  <c r="AG118" i="60"/>
  <c r="AF118" i="60" s="1"/>
  <c r="AG119" i="60"/>
  <c r="AF119" i="60" s="1"/>
  <c r="AG120" i="60"/>
  <c r="AF120" i="60" s="1"/>
  <c r="AG121" i="60"/>
  <c r="AF121" i="60" s="1"/>
  <c r="AG122" i="60"/>
  <c r="AF122" i="60" s="1"/>
  <c r="AG123" i="60"/>
  <c r="AF123" i="60" s="1"/>
  <c r="AG124" i="60"/>
  <c r="AF124" i="60" s="1"/>
  <c r="AG125" i="60"/>
  <c r="AF125" i="60" s="1"/>
  <c r="AG126" i="60"/>
  <c r="AF126" i="60" s="1"/>
  <c r="AG127" i="60"/>
  <c r="AF127" i="60" s="1"/>
  <c r="AG128" i="60"/>
  <c r="AF128" i="60" s="1"/>
  <c r="AG129" i="60"/>
  <c r="AF129" i="60" s="1"/>
  <c r="AG130" i="60"/>
  <c r="AF130" i="60" s="1"/>
  <c r="AG131" i="60"/>
  <c r="AF131" i="60" s="1"/>
  <c r="AG132" i="60"/>
  <c r="AF132" i="60" s="1"/>
  <c r="AG133" i="60"/>
  <c r="AF133" i="60" s="1"/>
  <c r="AG134" i="60"/>
  <c r="AF134" i="60" s="1"/>
  <c r="AG135" i="60"/>
  <c r="AF135" i="60" s="1"/>
  <c r="AG136" i="60"/>
  <c r="AF136" i="60" s="1"/>
  <c r="AG137" i="60"/>
  <c r="AF137" i="60" s="1"/>
  <c r="AG138" i="60"/>
  <c r="AF138" i="60" s="1"/>
  <c r="AG139" i="60"/>
  <c r="AF139" i="60" s="1"/>
  <c r="AG140" i="60"/>
  <c r="AF140" i="60" s="1"/>
  <c r="AG141" i="60"/>
  <c r="AF141" i="60" s="1"/>
  <c r="AG142" i="60"/>
  <c r="AF142" i="60" s="1"/>
  <c r="AG143" i="60"/>
  <c r="AF143" i="60" s="1"/>
  <c r="AG144" i="60"/>
  <c r="AF144" i="60" s="1"/>
  <c r="AG145" i="60"/>
  <c r="AF145" i="60" s="1"/>
  <c r="AG146" i="60"/>
  <c r="AF146" i="60" s="1"/>
  <c r="AG147" i="60"/>
  <c r="AF147" i="60" s="1"/>
  <c r="AG148" i="60"/>
  <c r="AF148" i="60" s="1"/>
  <c r="AG149" i="60"/>
  <c r="AF149" i="60" s="1"/>
  <c r="AG150" i="60"/>
  <c r="AF150" i="60" s="1"/>
  <c r="AG151" i="60"/>
  <c r="AF151" i="60" s="1"/>
  <c r="AG152" i="60"/>
  <c r="AF152" i="60" s="1"/>
  <c r="AG153" i="60"/>
  <c r="AF153" i="60" s="1"/>
  <c r="AG154" i="60"/>
  <c r="AF154" i="60" s="1"/>
  <c r="E154" i="60" s="1" a="1"/>
  <c r="E154" i="60" s="1"/>
  <c r="AG155" i="60"/>
  <c r="AF155" i="60" s="1"/>
  <c r="AG156" i="60"/>
  <c r="AF156" i="60" s="1"/>
  <c r="AG157" i="60"/>
  <c r="AF157" i="60" s="1"/>
  <c r="AG158" i="60"/>
  <c r="AF158" i="60" s="1"/>
  <c r="AG159" i="60"/>
  <c r="AF159" i="60" s="1"/>
  <c r="AG160" i="60"/>
  <c r="AF160" i="60" s="1"/>
  <c r="AG161" i="60"/>
  <c r="AF161" i="60" s="1"/>
  <c r="AG162" i="60"/>
  <c r="AF162" i="60" s="1"/>
  <c r="AG163" i="60"/>
  <c r="AF163" i="60" s="1"/>
  <c r="AG164" i="60"/>
  <c r="AF164" i="60" s="1"/>
  <c r="AG165" i="60"/>
  <c r="AF165" i="60" s="1"/>
  <c r="AG166" i="60"/>
  <c r="AF166" i="60" s="1"/>
  <c r="AG167" i="60"/>
  <c r="AF167" i="60" s="1"/>
  <c r="AG168" i="60"/>
  <c r="AF168" i="60" s="1"/>
  <c r="AG169" i="60"/>
  <c r="AF169" i="60" s="1"/>
  <c r="AG170" i="60"/>
  <c r="AF170" i="60" s="1"/>
  <c r="AG171" i="60"/>
  <c r="AF171" i="60" s="1"/>
  <c r="AG172" i="60"/>
  <c r="AF172" i="60" s="1"/>
  <c r="AG173" i="60"/>
  <c r="AF173" i="60" s="1"/>
  <c r="AG174" i="60"/>
  <c r="AF174" i="60" s="1"/>
  <c r="AG175" i="60"/>
  <c r="AF175" i="60" s="1"/>
  <c r="AG176" i="60"/>
  <c r="AF176" i="60" s="1"/>
  <c r="AG177" i="60"/>
  <c r="AF177" i="60" s="1"/>
  <c r="AG178" i="60"/>
  <c r="AF178" i="60" s="1"/>
  <c r="AG179" i="60"/>
  <c r="AF179" i="60" s="1"/>
  <c r="AG180" i="60"/>
  <c r="AF180" i="60" s="1"/>
  <c r="AG181" i="60"/>
  <c r="AF181" i="60" s="1"/>
  <c r="AG182" i="60"/>
  <c r="AF182" i="60" s="1"/>
  <c r="AG183" i="60"/>
  <c r="AF183" i="60" s="1"/>
  <c r="AG184" i="60"/>
  <c r="AF184" i="60" s="1"/>
  <c r="AG185" i="60"/>
  <c r="AF185" i="60" s="1"/>
  <c r="AG186" i="60"/>
  <c r="AF186" i="60" s="1"/>
  <c r="AG187" i="60"/>
  <c r="AF187" i="60" s="1"/>
  <c r="AG188" i="60"/>
  <c r="AF188" i="60" s="1"/>
  <c r="AG189" i="60"/>
  <c r="AF189" i="60" s="1"/>
  <c r="AG190" i="60"/>
  <c r="AF190" i="60" s="1"/>
  <c r="AG191" i="60"/>
  <c r="AF191" i="60" s="1"/>
  <c r="AG192" i="60"/>
  <c r="AF192" i="60" s="1"/>
  <c r="AG193" i="60"/>
  <c r="AF193" i="60" s="1"/>
  <c r="AG194" i="60"/>
  <c r="AF194" i="60" s="1"/>
  <c r="AG195" i="60"/>
  <c r="AF195" i="60" s="1"/>
  <c r="AG196" i="60"/>
  <c r="AF196" i="60" s="1"/>
  <c r="AG197" i="60"/>
  <c r="AF197" i="60" s="1"/>
  <c r="AG198" i="60"/>
  <c r="AF198" i="60" s="1"/>
  <c r="AG199" i="60"/>
  <c r="AF199" i="60" s="1"/>
  <c r="AG200" i="60"/>
  <c r="AF200" i="60" s="1"/>
  <c r="AG201" i="60"/>
  <c r="AF201" i="60" s="1"/>
  <c r="AG202" i="60"/>
  <c r="AF202" i="60" s="1"/>
  <c r="AG203" i="60"/>
  <c r="AF203" i="60" s="1"/>
  <c r="AG204" i="60"/>
  <c r="AF204" i="60" s="1"/>
  <c r="AG205" i="60"/>
  <c r="AF205" i="60" s="1"/>
  <c r="AG206" i="60"/>
  <c r="AF206" i="60" s="1"/>
  <c r="AG207" i="60"/>
  <c r="AF207" i="60" s="1"/>
  <c r="AG208" i="60"/>
  <c r="AF208" i="60" s="1"/>
  <c r="AG209" i="60"/>
  <c r="AF209" i="60" s="1"/>
  <c r="AG210" i="60"/>
  <c r="AF210" i="60" s="1"/>
  <c r="AG211" i="60"/>
  <c r="AF211" i="60" s="1"/>
  <c r="AG212" i="60"/>
  <c r="AF212" i="60" s="1"/>
  <c r="AG213" i="60"/>
  <c r="AF213" i="60" s="1"/>
  <c r="AG214" i="60"/>
  <c r="AF214" i="60" s="1"/>
  <c r="AG215" i="60"/>
  <c r="AF215" i="60" s="1"/>
  <c r="AG216" i="60"/>
  <c r="AF216" i="60" s="1"/>
  <c r="AG217" i="60"/>
  <c r="AF217" i="60" s="1"/>
  <c r="AG218" i="60"/>
  <c r="AF218" i="60" s="1"/>
  <c r="AG219" i="60"/>
  <c r="AF219" i="60" s="1"/>
  <c r="AG220" i="60"/>
  <c r="AF220" i="60" s="1"/>
  <c r="AG221" i="60"/>
  <c r="AF221" i="60" s="1"/>
  <c r="AG222" i="60"/>
  <c r="AF222" i="60" s="1"/>
  <c r="AG223" i="60"/>
  <c r="AF223" i="60" s="1"/>
  <c r="AG224" i="60"/>
  <c r="AF224" i="60" s="1"/>
  <c r="AG225" i="60"/>
  <c r="AF225" i="60" s="1"/>
  <c r="AG226" i="60"/>
  <c r="AF226" i="60" s="1"/>
  <c r="AG227" i="60"/>
  <c r="AF227" i="60" s="1"/>
  <c r="AG228" i="60"/>
  <c r="AF228" i="60" s="1"/>
  <c r="AG229" i="60"/>
  <c r="AF229" i="60" s="1"/>
  <c r="AG230" i="60"/>
  <c r="AF230" i="60" s="1"/>
  <c r="AG231" i="60"/>
  <c r="AF231" i="60" s="1"/>
  <c r="AG232" i="60"/>
  <c r="AF232" i="60" s="1"/>
  <c r="AG233" i="60"/>
  <c r="AF233" i="60" s="1"/>
  <c r="AG234" i="60"/>
  <c r="AF234" i="60" s="1"/>
  <c r="AG235" i="60"/>
  <c r="AF235" i="60" s="1"/>
  <c r="AG236" i="60"/>
  <c r="AF236" i="60" s="1"/>
  <c r="AG237" i="60"/>
  <c r="AF237" i="60" s="1"/>
  <c r="AG238" i="60"/>
  <c r="AF238" i="60" s="1"/>
  <c r="AG239" i="60"/>
  <c r="AF239" i="60" s="1"/>
  <c r="AG240" i="60"/>
  <c r="AF240" i="60" s="1"/>
  <c r="AG241" i="60"/>
  <c r="AF241" i="60" s="1"/>
  <c r="AG242" i="60"/>
  <c r="AF242" i="60" s="1"/>
  <c r="AG243" i="60"/>
  <c r="AF243" i="60" s="1"/>
  <c r="AG244" i="60"/>
  <c r="AF244" i="60" s="1"/>
  <c r="AG245" i="60"/>
  <c r="AF245" i="60" s="1"/>
  <c r="AG246" i="60"/>
  <c r="AF246" i="60" s="1"/>
  <c r="AG247" i="60"/>
  <c r="AF247" i="60" s="1"/>
  <c r="AG248" i="60"/>
  <c r="AF248" i="60" s="1"/>
  <c r="AG249" i="60"/>
  <c r="AF249" i="60" s="1"/>
  <c r="AG250" i="60"/>
  <c r="AF250" i="60" s="1"/>
  <c r="AG251" i="60"/>
  <c r="AF251" i="60" s="1"/>
  <c r="AG252" i="60"/>
  <c r="AF252" i="60" s="1"/>
  <c r="AH26" i="60"/>
  <c r="AH27" i="60"/>
  <c r="AH28" i="60"/>
  <c r="AH29" i="60"/>
  <c r="AH30" i="60"/>
  <c r="AH31" i="60"/>
  <c r="AH32" i="60"/>
  <c r="AH33" i="60"/>
  <c r="AH34" i="60"/>
  <c r="AH35" i="60"/>
  <c r="AH36" i="60"/>
  <c r="AH37" i="60"/>
  <c r="AH38" i="60"/>
  <c r="AH39" i="60"/>
  <c r="AH40" i="60"/>
  <c r="AH41" i="60"/>
  <c r="AH42" i="60"/>
  <c r="AH43" i="60"/>
  <c r="AH44" i="60"/>
  <c r="AH45" i="60"/>
  <c r="AH46" i="60"/>
  <c r="AH47" i="60"/>
  <c r="AH48" i="60"/>
  <c r="AH49" i="60"/>
  <c r="AH50" i="60"/>
  <c r="AH51" i="60"/>
  <c r="AH52" i="60"/>
  <c r="AH53" i="60"/>
  <c r="AH54" i="60"/>
  <c r="AH55" i="60"/>
  <c r="AH56" i="60"/>
  <c r="AH57" i="60"/>
  <c r="AH58" i="60"/>
  <c r="AH59" i="60"/>
  <c r="AH60" i="60"/>
  <c r="AH61" i="60"/>
  <c r="AH62" i="60"/>
  <c r="AH63" i="60"/>
  <c r="AH64" i="60"/>
  <c r="AH65" i="60"/>
  <c r="AH66" i="60"/>
  <c r="AH67" i="60"/>
  <c r="AH68" i="60"/>
  <c r="AH69" i="60"/>
  <c r="AH70" i="60"/>
  <c r="AH71" i="60"/>
  <c r="AH72" i="60"/>
  <c r="AH73" i="60"/>
  <c r="AH74" i="60"/>
  <c r="AH75" i="60"/>
  <c r="AH76" i="60"/>
  <c r="AH77" i="60"/>
  <c r="AH78" i="60"/>
  <c r="AH79" i="60"/>
  <c r="AH80" i="60"/>
  <c r="AH81" i="60"/>
  <c r="AH82" i="60"/>
  <c r="AH83" i="60"/>
  <c r="AH84" i="60"/>
  <c r="AH85" i="60"/>
  <c r="AH86" i="60"/>
  <c r="AH87" i="60"/>
  <c r="AH88" i="60"/>
  <c r="AH89" i="60"/>
  <c r="AH90" i="60"/>
  <c r="AH91" i="60"/>
  <c r="AH92" i="60"/>
  <c r="AH93" i="60"/>
  <c r="AH94" i="60"/>
  <c r="AH95" i="60"/>
  <c r="AH96" i="60"/>
  <c r="AH97" i="60"/>
  <c r="AH98" i="60"/>
  <c r="AH99" i="60"/>
  <c r="AH100" i="60"/>
  <c r="AH101" i="60"/>
  <c r="AH102" i="60"/>
  <c r="AH103" i="60"/>
  <c r="AH104" i="60"/>
  <c r="AH105" i="60"/>
  <c r="AH106" i="60"/>
  <c r="AH107" i="60"/>
  <c r="AH108" i="60"/>
  <c r="AH109" i="60"/>
  <c r="AH110" i="60"/>
  <c r="AH111" i="60"/>
  <c r="AH112" i="60"/>
  <c r="AH113" i="60"/>
  <c r="AH114" i="60"/>
  <c r="AH115" i="60"/>
  <c r="AH116" i="60"/>
  <c r="AH117" i="60"/>
  <c r="AH118" i="60"/>
  <c r="AH119" i="60"/>
  <c r="AH120" i="60"/>
  <c r="AH121" i="60"/>
  <c r="AH122" i="60"/>
  <c r="AH123" i="60"/>
  <c r="AH124" i="60"/>
  <c r="AH125" i="60"/>
  <c r="AH126" i="60"/>
  <c r="AH127" i="60"/>
  <c r="AH128" i="60"/>
  <c r="AH129" i="60"/>
  <c r="AH130" i="60"/>
  <c r="AH131" i="60"/>
  <c r="AH132" i="60"/>
  <c r="AH133" i="60"/>
  <c r="AH134" i="60"/>
  <c r="AH135" i="60"/>
  <c r="AH136" i="60"/>
  <c r="AH137" i="60"/>
  <c r="AH138" i="60"/>
  <c r="AH139" i="60"/>
  <c r="AH140" i="60"/>
  <c r="AH141" i="60"/>
  <c r="AH142" i="60"/>
  <c r="AH143" i="60"/>
  <c r="AH144" i="60"/>
  <c r="AH145" i="60"/>
  <c r="AH146" i="60"/>
  <c r="AH147" i="60"/>
  <c r="AH148" i="60"/>
  <c r="AH149" i="60"/>
  <c r="AH150" i="60"/>
  <c r="AH151" i="60"/>
  <c r="AH152" i="60"/>
  <c r="AH153" i="60"/>
  <c r="AH154" i="60"/>
  <c r="AH155" i="60"/>
  <c r="AH156" i="60"/>
  <c r="AH157" i="60"/>
  <c r="AH158" i="60"/>
  <c r="AH159" i="60"/>
  <c r="AH160" i="60"/>
  <c r="AH161" i="60"/>
  <c r="AH162" i="60"/>
  <c r="AH163" i="60"/>
  <c r="AH164" i="60"/>
  <c r="AH165" i="60"/>
  <c r="AH166" i="60"/>
  <c r="AH167" i="60"/>
  <c r="AH168" i="60"/>
  <c r="AH169" i="60"/>
  <c r="AH170" i="60"/>
  <c r="AH171" i="60"/>
  <c r="AH172" i="60"/>
  <c r="AH173" i="60"/>
  <c r="AH174" i="60"/>
  <c r="AH175" i="60"/>
  <c r="AH176" i="60"/>
  <c r="AH177" i="60"/>
  <c r="AH178" i="60"/>
  <c r="AH179" i="60"/>
  <c r="AH180" i="60"/>
  <c r="AH181" i="60"/>
  <c r="AH182" i="60"/>
  <c r="AH183" i="60"/>
  <c r="AH184" i="60"/>
  <c r="AH185" i="60"/>
  <c r="AH186" i="60"/>
  <c r="AH187" i="60"/>
  <c r="AH188" i="60"/>
  <c r="AH189" i="60"/>
  <c r="AH190" i="60"/>
  <c r="AH191" i="60"/>
  <c r="AH192" i="60"/>
  <c r="AH193" i="60"/>
  <c r="AH194" i="60"/>
  <c r="AH195" i="60"/>
  <c r="AH196" i="60"/>
  <c r="AH197" i="60"/>
  <c r="AH198" i="60"/>
  <c r="AH199" i="60"/>
  <c r="AH200" i="60"/>
  <c r="AH201" i="60"/>
  <c r="AH202" i="60"/>
  <c r="AH203" i="60"/>
  <c r="AH204" i="60"/>
  <c r="AH205" i="60"/>
  <c r="AH206" i="60"/>
  <c r="AH207" i="60"/>
  <c r="AH208" i="60"/>
  <c r="AH209" i="60"/>
  <c r="AH210" i="60"/>
  <c r="AH211" i="60"/>
  <c r="AH212" i="60"/>
  <c r="AH213" i="60"/>
  <c r="AH214" i="60"/>
  <c r="AH215" i="60"/>
  <c r="AH216" i="60"/>
  <c r="AH217" i="60"/>
  <c r="AH218" i="60"/>
  <c r="AH219" i="60"/>
  <c r="AH220" i="60"/>
  <c r="AH221" i="60"/>
  <c r="AH222" i="60"/>
  <c r="AH223" i="60"/>
  <c r="AH224" i="60"/>
  <c r="AH225" i="60"/>
  <c r="AH226" i="60"/>
  <c r="AH227" i="60"/>
  <c r="AH228" i="60"/>
  <c r="AH229" i="60"/>
  <c r="AH230" i="60"/>
  <c r="AH231" i="60"/>
  <c r="AH232" i="60"/>
  <c r="AH233" i="60"/>
  <c r="AH234" i="60"/>
  <c r="AH235" i="60"/>
  <c r="AH236" i="60"/>
  <c r="AH237" i="60"/>
  <c r="AH238" i="60"/>
  <c r="AH239" i="60"/>
  <c r="AH240" i="60"/>
  <c r="AH241" i="60"/>
  <c r="AH242" i="60"/>
  <c r="AH243" i="60"/>
  <c r="AH244" i="60"/>
  <c r="AH245" i="60"/>
  <c r="AH246" i="60"/>
  <c r="AH247" i="60"/>
  <c r="AH248" i="60"/>
  <c r="AH249" i="60"/>
  <c r="AH250" i="60"/>
  <c r="AH251" i="60"/>
  <c r="AH252" i="60"/>
  <c r="A3" i="60"/>
  <c r="A4" i="60"/>
  <c r="A5" i="60"/>
  <c r="A6" i="60"/>
  <c r="A7" i="60"/>
  <c r="A8" i="60"/>
  <c r="A9" i="60"/>
  <c r="A10" i="60"/>
  <c r="A11" i="60"/>
  <c r="A12" i="60"/>
  <c r="A13" i="60"/>
  <c r="A14" i="60"/>
  <c r="A15" i="60"/>
  <c r="A16" i="60"/>
  <c r="A17" i="60"/>
  <c r="A18" i="60"/>
  <c r="A19" i="60"/>
  <c r="A20" i="60"/>
  <c r="A21" i="60"/>
  <c r="A22" i="60"/>
  <c r="A23" i="60"/>
  <c r="A24" i="60"/>
  <c r="A25" i="60"/>
  <c r="C3" i="60"/>
  <c r="C4" i="60"/>
  <c r="C5" i="60"/>
  <c r="C6" i="60"/>
  <c r="C7" i="60"/>
  <c r="C8" i="60"/>
  <c r="C9" i="60"/>
  <c r="C10" i="60"/>
  <c r="C11" i="60"/>
  <c r="C12" i="60"/>
  <c r="C13" i="60"/>
  <c r="C14" i="60"/>
  <c r="C15" i="60"/>
  <c r="C16" i="60"/>
  <c r="C17" i="60"/>
  <c r="C18" i="60"/>
  <c r="C19" i="60"/>
  <c r="C20" i="60"/>
  <c r="C21" i="60"/>
  <c r="C22" i="60"/>
  <c r="C23" i="60"/>
  <c r="C24" i="60"/>
  <c r="C25" i="60"/>
  <c r="G3" i="60"/>
  <c r="G4" i="60"/>
  <c r="G5" i="60"/>
  <c r="G6" i="60"/>
  <c r="G7" i="60"/>
  <c r="G8" i="60"/>
  <c r="G9" i="60"/>
  <c r="G10" i="60"/>
  <c r="G11" i="60"/>
  <c r="G12" i="60"/>
  <c r="G13" i="60"/>
  <c r="G14" i="60"/>
  <c r="G15" i="60"/>
  <c r="G16" i="60"/>
  <c r="G17" i="60"/>
  <c r="G18" i="60"/>
  <c r="G19" i="60"/>
  <c r="G20" i="60"/>
  <c r="G21" i="60"/>
  <c r="G22" i="60"/>
  <c r="G23" i="60"/>
  <c r="G24" i="60"/>
  <c r="G25" i="60"/>
  <c r="K3" i="60"/>
  <c r="K4" i="60"/>
  <c r="K5" i="60"/>
  <c r="K6" i="60"/>
  <c r="K7" i="60"/>
  <c r="K8" i="60"/>
  <c r="K9" i="60"/>
  <c r="K10" i="60"/>
  <c r="K11" i="60"/>
  <c r="K12" i="60"/>
  <c r="K13" i="60"/>
  <c r="K14" i="60"/>
  <c r="K15" i="60"/>
  <c r="K16" i="60"/>
  <c r="K17" i="60"/>
  <c r="K18" i="60"/>
  <c r="K19" i="60"/>
  <c r="K20" i="60"/>
  <c r="K21" i="60"/>
  <c r="K22" i="60"/>
  <c r="K23" i="60"/>
  <c r="K24" i="60"/>
  <c r="K25" i="60"/>
  <c r="L3" i="60" a="1"/>
  <c r="L3" i="60" s="1"/>
  <c r="L4" i="60" a="1"/>
  <c r="L4" i="60" s="1"/>
  <c r="L5" i="60" a="1"/>
  <c r="L5" i="60" s="1"/>
  <c r="L6" i="60" a="1"/>
  <c r="L6" i="60" s="1"/>
  <c r="L7" i="60" a="1"/>
  <c r="L7" i="60" s="1"/>
  <c r="L8" i="60" a="1"/>
  <c r="L8" i="60" s="1"/>
  <c r="L9" i="60" a="1"/>
  <c r="L9" i="60" s="1"/>
  <c r="L10" i="60" a="1"/>
  <c r="L10" i="60" s="1"/>
  <c r="L11" i="60" a="1"/>
  <c r="L11" i="60" s="1"/>
  <c r="L12" i="60" a="1"/>
  <c r="L12" i="60" s="1"/>
  <c r="L13" i="60" a="1"/>
  <c r="L13" i="60" s="1"/>
  <c r="L14" i="60" a="1"/>
  <c r="L14" i="60" s="1"/>
  <c r="L15" i="60" a="1"/>
  <c r="L15" i="60" s="1"/>
  <c r="L16" i="60" a="1"/>
  <c r="L16" i="60" s="1"/>
  <c r="L17" i="60" a="1"/>
  <c r="L17" i="60" s="1"/>
  <c r="L18" i="60" a="1"/>
  <c r="L18" i="60" s="1"/>
  <c r="L19" i="60" a="1"/>
  <c r="L19" i="60" s="1"/>
  <c r="L20" i="60" a="1"/>
  <c r="L20" i="60" s="1"/>
  <c r="L21" i="60" a="1"/>
  <c r="L21" i="60" s="1"/>
  <c r="L22" i="60" a="1"/>
  <c r="L22" i="60" s="1"/>
  <c r="L23" i="60" a="1"/>
  <c r="L23" i="60" s="1"/>
  <c r="L24" i="60" a="1"/>
  <c r="L24" i="60" s="1"/>
  <c r="L25" i="60" a="1"/>
  <c r="L25" i="60" s="1"/>
  <c r="N3" i="60" a="1"/>
  <c r="N3" i="60" s="1"/>
  <c r="N4" i="60" a="1"/>
  <c r="N4" i="60" s="1"/>
  <c r="N5" i="60" a="1"/>
  <c r="N5" i="60" s="1"/>
  <c r="N6" i="60" a="1"/>
  <c r="N6" i="60" s="1"/>
  <c r="N7" i="60" a="1"/>
  <c r="N7" i="60" s="1"/>
  <c r="N8" i="60" a="1"/>
  <c r="N8" i="60" s="1"/>
  <c r="N9" i="60" a="1"/>
  <c r="N9" i="60" s="1"/>
  <c r="N10" i="60" a="1"/>
  <c r="N10" i="60" s="1"/>
  <c r="N11" i="60" a="1"/>
  <c r="N11" i="60" s="1"/>
  <c r="N12" i="60" a="1"/>
  <c r="N12" i="60" s="1"/>
  <c r="N13" i="60" a="1"/>
  <c r="N13" i="60" s="1"/>
  <c r="N14" i="60" a="1"/>
  <c r="N14" i="60" s="1"/>
  <c r="N15" i="60" a="1"/>
  <c r="N15" i="60" s="1"/>
  <c r="N16" i="60" a="1"/>
  <c r="N16" i="60" s="1"/>
  <c r="N17" i="60" a="1"/>
  <c r="N17" i="60" s="1"/>
  <c r="N18" i="60" a="1"/>
  <c r="N18" i="60" s="1"/>
  <c r="N19" i="60" a="1"/>
  <c r="N19" i="60" s="1"/>
  <c r="N20" i="60" a="1"/>
  <c r="N20" i="60" s="1"/>
  <c r="N21" i="60" a="1"/>
  <c r="N21" i="60" s="1"/>
  <c r="N22" i="60" a="1"/>
  <c r="N22" i="60" s="1"/>
  <c r="N23" i="60" a="1"/>
  <c r="N23" i="60" s="1"/>
  <c r="N24" i="60" a="1"/>
  <c r="N24" i="60" s="1"/>
  <c r="N25" i="60" a="1"/>
  <c r="N25" i="60" s="1"/>
  <c r="O3" i="60" a="1"/>
  <c r="O3" i="60" s="1"/>
  <c r="O4" i="60" a="1"/>
  <c r="O4" i="60" s="1"/>
  <c r="O5" i="60" a="1"/>
  <c r="O5" i="60" s="1"/>
  <c r="O6" i="60" a="1"/>
  <c r="O6" i="60" s="1"/>
  <c r="O7" i="60" a="1"/>
  <c r="O7" i="60" s="1"/>
  <c r="O8" i="60" a="1"/>
  <c r="O8" i="60" s="1"/>
  <c r="O9" i="60" a="1"/>
  <c r="O9" i="60" s="1"/>
  <c r="O10" i="60" a="1"/>
  <c r="O10" i="60" s="1"/>
  <c r="O11" i="60" a="1"/>
  <c r="O11" i="60" s="1"/>
  <c r="O12" i="60" a="1"/>
  <c r="O12" i="60" s="1"/>
  <c r="O13" i="60" a="1"/>
  <c r="O13" i="60" s="1"/>
  <c r="O14" i="60" a="1"/>
  <c r="O14" i="60" s="1"/>
  <c r="O15" i="60" a="1"/>
  <c r="O15" i="60" s="1"/>
  <c r="O16" i="60" a="1"/>
  <c r="O16" i="60" s="1"/>
  <c r="O17" i="60" a="1"/>
  <c r="O17" i="60" s="1"/>
  <c r="O18" i="60" a="1"/>
  <c r="O18" i="60" s="1"/>
  <c r="O19" i="60" a="1"/>
  <c r="O19" i="60" s="1"/>
  <c r="O20" i="60" a="1"/>
  <c r="O20" i="60" s="1"/>
  <c r="O21" i="60" a="1"/>
  <c r="O21" i="60" s="1"/>
  <c r="O22" i="60" a="1"/>
  <c r="O22" i="60" s="1"/>
  <c r="O23" i="60" a="1"/>
  <c r="O23" i="60" s="1"/>
  <c r="O24" i="60" a="1"/>
  <c r="O24" i="60" s="1"/>
  <c r="O25" i="60" a="1"/>
  <c r="O25" i="60" s="1"/>
  <c r="P3" i="60"/>
  <c r="P4" i="60"/>
  <c r="P5" i="60"/>
  <c r="P6" i="60"/>
  <c r="P7" i="60"/>
  <c r="P8" i="60"/>
  <c r="P9" i="60"/>
  <c r="P10" i="60"/>
  <c r="P11" i="60"/>
  <c r="P12" i="60"/>
  <c r="P13" i="60"/>
  <c r="P14" i="60"/>
  <c r="P15" i="60"/>
  <c r="P16" i="60"/>
  <c r="P17" i="60"/>
  <c r="P18" i="60"/>
  <c r="P19" i="60"/>
  <c r="P20" i="60"/>
  <c r="P21" i="60"/>
  <c r="P22" i="60"/>
  <c r="P23" i="60"/>
  <c r="P24" i="60"/>
  <c r="P25" i="60"/>
  <c r="Q3" i="60"/>
  <c r="Q4" i="60"/>
  <c r="Q5" i="60"/>
  <c r="Q6" i="60"/>
  <c r="Q7" i="60"/>
  <c r="Q8" i="60"/>
  <c r="Q9" i="60"/>
  <c r="Q10" i="60"/>
  <c r="Q11" i="60"/>
  <c r="Q12" i="60"/>
  <c r="Q13" i="60"/>
  <c r="Q14" i="60"/>
  <c r="Q15" i="60"/>
  <c r="Q16" i="60"/>
  <c r="Q17" i="60"/>
  <c r="Q18" i="60"/>
  <c r="Q19" i="60"/>
  <c r="Q20" i="60"/>
  <c r="Q21" i="60"/>
  <c r="Q22" i="60"/>
  <c r="Q23" i="60"/>
  <c r="Q24" i="60"/>
  <c r="Q25" i="60"/>
  <c r="R3" i="60"/>
  <c r="R4" i="60"/>
  <c r="R5" i="60"/>
  <c r="R6" i="60"/>
  <c r="R7" i="60"/>
  <c r="R8" i="60"/>
  <c r="R9" i="60"/>
  <c r="R10" i="60"/>
  <c r="R11" i="60"/>
  <c r="R12" i="60"/>
  <c r="R13" i="60"/>
  <c r="R14" i="60"/>
  <c r="R15" i="60"/>
  <c r="R16" i="60"/>
  <c r="R17" i="60"/>
  <c r="R18" i="60"/>
  <c r="R19" i="60"/>
  <c r="R20" i="60"/>
  <c r="R21" i="60"/>
  <c r="R22" i="60"/>
  <c r="R23" i="60"/>
  <c r="R24" i="60"/>
  <c r="R25" i="60"/>
  <c r="S3" i="60"/>
  <c r="S4" i="60"/>
  <c r="S5" i="60"/>
  <c r="S6" i="60"/>
  <c r="S7" i="60"/>
  <c r="S8" i="60"/>
  <c r="S9" i="60"/>
  <c r="S10" i="60"/>
  <c r="S11" i="60"/>
  <c r="S12" i="60"/>
  <c r="S13" i="60"/>
  <c r="S14" i="60"/>
  <c r="S15" i="60"/>
  <c r="S16" i="60"/>
  <c r="S17" i="60"/>
  <c r="S18" i="60"/>
  <c r="S19" i="60"/>
  <c r="S20" i="60"/>
  <c r="S21" i="60"/>
  <c r="S22" i="60"/>
  <c r="S23" i="60"/>
  <c r="S24" i="60"/>
  <c r="S25" i="60"/>
  <c r="U3" i="60"/>
  <c r="U4" i="60"/>
  <c r="U5" i="60"/>
  <c r="U6" i="60"/>
  <c r="U7" i="60"/>
  <c r="U8" i="60"/>
  <c r="U9" i="60"/>
  <c r="U10" i="60"/>
  <c r="U11" i="60"/>
  <c r="U12" i="60"/>
  <c r="U13" i="60"/>
  <c r="U14" i="60"/>
  <c r="U15" i="60"/>
  <c r="U16" i="60"/>
  <c r="U17" i="60"/>
  <c r="U18" i="60"/>
  <c r="U19" i="60"/>
  <c r="U20" i="60"/>
  <c r="U21" i="60"/>
  <c r="U22" i="60"/>
  <c r="U23" i="60"/>
  <c r="U24" i="60"/>
  <c r="U25" i="60"/>
  <c r="V3" i="60"/>
  <c r="V4" i="60"/>
  <c r="V5" i="60"/>
  <c r="V6" i="60"/>
  <c r="V7" i="60"/>
  <c r="V8" i="60"/>
  <c r="V9" i="60"/>
  <c r="V10" i="60"/>
  <c r="V11" i="60"/>
  <c r="V12" i="60"/>
  <c r="V13" i="60"/>
  <c r="V14" i="60"/>
  <c r="V15" i="60"/>
  <c r="V16" i="60"/>
  <c r="V17" i="60"/>
  <c r="V18" i="60"/>
  <c r="V19" i="60"/>
  <c r="V20" i="60"/>
  <c r="V21" i="60"/>
  <c r="V22" i="60"/>
  <c r="V23" i="60"/>
  <c r="V24" i="60"/>
  <c r="V25" i="60"/>
  <c r="W3" i="60"/>
  <c r="W4" i="60"/>
  <c r="W5" i="60"/>
  <c r="W6" i="60"/>
  <c r="W7" i="60"/>
  <c r="W8" i="60"/>
  <c r="W9" i="60"/>
  <c r="W10" i="60"/>
  <c r="W11" i="60"/>
  <c r="W12" i="60"/>
  <c r="W13" i="60"/>
  <c r="W14" i="60"/>
  <c r="W15" i="60"/>
  <c r="W16" i="60"/>
  <c r="W17" i="60"/>
  <c r="W18" i="60"/>
  <c r="W19" i="60"/>
  <c r="W20" i="60"/>
  <c r="W21" i="60"/>
  <c r="W22" i="60"/>
  <c r="W23" i="60"/>
  <c r="W24" i="60"/>
  <c r="W25" i="60"/>
  <c r="X3" i="60"/>
  <c r="X4" i="60"/>
  <c r="X5" i="60"/>
  <c r="X6" i="60"/>
  <c r="X7" i="60"/>
  <c r="X8" i="60"/>
  <c r="X9" i="60"/>
  <c r="X10" i="60"/>
  <c r="X11" i="60"/>
  <c r="X12" i="60"/>
  <c r="X13" i="60"/>
  <c r="X14" i="60"/>
  <c r="X15" i="60"/>
  <c r="X16" i="60"/>
  <c r="X17" i="60"/>
  <c r="X18" i="60"/>
  <c r="X19" i="60"/>
  <c r="X20" i="60"/>
  <c r="X21" i="60"/>
  <c r="X22" i="60"/>
  <c r="X23" i="60"/>
  <c r="X24" i="60"/>
  <c r="X25" i="60"/>
  <c r="AG3" i="60"/>
  <c r="AF3" i="60" s="1"/>
  <c r="AG4" i="60"/>
  <c r="AF4" i="60" s="1"/>
  <c r="AG5" i="60"/>
  <c r="AF5" i="60" s="1"/>
  <c r="M5" i="60" s="1"/>
  <c r="AG6" i="60"/>
  <c r="AF6" i="60" s="1"/>
  <c r="AG7" i="60"/>
  <c r="AF7" i="60" s="1"/>
  <c r="AG8" i="60"/>
  <c r="AF8" i="60" s="1"/>
  <c r="M8" i="60" s="1"/>
  <c r="AG9" i="60"/>
  <c r="AF9" i="60" s="1"/>
  <c r="AG10" i="60"/>
  <c r="AF10" i="60" s="1"/>
  <c r="E10" i="60" s="1" a="1"/>
  <c r="E10" i="60" s="1"/>
  <c r="AG11" i="60"/>
  <c r="AF11" i="60" s="1"/>
  <c r="AG12" i="60"/>
  <c r="AF12" i="60" s="1"/>
  <c r="AG13" i="60"/>
  <c r="AF13" i="60" s="1"/>
  <c r="M13" i="60" s="1"/>
  <c r="AG14" i="60"/>
  <c r="AF14" i="60" s="1"/>
  <c r="AG15" i="60"/>
  <c r="AF15" i="60" s="1"/>
  <c r="AG16" i="60"/>
  <c r="AF16" i="60" s="1"/>
  <c r="M16" i="60" s="1"/>
  <c r="AG17" i="60"/>
  <c r="AF17" i="60" s="1"/>
  <c r="AG18" i="60"/>
  <c r="AF18" i="60" s="1"/>
  <c r="E18" i="60" s="1" a="1"/>
  <c r="E18" i="60" s="1"/>
  <c r="AG19" i="60"/>
  <c r="AF19" i="60" s="1"/>
  <c r="AG20" i="60"/>
  <c r="AF20" i="60" s="1"/>
  <c r="AG21" i="60"/>
  <c r="AF21" i="60" s="1"/>
  <c r="M21" i="60" s="1"/>
  <c r="AG22" i="60"/>
  <c r="AF22" i="60" s="1"/>
  <c r="AG23" i="60"/>
  <c r="AF23" i="60" s="1"/>
  <c r="AG24" i="60"/>
  <c r="AF24" i="60" s="1"/>
  <c r="M24" i="60" s="1"/>
  <c r="AG25" i="60"/>
  <c r="AF25" i="60" s="1"/>
  <c r="AH3" i="60"/>
  <c r="F3" i="60" s="1" a="1"/>
  <c r="F3" i="60" s="1"/>
  <c r="AH4" i="60"/>
  <c r="F4" i="60" s="1" a="1"/>
  <c r="F4" i="60" s="1"/>
  <c r="AH5" i="60"/>
  <c r="H5" i="60" s="1"/>
  <c r="AH6" i="60"/>
  <c r="AH7" i="60"/>
  <c r="F7" i="60" s="1" a="1"/>
  <c r="F7" i="60" s="1"/>
  <c r="AH8" i="60"/>
  <c r="AH9" i="60"/>
  <c r="I9" i="60" s="1" a="1"/>
  <c r="I9" i="60" s="1"/>
  <c r="AH10" i="60"/>
  <c r="AH11" i="60"/>
  <c r="F11" i="60" s="1" a="1"/>
  <c r="F11" i="60" s="1"/>
  <c r="AH12" i="60"/>
  <c r="F12" i="60" s="1" a="1"/>
  <c r="F12" i="60" s="1"/>
  <c r="AH13" i="60"/>
  <c r="H13" i="60" s="1"/>
  <c r="AH14" i="60"/>
  <c r="H14" i="60" s="1"/>
  <c r="AH15" i="60"/>
  <c r="F15" i="60" s="1" a="1"/>
  <c r="F15" i="60" s="1"/>
  <c r="AH16" i="60"/>
  <c r="F16" i="60" s="1" a="1"/>
  <c r="F16" i="60" s="1"/>
  <c r="AH17" i="60"/>
  <c r="I17" i="60" s="1" a="1"/>
  <c r="I17" i="60" s="1"/>
  <c r="AH18" i="60"/>
  <c r="AH19" i="60"/>
  <c r="F19" i="60" s="1" a="1"/>
  <c r="F19" i="60" s="1"/>
  <c r="AH20" i="60"/>
  <c r="F20" i="60" s="1" a="1"/>
  <c r="F20" i="60" s="1"/>
  <c r="AH21" i="60"/>
  <c r="H21" i="60" s="1"/>
  <c r="AH22" i="60"/>
  <c r="H22" i="60" s="1"/>
  <c r="AH23" i="60"/>
  <c r="F23" i="60" s="1" a="1"/>
  <c r="F23" i="60" s="1"/>
  <c r="AH24" i="60"/>
  <c r="F24" i="60" s="1" a="1"/>
  <c r="F24" i="60" s="1"/>
  <c r="AH25" i="60"/>
  <c r="I25" i="60" s="1" a="1"/>
  <c r="I25" i="60" s="1"/>
  <c r="A2" i="60"/>
  <c r="C2" i="60"/>
  <c r="G2" i="60"/>
  <c r="K2" i="60"/>
  <c r="L2" i="60" a="1"/>
  <c r="L2" i="60" s="1"/>
  <c r="N2" i="60" a="1"/>
  <c r="N2" i="60" s="1"/>
  <c r="O2" i="60" a="1"/>
  <c r="O2" i="60" s="1"/>
  <c r="P2" i="60"/>
  <c r="Q2" i="60"/>
  <c r="R2" i="60"/>
  <c r="S2" i="60"/>
  <c r="U2" i="60"/>
  <c r="V2" i="60"/>
  <c r="W2" i="60"/>
  <c r="X2" i="60"/>
  <c r="AG2" i="60"/>
  <c r="AF2" i="60" s="1"/>
  <c r="AH2" i="60"/>
  <c r="A9" i="118"/>
  <c r="B9" i="118"/>
  <c r="C9" i="118"/>
  <c r="D9" i="118"/>
  <c r="E9" i="118"/>
  <c r="F9" i="118"/>
  <c r="G9" i="118"/>
  <c r="A37" i="59"/>
  <c r="A38" i="59"/>
  <c r="A39" i="59"/>
  <c r="A40" i="59"/>
  <c r="A41" i="59"/>
  <c r="A42" i="59"/>
  <c r="A43" i="59"/>
  <c r="A44" i="59"/>
  <c r="A45" i="59"/>
  <c r="A46" i="59"/>
  <c r="A47" i="59"/>
  <c r="A48" i="59"/>
  <c r="A49" i="59"/>
  <c r="A50" i="59"/>
  <c r="A51" i="59"/>
  <c r="A52" i="59"/>
  <c r="A53" i="59"/>
  <c r="A54" i="59"/>
  <c r="A55" i="59"/>
  <c r="A56" i="59"/>
  <c r="A57" i="59"/>
  <c r="A58" i="59"/>
  <c r="A59" i="59"/>
  <c r="A60" i="59"/>
  <c r="A61" i="59"/>
  <c r="A62" i="59"/>
  <c r="A63" i="59"/>
  <c r="A64" i="59"/>
  <c r="A65" i="59"/>
  <c r="A66" i="59"/>
  <c r="A67" i="59"/>
  <c r="A68" i="59"/>
  <c r="A69" i="59"/>
  <c r="A70" i="59"/>
  <c r="A71" i="59"/>
  <c r="A72" i="59"/>
  <c r="A73" i="59"/>
  <c r="A74" i="59"/>
  <c r="A75" i="59"/>
  <c r="A76" i="59"/>
  <c r="A77" i="59"/>
  <c r="A78" i="59"/>
  <c r="A79" i="59"/>
  <c r="A80" i="59"/>
  <c r="A81" i="59"/>
  <c r="A82" i="59"/>
  <c r="A83" i="59"/>
  <c r="A84" i="59"/>
  <c r="A85" i="59"/>
  <c r="A86" i="59"/>
  <c r="A87" i="59"/>
  <c r="A88" i="59"/>
  <c r="A89" i="59"/>
  <c r="A90" i="59"/>
  <c r="A91" i="59"/>
  <c r="A92" i="59"/>
  <c r="A93" i="59"/>
  <c r="A94" i="59"/>
  <c r="A95" i="59"/>
  <c r="A96" i="59"/>
  <c r="A97" i="59"/>
  <c r="A98" i="59"/>
  <c r="A99" i="59"/>
  <c r="A100" i="59"/>
  <c r="A101" i="59"/>
  <c r="A102" i="59"/>
  <c r="B37" i="59"/>
  <c r="B38" i="59"/>
  <c r="B39" i="59"/>
  <c r="B40" i="59"/>
  <c r="B41" i="59"/>
  <c r="B42" i="59"/>
  <c r="B43" i="59"/>
  <c r="B44" i="59"/>
  <c r="B45" i="59"/>
  <c r="B46" i="59"/>
  <c r="B47" i="59"/>
  <c r="B48" i="59"/>
  <c r="B49" i="59"/>
  <c r="B50" i="59"/>
  <c r="B51" i="59"/>
  <c r="B52" i="59"/>
  <c r="B53" i="59"/>
  <c r="B54" i="59"/>
  <c r="B55" i="59"/>
  <c r="B56" i="59"/>
  <c r="B57" i="59"/>
  <c r="B58" i="59"/>
  <c r="B59" i="59"/>
  <c r="B60" i="59"/>
  <c r="B61" i="59"/>
  <c r="B62" i="59"/>
  <c r="B63" i="59"/>
  <c r="B64" i="59"/>
  <c r="B65" i="59"/>
  <c r="B66" i="59"/>
  <c r="B67" i="59"/>
  <c r="B68" i="59"/>
  <c r="B69" i="59"/>
  <c r="B70" i="59"/>
  <c r="B71" i="59"/>
  <c r="B72" i="59"/>
  <c r="B73" i="59"/>
  <c r="B74" i="59"/>
  <c r="B75" i="59"/>
  <c r="B76" i="59"/>
  <c r="B77" i="59"/>
  <c r="B78" i="59"/>
  <c r="B79" i="59"/>
  <c r="B80" i="59"/>
  <c r="B81" i="59"/>
  <c r="B82" i="59"/>
  <c r="B83" i="59"/>
  <c r="B84" i="59"/>
  <c r="B85" i="59"/>
  <c r="B86" i="59"/>
  <c r="B87" i="59"/>
  <c r="B88" i="59"/>
  <c r="B89" i="59"/>
  <c r="B90" i="59"/>
  <c r="B91" i="59"/>
  <c r="B92" i="59"/>
  <c r="B93" i="59"/>
  <c r="B94" i="59"/>
  <c r="B95" i="59"/>
  <c r="B96" i="59"/>
  <c r="B97" i="59"/>
  <c r="B98" i="59"/>
  <c r="B99" i="59"/>
  <c r="B100" i="59"/>
  <c r="B101" i="59"/>
  <c r="B102" i="59"/>
  <c r="F37" i="59"/>
  <c r="F38" i="59"/>
  <c r="F39" i="59"/>
  <c r="F40" i="59"/>
  <c r="F41" i="59"/>
  <c r="F42" i="59"/>
  <c r="F43" i="59"/>
  <c r="F44" i="59"/>
  <c r="F45" i="59"/>
  <c r="F46" i="59"/>
  <c r="F47" i="59"/>
  <c r="F48" i="59"/>
  <c r="F49" i="59"/>
  <c r="F50" i="59"/>
  <c r="F51" i="59"/>
  <c r="F52" i="59"/>
  <c r="F53" i="59"/>
  <c r="F54" i="59"/>
  <c r="F55" i="59"/>
  <c r="F56" i="59"/>
  <c r="F57" i="59"/>
  <c r="F58" i="59"/>
  <c r="F59" i="59"/>
  <c r="F60" i="59"/>
  <c r="F61" i="59"/>
  <c r="F62" i="59"/>
  <c r="F63" i="59"/>
  <c r="F64" i="59"/>
  <c r="F65" i="59"/>
  <c r="F66" i="59"/>
  <c r="F67" i="59"/>
  <c r="F68" i="59"/>
  <c r="F69" i="59"/>
  <c r="F70" i="59"/>
  <c r="F71" i="59"/>
  <c r="F72" i="59"/>
  <c r="F73" i="59"/>
  <c r="F74" i="59"/>
  <c r="F75" i="59"/>
  <c r="F76" i="59"/>
  <c r="F77" i="59"/>
  <c r="F78" i="59"/>
  <c r="F79" i="59"/>
  <c r="F80" i="59"/>
  <c r="F81" i="59"/>
  <c r="F82" i="59"/>
  <c r="F83" i="59"/>
  <c r="F84" i="59"/>
  <c r="F85" i="59"/>
  <c r="F86" i="59"/>
  <c r="F87" i="59"/>
  <c r="F88" i="59"/>
  <c r="F89" i="59"/>
  <c r="F90" i="59"/>
  <c r="F91" i="59"/>
  <c r="F92" i="59"/>
  <c r="F93" i="59"/>
  <c r="F94" i="59"/>
  <c r="F95" i="59"/>
  <c r="F96" i="59"/>
  <c r="F97" i="59"/>
  <c r="F98" i="59"/>
  <c r="F99" i="59"/>
  <c r="F100" i="59"/>
  <c r="F101" i="59"/>
  <c r="F102" i="59"/>
  <c r="G37" i="59" a="1"/>
  <c r="G37" i="59" s="1"/>
  <c r="G38" i="59" a="1"/>
  <c r="G38" i="59" s="1"/>
  <c r="G39" i="59" a="1"/>
  <c r="G39" i="59" s="1"/>
  <c r="G40" i="59" a="1"/>
  <c r="G40" i="59" s="1"/>
  <c r="G41" i="59" a="1"/>
  <c r="G41" i="59" s="1"/>
  <c r="G42" i="59" a="1"/>
  <c r="G42" i="59" s="1"/>
  <c r="G43" i="59" a="1"/>
  <c r="G43" i="59" s="1"/>
  <c r="G44" i="59" a="1"/>
  <c r="G44" i="59" s="1"/>
  <c r="G45" i="59" a="1"/>
  <c r="G45" i="59" s="1"/>
  <c r="G46" i="59" a="1"/>
  <c r="G46" i="59" s="1"/>
  <c r="G47" i="59" a="1"/>
  <c r="G47" i="59" s="1"/>
  <c r="G48" i="59" a="1"/>
  <c r="G48" i="59" s="1"/>
  <c r="G49" i="59" a="1"/>
  <c r="G49" i="59" s="1"/>
  <c r="G50" i="59" a="1"/>
  <c r="G50" i="59" s="1"/>
  <c r="G51" i="59" a="1"/>
  <c r="G51" i="59" s="1"/>
  <c r="G52" i="59" a="1"/>
  <c r="G52" i="59" s="1"/>
  <c r="G53" i="59" a="1"/>
  <c r="G53" i="59" s="1"/>
  <c r="G54" i="59" a="1"/>
  <c r="G54" i="59" s="1"/>
  <c r="G55" i="59" a="1"/>
  <c r="G55" i="59" s="1"/>
  <c r="G56" i="59" a="1"/>
  <c r="G56" i="59" s="1"/>
  <c r="G57" i="59" a="1"/>
  <c r="G57" i="59" s="1"/>
  <c r="G58" i="59" a="1"/>
  <c r="G58" i="59" s="1"/>
  <c r="G59" i="59" a="1"/>
  <c r="G59" i="59" s="1"/>
  <c r="G60" i="59" a="1"/>
  <c r="G60" i="59" s="1"/>
  <c r="G61" i="59" a="1"/>
  <c r="G61" i="59" s="1"/>
  <c r="G62" i="59" a="1"/>
  <c r="G62" i="59" s="1"/>
  <c r="G63" i="59" a="1"/>
  <c r="G63" i="59" s="1"/>
  <c r="G64" i="59" a="1"/>
  <c r="G64" i="59" s="1"/>
  <c r="G65" i="59" a="1"/>
  <c r="G65" i="59" s="1"/>
  <c r="G66" i="59" a="1"/>
  <c r="G66" i="59" s="1"/>
  <c r="G67" i="59" a="1"/>
  <c r="G67" i="59" s="1"/>
  <c r="G68" i="59" a="1"/>
  <c r="G68" i="59" s="1"/>
  <c r="G69" i="59" a="1"/>
  <c r="G69" i="59" s="1"/>
  <c r="G70" i="59" a="1"/>
  <c r="G70" i="59" s="1"/>
  <c r="G71" i="59" a="1"/>
  <c r="G71" i="59" s="1"/>
  <c r="G72" i="59" a="1"/>
  <c r="G72" i="59" s="1"/>
  <c r="G73" i="59" a="1"/>
  <c r="G73" i="59" s="1"/>
  <c r="G74" i="59" a="1"/>
  <c r="G74" i="59" s="1"/>
  <c r="G75" i="59" a="1"/>
  <c r="G75" i="59" s="1"/>
  <c r="G76" i="59" a="1"/>
  <c r="G76" i="59" s="1"/>
  <c r="G77" i="59" a="1"/>
  <c r="G77" i="59" s="1"/>
  <c r="G78" i="59" a="1"/>
  <c r="G78" i="59" s="1"/>
  <c r="G79" i="59" a="1"/>
  <c r="G79" i="59" s="1"/>
  <c r="G80" i="59" a="1"/>
  <c r="G80" i="59" s="1"/>
  <c r="G81" i="59" a="1"/>
  <c r="G81" i="59" s="1"/>
  <c r="G82" i="59" a="1"/>
  <c r="G82" i="59" s="1"/>
  <c r="G83" i="59" a="1"/>
  <c r="G83" i="59" s="1"/>
  <c r="G84" i="59" a="1"/>
  <c r="G84" i="59" s="1"/>
  <c r="G85" i="59" a="1"/>
  <c r="G85" i="59" s="1"/>
  <c r="G86" i="59" a="1"/>
  <c r="G86" i="59" s="1"/>
  <c r="G87" i="59" a="1"/>
  <c r="G87" i="59" s="1"/>
  <c r="G88" i="59" a="1"/>
  <c r="G88" i="59" s="1"/>
  <c r="G89" i="59" a="1"/>
  <c r="G89" i="59" s="1"/>
  <c r="G90" i="59" a="1"/>
  <c r="G90" i="59" s="1"/>
  <c r="G91" i="59" a="1"/>
  <c r="G91" i="59" s="1"/>
  <c r="G92" i="59" a="1"/>
  <c r="G92" i="59" s="1"/>
  <c r="G93" i="59" a="1"/>
  <c r="G93" i="59" s="1"/>
  <c r="G94" i="59" a="1"/>
  <c r="G94" i="59" s="1"/>
  <c r="G95" i="59" a="1"/>
  <c r="G95" i="59" s="1"/>
  <c r="G96" i="59" a="1"/>
  <c r="G96" i="59" s="1"/>
  <c r="G97" i="59" a="1"/>
  <c r="G97" i="59" s="1"/>
  <c r="G98" i="59" a="1"/>
  <c r="G98" i="59" s="1"/>
  <c r="G99" i="59" a="1"/>
  <c r="G99" i="59" s="1"/>
  <c r="G100" i="59" a="1"/>
  <c r="G100" i="59" s="1"/>
  <c r="G101" i="59" a="1"/>
  <c r="G101" i="59" s="1"/>
  <c r="G102" i="59" a="1"/>
  <c r="G102" i="59" s="1"/>
  <c r="J37" i="59"/>
  <c r="J38" i="59"/>
  <c r="J39" i="59"/>
  <c r="J40" i="59"/>
  <c r="J41" i="59"/>
  <c r="J42" i="59"/>
  <c r="J43" i="59"/>
  <c r="J44" i="59"/>
  <c r="J45" i="59"/>
  <c r="J46" i="59"/>
  <c r="J47" i="59"/>
  <c r="J48" i="59"/>
  <c r="J49" i="59"/>
  <c r="J50" i="59"/>
  <c r="J51" i="59"/>
  <c r="J52" i="59"/>
  <c r="J53" i="59"/>
  <c r="J54" i="59"/>
  <c r="J55" i="59"/>
  <c r="J56" i="59"/>
  <c r="J57" i="59"/>
  <c r="J58" i="59"/>
  <c r="J59" i="59"/>
  <c r="J60" i="59"/>
  <c r="J61" i="59"/>
  <c r="J62" i="59"/>
  <c r="J63" i="59"/>
  <c r="J64" i="59"/>
  <c r="J65" i="59"/>
  <c r="J66" i="59"/>
  <c r="J67" i="59"/>
  <c r="J68" i="59"/>
  <c r="J69" i="59"/>
  <c r="J70" i="59"/>
  <c r="J71" i="59"/>
  <c r="J72" i="59"/>
  <c r="J73" i="59"/>
  <c r="J74" i="59"/>
  <c r="J75" i="59"/>
  <c r="J76" i="59"/>
  <c r="J77" i="59"/>
  <c r="J78" i="59"/>
  <c r="J79" i="59"/>
  <c r="J80" i="59"/>
  <c r="J81" i="59"/>
  <c r="J82" i="59"/>
  <c r="J83" i="59"/>
  <c r="J84" i="59"/>
  <c r="J85" i="59"/>
  <c r="J86" i="59"/>
  <c r="J87" i="59"/>
  <c r="J88" i="59"/>
  <c r="J89" i="59"/>
  <c r="J90" i="59"/>
  <c r="J91" i="59"/>
  <c r="J92" i="59"/>
  <c r="J93" i="59"/>
  <c r="J94" i="59"/>
  <c r="J95" i="59"/>
  <c r="J96" i="59"/>
  <c r="J97" i="59"/>
  <c r="J98" i="59"/>
  <c r="J99" i="59"/>
  <c r="J100" i="59"/>
  <c r="J101" i="59"/>
  <c r="J102" i="59"/>
  <c r="K37" i="59"/>
  <c r="K38" i="59"/>
  <c r="K39" i="59"/>
  <c r="K40" i="59"/>
  <c r="K41" i="59"/>
  <c r="K42" i="59"/>
  <c r="K43" i="59"/>
  <c r="K44" i="59"/>
  <c r="K45" i="59"/>
  <c r="K46" i="59"/>
  <c r="K47" i="59"/>
  <c r="K48" i="59"/>
  <c r="K49" i="59"/>
  <c r="K50" i="59"/>
  <c r="K51" i="59"/>
  <c r="K52" i="59"/>
  <c r="K53" i="59"/>
  <c r="K54" i="59"/>
  <c r="K55" i="59"/>
  <c r="K56" i="59"/>
  <c r="K57" i="59"/>
  <c r="K58" i="59"/>
  <c r="K59" i="59"/>
  <c r="K60" i="59"/>
  <c r="K61" i="59"/>
  <c r="K62" i="59"/>
  <c r="K63" i="59"/>
  <c r="K64" i="59"/>
  <c r="K65" i="59"/>
  <c r="K66" i="59"/>
  <c r="K67" i="59"/>
  <c r="K68" i="59"/>
  <c r="K69" i="59"/>
  <c r="K70" i="59"/>
  <c r="K71" i="59"/>
  <c r="K72" i="59"/>
  <c r="K73" i="59"/>
  <c r="K74" i="59"/>
  <c r="K75" i="59"/>
  <c r="K76" i="59"/>
  <c r="K77" i="59"/>
  <c r="K78" i="59"/>
  <c r="K79" i="59"/>
  <c r="K80" i="59"/>
  <c r="K81" i="59"/>
  <c r="K82" i="59"/>
  <c r="K83" i="59"/>
  <c r="K84" i="59"/>
  <c r="K85" i="59"/>
  <c r="K86" i="59"/>
  <c r="K87" i="59"/>
  <c r="K88" i="59"/>
  <c r="K89" i="59"/>
  <c r="K90" i="59"/>
  <c r="K91" i="59"/>
  <c r="K92" i="59"/>
  <c r="K93" i="59"/>
  <c r="K94" i="59"/>
  <c r="K95" i="59"/>
  <c r="K96" i="59"/>
  <c r="K97" i="59"/>
  <c r="K98" i="59"/>
  <c r="K99" i="59"/>
  <c r="K100" i="59"/>
  <c r="K101" i="59"/>
  <c r="K102" i="59"/>
  <c r="L37" i="59"/>
  <c r="L38" i="59"/>
  <c r="L39" i="59"/>
  <c r="L40" i="59"/>
  <c r="L41" i="59"/>
  <c r="L42" i="59"/>
  <c r="L43" i="59"/>
  <c r="L44" i="59"/>
  <c r="L45" i="59"/>
  <c r="L46" i="59"/>
  <c r="L47" i="59"/>
  <c r="L48" i="59"/>
  <c r="L49" i="59"/>
  <c r="L50" i="59"/>
  <c r="L51" i="59"/>
  <c r="L52" i="59"/>
  <c r="L53" i="59"/>
  <c r="L54" i="59"/>
  <c r="L55" i="59"/>
  <c r="L56" i="59"/>
  <c r="L57" i="59"/>
  <c r="L58" i="59"/>
  <c r="L59" i="59"/>
  <c r="L60" i="59"/>
  <c r="L61" i="59"/>
  <c r="L62" i="59"/>
  <c r="L63" i="59"/>
  <c r="L64" i="59"/>
  <c r="L65" i="59"/>
  <c r="L66" i="59"/>
  <c r="L67" i="59"/>
  <c r="L68" i="59"/>
  <c r="L69" i="59"/>
  <c r="L70" i="59"/>
  <c r="L71" i="59"/>
  <c r="L72" i="59"/>
  <c r="L73" i="59"/>
  <c r="L74" i="59"/>
  <c r="L75" i="59"/>
  <c r="L76" i="59"/>
  <c r="L77" i="59"/>
  <c r="L78" i="59"/>
  <c r="L79" i="59"/>
  <c r="L80" i="59"/>
  <c r="L81" i="59"/>
  <c r="L82" i="59"/>
  <c r="L83" i="59"/>
  <c r="L84" i="59"/>
  <c r="L85" i="59"/>
  <c r="L86" i="59"/>
  <c r="L87" i="59"/>
  <c r="L88" i="59"/>
  <c r="L89" i="59"/>
  <c r="L90" i="59"/>
  <c r="L91" i="59"/>
  <c r="L92" i="59"/>
  <c r="L93" i="59"/>
  <c r="L94" i="59"/>
  <c r="L95" i="59"/>
  <c r="L96" i="59"/>
  <c r="L97" i="59"/>
  <c r="L98" i="59"/>
  <c r="L99" i="59"/>
  <c r="L100" i="59"/>
  <c r="L101" i="59"/>
  <c r="L102" i="59"/>
  <c r="M37" i="59"/>
  <c r="M38" i="59"/>
  <c r="M39" i="59"/>
  <c r="M40" i="59"/>
  <c r="M41" i="59"/>
  <c r="M42" i="59"/>
  <c r="M43" i="59"/>
  <c r="M44" i="59"/>
  <c r="M45" i="59"/>
  <c r="M46" i="59"/>
  <c r="M47" i="59"/>
  <c r="M48" i="59"/>
  <c r="M49" i="59"/>
  <c r="M50" i="59"/>
  <c r="M51" i="59"/>
  <c r="M52" i="59"/>
  <c r="M53" i="59"/>
  <c r="M54" i="59"/>
  <c r="M55" i="59"/>
  <c r="M56" i="59"/>
  <c r="M57" i="59"/>
  <c r="M58" i="59"/>
  <c r="M59" i="59"/>
  <c r="M60" i="59"/>
  <c r="M61" i="59"/>
  <c r="M62" i="59"/>
  <c r="M63" i="59"/>
  <c r="M64" i="59"/>
  <c r="M65" i="59"/>
  <c r="M66" i="59"/>
  <c r="M67" i="59"/>
  <c r="M68" i="59"/>
  <c r="M69" i="59"/>
  <c r="M70" i="59"/>
  <c r="M71" i="59"/>
  <c r="M72" i="59"/>
  <c r="M73" i="59"/>
  <c r="M74" i="59"/>
  <c r="M75" i="59"/>
  <c r="M76" i="59"/>
  <c r="M77" i="59"/>
  <c r="M78" i="59"/>
  <c r="M79" i="59"/>
  <c r="M80" i="59"/>
  <c r="M81" i="59"/>
  <c r="M82" i="59"/>
  <c r="M83" i="59"/>
  <c r="M84" i="59"/>
  <c r="M85" i="59"/>
  <c r="M86" i="59"/>
  <c r="M87" i="59"/>
  <c r="M88" i="59"/>
  <c r="M89" i="59"/>
  <c r="M90" i="59"/>
  <c r="M91" i="59"/>
  <c r="M92" i="59"/>
  <c r="M93" i="59"/>
  <c r="M94" i="59"/>
  <c r="M95" i="59"/>
  <c r="M96" i="59"/>
  <c r="M97" i="59"/>
  <c r="M98" i="59"/>
  <c r="M99" i="59"/>
  <c r="M100" i="59"/>
  <c r="M101" i="59"/>
  <c r="M102" i="59"/>
  <c r="U37" i="59"/>
  <c r="U38" i="59"/>
  <c r="U39" i="59"/>
  <c r="D8" i="69" s="1" a="1"/>
  <c r="D8" i="69" s="1"/>
  <c r="U40" i="59"/>
  <c r="V40" i="59" s="1"/>
  <c r="U41" i="59"/>
  <c r="U42" i="59"/>
  <c r="U43" i="59"/>
  <c r="U44" i="59"/>
  <c r="U45" i="59"/>
  <c r="U46" i="59"/>
  <c r="U47" i="59"/>
  <c r="U48" i="59"/>
  <c r="U49" i="59"/>
  <c r="U50" i="59"/>
  <c r="U51" i="59"/>
  <c r="U52" i="59"/>
  <c r="U53" i="59"/>
  <c r="U54" i="59"/>
  <c r="U55" i="59"/>
  <c r="U56" i="59"/>
  <c r="U57" i="59"/>
  <c r="U58" i="59"/>
  <c r="U59" i="59"/>
  <c r="U60" i="59"/>
  <c r="U61" i="59"/>
  <c r="U62" i="59"/>
  <c r="U63" i="59"/>
  <c r="U64" i="59"/>
  <c r="D300" i="69" s="1" a="1"/>
  <c r="D300" i="69" s="1"/>
  <c r="U65" i="59"/>
  <c r="U66" i="59"/>
  <c r="V66" i="59" s="1"/>
  <c r="U67" i="59"/>
  <c r="U68" i="59"/>
  <c r="U69" i="59"/>
  <c r="U70" i="59"/>
  <c r="U71" i="59"/>
  <c r="D47" i="69" s="1" a="1"/>
  <c r="D47" i="69" s="1"/>
  <c r="U72" i="59"/>
  <c r="U73" i="59"/>
  <c r="D299" i="69" s="1" a="1"/>
  <c r="D299" i="69" s="1"/>
  <c r="U74" i="59"/>
  <c r="U75" i="59"/>
  <c r="D113" i="69" s="1" a="1"/>
  <c r="D113" i="69" s="1"/>
  <c r="U76" i="59"/>
  <c r="D114" i="69" s="1" a="1"/>
  <c r="D114" i="69" s="1"/>
  <c r="U77" i="59"/>
  <c r="D115" i="69" s="1" a="1"/>
  <c r="D115" i="69" s="1"/>
  <c r="U78" i="59"/>
  <c r="D145" i="69" s="1" a="1"/>
  <c r="D145" i="69" s="1"/>
  <c r="U79" i="59"/>
  <c r="D146" i="69" s="1" a="1"/>
  <c r="D146" i="69" s="1"/>
  <c r="U80" i="59"/>
  <c r="U81" i="59"/>
  <c r="U82" i="59"/>
  <c r="U83" i="59"/>
  <c r="U84" i="59"/>
  <c r="U85" i="59"/>
  <c r="U86" i="59"/>
  <c r="U87" i="59"/>
  <c r="U88" i="59"/>
  <c r="U89" i="59"/>
  <c r="U90" i="59"/>
  <c r="U91" i="59"/>
  <c r="U92" i="59"/>
  <c r="U93" i="59"/>
  <c r="U94" i="59"/>
  <c r="U95" i="59"/>
  <c r="U96" i="59"/>
  <c r="U97" i="59"/>
  <c r="U98" i="59"/>
  <c r="U99" i="59"/>
  <c r="D161" i="69" s="1" a="1"/>
  <c r="D161" i="69" s="1"/>
  <c r="U100" i="59"/>
  <c r="U101" i="59"/>
  <c r="U102" i="59"/>
  <c r="D166" i="69" s="1" a="1"/>
  <c r="D166" i="69" s="1"/>
  <c r="V39" i="59"/>
  <c r="V64" i="59"/>
  <c r="A21" i="54"/>
  <c r="B21" i="54"/>
  <c r="C21" i="54" a="1"/>
  <c r="C21" i="54" s="1"/>
  <c r="E21" i="54" a="1"/>
  <c r="E21" i="54" s="1"/>
  <c r="F21" i="54"/>
  <c r="H21" i="54"/>
  <c r="I21" i="54"/>
  <c r="J21" i="54"/>
  <c r="L21" i="54"/>
  <c r="S21" i="54" a="1"/>
  <c r="S21" i="54" s="1"/>
  <c r="T21" i="54" a="1"/>
  <c r="T21" i="54" s="1"/>
  <c r="A19" i="54"/>
  <c r="B19" i="54"/>
  <c r="C19" i="54" a="1"/>
  <c r="C19" i="54" s="1"/>
  <c r="E19" i="54" a="1"/>
  <c r="E19" i="54" s="1"/>
  <c r="F19" i="54"/>
  <c r="H19" i="54"/>
  <c r="I19" i="54"/>
  <c r="J19" i="54"/>
  <c r="L19" i="54"/>
  <c r="S19" i="54" a="1"/>
  <c r="S19" i="54" s="1"/>
  <c r="T19" i="54" a="1"/>
  <c r="T19" i="54" s="1"/>
  <c r="A15" i="54"/>
  <c r="B15" i="54"/>
  <c r="C15" i="54" a="1"/>
  <c r="C15" i="54" s="1"/>
  <c r="E15" i="54" a="1"/>
  <c r="E15" i="54" s="1"/>
  <c r="F15" i="54"/>
  <c r="H15" i="54"/>
  <c r="I15" i="54"/>
  <c r="J15" i="54"/>
  <c r="L15" i="54"/>
  <c r="S15" i="54" a="1"/>
  <c r="S15" i="54" s="1"/>
  <c r="T15" i="54" a="1"/>
  <c r="T15" i="54" s="1"/>
  <c r="C9" i="57"/>
  <c r="C10" i="57"/>
  <c r="C12" i="57"/>
  <c r="C13" i="57"/>
  <c r="C14" i="57"/>
  <c r="C19" i="57"/>
  <c r="C22" i="57"/>
  <c r="C28" i="57"/>
  <c r="C29" i="57"/>
  <c r="C30" i="57"/>
  <c r="C31" i="57"/>
  <c r="C32" i="57"/>
  <c r="C36" i="57"/>
  <c r="C41" i="57"/>
  <c r="C45" i="57"/>
  <c r="C46" i="57"/>
  <c r="C48" i="57"/>
  <c r="C49" i="57"/>
  <c r="C50" i="57"/>
  <c r="C58" i="57"/>
  <c r="C60" i="57"/>
  <c r="C69" i="57"/>
  <c r="C70" i="57"/>
  <c r="C77" i="57"/>
  <c r="C78" i="57"/>
  <c r="C79" i="57"/>
  <c r="C83" i="57"/>
  <c r="C84" i="57"/>
  <c r="C89" i="57"/>
  <c r="C90" i="57"/>
  <c r="C94" i="57"/>
  <c r="C95" i="57"/>
  <c r="C101" i="57"/>
  <c r="C107" i="57"/>
  <c r="C109" i="57"/>
  <c r="C114" i="57"/>
  <c r="C128" i="57"/>
  <c r="C135" i="57"/>
  <c r="C140" i="57"/>
  <c r="C143" i="57"/>
  <c r="C145" i="57"/>
  <c r="C147" i="57"/>
  <c r="C148" i="57"/>
  <c r="C153" i="57"/>
  <c r="C154" i="57"/>
  <c r="C165" i="57"/>
  <c r="C166" i="57"/>
  <c r="C168" i="57"/>
  <c r="C169" i="57"/>
  <c r="C171" i="57"/>
  <c r="C172" i="57"/>
  <c r="C173" i="57"/>
  <c r="C192" i="57"/>
  <c r="C200" i="57"/>
  <c r="C212" i="57"/>
  <c r="C213" i="57"/>
  <c r="C214" i="57"/>
  <c r="C217" i="57"/>
  <c r="C218" i="57"/>
  <c r="C228" i="57"/>
  <c r="C229" i="57"/>
  <c r="C233" i="57"/>
  <c r="C235" i="57"/>
  <c r="C237" i="57"/>
  <c r="C246" i="57"/>
  <c r="C253" i="57"/>
  <c r="C255" i="57"/>
  <c r="C256" i="57"/>
  <c r="C265" i="57"/>
  <c r="C266" i="57"/>
  <c r="C273" i="57"/>
  <c r="C278" i="57"/>
  <c r="C283" i="57"/>
  <c r="C284" i="57"/>
  <c r="C285" i="57"/>
  <c r="C287" i="57"/>
  <c r="C291" i="57"/>
  <c r="C293" i="57"/>
  <c r="C299" i="57"/>
  <c r="C302" i="57"/>
  <c r="C307" i="57"/>
  <c r="C308" i="57"/>
  <c r="C309" i="57"/>
  <c r="C316" i="57"/>
  <c r="C319" i="57"/>
  <c r="C321" i="57"/>
  <c r="C330" i="57"/>
  <c r="C336" i="57"/>
  <c r="C350" i="57"/>
  <c r="C352" i="57"/>
  <c r="C359" i="57"/>
  <c r="C362" i="57"/>
  <c r="C368" i="57"/>
  <c r="C375" i="57"/>
  <c r="C376" i="57"/>
  <c r="C378" i="57"/>
  <c r="C382" i="57"/>
  <c r="C384" i="57"/>
  <c r="C387" i="57"/>
  <c r="C388" i="57"/>
  <c r="C398" i="57"/>
  <c r="C399" i="57"/>
  <c r="C404" i="57"/>
  <c r="C409" i="57"/>
  <c r="C410" i="57"/>
  <c r="C419" i="57"/>
  <c r="C421" i="57"/>
  <c r="C422" i="57"/>
  <c r="C436" i="57"/>
  <c r="C439" i="57"/>
  <c r="C441" i="57"/>
  <c r="C447" i="57"/>
  <c r="C451" i="57"/>
  <c r="C455" i="57"/>
  <c r="C462" i="57"/>
  <c r="C471" i="57"/>
  <c r="C472" i="57"/>
  <c r="C475" i="57"/>
  <c r="C479" i="57"/>
  <c r="C487" i="57"/>
  <c r="C491" i="57"/>
  <c r="C492" i="57"/>
  <c r="C494" i="57"/>
  <c r="C496" i="57"/>
  <c r="C499" i="57"/>
  <c r="C502" i="57"/>
  <c r="C504" i="57"/>
  <c r="C510" i="57"/>
  <c r="C512" i="57"/>
  <c r="C519" i="57"/>
  <c r="C521" i="57"/>
  <c r="C532" i="57"/>
  <c r="C541" i="57"/>
  <c r="C545" i="57"/>
  <c r="C546" i="57"/>
  <c r="C551" i="57"/>
  <c r="C559" i="57"/>
  <c r="C564" i="57"/>
  <c r="C565" i="57"/>
  <c r="C567" i="57"/>
  <c r="C577" i="57"/>
  <c r="C579" i="57"/>
  <c r="C583" i="57"/>
  <c r="C586" i="57"/>
  <c r="C587" i="57"/>
  <c r="C593" i="57"/>
  <c r="C596" i="57"/>
  <c r="C600" i="57"/>
  <c r="C608" i="57"/>
  <c r="C609" i="57"/>
  <c r="C610" i="57"/>
  <c r="C619" i="57"/>
  <c r="C620" i="57"/>
  <c r="C623" i="57"/>
  <c r="C627" i="57"/>
  <c r="C632" i="57"/>
  <c r="C634" i="57"/>
  <c r="C639" i="57"/>
  <c r="C640" i="57"/>
  <c r="C642" i="57"/>
  <c r="C643" i="57"/>
  <c r="C657" i="57"/>
  <c r="C658" i="57"/>
  <c r="C660" i="57"/>
  <c r="C661" i="57"/>
  <c r="C665" i="57"/>
  <c r="C666" i="57"/>
  <c r="C667" i="57"/>
  <c r="C672" i="57"/>
  <c r="C674" i="57"/>
  <c r="C683" i="57"/>
  <c r="C687" i="57"/>
  <c r="C693" i="57"/>
  <c r="C694" i="57"/>
  <c r="C696" i="57"/>
  <c r="C697" i="57"/>
  <c r="C700" i="57"/>
  <c r="C702" i="57"/>
  <c r="C706" i="57"/>
  <c r="C707" i="57"/>
  <c r="C708" i="57"/>
  <c r="C711" i="57"/>
  <c r="C714" i="57"/>
  <c r="C715" i="57"/>
  <c r="C717" i="57"/>
  <c r="C718" i="57"/>
  <c r="C729" i="57"/>
  <c r="C733" i="57"/>
  <c r="C739" i="57"/>
  <c r="C744" i="57"/>
  <c r="C750" i="57"/>
  <c r="C753" i="57"/>
  <c r="C754" i="57"/>
  <c r="C755" i="57"/>
  <c r="C758" i="57"/>
  <c r="C765" i="57"/>
  <c r="C766" i="57"/>
  <c r="C768" i="57"/>
  <c r="C774" i="57"/>
  <c r="C778" i="57"/>
  <c r="C782" i="57"/>
  <c r="C784" i="57"/>
  <c r="C788" i="57"/>
  <c r="C794" i="57"/>
  <c r="C795" i="57"/>
  <c r="C796" i="57"/>
  <c r="C801" i="57"/>
  <c r="C802" i="57"/>
  <c r="C804" i="57"/>
  <c r="C807" i="57"/>
  <c r="C808" i="57"/>
  <c r="C812" i="57"/>
  <c r="C816" i="57"/>
  <c r="C817" i="57"/>
  <c r="C819" i="57"/>
  <c r="C822" i="57"/>
  <c r="C823" i="57"/>
  <c r="C824" i="57"/>
  <c r="C827" i="57"/>
  <c r="D9" i="57"/>
  <c r="D10" i="57"/>
  <c r="D12" i="57"/>
  <c r="D13" i="57"/>
  <c r="D14" i="57"/>
  <c r="D19" i="57"/>
  <c r="D22" i="57"/>
  <c r="D28" i="57"/>
  <c r="D29" i="57"/>
  <c r="D30" i="57"/>
  <c r="D31" i="57"/>
  <c r="D32" i="57"/>
  <c r="D36" i="57"/>
  <c r="D41" i="57"/>
  <c r="D45" i="57"/>
  <c r="D46" i="57"/>
  <c r="D48" i="57"/>
  <c r="D49" i="57"/>
  <c r="D50" i="57"/>
  <c r="D58" i="57"/>
  <c r="D60" i="57"/>
  <c r="D69" i="57"/>
  <c r="D70" i="57"/>
  <c r="D77" i="57"/>
  <c r="D78" i="57"/>
  <c r="D79" i="57"/>
  <c r="D83" i="57"/>
  <c r="D84" i="57"/>
  <c r="D89" i="57"/>
  <c r="D90" i="57"/>
  <c r="D94" i="57"/>
  <c r="D95" i="57"/>
  <c r="D101" i="57"/>
  <c r="D107" i="57"/>
  <c r="D109" i="57"/>
  <c r="D114" i="57"/>
  <c r="D128" i="57"/>
  <c r="D135" i="57"/>
  <c r="D140" i="57"/>
  <c r="D143" i="57"/>
  <c r="D145" i="57"/>
  <c r="D147" i="57"/>
  <c r="D148" i="57"/>
  <c r="D153" i="57"/>
  <c r="D154" i="57"/>
  <c r="D165" i="57"/>
  <c r="D166" i="57"/>
  <c r="D168" i="57"/>
  <c r="D169" i="57"/>
  <c r="D171" i="57"/>
  <c r="D172" i="57"/>
  <c r="D173" i="57"/>
  <c r="D192" i="57"/>
  <c r="D200" i="57"/>
  <c r="D212" i="57"/>
  <c r="D213" i="57"/>
  <c r="D214" i="57"/>
  <c r="D217" i="57"/>
  <c r="D218" i="57"/>
  <c r="D228" i="57"/>
  <c r="D229" i="57"/>
  <c r="D233" i="57"/>
  <c r="D235" i="57"/>
  <c r="D237" i="57"/>
  <c r="D246" i="57"/>
  <c r="D253" i="57"/>
  <c r="D255" i="57"/>
  <c r="D256" i="57"/>
  <c r="D265" i="57"/>
  <c r="D266" i="57"/>
  <c r="D273" i="57"/>
  <c r="D278" i="57"/>
  <c r="D283" i="57"/>
  <c r="D284" i="57"/>
  <c r="D285" i="57"/>
  <c r="D287" i="57"/>
  <c r="D291" i="57"/>
  <c r="D293" i="57"/>
  <c r="D299" i="57"/>
  <c r="D302" i="57"/>
  <c r="D307" i="57"/>
  <c r="D308" i="57"/>
  <c r="D309" i="57"/>
  <c r="D316" i="57"/>
  <c r="D319" i="57"/>
  <c r="D321" i="57"/>
  <c r="D330" i="57"/>
  <c r="D336" i="57"/>
  <c r="D350" i="57"/>
  <c r="D352" i="57"/>
  <c r="D359" i="57"/>
  <c r="D362" i="57"/>
  <c r="D368" i="57"/>
  <c r="D375" i="57"/>
  <c r="D376" i="57"/>
  <c r="D378" i="57"/>
  <c r="D382" i="57"/>
  <c r="D384" i="57"/>
  <c r="D387" i="57"/>
  <c r="D388" i="57"/>
  <c r="D398" i="57"/>
  <c r="D399" i="57"/>
  <c r="D404" i="57"/>
  <c r="D409" i="57"/>
  <c r="D410" i="57"/>
  <c r="D419" i="57"/>
  <c r="D421" i="57"/>
  <c r="D422" i="57"/>
  <c r="D436" i="57"/>
  <c r="D439" i="57"/>
  <c r="D441" i="57"/>
  <c r="D447" i="57"/>
  <c r="D451" i="57"/>
  <c r="D455" i="57"/>
  <c r="D462" i="57"/>
  <c r="D471" i="57"/>
  <c r="D472" i="57"/>
  <c r="D475" i="57"/>
  <c r="D479" i="57"/>
  <c r="D487" i="57"/>
  <c r="D491" i="57"/>
  <c r="D492" i="57"/>
  <c r="D494" i="57"/>
  <c r="D496" i="57"/>
  <c r="D499" i="57"/>
  <c r="D502" i="57"/>
  <c r="D504" i="57"/>
  <c r="D510" i="57"/>
  <c r="D512" i="57"/>
  <c r="D519" i="57"/>
  <c r="D521" i="57"/>
  <c r="D532" i="57"/>
  <c r="D541" i="57"/>
  <c r="D545" i="57"/>
  <c r="D546" i="57"/>
  <c r="D551" i="57"/>
  <c r="D559" i="57"/>
  <c r="D564" i="57"/>
  <c r="D565" i="57"/>
  <c r="D567" i="57"/>
  <c r="D577" i="57"/>
  <c r="D579" i="57"/>
  <c r="D583" i="57"/>
  <c r="D586" i="57"/>
  <c r="D587" i="57"/>
  <c r="D593" i="57"/>
  <c r="D596" i="57"/>
  <c r="D600" i="57"/>
  <c r="D608" i="57"/>
  <c r="D609" i="57"/>
  <c r="D610" i="57"/>
  <c r="D619" i="57"/>
  <c r="D620" i="57"/>
  <c r="D623" i="57"/>
  <c r="D627" i="57"/>
  <c r="D632" i="57"/>
  <c r="D634" i="57"/>
  <c r="D639" i="57"/>
  <c r="D640" i="57"/>
  <c r="D642" i="57"/>
  <c r="D643" i="57"/>
  <c r="D657" i="57"/>
  <c r="D658" i="57"/>
  <c r="D660" i="57"/>
  <c r="D661" i="57"/>
  <c r="D665" i="57"/>
  <c r="D666" i="57"/>
  <c r="D667" i="57"/>
  <c r="D672" i="57"/>
  <c r="D674" i="57"/>
  <c r="D683" i="57"/>
  <c r="D687" i="57"/>
  <c r="D693" i="57"/>
  <c r="D694" i="57"/>
  <c r="D696" i="57"/>
  <c r="D697" i="57"/>
  <c r="D700" i="57"/>
  <c r="D702" i="57"/>
  <c r="D706" i="57"/>
  <c r="D707" i="57"/>
  <c r="D708" i="57"/>
  <c r="D711" i="57"/>
  <c r="D714" i="57"/>
  <c r="D715" i="57"/>
  <c r="D717" i="57"/>
  <c r="D718" i="57"/>
  <c r="D729" i="57"/>
  <c r="D733" i="57"/>
  <c r="D739" i="57"/>
  <c r="D744" i="57"/>
  <c r="D750" i="57"/>
  <c r="D753" i="57"/>
  <c r="D754" i="57"/>
  <c r="D755" i="57"/>
  <c r="D758" i="57"/>
  <c r="D765" i="57"/>
  <c r="D766" i="57"/>
  <c r="D768" i="57"/>
  <c r="D774" i="57"/>
  <c r="D778" i="57"/>
  <c r="D782" i="57"/>
  <c r="D784" i="57"/>
  <c r="D788" i="57"/>
  <c r="D794" i="57"/>
  <c r="D795" i="57"/>
  <c r="D796" i="57"/>
  <c r="D801" i="57"/>
  <c r="D802" i="57"/>
  <c r="D804" i="57"/>
  <c r="D807" i="57"/>
  <c r="D808" i="57"/>
  <c r="D812" i="57"/>
  <c r="D816" i="57"/>
  <c r="D817" i="57"/>
  <c r="D819" i="57"/>
  <c r="D822" i="57"/>
  <c r="D823" i="57"/>
  <c r="D824" i="57"/>
  <c r="D827" i="57"/>
  <c r="E9" i="57"/>
  <c r="E10" i="57"/>
  <c r="E12" i="57"/>
  <c r="E13" i="57"/>
  <c r="E14" i="57"/>
  <c r="E19" i="57"/>
  <c r="E22" i="57"/>
  <c r="E28" i="57"/>
  <c r="E29" i="57"/>
  <c r="E30" i="57"/>
  <c r="E31" i="57"/>
  <c r="E32" i="57"/>
  <c r="E36" i="57"/>
  <c r="E41" i="57"/>
  <c r="E45" i="57"/>
  <c r="E46" i="57"/>
  <c r="E48" i="57"/>
  <c r="E49" i="57"/>
  <c r="E50" i="57"/>
  <c r="E58" i="57"/>
  <c r="E60" i="57"/>
  <c r="E69" i="57"/>
  <c r="E70" i="57"/>
  <c r="E77" i="57"/>
  <c r="E78" i="57"/>
  <c r="E79" i="57"/>
  <c r="E83" i="57"/>
  <c r="E84" i="57"/>
  <c r="E89" i="57"/>
  <c r="E90" i="57"/>
  <c r="E94" i="57"/>
  <c r="E95" i="57"/>
  <c r="E101" i="57"/>
  <c r="E107" i="57"/>
  <c r="E109" i="57"/>
  <c r="E114" i="57"/>
  <c r="E128" i="57"/>
  <c r="E135" i="57"/>
  <c r="E140" i="57"/>
  <c r="E143" i="57"/>
  <c r="E145" i="57"/>
  <c r="E147" i="57"/>
  <c r="E148" i="57"/>
  <c r="E153" i="57"/>
  <c r="E154" i="57"/>
  <c r="E165" i="57"/>
  <c r="E166" i="57"/>
  <c r="E168" i="57"/>
  <c r="E169" i="57"/>
  <c r="E171" i="57"/>
  <c r="E172" i="57"/>
  <c r="E173" i="57"/>
  <c r="E192" i="57"/>
  <c r="E200" i="57"/>
  <c r="E212" i="57"/>
  <c r="E213" i="57"/>
  <c r="E214" i="57"/>
  <c r="E217" i="57"/>
  <c r="E218" i="57"/>
  <c r="E228" i="57"/>
  <c r="E229" i="57"/>
  <c r="E233" i="57"/>
  <c r="E235" i="57"/>
  <c r="E237" i="57"/>
  <c r="E246" i="57"/>
  <c r="E253" i="57"/>
  <c r="E255" i="57"/>
  <c r="E256" i="57"/>
  <c r="E265" i="57"/>
  <c r="E266" i="57"/>
  <c r="E273" i="57"/>
  <c r="E278" i="57"/>
  <c r="E283" i="57"/>
  <c r="E284" i="57"/>
  <c r="E285" i="57"/>
  <c r="E287" i="57"/>
  <c r="E291" i="57"/>
  <c r="E293" i="57"/>
  <c r="E299" i="57"/>
  <c r="E302" i="57"/>
  <c r="E307" i="57"/>
  <c r="E308" i="57"/>
  <c r="E309" i="57"/>
  <c r="E316" i="57"/>
  <c r="E319" i="57"/>
  <c r="E321" i="57"/>
  <c r="E330" i="57"/>
  <c r="E336" i="57"/>
  <c r="E350" i="57"/>
  <c r="E352" i="57"/>
  <c r="E359" i="57"/>
  <c r="E362" i="57"/>
  <c r="E368" i="57"/>
  <c r="E375" i="57"/>
  <c r="E376" i="57"/>
  <c r="E378" i="57"/>
  <c r="E382" i="57"/>
  <c r="E384" i="57"/>
  <c r="E387" i="57"/>
  <c r="E388" i="57"/>
  <c r="E398" i="57"/>
  <c r="E399" i="57"/>
  <c r="E404" i="57"/>
  <c r="E409" i="57"/>
  <c r="E410" i="57"/>
  <c r="E419" i="57"/>
  <c r="E421" i="57"/>
  <c r="E422" i="57"/>
  <c r="E436" i="57"/>
  <c r="E439" i="57"/>
  <c r="E441" i="57"/>
  <c r="E447" i="57"/>
  <c r="E451" i="57"/>
  <c r="E455" i="57"/>
  <c r="E462" i="57"/>
  <c r="E471" i="57"/>
  <c r="E472" i="57"/>
  <c r="E475" i="57"/>
  <c r="E479" i="57"/>
  <c r="E487" i="57"/>
  <c r="E491" i="57"/>
  <c r="E492" i="57"/>
  <c r="E494" i="57"/>
  <c r="E496" i="57"/>
  <c r="E499" i="57"/>
  <c r="E502" i="57"/>
  <c r="E504" i="57"/>
  <c r="E510" i="57"/>
  <c r="E512" i="57"/>
  <c r="E519" i="57"/>
  <c r="E521" i="57"/>
  <c r="E532" i="57"/>
  <c r="E541" i="57"/>
  <c r="E545" i="57"/>
  <c r="E546" i="57"/>
  <c r="E551" i="57"/>
  <c r="E559" i="57"/>
  <c r="E564" i="57"/>
  <c r="E565" i="57"/>
  <c r="E567" i="57"/>
  <c r="E577" i="57"/>
  <c r="E579" i="57"/>
  <c r="E583" i="57"/>
  <c r="E586" i="57"/>
  <c r="E587" i="57"/>
  <c r="E593" i="57"/>
  <c r="E596" i="57"/>
  <c r="E600" i="57"/>
  <c r="E608" i="57"/>
  <c r="E609" i="57"/>
  <c r="E610" i="57"/>
  <c r="E619" i="57"/>
  <c r="E620" i="57"/>
  <c r="E623" i="57"/>
  <c r="E627" i="57"/>
  <c r="E632" i="57"/>
  <c r="E634" i="57"/>
  <c r="E639" i="57"/>
  <c r="E640" i="57"/>
  <c r="E642" i="57"/>
  <c r="E643" i="57"/>
  <c r="E657" i="57"/>
  <c r="E658" i="57"/>
  <c r="E660" i="57"/>
  <c r="E661" i="57"/>
  <c r="E665" i="57"/>
  <c r="E666" i="57"/>
  <c r="E667" i="57"/>
  <c r="E672" i="57"/>
  <c r="E674" i="57"/>
  <c r="E683" i="57"/>
  <c r="E687" i="57"/>
  <c r="E693" i="57"/>
  <c r="E694" i="57"/>
  <c r="E696" i="57"/>
  <c r="E697" i="57"/>
  <c r="E700" i="57"/>
  <c r="E702" i="57"/>
  <c r="E706" i="57"/>
  <c r="E707" i="57"/>
  <c r="E708" i="57"/>
  <c r="E711" i="57"/>
  <c r="E714" i="57"/>
  <c r="E715" i="57"/>
  <c r="E717" i="57"/>
  <c r="E718" i="57"/>
  <c r="E729" i="57"/>
  <c r="E733" i="57"/>
  <c r="E739" i="57"/>
  <c r="E744" i="57"/>
  <c r="E750" i="57"/>
  <c r="E753" i="57"/>
  <c r="E754" i="57"/>
  <c r="E755" i="57"/>
  <c r="E758" i="57"/>
  <c r="E765" i="57"/>
  <c r="E766" i="57"/>
  <c r="E768" i="57"/>
  <c r="E774" i="57"/>
  <c r="E778" i="57"/>
  <c r="E782" i="57"/>
  <c r="E784" i="57"/>
  <c r="E788" i="57"/>
  <c r="E794" i="57"/>
  <c r="E795" i="57"/>
  <c r="E796" i="57"/>
  <c r="E801" i="57"/>
  <c r="E802" i="57"/>
  <c r="E804" i="57"/>
  <c r="E807" i="57"/>
  <c r="E808" i="57"/>
  <c r="E812" i="57"/>
  <c r="E816" i="57"/>
  <c r="E817" i="57"/>
  <c r="E819" i="57"/>
  <c r="E822" i="57"/>
  <c r="E823" i="57"/>
  <c r="E824" i="57"/>
  <c r="E827" i="57"/>
  <c r="F9" i="57"/>
  <c r="F10" i="57"/>
  <c r="F12" i="57"/>
  <c r="F13" i="57"/>
  <c r="F14" i="57"/>
  <c r="F19" i="57"/>
  <c r="F22" i="57"/>
  <c r="F28" i="57"/>
  <c r="F29" i="57"/>
  <c r="F30" i="57"/>
  <c r="F31" i="57"/>
  <c r="F32" i="57"/>
  <c r="F36" i="57"/>
  <c r="F41" i="57"/>
  <c r="F45" i="57"/>
  <c r="F46" i="57"/>
  <c r="F48" i="57"/>
  <c r="F49" i="57"/>
  <c r="F50" i="57"/>
  <c r="F58" i="57"/>
  <c r="F60" i="57"/>
  <c r="F69" i="57"/>
  <c r="F70" i="57"/>
  <c r="F77" i="57"/>
  <c r="F78" i="57"/>
  <c r="F79" i="57"/>
  <c r="F83" i="57"/>
  <c r="F84" i="57"/>
  <c r="F89" i="57"/>
  <c r="F90" i="57"/>
  <c r="F94" i="57"/>
  <c r="F95" i="57"/>
  <c r="F101" i="57"/>
  <c r="F107" i="57"/>
  <c r="F109" i="57"/>
  <c r="F114" i="57"/>
  <c r="F128" i="57"/>
  <c r="F135" i="57"/>
  <c r="F140" i="57"/>
  <c r="F143" i="57"/>
  <c r="F145" i="57"/>
  <c r="F147" i="57"/>
  <c r="F148" i="57"/>
  <c r="F153" i="57"/>
  <c r="F154" i="57"/>
  <c r="F165" i="57"/>
  <c r="F166" i="57"/>
  <c r="F168" i="57"/>
  <c r="F169" i="57"/>
  <c r="F171" i="57"/>
  <c r="F172" i="57"/>
  <c r="F173" i="57"/>
  <c r="F192" i="57"/>
  <c r="F200" i="57"/>
  <c r="F212" i="57"/>
  <c r="F213" i="57"/>
  <c r="F214" i="57"/>
  <c r="F217" i="57"/>
  <c r="F218" i="57"/>
  <c r="F228" i="57"/>
  <c r="F229" i="57"/>
  <c r="F233" i="57"/>
  <c r="F235" i="57"/>
  <c r="F237" i="57"/>
  <c r="F246" i="57"/>
  <c r="F253" i="57"/>
  <c r="F255" i="57"/>
  <c r="F256" i="57"/>
  <c r="F265" i="57"/>
  <c r="F266" i="57"/>
  <c r="F273" i="57"/>
  <c r="F278" i="57"/>
  <c r="F283" i="57"/>
  <c r="F284" i="57"/>
  <c r="F285" i="57"/>
  <c r="F287" i="57"/>
  <c r="F291" i="57"/>
  <c r="F293" i="57"/>
  <c r="F299" i="57"/>
  <c r="F302" i="57"/>
  <c r="F307" i="57"/>
  <c r="F308" i="57"/>
  <c r="F309" i="57"/>
  <c r="F316" i="57"/>
  <c r="F319" i="57"/>
  <c r="F321" i="57"/>
  <c r="F330" i="57"/>
  <c r="F336" i="57"/>
  <c r="F350" i="57"/>
  <c r="F352" i="57"/>
  <c r="F359" i="57"/>
  <c r="F362" i="57"/>
  <c r="F368" i="57"/>
  <c r="F375" i="57"/>
  <c r="F376" i="57"/>
  <c r="F378" i="57"/>
  <c r="F382" i="57"/>
  <c r="F384" i="57"/>
  <c r="F387" i="57"/>
  <c r="F388" i="57"/>
  <c r="F398" i="57"/>
  <c r="F399" i="57"/>
  <c r="F404" i="57"/>
  <c r="F409" i="57"/>
  <c r="F410" i="57"/>
  <c r="F419" i="57"/>
  <c r="F421" i="57"/>
  <c r="F422" i="57"/>
  <c r="F436" i="57"/>
  <c r="F439" i="57"/>
  <c r="F441" i="57"/>
  <c r="F447" i="57"/>
  <c r="F451" i="57"/>
  <c r="F455" i="57"/>
  <c r="F462" i="57"/>
  <c r="F471" i="57"/>
  <c r="F472" i="57"/>
  <c r="F475" i="57"/>
  <c r="F479" i="57"/>
  <c r="F487" i="57"/>
  <c r="F491" i="57"/>
  <c r="F492" i="57"/>
  <c r="F494" i="57"/>
  <c r="F496" i="57"/>
  <c r="F499" i="57"/>
  <c r="F502" i="57"/>
  <c r="F504" i="57"/>
  <c r="F510" i="57"/>
  <c r="F512" i="57"/>
  <c r="F519" i="57"/>
  <c r="F521" i="57"/>
  <c r="F532" i="57"/>
  <c r="F541" i="57"/>
  <c r="F545" i="57"/>
  <c r="F546" i="57"/>
  <c r="F551" i="57"/>
  <c r="F559" i="57"/>
  <c r="F564" i="57"/>
  <c r="F565" i="57"/>
  <c r="F567" i="57"/>
  <c r="F577" i="57"/>
  <c r="F579" i="57"/>
  <c r="F583" i="57"/>
  <c r="F586" i="57"/>
  <c r="F587" i="57"/>
  <c r="F593" i="57"/>
  <c r="F596" i="57"/>
  <c r="F600" i="57"/>
  <c r="F608" i="57"/>
  <c r="F609" i="57"/>
  <c r="F610" i="57"/>
  <c r="F619" i="57"/>
  <c r="F620" i="57"/>
  <c r="F623" i="57"/>
  <c r="F627" i="57"/>
  <c r="F632" i="57"/>
  <c r="F634" i="57"/>
  <c r="F639" i="57"/>
  <c r="F640" i="57"/>
  <c r="F642" i="57"/>
  <c r="F643" i="57"/>
  <c r="F657" i="57"/>
  <c r="F658" i="57"/>
  <c r="F660" i="57"/>
  <c r="F661" i="57"/>
  <c r="F665" i="57"/>
  <c r="F666" i="57"/>
  <c r="F667" i="57"/>
  <c r="F672" i="57"/>
  <c r="F674" i="57"/>
  <c r="F683" i="57"/>
  <c r="F687" i="57"/>
  <c r="F693" i="57"/>
  <c r="F694" i="57"/>
  <c r="F696" i="57"/>
  <c r="F697" i="57"/>
  <c r="F700" i="57"/>
  <c r="F702" i="57"/>
  <c r="F706" i="57"/>
  <c r="F707" i="57"/>
  <c r="F708" i="57"/>
  <c r="F711" i="57"/>
  <c r="F714" i="57"/>
  <c r="F715" i="57"/>
  <c r="F717" i="57"/>
  <c r="F718" i="57"/>
  <c r="F729" i="57"/>
  <c r="F733" i="57"/>
  <c r="F739" i="57"/>
  <c r="F744" i="57"/>
  <c r="F750" i="57"/>
  <c r="F753" i="57"/>
  <c r="F754" i="57"/>
  <c r="F755" i="57"/>
  <c r="F758" i="57"/>
  <c r="F765" i="57"/>
  <c r="F766" i="57"/>
  <c r="F768" i="57"/>
  <c r="F774" i="57"/>
  <c r="F778" i="57"/>
  <c r="F782" i="57"/>
  <c r="F784" i="57"/>
  <c r="F788" i="57"/>
  <c r="F794" i="57"/>
  <c r="F795" i="57"/>
  <c r="F796" i="57"/>
  <c r="F801" i="57"/>
  <c r="F802" i="57"/>
  <c r="F804" i="57"/>
  <c r="F807" i="57"/>
  <c r="F808" i="57"/>
  <c r="F812" i="57"/>
  <c r="F816" i="57"/>
  <c r="F817" i="57"/>
  <c r="F819" i="57"/>
  <c r="F822" i="57"/>
  <c r="F823" i="57"/>
  <c r="F824" i="57"/>
  <c r="F827" i="57"/>
  <c r="H9" i="57"/>
  <c r="H10" i="57"/>
  <c r="H12" i="57"/>
  <c r="H13" i="57"/>
  <c r="H14" i="57"/>
  <c r="H19" i="57"/>
  <c r="H22" i="57"/>
  <c r="H28" i="57"/>
  <c r="H29" i="57"/>
  <c r="H30" i="57"/>
  <c r="H31" i="57"/>
  <c r="H32" i="57"/>
  <c r="H36" i="57"/>
  <c r="H41" i="57"/>
  <c r="H45" i="57"/>
  <c r="H46" i="57"/>
  <c r="H48" i="57"/>
  <c r="H49" i="57"/>
  <c r="H50" i="57"/>
  <c r="H58" i="57"/>
  <c r="H60" i="57"/>
  <c r="H69" i="57"/>
  <c r="H70" i="57"/>
  <c r="H77" i="57"/>
  <c r="H78" i="57"/>
  <c r="H79" i="57"/>
  <c r="H83" i="57"/>
  <c r="H84" i="57"/>
  <c r="H89" i="57"/>
  <c r="H90" i="57"/>
  <c r="H94" i="57"/>
  <c r="H95" i="57"/>
  <c r="H101" i="57"/>
  <c r="H107" i="57"/>
  <c r="H109" i="57"/>
  <c r="H114" i="57"/>
  <c r="H128" i="57"/>
  <c r="H135" i="57"/>
  <c r="H140" i="57"/>
  <c r="H143" i="57"/>
  <c r="H145" i="57"/>
  <c r="H147" i="57"/>
  <c r="H148" i="57"/>
  <c r="H153" i="57"/>
  <c r="H154" i="57"/>
  <c r="H165" i="57"/>
  <c r="H166" i="57"/>
  <c r="H168" i="57"/>
  <c r="H169" i="57"/>
  <c r="H171" i="57"/>
  <c r="H172" i="57"/>
  <c r="H173" i="57"/>
  <c r="H192" i="57"/>
  <c r="H200" i="57"/>
  <c r="H212" i="57"/>
  <c r="H213" i="57"/>
  <c r="H214" i="57"/>
  <c r="H217" i="57"/>
  <c r="H218" i="57"/>
  <c r="H228" i="57"/>
  <c r="H229" i="57"/>
  <c r="H233" i="57"/>
  <c r="H235" i="57"/>
  <c r="H237" i="57"/>
  <c r="H246" i="57"/>
  <c r="H253" i="57"/>
  <c r="H255" i="57"/>
  <c r="H256" i="57"/>
  <c r="H265" i="57"/>
  <c r="H266" i="57"/>
  <c r="H273" i="57"/>
  <c r="H278" i="57"/>
  <c r="H283" i="57"/>
  <c r="H284" i="57"/>
  <c r="H285" i="57"/>
  <c r="H287" i="57"/>
  <c r="H291" i="57"/>
  <c r="H293" i="57"/>
  <c r="H299" i="57"/>
  <c r="H302" i="57"/>
  <c r="H307" i="57"/>
  <c r="H308" i="57"/>
  <c r="H309" i="57"/>
  <c r="H316" i="57"/>
  <c r="H319" i="57"/>
  <c r="H321" i="57"/>
  <c r="H330" i="57"/>
  <c r="H336" i="57"/>
  <c r="H350" i="57"/>
  <c r="H352" i="57"/>
  <c r="H359" i="57"/>
  <c r="H362" i="57"/>
  <c r="H368" i="57"/>
  <c r="H375" i="57"/>
  <c r="H376" i="57"/>
  <c r="H378" i="57"/>
  <c r="H382" i="57"/>
  <c r="H384" i="57"/>
  <c r="H387" i="57"/>
  <c r="H388" i="57"/>
  <c r="H398" i="57"/>
  <c r="H399" i="57"/>
  <c r="H404" i="57"/>
  <c r="H409" i="57"/>
  <c r="H410" i="57"/>
  <c r="H419" i="57"/>
  <c r="H421" i="57"/>
  <c r="H422" i="57"/>
  <c r="H436" i="57"/>
  <c r="H439" i="57"/>
  <c r="H441" i="57"/>
  <c r="H447" i="57"/>
  <c r="H451" i="57"/>
  <c r="H455" i="57"/>
  <c r="H462" i="57"/>
  <c r="H471" i="57"/>
  <c r="H472" i="57"/>
  <c r="H475" i="57"/>
  <c r="H479" i="57"/>
  <c r="H487" i="57"/>
  <c r="H491" i="57"/>
  <c r="H492" i="57"/>
  <c r="H494" i="57"/>
  <c r="H496" i="57"/>
  <c r="H499" i="57"/>
  <c r="H502" i="57"/>
  <c r="H504" i="57"/>
  <c r="H510" i="57"/>
  <c r="H512" i="57"/>
  <c r="H519" i="57"/>
  <c r="H521" i="57"/>
  <c r="H532" i="57"/>
  <c r="H541" i="57"/>
  <c r="H545" i="57"/>
  <c r="H546" i="57"/>
  <c r="H551" i="57"/>
  <c r="H559" i="57"/>
  <c r="H564" i="57"/>
  <c r="H565" i="57"/>
  <c r="H567" i="57"/>
  <c r="H577" i="57"/>
  <c r="H579" i="57"/>
  <c r="H583" i="57"/>
  <c r="H586" i="57"/>
  <c r="H587" i="57"/>
  <c r="H593" i="57"/>
  <c r="H596" i="57"/>
  <c r="H600" i="57"/>
  <c r="H608" i="57"/>
  <c r="H609" i="57"/>
  <c r="H610" i="57"/>
  <c r="H619" i="57"/>
  <c r="H620" i="57"/>
  <c r="H623" i="57"/>
  <c r="H627" i="57"/>
  <c r="H632" i="57"/>
  <c r="H634" i="57"/>
  <c r="H639" i="57"/>
  <c r="H640" i="57"/>
  <c r="H642" i="57"/>
  <c r="H643" i="57"/>
  <c r="H657" i="57"/>
  <c r="H658" i="57"/>
  <c r="H660" i="57"/>
  <c r="H661" i="57"/>
  <c r="H665" i="57"/>
  <c r="H666" i="57"/>
  <c r="H667" i="57"/>
  <c r="H672" i="57"/>
  <c r="H674" i="57"/>
  <c r="H683" i="57"/>
  <c r="H687" i="57"/>
  <c r="H693" i="57"/>
  <c r="H694" i="57"/>
  <c r="H696" i="57"/>
  <c r="H697" i="57"/>
  <c r="H700" i="57"/>
  <c r="H702" i="57"/>
  <c r="H706" i="57"/>
  <c r="H707" i="57"/>
  <c r="H708" i="57"/>
  <c r="H711" i="57"/>
  <c r="H714" i="57"/>
  <c r="H715" i="57"/>
  <c r="H717" i="57"/>
  <c r="H718" i="57"/>
  <c r="H729" i="57"/>
  <c r="H733" i="57"/>
  <c r="H739" i="57"/>
  <c r="H744" i="57"/>
  <c r="H750" i="57"/>
  <c r="H753" i="57"/>
  <c r="H754" i="57"/>
  <c r="H755" i="57"/>
  <c r="H758" i="57"/>
  <c r="H765" i="57"/>
  <c r="H766" i="57"/>
  <c r="H768" i="57"/>
  <c r="H774" i="57"/>
  <c r="H778" i="57"/>
  <c r="H782" i="57"/>
  <c r="H784" i="57"/>
  <c r="H788" i="57"/>
  <c r="H794" i="57"/>
  <c r="H795" i="57"/>
  <c r="H796" i="57"/>
  <c r="H801" i="57"/>
  <c r="H802" i="57"/>
  <c r="H804" i="57"/>
  <c r="H807" i="57"/>
  <c r="H808" i="57"/>
  <c r="H812" i="57"/>
  <c r="H816" i="57"/>
  <c r="H817" i="57"/>
  <c r="H819" i="57"/>
  <c r="H822" i="57"/>
  <c r="H823" i="57"/>
  <c r="H824" i="57"/>
  <c r="H827" i="57"/>
  <c r="I9" i="57"/>
  <c r="I10" i="57"/>
  <c r="I12" i="57"/>
  <c r="I13" i="57"/>
  <c r="I14" i="57"/>
  <c r="I19" i="57"/>
  <c r="I22" i="57"/>
  <c r="I28" i="57"/>
  <c r="I29" i="57"/>
  <c r="I30" i="57"/>
  <c r="I31" i="57"/>
  <c r="I32" i="57"/>
  <c r="I36" i="57"/>
  <c r="I41" i="57"/>
  <c r="I45" i="57"/>
  <c r="I46" i="57"/>
  <c r="I48" i="57"/>
  <c r="I49" i="57"/>
  <c r="I50" i="57"/>
  <c r="I58" i="57"/>
  <c r="I60" i="57"/>
  <c r="I69" i="57"/>
  <c r="I70" i="57"/>
  <c r="I77" i="57"/>
  <c r="I78" i="57"/>
  <c r="I79" i="57"/>
  <c r="I83" i="57"/>
  <c r="I84" i="57"/>
  <c r="I89" i="57"/>
  <c r="I90" i="57"/>
  <c r="I94" i="57"/>
  <c r="I95" i="57"/>
  <c r="I101" i="57"/>
  <c r="I107" i="57"/>
  <c r="I109" i="57"/>
  <c r="I114" i="57"/>
  <c r="I128" i="57"/>
  <c r="I135" i="57"/>
  <c r="I140" i="57"/>
  <c r="I143" i="57"/>
  <c r="I145" i="57"/>
  <c r="I147" i="57"/>
  <c r="I148" i="57"/>
  <c r="I153" i="57"/>
  <c r="I154" i="57"/>
  <c r="I165" i="57"/>
  <c r="I166" i="57"/>
  <c r="I168" i="57"/>
  <c r="I169" i="57"/>
  <c r="I171" i="57"/>
  <c r="I172" i="57"/>
  <c r="I173" i="57"/>
  <c r="I192" i="57"/>
  <c r="I200" i="57"/>
  <c r="I212" i="57"/>
  <c r="I213" i="57"/>
  <c r="I214" i="57"/>
  <c r="I217" i="57"/>
  <c r="I218" i="57"/>
  <c r="I228" i="57"/>
  <c r="I229" i="57"/>
  <c r="I233" i="57"/>
  <c r="I235" i="57"/>
  <c r="I237" i="57"/>
  <c r="I246" i="57"/>
  <c r="I253" i="57"/>
  <c r="I255" i="57"/>
  <c r="I256" i="57"/>
  <c r="I265" i="57"/>
  <c r="I266" i="57"/>
  <c r="I273" i="57"/>
  <c r="I278" i="57"/>
  <c r="I283" i="57"/>
  <c r="I284" i="57"/>
  <c r="I285" i="57"/>
  <c r="I287" i="57"/>
  <c r="I291" i="57"/>
  <c r="I293" i="57"/>
  <c r="I299" i="57"/>
  <c r="I302" i="57"/>
  <c r="I307" i="57"/>
  <c r="I308" i="57"/>
  <c r="I309" i="57"/>
  <c r="I316" i="57"/>
  <c r="I319" i="57"/>
  <c r="I321" i="57"/>
  <c r="I330" i="57"/>
  <c r="I336" i="57"/>
  <c r="I350" i="57"/>
  <c r="I352" i="57"/>
  <c r="I359" i="57"/>
  <c r="I362" i="57"/>
  <c r="I368" i="57"/>
  <c r="I375" i="57"/>
  <c r="I376" i="57"/>
  <c r="I378" i="57"/>
  <c r="I382" i="57"/>
  <c r="I384" i="57"/>
  <c r="I387" i="57"/>
  <c r="I388" i="57"/>
  <c r="I398" i="57"/>
  <c r="I399" i="57"/>
  <c r="I404" i="57"/>
  <c r="I409" i="57"/>
  <c r="I410" i="57"/>
  <c r="I419" i="57"/>
  <c r="I421" i="57"/>
  <c r="I422" i="57"/>
  <c r="I436" i="57"/>
  <c r="I439" i="57"/>
  <c r="I441" i="57"/>
  <c r="I447" i="57"/>
  <c r="I451" i="57"/>
  <c r="I455" i="57"/>
  <c r="I462" i="57"/>
  <c r="I471" i="57"/>
  <c r="I472" i="57"/>
  <c r="I475" i="57"/>
  <c r="I479" i="57"/>
  <c r="I487" i="57"/>
  <c r="I491" i="57"/>
  <c r="I492" i="57"/>
  <c r="I494" i="57"/>
  <c r="I496" i="57"/>
  <c r="I499" i="57"/>
  <c r="I502" i="57"/>
  <c r="I504" i="57"/>
  <c r="I510" i="57"/>
  <c r="I512" i="57"/>
  <c r="I519" i="57"/>
  <c r="I521" i="57"/>
  <c r="I532" i="57"/>
  <c r="I541" i="57"/>
  <c r="I545" i="57"/>
  <c r="I546" i="57"/>
  <c r="I551" i="57"/>
  <c r="I559" i="57"/>
  <c r="I564" i="57"/>
  <c r="I565" i="57"/>
  <c r="I567" i="57"/>
  <c r="I577" i="57"/>
  <c r="I579" i="57"/>
  <c r="I583" i="57"/>
  <c r="I586" i="57"/>
  <c r="I587" i="57"/>
  <c r="I593" i="57"/>
  <c r="I596" i="57"/>
  <c r="I600" i="57"/>
  <c r="I608" i="57"/>
  <c r="I609" i="57"/>
  <c r="I610" i="57"/>
  <c r="I619" i="57"/>
  <c r="I620" i="57"/>
  <c r="I623" i="57"/>
  <c r="I627" i="57"/>
  <c r="I632" i="57"/>
  <c r="I634" i="57"/>
  <c r="I639" i="57"/>
  <c r="I640" i="57"/>
  <c r="I642" i="57"/>
  <c r="I643" i="57"/>
  <c r="I657" i="57"/>
  <c r="I658" i="57"/>
  <c r="I660" i="57"/>
  <c r="I661" i="57"/>
  <c r="I665" i="57"/>
  <c r="I666" i="57"/>
  <c r="I667" i="57"/>
  <c r="I672" i="57"/>
  <c r="I674" i="57"/>
  <c r="I683" i="57"/>
  <c r="I687" i="57"/>
  <c r="I693" i="57"/>
  <c r="I694" i="57"/>
  <c r="I696" i="57"/>
  <c r="I697" i="57"/>
  <c r="I700" i="57"/>
  <c r="I702" i="57"/>
  <c r="I706" i="57"/>
  <c r="I707" i="57"/>
  <c r="I708" i="57"/>
  <c r="I711" i="57"/>
  <c r="I714" i="57"/>
  <c r="I715" i="57"/>
  <c r="I717" i="57"/>
  <c r="I718" i="57"/>
  <c r="I729" i="57"/>
  <c r="I733" i="57"/>
  <c r="I739" i="57"/>
  <c r="I744" i="57"/>
  <c r="I750" i="57"/>
  <c r="I753" i="57"/>
  <c r="I754" i="57"/>
  <c r="I755" i="57"/>
  <c r="I758" i="57"/>
  <c r="I765" i="57"/>
  <c r="I766" i="57"/>
  <c r="I768" i="57"/>
  <c r="I774" i="57"/>
  <c r="I778" i="57"/>
  <c r="I782" i="57"/>
  <c r="I784" i="57"/>
  <c r="I788" i="57"/>
  <c r="I794" i="57"/>
  <c r="I795" i="57"/>
  <c r="I796" i="57"/>
  <c r="I801" i="57"/>
  <c r="I802" i="57"/>
  <c r="I804" i="57"/>
  <c r="I807" i="57"/>
  <c r="I808" i="57"/>
  <c r="I812" i="57"/>
  <c r="I816" i="57"/>
  <c r="I817" i="57"/>
  <c r="I819" i="57"/>
  <c r="I822" i="57"/>
  <c r="I823" i="57"/>
  <c r="I824" i="57"/>
  <c r="I827" i="57"/>
  <c r="L9" i="57"/>
  <c r="L10" i="57"/>
  <c r="L12" i="57"/>
  <c r="L13" i="57"/>
  <c r="L14" i="57"/>
  <c r="L19" i="57"/>
  <c r="L22" i="57"/>
  <c r="L28" i="57"/>
  <c r="L29" i="57"/>
  <c r="L30" i="57"/>
  <c r="L31" i="57"/>
  <c r="L32" i="57"/>
  <c r="L36" i="57"/>
  <c r="L41" i="57"/>
  <c r="L45" i="57"/>
  <c r="L46" i="57"/>
  <c r="L48" i="57"/>
  <c r="L49" i="57"/>
  <c r="L50" i="57"/>
  <c r="L58" i="57"/>
  <c r="L60" i="57"/>
  <c r="L69" i="57"/>
  <c r="L70" i="57"/>
  <c r="L77" i="57"/>
  <c r="L78" i="57"/>
  <c r="L79" i="57"/>
  <c r="L83" i="57"/>
  <c r="L84" i="57"/>
  <c r="L89" i="57"/>
  <c r="L90" i="57"/>
  <c r="L94" i="57"/>
  <c r="L95" i="57"/>
  <c r="L101" i="57"/>
  <c r="L107" i="57"/>
  <c r="L109" i="57"/>
  <c r="L114" i="57"/>
  <c r="L128" i="57"/>
  <c r="L135" i="57"/>
  <c r="L140" i="57"/>
  <c r="L143" i="57"/>
  <c r="L145" i="57"/>
  <c r="L147" i="57"/>
  <c r="L148" i="57"/>
  <c r="L153" i="57"/>
  <c r="L154" i="57"/>
  <c r="L165" i="57"/>
  <c r="L166" i="57"/>
  <c r="L168" i="57"/>
  <c r="L169" i="57"/>
  <c r="L171" i="57"/>
  <c r="L172" i="57"/>
  <c r="L173" i="57"/>
  <c r="L192" i="57"/>
  <c r="L200" i="57"/>
  <c r="L212" i="57"/>
  <c r="L213" i="57"/>
  <c r="L214" i="57"/>
  <c r="L217" i="57"/>
  <c r="L218" i="57"/>
  <c r="L228" i="57"/>
  <c r="L229" i="57"/>
  <c r="L233" i="57"/>
  <c r="L235" i="57"/>
  <c r="L237" i="57"/>
  <c r="L246" i="57"/>
  <c r="L253" i="57"/>
  <c r="L255" i="57"/>
  <c r="L256" i="57"/>
  <c r="L265" i="57"/>
  <c r="L266" i="57"/>
  <c r="L273" i="57"/>
  <c r="L278" i="57"/>
  <c r="L283" i="57"/>
  <c r="L284" i="57"/>
  <c r="L285" i="57"/>
  <c r="L287" i="57"/>
  <c r="L291" i="57"/>
  <c r="L293" i="57"/>
  <c r="L299" i="57"/>
  <c r="L302" i="57"/>
  <c r="L307" i="57"/>
  <c r="L308" i="57"/>
  <c r="L309" i="57"/>
  <c r="L316" i="57"/>
  <c r="L319" i="57"/>
  <c r="L321" i="57"/>
  <c r="L330" i="57"/>
  <c r="L336" i="57"/>
  <c r="L350" i="57"/>
  <c r="L352" i="57"/>
  <c r="L359" i="57"/>
  <c r="L362" i="57"/>
  <c r="L368" i="57"/>
  <c r="L375" i="57"/>
  <c r="L376" i="57"/>
  <c r="L378" i="57"/>
  <c r="L382" i="57"/>
  <c r="L384" i="57"/>
  <c r="L387" i="57"/>
  <c r="L388" i="57"/>
  <c r="L398" i="57"/>
  <c r="L399" i="57"/>
  <c r="L404" i="57"/>
  <c r="L409" i="57"/>
  <c r="L410" i="57"/>
  <c r="L419" i="57"/>
  <c r="L421" i="57"/>
  <c r="L422" i="57"/>
  <c r="L436" i="57"/>
  <c r="L439" i="57"/>
  <c r="L441" i="57"/>
  <c r="L447" i="57"/>
  <c r="L451" i="57"/>
  <c r="L455" i="57"/>
  <c r="L462" i="57"/>
  <c r="L471" i="57"/>
  <c r="L472" i="57"/>
  <c r="L475" i="57"/>
  <c r="L479" i="57"/>
  <c r="L487" i="57"/>
  <c r="L491" i="57"/>
  <c r="L492" i="57"/>
  <c r="L494" i="57"/>
  <c r="L496" i="57"/>
  <c r="L499" i="57"/>
  <c r="L502" i="57"/>
  <c r="L504" i="57"/>
  <c r="L510" i="57"/>
  <c r="L512" i="57"/>
  <c r="L519" i="57"/>
  <c r="L521" i="57"/>
  <c r="L532" i="57"/>
  <c r="L541" i="57"/>
  <c r="L545" i="57"/>
  <c r="L546" i="57"/>
  <c r="L551" i="57"/>
  <c r="L559" i="57"/>
  <c r="L564" i="57"/>
  <c r="L565" i="57"/>
  <c r="L567" i="57"/>
  <c r="L577" i="57"/>
  <c r="L579" i="57"/>
  <c r="L583" i="57"/>
  <c r="L586" i="57"/>
  <c r="L587" i="57"/>
  <c r="L593" i="57"/>
  <c r="L596" i="57"/>
  <c r="L600" i="57"/>
  <c r="L608" i="57"/>
  <c r="L609" i="57"/>
  <c r="L610" i="57"/>
  <c r="L619" i="57"/>
  <c r="L620" i="57"/>
  <c r="L623" i="57"/>
  <c r="L627" i="57"/>
  <c r="L632" i="57"/>
  <c r="L634" i="57"/>
  <c r="L639" i="57"/>
  <c r="L640" i="57"/>
  <c r="L642" i="57"/>
  <c r="L643" i="57"/>
  <c r="L657" i="57"/>
  <c r="L658" i="57"/>
  <c r="L660" i="57"/>
  <c r="L661" i="57"/>
  <c r="L665" i="57"/>
  <c r="L666" i="57"/>
  <c r="L667" i="57"/>
  <c r="L672" i="57"/>
  <c r="L674" i="57"/>
  <c r="L683" i="57"/>
  <c r="L687" i="57"/>
  <c r="L693" i="57"/>
  <c r="L694" i="57"/>
  <c r="L696" i="57"/>
  <c r="L697" i="57"/>
  <c r="L700" i="57"/>
  <c r="L702" i="57"/>
  <c r="L706" i="57"/>
  <c r="L707" i="57"/>
  <c r="L708" i="57"/>
  <c r="L711" i="57"/>
  <c r="L714" i="57"/>
  <c r="L715" i="57"/>
  <c r="L717" i="57"/>
  <c r="L718" i="57"/>
  <c r="L729" i="57"/>
  <c r="L733" i="57"/>
  <c r="L739" i="57"/>
  <c r="L744" i="57"/>
  <c r="L750" i="57"/>
  <c r="L753" i="57"/>
  <c r="L754" i="57"/>
  <c r="L755" i="57"/>
  <c r="L758" i="57"/>
  <c r="L765" i="57"/>
  <c r="L766" i="57"/>
  <c r="L768" i="57"/>
  <c r="L774" i="57"/>
  <c r="L778" i="57"/>
  <c r="L782" i="57"/>
  <c r="L784" i="57"/>
  <c r="L788" i="57"/>
  <c r="L794" i="57"/>
  <c r="L795" i="57"/>
  <c r="L796" i="57"/>
  <c r="L801" i="57"/>
  <c r="L802" i="57"/>
  <c r="L804" i="57"/>
  <c r="L807" i="57"/>
  <c r="L808" i="57"/>
  <c r="L812" i="57"/>
  <c r="L816" i="57"/>
  <c r="L817" i="57"/>
  <c r="L819" i="57"/>
  <c r="L822" i="57"/>
  <c r="L823" i="57"/>
  <c r="L824" i="57"/>
  <c r="L827" i="57"/>
  <c r="R9" i="57"/>
  <c r="R10" i="57"/>
  <c r="R12" i="57"/>
  <c r="AD319" i="60" s="1"/>
  <c r="R13" i="57"/>
  <c r="R14" i="57"/>
  <c r="R19" i="57"/>
  <c r="R22" i="57"/>
  <c r="R28" i="57"/>
  <c r="R29" i="57"/>
  <c r="R30" i="57"/>
  <c r="R31" i="57"/>
  <c r="AD310" i="60" s="1"/>
  <c r="R32" i="57"/>
  <c r="AD317" i="60" s="1"/>
  <c r="R36" i="57"/>
  <c r="R41" i="57"/>
  <c r="R45" i="57"/>
  <c r="R46" i="57"/>
  <c r="AD399" i="69" s="1"/>
  <c r="R48" i="57"/>
  <c r="R49" i="57"/>
  <c r="AD401" i="69" s="1"/>
  <c r="R50" i="57"/>
  <c r="AD337" i="69" s="1"/>
  <c r="R58" i="57"/>
  <c r="AD373" i="69" s="1"/>
  <c r="R60" i="57"/>
  <c r="AD374" i="69" s="1"/>
  <c r="R69" i="57"/>
  <c r="R70" i="57"/>
  <c r="AD365" i="69" s="1"/>
  <c r="R77" i="57"/>
  <c r="R78" i="57"/>
  <c r="K78" i="57" s="1"/>
  <c r="R79" i="57"/>
  <c r="K79" i="57" s="1"/>
  <c r="R83" i="57"/>
  <c r="AD364" i="69" s="1"/>
  <c r="R84" i="57"/>
  <c r="AD347" i="69" s="1"/>
  <c r="R89" i="57"/>
  <c r="AD309" i="69" s="1"/>
  <c r="R90" i="57"/>
  <c r="AD320" i="60" s="1"/>
  <c r="R94" i="57"/>
  <c r="AD318" i="69" s="1"/>
  <c r="R95" i="57"/>
  <c r="AD367" i="69" s="1"/>
  <c r="R101" i="57"/>
  <c r="R107" i="57"/>
  <c r="R109" i="57"/>
  <c r="R114" i="57"/>
  <c r="AD375" i="69" s="1"/>
  <c r="R128" i="57"/>
  <c r="AD253" i="60" s="1"/>
  <c r="R135" i="57"/>
  <c r="R140" i="57"/>
  <c r="R143" i="57"/>
  <c r="AD321" i="60" s="1"/>
  <c r="R145" i="57"/>
  <c r="AD319" i="69" s="1"/>
  <c r="R147" i="57"/>
  <c r="AD320" i="69" s="1"/>
  <c r="R148" i="57"/>
  <c r="AD321" i="69" s="1"/>
  <c r="R153" i="57"/>
  <c r="R154" i="57"/>
  <c r="AD400" i="69" s="1"/>
  <c r="R165" i="57"/>
  <c r="AD363" i="69" s="1"/>
  <c r="R166" i="57"/>
  <c r="R168" i="57"/>
  <c r="R169" i="57"/>
  <c r="R171" i="57"/>
  <c r="R172" i="57"/>
  <c r="AD385" i="69" s="1"/>
  <c r="R173" i="57"/>
  <c r="AD398" i="69" s="1"/>
  <c r="R192" i="57"/>
  <c r="R200" i="57"/>
  <c r="AD322" i="69" s="1"/>
  <c r="R212" i="57"/>
  <c r="R213" i="57"/>
  <c r="R214" i="57"/>
  <c r="R217" i="57"/>
  <c r="R218" i="57"/>
  <c r="R228" i="57"/>
  <c r="AD376" i="69" s="1"/>
  <c r="R229" i="57"/>
  <c r="AD354" i="69" s="1"/>
  <c r="R233" i="57"/>
  <c r="R235" i="57"/>
  <c r="R237" i="57"/>
  <c r="R246" i="57"/>
  <c r="AD330" i="60" s="1"/>
  <c r="R253" i="57"/>
  <c r="R255" i="57"/>
  <c r="R256" i="57"/>
  <c r="R265" i="57"/>
  <c r="AD331" i="60" s="1"/>
  <c r="R266" i="57"/>
  <c r="R273" i="57"/>
  <c r="R278" i="57"/>
  <c r="R283" i="57"/>
  <c r="AD340" i="69" s="1"/>
  <c r="R284" i="57"/>
  <c r="AD303" i="60" s="1"/>
  <c r="R285" i="57"/>
  <c r="AD312" i="69" s="1"/>
  <c r="R287" i="57"/>
  <c r="R291" i="57"/>
  <c r="R293" i="57"/>
  <c r="A293" i="57" s="1"/>
  <c r="R299" i="57"/>
  <c r="J299" i="57" s="1"/>
  <c r="R302" i="57"/>
  <c r="R307" i="57"/>
  <c r="R308" i="57"/>
  <c r="U90" i="119" s="1"/>
  <c r="R309" i="57"/>
  <c r="R316" i="57"/>
  <c r="R319" i="57"/>
  <c r="AD258" i="60" s="1"/>
  <c r="R321" i="57"/>
  <c r="R330" i="57"/>
  <c r="R336" i="57"/>
  <c r="R350" i="57"/>
  <c r="J350" i="57" s="1"/>
  <c r="R352" i="57"/>
  <c r="AD312" i="60" s="1"/>
  <c r="R359" i="57"/>
  <c r="AD366" i="69" s="1"/>
  <c r="R362" i="57"/>
  <c r="R368" i="57"/>
  <c r="AD259" i="60" s="1"/>
  <c r="R375" i="57"/>
  <c r="R376" i="57"/>
  <c r="R378" i="57"/>
  <c r="AD332" i="60" s="1"/>
  <c r="R382" i="57"/>
  <c r="AD345" i="69" s="1"/>
  <c r="R384" i="57"/>
  <c r="R387" i="57"/>
  <c r="AD256" i="60" s="1"/>
  <c r="R388" i="57"/>
  <c r="AD310" i="69" s="1"/>
  <c r="R398" i="57"/>
  <c r="AD333" i="60" s="1"/>
  <c r="R399" i="57"/>
  <c r="R404" i="57"/>
  <c r="R409" i="57"/>
  <c r="R410" i="57"/>
  <c r="R419" i="57"/>
  <c r="R421" i="57"/>
  <c r="AD368" i="69" s="1"/>
  <c r="R422" i="57"/>
  <c r="R436" i="57"/>
  <c r="R439" i="57"/>
  <c r="AD356" i="69" s="1"/>
  <c r="R441" i="57"/>
  <c r="AD304" i="69" s="1"/>
  <c r="R447" i="57"/>
  <c r="AD306" i="69" s="1"/>
  <c r="R451" i="57"/>
  <c r="AD315" i="60" s="1"/>
  <c r="R455" i="57"/>
  <c r="R462" i="57"/>
  <c r="AD386" i="69" s="1"/>
  <c r="R471" i="57"/>
  <c r="R472" i="57"/>
  <c r="R475" i="57"/>
  <c r="R479" i="57"/>
  <c r="R487" i="57"/>
  <c r="R491" i="57"/>
  <c r="AD327" i="69" s="1"/>
  <c r="R492" i="57"/>
  <c r="AD392" i="69" s="1"/>
  <c r="R494" i="57"/>
  <c r="AD307" i="69" s="1"/>
  <c r="R496" i="57"/>
  <c r="R499" i="57"/>
  <c r="R502" i="57"/>
  <c r="AD357" i="69" s="1"/>
  <c r="R504" i="57"/>
  <c r="AD331" i="69" s="1"/>
  <c r="R510" i="57"/>
  <c r="K510" i="57" s="1"/>
  <c r="R512" i="57"/>
  <c r="R519" i="57"/>
  <c r="R521" i="57"/>
  <c r="R532" i="57"/>
  <c r="R541" i="57"/>
  <c r="AD316" i="60" s="1"/>
  <c r="R545" i="57"/>
  <c r="AD349" i="69" s="1"/>
  <c r="R546" i="57"/>
  <c r="R551" i="57"/>
  <c r="R559" i="57"/>
  <c r="R564" i="57"/>
  <c r="R565" i="57"/>
  <c r="AD394" i="69" s="1"/>
  <c r="R567" i="57"/>
  <c r="AD305" i="60" s="1"/>
  <c r="R577" i="57"/>
  <c r="R579" i="57"/>
  <c r="AD323" i="60" s="1"/>
  <c r="R583" i="57"/>
  <c r="R586" i="57"/>
  <c r="AD306" i="60" s="1"/>
  <c r="R587" i="57"/>
  <c r="R593" i="57"/>
  <c r="R596" i="57"/>
  <c r="R600" i="57"/>
  <c r="AD334" i="69" s="1"/>
  <c r="R608" i="57"/>
  <c r="R609" i="57"/>
  <c r="AD254" i="60" s="1"/>
  <c r="R610" i="57"/>
  <c r="R619" i="57"/>
  <c r="R620" i="57"/>
  <c r="AD335" i="69" s="1"/>
  <c r="R623" i="57"/>
  <c r="R627" i="57"/>
  <c r="R632" i="57"/>
  <c r="R634" i="57"/>
  <c r="AD379" i="69" s="1"/>
  <c r="R639" i="57"/>
  <c r="R640" i="57"/>
  <c r="AD372" i="69" s="1"/>
  <c r="R642" i="57"/>
  <c r="AD324" i="60" s="1"/>
  <c r="R643" i="57"/>
  <c r="AD389" i="69" s="1"/>
  <c r="R657" i="57"/>
  <c r="AD326" i="60" s="1"/>
  <c r="R658" i="57"/>
  <c r="R660" i="57"/>
  <c r="R661" i="57"/>
  <c r="R665" i="57"/>
  <c r="R666" i="57"/>
  <c r="R667" i="57"/>
  <c r="AD371" i="69" s="1"/>
  <c r="R672" i="57"/>
  <c r="AD390" i="69" s="1"/>
  <c r="R674" i="57"/>
  <c r="AD257" i="60" s="1"/>
  <c r="R683" i="57"/>
  <c r="AD325" i="60" s="1"/>
  <c r="R687" i="57"/>
  <c r="AD334" i="60" s="1"/>
  <c r="R693" i="57"/>
  <c r="R694" i="57"/>
  <c r="AD370" i="69" s="1"/>
  <c r="R696" i="57"/>
  <c r="R697" i="57"/>
  <c r="AD335" i="60" s="1"/>
  <c r="R700" i="57"/>
  <c r="AD381" i="69" s="1"/>
  <c r="R702" i="57"/>
  <c r="R706" i="57"/>
  <c r="AD303" i="69" s="1"/>
  <c r="R707" i="57"/>
  <c r="AD311" i="69" s="1"/>
  <c r="R708" i="57"/>
  <c r="AD336" i="60" s="1"/>
  <c r="R711" i="57"/>
  <c r="AD314" i="69" s="1"/>
  <c r="R714" i="57"/>
  <c r="R715" i="57"/>
  <c r="R717" i="57"/>
  <c r="A717" i="57" s="1"/>
  <c r="R718" i="57"/>
  <c r="R729" i="57"/>
  <c r="AD309" i="60" s="1"/>
  <c r="R733" i="57"/>
  <c r="AD326" i="69" s="1"/>
  <c r="R739" i="57"/>
  <c r="AD346" i="69" s="1"/>
  <c r="R744" i="57"/>
  <c r="R750" i="57"/>
  <c r="R753" i="57"/>
  <c r="R754" i="57"/>
  <c r="AD337" i="60" s="1"/>
  <c r="R755" i="57"/>
  <c r="AD396" i="69" s="1"/>
  <c r="R758" i="57"/>
  <c r="R765" i="57"/>
  <c r="K765" i="57" s="1"/>
  <c r="R766" i="57"/>
  <c r="AD313" i="60" s="1"/>
  <c r="R768" i="57"/>
  <c r="AD382" i="69" s="1"/>
  <c r="R774" i="57"/>
  <c r="R778" i="57"/>
  <c r="AD383" i="69" s="1"/>
  <c r="R782" i="57"/>
  <c r="R784" i="57"/>
  <c r="R788" i="57"/>
  <c r="AD402" i="69" s="1"/>
  <c r="R794" i="57"/>
  <c r="AD307" i="60" s="1"/>
  <c r="R795" i="57"/>
  <c r="R796" i="57"/>
  <c r="R801" i="57"/>
  <c r="R802" i="57"/>
  <c r="R804" i="57"/>
  <c r="AD391" i="69" s="1"/>
  <c r="R807" i="57"/>
  <c r="R808" i="57"/>
  <c r="AD332" i="69" s="1"/>
  <c r="R812" i="57"/>
  <c r="R816" i="57"/>
  <c r="R817" i="57"/>
  <c r="R819" i="57"/>
  <c r="R822" i="57"/>
  <c r="R823" i="57"/>
  <c r="R824" i="57"/>
  <c r="AD301" i="60" s="1"/>
  <c r="R827" i="57"/>
  <c r="J827" i="57" s="1"/>
  <c r="C779" i="57"/>
  <c r="C780" i="57"/>
  <c r="C781" i="57"/>
  <c r="C783" i="57"/>
  <c r="C785" i="57"/>
  <c r="C786" i="57"/>
  <c r="C787" i="57"/>
  <c r="C789" i="57"/>
  <c r="C790" i="57"/>
  <c r="C791" i="57"/>
  <c r="C792" i="57"/>
  <c r="C793" i="57"/>
  <c r="C797" i="57"/>
  <c r="C798" i="57"/>
  <c r="C799" i="57"/>
  <c r="C800" i="57"/>
  <c r="C803" i="57"/>
  <c r="C805" i="57"/>
  <c r="C806" i="57"/>
  <c r="C809" i="57"/>
  <c r="C810" i="57"/>
  <c r="C811" i="57"/>
  <c r="C813" i="57"/>
  <c r="C814" i="57"/>
  <c r="C815" i="57"/>
  <c r="C818" i="57"/>
  <c r="C820" i="57"/>
  <c r="C821" i="57"/>
  <c r="C825" i="57"/>
  <c r="C826" i="57"/>
  <c r="C828" i="57"/>
  <c r="C829" i="57"/>
  <c r="C830" i="57"/>
  <c r="D779" i="57"/>
  <c r="D780" i="57"/>
  <c r="D781" i="57"/>
  <c r="D783" i="57"/>
  <c r="D785" i="57"/>
  <c r="D786" i="57"/>
  <c r="D787" i="57"/>
  <c r="D789" i="57"/>
  <c r="D790" i="57"/>
  <c r="D791" i="57"/>
  <c r="D792" i="57"/>
  <c r="D793" i="57"/>
  <c r="D797" i="57"/>
  <c r="D798" i="57"/>
  <c r="D799" i="57"/>
  <c r="D800" i="57"/>
  <c r="D803" i="57"/>
  <c r="D805" i="57"/>
  <c r="D806" i="57"/>
  <c r="D809" i="57"/>
  <c r="D810" i="57"/>
  <c r="D811" i="57"/>
  <c r="D813" i="57"/>
  <c r="D814" i="57"/>
  <c r="D815" i="57"/>
  <c r="D818" i="57"/>
  <c r="D820" i="57"/>
  <c r="D821" i="57"/>
  <c r="D825" i="57"/>
  <c r="D826" i="57"/>
  <c r="D828" i="57"/>
  <c r="D829" i="57"/>
  <c r="D830" i="57"/>
  <c r="E779" i="57"/>
  <c r="E780" i="57"/>
  <c r="E781" i="57"/>
  <c r="E783" i="57"/>
  <c r="E785" i="57"/>
  <c r="E786" i="57"/>
  <c r="E787" i="57"/>
  <c r="E789" i="57"/>
  <c r="E790" i="57"/>
  <c r="E791" i="57"/>
  <c r="E792" i="57"/>
  <c r="E793" i="57"/>
  <c r="E797" i="57"/>
  <c r="E798" i="57"/>
  <c r="E799" i="57"/>
  <c r="E800" i="57"/>
  <c r="E803" i="57"/>
  <c r="E805" i="57"/>
  <c r="E806" i="57"/>
  <c r="E809" i="57"/>
  <c r="E810" i="57"/>
  <c r="E811" i="57"/>
  <c r="E813" i="57"/>
  <c r="E814" i="57"/>
  <c r="E815" i="57"/>
  <c r="E818" i="57"/>
  <c r="E820" i="57"/>
  <c r="E821" i="57"/>
  <c r="E825" i="57"/>
  <c r="E826" i="57"/>
  <c r="E828" i="57"/>
  <c r="E829" i="57"/>
  <c r="E830" i="57"/>
  <c r="F779" i="57"/>
  <c r="F780" i="57"/>
  <c r="F781" i="57"/>
  <c r="F783" i="57"/>
  <c r="F785" i="57"/>
  <c r="F786" i="57"/>
  <c r="F787" i="57"/>
  <c r="F789" i="57"/>
  <c r="F790" i="57"/>
  <c r="F791" i="57"/>
  <c r="F792" i="57"/>
  <c r="F793" i="57"/>
  <c r="F797" i="57"/>
  <c r="F798" i="57"/>
  <c r="F799" i="57"/>
  <c r="F800" i="57"/>
  <c r="F803" i="57"/>
  <c r="F805" i="57"/>
  <c r="F806" i="57"/>
  <c r="F809" i="57"/>
  <c r="F810" i="57"/>
  <c r="F811" i="57"/>
  <c r="F813" i="57"/>
  <c r="F814" i="57"/>
  <c r="F815" i="57"/>
  <c r="F818" i="57"/>
  <c r="F820" i="57"/>
  <c r="F821" i="57"/>
  <c r="F825" i="57"/>
  <c r="F826" i="57"/>
  <c r="F828" i="57"/>
  <c r="F829" i="57"/>
  <c r="F830" i="57"/>
  <c r="H779" i="57"/>
  <c r="H780" i="57"/>
  <c r="H781" i="57"/>
  <c r="H783" i="57"/>
  <c r="H785" i="57"/>
  <c r="H786" i="57"/>
  <c r="H787" i="57"/>
  <c r="H789" i="57"/>
  <c r="H790" i="57"/>
  <c r="H791" i="57"/>
  <c r="H792" i="57"/>
  <c r="H793" i="57"/>
  <c r="H797" i="57"/>
  <c r="H798" i="57"/>
  <c r="H799" i="57"/>
  <c r="H800" i="57"/>
  <c r="H803" i="57"/>
  <c r="H805" i="57"/>
  <c r="H806" i="57"/>
  <c r="H809" i="57"/>
  <c r="H810" i="57"/>
  <c r="H811" i="57"/>
  <c r="H813" i="57"/>
  <c r="H814" i="57"/>
  <c r="H815" i="57"/>
  <c r="H818" i="57"/>
  <c r="H820" i="57"/>
  <c r="H821" i="57"/>
  <c r="H825" i="57"/>
  <c r="H826" i="57"/>
  <c r="H828" i="57"/>
  <c r="H829" i="57"/>
  <c r="H830" i="57"/>
  <c r="I779" i="57"/>
  <c r="I780" i="57"/>
  <c r="I781" i="57"/>
  <c r="I783" i="57"/>
  <c r="I785" i="57"/>
  <c r="I786" i="57"/>
  <c r="I787" i="57"/>
  <c r="I789" i="57"/>
  <c r="I790" i="57"/>
  <c r="I791" i="57"/>
  <c r="I792" i="57"/>
  <c r="I793" i="57"/>
  <c r="I797" i="57"/>
  <c r="I798" i="57"/>
  <c r="I799" i="57"/>
  <c r="I800" i="57"/>
  <c r="I803" i="57"/>
  <c r="I805" i="57"/>
  <c r="I806" i="57"/>
  <c r="I809" i="57"/>
  <c r="I810" i="57"/>
  <c r="I811" i="57"/>
  <c r="I813" i="57"/>
  <c r="I814" i="57"/>
  <c r="I815" i="57"/>
  <c r="I818" i="57"/>
  <c r="I820" i="57"/>
  <c r="I821" i="57"/>
  <c r="I825" i="57"/>
  <c r="I826" i="57"/>
  <c r="I828" i="57"/>
  <c r="I829" i="57"/>
  <c r="I830" i="57"/>
  <c r="L779" i="57"/>
  <c r="L780" i="57"/>
  <c r="L781" i="57"/>
  <c r="L783" i="57"/>
  <c r="L785" i="57"/>
  <c r="L786" i="57"/>
  <c r="L787" i="57"/>
  <c r="L789" i="57"/>
  <c r="L790" i="57"/>
  <c r="L791" i="57"/>
  <c r="L792" i="57"/>
  <c r="L793" i="57"/>
  <c r="L797" i="57"/>
  <c r="L798" i="57"/>
  <c r="L799" i="57"/>
  <c r="L800" i="57"/>
  <c r="L803" i="57"/>
  <c r="L805" i="57"/>
  <c r="L806" i="57"/>
  <c r="L809" i="57"/>
  <c r="L810" i="57"/>
  <c r="L811" i="57"/>
  <c r="L813" i="57"/>
  <c r="L814" i="57"/>
  <c r="L815" i="57"/>
  <c r="L818" i="57"/>
  <c r="L820" i="57"/>
  <c r="L821" i="57"/>
  <c r="L825" i="57"/>
  <c r="L826" i="57"/>
  <c r="L828" i="57"/>
  <c r="L829" i="57"/>
  <c r="L830" i="57"/>
  <c r="R779" i="57"/>
  <c r="R780" i="57"/>
  <c r="R781" i="57"/>
  <c r="A781" i="57" s="1"/>
  <c r="R783" i="57"/>
  <c r="R785" i="57"/>
  <c r="A785" i="57" s="1"/>
  <c r="R786" i="57"/>
  <c r="R787" i="57"/>
  <c r="R789" i="57"/>
  <c r="R790" i="57"/>
  <c r="R791" i="57"/>
  <c r="R792" i="57"/>
  <c r="A792" i="57" s="1"/>
  <c r="R793" i="57"/>
  <c r="A793" i="57" s="1"/>
  <c r="R797" i="57"/>
  <c r="R798" i="57"/>
  <c r="A798" i="57" s="1"/>
  <c r="R799" i="57"/>
  <c r="A799" i="57" s="1"/>
  <c r="R800" i="57"/>
  <c r="A800" i="57" s="1"/>
  <c r="R803" i="57"/>
  <c r="R805" i="57"/>
  <c r="R806" i="57"/>
  <c r="R809" i="57"/>
  <c r="R810" i="57"/>
  <c r="R811" i="57"/>
  <c r="A811" i="57" s="1"/>
  <c r="R813" i="57"/>
  <c r="R814" i="57"/>
  <c r="R815" i="57"/>
  <c r="R818" i="57"/>
  <c r="A818" i="57" s="1"/>
  <c r="R820" i="57"/>
  <c r="A820" i="57" s="1"/>
  <c r="R821" i="57"/>
  <c r="R825" i="57"/>
  <c r="R826" i="57"/>
  <c r="R828" i="57"/>
  <c r="R829" i="57"/>
  <c r="R830" i="57"/>
  <c r="C737" i="57"/>
  <c r="C738" i="57"/>
  <c r="C740" i="57"/>
  <c r="C741" i="57"/>
  <c r="C742" i="57"/>
  <c r="C743" i="57"/>
  <c r="C745" i="57"/>
  <c r="C746" i="57"/>
  <c r="C747" i="57"/>
  <c r="C748" i="57"/>
  <c r="C749" i="57"/>
  <c r="C751" i="57"/>
  <c r="C752" i="57"/>
  <c r="C756" i="57"/>
  <c r="C757" i="57"/>
  <c r="C759" i="57"/>
  <c r="C760" i="57"/>
  <c r="C761" i="57"/>
  <c r="C762" i="57"/>
  <c r="C763" i="57"/>
  <c r="C764" i="57"/>
  <c r="C767" i="57"/>
  <c r="C769" i="57"/>
  <c r="C770" i="57"/>
  <c r="C771" i="57"/>
  <c r="C772" i="57"/>
  <c r="C773" i="57"/>
  <c r="C775" i="57"/>
  <c r="C776" i="57"/>
  <c r="C777" i="57"/>
  <c r="D737" i="57"/>
  <c r="D738" i="57"/>
  <c r="D740" i="57"/>
  <c r="D741" i="57"/>
  <c r="D742" i="57"/>
  <c r="D743" i="57"/>
  <c r="D745" i="57"/>
  <c r="D746" i="57"/>
  <c r="D747" i="57"/>
  <c r="D748" i="57"/>
  <c r="D749" i="57"/>
  <c r="D751" i="57"/>
  <c r="D752" i="57"/>
  <c r="D756" i="57"/>
  <c r="D757" i="57"/>
  <c r="D759" i="57"/>
  <c r="D760" i="57"/>
  <c r="D761" i="57"/>
  <c r="D762" i="57"/>
  <c r="D763" i="57"/>
  <c r="D764" i="57"/>
  <c r="D767" i="57"/>
  <c r="D769" i="57"/>
  <c r="D770" i="57"/>
  <c r="D771" i="57"/>
  <c r="D772" i="57"/>
  <c r="D773" i="57"/>
  <c r="D775" i="57"/>
  <c r="D776" i="57"/>
  <c r="D777" i="57"/>
  <c r="E737" i="57"/>
  <c r="E738" i="57"/>
  <c r="E740" i="57"/>
  <c r="E741" i="57"/>
  <c r="E742" i="57"/>
  <c r="E743" i="57"/>
  <c r="E745" i="57"/>
  <c r="E746" i="57"/>
  <c r="E747" i="57"/>
  <c r="E748" i="57"/>
  <c r="E749" i="57"/>
  <c r="E751" i="57"/>
  <c r="E752" i="57"/>
  <c r="E756" i="57"/>
  <c r="E757" i="57"/>
  <c r="E759" i="57"/>
  <c r="E760" i="57"/>
  <c r="E761" i="57"/>
  <c r="E762" i="57"/>
  <c r="E763" i="57"/>
  <c r="E764" i="57"/>
  <c r="E767" i="57"/>
  <c r="E769" i="57"/>
  <c r="E770" i="57"/>
  <c r="E771" i="57"/>
  <c r="E772" i="57"/>
  <c r="E773" i="57"/>
  <c r="E775" i="57"/>
  <c r="E776" i="57"/>
  <c r="E777" i="57"/>
  <c r="F737" i="57"/>
  <c r="F738" i="57"/>
  <c r="F740" i="57"/>
  <c r="F741" i="57"/>
  <c r="F742" i="57"/>
  <c r="F743" i="57"/>
  <c r="F745" i="57"/>
  <c r="F746" i="57"/>
  <c r="F747" i="57"/>
  <c r="F748" i="57"/>
  <c r="F749" i="57"/>
  <c r="F751" i="57"/>
  <c r="F752" i="57"/>
  <c r="F756" i="57"/>
  <c r="F757" i="57"/>
  <c r="F759" i="57"/>
  <c r="F760" i="57"/>
  <c r="F761" i="57"/>
  <c r="F762" i="57"/>
  <c r="F763" i="57"/>
  <c r="F764" i="57"/>
  <c r="F767" i="57"/>
  <c r="F769" i="57"/>
  <c r="F770" i="57"/>
  <c r="F771" i="57"/>
  <c r="F772" i="57"/>
  <c r="F773" i="57"/>
  <c r="F775" i="57"/>
  <c r="F776" i="57"/>
  <c r="F777" i="57"/>
  <c r="H737" i="57"/>
  <c r="H738" i="57"/>
  <c r="H740" i="57"/>
  <c r="H741" i="57"/>
  <c r="H742" i="57"/>
  <c r="H743" i="57"/>
  <c r="H745" i="57"/>
  <c r="H746" i="57"/>
  <c r="H747" i="57"/>
  <c r="H748" i="57"/>
  <c r="H749" i="57"/>
  <c r="H751" i="57"/>
  <c r="H752" i="57"/>
  <c r="H756" i="57"/>
  <c r="H757" i="57"/>
  <c r="H759" i="57"/>
  <c r="H760" i="57"/>
  <c r="H761" i="57"/>
  <c r="H762" i="57"/>
  <c r="H763" i="57"/>
  <c r="H764" i="57"/>
  <c r="H767" i="57"/>
  <c r="H769" i="57"/>
  <c r="H770" i="57"/>
  <c r="H771" i="57"/>
  <c r="H772" i="57"/>
  <c r="H773" i="57"/>
  <c r="H775" i="57"/>
  <c r="H776" i="57"/>
  <c r="H777" i="57"/>
  <c r="I737" i="57"/>
  <c r="I738" i="57"/>
  <c r="I740" i="57"/>
  <c r="I741" i="57"/>
  <c r="I742" i="57"/>
  <c r="I743" i="57"/>
  <c r="I745" i="57"/>
  <c r="I746" i="57"/>
  <c r="I747" i="57"/>
  <c r="I748" i="57"/>
  <c r="I749" i="57"/>
  <c r="I751" i="57"/>
  <c r="I752" i="57"/>
  <c r="I756" i="57"/>
  <c r="I757" i="57"/>
  <c r="I759" i="57"/>
  <c r="I760" i="57"/>
  <c r="I761" i="57"/>
  <c r="I762" i="57"/>
  <c r="I763" i="57"/>
  <c r="I764" i="57"/>
  <c r="I767" i="57"/>
  <c r="I769" i="57"/>
  <c r="I770" i="57"/>
  <c r="I771" i="57"/>
  <c r="I772" i="57"/>
  <c r="I773" i="57"/>
  <c r="I775" i="57"/>
  <c r="I776" i="57"/>
  <c r="I777" i="57"/>
  <c r="L737" i="57"/>
  <c r="L738" i="57"/>
  <c r="L740" i="57"/>
  <c r="L741" i="57"/>
  <c r="L742" i="57"/>
  <c r="L743" i="57"/>
  <c r="L745" i="57"/>
  <c r="L746" i="57"/>
  <c r="L747" i="57"/>
  <c r="L748" i="57"/>
  <c r="L749" i="57"/>
  <c r="L751" i="57"/>
  <c r="L752" i="57"/>
  <c r="L756" i="57"/>
  <c r="L757" i="57"/>
  <c r="L759" i="57"/>
  <c r="L760" i="57"/>
  <c r="L761" i="57"/>
  <c r="L762" i="57"/>
  <c r="L763" i="57"/>
  <c r="L764" i="57"/>
  <c r="L767" i="57"/>
  <c r="L769" i="57"/>
  <c r="L770" i="57"/>
  <c r="L771" i="57"/>
  <c r="L772" i="57"/>
  <c r="L773" i="57"/>
  <c r="L775" i="57"/>
  <c r="L776" i="57"/>
  <c r="L777" i="57"/>
  <c r="R737" i="57"/>
  <c r="R738" i="57"/>
  <c r="R740" i="57"/>
  <c r="R741" i="57"/>
  <c r="R742" i="57"/>
  <c r="J742" i="57" s="1"/>
  <c r="R743" i="57"/>
  <c r="J743" i="57" s="1"/>
  <c r="R745" i="57"/>
  <c r="A745" i="57" s="1"/>
  <c r="R746" i="57"/>
  <c r="R747" i="57"/>
  <c r="R748" i="57"/>
  <c r="R749" i="57"/>
  <c r="R751" i="57"/>
  <c r="J751" i="57" s="1"/>
  <c r="R752" i="57"/>
  <c r="J752" i="57" s="1"/>
  <c r="R756" i="57"/>
  <c r="R757" i="57"/>
  <c r="R759" i="57"/>
  <c r="A759" i="57" s="1"/>
  <c r="R760" i="57"/>
  <c r="R761" i="57"/>
  <c r="R762" i="57"/>
  <c r="R763" i="57"/>
  <c r="R764" i="57"/>
  <c r="J764" i="57" s="1"/>
  <c r="R767" i="57"/>
  <c r="R769" i="57"/>
  <c r="R770" i="57"/>
  <c r="R771" i="57"/>
  <c r="J771" i="57" s="1"/>
  <c r="R772" i="57"/>
  <c r="R773" i="57"/>
  <c r="R775" i="57"/>
  <c r="R776" i="57"/>
  <c r="A776" i="57" s="1"/>
  <c r="R777" i="57"/>
  <c r="A777" i="57" s="1"/>
  <c r="C736" i="57"/>
  <c r="D736" i="57"/>
  <c r="E736" i="57"/>
  <c r="F736" i="57"/>
  <c r="H736" i="57"/>
  <c r="I736" i="57"/>
  <c r="L736" i="57"/>
  <c r="R736" i="57"/>
  <c r="A736" i="57" s="1"/>
  <c r="C728" i="57"/>
  <c r="C730" i="57"/>
  <c r="C731" i="57"/>
  <c r="C732" i="57"/>
  <c r="C734" i="57"/>
  <c r="C735" i="57"/>
  <c r="D728" i="57"/>
  <c r="D730" i="57"/>
  <c r="D731" i="57"/>
  <c r="D732" i="57"/>
  <c r="D734" i="57"/>
  <c r="D735" i="57"/>
  <c r="E728" i="57"/>
  <c r="E730" i="57"/>
  <c r="E731" i="57"/>
  <c r="E732" i="57"/>
  <c r="E734" i="57"/>
  <c r="E735" i="57"/>
  <c r="F728" i="57"/>
  <c r="F730" i="57"/>
  <c r="F731" i="57"/>
  <c r="F732" i="57"/>
  <c r="F734" i="57"/>
  <c r="F735" i="57"/>
  <c r="H728" i="57"/>
  <c r="H730" i="57"/>
  <c r="H731" i="57"/>
  <c r="H732" i="57"/>
  <c r="H734" i="57"/>
  <c r="H735" i="57"/>
  <c r="I728" i="57"/>
  <c r="I730" i="57"/>
  <c r="I731" i="57"/>
  <c r="I732" i="57"/>
  <c r="I734" i="57"/>
  <c r="I735" i="57"/>
  <c r="L728" i="57"/>
  <c r="L730" i="57"/>
  <c r="L731" i="57"/>
  <c r="L732" i="57"/>
  <c r="L734" i="57"/>
  <c r="L735" i="57"/>
  <c r="R728" i="57"/>
  <c r="R730" i="57"/>
  <c r="R731" i="57"/>
  <c r="R732" i="57"/>
  <c r="R734" i="57"/>
  <c r="R735" i="57"/>
  <c r="C719" i="57"/>
  <c r="C720" i="57"/>
  <c r="C721" i="57"/>
  <c r="C722" i="57"/>
  <c r="C723" i="57"/>
  <c r="C724" i="57"/>
  <c r="C725" i="57"/>
  <c r="C726" i="57"/>
  <c r="C727" i="57"/>
  <c r="D719" i="57"/>
  <c r="D720" i="57"/>
  <c r="D721" i="57"/>
  <c r="D722" i="57"/>
  <c r="D723" i="57"/>
  <c r="D724" i="57"/>
  <c r="D725" i="57"/>
  <c r="D726" i="57"/>
  <c r="D727" i="57"/>
  <c r="E719" i="57"/>
  <c r="E720" i="57"/>
  <c r="E721" i="57"/>
  <c r="E722" i="57"/>
  <c r="E723" i="57"/>
  <c r="E724" i="57"/>
  <c r="E725" i="57"/>
  <c r="E726" i="57"/>
  <c r="E727" i="57"/>
  <c r="F719" i="57"/>
  <c r="F720" i="57"/>
  <c r="F721" i="57"/>
  <c r="F722" i="57"/>
  <c r="F723" i="57"/>
  <c r="F724" i="57"/>
  <c r="F725" i="57"/>
  <c r="F726" i="57"/>
  <c r="F727" i="57"/>
  <c r="H719" i="57"/>
  <c r="H720" i="57"/>
  <c r="H721" i="57"/>
  <c r="H722" i="57"/>
  <c r="H723" i="57"/>
  <c r="H724" i="57"/>
  <c r="H725" i="57"/>
  <c r="H726" i="57"/>
  <c r="H727" i="57"/>
  <c r="I719" i="57"/>
  <c r="I720" i="57"/>
  <c r="I721" i="57"/>
  <c r="I722" i="57"/>
  <c r="I723" i="57"/>
  <c r="I724" i="57"/>
  <c r="I725" i="57"/>
  <c r="I726" i="57"/>
  <c r="I727" i="57"/>
  <c r="L719" i="57"/>
  <c r="L720" i="57"/>
  <c r="L721" i="57"/>
  <c r="L722" i="57"/>
  <c r="L723" i="57"/>
  <c r="L724" i="57"/>
  <c r="L725" i="57"/>
  <c r="L726" i="57"/>
  <c r="L727" i="57"/>
  <c r="R719" i="57"/>
  <c r="R720" i="57"/>
  <c r="AD74" i="60" s="1"/>
  <c r="R721" i="57"/>
  <c r="AD36" i="60" s="1"/>
  <c r="R722" i="57"/>
  <c r="R723" i="57"/>
  <c r="R724" i="57"/>
  <c r="R725" i="57"/>
  <c r="J725" i="57" s="1"/>
  <c r="R726" i="57"/>
  <c r="R727" i="57"/>
  <c r="C713" i="57"/>
  <c r="C716" i="57"/>
  <c r="D713" i="57"/>
  <c r="D716" i="57"/>
  <c r="E713" i="57"/>
  <c r="E716" i="57"/>
  <c r="F713" i="57"/>
  <c r="F716" i="57"/>
  <c r="H713" i="57"/>
  <c r="H716" i="57"/>
  <c r="I713" i="57"/>
  <c r="I716" i="57"/>
  <c r="L713" i="57"/>
  <c r="L716" i="57"/>
  <c r="R713" i="57"/>
  <c r="R716" i="57"/>
  <c r="A716" i="57" s="1"/>
  <c r="C671" i="57"/>
  <c r="C673" i="57"/>
  <c r="C675" i="57"/>
  <c r="C676" i="57"/>
  <c r="C677" i="57"/>
  <c r="C678" i="57"/>
  <c r="C679" i="57"/>
  <c r="C680" i="57"/>
  <c r="C681" i="57"/>
  <c r="C682" i="57"/>
  <c r="C684" i="57"/>
  <c r="C685" i="57"/>
  <c r="C686" i="57"/>
  <c r="C688" i="57"/>
  <c r="C689" i="57"/>
  <c r="C690" i="57"/>
  <c r="C691" i="57"/>
  <c r="C692" i="57"/>
  <c r="C698" i="57"/>
  <c r="C699" i="57"/>
  <c r="C701" i="57"/>
  <c r="C703" i="57"/>
  <c r="C704" i="57"/>
  <c r="C705" i="57"/>
  <c r="C695" i="57"/>
  <c r="C709" i="57"/>
  <c r="C710" i="57"/>
  <c r="C712" i="57"/>
  <c r="D671" i="57"/>
  <c r="D673" i="57"/>
  <c r="D675" i="57"/>
  <c r="D676" i="57"/>
  <c r="D677" i="57"/>
  <c r="D678" i="57"/>
  <c r="D679" i="57"/>
  <c r="D680" i="57"/>
  <c r="D681" i="57"/>
  <c r="D682" i="57"/>
  <c r="D684" i="57"/>
  <c r="D685" i="57"/>
  <c r="D686" i="57"/>
  <c r="D688" i="57"/>
  <c r="D689" i="57"/>
  <c r="D690" i="57"/>
  <c r="D691" i="57"/>
  <c r="D692" i="57"/>
  <c r="D698" i="57"/>
  <c r="D699" i="57"/>
  <c r="D701" i="57"/>
  <c r="D703" i="57"/>
  <c r="D704" i="57"/>
  <c r="D705" i="57"/>
  <c r="D695" i="57"/>
  <c r="D709" i="57"/>
  <c r="D710" i="57"/>
  <c r="D712" i="57"/>
  <c r="E671" i="57"/>
  <c r="E673" i="57"/>
  <c r="E675" i="57"/>
  <c r="E676" i="57"/>
  <c r="E677" i="57"/>
  <c r="E678" i="57"/>
  <c r="E679" i="57"/>
  <c r="E680" i="57"/>
  <c r="E681" i="57"/>
  <c r="E682" i="57"/>
  <c r="E684" i="57"/>
  <c r="E685" i="57"/>
  <c r="E686" i="57"/>
  <c r="E688" i="57"/>
  <c r="E689" i="57"/>
  <c r="E690" i="57"/>
  <c r="E691" i="57"/>
  <c r="E692" i="57"/>
  <c r="E698" i="57"/>
  <c r="E699" i="57"/>
  <c r="E701" i="57"/>
  <c r="E703" i="57"/>
  <c r="E704" i="57"/>
  <c r="E705" i="57"/>
  <c r="E695" i="57"/>
  <c r="E709" i="57"/>
  <c r="E710" i="57"/>
  <c r="E712" i="57"/>
  <c r="F671" i="57"/>
  <c r="F673" i="57"/>
  <c r="F675" i="57"/>
  <c r="F676" i="57"/>
  <c r="F677" i="57"/>
  <c r="F678" i="57"/>
  <c r="F679" i="57"/>
  <c r="F680" i="57"/>
  <c r="F681" i="57"/>
  <c r="F682" i="57"/>
  <c r="F684" i="57"/>
  <c r="F685" i="57"/>
  <c r="F686" i="57"/>
  <c r="F688" i="57"/>
  <c r="F689" i="57"/>
  <c r="F690" i="57"/>
  <c r="F691" i="57"/>
  <c r="F692" i="57"/>
  <c r="F698" i="57"/>
  <c r="F699" i="57"/>
  <c r="F701" i="57"/>
  <c r="F703" i="57"/>
  <c r="F704" i="57"/>
  <c r="F705" i="57"/>
  <c r="F695" i="57"/>
  <c r="F709" i="57"/>
  <c r="F710" i="57"/>
  <c r="F712" i="57"/>
  <c r="H671" i="57"/>
  <c r="H673" i="57"/>
  <c r="H675" i="57"/>
  <c r="H676" i="57"/>
  <c r="H677" i="57"/>
  <c r="H678" i="57"/>
  <c r="H679" i="57"/>
  <c r="H680" i="57"/>
  <c r="H681" i="57"/>
  <c r="H682" i="57"/>
  <c r="H684" i="57"/>
  <c r="H685" i="57"/>
  <c r="H686" i="57"/>
  <c r="H688" i="57"/>
  <c r="H689" i="57"/>
  <c r="H690" i="57"/>
  <c r="H691" i="57"/>
  <c r="H692" i="57"/>
  <c r="H698" i="57"/>
  <c r="H699" i="57"/>
  <c r="H701" i="57"/>
  <c r="H703" i="57"/>
  <c r="H704" i="57"/>
  <c r="H705" i="57"/>
  <c r="H695" i="57"/>
  <c r="H709" i="57"/>
  <c r="H710" i="57"/>
  <c r="H712" i="57"/>
  <c r="I671" i="57"/>
  <c r="I673" i="57"/>
  <c r="I675" i="57"/>
  <c r="I676" i="57"/>
  <c r="I677" i="57"/>
  <c r="I678" i="57"/>
  <c r="I679" i="57"/>
  <c r="I680" i="57"/>
  <c r="I681" i="57"/>
  <c r="I682" i="57"/>
  <c r="I684" i="57"/>
  <c r="I685" i="57"/>
  <c r="I686" i="57"/>
  <c r="I688" i="57"/>
  <c r="I689" i="57"/>
  <c r="I690" i="57"/>
  <c r="I691" i="57"/>
  <c r="I692" i="57"/>
  <c r="I698" i="57"/>
  <c r="I699" i="57"/>
  <c r="I701" i="57"/>
  <c r="I703" i="57"/>
  <c r="I704" i="57"/>
  <c r="I705" i="57"/>
  <c r="I695" i="57"/>
  <c r="I709" i="57"/>
  <c r="I710" i="57"/>
  <c r="I712" i="57"/>
  <c r="L671" i="57"/>
  <c r="L673" i="57"/>
  <c r="L675" i="57"/>
  <c r="L676" i="57"/>
  <c r="L677" i="57"/>
  <c r="L678" i="57"/>
  <c r="L679" i="57"/>
  <c r="L680" i="57"/>
  <c r="L681" i="57"/>
  <c r="L682" i="57"/>
  <c r="L684" i="57"/>
  <c r="L685" i="57"/>
  <c r="L686" i="57"/>
  <c r="L688" i="57"/>
  <c r="L689" i="57"/>
  <c r="L690" i="57"/>
  <c r="L691" i="57"/>
  <c r="L692" i="57"/>
  <c r="L698" i="57"/>
  <c r="L699" i="57"/>
  <c r="L701" i="57"/>
  <c r="L703" i="57"/>
  <c r="L704" i="57"/>
  <c r="L705" i="57"/>
  <c r="L695" i="57"/>
  <c r="L709" i="57"/>
  <c r="L710" i="57"/>
  <c r="L712" i="57"/>
  <c r="R671" i="57"/>
  <c r="R673" i="57"/>
  <c r="R675" i="57"/>
  <c r="R676" i="57"/>
  <c r="R677" i="57"/>
  <c r="K677" i="57" s="1"/>
  <c r="R678" i="57"/>
  <c r="R679" i="57"/>
  <c r="R680" i="57"/>
  <c r="A680" i="57" s="1"/>
  <c r="R681" i="57"/>
  <c r="R682" i="57"/>
  <c r="K682" i="57" s="1"/>
  <c r="R684" i="57"/>
  <c r="K684" i="57" s="1"/>
  <c r="R685" i="57"/>
  <c r="K685" i="57" s="1"/>
  <c r="R686" i="57"/>
  <c r="R688" i="57"/>
  <c r="A688" i="57" s="1"/>
  <c r="R689" i="57"/>
  <c r="R690" i="57"/>
  <c r="R691" i="57"/>
  <c r="R692" i="57"/>
  <c r="R698" i="57"/>
  <c r="R699" i="57"/>
  <c r="R701" i="57"/>
  <c r="K701" i="57" s="1"/>
  <c r="R703" i="57"/>
  <c r="R704" i="57"/>
  <c r="R705" i="57"/>
  <c r="R695" i="57"/>
  <c r="R709" i="57"/>
  <c r="R710" i="57"/>
  <c r="K710" i="57" s="1"/>
  <c r="R712" i="57"/>
  <c r="C646" i="57"/>
  <c r="C647" i="57"/>
  <c r="C648" i="57"/>
  <c r="C649" i="57"/>
  <c r="C650" i="57"/>
  <c r="C651" i="57"/>
  <c r="C652" i="57"/>
  <c r="C653" i="57"/>
  <c r="C654" i="57"/>
  <c r="C655" i="57"/>
  <c r="C656" i="57"/>
  <c r="C659" i="57"/>
  <c r="C662" i="57"/>
  <c r="C663" i="57"/>
  <c r="C664" i="57"/>
  <c r="C668" i="57"/>
  <c r="C669" i="57"/>
  <c r="C670" i="57"/>
  <c r="D646" i="57"/>
  <c r="D647" i="57"/>
  <c r="D648" i="57"/>
  <c r="D649" i="57"/>
  <c r="D650" i="57"/>
  <c r="D651" i="57"/>
  <c r="D652" i="57"/>
  <c r="D653" i="57"/>
  <c r="D654" i="57"/>
  <c r="D655" i="57"/>
  <c r="D656" i="57"/>
  <c r="D659" i="57"/>
  <c r="D662" i="57"/>
  <c r="D663" i="57"/>
  <c r="D664" i="57"/>
  <c r="D668" i="57"/>
  <c r="D669" i="57"/>
  <c r="D670" i="57"/>
  <c r="E646" i="57"/>
  <c r="E647" i="57"/>
  <c r="E648" i="57"/>
  <c r="E649" i="57"/>
  <c r="E650" i="57"/>
  <c r="E651" i="57"/>
  <c r="E652" i="57"/>
  <c r="E653" i="57"/>
  <c r="E654" i="57"/>
  <c r="E655" i="57"/>
  <c r="E656" i="57"/>
  <c r="E659" i="57"/>
  <c r="E662" i="57"/>
  <c r="E663" i="57"/>
  <c r="E664" i="57"/>
  <c r="E668" i="57"/>
  <c r="E669" i="57"/>
  <c r="E670" i="57"/>
  <c r="F646" i="57"/>
  <c r="F647" i="57"/>
  <c r="F648" i="57"/>
  <c r="F649" i="57"/>
  <c r="F650" i="57"/>
  <c r="F651" i="57"/>
  <c r="F652" i="57"/>
  <c r="F653" i="57"/>
  <c r="F654" i="57"/>
  <c r="F655" i="57"/>
  <c r="F656" i="57"/>
  <c r="F659" i="57"/>
  <c r="F662" i="57"/>
  <c r="F663" i="57"/>
  <c r="F664" i="57"/>
  <c r="F668" i="57"/>
  <c r="F669" i="57"/>
  <c r="F670" i="57"/>
  <c r="H646" i="57"/>
  <c r="H647" i="57"/>
  <c r="H648" i="57"/>
  <c r="H649" i="57"/>
  <c r="H650" i="57"/>
  <c r="H651" i="57"/>
  <c r="H652" i="57"/>
  <c r="H653" i="57"/>
  <c r="H654" i="57"/>
  <c r="H655" i="57"/>
  <c r="H656" i="57"/>
  <c r="H659" i="57"/>
  <c r="H662" i="57"/>
  <c r="H663" i="57"/>
  <c r="H664" i="57"/>
  <c r="H668" i="57"/>
  <c r="H669" i="57"/>
  <c r="H670" i="57"/>
  <c r="I646" i="57"/>
  <c r="I647" i="57"/>
  <c r="I648" i="57"/>
  <c r="I649" i="57"/>
  <c r="I650" i="57"/>
  <c r="I651" i="57"/>
  <c r="I652" i="57"/>
  <c r="I653" i="57"/>
  <c r="I654" i="57"/>
  <c r="I655" i="57"/>
  <c r="I656" i="57"/>
  <c r="I659" i="57"/>
  <c r="I662" i="57"/>
  <c r="I663" i="57"/>
  <c r="I664" i="57"/>
  <c r="I668" i="57"/>
  <c r="I669" i="57"/>
  <c r="I670" i="57"/>
  <c r="L646" i="57"/>
  <c r="L647" i="57"/>
  <c r="L648" i="57"/>
  <c r="L649" i="57"/>
  <c r="L650" i="57"/>
  <c r="L651" i="57"/>
  <c r="L652" i="57"/>
  <c r="L653" i="57"/>
  <c r="L654" i="57"/>
  <c r="L655" i="57"/>
  <c r="L656" i="57"/>
  <c r="L659" i="57"/>
  <c r="L662" i="57"/>
  <c r="L663" i="57"/>
  <c r="L664" i="57"/>
  <c r="L668" i="57"/>
  <c r="L669" i="57"/>
  <c r="L670" i="57"/>
  <c r="R646" i="57"/>
  <c r="A646" i="57" s="1"/>
  <c r="R647" i="57"/>
  <c r="R648" i="57"/>
  <c r="K648" i="57" s="1"/>
  <c r="R649" i="57"/>
  <c r="R650" i="57"/>
  <c r="J650" i="57" s="1"/>
  <c r="R651" i="57"/>
  <c r="J651" i="57" s="1"/>
  <c r="R652" i="57"/>
  <c r="R653" i="57"/>
  <c r="R654" i="57"/>
  <c r="R655" i="57"/>
  <c r="R656" i="57"/>
  <c r="K656" i="57" s="1"/>
  <c r="R659" i="57"/>
  <c r="R662" i="57"/>
  <c r="R663" i="57"/>
  <c r="R664" i="57"/>
  <c r="R668" i="57"/>
  <c r="R669" i="57"/>
  <c r="R670" i="57"/>
  <c r="C611" i="57"/>
  <c r="C612" i="57"/>
  <c r="C613" i="57"/>
  <c r="C614" i="57"/>
  <c r="C615" i="57"/>
  <c r="C616" i="57"/>
  <c r="C617" i="57"/>
  <c r="C618" i="57"/>
  <c r="C621" i="57"/>
  <c r="C622" i="57"/>
  <c r="C624" i="57"/>
  <c r="C625" i="57"/>
  <c r="C626" i="57"/>
  <c r="C628" i="57"/>
  <c r="C629" i="57"/>
  <c r="C630" i="57"/>
  <c r="C631" i="57"/>
  <c r="C633" i="57"/>
  <c r="C635" i="57"/>
  <c r="C636" i="57"/>
  <c r="C637" i="57"/>
  <c r="C638" i="57"/>
  <c r="C641" i="57"/>
  <c r="C644" i="57"/>
  <c r="C645" i="57"/>
  <c r="D611" i="57"/>
  <c r="D612" i="57"/>
  <c r="D613" i="57"/>
  <c r="D614" i="57"/>
  <c r="D615" i="57"/>
  <c r="D616" i="57"/>
  <c r="D617" i="57"/>
  <c r="D618" i="57"/>
  <c r="D621" i="57"/>
  <c r="D622" i="57"/>
  <c r="D624" i="57"/>
  <c r="D625" i="57"/>
  <c r="D626" i="57"/>
  <c r="D628" i="57"/>
  <c r="D629" i="57"/>
  <c r="D630" i="57"/>
  <c r="D631" i="57"/>
  <c r="D633" i="57"/>
  <c r="D635" i="57"/>
  <c r="D636" i="57"/>
  <c r="D637" i="57"/>
  <c r="D638" i="57"/>
  <c r="D641" i="57"/>
  <c r="D644" i="57"/>
  <c r="D645" i="57"/>
  <c r="E611" i="57"/>
  <c r="E612" i="57"/>
  <c r="E613" i="57"/>
  <c r="E614" i="57"/>
  <c r="E615" i="57"/>
  <c r="E616" i="57"/>
  <c r="E617" i="57"/>
  <c r="E618" i="57"/>
  <c r="E621" i="57"/>
  <c r="E622" i="57"/>
  <c r="E624" i="57"/>
  <c r="E625" i="57"/>
  <c r="E626" i="57"/>
  <c r="E628" i="57"/>
  <c r="E629" i="57"/>
  <c r="E630" i="57"/>
  <c r="E631" i="57"/>
  <c r="E633" i="57"/>
  <c r="E635" i="57"/>
  <c r="E636" i="57"/>
  <c r="E637" i="57"/>
  <c r="E638" i="57"/>
  <c r="E641" i="57"/>
  <c r="E644" i="57"/>
  <c r="E645" i="57"/>
  <c r="F611" i="57"/>
  <c r="F612" i="57"/>
  <c r="F613" i="57"/>
  <c r="F614" i="57"/>
  <c r="F615" i="57"/>
  <c r="F616" i="57"/>
  <c r="F617" i="57"/>
  <c r="F618" i="57"/>
  <c r="F621" i="57"/>
  <c r="F622" i="57"/>
  <c r="F624" i="57"/>
  <c r="F625" i="57"/>
  <c r="F626" i="57"/>
  <c r="F628" i="57"/>
  <c r="F629" i="57"/>
  <c r="F630" i="57"/>
  <c r="F631" i="57"/>
  <c r="F633" i="57"/>
  <c r="F635" i="57"/>
  <c r="F636" i="57"/>
  <c r="F637" i="57"/>
  <c r="F638" i="57"/>
  <c r="F641" i="57"/>
  <c r="F644" i="57"/>
  <c r="F645" i="57"/>
  <c r="H611" i="57"/>
  <c r="H612" i="57"/>
  <c r="H613" i="57"/>
  <c r="H614" i="57"/>
  <c r="H615" i="57"/>
  <c r="H616" i="57"/>
  <c r="H617" i="57"/>
  <c r="H618" i="57"/>
  <c r="H621" i="57"/>
  <c r="H622" i="57"/>
  <c r="H624" i="57"/>
  <c r="H625" i="57"/>
  <c r="H626" i="57"/>
  <c r="H628" i="57"/>
  <c r="H629" i="57"/>
  <c r="H630" i="57"/>
  <c r="H631" i="57"/>
  <c r="H633" i="57"/>
  <c r="H635" i="57"/>
  <c r="H636" i="57"/>
  <c r="H637" i="57"/>
  <c r="H638" i="57"/>
  <c r="H641" i="57"/>
  <c r="H644" i="57"/>
  <c r="H645" i="57"/>
  <c r="I611" i="57"/>
  <c r="I612" i="57"/>
  <c r="I613" i="57"/>
  <c r="I614" i="57"/>
  <c r="I615" i="57"/>
  <c r="I616" i="57"/>
  <c r="I617" i="57"/>
  <c r="I618" i="57"/>
  <c r="I621" i="57"/>
  <c r="I622" i="57"/>
  <c r="I624" i="57"/>
  <c r="I625" i="57"/>
  <c r="I626" i="57"/>
  <c r="I628" i="57"/>
  <c r="I629" i="57"/>
  <c r="I630" i="57"/>
  <c r="I631" i="57"/>
  <c r="I633" i="57"/>
  <c r="I635" i="57"/>
  <c r="I636" i="57"/>
  <c r="I637" i="57"/>
  <c r="I638" i="57"/>
  <c r="I641" i="57"/>
  <c r="I644" i="57"/>
  <c r="I645" i="57"/>
  <c r="L611" i="57"/>
  <c r="L612" i="57"/>
  <c r="L613" i="57"/>
  <c r="L614" i="57"/>
  <c r="L615" i="57"/>
  <c r="L616" i="57"/>
  <c r="L617" i="57"/>
  <c r="L618" i="57"/>
  <c r="L621" i="57"/>
  <c r="L622" i="57"/>
  <c r="L624" i="57"/>
  <c r="L625" i="57"/>
  <c r="L626" i="57"/>
  <c r="L628" i="57"/>
  <c r="L629" i="57"/>
  <c r="L630" i="57"/>
  <c r="L631" i="57"/>
  <c r="L633" i="57"/>
  <c r="L635" i="57"/>
  <c r="L636" i="57"/>
  <c r="L637" i="57"/>
  <c r="L638" i="57"/>
  <c r="L641" i="57"/>
  <c r="L644" i="57"/>
  <c r="L645" i="57"/>
  <c r="R611" i="57"/>
  <c r="R612" i="57"/>
  <c r="J612" i="57" s="1"/>
  <c r="R613" i="57"/>
  <c r="J613" i="57" s="1"/>
  <c r="R614" i="57"/>
  <c r="R615" i="57"/>
  <c r="R616" i="57"/>
  <c r="R617" i="57"/>
  <c r="R618" i="57"/>
  <c r="A618" i="57" s="1"/>
  <c r="R621" i="57"/>
  <c r="R622" i="57"/>
  <c r="J622" i="57" s="1"/>
  <c r="R624" i="57"/>
  <c r="R625" i="57"/>
  <c r="R626" i="57"/>
  <c r="R628" i="57"/>
  <c r="R629" i="57"/>
  <c r="R630" i="57"/>
  <c r="R631" i="57"/>
  <c r="R633" i="57"/>
  <c r="R635" i="57"/>
  <c r="J635" i="57" s="1"/>
  <c r="R636" i="57"/>
  <c r="R637" i="57"/>
  <c r="R638" i="57"/>
  <c r="R641" i="57"/>
  <c r="R644" i="57"/>
  <c r="A644" i="57" s="1"/>
  <c r="R645" i="57"/>
  <c r="C599" i="57"/>
  <c r="C601" i="57"/>
  <c r="C602" i="57"/>
  <c r="C603" i="57"/>
  <c r="C604" i="57"/>
  <c r="C605" i="57"/>
  <c r="C606" i="57"/>
  <c r="C607" i="57"/>
  <c r="D599" i="57"/>
  <c r="D601" i="57"/>
  <c r="D602" i="57"/>
  <c r="D603" i="57"/>
  <c r="D604" i="57"/>
  <c r="D605" i="57"/>
  <c r="D606" i="57"/>
  <c r="D607" i="57"/>
  <c r="E599" i="57"/>
  <c r="E601" i="57"/>
  <c r="E602" i="57"/>
  <c r="E603" i="57"/>
  <c r="E604" i="57"/>
  <c r="E605" i="57"/>
  <c r="E606" i="57"/>
  <c r="E607" i="57"/>
  <c r="F599" i="57"/>
  <c r="F601" i="57"/>
  <c r="F602" i="57"/>
  <c r="F603" i="57"/>
  <c r="F604" i="57"/>
  <c r="F605" i="57"/>
  <c r="F606" i="57"/>
  <c r="F607" i="57"/>
  <c r="H599" i="57"/>
  <c r="H601" i="57"/>
  <c r="H602" i="57"/>
  <c r="H603" i="57"/>
  <c r="H604" i="57"/>
  <c r="H605" i="57"/>
  <c r="H606" i="57"/>
  <c r="H607" i="57"/>
  <c r="I599" i="57"/>
  <c r="I601" i="57"/>
  <c r="I602" i="57"/>
  <c r="I603" i="57"/>
  <c r="I604" i="57"/>
  <c r="I605" i="57"/>
  <c r="I606" i="57"/>
  <c r="I607" i="57"/>
  <c r="L599" i="57"/>
  <c r="L601" i="57"/>
  <c r="L602" i="57"/>
  <c r="L603" i="57"/>
  <c r="L604" i="57"/>
  <c r="L605" i="57"/>
  <c r="L606" i="57"/>
  <c r="L607" i="57"/>
  <c r="R599" i="57"/>
  <c r="R601" i="57"/>
  <c r="R602" i="57"/>
  <c r="R603" i="57"/>
  <c r="R604" i="57"/>
  <c r="R605" i="57"/>
  <c r="J605" i="57" s="1"/>
  <c r="R606" i="57"/>
  <c r="R607" i="57"/>
  <c r="A607" i="57" s="1"/>
  <c r="C584" i="57"/>
  <c r="C585" i="57"/>
  <c r="C588" i="57"/>
  <c r="C589" i="57"/>
  <c r="C590" i="57"/>
  <c r="C591" i="57"/>
  <c r="C592" i="57"/>
  <c r="C594" i="57"/>
  <c r="C595" i="57"/>
  <c r="C597" i="57"/>
  <c r="C598" i="57"/>
  <c r="D584" i="57"/>
  <c r="D585" i="57"/>
  <c r="D588" i="57"/>
  <c r="D589" i="57"/>
  <c r="D590" i="57"/>
  <c r="D591" i="57"/>
  <c r="D592" i="57"/>
  <c r="D594" i="57"/>
  <c r="D595" i="57"/>
  <c r="D597" i="57"/>
  <c r="D598" i="57"/>
  <c r="E584" i="57"/>
  <c r="E585" i="57"/>
  <c r="E588" i="57"/>
  <c r="E589" i="57"/>
  <c r="E590" i="57"/>
  <c r="E591" i="57"/>
  <c r="E592" i="57"/>
  <c r="E594" i="57"/>
  <c r="E595" i="57"/>
  <c r="E597" i="57"/>
  <c r="E598" i="57"/>
  <c r="F584" i="57"/>
  <c r="F585" i="57"/>
  <c r="F588" i="57"/>
  <c r="F589" i="57"/>
  <c r="F590" i="57"/>
  <c r="F591" i="57"/>
  <c r="F592" i="57"/>
  <c r="F594" i="57"/>
  <c r="F595" i="57"/>
  <c r="F597" i="57"/>
  <c r="F598" i="57"/>
  <c r="H584" i="57"/>
  <c r="H585" i="57"/>
  <c r="H588" i="57"/>
  <c r="H589" i="57"/>
  <c r="H590" i="57"/>
  <c r="H591" i="57"/>
  <c r="H592" i="57"/>
  <c r="H594" i="57"/>
  <c r="H595" i="57"/>
  <c r="H597" i="57"/>
  <c r="H598" i="57"/>
  <c r="I584" i="57"/>
  <c r="I585" i="57"/>
  <c r="I588" i="57"/>
  <c r="I589" i="57"/>
  <c r="I590" i="57"/>
  <c r="I591" i="57"/>
  <c r="I592" i="57"/>
  <c r="I594" i="57"/>
  <c r="I595" i="57"/>
  <c r="I597" i="57"/>
  <c r="I598" i="57"/>
  <c r="L584" i="57"/>
  <c r="L585" i="57"/>
  <c r="L588" i="57"/>
  <c r="L589" i="57"/>
  <c r="L590" i="57"/>
  <c r="L591" i="57"/>
  <c r="L592" i="57"/>
  <c r="L594" i="57"/>
  <c r="L595" i="57"/>
  <c r="L597" i="57"/>
  <c r="L598" i="57"/>
  <c r="R584" i="57"/>
  <c r="R585" i="57"/>
  <c r="A585" i="57" s="1"/>
  <c r="R588" i="57"/>
  <c r="R589" i="57"/>
  <c r="J589" i="57" s="1"/>
  <c r="R590" i="57"/>
  <c r="J590" i="57" s="1"/>
  <c r="R591" i="57"/>
  <c r="R592" i="57"/>
  <c r="R594" i="57"/>
  <c r="K594" i="57" s="1"/>
  <c r="R595" i="57"/>
  <c r="R597" i="57"/>
  <c r="A597" i="57" s="1"/>
  <c r="R598" i="57"/>
  <c r="J598" i="57" s="1"/>
  <c r="C573" i="57"/>
  <c r="C574" i="57"/>
  <c r="C575" i="57"/>
  <c r="C576" i="57"/>
  <c r="C578" i="57"/>
  <c r="C580" i="57"/>
  <c r="C581" i="57"/>
  <c r="C582" i="57"/>
  <c r="D573" i="57"/>
  <c r="D574" i="57"/>
  <c r="D575" i="57"/>
  <c r="D576" i="57"/>
  <c r="D578" i="57"/>
  <c r="D580" i="57"/>
  <c r="D581" i="57"/>
  <c r="D582" i="57"/>
  <c r="E573" i="57"/>
  <c r="E574" i="57"/>
  <c r="E575" i="57"/>
  <c r="E576" i="57"/>
  <c r="E578" i="57"/>
  <c r="E580" i="57"/>
  <c r="E581" i="57"/>
  <c r="E582" i="57"/>
  <c r="F573" i="57"/>
  <c r="F574" i="57"/>
  <c r="F575" i="57"/>
  <c r="F576" i="57"/>
  <c r="F578" i="57"/>
  <c r="F580" i="57"/>
  <c r="F581" i="57"/>
  <c r="F582" i="57"/>
  <c r="H573" i="57"/>
  <c r="H574" i="57"/>
  <c r="H575" i="57"/>
  <c r="H576" i="57"/>
  <c r="H578" i="57"/>
  <c r="H580" i="57"/>
  <c r="H581" i="57"/>
  <c r="H582" i="57"/>
  <c r="I573" i="57"/>
  <c r="I574" i="57"/>
  <c r="I575" i="57"/>
  <c r="I576" i="57"/>
  <c r="I578" i="57"/>
  <c r="I580" i="57"/>
  <c r="I581" i="57"/>
  <c r="I582" i="57"/>
  <c r="L573" i="57"/>
  <c r="L574" i="57"/>
  <c r="L575" i="57"/>
  <c r="L576" i="57"/>
  <c r="L578" i="57"/>
  <c r="L580" i="57"/>
  <c r="L581" i="57"/>
  <c r="L582" i="57"/>
  <c r="R573" i="57"/>
  <c r="R574" i="57"/>
  <c r="R575" i="57"/>
  <c r="R576" i="57"/>
  <c r="R578" i="57"/>
  <c r="R580" i="57"/>
  <c r="R581" i="57"/>
  <c r="J581" i="57" s="1"/>
  <c r="R582" i="57"/>
  <c r="C553" i="57"/>
  <c r="C554" i="57"/>
  <c r="C555" i="57"/>
  <c r="C556" i="57"/>
  <c r="C557" i="57"/>
  <c r="C558" i="57"/>
  <c r="C560" i="57"/>
  <c r="C561" i="57"/>
  <c r="C562" i="57"/>
  <c r="C563" i="57"/>
  <c r="C566" i="57"/>
  <c r="C568" i="57"/>
  <c r="C569" i="57"/>
  <c r="C570" i="57"/>
  <c r="C571" i="57"/>
  <c r="C572" i="57"/>
  <c r="D553" i="57"/>
  <c r="D554" i="57"/>
  <c r="D555" i="57"/>
  <c r="D556" i="57"/>
  <c r="D557" i="57"/>
  <c r="D558" i="57"/>
  <c r="D560" i="57"/>
  <c r="D561" i="57"/>
  <c r="D562" i="57"/>
  <c r="D563" i="57"/>
  <c r="D566" i="57"/>
  <c r="D568" i="57"/>
  <c r="D569" i="57"/>
  <c r="D570" i="57"/>
  <c r="D571" i="57"/>
  <c r="D572" i="57"/>
  <c r="E553" i="57"/>
  <c r="E554" i="57"/>
  <c r="E555" i="57"/>
  <c r="E556" i="57"/>
  <c r="E557" i="57"/>
  <c r="E558" i="57"/>
  <c r="E560" i="57"/>
  <c r="E561" i="57"/>
  <c r="E562" i="57"/>
  <c r="E563" i="57"/>
  <c r="E566" i="57"/>
  <c r="E568" i="57"/>
  <c r="E569" i="57"/>
  <c r="E570" i="57"/>
  <c r="E571" i="57"/>
  <c r="E572" i="57"/>
  <c r="F553" i="57"/>
  <c r="F554" i="57"/>
  <c r="F555" i="57"/>
  <c r="F556" i="57"/>
  <c r="F557" i="57"/>
  <c r="F558" i="57"/>
  <c r="F560" i="57"/>
  <c r="F561" i="57"/>
  <c r="F562" i="57"/>
  <c r="F563" i="57"/>
  <c r="F566" i="57"/>
  <c r="F568" i="57"/>
  <c r="F569" i="57"/>
  <c r="F570" i="57"/>
  <c r="F571" i="57"/>
  <c r="F572" i="57"/>
  <c r="H553" i="57"/>
  <c r="H554" i="57"/>
  <c r="H555" i="57"/>
  <c r="H556" i="57"/>
  <c r="H557" i="57"/>
  <c r="H558" i="57"/>
  <c r="H560" i="57"/>
  <c r="H561" i="57"/>
  <c r="H562" i="57"/>
  <c r="H563" i="57"/>
  <c r="H566" i="57"/>
  <c r="H568" i="57"/>
  <c r="H569" i="57"/>
  <c r="H570" i="57"/>
  <c r="H571" i="57"/>
  <c r="H572" i="57"/>
  <c r="I553" i="57"/>
  <c r="I554" i="57"/>
  <c r="I555" i="57"/>
  <c r="I556" i="57"/>
  <c r="I557" i="57"/>
  <c r="I558" i="57"/>
  <c r="I560" i="57"/>
  <c r="I561" i="57"/>
  <c r="I562" i="57"/>
  <c r="I563" i="57"/>
  <c r="I566" i="57"/>
  <c r="I568" i="57"/>
  <c r="I569" i="57"/>
  <c r="I570" i="57"/>
  <c r="I571" i="57"/>
  <c r="I572" i="57"/>
  <c r="L553" i="57"/>
  <c r="L554" i="57"/>
  <c r="L555" i="57"/>
  <c r="L556" i="57"/>
  <c r="L557" i="57"/>
  <c r="L558" i="57"/>
  <c r="L560" i="57"/>
  <c r="L561" i="57"/>
  <c r="L562" i="57"/>
  <c r="L563" i="57"/>
  <c r="L566" i="57"/>
  <c r="L568" i="57"/>
  <c r="L569" i="57"/>
  <c r="L570" i="57"/>
  <c r="L571" i="57"/>
  <c r="L572" i="57"/>
  <c r="R553" i="57"/>
  <c r="R554" i="57"/>
  <c r="R555" i="57"/>
  <c r="K555" i="57" s="1"/>
  <c r="R556" i="57"/>
  <c r="R557" i="57"/>
  <c r="R558" i="57"/>
  <c r="R560" i="57"/>
  <c r="R561" i="57"/>
  <c r="R562" i="57"/>
  <c r="K562" i="57" s="1"/>
  <c r="R563" i="57"/>
  <c r="K563" i="57" s="1"/>
  <c r="R566" i="57"/>
  <c r="R568" i="57"/>
  <c r="R569" i="57"/>
  <c r="R570" i="57"/>
  <c r="J570" i="57" s="1"/>
  <c r="R571" i="57"/>
  <c r="R572" i="57"/>
  <c r="C542" i="57"/>
  <c r="C543" i="57"/>
  <c r="C544" i="57"/>
  <c r="C547" i="57"/>
  <c r="C548" i="57"/>
  <c r="C549" i="57"/>
  <c r="C550" i="57"/>
  <c r="C552" i="57"/>
  <c r="D542" i="57"/>
  <c r="D543" i="57"/>
  <c r="D544" i="57"/>
  <c r="D547" i="57"/>
  <c r="D548" i="57"/>
  <c r="D549" i="57"/>
  <c r="D550" i="57"/>
  <c r="D552" i="57"/>
  <c r="E542" i="57"/>
  <c r="E543" i="57"/>
  <c r="E544" i="57"/>
  <c r="E547" i="57"/>
  <c r="E548" i="57"/>
  <c r="E549" i="57"/>
  <c r="E550" i="57"/>
  <c r="E552" i="57"/>
  <c r="F542" i="57"/>
  <c r="F543" i="57"/>
  <c r="F544" i="57"/>
  <c r="F547" i="57"/>
  <c r="F548" i="57"/>
  <c r="F549" i="57"/>
  <c r="F550" i="57"/>
  <c r="F552" i="57"/>
  <c r="H542" i="57"/>
  <c r="H543" i="57"/>
  <c r="H544" i="57"/>
  <c r="H547" i="57"/>
  <c r="H548" i="57"/>
  <c r="H549" i="57"/>
  <c r="H550" i="57"/>
  <c r="H552" i="57"/>
  <c r="I542" i="57"/>
  <c r="I543" i="57"/>
  <c r="I544" i="57"/>
  <c r="I547" i="57"/>
  <c r="I548" i="57"/>
  <c r="I549" i="57"/>
  <c r="I550" i="57"/>
  <c r="I552" i="57"/>
  <c r="L542" i="57"/>
  <c r="L543" i="57"/>
  <c r="L544" i="57"/>
  <c r="L547" i="57"/>
  <c r="L548" i="57"/>
  <c r="L549" i="57"/>
  <c r="L550" i="57"/>
  <c r="L552" i="57"/>
  <c r="R542" i="57"/>
  <c r="A542" i="57" s="1"/>
  <c r="R543" i="57"/>
  <c r="A543" i="57" s="1"/>
  <c r="R544" i="57"/>
  <c r="R547" i="57"/>
  <c r="R548" i="57"/>
  <c r="R549" i="57"/>
  <c r="R550" i="57"/>
  <c r="R552" i="57"/>
  <c r="K552" i="57" s="1"/>
  <c r="C529" i="57"/>
  <c r="C530" i="57"/>
  <c r="C531" i="57"/>
  <c r="C533" i="57"/>
  <c r="C534" i="57"/>
  <c r="C535" i="57"/>
  <c r="C536" i="57"/>
  <c r="C537" i="57"/>
  <c r="C538" i="57"/>
  <c r="C539" i="57"/>
  <c r="C540" i="57"/>
  <c r="D529" i="57"/>
  <c r="D530" i="57"/>
  <c r="D531" i="57"/>
  <c r="D533" i="57"/>
  <c r="D534" i="57"/>
  <c r="D535" i="57"/>
  <c r="D536" i="57"/>
  <c r="D537" i="57"/>
  <c r="D538" i="57"/>
  <c r="D539" i="57"/>
  <c r="D540" i="57"/>
  <c r="E529" i="57"/>
  <c r="E530" i="57"/>
  <c r="E531" i="57"/>
  <c r="E533" i="57"/>
  <c r="E534" i="57"/>
  <c r="E535" i="57"/>
  <c r="E536" i="57"/>
  <c r="E537" i="57"/>
  <c r="E538" i="57"/>
  <c r="E539" i="57"/>
  <c r="E540" i="57"/>
  <c r="F529" i="57"/>
  <c r="F530" i="57"/>
  <c r="F531" i="57"/>
  <c r="F533" i="57"/>
  <c r="F534" i="57"/>
  <c r="F535" i="57"/>
  <c r="F536" i="57"/>
  <c r="F537" i="57"/>
  <c r="F538" i="57"/>
  <c r="F539" i="57"/>
  <c r="F540" i="57"/>
  <c r="H529" i="57"/>
  <c r="H530" i="57"/>
  <c r="H531" i="57"/>
  <c r="H533" i="57"/>
  <c r="H534" i="57"/>
  <c r="H535" i="57"/>
  <c r="H536" i="57"/>
  <c r="H537" i="57"/>
  <c r="H538" i="57"/>
  <c r="H539" i="57"/>
  <c r="H540" i="57"/>
  <c r="I529" i="57"/>
  <c r="I530" i="57"/>
  <c r="I531" i="57"/>
  <c r="I533" i="57"/>
  <c r="I534" i="57"/>
  <c r="I535" i="57"/>
  <c r="I536" i="57"/>
  <c r="I537" i="57"/>
  <c r="I538" i="57"/>
  <c r="I539" i="57"/>
  <c r="I540" i="57"/>
  <c r="L529" i="57"/>
  <c r="L530" i="57"/>
  <c r="L531" i="57"/>
  <c r="L533" i="57"/>
  <c r="L534" i="57"/>
  <c r="L535" i="57"/>
  <c r="L536" i="57"/>
  <c r="L537" i="57"/>
  <c r="L538" i="57"/>
  <c r="L539" i="57"/>
  <c r="L540" i="57"/>
  <c r="R529" i="57"/>
  <c r="R530" i="57"/>
  <c r="R531" i="57"/>
  <c r="R533" i="57"/>
  <c r="R534" i="57"/>
  <c r="R535" i="57"/>
  <c r="R536" i="57"/>
  <c r="R537" i="57"/>
  <c r="R538" i="57"/>
  <c r="R539" i="57"/>
  <c r="R540" i="57"/>
  <c r="C513" i="57"/>
  <c r="C514" i="57"/>
  <c r="C515" i="57"/>
  <c r="C516" i="57"/>
  <c r="C517" i="57"/>
  <c r="C518" i="57"/>
  <c r="C520" i="57"/>
  <c r="C522" i="57"/>
  <c r="C523" i="57"/>
  <c r="C524" i="57"/>
  <c r="C525" i="57"/>
  <c r="C526" i="57"/>
  <c r="C527" i="57"/>
  <c r="C528" i="57"/>
  <c r="D513" i="57"/>
  <c r="D514" i="57"/>
  <c r="D515" i="57"/>
  <c r="D516" i="57"/>
  <c r="D517" i="57"/>
  <c r="D518" i="57"/>
  <c r="D520" i="57"/>
  <c r="D522" i="57"/>
  <c r="D523" i="57"/>
  <c r="D524" i="57"/>
  <c r="D525" i="57"/>
  <c r="D526" i="57"/>
  <c r="D527" i="57"/>
  <c r="D528" i="57"/>
  <c r="E513" i="57"/>
  <c r="E514" i="57"/>
  <c r="E515" i="57"/>
  <c r="E516" i="57"/>
  <c r="E517" i="57"/>
  <c r="E518" i="57"/>
  <c r="E520" i="57"/>
  <c r="E522" i="57"/>
  <c r="E523" i="57"/>
  <c r="E524" i="57"/>
  <c r="E525" i="57"/>
  <c r="E526" i="57"/>
  <c r="E527" i="57"/>
  <c r="E528" i="57"/>
  <c r="F513" i="57"/>
  <c r="F514" i="57"/>
  <c r="F515" i="57"/>
  <c r="F516" i="57"/>
  <c r="F517" i="57"/>
  <c r="F518" i="57"/>
  <c r="F520" i="57"/>
  <c r="F522" i="57"/>
  <c r="F523" i="57"/>
  <c r="F524" i="57"/>
  <c r="F525" i="57"/>
  <c r="F526" i="57"/>
  <c r="F527" i="57"/>
  <c r="F528" i="57"/>
  <c r="H513" i="57"/>
  <c r="H514" i="57"/>
  <c r="H515" i="57"/>
  <c r="H516" i="57"/>
  <c r="H517" i="57"/>
  <c r="H518" i="57"/>
  <c r="H520" i="57"/>
  <c r="H522" i="57"/>
  <c r="H523" i="57"/>
  <c r="H524" i="57"/>
  <c r="H525" i="57"/>
  <c r="H526" i="57"/>
  <c r="H527" i="57"/>
  <c r="H528" i="57"/>
  <c r="I513" i="57"/>
  <c r="I514" i="57"/>
  <c r="I515" i="57"/>
  <c r="I516" i="57"/>
  <c r="I517" i="57"/>
  <c r="I518" i="57"/>
  <c r="I520" i="57"/>
  <c r="I522" i="57"/>
  <c r="I523" i="57"/>
  <c r="I524" i="57"/>
  <c r="I525" i="57"/>
  <c r="I526" i="57"/>
  <c r="I527" i="57"/>
  <c r="I528" i="57"/>
  <c r="L513" i="57"/>
  <c r="L514" i="57"/>
  <c r="L515" i="57"/>
  <c r="L516" i="57"/>
  <c r="L517" i="57"/>
  <c r="L518" i="57"/>
  <c r="L520" i="57"/>
  <c r="L522" i="57"/>
  <c r="L523" i="57"/>
  <c r="L524" i="57"/>
  <c r="L525" i="57"/>
  <c r="L526" i="57"/>
  <c r="L527" i="57"/>
  <c r="L528" i="57"/>
  <c r="R513" i="57"/>
  <c r="A513" i="57" s="1"/>
  <c r="R514" i="57"/>
  <c r="R515" i="57"/>
  <c r="A515" i="57" s="1"/>
  <c r="R516" i="57"/>
  <c r="R517" i="57"/>
  <c r="R518" i="57"/>
  <c r="R520" i="57"/>
  <c r="K520" i="57" s="1"/>
  <c r="R522" i="57"/>
  <c r="R523" i="57"/>
  <c r="R524" i="57"/>
  <c r="R525" i="57"/>
  <c r="R526" i="57"/>
  <c r="K526" i="57" s="1"/>
  <c r="R527" i="57"/>
  <c r="J527" i="57" s="1"/>
  <c r="R528" i="57"/>
  <c r="C490" i="57"/>
  <c r="C493" i="57"/>
  <c r="C495" i="57"/>
  <c r="C497" i="57"/>
  <c r="C498" i="57"/>
  <c r="C500" i="57"/>
  <c r="C501" i="57"/>
  <c r="C503" i="57"/>
  <c r="C505" i="57"/>
  <c r="C506" i="57"/>
  <c r="C507" i="57"/>
  <c r="C508" i="57"/>
  <c r="C509" i="57"/>
  <c r="C511" i="57"/>
  <c r="D490" i="57"/>
  <c r="D493" i="57"/>
  <c r="D495" i="57"/>
  <c r="D497" i="57"/>
  <c r="D498" i="57"/>
  <c r="D500" i="57"/>
  <c r="D501" i="57"/>
  <c r="D503" i="57"/>
  <c r="D505" i="57"/>
  <c r="D506" i="57"/>
  <c r="D507" i="57"/>
  <c r="D508" i="57"/>
  <c r="D509" i="57"/>
  <c r="D511" i="57"/>
  <c r="E490" i="57"/>
  <c r="E493" i="57"/>
  <c r="E495" i="57"/>
  <c r="E497" i="57"/>
  <c r="E498" i="57"/>
  <c r="E500" i="57"/>
  <c r="E501" i="57"/>
  <c r="E503" i="57"/>
  <c r="E505" i="57"/>
  <c r="E506" i="57"/>
  <c r="E507" i="57"/>
  <c r="E508" i="57"/>
  <c r="E509" i="57"/>
  <c r="E511" i="57"/>
  <c r="F490" i="57"/>
  <c r="F493" i="57"/>
  <c r="F495" i="57"/>
  <c r="F497" i="57"/>
  <c r="F498" i="57"/>
  <c r="F500" i="57"/>
  <c r="F501" i="57"/>
  <c r="F503" i="57"/>
  <c r="F505" i="57"/>
  <c r="F506" i="57"/>
  <c r="F507" i="57"/>
  <c r="F508" i="57"/>
  <c r="F509" i="57"/>
  <c r="F511" i="57"/>
  <c r="H490" i="57"/>
  <c r="H493" i="57"/>
  <c r="H495" i="57"/>
  <c r="H497" i="57"/>
  <c r="H498" i="57"/>
  <c r="H500" i="57"/>
  <c r="H501" i="57"/>
  <c r="H503" i="57"/>
  <c r="H505" i="57"/>
  <c r="H506" i="57"/>
  <c r="H507" i="57"/>
  <c r="H508" i="57"/>
  <c r="H509" i="57"/>
  <c r="H511" i="57"/>
  <c r="I490" i="57"/>
  <c r="I493" i="57"/>
  <c r="I495" i="57"/>
  <c r="I497" i="57"/>
  <c r="I498" i="57"/>
  <c r="I500" i="57"/>
  <c r="I501" i="57"/>
  <c r="I503" i="57"/>
  <c r="I505" i="57"/>
  <c r="I506" i="57"/>
  <c r="I507" i="57"/>
  <c r="I508" i="57"/>
  <c r="I509" i="57"/>
  <c r="I511" i="57"/>
  <c r="L490" i="57"/>
  <c r="L493" i="57"/>
  <c r="L495" i="57"/>
  <c r="L497" i="57"/>
  <c r="L498" i="57"/>
  <c r="L500" i="57"/>
  <c r="L501" i="57"/>
  <c r="L503" i="57"/>
  <c r="L505" i="57"/>
  <c r="L506" i="57"/>
  <c r="L507" i="57"/>
  <c r="L508" i="57"/>
  <c r="L509" i="57"/>
  <c r="L511" i="57"/>
  <c r="R490" i="57"/>
  <c r="R493" i="57"/>
  <c r="R495" i="57"/>
  <c r="R497" i="57"/>
  <c r="R498" i="57"/>
  <c r="R500" i="57"/>
  <c r="R501" i="57"/>
  <c r="K501" i="57" s="1"/>
  <c r="R503" i="57"/>
  <c r="R505" i="57"/>
  <c r="R506" i="57"/>
  <c r="R507" i="57"/>
  <c r="J507" i="57" s="1"/>
  <c r="R508" i="57"/>
  <c r="R509" i="57"/>
  <c r="R511" i="57"/>
  <c r="C407" i="57"/>
  <c r="C408" i="57"/>
  <c r="C411" i="57"/>
  <c r="C412" i="57"/>
  <c r="C413" i="57"/>
  <c r="C414" i="57"/>
  <c r="C415" i="57"/>
  <c r="C416" i="57"/>
  <c r="C417" i="57"/>
  <c r="C418" i="57"/>
  <c r="C420" i="57"/>
  <c r="C423" i="57"/>
  <c r="C424" i="57"/>
  <c r="C425" i="57"/>
  <c r="C426" i="57"/>
  <c r="C427" i="57"/>
  <c r="C428" i="57"/>
  <c r="C429" i="57"/>
  <c r="C430" i="57"/>
  <c r="C431" i="57"/>
  <c r="C432" i="57"/>
  <c r="C433" i="57"/>
  <c r="C434" i="57"/>
  <c r="C435" i="57"/>
  <c r="C437" i="57"/>
  <c r="C438" i="57"/>
  <c r="C440" i="57"/>
  <c r="C442" i="57"/>
  <c r="C443" i="57"/>
  <c r="C444" i="57"/>
  <c r="C445" i="57"/>
  <c r="C446" i="57"/>
  <c r="C448" i="57"/>
  <c r="C449" i="57"/>
  <c r="C450" i="57"/>
  <c r="C452" i="57"/>
  <c r="C453" i="57"/>
  <c r="C454" i="57"/>
  <c r="C456" i="57"/>
  <c r="C457" i="57"/>
  <c r="C458" i="57"/>
  <c r="C459" i="57"/>
  <c r="C460" i="57"/>
  <c r="C461" i="57"/>
  <c r="C463" i="57"/>
  <c r="C464" i="57"/>
  <c r="C465" i="57"/>
  <c r="C466" i="57"/>
  <c r="C467" i="57"/>
  <c r="C468" i="57"/>
  <c r="C469" i="57"/>
  <c r="C470" i="57"/>
  <c r="C473" i="57"/>
  <c r="C474" i="57"/>
  <c r="C476" i="57"/>
  <c r="C477" i="57"/>
  <c r="C478" i="57"/>
  <c r="C480" i="57"/>
  <c r="C481" i="57"/>
  <c r="C482" i="57"/>
  <c r="C483" i="57"/>
  <c r="C484" i="57"/>
  <c r="C485" i="57"/>
  <c r="C486" i="57"/>
  <c r="C488" i="57"/>
  <c r="C489" i="57"/>
  <c r="D407" i="57"/>
  <c r="D408" i="57"/>
  <c r="D411" i="57"/>
  <c r="D412" i="57"/>
  <c r="D413" i="57"/>
  <c r="D414" i="57"/>
  <c r="D415" i="57"/>
  <c r="D416" i="57"/>
  <c r="D417" i="57"/>
  <c r="D418" i="57"/>
  <c r="D420" i="57"/>
  <c r="D423" i="57"/>
  <c r="D424" i="57"/>
  <c r="D425" i="57"/>
  <c r="D426" i="57"/>
  <c r="D427" i="57"/>
  <c r="D428" i="57"/>
  <c r="D429" i="57"/>
  <c r="D430" i="57"/>
  <c r="D431" i="57"/>
  <c r="D432" i="57"/>
  <c r="D433" i="57"/>
  <c r="D434" i="57"/>
  <c r="D435" i="57"/>
  <c r="D437" i="57"/>
  <c r="D438" i="57"/>
  <c r="D440" i="57"/>
  <c r="D442" i="57"/>
  <c r="D443" i="57"/>
  <c r="D444" i="57"/>
  <c r="D445" i="57"/>
  <c r="D446" i="57"/>
  <c r="D448" i="57"/>
  <c r="D449" i="57"/>
  <c r="D450" i="57"/>
  <c r="D452" i="57"/>
  <c r="D453" i="57"/>
  <c r="D454" i="57"/>
  <c r="D456" i="57"/>
  <c r="D457" i="57"/>
  <c r="D458" i="57"/>
  <c r="D459" i="57"/>
  <c r="D460" i="57"/>
  <c r="D461" i="57"/>
  <c r="D463" i="57"/>
  <c r="D464" i="57"/>
  <c r="D465" i="57"/>
  <c r="D466" i="57"/>
  <c r="D467" i="57"/>
  <c r="D468" i="57"/>
  <c r="D469" i="57"/>
  <c r="D470" i="57"/>
  <c r="D473" i="57"/>
  <c r="D474" i="57"/>
  <c r="D476" i="57"/>
  <c r="D477" i="57"/>
  <c r="D478" i="57"/>
  <c r="D480" i="57"/>
  <c r="D481" i="57"/>
  <c r="D482" i="57"/>
  <c r="D483" i="57"/>
  <c r="D484" i="57"/>
  <c r="D485" i="57"/>
  <c r="D486" i="57"/>
  <c r="D488" i="57"/>
  <c r="D489" i="57"/>
  <c r="E407" i="57"/>
  <c r="E408" i="57"/>
  <c r="E411" i="57"/>
  <c r="E412" i="57"/>
  <c r="E413" i="57"/>
  <c r="E414" i="57"/>
  <c r="E415" i="57"/>
  <c r="E416" i="57"/>
  <c r="E417" i="57"/>
  <c r="E418" i="57"/>
  <c r="E420" i="57"/>
  <c r="E423" i="57"/>
  <c r="E424" i="57"/>
  <c r="E425" i="57"/>
  <c r="E426" i="57"/>
  <c r="E427" i="57"/>
  <c r="E428" i="57"/>
  <c r="E429" i="57"/>
  <c r="E430" i="57"/>
  <c r="E431" i="57"/>
  <c r="E432" i="57"/>
  <c r="E433" i="57"/>
  <c r="E434" i="57"/>
  <c r="E435" i="57"/>
  <c r="E437" i="57"/>
  <c r="E438" i="57"/>
  <c r="E440" i="57"/>
  <c r="E442" i="57"/>
  <c r="E443" i="57"/>
  <c r="E444" i="57"/>
  <c r="E445" i="57"/>
  <c r="E446" i="57"/>
  <c r="E448" i="57"/>
  <c r="E449" i="57"/>
  <c r="E450" i="57"/>
  <c r="E452" i="57"/>
  <c r="E453" i="57"/>
  <c r="E454" i="57"/>
  <c r="E456" i="57"/>
  <c r="E457" i="57"/>
  <c r="E458" i="57"/>
  <c r="E459" i="57"/>
  <c r="E460" i="57"/>
  <c r="E461" i="57"/>
  <c r="E463" i="57"/>
  <c r="E464" i="57"/>
  <c r="E465" i="57"/>
  <c r="E466" i="57"/>
  <c r="E467" i="57"/>
  <c r="E468" i="57"/>
  <c r="E469" i="57"/>
  <c r="E470" i="57"/>
  <c r="E473" i="57"/>
  <c r="E474" i="57"/>
  <c r="E476" i="57"/>
  <c r="E477" i="57"/>
  <c r="E478" i="57"/>
  <c r="E480" i="57"/>
  <c r="E481" i="57"/>
  <c r="E482" i="57"/>
  <c r="E483" i="57"/>
  <c r="E484" i="57"/>
  <c r="E485" i="57"/>
  <c r="E486" i="57"/>
  <c r="E488" i="57"/>
  <c r="E489" i="57"/>
  <c r="F407" i="57"/>
  <c r="F408" i="57"/>
  <c r="F411" i="57"/>
  <c r="F412" i="57"/>
  <c r="F413" i="57"/>
  <c r="F414" i="57"/>
  <c r="F415" i="57"/>
  <c r="F416" i="57"/>
  <c r="F417" i="57"/>
  <c r="F418" i="57"/>
  <c r="F420" i="57"/>
  <c r="F423" i="57"/>
  <c r="F424" i="57"/>
  <c r="F425" i="57"/>
  <c r="F426" i="57"/>
  <c r="F427" i="57"/>
  <c r="F428" i="57"/>
  <c r="F429" i="57"/>
  <c r="F430" i="57"/>
  <c r="F431" i="57"/>
  <c r="F432" i="57"/>
  <c r="F433" i="57"/>
  <c r="F434" i="57"/>
  <c r="F435" i="57"/>
  <c r="F437" i="57"/>
  <c r="F438" i="57"/>
  <c r="F440" i="57"/>
  <c r="F442" i="57"/>
  <c r="F443" i="57"/>
  <c r="F444" i="57"/>
  <c r="F445" i="57"/>
  <c r="F446" i="57"/>
  <c r="F448" i="57"/>
  <c r="F449" i="57"/>
  <c r="F450" i="57"/>
  <c r="F452" i="57"/>
  <c r="F453" i="57"/>
  <c r="F454" i="57"/>
  <c r="F456" i="57"/>
  <c r="F457" i="57"/>
  <c r="F458" i="57"/>
  <c r="F459" i="57"/>
  <c r="F460" i="57"/>
  <c r="F461" i="57"/>
  <c r="F463" i="57"/>
  <c r="F464" i="57"/>
  <c r="F465" i="57"/>
  <c r="F466" i="57"/>
  <c r="F467" i="57"/>
  <c r="F468" i="57"/>
  <c r="F469" i="57"/>
  <c r="F470" i="57"/>
  <c r="F473" i="57"/>
  <c r="F474" i="57"/>
  <c r="F476" i="57"/>
  <c r="F477" i="57"/>
  <c r="F478" i="57"/>
  <c r="F480" i="57"/>
  <c r="F481" i="57"/>
  <c r="F482" i="57"/>
  <c r="F483" i="57"/>
  <c r="F484" i="57"/>
  <c r="F485" i="57"/>
  <c r="F486" i="57"/>
  <c r="F488" i="57"/>
  <c r="F489" i="57"/>
  <c r="H407" i="57"/>
  <c r="H408" i="57"/>
  <c r="H411" i="57"/>
  <c r="H412" i="57"/>
  <c r="H413" i="57"/>
  <c r="H414" i="57"/>
  <c r="H415" i="57"/>
  <c r="H416" i="57"/>
  <c r="H417" i="57"/>
  <c r="H418" i="57"/>
  <c r="H420" i="57"/>
  <c r="H423" i="57"/>
  <c r="H424" i="57"/>
  <c r="H425" i="57"/>
  <c r="H426" i="57"/>
  <c r="H427" i="57"/>
  <c r="H428" i="57"/>
  <c r="H429" i="57"/>
  <c r="H430" i="57"/>
  <c r="H431" i="57"/>
  <c r="H432" i="57"/>
  <c r="H433" i="57"/>
  <c r="H434" i="57"/>
  <c r="H435" i="57"/>
  <c r="H437" i="57"/>
  <c r="H438" i="57"/>
  <c r="H440" i="57"/>
  <c r="H442" i="57"/>
  <c r="H443" i="57"/>
  <c r="H444" i="57"/>
  <c r="H445" i="57"/>
  <c r="H446" i="57"/>
  <c r="H448" i="57"/>
  <c r="H449" i="57"/>
  <c r="H450" i="57"/>
  <c r="H452" i="57"/>
  <c r="H453" i="57"/>
  <c r="H454" i="57"/>
  <c r="H456" i="57"/>
  <c r="H457" i="57"/>
  <c r="H458" i="57"/>
  <c r="H459" i="57"/>
  <c r="H460" i="57"/>
  <c r="H461" i="57"/>
  <c r="H463" i="57"/>
  <c r="H464" i="57"/>
  <c r="H465" i="57"/>
  <c r="H466" i="57"/>
  <c r="H467" i="57"/>
  <c r="H468" i="57"/>
  <c r="H469" i="57"/>
  <c r="H470" i="57"/>
  <c r="H473" i="57"/>
  <c r="H474" i="57"/>
  <c r="H476" i="57"/>
  <c r="H477" i="57"/>
  <c r="H478" i="57"/>
  <c r="H480" i="57"/>
  <c r="H481" i="57"/>
  <c r="H482" i="57"/>
  <c r="H483" i="57"/>
  <c r="H484" i="57"/>
  <c r="H485" i="57"/>
  <c r="H486" i="57"/>
  <c r="H488" i="57"/>
  <c r="H489" i="57"/>
  <c r="I407" i="57"/>
  <c r="I408" i="57"/>
  <c r="I411" i="57"/>
  <c r="I412" i="57"/>
  <c r="I413" i="57"/>
  <c r="I414" i="57"/>
  <c r="I415" i="57"/>
  <c r="I416" i="57"/>
  <c r="I417" i="57"/>
  <c r="I418" i="57"/>
  <c r="I420" i="57"/>
  <c r="I423" i="57"/>
  <c r="I424" i="57"/>
  <c r="I425" i="57"/>
  <c r="I426" i="57"/>
  <c r="I427" i="57"/>
  <c r="I428" i="57"/>
  <c r="I429" i="57"/>
  <c r="I430" i="57"/>
  <c r="I431" i="57"/>
  <c r="I432" i="57"/>
  <c r="I433" i="57"/>
  <c r="I434" i="57"/>
  <c r="I435" i="57"/>
  <c r="I437" i="57"/>
  <c r="I438" i="57"/>
  <c r="I440" i="57"/>
  <c r="I442" i="57"/>
  <c r="I443" i="57"/>
  <c r="I444" i="57"/>
  <c r="I445" i="57"/>
  <c r="I446" i="57"/>
  <c r="I448" i="57"/>
  <c r="I449" i="57"/>
  <c r="I450" i="57"/>
  <c r="I452" i="57"/>
  <c r="I453" i="57"/>
  <c r="I454" i="57"/>
  <c r="I456" i="57"/>
  <c r="I457" i="57"/>
  <c r="I458" i="57"/>
  <c r="I459" i="57"/>
  <c r="I460" i="57"/>
  <c r="I461" i="57"/>
  <c r="I463" i="57"/>
  <c r="I464" i="57"/>
  <c r="I465" i="57"/>
  <c r="I466" i="57"/>
  <c r="I467" i="57"/>
  <c r="I468" i="57"/>
  <c r="I469" i="57"/>
  <c r="I470" i="57"/>
  <c r="I473" i="57"/>
  <c r="I474" i="57"/>
  <c r="I476" i="57"/>
  <c r="I477" i="57"/>
  <c r="I478" i="57"/>
  <c r="I480" i="57"/>
  <c r="I481" i="57"/>
  <c r="I482" i="57"/>
  <c r="I483" i="57"/>
  <c r="I484" i="57"/>
  <c r="I485" i="57"/>
  <c r="I486" i="57"/>
  <c r="I488" i="57"/>
  <c r="I489" i="57"/>
  <c r="L407" i="57"/>
  <c r="L408" i="57"/>
  <c r="L411" i="57"/>
  <c r="L412" i="57"/>
  <c r="L413" i="57"/>
  <c r="L414" i="57"/>
  <c r="L415" i="57"/>
  <c r="L416" i="57"/>
  <c r="L417" i="57"/>
  <c r="L418" i="57"/>
  <c r="L420" i="57"/>
  <c r="L423" i="57"/>
  <c r="L424" i="57"/>
  <c r="L425" i="57"/>
  <c r="L426" i="57"/>
  <c r="L427" i="57"/>
  <c r="L428" i="57"/>
  <c r="L429" i="57"/>
  <c r="L430" i="57"/>
  <c r="L431" i="57"/>
  <c r="L432" i="57"/>
  <c r="L433" i="57"/>
  <c r="L434" i="57"/>
  <c r="L435" i="57"/>
  <c r="L437" i="57"/>
  <c r="L438" i="57"/>
  <c r="L440" i="57"/>
  <c r="L442" i="57"/>
  <c r="L443" i="57"/>
  <c r="L444" i="57"/>
  <c r="L445" i="57"/>
  <c r="L446" i="57"/>
  <c r="L448" i="57"/>
  <c r="L449" i="57"/>
  <c r="L450" i="57"/>
  <c r="L452" i="57"/>
  <c r="L453" i="57"/>
  <c r="L454" i="57"/>
  <c r="L456" i="57"/>
  <c r="L457" i="57"/>
  <c r="L458" i="57"/>
  <c r="L459" i="57"/>
  <c r="L460" i="57"/>
  <c r="L461" i="57"/>
  <c r="L463" i="57"/>
  <c r="L464" i="57"/>
  <c r="L465" i="57"/>
  <c r="L466" i="57"/>
  <c r="L467" i="57"/>
  <c r="L468" i="57"/>
  <c r="L469" i="57"/>
  <c r="L470" i="57"/>
  <c r="L473" i="57"/>
  <c r="L474" i="57"/>
  <c r="L476" i="57"/>
  <c r="L477" i="57"/>
  <c r="L478" i="57"/>
  <c r="L480" i="57"/>
  <c r="L481" i="57"/>
  <c r="L482" i="57"/>
  <c r="L483" i="57"/>
  <c r="L484" i="57"/>
  <c r="L485" i="57"/>
  <c r="L486" i="57"/>
  <c r="L488" i="57"/>
  <c r="L489" i="57"/>
  <c r="R407" i="57"/>
  <c r="R408" i="57"/>
  <c r="R411" i="57"/>
  <c r="R412" i="57"/>
  <c r="AD33" i="69" s="1"/>
  <c r="R413" i="57"/>
  <c r="R414" i="57"/>
  <c r="R415" i="57"/>
  <c r="R416" i="57"/>
  <c r="R417" i="57"/>
  <c r="R418" i="57"/>
  <c r="R420" i="57"/>
  <c r="R423" i="57"/>
  <c r="R424" i="57"/>
  <c r="R425" i="57"/>
  <c r="R426" i="57"/>
  <c r="R427" i="57"/>
  <c r="R428" i="57"/>
  <c r="R429" i="57"/>
  <c r="R430" i="57"/>
  <c r="R431" i="57"/>
  <c r="R432" i="57"/>
  <c r="AD236" i="69" s="1"/>
  <c r="R433" i="57"/>
  <c r="R434" i="57"/>
  <c r="R435" i="57"/>
  <c r="J435" i="57" s="1"/>
  <c r="R437" i="57"/>
  <c r="K437" i="57" s="1"/>
  <c r="R438" i="57"/>
  <c r="R440" i="57"/>
  <c r="R442" i="57"/>
  <c r="R443" i="57"/>
  <c r="R444" i="57"/>
  <c r="R445" i="57"/>
  <c r="AD148" i="69" s="1"/>
  <c r="R446" i="57"/>
  <c r="R448" i="57"/>
  <c r="R449" i="57"/>
  <c r="R450" i="57"/>
  <c r="R452" i="57"/>
  <c r="AD45" i="60" s="1"/>
  <c r="R453" i="57"/>
  <c r="R454" i="57"/>
  <c r="R456" i="57"/>
  <c r="R457" i="57"/>
  <c r="R458" i="57"/>
  <c r="J458" i="57" s="1"/>
  <c r="R459" i="57"/>
  <c r="R460" i="57"/>
  <c r="AD196" i="60" s="1"/>
  <c r="R461" i="57"/>
  <c r="A461" i="57" s="1"/>
  <c r="R463" i="57"/>
  <c r="R464" i="57"/>
  <c r="R465" i="57"/>
  <c r="AD68" i="69" s="1"/>
  <c r="R466" i="57"/>
  <c r="R467" i="57"/>
  <c r="R468" i="57"/>
  <c r="R469" i="57"/>
  <c r="A469" i="57" s="1"/>
  <c r="R470" i="57"/>
  <c r="J470" i="57" s="1"/>
  <c r="R473" i="57"/>
  <c r="AD288" i="69" s="1"/>
  <c r="R474" i="57"/>
  <c r="R476" i="57"/>
  <c r="R477" i="57"/>
  <c r="R478" i="57"/>
  <c r="A478" i="57" s="1"/>
  <c r="R480" i="57"/>
  <c r="R481" i="57"/>
  <c r="J481" i="57" s="1"/>
  <c r="R482" i="57"/>
  <c r="R483" i="57"/>
  <c r="J483" i="57" s="1"/>
  <c r="R484" i="57"/>
  <c r="R485" i="57"/>
  <c r="R486" i="57"/>
  <c r="K486" i="57" s="1"/>
  <c r="R488" i="57"/>
  <c r="R489" i="57"/>
  <c r="C394" i="57"/>
  <c r="C395" i="57"/>
  <c r="C396" i="57"/>
  <c r="C397" i="57"/>
  <c r="C400" i="57"/>
  <c r="C401" i="57"/>
  <c r="C402" i="57"/>
  <c r="C403" i="57"/>
  <c r="C405" i="57"/>
  <c r="C406" i="57"/>
  <c r="D394" i="57"/>
  <c r="D395" i="57"/>
  <c r="D396" i="57"/>
  <c r="D397" i="57"/>
  <c r="D400" i="57"/>
  <c r="D401" i="57"/>
  <c r="D402" i="57"/>
  <c r="D403" i="57"/>
  <c r="D405" i="57"/>
  <c r="D406" i="57"/>
  <c r="E394" i="57"/>
  <c r="E395" i="57"/>
  <c r="E396" i="57"/>
  <c r="E397" i="57"/>
  <c r="E400" i="57"/>
  <c r="E401" i="57"/>
  <c r="E402" i="57"/>
  <c r="E403" i="57"/>
  <c r="E405" i="57"/>
  <c r="E406" i="57"/>
  <c r="F394" i="57"/>
  <c r="F395" i="57"/>
  <c r="F396" i="57"/>
  <c r="F397" i="57"/>
  <c r="F400" i="57"/>
  <c r="F401" i="57"/>
  <c r="F402" i="57"/>
  <c r="F403" i="57"/>
  <c r="F405" i="57"/>
  <c r="F406" i="57"/>
  <c r="H394" i="57"/>
  <c r="H395" i="57"/>
  <c r="H396" i="57"/>
  <c r="H397" i="57"/>
  <c r="H400" i="57"/>
  <c r="H401" i="57"/>
  <c r="H402" i="57"/>
  <c r="H403" i="57"/>
  <c r="H405" i="57"/>
  <c r="H406" i="57"/>
  <c r="I394" i="57"/>
  <c r="I395" i="57"/>
  <c r="I396" i="57"/>
  <c r="I397" i="57"/>
  <c r="I400" i="57"/>
  <c r="I401" i="57"/>
  <c r="I402" i="57"/>
  <c r="I403" i="57"/>
  <c r="I405" i="57"/>
  <c r="I406" i="57"/>
  <c r="L394" i="57"/>
  <c r="L395" i="57"/>
  <c r="L396" i="57"/>
  <c r="L397" i="57"/>
  <c r="L400" i="57"/>
  <c r="L401" i="57"/>
  <c r="L402" i="57"/>
  <c r="L403" i="57"/>
  <c r="L405" i="57"/>
  <c r="L406" i="57"/>
  <c r="R394" i="57"/>
  <c r="A394" i="57" s="1"/>
  <c r="R395" i="57"/>
  <c r="R396" i="57"/>
  <c r="R397" i="57"/>
  <c r="R400" i="57"/>
  <c r="R401" i="57"/>
  <c r="R402" i="57"/>
  <c r="R403" i="57"/>
  <c r="R405" i="57"/>
  <c r="R406" i="57"/>
  <c r="C383" i="57"/>
  <c r="C385" i="57"/>
  <c r="C386" i="57"/>
  <c r="C389" i="57"/>
  <c r="C390" i="57"/>
  <c r="C391" i="57"/>
  <c r="C392" i="57"/>
  <c r="C393" i="57"/>
  <c r="D383" i="57"/>
  <c r="D385" i="57"/>
  <c r="D386" i="57"/>
  <c r="D389" i="57"/>
  <c r="D390" i="57"/>
  <c r="D391" i="57"/>
  <c r="D392" i="57"/>
  <c r="D393" i="57"/>
  <c r="E383" i="57"/>
  <c r="E385" i="57"/>
  <c r="E386" i="57"/>
  <c r="E389" i="57"/>
  <c r="E390" i="57"/>
  <c r="E391" i="57"/>
  <c r="E392" i="57"/>
  <c r="E393" i="57"/>
  <c r="F383" i="57"/>
  <c r="F385" i="57"/>
  <c r="F386" i="57"/>
  <c r="F389" i="57"/>
  <c r="F390" i="57"/>
  <c r="F391" i="57"/>
  <c r="F392" i="57"/>
  <c r="F393" i="57"/>
  <c r="H383" i="57"/>
  <c r="H385" i="57"/>
  <c r="H386" i="57"/>
  <c r="H389" i="57"/>
  <c r="H390" i="57"/>
  <c r="H391" i="57"/>
  <c r="H392" i="57"/>
  <c r="H393" i="57"/>
  <c r="I383" i="57"/>
  <c r="I385" i="57"/>
  <c r="I386" i="57"/>
  <c r="I389" i="57"/>
  <c r="I390" i="57"/>
  <c r="I391" i="57"/>
  <c r="I392" i="57"/>
  <c r="I393" i="57"/>
  <c r="L383" i="57"/>
  <c r="L385" i="57"/>
  <c r="L386" i="57"/>
  <c r="L389" i="57"/>
  <c r="L390" i="57"/>
  <c r="L391" i="57"/>
  <c r="L392" i="57"/>
  <c r="L393" i="57"/>
  <c r="R383" i="57"/>
  <c r="R385" i="57"/>
  <c r="R386" i="57"/>
  <c r="R389" i="57"/>
  <c r="R390" i="57"/>
  <c r="J390" i="57" s="1"/>
  <c r="R391" i="57"/>
  <c r="R392" i="57"/>
  <c r="R393" i="57"/>
  <c r="C345" i="57"/>
  <c r="C346" i="57"/>
  <c r="C347" i="57"/>
  <c r="C348" i="57"/>
  <c r="C349" i="57"/>
  <c r="C351" i="57"/>
  <c r="C353" i="57"/>
  <c r="C354" i="57"/>
  <c r="C355" i="57"/>
  <c r="C356" i="57"/>
  <c r="C357" i="57"/>
  <c r="C358" i="57"/>
  <c r="C360" i="57"/>
  <c r="C361" i="57"/>
  <c r="C363" i="57"/>
  <c r="C364" i="57"/>
  <c r="C365" i="57"/>
  <c r="C366" i="57"/>
  <c r="C367" i="57"/>
  <c r="C369" i="57"/>
  <c r="C370" i="57"/>
  <c r="C371" i="57"/>
  <c r="C372" i="57"/>
  <c r="C373" i="57"/>
  <c r="C374" i="57"/>
  <c r="C377" i="57"/>
  <c r="C379" i="57"/>
  <c r="C380" i="57"/>
  <c r="C381" i="57"/>
  <c r="D345" i="57"/>
  <c r="D346" i="57"/>
  <c r="D347" i="57"/>
  <c r="D348" i="57"/>
  <c r="D349" i="57"/>
  <c r="D351" i="57"/>
  <c r="D353" i="57"/>
  <c r="D354" i="57"/>
  <c r="D355" i="57"/>
  <c r="D356" i="57"/>
  <c r="D357" i="57"/>
  <c r="D358" i="57"/>
  <c r="D360" i="57"/>
  <c r="D361" i="57"/>
  <c r="D363" i="57"/>
  <c r="D364" i="57"/>
  <c r="D365" i="57"/>
  <c r="D366" i="57"/>
  <c r="D367" i="57"/>
  <c r="D369" i="57"/>
  <c r="D370" i="57"/>
  <c r="D371" i="57"/>
  <c r="D372" i="57"/>
  <c r="D373" i="57"/>
  <c r="D374" i="57"/>
  <c r="D377" i="57"/>
  <c r="D379" i="57"/>
  <c r="D380" i="57"/>
  <c r="D381" i="57"/>
  <c r="E345" i="57"/>
  <c r="E346" i="57"/>
  <c r="E347" i="57"/>
  <c r="E348" i="57"/>
  <c r="E349" i="57"/>
  <c r="E351" i="57"/>
  <c r="E353" i="57"/>
  <c r="E354" i="57"/>
  <c r="E355" i="57"/>
  <c r="E356" i="57"/>
  <c r="E357" i="57"/>
  <c r="E358" i="57"/>
  <c r="E360" i="57"/>
  <c r="E361" i="57"/>
  <c r="E363" i="57"/>
  <c r="E364" i="57"/>
  <c r="E365" i="57"/>
  <c r="E366" i="57"/>
  <c r="E367" i="57"/>
  <c r="E369" i="57"/>
  <c r="E370" i="57"/>
  <c r="E371" i="57"/>
  <c r="E372" i="57"/>
  <c r="E373" i="57"/>
  <c r="E374" i="57"/>
  <c r="E377" i="57"/>
  <c r="E379" i="57"/>
  <c r="E380" i="57"/>
  <c r="E381" i="57"/>
  <c r="F345" i="57"/>
  <c r="F346" i="57"/>
  <c r="F347" i="57"/>
  <c r="F348" i="57"/>
  <c r="F349" i="57"/>
  <c r="F351" i="57"/>
  <c r="F353" i="57"/>
  <c r="F354" i="57"/>
  <c r="F355" i="57"/>
  <c r="F356" i="57"/>
  <c r="F357" i="57"/>
  <c r="F358" i="57"/>
  <c r="F360" i="57"/>
  <c r="F361" i="57"/>
  <c r="F363" i="57"/>
  <c r="F364" i="57"/>
  <c r="F365" i="57"/>
  <c r="F366" i="57"/>
  <c r="F367" i="57"/>
  <c r="F369" i="57"/>
  <c r="F370" i="57"/>
  <c r="F371" i="57"/>
  <c r="F372" i="57"/>
  <c r="F373" i="57"/>
  <c r="F374" i="57"/>
  <c r="F377" i="57"/>
  <c r="F379" i="57"/>
  <c r="F380" i="57"/>
  <c r="F381" i="57"/>
  <c r="H345" i="57"/>
  <c r="H346" i="57"/>
  <c r="H347" i="57"/>
  <c r="H348" i="57"/>
  <c r="H349" i="57"/>
  <c r="H351" i="57"/>
  <c r="H353" i="57"/>
  <c r="H354" i="57"/>
  <c r="H355" i="57"/>
  <c r="H356" i="57"/>
  <c r="H357" i="57"/>
  <c r="H358" i="57"/>
  <c r="H360" i="57"/>
  <c r="H361" i="57"/>
  <c r="H363" i="57"/>
  <c r="H364" i="57"/>
  <c r="H365" i="57"/>
  <c r="H366" i="57"/>
  <c r="H367" i="57"/>
  <c r="H369" i="57"/>
  <c r="H370" i="57"/>
  <c r="H371" i="57"/>
  <c r="H372" i="57"/>
  <c r="H373" i="57"/>
  <c r="H374" i="57"/>
  <c r="H377" i="57"/>
  <c r="H379" i="57"/>
  <c r="H380" i="57"/>
  <c r="H381" i="57"/>
  <c r="I345" i="57"/>
  <c r="I346" i="57"/>
  <c r="I347" i="57"/>
  <c r="I348" i="57"/>
  <c r="I349" i="57"/>
  <c r="I351" i="57"/>
  <c r="I353" i="57"/>
  <c r="I354" i="57"/>
  <c r="I355" i="57"/>
  <c r="I356" i="57"/>
  <c r="I357" i="57"/>
  <c r="I358" i="57"/>
  <c r="I360" i="57"/>
  <c r="I361" i="57"/>
  <c r="I363" i="57"/>
  <c r="I364" i="57"/>
  <c r="I365" i="57"/>
  <c r="I366" i="57"/>
  <c r="I367" i="57"/>
  <c r="I369" i="57"/>
  <c r="I370" i="57"/>
  <c r="I371" i="57"/>
  <c r="I372" i="57"/>
  <c r="I373" i="57"/>
  <c r="I374" i="57"/>
  <c r="I377" i="57"/>
  <c r="I379" i="57"/>
  <c r="I380" i="57"/>
  <c r="I381" i="57"/>
  <c r="L345" i="57"/>
  <c r="L346" i="57"/>
  <c r="L347" i="57"/>
  <c r="L348" i="57"/>
  <c r="L349" i="57"/>
  <c r="L351" i="57"/>
  <c r="L353" i="57"/>
  <c r="L354" i="57"/>
  <c r="L355" i="57"/>
  <c r="L356" i="57"/>
  <c r="L357" i="57"/>
  <c r="L358" i="57"/>
  <c r="L360" i="57"/>
  <c r="L361" i="57"/>
  <c r="L363" i="57"/>
  <c r="L364" i="57"/>
  <c r="L365" i="57"/>
  <c r="L366" i="57"/>
  <c r="L367" i="57"/>
  <c r="L369" i="57"/>
  <c r="L370" i="57"/>
  <c r="L371" i="57"/>
  <c r="L372" i="57"/>
  <c r="L373" i="57"/>
  <c r="L374" i="57"/>
  <c r="L377" i="57"/>
  <c r="L379" i="57"/>
  <c r="L380" i="57"/>
  <c r="L381" i="57"/>
  <c r="R345" i="57"/>
  <c r="R346" i="57"/>
  <c r="R347" i="57"/>
  <c r="R348" i="57"/>
  <c r="AD29" i="60" s="1"/>
  <c r="R349" i="57"/>
  <c r="R351" i="57"/>
  <c r="J351" i="57" s="1"/>
  <c r="R353" i="57"/>
  <c r="R354" i="57"/>
  <c r="R355" i="57"/>
  <c r="R356" i="57"/>
  <c r="R357" i="57"/>
  <c r="R358" i="57"/>
  <c r="R360" i="57"/>
  <c r="R361" i="57"/>
  <c r="J361" i="57" s="1"/>
  <c r="R363" i="57"/>
  <c r="R364" i="57"/>
  <c r="R365" i="57"/>
  <c r="R366" i="57"/>
  <c r="R367" i="57"/>
  <c r="R369" i="57"/>
  <c r="J369" i="57" s="1"/>
  <c r="R370" i="57"/>
  <c r="R371" i="57"/>
  <c r="J371" i="57" s="1"/>
  <c r="R372" i="57"/>
  <c r="R373" i="57"/>
  <c r="R374" i="57"/>
  <c r="R377" i="57"/>
  <c r="R379" i="57"/>
  <c r="J379" i="57" s="1"/>
  <c r="R380" i="57"/>
  <c r="J380" i="57" s="1"/>
  <c r="R381" i="57"/>
  <c r="C334" i="57"/>
  <c r="C335" i="57"/>
  <c r="C337" i="57"/>
  <c r="C338" i="57"/>
  <c r="C339" i="57"/>
  <c r="C340" i="57"/>
  <c r="C341" i="57"/>
  <c r="C342" i="57"/>
  <c r="C343" i="57"/>
  <c r="C344" i="57"/>
  <c r="D334" i="57"/>
  <c r="D335" i="57"/>
  <c r="D337" i="57"/>
  <c r="D338" i="57"/>
  <c r="D339" i="57"/>
  <c r="D340" i="57"/>
  <c r="D341" i="57"/>
  <c r="D342" i="57"/>
  <c r="D343" i="57"/>
  <c r="D344" i="57"/>
  <c r="E334" i="57"/>
  <c r="E335" i="57"/>
  <c r="E337" i="57"/>
  <c r="E338" i="57"/>
  <c r="E339" i="57"/>
  <c r="E340" i="57"/>
  <c r="E341" i="57"/>
  <c r="E342" i="57"/>
  <c r="E343" i="57"/>
  <c r="E344" i="57"/>
  <c r="F334" i="57"/>
  <c r="F335" i="57"/>
  <c r="F337" i="57"/>
  <c r="F338" i="57"/>
  <c r="F339" i="57"/>
  <c r="F340" i="57"/>
  <c r="F341" i="57"/>
  <c r="F342" i="57"/>
  <c r="F343" i="57"/>
  <c r="F344" i="57"/>
  <c r="H334" i="57"/>
  <c r="H335" i="57"/>
  <c r="H337" i="57"/>
  <c r="H338" i="57"/>
  <c r="H339" i="57"/>
  <c r="H340" i="57"/>
  <c r="H341" i="57"/>
  <c r="H342" i="57"/>
  <c r="H343" i="57"/>
  <c r="H344" i="57"/>
  <c r="I334" i="57"/>
  <c r="I335" i="57"/>
  <c r="I337" i="57"/>
  <c r="I338" i="57"/>
  <c r="I339" i="57"/>
  <c r="I340" i="57"/>
  <c r="I341" i="57"/>
  <c r="I342" i="57"/>
  <c r="I343" i="57"/>
  <c r="I344" i="57"/>
  <c r="L334" i="57"/>
  <c r="L335" i="57"/>
  <c r="L337" i="57"/>
  <c r="L338" i="57"/>
  <c r="L339" i="57"/>
  <c r="L340" i="57"/>
  <c r="L341" i="57"/>
  <c r="L342" i="57"/>
  <c r="L343" i="57"/>
  <c r="L344" i="57"/>
  <c r="R334" i="57"/>
  <c r="R335" i="57"/>
  <c r="R337" i="57"/>
  <c r="R338" i="57"/>
  <c r="R339" i="57"/>
  <c r="R340" i="57"/>
  <c r="R341" i="57"/>
  <c r="R342" i="57"/>
  <c r="R343" i="57"/>
  <c r="R344" i="57"/>
  <c r="C315" i="57"/>
  <c r="C317" i="57"/>
  <c r="C318" i="57"/>
  <c r="C320" i="57"/>
  <c r="C322" i="57"/>
  <c r="C323" i="57"/>
  <c r="C324" i="57"/>
  <c r="C325" i="57"/>
  <c r="C326" i="57"/>
  <c r="C327" i="57"/>
  <c r="C328" i="57"/>
  <c r="C329" i="57"/>
  <c r="C331" i="57"/>
  <c r="C332" i="57"/>
  <c r="C333" i="57"/>
  <c r="D315" i="57"/>
  <c r="D317" i="57"/>
  <c r="D318" i="57"/>
  <c r="D320" i="57"/>
  <c r="D322" i="57"/>
  <c r="D323" i="57"/>
  <c r="D324" i="57"/>
  <c r="D325" i="57"/>
  <c r="D326" i="57"/>
  <c r="D327" i="57"/>
  <c r="D328" i="57"/>
  <c r="D329" i="57"/>
  <c r="D331" i="57"/>
  <c r="D332" i="57"/>
  <c r="D333" i="57"/>
  <c r="E315" i="57"/>
  <c r="E317" i="57"/>
  <c r="E318" i="57"/>
  <c r="E320" i="57"/>
  <c r="E322" i="57"/>
  <c r="E323" i="57"/>
  <c r="E324" i="57"/>
  <c r="E325" i="57"/>
  <c r="E326" i="57"/>
  <c r="E327" i="57"/>
  <c r="E328" i="57"/>
  <c r="E329" i="57"/>
  <c r="E331" i="57"/>
  <c r="E332" i="57"/>
  <c r="E333" i="57"/>
  <c r="F315" i="57"/>
  <c r="F317" i="57"/>
  <c r="F318" i="57"/>
  <c r="F320" i="57"/>
  <c r="F322" i="57"/>
  <c r="F323" i="57"/>
  <c r="F324" i="57"/>
  <c r="F325" i="57"/>
  <c r="F326" i="57"/>
  <c r="F327" i="57"/>
  <c r="F328" i="57"/>
  <c r="F329" i="57"/>
  <c r="F331" i="57"/>
  <c r="F332" i="57"/>
  <c r="F333" i="57"/>
  <c r="H315" i="57"/>
  <c r="H317" i="57"/>
  <c r="H318" i="57"/>
  <c r="H320" i="57"/>
  <c r="H322" i="57"/>
  <c r="H323" i="57"/>
  <c r="H324" i="57"/>
  <c r="H325" i="57"/>
  <c r="H326" i="57"/>
  <c r="H327" i="57"/>
  <c r="H328" i="57"/>
  <c r="H329" i="57"/>
  <c r="H331" i="57"/>
  <c r="H332" i="57"/>
  <c r="H333" i="57"/>
  <c r="I315" i="57"/>
  <c r="I317" i="57"/>
  <c r="I318" i="57"/>
  <c r="I320" i="57"/>
  <c r="I322" i="57"/>
  <c r="I323" i="57"/>
  <c r="I324" i="57"/>
  <c r="I325" i="57"/>
  <c r="I326" i="57"/>
  <c r="I327" i="57"/>
  <c r="I328" i="57"/>
  <c r="I329" i="57"/>
  <c r="I331" i="57"/>
  <c r="I332" i="57"/>
  <c r="I333" i="57"/>
  <c r="L315" i="57"/>
  <c r="L317" i="57"/>
  <c r="L318" i="57"/>
  <c r="L320" i="57"/>
  <c r="L322" i="57"/>
  <c r="L323" i="57"/>
  <c r="L324" i="57"/>
  <c r="L325" i="57"/>
  <c r="L326" i="57"/>
  <c r="L327" i="57"/>
  <c r="L328" i="57"/>
  <c r="L329" i="57"/>
  <c r="L331" i="57"/>
  <c r="L332" i="57"/>
  <c r="L333" i="57"/>
  <c r="R315" i="57"/>
  <c r="R317" i="57"/>
  <c r="R318" i="57"/>
  <c r="R320" i="57"/>
  <c r="R322" i="57"/>
  <c r="R323" i="57"/>
  <c r="R324" i="57"/>
  <c r="R325" i="57"/>
  <c r="R326" i="57"/>
  <c r="R327" i="57"/>
  <c r="R328" i="57"/>
  <c r="R329" i="57"/>
  <c r="A329" i="57" s="1"/>
  <c r="R331" i="57"/>
  <c r="R332" i="57"/>
  <c r="R333" i="57"/>
  <c r="C312" i="57"/>
  <c r="C313" i="57"/>
  <c r="C314" i="57"/>
  <c r="D312" i="57"/>
  <c r="D313" i="57"/>
  <c r="D314" i="57"/>
  <c r="E312" i="57"/>
  <c r="E313" i="57"/>
  <c r="E314" i="57"/>
  <c r="F312" i="57"/>
  <c r="F313" i="57"/>
  <c r="F314" i="57"/>
  <c r="H312" i="57"/>
  <c r="H313" i="57"/>
  <c r="H314" i="57"/>
  <c r="I312" i="57"/>
  <c r="I313" i="57"/>
  <c r="I314" i="57"/>
  <c r="L312" i="57"/>
  <c r="L313" i="57"/>
  <c r="L314" i="57"/>
  <c r="R312" i="57"/>
  <c r="R313" i="57"/>
  <c r="R314" i="57"/>
  <c r="J314" i="57" s="1"/>
  <c r="C310" i="57"/>
  <c r="C311" i="57"/>
  <c r="D310" i="57"/>
  <c r="D311" i="57"/>
  <c r="E310" i="57"/>
  <c r="E311" i="57"/>
  <c r="F310" i="57"/>
  <c r="F311" i="57"/>
  <c r="H310" i="57"/>
  <c r="H311" i="57"/>
  <c r="I310" i="57"/>
  <c r="I311" i="57"/>
  <c r="L310" i="57"/>
  <c r="L311" i="57"/>
  <c r="R310" i="57"/>
  <c r="R311" i="57"/>
  <c r="C297" i="57"/>
  <c r="C298" i="57"/>
  <c r="C300" i="57"/>
  <c r="C301" i="57"/>
  <c r="C303" i="57"/>
  <c r="C304" i="57"/>
  <c r="C305" i="57"/>
  <c r="C306" i="57"/>
  <c r="D297" i="57"/>
  <c r="D298" i="57"/>
  <c r="D300" i="57"/>
  <c r="D301" i="57"/>
  <c r="D303" i="57"/>
  <c r="D304" i="57"/>
  <c r="D305" i="57"/>
  <c r="D306" i="57"/>
  <c r="E297" i="57"/>
  <c r="E298" i="57"/>
  <c r="E300" i="57"/>
  <c r="E301" i="57"/>
  <c r="E303" i="57"/>
  <c r="E304" i="57"/>
  <c r="E305" i="57"/>
  <c r="E306" i="57"/>
  <c r="F297" i="57"/>
  <c r="F298" i="57"/>
  <c r="F300" i="57"/>
  <c r="F301" i="57"/>
  <c r="F303" i="57"/>
  <c r="F304" i="57"/>
  <c r="F305" i="57"/>
  <c r="F306" i="57"/>
  <c r="H297" i="57"/>
  <c r="H298" i="57"/>
  <c r="H300" i="57"/>
  <c r="H301" i="57"/>
  <c r="H303" i="57"/>
  <c r="H304" i="57"/>
  <c r="H305" i="57"/>
  <c r="H306" i="57"/>
  <c r="I297" i="57"/>
  <c r="I298" i="57"/>
  <c r="I300" i="57"/>
  <c r="I301" i="57"/>
  <c r="I303" i="57"/>
  <c r="I304" i="57"/>
  <c r="I305" i="57"/>
  <c r="I306" i="57"/>
  <c r="L297" i="57"/>
  <c r="L298" i="57"/>
  <c r="L300" i="57"/>
  <c r="L301" i="57"/>
  <c r="L303" i="57"/>
  <c r="L304" i="57"/>
  <c r="L305" i="57"/>
  <c r="L306" i="57"/>
  <c r="R297" i="57"/>
  <c r="AD64" i="60" s="1"/>
  <c r="R298" i="57"/>
  <c r="R300" i="57"/>
  <c r="R301" i="57"/>
  <c r="R303" i="57"/>
  <c r="R304" i="57"/>
  <c r="R305" i="57"/>
  <c r="R306" i="57"/>
  <c r="C295" i="57"/>
  <c r="C296" i="57"/>
  <c r="D295" i="57"/>
  <c r="D296" i="57"/>
  <c r="E295" i="57"/>
  <c r="E296" i="57"/>
  <c r="F295" i="57"/>
  <c r="F296" i="57"/>
  <c r="H295" i="57"/>
  <c r="H296" i="57"/>
  <c r="I295" i="57"/>
  <c r="I296" i="57"/>
  <c r="L295" i="57"/>
  <c r="L296" i="57"/>
  <c r="R295" i="57"/>
  <c r="A295" i="57" s="1"/>
  <c r="R296" i="57"/>
  <c r="C275" i="57"/>
  <c r="C276" i="57"/>
  <c r="C277" i="57"/>
  <c r="C279" i="57"/>
  <c r="C280" i="57"/>
  <c r="C281" i="57"/>
  <c r="C282" i="57"/>
  <c r="C286" i="57"/>
  <c r="C288" i="57"/>
  <c r="C289" i="57"/>
  <c r="C290" i="57"/>
  <c r="C292" i="57"/>
  <c r="C294" i="57"/>
  <c r="D275" i="57"/>
  <c r="D276" i="57"/>
  <c r="D277" i="57"/>
  <c r="D279" i="57"/>
  <c r="D280" i="57"/>
  <c r="D281" i="57"/>
  <c r="D282" i="57"/>
  <c r="D286" i="57"/>
  <c r="D288" i="57"/>
  <c r="D289" i="57"/>
  <c r="D290" i="57"/>
  <c r="D292" i="57"/>
  <c r="D294" i="57"/>
  <c r="E275" i="57"/>
  <c r="E276" i="57"/>
  <c r="E277" i="57"/>
  <c r="E279" i="57"/>
  <c r="E280" i="57"/>
  <c r="E281" i="57"/>
  <c r="E282" i="57"/>
  <c r="E286" i="57"/>
  <c r="E288" i="57"/>
  <c r="E289" i="57"/>
  <c r="E290" i="57"/>
  <c r="E292" i="57"/>
  <c r="E294" i="57"/>
  <c r="F275" i="57"/>
  <c r="F276" i="57"/>
  <c r="F277" i="57"/>
  <c r="F279" i="57"/>
  <c r="F280" i="57"/>
  <c r="F281" i="57"/>
  <c r="F282" i="57"/>
  <c r="F286" i="57"/>
  <c r="F288" i="57"/>
  <c r="F289" i="57"/>
  <c r="F290" i="57"/>
  <c r="F292" i="57"/>
  <c r="F294" i="57"/>
  <c r="H275" i="57"/>
  <c r="H276" i="57"/>
  <c r="H277" i="57"/>
  <c r="H279" i="57"/>
  <c r="H280" i="57"/>
  <c r="H281" i="57"/>
  <c r="H282" i="57"/>
  <c r="H286" i="57"/>
  <c r="H288" i="57"/>
  <c r="H289" i="57"/>
  <c r="H290" i="57"/>
  <c r="H292" i="57"/>
  <c r="H294" i="57"/>
  <c r="I275" i="57"/>
  <c r="I276" i="57"/>
  <c r="I277" i="57"/>
  <c r="I279" i="57"/>
  <c r="I280" i="57"/>
  <c r="I281" i="57"/>
  <c r="I282" i="57"/>
  <c r="I286" i="57"/>
  <c r="I288" i="57"/>
  <c r="I289" i="57"/>
  <c r="I290" i="57"/>
  <c r="I292" i="57"/>
  <c r="I294" i="57"/>
  <c r="L275" i="57"/>
  <c r="L276" i="57"/>
  <c r="L277" i="57"/>
  <c r="L279" i="57"/>
  <c r="L280" i="57"/>
  <c r="L281" i="57"/>
  <c r="L282" i="57"/>
  <c r="L286" i="57"/>
  <c r="L288" i="57"/>
  <c r="L289" i="57"/>
  <c r="L290" i="57"/>
  <c r="L292" i="57"/>
  <c r="L294" i="57"/>
  <c r="R275" i="57"/>
  <c r="R276" i="57"/>
  <c r="R277" i="57"/>
  <c r="R279" i="57"/>
  <c r="R280" i="57"/>
  <c r="R281" i="57"/>
  <c r="R282" i="57"/>
  <c r="K282" i="57" s="1"/>
  <c r="R286" i="57"/>
  <c r="R288" i="57"/>
  <c r="R289" i="57"/>
  <c r="R290" i="57"/>
  <c r="R292" i="57"/>
  <c r="J292" i="57" s="1"/>
  <c r="R294" i="57"/>
  <c r="C248" i="57"/>
  <c r="C249" i="57"/>
  <c r="C250" i="57"/>
  <c r="C251" i="57"/>
  <c r="C252" i="57"/>
  <c r="C254" i="57"/>
  <c r="C257" i="57"/>
  <c r="C258" i="57"/>
  <c r="C259" i="57"/>
  <c r="C260" i="57"/>
  <c r="C261" i="57"/>
  <c r="C262" i="57"/>
  <c r="C263" i="57"/>
  <c r="C264" i="57"/>
  <c r="C267" i="57"/>
  <c r="C268" i="57"/>
  <c r="C269" i="57"/>
  <c r="C270" i="57"/>
  <c r="C271" i="57"/>
  <c r="C272" i="57"/>
  <c r="C274" i="57"/>
  <c r="D248" i="57"/>
  <c r="D249" i="57"/>
  <c r="D250" i="57"/>
  <c r="D251" i="57"/>
  <c r="D252" i="57"/>
  <c r="D254" i="57"/>
  <c r="D257" i="57"/>
  <c r="D258" i="57"/>
  <c r="D259" i="57"/>
  <c r="D260" i="57"/>
  <c r="D261" i="57"/>
  <c r="D262" i="57"/>
  <c r="D263" i="57"/>
  <c r="D264" i="57"/>
  <c r="D267" i="57"/>
  <c r="D268" i="57"/>
  <c r="D269" i="57"/>
  <c r="D270" i="57"/>
  <c r="D271" i="57"/>
  <c r="D272" i="57"/>
  <c r="D274" i="57"/>
  <c r="E248" i="57"/>
  <c r="E249" i="57"/>
  <c r="E250" i="57"/>
  <c r="E251" i="57"/>
  <c r="E252" i="57"/>
  <c r="E254" i="57"/>
  <c r="E257" i="57"/>
  <c r="E258" i="57"/>
  <c r="E259" i="57"/>
  <c r="E260" i="57"/>
  <c r="E261" i="57"/>
  <c r="E262" i="57"/>
  <c r="E263" i="57"/>
  <c r="E264" i="57"/>
  <c r="E267" i="57"/>
  <c r="E268" i="57"/>
  <c r="E269" i="57"/>
  <c r="E270" i="57"/>
  <c r="E271" i="57"/>
  <c r="E272" i="57"/>
  <c r="E274" i="57"/>
  <c r="F248" i="57"/>
  <c r="F249" i="57"/>
  <c r="F250" i="57"/>
  <c r="F251" i="57"/>
  <c r="F252" i="57"/>
  <c r="F254" i="57"/>
  <c r="F257" i="57"/>
  <c r="F258" i="57"/>
  <c r="F259" i="57"/>
  <c r="F260" i="57"/>
  <c r="F261" i="57"/>
  <c r="F262" i="57"/>
  <c r="F263" i="57"/>
  <c r="F264" i="57"/>
  <c r="F267" i="57"/>
  <c r="F268" i="57"/>
  <c r="F269" i="57"/>
  <c r="F270" i="57"/>
  <c r="F271" i="57"/>
  <c r="F272" i="57"/>
  <c r="F274" i="57"/>
  <c r="H248" i="57"/>
  <c r="H249" i="57"/>
  <c r="H250" i="57"/>
  <c r="H251" i="57"/>
  <c r="H252" i="57"/>
  <c r="H254" i="57"/>
  <c r="H257" i="57"/>
  <c r="H258" i="57"/>
  <c r="H259" i="57"/>
  <c r="H260" i="57"/>
  <c r="H261" i="57"/>
  <c r="H262" i="57"/>
  <c r="H263" i="57"/>
  <c r="H264" i="57"/>
  <c r="H267" i="57"/>
  <c r="H268" i="57"/>
  <c r="H269" i="57"/>
  <c r="H270" i="57"/>
  <c r="H271" i="57"/>
  <c r="H272" i="57"/>
  <c r="H274" i="57"/>
  <c r="I248" i="57"/>
  <c r="I249" i="57"/>
  <c r="I250" i="57"/>
  <c r="I251" i="57"/>
  <c r="I252" i="57"/>
  <c r="I254" i="57"/>
  <c r="I257" i="57"/>
  <c r="I258" i="57"/>
  <c r="I259" i="57"/>
  <c r="I260" i="57"/>
  <c r="I261" i="57"/>
  <c r="I262" i="57"/>
  <c r="I263" i="57"/>
  <c r="I264" i="57"/>
  <c r="I267" i="57"/>
  <c r="I268" i="57"/>
  <c r="I269" i="57"/>
  <c r="I270" i="57"/>
  <c r="I271" i="57"/>
  <c r="I272" i="57"/>
  <c r="I274" i="57"/>
  <c r="L248" i="57"/>
  <c r="L249" i="57"/>
  <c r="L250" i="57"/>
  <c r="L251" i="57"/>
  <c r="L252" i="57"/>
  <c r="L254" i="57"/>
  <c r="L257" i="57"/>
  <c r="L258" i="57"/>
  <c r="L259" i="57"/>
  <c r="L260" i="57"/>
  <c r="L261" i="57"/>
  <c r="L262" i="57"/>
  <c r="L263" i="57"/>
  <c r="L264" i="57"/>
  <c r="L267" i="57"/>
  <c r="L268" i="57"/>
  <c r="L269" i="57"/>
  <c r="L270" i="57"/>
  <c r="L271" i="57"/>
  <c r="L272" i="57"/>
  <c r="L274" i="57"/>
  <c r="R248" i="57"/>
  <c r="R249" i="57"/>
  <c r="A249" i="57" s="1"/>
  <c r="R250" i="57"/>
  <c r="R251" i="57"/>
  <c r="R252" i="57"/>
  <c r="R254" i="57"/>
  <c r="AD83" i="60" s="1"/>
  <c r="R257" i="57"/>
  <c r="R258" i="57"/>
  <c r="A258" i="57" s="1"/>
  <c r="R259" i="57"/>
  <c r="R260" i="57"/>
  <c r="R261" i="57"/>
  <c r="R262" i="57"/>
  <c r="R263" i="57"/>
  <c r="J263" i="57" s="1"/>
  <c r="R264" i="57"/>
  <c r="R267" i="57"/>
  <c r="R268" i="57"/>
  <c r="R269" i="57"/>
  <c r="R270" i="57"/>
  <c r="A270" i="57" s="1"/>
  <c r="R271" i="57"/>
  <c r="R272" i="57"/>
  <c r="R274" i="57"/>
  <c r="C244" i="57"/>
  <c r="C245" i="57"/>
  <c r="C247" i="57"/>
  <c r="D244" i="57"/>
  <c r="D245" i="57"/>
  <c r="D247" i="57"/>
  <c r="E244" i="57"/>
  <c r="E245" i="57"/>
  <c r="E247" i="57"/>
  <c r="F244" i="57"/>
  <c r="F245" i="57"/>
  <c r="F247" i="57"/>
  <c r="H244" i="57"/>
  <c r="H245" i="57"/>
  <c r="H247" i="57"/>
  <c r="I244" i="57"/>
  <c r="I245" i="57"/>
  <c r="I247" i="57"/>
  <c r="L244" i="57"/>
  <c r="L245" i="57"/>
  <c r="L247" i="57"/>
  <c r="R244" i="57"/>
  <c r="R245" i="57"/>
  <c r="K245" i="57" s="1"/>
  <c r="R247" i="57"/>
  <c r="A247" i="57" s="1"/>
  <c r="C240" i="57"/>
  <c r="C241" i="57"/>
  <c r="C242" i="57"/>
  <c r="C243" i="57"/>
  <c r="D240" i="57"/>
  <c r="D241" i="57"/>
  <c r="D242" i="57"/>
  <c r="D243" i="57"/>
  <c r="E240" i="57"/>
  <c r="E241" i="57"/>
  <c r="E242" i="57"/>
  <c r="E243" i="57"/>
  <c r="F240" i="57"/>
  <c r="F241" i="57"/>
  <c r="F242" i="57"/>
  <c r="F243" i="57"/>
  <c r="H240" i="57"/>
  <c r="H241" i="57"/>
  <c r="H242" i="57"/>
  <c r="H243" i="57"/>
  <c r="I240" i="57"/>
  <c r="I241" i="57"/>
  <c r="I242" i="57"/>
  <c r="I243" i="57"/>
  <c r="L240" i="57"/>
  <c r="L241" i="57"/>
  <c r="L242" i="57"/>
  <c r="L243" i="57"/>
  <c r="R240" i="57"/>
  <c r="R241" i="57"/>
  <c r="A241" i="57" s="1"/>
  <c r="R242" i="57"/>
  <c r="R243" i="57"/>
  <c r="C138" i="57"/>
  <c r="C139" i="57"/>
  <c r="C141" i="57"/>
  <c r="C142" i="57"/>
  <c r="C144" i="57"/>
  <c r="C146" i="57"/>
  <c r="C149" i="57"/>
  <c r="C150" i="57"/>
  <c r="C151" i="57"/>
  <c r="C152" i="57"/>
  <c r="C155" i="57"/>
  <c r="C156" i="57"/>
  <c r="C157" i="57"/>
  <c r="C158" i="57"/>
  <c r="C159" i="57"/>
  <c r="C160" i="57"/>
  <c r="C161" i="57"/>
  <c r="C162" i="57"/>
  <c r="C163" i="57"/>
  <c r="C164" i="57"/>
  <c r="C167" i="57"/>
  <c r="C170" i="57"/>
  <c r="C174" i="57"/>
  <c r="C175" i="57"/>
  <c r="C176" i="57"/>
  <c r="C177" i="57"/>
  <c r="C178" i="57"/>
  <c r="C179" i="57"/>
  <c r="C180" i="57"/>
  <c r="C181" i="57"/>
  <c r="C182" i="57"/>
  <c r="C183" i="57"/>
  <c r="C184" i="57"/>
  <c r="C185" i="57"/>
  <c r="C186" i="57"/>
  <c r="C187" i="57"/>
  <c r="C188" i="57"/>
  <c r="C189" i="57"/>
  <c r="C190" i="57"/>
  <c r="C191" i="57"/>
  <c r="C193" i="57"/>
  <c r="C194" i="57"/>
  <c r="C195" i="57"/>
  <c r="C196" i="57"/>
  <c r="C197" i="57"/>
  <c r="C198" i="57"/>
  <c r="C199" i="57"/>
  <c r="C201" i="57"/>
  <c r="C202" i="57"/>
  <c r="C203" i="57"/>
  <c r="C204" i="57"/>
  <c r="C205" i="57"/>
  <c r="C206" i="57"/>
  <c r="C207" i="57"/>
  <c r="C208" i="57"/>
  <c r="C209" i="57"/>
  <c r="C210" i="57"/>
  <c r="C211" i="57"/>
  <c r="C215" i="57"/>
  <c r="C216" i="57"/>
  <c r="C219" i="57"/>
  <c r="C220" i="57"/>
  <c r="C221" i="57"/>
  <c r="C222" i="57"/>
  <c r="C223" i="57"/>
  <c r="C224" i="57"/>
  <c r="C225" i="57"/>
  <c r="C226" i="57"/>
  <c r="C227" i="57"/>
  <c r="C230" i="57"/>
  <c r="C231" i="57"/>
  <c r="C232" i="57"/>
  <c r="C234" i="57"/>
  <c r="C236" i="57"/>
  <c r="C238" i="57"/>
  <c r="C239" i="57"/>
  <c r="D138" i="57"/>
  <c r="D139" i="57"/>
  <c r="D141" i="57"/>
  <c r="D142" i="57"/>
  <c r="D144" i="57"/>
  <c r="D146" i="57"/>
  <c r="D149" i="57"/>
  <c r="D150" i="57"/>
  <c r="D151" i="57"/>
  <c r="D152" i="57"/>
  <c r="D155" i="57"/>
  <c r="D156" i="57"/>
  <c r="D157" i="57"/>
  <c r="D158" i="57"/>
  <c r="D159" i="57"/>
  <c r="D160" i="57"/>
  <c r="D161" i="57"/>
  <c r="D162" i="57"/>
  <c r="D163" i="57"/>
  <c r="D164" i="57"/>
  <c r="D167" i="57"/>
  <c r="D170" i="57"/>
  <c r="D174" i="57"/>
  <c r="D175" i="57"/>
  <c r="D176" i="57"/>
  <c r="D177" i="57"/>
  <c r="D178" i="57"/>
  <c r="D179" i="57"/>
  <c r="D180" i="57"/>
  <c r="D181" i="57"/>
  <c r="D182" i="57"/>
  <c r="D183" i="57"/>
  <c r="D184" i="57"/>
  <c r="D185" i="57"/>
  <c r="D186" i="57"/>
  <c r="D187" i="57"/>
  <c r="D188" i="57"/>
  <c r="D189" i="57"/>
  <c r="D190" i="57"/>
  <c r="D191" i="57"/>
  <c r="D193" i="57"/>
  <c r="D194" i="57"/>
  <c r="D195" i="57"/>
  <c r="D196" i="57"/>
  <c r="D197" i="57"/>
  <c r="D198" i="57"/>
  <c r="D199" i="57"/>
  <c r="D201" i="57"/>
  <c r="D202" i="57"/>
  <c r="D203" i="57"/>
  <c r="D204" i="57"/>
  <c r="D205" i="57"/>
  <c r="D206" i="57"/>
  <c r="D207" i="57"/>
  <c r="D208" i="57"/>
  <c r="D209" i="57"/>
  <c r="D210" i="57"/>
  <c r="D211" i="57"/>
  <c r="D215" i="57"/>
  <c r="D216" i="57"/>
  <c r="D219" i="57"/>
  <c r="D220" i="57"/>
  <c r="D221" i="57"/>
  <c r="D222" i="57"/>
  <c r="D223" i="57"/>
  <c r="D224" i="57"/>
  <c r="D225" i="57"/>
  <c r="D226" i="57"/>
  <c r="D227" i="57"/>
  <c r="D230" i="57"/>
  <c r="D231" i="57"/>
  <c r="D232" i="57"/>
  <c r="D234" i="57"/>
  <c r="D236" i="57"/>
  <c r="D238" i="57"/>
  <c r="D239" i="57"/>
  <c r="E138" i="57"/>
  <c r="E139" i="57"/>
  <c r="E141" i="57"/>
  <c r="E142" i="57"/>
  <c r="E144" i="57"/>
  <c r="E146" i="57"/>
  <c r="E149" i="57"/>
  <c r="E150" i="57"/>
  <c r="E151" i="57"/>
  <c r="E152" i="57"/>
  <c r="E155" i="57"/>
  <c r="E156" i="57"/>
  <c r="E157" i="57"/>
  <c r="E158" i="57"/>
  <c r="E159" i="57"/>
  <c r="E160" i="57"/>
  <c r="E161" i="57"/>
  <c r="E162" i="57"/>
  <c r="E163" i="57"/>
  <c r="E164" i="57"/>
  <c r="E167" i="57"/>
  <c r="E170" i="57"/>
  <c r="E174" i="57"/>
  <c r="E175" i="57"/>
  <c r="E176" i="57"/>
  <c r="E177" i="57"/>
  <c r="E178" i="57"/>
  <c r="E179" i="57"/>
  <c r="E180" i="57"/>
  <c r="E181" i="57"/>
  <c r="E182" i="57"/>
  <c r="E183" i="57"/>
  <c r="E184" i="57"/>
  <c r="E185" i="57"/>
  <c r="E186" i="57"/>
  <c r="E187" i="57"/>
  <c r="E188" i="57"/>
  <c r="E189" i="57"/>
  <c r="E190" i="57"/>
  <c r="E191" i="57"/>
  <c r="E193" i="57"/>
  <c r="E194" i="57"/>
  <c r="E195" i="57"/>
  <c r="E196" i="57"/>
  <c r="E197" i="57"/>
  <c r="E198" i="57"/>
  <c r="E199" i="57"/>
  <c r="E201" i="57"/>
  <c r="E202" i="57"/>
  <c r="E203" i="57"/>
  <c r="E204" i="57"/>
  <c r="E205" i="57"/>
  <c r="E206" i="57"/>
  <c r="E207" i="57"/>
  <c r="E208" i="57"/>
  <c r="E209" i="57"/>
  <c r="E210" i="57"/>
  <c r="E211" i="57"/>
  <c r="E215" i="57"/>
  <c r="E216" i="57"/>
  <c r="E219" i="57"/>
  <c r="E220" i="57"/>
  <c r="E221" i="57"/>
  <c r="E222" i="57"/>
  <c r="E223" i="57"/>
  <c r="E224" i="57"/>
  <c r="E225" i="57"/>
  <c r="E226" i="57"/>
  <c r="E227" i="57"/>
  <c r="E230" i="57"/>
  <c r="E231" i="57"/>
  <c r="E232" i="57"/>
  <c r="E234" i="57"/>
  <c r="E236" i="57"/>
  <c r="E238" i="57"/>
  <c r="E239" i="57"/>
  <c r="F138" i="57"/>
  <c r="F139" i="57"/>
  <c r="F141" i="57"/>
  <c r="F142" i="57"/>
  <c r="F144" i="57"/>
  <c r="F146" i="57"/>
  <c r="F149" i="57"/>
  <c r="F150" i="57"/>
  <c r="F151" i="57"/>
  <c r="F152" i="57"/>
  <c r="F155" i="57"/>
  <c r="F156" i="57"/>
  <c r="F157" i="57"/>
  <c r="F158" i="57"/>
  <c r="F159" i="57"/>
  <c r="F160" i="57"/>
  <c r="F161" i="57"/>
  <c r="F162" i="57"/>
  <c r="F163" i="57"/>
  <c r="F164" i="57"/>
  <c r="F167" i="57"/>
  <c r="F170" i="57"/>
  <c r="F174" i="57"/>
  <c r="F175" i="57"/>
  <c r="F176" i="57"/>
  <c r="F177" i="57"/>
  <c r="F178" i="57"/>
  <c r="F179" i="57"/>
  <c r="F180" i="57"/>
  <c r="F181" i="57"/>
  <c r="F182" i="57"/>
  <c r="F183" i="57"/>
  <c r="F184" i="57"/>
  <c r="F185" i="57"/>
  <c r="F186" i="57"/>
  <c r="F187" i="57"/>
  <c r="F188" i="57"/>
  <c r="F189" i="57"/>
  <c r="F190" i="57"/>
  <c r="F191" i="57"/>
  <c r="F193" i="57"/>
  <c r="F194" i="57"/>
  <c r="F195" i="57"/>
  <c r="F196" i="57"/>
  <c r="F197" i="57"/>
  <c r="F198" i="57"/>
  <c r="F199" i="57"/>
  <c r="F201" i="57"/>
  <c r="F202" i="57"/>
  <c r="F203" i="57"/>
  <c r="F204" i="57"/>
  <c r="F205" i="57"/>
  <c r="F206" i="57"/>
  <c r="F207" i="57"/>
  <c r="F208" i="57"/>
  <c r="F209" i="57"/>
  <c r="F210" i="57"/>
  <c r="F211" i="57"/>
  <c r="F215" i="57"/>
  <c r="F216" i="57"/>
  <c r="F219" i="57"/>
  <c r="F220" i="57"/>
  <c r="F221" i="57"/>
  <c r="F222" i="57"/>
  <c r="F223" i="57"/>
  <c r="F224" i="57"/>
  <c r="F225" i="57"/>
  <c r="F226" i="57"/>
  <c r="F227" i="57"/>
  <c r="F230" i="57"/>
  <c r="F231" i="57"/>
  <c r="F232" i="57"/>
  <c r="F234" i="57"/>
  <c r="F236" i="57"/>
  <c r="F238" i="57"/>
  <c r="F239" i="57"/>
  <c r="H138" i="57"/>
  <c r="H139" i="57"/>
  <c r="H141" i="57"/>
  <c r="H142" i="57"/>
  <c r="H144" i="57"/>
  <c r="H146" i="57"/>
  <c r="H149" i="57"/>
  <c r="H150" i="57"/>
  <c r="H151" i="57"/>
  <c r="H152" i="57"/>
  <c r="H155" i="57"/>
  <c r="H156" i="57"/>
  <c r="H157" i="57"/>
  <c r="H158" i="57"/>
  <c r="H159" i="57"/>
  <c r="H160" i="57"/>
  <c r="H161" i="57"/>
  <c r="H162" i="57"/>
  <c r="H163" i="57"/>
  <c r="H164" i="57"/>
  <c r="H167" i="57"/>
  <c r="H170" i="57"/>
  <c r="H174" i="57"/>
  <c r="H175" i="57"/>
  <c r="H176" i="57"/>
  <c r="H177" i="57"/>
  <c r="H178" i="57"/>
  <c r="H179" i="57"/>
  <c r="H180" i="57"/>
  <c r="H181" i="57"/>
  <c r="H182" i="57"/>
  <c r="H183" i="57"/>
  <c r="H184" i="57"/>
  <c r="H185" i="57"/>
  <c r="H186" i="57"/>
  <c r="H187" i="57"/>
  <c r="H188" i="57"/>
  <c r="H189" i="57"/>
  <c r="H190" i="57"/>
  <c r="H191" i="57"/>
  <c r="H193" i="57"/>
  <c r="H194" i="57"/>
  <c r="H195" i="57"/>
  <c r="H196" i="57"/>
  <c r="H197" i="57"/>
  <c r="H198" i="57"/>
  <c r="H199" i="57"/>
  <c r="H201" i="57"/>
  <c r="H202" i="57"/>
  <c r="H203" i="57"/>
  <c r="H204" i="57"/>
  <c r="H205" i="57"/>
  <c r="H206" i="57"/>
  <c r="H207" i="57"/>
  <c r="H208" i="57"/>
  <c r="H209" i="57"/>
  <c r="H210" i="57"/>
  <c r="H211" i="57"/>
  <c r="H215" i="57"/>
  <c r="H216" i="57"/>
  <c r="H219" i="57"/>
  <c r="H220" i="57"/>
  <c r="H221" i="57"/>
  <c r="H222" i="57"/>
  <c r="H223" i="57"/>
  <c r="H224" i="57"/>
  <c r="H225" i="57"/>
  <c r="H226" i="57"/>
  <c r="H227" i="57"/>
  <c r="H230" i="57"/>
  <c r="H231" i="57"/>
  <c r="H232" i="57"/>
  <c r="H234" i="57"/>
  <c r="H236" i="57"/>
  <c r="H238" i="57"/>
  <c r="H239" i="57"/>
  <c r="I138" i="57"/>
  <c r="I139" i="57"/>
  <c r="I141" i="57"/>
  <c r="I142" i="57"/>
  <c r="I144" i="57"/>
  <c r="I146" i="57"/>
  <c r="I149" i="57"/>
  <c r="I150" i="57"/>
  <c r="I151" i="57"/>
  <c r="I152" i="57"/>
  <c r="I155" i="57"/>
  <c r="I156" i="57"/>
  <c r="I157" i="57"/>
  <c r="I158" i="57"/>
  <c r="I159" i="57"/>
  <c r="I160" i="57"/>
  <c r="I161" i="57"/>
  <c r="I162" i="57"/>
  <c r="I163" i="57"/>
  <c r="I164" i="57"/>
  <c r="I167" i="57"/>
  <c r="I170" i="57"/>
  <c r="I174" i="57"/>
  <c r="I175" i="57"/>
  <c r="I176" i="57"/>
  <c r="I177" i="57"/>
  <c r="I178" i="57"/>
  <c r="I179" i="57"/>
  <c r="I180" i="57"/>
  <c r="I181" i="57"/>
  <c r="I182" i="57"/>
  <c r="I183" i="57"/>
  <c r="I184" i="57"/>
  <c r="I185" i="57"/>
  <c r="I186" i="57"/>
  <c r="I187" i="57"/>
  <c r="I188" i="57"/>
  <c r="I189" i="57"/>
  <c r="I190" i="57"/>
  <c r="I191" i="57"/>
  <c r="I193" i="57"/>
  <c r="I194" i="57"/>
  <c r="I195" i="57"/>
  <c r="I196" i="57"/>
  <c r="I197" i="57"/>
  <c r="I198" i="57"/>
  <c r="I199" i="57"/>
  <c r="I201" i="57"/>
  <c r="I202" i="57"/>
  <c r="I203" i="57"/>
  <c r="I204" i="57"/>
  <c r="I205" i="57"/>
  <c r="I206" i="57"/>
  <c r="I207" i="57"/>
  <c r="I208" i="57"/>
  <c r="I209" i="57"/>
  <c r="I210" i="57"/>
  <c r="I211" i="57"/>
  <c r="I215" i="57"/>
  <c r="I216" i="57"/>
  <c r="I219" i="57"/>
  <c r="I220" i="57"/>
  <c r="I221" i="57"/>
  <c r="I222" i="57"/>
  <c r="I223" i="57"/>
  <c r="I224" i="57"/>
  <c r="I225" i="57"/>
  <c r="I226" i="57"/>
  <c r="I227" i="57"/>
  <c r="I230" i="57"/>
  <c r="I231" i="57"/>
  <c r="I232" i="57"/>
  <c r="I234" i="57"/>
  <c r="I236" i="57"/>
  <c r="I238" i="57"/>
  <c r="I239" i="57"/>
  <c r="L138" i="57"/>
  <c r="L139" i="57"/>
  <c r="L141" i="57"/>
  <c r="L142" i="57"/>
  <c r="L144" i="57"/>
  <c r="L146" i="57"/>
  <c r="L149" i="57"/>
  <c r="L150" i="57"/>
  <c r="L151" i="57"/>
  <c r="L152" i="57"/>
  <c r="L155" i="57"/>
  <c r="L156" i="57"/>
  <c r="L157" i="57"/>
  <c r="L158" i="57"/>
  <c r="L159" i="57"/>
  <c r="L160" i="57"/>
  <c r="L161" i="57"/>
  <c r="L162" i="57"/>
  <c r="L163" i="57"/>
  <c r="L164" i="57"/>
  <c r="L167" i="57"/>
  <c r="L170" i="57"/>
  <c r="L174" i="57"/>
  <c r="L175" i="57"/>
  <c r="L176" i="57"/>
  <c r="L177" i="57"/>
  <c r="L178" i="57"/>
  <c r="L179" i="57"/>
  <c r="L180" i="57"/>
  <c r="L181" i="57"/>
  <c r="L182" i="57"/>
  <c r="L183" i="57"/>
  <c r="L184" i="57"/>
  <c r="L185" i="57"/>
  <c r="L186" i="57"/>
  <c r="L187" i="57"/>
  <c r="L188" i="57"/>
  <c r="L189" i="57"/>
  <c r="L190" i="57"/>
  <c r="L191" i="57"/>
  <c r="L193" i="57"/>
  <c r="L194" i="57"/>
  <c r="L195" i="57"/>
  <c r="L196" i="57"/>
  <c r="L197" i="57"/>
  <c r="L198" i="57"/>
  <c r="L199" i="57"/>
  <c r="L201" i="57"/>
  <c r="L202" i="57"/>
  <c r="L203" i="57"/>
  <c r="L204" i="57"/>
  <c r="L205" i="57"/>
  <c r="L206" i="57"/>
  <c r="L207" i="57"/>
  <c r="L208" i="57"/>
  <c r="L209" i="57"/>
  <c r="L210" i="57"/>
  <c r="L211" i="57"/>
  <c r="L215" i="57"/>
  <c r="L216" i="57"/>
  <c r="L219" i="57"/>
  <c r="L220" i="57"/>
  <c r="L221" i="57"/>
  <c r="L222" i="57"/>
  <c r="L223" i="57"/>
  <c r="L224" i="57"/>
  <c r="L225" i="57"/>
  <c r="L226" i="57"/>
  <c r="L227" i="57"/>
  <c r="L230" i="57"/>
  <c r="L231" i="57"/>
  <c r="L232" i="57"/>
  <c r="L234" i="57"/>
  <c r="L236" i="57"/>
  <c r="L238" i="57"/>
  <c r="L239" i="57"/>
  <c r="R138" i="57"/>
  <c r="R139" i="57"/>
  <c r="R141" i="57"/>
  <c r="R142" i="57"/>
  <c r="R144" i="57"/>
  <c r="K144" i="57" s="1"/>
  <c r="R146" i="57"/>
  <c r="AD139" i="60" s="1"/>
  <c r="R149" i="57"/>
  <c r="R150" i="57"/>
  <c r="R151" i="57"/>
  <c r="R152" i="57"/>
  <c r="A152" i="57" s="1"/>
  <c r="R155" i="57"/>
  <c r="R156" i="57"/>
  <c r="R157" i="57"/>
  <c r="R158" i="57"/>
  <c r="R159" i="57"/>
  <c r="R160" i="57"/>
  <c r="R161" i="57"/>
  <c r="R162" i="57"/>
  <c r="R163" i="57"/>
  <c r="J163" i="57" s="1"/>
  <c r="R164" i="57"/>
  <c r="R167" i="57"/>
  <c r="R170" i="57"/>
  <c r="AD53" i="69" s="1"/>
  <c r="R174" i="57"/>
  <c r="R175" i="57"/>
  <c r="R176" i="57"/>
  <c r="R177" i="57"/>
  <c r="R178" i="57"/>
  <c r="R179" i="57"/>
  <c r="K179" i="57" s="1"/>
  <c r="R180" i="57"/>
  <c r="R181" i="57"/>
  <c r="R182" i="57"/>
  <c r="R183" i="57"/>
  <c r="R184" i="57"/>
  <c r="R185" i="57"/>
  <c r="R186" i="57"/>
  <c r="R187" i="57"/>
  <c r="R188" i="57"/>
  <c r="K188" i="57" s="1"/>
  <c r="R189" i="57"/>
  <c r="K189" i="57" s="1"/>
  <c r="R190" i="57"/>
  <c r="A190" i="57" s="1"/>
  <c r="R191" i="57"/>
  <c r="R193" i="57"/>
  <c r="R194" i="57"/>
  <c r="R195" i="57"/>
  <c r="R196" i="57"/>
  <c r="K196" i="57" s="1"/>
  <c r="R197" i="57"/>
  <c r="AD50" i="60" s="1"/>
  <c r="R198" i="57"/>
  <c r="R199" i="57"/>
  <c r="R201" i="57"/>
  <c r="R202" i="57"/>
  <c r="R203" i="57"/>
  <c r="R204" i="57"/>
  <c r="AD152" i="60" s="1"/>
  <c r="R205" i="57"/>
  <c r="R206" i="57"/>
  <c r="K206" i="57" s="1"/>
  <c r="R207" i="57"/>
  <c r="A207" i="57" s="1"/>
  <c r="R208" i="57"/>
  <c r="A208" i="57" s="1"/>
  <c r="R209" i="57"/>
  <c r="R210" i="57"/>
  <c r="K210" i="57" s="1"/>
  <c r="R211" i="57"/>
  <c r="R215" i="57"/>
  <c r="R216" i="57"/>
  <c r="R219" i="57"/>
  <c r="AD32" i="60" s="1"/>
  <c r="R220" i="57"/>
  <c r="R221" i="57"/>
  <c r="R222" i="57"/>
  <c r="R223" i="57"/>
  <c r="R224" i="57"/>
  <c r="R225" i="57"/>
  <c r="R226" i="57"/>
  <c r="R227" i="57"/>
  <c r="R230" i="57"/>
  <c r="AD213" i="69" s="1"/>
  <c r="R231" i="57"/>
  <c r="R232" i="57"/>
  <c r="R234" i="57"/>
  <c r="R236" i="57"/>
  <c r="J236" i="57" s="1"/>
  <c r="R238" i="57"/>
  <c r="R239" i="57"/>
  <c r="K239" i="57" s="1"/>
  <c r="C137" i="57"/>
  <c r="D137" i="57"/>
  <c r="E137" i="57"/>
  <c r="F137" i="57"/>
  <c r="H137" i="57"/>
  <c r="I137" i="57"/>
  <c r="L137" i="57"/>
  <c r="R137" i="57"/>
  <c r="C127" i="57"/>
  <c r="C129" i="57"/>
  <c r="C130" i="57"/>
  <c r="C131" i="57"/>
  <c r="C132" i="57"/>
  <c r="C133" i="57"/>
  <c r="C134" i="57"/>
  <c r="C136" i="57"/>
  <c r="D127" i="57"/>
  <c r="D129" i="57"/>
  <c r="D130" i="57"/>
  <c r="D131" i="57"/>
  <c r="D132" i="57"/>
  <c r="D133" i="57"/>
  <c r="D134" i="57"/>
  <c r="D136" i="57"/>
  <c r="E127" i="57"/>
  <c r="E129" i="57"/>
  <c r="E130" i="57"/>
  <c r="E131" i="57"/>
  <c r="E132" i="57"/>
  <c r="E133" i="57"/>
  <c r="E134" i="57"/>
  <c r="E136" i="57"/>
  <c r="F127" i="57"/>
  <c r="F129" i="57"/>
  <c r="F130" i="57"/>
  <c r="F131" i="57"/>
  <c r="F132" i="57"/>
  <c r="F133" i="57"/>
  <c r="F134" i="57"/>
  <c r="F136" i="57"/>
  <c r="H127" i="57"/>
  <c r="H129" i="57"/>
  <c r="H130" i="57"/>
  <c r="H131" i="57"/>
  <c r="H132" i="57"/>
  <c r="H133" i="57"/>
  <c r="H134" i="57"/>
  <c r="H136" i="57"/>
  <c r="I127" i="57"/>
  <c r="I129" i="57"/>
  <c r="I130" i="57"/>
  <c r="I131" i="57"/>
  <c r="I132" i="57"/>
  <c r="I133" i="57"/>
  <c r="I134" i="57"/>
  <c r="I136" i="57"/>
  <c r="L127" i="57"/>
  <c r="L129" i="57"/>
  <c r="L130" i="57"/>
  <c r="L131" i="57"/>
  <c r="L132" i="57"/>
  <c r="L133" i="57"/>
  <c r="L134" i="57"/>
  <c r="L136" i="57"/>
  <c r="R127" i="57"/>
  <c r="R129" i="57"/>
  <c r="R130" i="57"/>
  <c r="R131" i="57"/>
  <c r="R132" i="57"/>
  <c r="R133" i="57"/>
  <c r="R134" i="57"/>
  <c r="J134" i="57" s="1"/>
  <c r="R136" i="57"/>
  <c r="C119" i="57"/>
  <c r="C120" i="57"/>
  <c r="C121" i="57"/>
  <c r="C122" i="57"/>
  <c r="C123" i="57"/>
  <c r="C124" i="57"/>
  <c r="C125" i="57"/>
  <c r="C126" i="57"/>
  <c r="D119" i="57"/>
  <c r="D120" i="57"/>
  <c r="D121" i="57"/>
  <c r="D122" i="57"/>
  <c r="D123" i="57"/>
  <c r="D124" i="57"/>
  <c r="D125" i="57"/>
  <c r="D126" i="57"/>
  <c r="E119" i="57"/>
  <c r="E120" i="57"/>
  <c r="E121" i="57"/>
  <c r="E122" i="57"/>
  <c r="E123" i="57"/>
  <c r="E124" i="57"/>
  <c r="E125" i="57"/>
  <c r="E126" i="57"/>
  <c r="F119" i="57"/>
  <c r="F120" i="57"/>
  <c r="F121" i="57"/>
  <c r="F122" i="57"/>
  <c r="F123" i="57"/>
  <c r="F124" i="57"/>
  <c r="F125" i="57"/>
  <c r="F126" i="57"/>
  <c r="H119" i="57"/>
  <c r="H120" i="57"/>
  <c r="H121" i="57"/>
  <c r="H122" i="57"/>
  <c r="H123" i="57"/>
  <c r="H124" i="57"/>
  <c r="H125" i="57"/>
  <c r="H126" i="57"/>
  <c r="I119" i="57"/>
  <c r="I120" i="57"/>
  <c r="I121" i="57"/>
  <c r="I122" i="57"/>
  <c r="I123" i="57"/>
  <c r="I124" i="57"/>
  <c r="I125" i="57"/>
  <c r="I126" i="57"/>
  <c r="L119" i="57"/>
  <c r="L120" i="57"/>
  <c r="L121" i="57"/>
  <c r="L122" i="57"/>
  <c r="L123" i="57"/>
  <c r="L124" i="57"/>
  <c r="L125" i="57"/>
  <c r="L126" i="57"/>
  <c r="R119" i="57"/>
  <c r="R120" i="57"/>
  <c r="A120" i="57" s="1"/>
  <c r="R121" i="57"/>
  <c r="A121" i="57" s="1"/>
  <c r="R122" i="57"/>
  <c r="R123" i="57"/>
  <c r="K123" i="57" s="1"/>
  <c r="R124" i="57"/>
  <c r="R125" i="57"/>
  <c r="R126" i="57"/>
  <c r="C102" i="57"/>
  <c r="C103" i="57"/>
  <c r="C104" i="57"/>
  <c r="C105" i="57"/>
  <c r="C106" i="57"/>
  <c r="C108" i="57"/>
  <c r="C110" i="57"/>
  <c r="C111" i="57"/>
  <c r="C112" i="57"/>
  <c r="C113" i="57"/>
  <c r="C115" i="57"/>
  <c r="C116" i="57"/>
  <c r="C117" i="57"/>
  <c r="C118" i="57"/>
  <c r="D102" i="57"/>
  <c r="D103" i="57"/>
  <c r="D104" i="57"/>
  <c r="D105" i="57"/>
  <c r="D106" i="57"/>
  <c r="D108" i="57"/>
  <c r="D110" i="57"/>
  <c r="D111" i="57"/>
  <c r="D112" i="57"/>
  <c r="D113" i="57"/>
  <c r="D115" i="57"/>
  <c r="D116" i="57"/>
  <c r="D117" i="57"/>
  <c r="D118" i="57"/>
  <c r="E102" i="57"/>
  <c r="E103" i="57"/>
  <c r="E104" i="57"/>
  <c r="E105" i="57"/>
  <c r="E106" i="57"/>
  <c r="E108" i="57"/>
  <c r="E110" i="57"/>
  <c r="E111" i="57"/>
  <c r="E112" i="57"/>
  <c r="E113" i="57"/>
  <c r="E115" i="57"/>
  <c r="E116" i="57"/>
  <c r="E117" i="57"/>
  <c r="E118" i="57"/>
  <c r="F102" i="57"/>
  <c r="F103" i="57"/>
  <c r="F104" i="57"/>
  <c r="F105" i="57"/>
  <c r="F106" i="57"/>
  <c r="F108" i="57"/>
  <c r="F110" i="57"/>
  <c r="F111" i="57"/>
  <c r="F112" i="57"/>
  <c r="F113" i="57"/>
  <c r="F115" i="57"/>
  <c r="F116" i="57"/>
  <c r="F117" i="57"/>
  <c r="F118" i="57"/>
  <c r="H102" i="57"/>
  <c r="H103" i="57"/>
  <c r="H104" i="57"/>
  <c r="H105" i="57"/>
  <c r="H106" i="57"/>
  <c r="H108" i="57"/>
  <c r="H110" i="57"/>
  <c r="H111" i="57"/>
  <c r="H112" i="57"/>
  <c r="H113" i="57"/>
  <c r="H115" i="57"/>
  <c r="H116" i="57"/>
  <c r="H117" i="57"/>
  <c r="H118" i="57"/>
  <c r="I102" i="57"/>
  <c r="I103" i="57"/>
  <c r="I104" i="57"/>
  <c r="I105" i="57"/>
  <c r="I106" i="57"/>
  <c r="I108" i="57"/>
  <c r="I110" i="57"/>
  <c r="I111" i="57"/>
  <c r="I112" i="57"/>
  <c r="I113" i="57"/>
  <c r="I115" i="57"/>
  <c r="I116" i="57"/>
  <c r="I117" i="57"/>
  <c r="I118" i="57"/>
  <c r="L102" i="57"/>
  <c r="L103" i="57"/>
  <c r="L104" i="57"/>
  <c r="L105" i="57"/>
  <c r="L106" i="57"/>
  <c r="L108" i="57"/>
  <c r="L110" i="57"/>
  <c r="L111" i="57"/>
  <c r="L112" i="57"/>
  <c r="L113" i="57"/>
  <c r="L115" i="57"/>
  <c r="L116" i="57"/>
  <c r="L117" i="57"/>
  <c r="L118" i="57"/>
  <c r="R102" i="57"/>
  <c r="R103" i="57"/>
  <c r="R104" i="57"/>
  <c r="R105" i="57"/>
  <c r="R106" i="57"/>
  <c r="R108" i="57"/>
  <c r="R110" i="57"/>
  <c r="R111" i="57"/>
  <c r="R112" i="57"/>
  <c r="R113" i="57"/>
  <c r="R115" i="57"/>
  <c r="R116" i="57"/>
  <c r="R117" i="57"/>
  <c r="R118" i="57"/>
  <c r="C88" i="57"/>
  <c r="C91" i="57"/>
  <c r="C92" i="57"/>
  <c r="C93" i="57"/>
  <c r="C96" i="57"/>
  <c r="C97" i="57"/>
  <c r="C98" i="57"/>
  <c r="C99" i="57"/>
  <c r="C100" i="57"/>
  <c r="D88" i="57"/>
  <c r="D91" i="57"/>
  <c r="D92" i="57"/>
  <c r="D93" i="57"/>
  <c r="D96" i="57"/>
  <c r="D97" i="57"/>
  <c r="D98" i="57"/>
  <c r="D99" i="57"/>
  <c r="D100" i="57"/>
  <c r="E88" i="57"/>
  <c r="E91" i="57"/>
  <c r="E92" i="57"/>
  <c r="E93" i="57"/>
  <c r="E96" i="57"/>
  <c r="E97" i="57"/>
  <c r="E98" i="57"/>
  <c r="E99" i="57"/>
  <c r="E100" i="57"/>
  <c r="F88" i="57"/>
  <c r="F91" i="57"/>
  <c r="F92" i="57"/>
  <c r="F93" i="57"/>
  <c r="F96" i="57"/>
  <c r="F97" i="57"/>
  <c r="F98" i="57"/>
  <c r="F99" i="57"/>
  <c r="F100" i="57"/>
  <c r="H88" i="57"/>
  <c r="H91" i="57"/>
  <c r="H92" i="57"/>
  <c r="H93" i="57"/>
  <c r="H96" i="57"/>
  <c r="H97" i="57"/>
  <c r="H98" i="57"/>
  <c r="H99" i="57"/>
  <c r="H100" i="57"/>
  <c r="I88" i="57"/>
  <c r="I91" i="57"/>
  <c r="I92" i="57"/>
  <c r="I93" i="57"/>
  <c r="I96" i="57"/>
  <c r="I97" i="57"/>
  <c r="I98" i="57"/>
  <c r="I99" i="57"/>
  <c r="I100" i="57"/>
  <c r="L88" i="57"/>
  <c r="L91" i="57"/>
  <c r="L92" i="57"/>
  <c r="L93" i="57"/>
  <c r="L96" i="57"/>
  <c r="L97" i="57"/>
  <c r="L98" i="57"/>
  <c r="L99" i="57"/>
  <c r="L100" i="57"/>
  <c r="R88" i="57"/>
  <c r="R91" i="57"/>
  <c r="R92" i="57"/>
  <c r="A92" i="57" s="1"/>
  <c r="R93" i="57"/>
  <c r="R96" i="57"/>
  <c r="R97" i="57"/>
  <c r="R98" i="57"/>
  <c r="R99" i="57"/>
  <c r="R100" i="57"/>
  <c r="C86" i="57"/>
  <c r="C87" i="57"/>
  <c r="D86" i="57"/>
  <c r="D87" i="57"/>
  <c r="E86" i="57"/>
  <c r="E87" i="57"/>
  <c r="F86" i="57"/>
  <c r="F87" i="57"/>
  <c r="H86" i="57"/>
  <c r="H87" i="57"/>
  <c r="I86" i="57"/>
  <c r="I87" i="57"/>
  <c r="L86" i="57"/>
  <c r="L87" i="57"/>
  <c r="R86" i="57"/>
  <c r="R87" i="57"/>
  <c r="C85" i="57"/>
  <c r="D85" i="57"/>
  <c r="E85" i="57"/>
  <c r="F85" i="57"/>
  <c r="H85" i="57"/>
  <c r="I85" i="57"/>
  <c r="L85" i="57"/>
  <c r="R85" i="57"/>
  <c r="C73" i="57"/>
  <c r="C74" i="57"/>
  <c r="C75" i="57"/>
  <c r="C76" i="57"/>
  <c r="C80" i="57"/>
  <c r="C81" i="57"/>
  <c r="C82" i="57"/>
  <c r="D73" i="57"/>
  <c r="D74" i="57"/>
  <c r="D75" i="57"/>
  <c r="D76" i="57"/>
  <c r="D80" i="57"/>
  <c r="D81" i="57"/>
  <c r="D82" i="57"/>
  <c r="E73" i="57"/>
  <c r="E74" i="57"/>
  <c r="E75" i="57"/>
  <c r="E76" i="57"/>
  <c r="E80" i="57"/>
  <c r="E81" i="57"/>
  <c r="E82" i="57"/>
  <c r="F73" i="57"/>
  <c r="F74" i="57"/>
  <c r="F75" i="57"/>
  <c r="F76" i="57"/>
  <c r="F80" i="57"/>
  <c r="F81" i="57"/>
  <c r="F82" i="57"/>
  <c r="H73" i="57"/>
  <c r="H74" i="57"/>
  <c r="H75" i="57"/>
  <c r="H76" i="57"/>
  <c r="H80" i="57"/>
  <c r="H81" i="57"/>
  <c r="H82" i="57"/>
  <c r="I73" i="57"/>
  <c r="I74" i="57"/>
  <c r="I75" i="57"/>
  <c r="I76" i="57"/>
  <c r="I80" i="57"/>
  <c r="I81" i="57"/>
  <c r="I82" i="57"/>
  <c r="L73" i="57"/>
  <c r="L74" i="57"/>
  <c r="L75" i="57"/>
  <c r="L76" i="57"/>
  <c r="L80" i="57"/>
  <c r="L81" i="57"/>
  <c r="L82" i="57"/>
  <c r="R73" i="57"/>
  <c r="A73" i="57" s="1"/>
  <c r="R74" i="57"/>
  <c r="A74" i="57" s="1"/>
  <c r="R75" i="57"/>
  <c r="R76" i="57"/>
  <c r="R80" i="57"/>
  <c r="R81" i="57"/>
  <c r="R82" i="57"/>
  <c r="J82" i="57" s="1"/>
  <c r="C72" i="57"/>
  <c r="D72" i="57"/>
  <c r="E72" i="57"/>
  <c r="F72" i="57"/>
  <c r="H72" i="57"/>
  <c r="I72" i="57"/>
  <c r="L72" i="57"/>
  <c r="R72" i="57"/>
  <c r="A72" i="57" s="1"/>
  <c r="C34" i="57"/>
  <c r="C35" i="57"/>
  <c r="C37" i="57"/>
  <c r="C38" i="57"/>
  <c r="C39" i="57"/>
  <c r="C40" i="57"/>
  <c r="C42" i="57"/>
  <c r="C43" i="57"/>
  <c r="C44" i="57"/>
  <c r="C47" i="57"/>
  <c r="C51" i="57"/>
  <c r="C52" i="57"/>
  <c r="C53" i="57"/>
  <c r="C54" i="57"/>
  <c r="C55" i="57"/>
  <c r="C56" i="57"/>
  <c r="C57" i="57"/>
  <c r="C59" i="57"/>
  <c r="C61" i="57"/>
  <c r="C62" i="57"/>
  <c r="C63" i="57"/>
  <c r="C64" i="57"/>
  <c r="C65" i="57"/>
  <c r="C66" i="57"/>
  <c r="C67" i="57"/>
  <c r="C68" i="57"/>
  <c r="C71" i="57"/>
  <c r="D34" i="57"/>
  <c r="D35" i="57"/>
  <c r="D37" i="57"/>
  <c r="D38" i="57"/>
  <c r="D39" i="57"/>
  <c r="D40" i="57"/>
  <c r="D42" i="57"/>
  <c r="D43" i="57"/>
  <c r="D44" i="57"/>
  <c r="D47" i="57"/>
  <c r="D51" i="57"/>
  <c r="D52" i="57"/>
  <c r="D53" i="57"/>
  <c r="D54" i="57"/>
  <c r="D55" i="57"/>
  <c r="D56" i="57"/>
  <c r="D57" i="57"/>
  <c r="D59" i="57"/>
  <c r="D61" i="57"/>
  <c r="D62" i="57"/>
  <c r="D63" i="57"/>
  <c r="D64" i="57"/>
  <c r="D65" i="57"/>
  <c r="D66" i="57"/>
  <c r="D67" i="57"/>
  <c r="D68" i="57"/>
  <c r="D71" i="57"/>
  <c r="E34" i="57"/>
  <c r="E35" i="57"/>
  <c r="E37" i="57"/>
  <c r="E38" i="57"/>
  <c r="E39" i="57"/>
  <c r="E40" i="57"/>
  <c r="E42" i="57"/>
  <c r="E43" i="57"/>
  <c r="E44" i="57"/>
  <c r="E47" i="57"/>
  <c r="E51" i="57"/>
  <c r="E52" i="57"/>
  <c r="E53" i="57"/>
  <c r="E54" i="57"/>
  <c r="E55" i="57"/>
  <c r="E56" i="57"/>
  <c r="E57" i="57"/>
  <c r="E59" i="57"/>
  <c r="E61" i="57"/>
  <c r="E62" i="57"/>
  <c r="E63" i="57"/>
  <c r="E64" i="57"/>
  <c r="E65" i="57"/>
  <c r="E66" i="57"/>
  <c r="E67" i="57"/>
  <c r="E68" i="57"/>
  <c r="E71" i="57"/>
  <c r="F34" i="57"/>
  <c r="F35" i="57"/>
  <c r="F37" i="57"/>
  <c r="F38" i="57"/>
  <c r="F39" i="57"/>
  <c r="F40" i="57"/>
  <c r="F42" i="57"/>
  <c r="F43" i="57"/>
  <c r="F44" i="57"/>
  <c r="F47" i="57"/>
  <c r="F51" i="57"/>
  <c r="F52" i="57"/>
  <c r="F53" i="57"/>
  <c r="F54" i="57"/>
  <c r="F55" i="57"/>
  <c r="F56" i="57"/>
  <c r="F57" i="57"/>
  <c r="F59" i="57"/>
  <c r="F61" i="57"/>
  <c r="F62" i="57"/>
  <c r="F63" i="57"/>
  <c r="F64" i="57"/>
  <c r="F65" i="57"/>
  <c r="F66" i="57"/>
  <c r="F67" i="57"/>
  <c r="F68" i="57"/>
  <c r="F71" i="57"/>
  <c r="H34" i="57"/>
  <c r="H35" i="57"/>
  <c r="H37" i="57"/>
  <c r="H38" i="57"/>
  <c r="H39" i="57"/>
  <c r="H40" i="57"/>
  <c r="H42" i="57"/>
  <c r="H43" i="57"/>
  <c r="H44" i="57"/>
  <c r="H47" i="57"/>
  <c r="H51" i="57"/>
  <c r="H52" i="57"/>
  <c r="H53" i="57"/>
  <c r="H54" i="57"/>
  <c r="H55" i="57"/>
  <c r="H56" i="57"/>
  <c r="H57" i="57"/>
  <c r="H59" i="57"/>
  <c r="H61" i="57"/>
  <c r="H62" i="57"/>
  <c r="H63" i="57"/>
  <c r="H64" i="57"/>
  <c r="H65" i="57"/>
  <c r="H66" i="57"/>
  <c r="H67" i="57"/>
  <c r="H68" i="57"/>
  <c r="H71" i="57"/>
  <c r="I34" i="57"/>
  <c r="I35" i="57"/>
  <c r="I37" i="57"/>
  <c r="I38" i="57"/>
  <c r="I39" i="57"/>
  <c r="I40" i="57"/>
  <c r="I42" i="57"/>
  <c r="I43" i="57"/>
  <c r="I44" i="57"/>
  <c r="I47" i="57"/>
  <c r="I51" i="57"/>
  <c r="I52" i="57"/>
  <c r="I53" i="57"/>
  <c r="I54" i="57"/>
  <c r="I55" i="57"/>
  <c r="I56" i="57"/>
  <c r="I57" i="57"/>
  <c r="I59" i="57"/>
  <c r="I61" i="57"/>
  <c r="I62" i="57"/>
  <c r="I63" i="57"/>
  <c r="I64" i="57"/>
  <c r="I65" i="57"/>
  <c r="I66" i="57"/>
  <c r="I67" i="57"/>
  <c r="I68" i="57"/>
  <c r="I71" i="57"/>
  <c r="L34" i="57"/>
  <c r="L35" i="57"/>
  <c r="L37" i="57"/>
  <c r="L38" i="57"/>
  <c r="L39" i="57"/>
  <c r="L40" i="57"/>
  <c r="L42" i="57"/>
  <c r="L43" i="57"/>
  <c r="L44" i="57"/>
  <c r="L47" i="57"/>
  <c r="L51" i="57"/>
  <c r="L52" i="57"/>
  <c r="L53" i="57"/>
  <c r="L54" i="57"/>
  <c r="L55" i="57"/>
  <c r="L56" i="57"/>
  <c r="L57" i="57"/>
  <c r="L59" i="57"/>
  <c r="L61" i="57"/>
  <c r="L62" i="57"/>
  <c r="L63" i="57"/>
  <c r="L64" i="57"/>
  <c r="L65" i="57"/>
  <c r="L66" i="57"/>
  <c r="L67" i="57"/>
  <c r="L68" i="57"/>
  <c r="L71" i="57"/>
  <c r="R34" i="57"/>
  <c r="R35" i="57"/>
  <c r="R37" i="57"/>
  <c r="A37" i="57" s="1"/>
  <c r="R38" i="57"/>
  <c r="R39" i="57"/>
  <c r="R40" i="57"/>
  <c r="R42" i="57"/>
  <c r="R43" i="57"/>
  <c r="R44" i="57"/>
  <c r="R47" i="57"/>
  <c r="R51" i="57"/>
  <c r="R52" i="57"/>
  <c r="R53" i="57"/>
  <c r="R54" i="57"/>
  <c r="R55" i="57"/>
  <c r="R56" i="57"/>
  <c r="R57" i="57"/>
  <c r="R59" i="57"/>
  <c r="R61" i="57"/>
  <c r="R62" i="57"/>
  <c r="J62" i="57" s="1"/>
  <c r="R63" i="57"/>
  <c r="R64" i="57"/>
  <c r="J64" i="57" s="1"/>
  <c r="R65" i="57"/>
  <c r="R66" i="57"/>
  <c r="R67" i="57"/>
  <c r="R68" i="57"/>
  <c r="R71" i="57"/>
  <c r="C23" i="57"/>
  <c r="C24" i="57"/>
  <c r="C25" i="57"/>
  <c r="C26" i="57"/>
  <c r="C27" i="57"/>
  <c r="C33" i="57"/>
  <c r="D23" i="57"/>
  <c r="D24" i="57"/>
  <c r="D25" i="57"/>
  <c r="D26" i="57"/>
  <c r="D27" i="57"/>
  <c r="D33" i="57"/>
  <c r="E23" i="57"/>
  <c r="E24" i="57"/>
  <c r="E25" i="57"/>
  <c r="E26" i="57"/>
  <c r="E27" i="57"/>
  <c r="E33" i="57"/>
  <c r="F23" i="57"/>
  <c r="F24" i="57"/>
  <c r="F25" i="57"/>
  <c r="F26" i="57"/>
  <c r="F27" i="57"/>
  <c r="F33" i="57"/>
  <c r="H23" i="57"/>
  <c r="H24" i="57"/>
  <c r="H25" i="57"/>
  <c r="H26" i="57"/>
  <c r="H27" i="57"/>
  <c r="H33" i="57"/>
  <c r="I23" i="57"/>
  <c r="I24" i="57"/>
  <c r="I25" i="57"/>
  <c r="I26" i="57"/>
  <c r="I27" i="57"/>
  <c r="I33" i="57"/>
  <c r="L23" i="57"/>
  <c r="L24" i="57"/>
  <c r="L25" i="57"/>
  <c r="L26" i="57"/>
  <c r="L27" i="57"/>
  <c r="L33" i="57"/>
  <c r="R23" i="57"/>
  <c r="A23" i="57" s="1"/>
  <c r="R24" i="57"/>
  <c r="R25" i="57"/>
  <c r="R26" i="57"/>
  <c r="R27" i="57"/>
  <c r="R33" i="57"/>
  <c r="C4" i="57"/>
  <c r="C5" i="57"/>
  <c r="C6" i="57"/>
  <c r="C7" i="57"/>
  <c r="C8" i="57"/>
  <c r="C11" i="57"/>
  <c r="C15" i="57"/>
  <c r="C16" i="57"/>
  <c r="C17" i="57"/>
  <c r="C18" i="57"/>
  <c r="C20" i="57"/>
  <c r="C21" i="57"/>
  <c r="D4" i="57"/>
  <c r="D5" i="57"/>
  <c r="D6" i="57"/>
  <c r="D7" i="57"/>
  <c r="D8" i="57"/>
  <c r="D11" i="57"/>
  <c r="D15" i="57"/>
  <c r="D16" i="57"/>
  <c r="D17" i="57"/>
  <c r="D18" i="57"/>
  <c r="D20" i="57"/>
  <c r="D21" i="57"/>
  <c r="E4" i="57"/>
  <c r="E5" i="57"/>
  <c r="E6" i="57"/>
  <c r="E7" i="57"/>
  <c r="E8" i="57"/>
  <c r="E11" i="57"/>
  <c r="E15" i="57"/>
  <c r="E16" i="57"/>
  <c r="E17" i="57"/>
  <c r="E18" i="57"/>
  <c r="E20" i="57"/>
  <c r="E21" i="57"/>
  <c r="F4" i="57"/>
  <c r="F5" i="57"/>
  <c r="F6" i="57"/>
  <c r="F7" i="57"/>
  <c r="F8" i="57"/>
  <c r="F11" i="57"/>
  <c r="F15" i="57"/>
  <c r="F16" i="57"/>
  <c r="F17" i="57"/>
  <c r="F18" i="57"/>
  <c r="F20" i="57"/>
  <c r="F21" i="57"/>
  <c r="H4" i="57"/>
  <c r="H5" i="57"/>
  <c r="H6" i="57"/>
  <c r="H7" i="57"/>
  <c r="H8" i="57"/>
  <c r="H11" i="57"/>
  <c r="H15" i="57"/>
  <c r="H16" i="57"/>
  <c r="H17" i="57"/>
  <c r="H18" i="57"/>
  <c r="H20" i="57"/>
  <c r="H21" i="57"/>
  <c r="I4" i="57"/>
  <c r="I5" i="57"/>
  <c r="I6" i="57"/>
  <c r="I7" i="57"/>
  <c r="I8" i="57"/>
  <c r="I11" i="57"/>
  <c r="I15" i="57"/>
  <c r="I16" i="57"/>
  <c r="I17" i="57"/>
  <c r="I18" i="57"/>
  <c r="I20" i="57"/>
  <c r="I21" i="57"/>
  <c r="L4" i="57"/>
  <c r="L5" i="57"/>
  <c r="L6" i="57"/>
  <c r="L7" i="57"/>
  <c r="L8" i="57"/>
  <c r="L11" i="57"/>
  <c r="L15" i="57"/>
  <c r="L16" i="57"/>
  <c r="L17" i="57"/>
  <c r="L18" i="57"/>
  <c r="L20" i="57"/>
  <c r="L21" i="57"/>
  <c r="R4" i="57"/>
  <c r="R5" i="57"/>
  <c r="R6" i="57"/>
  <c r="R7" i="57"/>
  <c r="R8" i="57"/>
  <c r="K8" i="57" s="1"/>
  <c r="R11" i="57"/>
  <c r="R15" i="57"/>
  <c r="R16" i="57"/>
  <c r="R17" i="57"/>
  <c r="A17" i="57" s="1"/>
  <c r="R18" i="57"/>
  <c r="R20" i="57"/>
  <c r="A20" i="57" s="1"/>
  <c r="R21" i="57"/>
  <c r="A21" i="57" s="1"/>
  <c r="A6" i="116"/>
  <c r="B6" i="116"/>
  <c r="C6" i="116"/>
  <c r="D6" i="116"/>
  <c r="E6" i="116"/>
  <c r="F6" i="116"/>
  <c r="G6" i="116" s="1"/>
  <c r="N6" i="116"/>
  <c r="O6" i="116" s="1"/>
  <c r="P6" i="116"/>
  <c r="Q6" i="116" s="1"/>
  <c r="R6" i="116"/>
  <c r="S6" i="116"/>
  <c r="T6" i="116"/>
  <c r="U6" i="116"/>
  <c r="V6" i="116"/>
  <c r="W6" i="116"/>
  <c r="X6" i="116"/>
  <c r="Y6" i="116"/>
  <c r="AE6" i="116"/>
  <c r="H6" i="116" s="1"/>
  <c r="I6" i="116" s="1"/>
  <c r="AF6" i="116"/>
  <c r="J6" i="116" s="1"/>
  <c r="K6" i="116" s="1"/>
  <c r="AG6" i="116"/>
  <c r="L6" i="116" s="1"/>
  <c r="M6" i="116" s="1"/>
  <c r="AM6" i="116"/>
  <c r="A17" i="74"/>
  <c r="B17" i="74"/>
  <c r="C17" i="74"/>
  <c r="D17" i="74"/>
  <c r="E17" i="74"/>
  <c r="F17" i="74"/>
  <c r="H17" i="74"/>
  <c r="A22" i="54"/>
  <c r="B22" i="54"/>
  <c r="C22" i="54" a="1"/>
  <c r="C22" i="54" s="1"/>
  <c r="E22" i="54" a="1"/>
  <c r="E22" i="54" s="1"/>
  <c r="F22" i="54"/>
  <c r="H22" i="54"/>
  <c r="I22" i="54"/>
  <c r="J22" i="54"/>
  <c r="L22" i="54"/>
  <c r="S22" i="54" a="1"/>
  <c r="S22" i="54" s="1"/>
  <c r="T22" i="54" a="1"/>
  <c r="T22" i="54" s="1"/>
  <c r="A4" i="118"/>
  <c r="A5" i="118"/>
  <c r="A6" i="118"/>
  <c r="A7" i="118"/>
  <c r="A8" i="118"/>
  <c r="B4" i="118"/>
  <c r="B5" i="118"/>
  <c r="B6" i="118"/>
  <c r="B7" i="118"/>
  <c r="B8" i="118"/>
  <c r="C4" i="118"/>
  <c r="C5" i="118"/>
  <c r="C6" i="118"/>
  <c r="C7" i="118"/>
  <c r="C8" i="118"/>
  <c r="D4" i="118"/>
  <c r="D5" i="118"/>
  <c r="D6" i="118"/>
  <c r="D7" i="118"/>
  <c r="D8" i="118"/>
  <c r="E4" i="118"/>
  <c r="E5" i="118"/>
  <c r="E6" i="118"/>
  <c r="E7" i="118"/>
  <c r="E8" i="118"/>
  <c r="F4" i="118"/>
  <c r="F5" i="118"/>
  <c r="F6" i="118"/>
  <c r="F7" i="118"/>
  <c r="F8" i="118"/>
  <c r="G4" i="118"/>
  <c r="G5" i="118"/>
  <c r="G6" i="118"/>
  <c r="G7" i="118"/>
  <c r="G8" i="118"/>
  <c r="J79" i="72" a="1"/>
  <c r="G591" i="57" a="1"/>
  <c r="T62" i="69" a="1"/>
  <c r="T230" i="60" a="1"/>
  <c r="G463" i="57" a="1"/>
  <c r="T109" i="69" a="1"/>
  <c r="G825" i="57" a="1"/>
  <c r="T40" i="69" a="1"/>
  <c r="T221" i="69" a="1"/>
  <c r="T170" i="69" a="1"/>
  <c r="G262" i="57" a="1"/>
  <c r="T255" i="69" a="1"/>
  <c r="T18" i="60" a="1"/>
  <c r="G48" i="57" a="1"/>
  <c r="G715" i="57" a="1"/>
  <c r="G430" i="57" a="1"/>
  <c r="T24" i="69" a="1"/>
  <c r="J58" i="72" a="1"/>
  <c r="T278" i="60" a="1"/>
  <c r="T180" i="60" a="1"/>
  <c r="G277" i="57" a="1"/>
  <c r="G620" i="57" a="1"/>
  <c r="J31" i="72" a="1"/>
  <c r="G560" i="57" a="1"/>
  <c r="T251" i="69" a="1"/>
  <c r="G348" i="57" a="1"/>
  <c r="G168" i="57" a="1"/>
  <c r="G89" i="57" a="1"/>
  <c r="T42" i="60" a="1"/>
  <c r="G105" i="57" a="1"/>
  <c r="L100" i="119" a="1"/>
  <c r="G140" i="57" a="1"/>
  <c r="T282" i="60" a="1"/>
  <c r="J78" i="72" a="1"/>
  <c r="T99" i="60" a="1"/>
  <c r="G609" i="57" a="1"/>
  <c r="T171" i="60" a="1"/>
  <c r="G216" i="57" a="1"/>
  <c r="G334" i="57" a="1"/>
  <c r="T218" i="60" a="1"/>
  <c r="T401" i="69" a="1"/>
  <c r="G240" i="57" a="1"/>
  <c r="T244" i="69" a="1"/>
  <c r="J43" i="72" a="1"/>
  <c r="G125" i="57" a="1"/>
  <c r="G30" i="57" a="1"/>
  <c r="T127" i="60" a="1"/>
  <c r="T257" i="69" a="1"/>
  <c r="J64" i="72" a="1"/>
  <c r="G310" i="57" a="1"/>
  <c r="G219" i="57" a="1"/>
  <c r="J22" i="72" a="1"/>
  <c r="G549" i="57" a="1"/>
  <c r="T328" i="60" a="1"/>
  <c r="T188" i="60" a="1"/>
  <c r="J23" i="72" a="1"/>
  <c r="G39" i="57" a="1"/>
  <c r="G477" i="57" a="1"/>
  <c r="T185" i="69" a="1"/>
  <c r="G123" i="57" a="1"/>
  <c r="T103" i="60" a="1"/>
  <c r="G631" i="57" a="1"/>
  <c r="T222" i="69" a="1"/>
  <c r="T130" i="69" a="1"/>
  <c r="T276" i="60" a="1"/>
  <c r="T255" i="60" a="1"/>
  <c r="T192" i="69" a="1"/>
  <c r="T140" i="60" a="1"/>
  <c r="G59" i="57" a="1"/>
  <c r="T87" i="69" a="1"/>
  <c r="T323" i="60" a="1"/>
  <c r="L36" i="119" a="1"/>
  <c r="G210" i="57" a="1"/>
  <c r="T268" i="69" a="1"/>
  <c r="T374" i="69" a="1"/>
  <c r="T125" i="69" a="1"/>
  <c r="G655" i="57" a="1"/>
  <c r="G20" i="57" a="1"/>
  <c r="G134" i="57" a="1"/>
  <c r="T265" i="60" a="1"/>
  <c r="G153" i="57" a="1"/>
  <c r="T167" i="60" a="1"/>
  <c r="T241" i="60" a="1"/>
  <c r="G564" i="57" a="1"/>
  <c r="G487" i="57" a="1"/>
  <c r="T313" i="69" a="1"/>
  <c r="T301" i="60" a="1"/>
  <c r="T206" i="60" a="1"/>
  <c r="J14" i="72" a="1"/>
  <c r="T264" i="69" a="1"/>
  <c r="L91" i="119" a="1"/>
  <c r="T215" i="60" a="1"/>
  <c r="T382" i="69" a="1"/>
  <c r="T173" i="60" a="1"/>
  <c r="G762" i="57" a="1"/>
  <c r="T143" i="60" a="1"/>
  <c r="T250" i="60" a="1"/>
  <c r="T54" i="60" a="1"/>
  <c r="T287" i="69" a="1"/>
  <c r="G136" i="57" a="1"/>
  <c r="T129" i="60" a="1"/>
  <c r="T22" i="69" a="1"/>
  <c r="T320" i="69" a="1"/>
  <c r="G308" i="57" a="1"/>
  <c r="T379" i="69" a="1"/>
  <c r="T231" i="60" a="1"/>
  <c r="G385" i="57" a="1"/>
  <c r="T292" i="60" a="1"/>
  <c r="T70" i="60" a="1"/>
  <c r="T197" i="69" a="1"/>
  <c r="G327" i="57" a="1"/>
  <c r="T100" i="60" a="1"/>
  <c r="G58" i="57" a="1"/>
  <c r="G93" i="57" a="1"/>
  <c r="G583" i="57" a="1"/>
  <c r="T322" i="60" a="1"/>
  <c r="T209" i="60" a="1"/>
  <c r="G345" i="57" a="1"/>
  <c r="T21" i="60" a="1"/>
  <c r="T33" i="60" a="1"/>
  <c r="G135" i="57" a="1"/>
  <c r="G790" i="57" a="1"/>
  <c r="G574" i="57" a="1"/>
  <c r="T251" i="60" a="1"/>
  <c r="G389" i="57" a="1"/>
  <c r="T124" i="69" a="1"/>
  <c r="G665" i="57" a="1"/>
  <c r="G500" i="57" a="1"/>
  <c r="T201" i="60" a="1"/>
  <c r="G504" i="57" a="1"/>
  <c r="T174" i="69" a="1"/>
  <c r="T151" i="69" a="1"/>
  <c r="G710" i="57" a="1"/>
  <c r="T274" i="60" a="1"/>
  <c r="T322" i="69" a="1"/>
  <c r="T135" i="60" a="1"/>
  <c r="G744" i="57" a="1"/>
  <c r="J13" i="72" a="1"/>
  <c r="T190" i="69" a="1"/>
  <c r="T29" i="60" a="1"/>
  <c r="G783" i="57" a="1"/>
  <c r="G822" i="57" a="1"/>
  <c r="G492" i="57" a="1"/>
  <c r="T234" i="69" a="1"/>
  <c r="G129" i="57" a="1"/>
  <c r="G709" i="57" a="1"/>
  <c r="G398" i="57" a="1"/>
  <c r="G170" i="57" a="1"/>
  <c r="G497" i="57" a="1"/>
  <c r="G774" i="57" a="1"/>
  <c r="G534" i="57" a="1"/>
  <c r="G516" i="57" a="1"/>
  <c r="G740" i="57" a="1"/>
  <c r="G688" i="57" a="1"/>
  <c r="T39" i="60" a="1"/>
  <c r="G329" i="57" a="1"/>
  <c r="G657" i="57" a="1"/>
  <c r="G557" i="57" a="1"/>
  <c r="T214" i="69" a="1"/>
  <c r="G211" i="57" a="1"/>
  <c r="G390" i="57" a="1"/>
  <c r="T191" i="69" a="1"/>
  <c r="J77" i="72" a="1"/>
  <c r="G770" i="57" a="1"/>
  <c r="T136" i="60" a="1"/>
  <c r="G110" i="57" a="1"/>
  <c r="G613" i="57" a="1"/>
  <c r="J34" i="72" a="1"/>
  <c r="G52" i="57" a="1"/>
  <c r="L57" i="119" a="1"/>
  <c r="T53" i="60" a="1"/>
  <c r="J54" i="72" a="1"/>
  <c r="G794" i="57" a="1"/>
  <c r="T288" i="60" a="1"/>
  <c r="G111" i="57" a="1"/>
  <c r="T152" i="60" a="1"/>
  <c r="G779" i="57" a="1"/>
  <c r="G414" i="57" a="1"/>
  <c r="G272" i="57" a="1"/>
  <c r="G733" i="57" a="1"/>
  <c r="T172" i="69" a="1"/>
  <c r="G421" i="57" a="1"/>
  <c r="T43" i="69" a="1"/>
  <c r="T149" i="69" a="1"/>
  <c r="G97" i="57" a="1"/>
  <c r="T258" i="60" a="1"/>
  <c r="T106" i="60" a="1"/>
  <c r="G553" i="57" a="1"/>
  <c r="G478" i="57" a="1"/>
  <c r="T124" i="60" a="1"/>
  <c r="G198" i="57" a="1"/>
  <c r="G653" i="57" a="1"/>
  <c r="G732" i="57" a="1"/>
  <c r="G86" i="57" a="1"/>
  <c r="G54" i="57" a="1"/>
  <c r="G290" i="57" a="1"/>
  <c r="T184" i="60" a="1"/>
  <c r="G642" i="57" a="1"/>
  <c r="G45" i="57" a="1"/>
  <c r="G539" i="57" a="1"/>
  <c r="T394" i="69" a="1"/>
  <c r="E6" i="73" a="1"/>
  <c r="G619" i="57" a="1"/>
  <c r="T50" i="69" a="1"/>
  <c r="T6" i="69" a="1"/>
  <c r="T116" i="60" a="1"/>
  <c r="G637" i="57" a="1"/>
  <c r="G537" i="57" a="1"/>
  <c r="T264" i="60" a="1"/>
  <c r="T300" i="69" a="1"/>
  <c r="G367" i="57" a="1"/>
  <c r="G755" i="57" a="1"/>
  <c r="G298" i="57" a="1"/>
  <c r="G4" i="57" a="1"/>
  <c r="T316" i="60" a="1"/>
  <c r="T94" i="60" a="1"/>
  <c r="T8" i="69" a="1"/>
  <c r="G518" i="57" a="1"/>
  <c r="T121" i="60" a="1"/>
  <c r="T275" i="69" a="1"/>
  <c r="G259" i="57" a="1"/>
  <c r="T239" i="60" a="1"/>
  <c r="L52" i="119" a="1"/>
  <c r="T202" i="60" a="1"/>
  <c r="T174" i="60" a="1"/>
  <c r="T183" i="60" a="1"/>
  <c r="G433" i="57" a="1"/>
  <c r="T347" i="69" a="1"/>
  <c r="G807" i="57" a="1"/>
  <c r="T381" i="69" a="1"/>
  <c r="G599" i="57" a="1"/>
  <c r="T300" i="60" a="1"/>
  <c r="G31" i="57" a="1"/>
  <c r="L41" i="119" a="1"/>
  <c r="T337" i="60" a="1"/>
  <c r="G87" i="57" a="1"/>
  <c r="T236" i="60" a="1"/>
  <c r="L43" i="119" a="1"/>
  <c r="G792" i="57" a="1"/>
  <c r="T26" i="60" a="1"/>
  <c r="T400" i="69" a="1"/>
  <c r="T376" i="69" a="1"/>
  <c r="T41" i="69" a="1"/>
  <c r="T148" i="69" a="1"/>
  <c r="T223" i="60" a="1"/>
  <c r="T263" i="60" a="1"/>
  <c r="T142" i="69" a="1"/>
  <c r="G222" i="57" a="1"/>
  <c r="G602" i="57" a="1"/>
  <c r="G628" i="57" a="1"/>
  <c r="G316" i="57" a="1"/>
  <c r="J33" i="72" a="1"/>
  <c r="J59" i="72" a="1"/>
  <c r="T303" i="60" a="1"/>
  <c r="G61" i="57" a="1"/>
  <c r="T177" i="60" a="1"/>
  <c r="G630" i="57" a="1"/>
  <c r="T259" i="60" a="1"/>
  <c r="G60" i="57" a="1"/>
  <c r="T67" i="69" a="1"/>
  <c r="T98" i="60" a="1"/>
  <c r="T136" i="69" a="1"/>
  <c r="T63" i="69" a="1"/>
  <c r="T68" i="60" a="1"/>
  <c r="T311" i="69" a="1"/>
  <c r="T224" i="60" a="1"/>
  <c r="G722" i="57" a="1"/>
  <c r="J18" i="72" a="1"/>
  <c r="G635" i="57" a="1"/>
  <c r="G467" i="57" a="1"/>
  <c r="G155" i="57" a="1"/>
  <c r="T192" i="60" a="1"/>
  <c r="G319" i="57" a="1"/>
  <c r="G481" i="57" a="1"/>
  <c r="G586" i="57" a="1"/>
  <c r="L48" i="119" a="1"/>
  <c r="T254" i="60" a="1"/>
  <c r="T38" i="60" a="1"/>
  <c r="T193" i="60" a="1"/>
  <c r="G175" i="57" a="1"/>
  <c r="T84" i="60" a="1"/>
  <c r="G729" i="57" a="1"/>
  <c r="G374" i="57" a="1"/>
  <c r="T101" i="69" a="1"/>
  <c r="G605" i="57" a="1"/>
  <c r="G351" i="57" a="1"/>
  <c r="G766" i="57" a="1"/>
  <c r="J5" i="72" a="1"/>
  <c r="G753" i="57" a="1"/>
  <c r="L64" i="119" a="1"/>
  <c r="T330" i="60" a="1"/>
  <c r="T161" i="69" a="1"/>
  <c r="G258" i="57" a="1"/>
  <c r="T216" i="60" a="1"/>
  <c r="G223" i="57" a="1"/>
  <c r="T176" i="69" a="1"/>
  <c r="G533" i="57" a="1"/>
  <c r="T37" i="69" a="1"/>
  <c r="T86" i="60" a="1"/>
  <c r="G167" i="57" a="1"/>
  <c r="G803" i="57" a="1"/>
  <c r="G82" i="57" a="1"/>
  <c r="L75" i="119" a="1"/>
  <c r="T207" i="60" a="1"/>
  <c r="T32" i="69" a="1"/>
  <c r="G529" i="57" a="1"/>
  <c r="T188" i="69" a="1"/>
  <c r="T160" i="60" a="1"/>
  <c r="G294" i="57" a="1"/>
  <c r="T194" i="60" a="1"/>
  <c r="G799" i="57" a="1"/>
  <c r="T326" i="69" a="1"/>
  <c r="T111" i="60" a="1"/>
  <c r="G295" i="57" a="1"/>
  <c r="G726" i="57" a="1"/>
  <c r="G451" i="57" a="1"/>
  <c r="G25" i="57" a="1"/>
  <c r="G9" i="57" a="1"/>
  <c r="G161" i="57" a="1"/>
  <c r="G671" i="57" a="1"/>
  <c r="G556" i="57" a="1"/>
  <c r="G266" i="57" a="1"/>
  <c r="T150" i="60" a="1"/>
  <c r="T348" i="69" a="1"/>
  <c r="G119" i="57" a="1"/>
  <c r="G206" i="57" a="1"/>
  <c r="T105" i="60" a="1"/>
  <c r="T138" i="60" a="1"/>
  <c r="G92" i="57" a="1"/>
  <c r="G695" i="57" a="1"/>
  <c r="T48" i="69" a="1"/>
  <c r="G380" i="57" a="1"/>
  <c r="G273" i="57" a="1"/>
  <c r="T118" i="69" a="1"/>
  <c r="G356" i="57" a="1"/>
  <c r="T5" i="60" a="1"/>
  <c r="G741" i="57" a="1"/>
  <c r="T252" i="60" a="1"/>
  <c r="G143" i="57" a="1"/>
  <c r="G614" i="57" a="1"/>
  <c r="T123" i="69" a="1"/>
  <c r="G205" i="57" a="1"/>
  <c r="T154" i="69" a="1"/>
  <c r="G571" i="57" a="1"/>
  <c r="G148" i="57" a="1"/>
  <c r="T34" i="60" a="1"/>
  <c r="G702" i="57" a="1"/>
  <c r="G199" i="57" a="1"/>
  <c r="T139" i="69" a="1"/>
  <c r="T132" i="60" a="1"/>
  <c r="G662" i="57" a="1"/>
  <c r="G432" i="57" a="1"/>
  <c r="G596" i="57" a="1"/>
  <c r="G466" i="57" a="1"/>
  <c r="G626" i="57" a="1"/>
  <c r="G17" i="57" a="1"/>
  <c r="G331" i="57" a="1"/>
  <c r="G488" i="57" a="1"/>
  <c r="J51" i="72" a="1"/>
  <c r="G121" i="57" a="1"/>
  <c r="G364" i="57" a="1"/>
  <c r="T203" i="60" a="1"/>
  <c r="G623" i="57" a="1"/>
  <c r="G617" i="57" a="1"/>
  <c r="L80" i="119" a="1"/>
  <c r="T16" i="69" a="1"/>
  <c r="T375" i="69" a="1"/>
  <c r="T190" i="60" a="1"/>
  <c r="G127" i="57" a="1"/>
  <c r="T320" i="60" a="1"/>
  <c r="T76" i="60" a="1"/>
  <c r="T52" i="60" a="1"/>
  <c r="T297" i="60" a="1"/>
  <c r="G62" i="57" a="1"/>
  <c r="G395" i="57" a="1"/>
  <c r="G798" i="57" a="1"/>
  <c r="T317" i="60" a="1"/>
  <c r="G257" i="57" a="1"/>
  <c r="T11" i="69" a="1"/>
  <c r="G610" i="57" a="1"/>
  <c r="T172" i="60" a="1"/>
  <c r="T313" i="60" a="1"/>
  <c r="G313" i="57" a="1"/>
  <c r="L58" i="119" a="1"/>
  <c r="G670" i="57" a="1"/>
  <c r="T127" i="69" a="1"/>
  <c r="G573" i="57" a="1"/>
  <c r="G109" i="57" a="1"/>
  <c r="T47" i="60" a="1"/>
  <c r="G224" i="57" a="1"/>
  <c r="T6" i="60" a="1"/>
  <c r="G299" i="57" a="1"/>
  <c r="J82" i="72" a="1"/>
  <c r="T260" i="69" a="1"/>
  <c r="G687" i="57" a="1"/>
  <c r="G274" i="57" a="1"/>
  <c r="T286" i="60" a="1"/>
  <c r="G378" i="57" a="1"/>
  <c r="G318" i="57" a="1"/>
  <c r="G540" i="57" a="1"/>
  <c r="L96" i="119" a="1"/>
  <c r="T94" i="69" a="1"/>
  <c r="L16" i="119" a="1"/>
  <c r="L44" i="119" a="1"/>
  <c r="G370" i="57" a="1"/>
  <c r="T245" i="69" a="1"/>
  <c r="T70" i="69" a="1"/>
  <c r="G130" i="57" a="1"/>
  <c r="T73" i="60" a="1"/>
  <c r="G593" i="57" a="1"/>
  <c r="G458" i="57" a="1"/>
  <c r="J56" i="72" a="1"/>
  <c r="G322" i="57" a="1"/>
  <c r="G731" i="57" a="1"/>
  <c r="T58" i="60" a="1"/>
  <c r="T44" i="60" a="1"/>
  <c r="T310" i="69" a="1"/>
  <c r="T113" i="69" a="1"/>
  <c r="J27" i="72" a="1"/>
  <c r="T162" i="69" a="1"/>
  <c r="J26" i="72" a="1"/>
  <c r="T110" i="60" a="1"/>
  <c r="G246" i="57" a="1"/>
  <c r="G801" i="57" a="1"/>
  <c r="G829" i="57" a="1"/>
  <c r="T305" i="60" a="1"/>
  <c r="G233" i="57" a="1"/>
  <c r="G804" i="57" a="1"/>
  <c r="T200" i="69" a="1"/>
  <c r="J15" i="72" a="1"/>
  <c r="G165" i="57" a="1"/>
  <c r="T268" i="60" a="1"/>
  <c r="G686" i="57" a="1"/>
  <c r="G209" i="57" a="1"/>
  <c r="T37" i="60" a="1"/>
  <c r="T59" i="60" a="1"/>
  <c r="G639" i="57" a="1"/>
  <c r="L30" i="119" a="1"/>
  <c r="G218" i="57" a="1"/>
  <c r="T20" i="60" a="1"/>
  <c r="L72" i="119" a="1"/>
  <c r="T253" i="69" a="1"/>
  <c r="G776" i="57" a="1"/>
  <c r="T298" i="69" a="1"/>
  <c r="G502" i="57" a="1"/>
  <c r="G525" i="57" a="1"/>
  <c r="G594" i="57" a="1"/>
  <c r="T34" i="69" a="1"/>
  <c r="G253" i="57" a="1"/>
  <c r="G279" i="57" a="1"/>
  <c r="G448" i="57" a="1"/>
  <c r="G191" i="57" a="1"/>
  <c r="G51" i="57" a="1"/>
  <c r="G181" i="57" a="1"/>
  <c r="G465" i="57" a="1"/>
  <c r="T311" i="60" a="1"/>
  <c r="T222" i="60" a="1"/>
  <c r="T25" i="60" a="1"/>
  <c r="G326" i="57" a="1"/>
  <c r="T365" i="69" a="1"/>
  <c r="G622" i="57" a="1"/>
  <c r="G423" i="57" a="1"/>
  <c r="T107" i="60" a="1"/>
  <c r="G493" i="57" a="1"/>
  <c r="T15" i="69" a="1"/>
  <c r="G438" i="57" a="1"/>
  <c r="G349" i="57" a="1"/>
  <c r="G84" i="57" a="1"/>
  <c r="G805" i="57" a="1"/>
  <c r="J83" i="72" a="1"/>
  <c r="T277" i="60" a="1"/>
  <c r="T241" i="69" a="1"/>
  <c r="T46" i="69" a="1"/>
  <c r="T237" i="60" a="1"/>
  <c r="L76" i="119" a="1"/>
  <c r="G681" i="57" a="1"/>
  <c r="T227" i="60" a="1"/>
  <c r="G229" i="57" a="1"/>
  <c r="J2" i="72" a="1"/>
  <c r="T351" i="69" a="1"/>
  <c r="T27" i="69" a="1"/>
  <c r="G768" i="57" a="1"/>
  <c r="G81" i="57" a="1"/>
  <c r="T52" i="69" a="1"/>
  <c r="G201" i="57" a="1"/>
  <c r="T162" i="60" a="1"/>
  <c r="T35" i="60" a="1"/>
  <c r="T104" i="60" a="1"/>
  <c r="T223" i="69" a="1"/>
  <c r="G214" i="57" a="1"/>
  <c r="T196" i="69" a="1"/>
  <c r="G446" i="57" a="1"/>
  <c r="G616" i="57" a="1"/>
  <c r="L19" i="119" a="1"/>
  <c r="T346" i="69" a="1"/>
  <c r="G362" i="57" a="1"/>
  <c r="E11" i="73" a="1"/>
  <c r="T194" i="69" a="1"/>
  <c r="J69" i="72" a="1"/>
  <c r="G238" i="57" a="1"/>
  <c r="G485" i="57" a="1"/>
  <c r="T237" i="69" a="1"/>
  <c r="J45" i="72" a="1"/>
  <c r="T119" i="69" a="1"/>
  <c r="L8" i="119" a="1"/>
  <c r="T185" i="60" a="1"/>
  <c r="G154" i="57" a="1"/>
  <c r="T155" i="69" a="1"/>
  <c r="T230" i="69" a="1"/>
  <c r="G47" i="57" a="1"/>
  <c r="G196" i="57" a="1"/>
  <c r="G693" i="57" a="1"/>
  <c r="T3" i="69" a="1"/>
  <c r="L98" i="119" a="1"/>
  <c r="G527" i="57" a="1"/>
  <c r="T68" i="69" a="1"/>
  <c r="T266" i="60" a="1"/>
  <c r="T344" i="69" a="1"/>
  <c r="T353" i="69" a="1"/>
  <c r="G612" i="57" a="1"/>
  <c r="L68" i="119" a="1"/>
  <c r="G94" i="57" a="1"/>
  <c r="G810" i="57" a="1"/>
  <c r="J68" i="72" a="1"/>
  <c r="G95" i="57" a="1"/>
  <c r="G400" i="57" a="1"/>
  <c r="E4" i="73" a="1"/>
  <c r="T243" i="69" a="1"/>
  <c r="G633" i="57" a="1"/>
  <c r="G192" i="57" a="1"/>
  <c r="T132" i="69" a="1"/>
  <c r="T83" i="60" a="1"/>
  <c r="G202" i="57" a="1"/>
  <c r="T48" i="60" a="1"/>
  <c r="T171" i="69" a="1"/>
  <c r="G91" i="57" a="1"/>
  <c r="T173" i="69" a="1"/>
  <c r="T142" i="60" a="1"/>
  <c r="T343" i="69" a="1"/>
  <c r="G443" i="57" a="1"/>
  <c r="T126" i="60" a="1"/>
  <c r="G43" i="57" a="1"/>
  <c r="T334" i="69" a="1"/>
  <c r="G195" i="57" a="1"/>
  <c r="G411" i="57" a="1"/>
  <c r="G674" i="57" a="1"/>
  <c r="T280" i="69" a="1"/>
  <c r="T99" i="69" a="1"/>
  <c r="G636" i="57" a="1"/>
  <c r="T14" i="69" a="1"/>
  <c r="L90" i="119" a="1"/>
  <c r="G315" i="57" a="1"/>
  <c r="G475" i="57" a="1"/>
  <c r="T354" i="69" a="1"/>
  <c r="T17" i="60" a="1"/>
  <c r="G793" i="57" a="1"/>
  <c r="L24" i="119" a="1"/>
  <c r="G236" i="57" a="1"/>
  <c r="G149" i="57" a="1"/>
  <c r="G828" i="57" a="1"/>
  <c r="G543" i="57" a="1"/>
  <c r="T325" i="69" a="1"/>
  <c r="T133" i="60" a="1"/>
  <c r="L47" i="119" a="1"/>
  <c r="G303" i="57" a="1"/>
  <c r="J66" i="72" a="1"/>
  <c r="G754" i="57" a="1"/>
  <c r="T244" i="60" a="1"/>
  <c r="G582" i="57" a="1"/>
  <c r="T204" i="69" a="1"/>
  <c r="G263" i="57" a="1"/>
  <c r="G565" i="57" a="1"/>
  <c r="G712" i="57" a="1"/>
  <c r="T35" i="69" a="1"/>
  <c r="G547" i="57" a="1"/>
  <c r="T125" i="60" a="1"/>
  <c r="G555" i="57" a="1"/>
  <c r="G287" i="57" a="1"/>
  <c r="T240" i="60" a="1"/>
  <c r="G658" i="57" a="1"/>
  <c r="T187" i="69" a="1"/>
  <c r="G50" i="57" a="1"/>
  <c r="G570" i="57" a="1"/>
  <c r="T72" i="60" a="1"/>
  <c r="T5" i="69" a="1"/>
  <c r="T231" i="69" a="1"/>
  <c r="G77" i="57" a="1"/>
  <c r="G713" i="57" a="1"/>
  <c r="T297" i="69" a="1"/>
  <c r="T293" i="60" a="1"/>
  <c r="J21" i="72" a="1"/>
  <c r="T227" i="69" a="1"/>
  <c r="G706" i="57" a="1"/>
  <c r="T158" i="69" a="1"/>
  <c r="L53" i="119" a="1"/>
  <c r="G104" i="57" a="1"/>
  <c r="G215" i="57" a="1"/>
  <c r="G402" i="57" a="1"/>
  <c r="T396" i="69" a="1"/>
  <c r="G718" i="57" a="1"/>
  <c r="G513" i="57" a="1"/>
  <c r="T12" i="69" a="1"/>
  <c r="G113" i="57" a="1"/>
  <c r="T92" i="69" a="1"/>
  <c r="G173" i="57" a="1"/>
  <c r="G703" i="57" a="1"/>
  <c r="G701" i="57" a="1"/>
  <c r="T30" i="60" a="1"/>
  <c r="G401" i="57" a="1"/>
  <c r="T75" i="69" a="1"/>
  <c r="G225" i="57" a="1"/>
  <c r="G404" i="57" a="1"/>
  <c r="G809" i="57" a="1"/>
  <c r="G473" i="57" a="1"/>
  <c r="G187" i="57" a="1"/>
  <c r="G462" i="57" a="1"/>
  <c r="G180" i="57" a="1"/>
  <c r="G124" i="57" a="1"/>
  <c r="G137" i="57" a="1"/>
  <c r="G142" i="57" a="1"/>
  <c r="G66" i="57" a="1"/>
  <c r="G179" i="57" a="1"/>
  <c r="J32" i="72" a="1"/>
  <c r="T4" i="69" a="1"/>
  <c r="L63" i="119" a="1"/>
  <c r="T391" i="69" a="1"/>
  <c r="L60" i="119" a="1"/>
  <c r="G231" i="57" a="1"/>
  <c r="T219" i="60" a="1"/>
  <c r="G632" i="57" a="1"/>
  <c r="G795" i="57" a="1"/>
  <c r="L82" i="119" a="1"/>
  <c r="T269" i="69" a="1"/>
  <c r="G96" i="57" a="1"/>
  <c r="T238" i="60" a="1"/>
  <c r="G824" i="57" a="1"/>
  <c r="G689" i="57" a="1"/>
  <c r="G314" i="57" a="1"/>
  <c r="G608" i="57" a="1"/>
  <c r="G344" i="57" a="1"/>
  <c r="L56" i="119" a="1"/>
  <c r="G739" i="57" a="1"/>
  <c r="T84" i="69" a="1"/>
  <c r="T280" i="60" a="1"/>
  <c r="T186" i="69" a="1"/>
  <c r="G83" i="57" a="1"/>
  <c r="T388" i="69" a="1"/>
  <c r="G683" i="57" a="1"/>
  <c r="G267" i="57" a="1"/>
  <c r="T248" i="60" a="1"/>
  <c r="T247" i="69" a="1"/>
  <c r="T56" i="69" a="1"/>
  <c r="G19" i="57" a="1"/>
  <c r="T43" i="60" a="1"/>
  <c r="G761" i="57" a="1"/>
  <c r="T281" i="60" a="1"/>
  <c r="G499" i="57" a="1"/>
  <c r="T96" i="60" a="1"/>
  <c r="G819" i="57" a="1"/>
  <c r="G440" i="57" a="1"/>
  <c r="G44" i="57" a="1"/>
  <c r="L101" i="119" a="1"/>
  <c r="G640" i="57" a="1"/>
  <c r="G700" i="57" a="1"/>
  <c r="G75" i="57" a="1"/>
  <c r="L46" i="119" a="1"/>
  <c r="T199" i="69" a="1"/>
  <c r="T123" i="60" a="1"/>
  <c r="G57" i="57" a="1"/>
  <c r="G723" i="57" a="1"/>
  <c r="T342" i="69" a="1"/>
  <c r="T102" i="69" a="1"/>
  <c r="T163" i="69" a="1"/>
  <c r="T75" i="60" a="1"/>
  <c r="T325" i="60" a="1"/>
  <c r="T122" i="69" a="1"/>
  <c r="L18" i="119" a="1"/>
  <c r="G300" i="57" a="1"/>
  <c r="G461" i="57" a="1"/>
  <c r="T383" i="69" a="1"/>
  <c r="T53" i="69" a="1"/>
  <c r="T38" i="69" a="1"/>
  <c r="G286" i="57" a="1"/>
  <c r="T186" i="60" a="1"/>
  <c r="G228" i="57" a="1"/>
  <c r="G590" i="57" a="1"/>
  <c r="J35" i="72" a="1"/>
  <c r="G787" i="57" a="1"/>
  <c r="G185" i="57" a="1"/>
  <c r="G531" i="57" a="1"/>
  <c r="G618" i="57" a="1"/>
  <c r="G212" i="57" a="1"/>
  <c r="G512" i="57" a="1"/>
  <c r="T163" i="60" a="1"/>
  <c r="T3" i="60" a="1"/>
  <c r="G767" i="57" a="1"/>
  <c r="L25" i="119" a="1"/>
  <c r="J71" i="72" a="1"/>
  <c r="T219" i="69" a="1"/>
  <c r="G455" i="57" a="1"/>
  <c r="G691" i="57" a="1"/>
  <c r="T284" i="69" a="1"/>
  <c r="G11" i="57" a="1"/>
  <c r="T225" i="69" a="1"/>
  <c r="T92" i="60" a="1"/>
  <c r="L97" i="119" a="1"/>
  <c r="G479" i="57" a="1"/>
  <c r="G381" i="57" a="1"/>
  <c r="G585" i="57" a="1"/>
  <c r="T138" i="69" a="1"/>
  <c r="G241" i="57" a="1"/>
  <c r="G521" i="57" a="1"/>
  <c r="T289" i="69" a="1"/>
  <c r="T46" i="60" a="1"/>
  <c r="G769" i="57" a="1"/>
  <c r="G536" i="57" a="1"/>
  <c r="G250" i="57" a="1"/>
  <c r="T200" i="60" a="1"/>
  <c r="T18" i="69" a="1"/>
  <c r="G200" i="57" a="1"/>
  <c r="T246" i="69" a="1"/>
  <c r="G41" i="57" a="1"/>
  <c r="T367" i="69" a="1"/>
  <c r="T218" i="69" a="1"/>
  <c r="G541" i="57" a="1"/>
  <c r="T60" i="69" a="1"/>
  <c r="G808" i="57" a="1"/>
  <c r="T30" i="69" a="1"/>
  <c r="G365" i="57" a="1"/>
  <c r="G705" i="57" a="1"/>
  <c r="G247" i="57" a="1"/>
  <c r="T160" i="69" a="1"/>
  <c r="G7" i="57" a="1"/>
  <c r="G166" i="57" a="1"/>
  <c r="T294" i="60" a="1"/>
  <c r="G317" i="57" a="1"/>
  <c r="G325" i="57" a="1"/>
  <c r="T210" i="69" a="1"/>
  <c r="T398" i="69" a="1"/>
  <c r="G10" i="57" a="1"/>
  <c r="J36" i="72" a="1"/>
  <c r="T64" i="60" a="1"/>
  <c r="T335" i="60" a="1"/>
  <c r="T305" i="69" a="1"/>
  <c r="T130" i="60" a="1"/>
  <c r="T105" i="69" a="1"/>
  <c r="T182" i="60" a="1"/>
  <c r="G23" i="57" a="1"/>
  <c r="G546" i="57" a="1"/>
  <c r="G802" i="57" a="1"/>
  <c r="G419" i="57" a="1"/>
  <c r="T273" i="69" a="1"/>
  <c r="T217" i="60" a="1"/>
  <c r="G424" i="57" a="1"/>
  <c r="G439" i="57" a="1"/>
  <c r="T370" i="69" a="1"/>
  <c r="T113" i="60" a="1"/>
  <c r="T258" i="69" a="1"/>
  <c r="T317" i="69" a="1"/>
  <c r="J72" i="72" a="1"/>
  <c r="T249" i="69" a="1"/>
  <c r="T135" i="69" a="1"/>
  <c r="T238" i="69" a="1"/>
  <c r="J48" i="72" a="1"/>
  <c r="G118" i="57" a="1"/>
  <c r="G103" i="57" a="1"/>
  <c r="T302" i="69" a="1"/>
  <c r="G162" i="57" a="1"/>
  <c r="G667" i="57" a="1"/>
  <c r="T115" i="60" a="1"/>
  <c r="G435" i="57" a="1"/>
  <c r="G375" i="57" a="1"/>
  <c r="T262" i="69" a="1"/>
  <c r="G791" i="57" a="1"/>
  <c r="T145" i="60" a="1"/>
  <c r="G379" i="57" a="1"/>
  <c r="T278" i="69" a="1"/>
  <c r="T137" i="69" a="1"/>
  <c r="T306" i="69" a="1"/>
  <c r="G361" i="57" a="1"/>
  <c r="G673" i="57" a="1"/>
  <c r="T335" i="69" a="1"/>
  <c r="T86" i="69" a="1"/>
  <c r="G208" i="57" a="1"/>
  <c r="G494" i="57" a="1"/>
  <c r="G459" i="57" a="1"/>
  <c r="T55" i="60" a="1"/>
  <c r="G490" i="57" a="1"/>
  <c r="L73" i="119" a="1"/>
  <c r="G21" i="57" a="1"/>
  <c r="G291" i="57" a="1"/>
  <c r="L21" i="119" a="1"/>
  <c r="G417" i="57" a="1"/>
  <c r="T271" i="60" a="1"/>
  <c r="T29" i="69" a="1"/>
  <c r="G747" i="57" a="1"/>
  <c r="G728" i="57" a="1"/>
  <c r="G392" i="57" a="1"/>
  <c r="T329" i="60" a="1"/>
  <c r="T118" i="60" a="1"/>
  <c r="L83" i="119" a="1"/>
  <c r="T121" i="69" a="1"/>
  <c r="G456" i="57" a="1"/>
  <c r="G251" i="57" a="1"/>
  <c r="J47" i="72" a="1"/>
  <c r="T270" i="69" a="1"/>
  <c r="T402" i="69" a="1"/>
  <c r="T31" i="69" a="1"/>
  <c r="G40" i="57" a="1"/>
  <c r="J12" i="72" a="1"/>
  <c r="G646" i="57" a="1"/>
  <c r="G355" i="57" a="1"/>
  <c r="G359" i="57" a="1"/>
  <c r="L6" i="119" a="1"/>
  <c r="E5" i="73" a="1"/>
  <c r="G797" i="57" a="1"/>
  <c r="T261" i="60" a="1"/>
  <c r="G425" i="57" a="1"/>
  <c r="G34" i="57" a="1"/>
  <c r="G757" i="57" a="1"/>
  <c r="G269" i="57" a="1"/>
  <c r="G526" i="57" a="1"/>
  <c r="T28" i="69" a="1"/>
  <c r="G306" i="57" a="1"/>
  <c r="T24" i="60" a="1"/>
  <c r="T217" i="69" a="1"/>
  <c r="G293" i="57" a="1"/>
  <c r="G773" i="57" a="1"/>
  <c r="L78" i="119" a="1"/>
  <c r="T205" i="69" a="1"/>
  <c r="L67" i="119" a="1"/>
  <c r="T259" i="69" a="1"/>
  <c r="T89" i="69" a="1"/>
  <c r="T42" i="69" a="1"/>
  <c r="G73" i="57" a="1"/>
  <c r="J6" i="72" a="1"/>
  <c r="J9" i="72" a="1"/>
  <c r="G107" i="57" a="1"/>
  <c r="T279" i="60" a="1"/>
  <c r="T295" i="60" a="1"/>
  <c r="T146" i="69" a="1"/>
  <c r="T252" i="69" a="1"/>
  <c r="L93" i="119" a="1"/>
  <c r="T329" i="69" a="1"/>
  <c r="G760" i="57" a="1"/>
  <c r="G720" i="57" a="1"/>
  <c r="T88" i="69" a="1"/>
  <c r="G368" i="57" a="1"/>
  <c r="T198" i="69" a="1"/>
  <c r="T308" i="60" a="1"/>
  <c r="T181" i="60" a="1"/>
  <c r="T41" i="60" a="1"/>
  <c r="G122" i="57" a="1"/>
  <c r="G615" i="57" a="1"/>
  <c r="T69" i="69" a="1"/>
  <c r="T120" i="69" a="1"/>
  <c r="G372" i="57" a="1"/>
  <c r="G782" i="57" a="1"/>
  <c r="L62" i="119" a="1"/>
  <c r="G453" i="57" a="1"/>
  <c r="G174" i="57" a="1"/>
  <c r="G24" i="57" a="1"/>
  <c r="G178" i="57" a="1"/>
  <c r="T96" i="69" a="1"/>
  <c r="G264" i="57" a="1"/>
  <c r="G509" i="57" a="1"/>
  <c r="T122" i="60" a="1"/>
  <c r="T95" i="60" a="1"/>
  <c r="E7" i="73" a="1"/>
  <c r="G699" i="57" a="1"/>
  <c r="T77" i="69" a="1"/>
  <c r="T211" i="69" a="1"/>
  <c r="T307" i="60" a="1"/>
  <c r="G141" i="57" a="1"/>
  <c r="G629" i="57" a="1"/>
  <c r="G360" i="57" a="1"/>
  <c r="T220" i="60" a="1"/>
  <c r="L40" i="119" a="1"/>
  <c r="G597" i="57" a="1"/>
  <c r="G476" i="57" a="1"/>
  <c r="G567" i="57" a="1"/>
  <c r="G16" i="57" a="1"/>
  <c r="G507" i="57" a="1"/>
  <c r="G566" i="57" a="1"/>
  <c r="T31" i="60" a="1"/>
  <c r="G471" i="57" a="1"/>
  <c r="T97" i="60" a="1"/>
  <c r="T308" i="69" a="1"/>
  <c r="J3" i="72" a="1"/>
  <c r="T67" i="60" a="1"/>
  <c r="G742" i="57" a="1"/>
  <c r="G242" i="57" a="1"/>
  <c r="G580" i="57" a="1"/>
  <c r="T240" i="69" a="1"/>
  <c r="G394" i="57" a="1"/>
  <c r="G604" i="57" a="1"/>
  <c r="G659" i="57" a="1"/>
  <c r="T301" i="69" a="1"/>
  <c r="T170" i="60" a="1"/>
  <c r="T205" i="60" a="1"/>
  <c r="L79" i="119" a="1"/>
  <c r="G38" i="57" a="1"/>
  <c r="G823" i="57" a="1"/>
  <c r="T318" i="69" a="1"/>
  <c r="T327" i="69" a="1"/>
  <c r="L88" i="119" a="1"/>
  <c r="T356" i="69" a="1"/>
  <c r="G152" i="57" a="1"/>
  <c r="G607" i="57" a="1"/>
  <c r="T377" i="69" a="1"/>
  <c r="T66" i="60" a="1"/>
  <c r="G12" i="57" a="1"/>
  <c r="T331" i="69" a="1"/>
  <c r="L49" i="119" a="1"/>
  <c r="T141" i="60" a="1"/>
  <c r="G506" i="57" a="1"/>
  <c r="G501" i="57" a="1"/>
  <c r="G517" i="57" a="1"/>
  <c r="T109" i="60" a="1"/>
  <c r="T57" i="60" a="1"/>
  <c r="T115" i="69" a="1"/>
  <c r="T286" i="69" a="1"/>
  <c r="T134" i="60" a="1"/>
  <c r="G708" i="57" a="1"/>
  <c r="G80" i="57" a="1"/>
  <c r="G78" i="57" a="1"/>
  <c r="T392" i="69" a="1"/>
  <c r="G189" i="57" a="1"/>
  <c r="T276" i="69" a="1"/>
  <c r="T133" i="69" a="1"/>
  <c r="G650" i="57" a="1"/>
  <c r="T25" i="69" a="1"/>
  <c r="T209" i="69" a="1"/>
  <c r="G627" i="57" a="1"/>
  <c r="T150" i="69" a="1"/>
  <c r="G491" i="57" a="1"/>
  <c r="T36" i="69" a="1"/>
  <c r="L66" i="119" a="1"/>
  <c r="T371" i="69" a="1"/>
  <c r="T364" i="69" a="1"/>
  <c r="G672" i="57" a="1"/>
  <c r="G221" i="57" a="1"/>
  <c r="T281" i="69" a="1"/>
  <c r="G338" i="57" a="1"/>
  <c r="G511" i="57" a="1"/>
  <c r="G68" i="57" a="1"/>
  <c r="T216" i="69" a="1"/>
  <c r="T384" i="69" a="1"/>
  <c r="G579" i="57" a="1"/>
  <c r="T51" i="60" a="1"/>
  <c r="G37" i="57" a="1"/>
  <c r="T307" i="69" a="1"/>
  <c r="T104" i="69" a="1"/>
  <c r="T393" i="69" a="1"/>
  <c r="T253" i="60" a="1"/>
  <c r="T262" i="60" a="1"/>
  <c r="G403" i="57" a="1"/>
  <c r="T81" i="60" a="1"/>
  <c r="T39" i="69" a="1"/>
  <c r="T167" i="69" a="1"/>
  <c r="J70" i="72" a="1"/>
  <c r="T296" i="69" a="1"/>
  <c r="T103" i="69" a="1"/>
  <c r="G217" i="57" a="1"/>
  <c r="T82" i="60" a="1"/>
  <c r="G169" i="57" a="1"/>
  <c r="G660" i="57" a="1"/>
  <c r="G725" i="57" a="1"/>
  <c r="G669" i="57" a="1"/>
  <c r="G256" i="57" a="1"/>
  <c r="T195" i="60" a="1"/>
  <c r="G468" i="57" a="1"/>
  <c r="T196" i="60" a="1"/>
  <c r="L81" i="119" a="1"/>
  <c r="J73" i="72" a="1"/>
  <c r="T11" i="60" a="1"/>
  <c r="J4" i="72" a="1"/>
  <c r="T14" i="60" a="1"/>
  <c r="G350" i="57" a="1"/>
  <c r="T380" i="69" a="1"/>
  <c r="T234" i="60" a="1"/>
  <c r="T283" i="60" a="1"/>
  <c r="G126" i="57" a="1"/>
  <c r="T97" i="69" a="1"/>
  <c r="G738" i="57" a="1"/>
  <c r="T21" i="69" a="1"/>
  <c r="T239" i="69" a="1"/>
  <c r="T90" i="60" a="1"/>
  <c r="T179" i="60" a="1"/>
  <c r="T229" i="69" a="1"/>
  <c r="G786" i="57" a="1"/>
  <c r="T263" i="69" a="1"/>
  <c r="G150" i="57" a="1"/>
  <c r="L74" i="119" a="1"/>
  <c r="T213" i="69" a="1"/>
  <c r="G353" i="57" a="1"/>
  <c r="G76" i="57" a="1"/>
  <c r="G46" i="57" a="1"/>
  <c r="G321" i="57" a="1"/>
  <c r="G454" i="57" a="1"/>
  <c r="T40" i="60" a="1"/>
  <c r="G568" i="57" a="1"/>
  <c r="G26" i="57" a="1"/>
  <c r="G371" i="57" a="1"/>
  <c r="G450" i="57" a="1"/>
  <c r="G186" i="57" a="1"/>
  <c r="G260" i="57" a="1"/>
  <c r="G65" i="57" a="1"/>
  <c r="T390" i="69" a="1"/>
  <c r="T137" i="60" a="1"/>
  <c r="G312" i="57" a="1"/>
  <c r="G67" i="57" a="1"/>
  <c r="T304" i="60" a="1"/>
  <c r="G42" i="57" a="1"/>
  <c r="E9" i="73" a="1"/>
  <c r="J50" i="72" a="1"/>
  <c r="L29" i="119" a="1"/>
  <c r="G235" i="57" a="1"/>
  <c r="G305" i="57" a="1"/>
  <c r="T197" i="60" a="1"/>
  <c r="G429" i="57" a="1"/>
  <c r="J20" i="72" a="1"/>
  <c r="G600" i="57" a="1"/>
  <c r="G339" i="57" a="1"/>
  <c r="T153" i="69" a="1"/>
  <c r="T314" i="60" a="1"/>
  <c r="T139" i="60" a="1"/>
  <c r="T159" i="69" a="1"/>
  <c r="G777" i="57" a="1"/>
  <c r="G63" i="57" a="1"/>
  <c r="G679" i="57" a="1"/>
  <c r="G692" i="57" a="1"/>
  <c r="G505" i="57" a="1"/>
  <c r="G33" i="57" a="1"/>
  <c r="T338" i="69" a="1"/>
  <c r="G470" i="57" a="1"/>
  <c r="G771" i="57" a="1"/>
  <c r="T267" i="69" a="1"/>
  <c r="G530" i="57" a="1"/>
  <c r="T69" i="60" a="1"/>
  <c r="G663" i="57" a="1"/>
  <c r="G743" i="57" a="1"/>
  <c r="G601" i="57" a="1"/>
  <c r="T271" i="69" a="1"/>
  <c r="G387" i="57" a="1"/>
  <c r="G666" i="57" a="1"/>
  <c r="G707" i="57" a="1"/>
  <c r="G145" i="57" a="1"/>
  <c r="J61" i="72" a="1"/>
  <c r="G569" i="57" a="1"/>
  <c r="G248" i="57" a="1"/>
  <c r="G412" i="57" a="1"/>
  <c r="T175" i="69" a="1"/>
  <c r="T4" i="60" a="1"/>
  <c r="T389" i="69" a="1"/>
  <c r="G820" i="57" a="1"/>
  <c r="L94" i="119" a="1"/>
  <c r="G307" i="57" a="1"/>
  <c r="T232" i="60" a="1"/>
  <c r="G647" i="57" a="1"/>
  <c r="T338" i="60" a="1"/>
  <c r="T274" i="69" a="1"/>
  <c r="G772" i="57" a="1"/>
  <c r="T47" i="69" a="1"/>
  <c r="T2" i="60" a="1"/>
  <c r="T112" i="60" a="1"/>
  <c r="L17" i="119" a="1"/>
  <c r="T360" i="69" a="1"/>
  <c r="T287" i="60" a="1"/>
  <c r="G171" i="57" a="1"/>
  <c r="J62" i="72" a="1"/>
  <c r="T315" i="69" a="1"/>
  <c r="T299" i="69" a="1"/>
  <c r="T20" i="69" a="1"/>
  <c r="G648" i="57" a="1"/>
  <c r="G239" i="57" a="1"/>
  <c r="J40" i="72" a="1"/>
  <c r="G234" i="57" a="1"/>
  <c r="J39" i="72" a="1"/>
  <c r="G69" i="57" a="1"/>
  <c r="T302" i="60" a="1"/>
  <c r="T55" i="69" a="1"/>
  <c r="T114" i="69" a="1"/>
  <c r="G304" i="57" a="1"/>
  <c r="T26" i="69" a="1"/>
  <c r="G724" i="57" a="1"/>
  <c r="T168" i="60" a="1"/>
  <c r="T336" i="60" a="1"/>
  <c r="T247" i="60" a="1"/>
  <c r="G388" i="57" a="1"/>
  <c r="T54" i="69" a="1"/>
  <c r="G830" i="57" a="1"/>
  <c r="G230" i="57" a="1"/>
  <c r="G698" i="57" a="1"/>
  <c r="G120" i="57" a="1"/>
  <c r="G190" i="57" a="1"/>
  <c r="T326" i="60" a="1"/>
  <c r="T368" i="69" a="1"/>
  <c r="L35" i="119" a="1"/>
  <c r="L4" i="119" a="1"/>
  <c r="T399" i="69" a="1"/>
  <c r="G265" i="57" a="1"/>
  <c r="G748" i="57" a="1"/>
  <c r="T45" i="69" a="1"/>
  <c r="T261" i="69" a="1"/>
  <c r="G6" i="57" a="1"/>
  <c r="G528" i="57" a="1"/>
  <c r="T179" i="69" a="1"/>
  <c r="G538" i="57" a="1"/>
  <c r="T295" i="69" a="1"/>
  <c r="J38" i="72" a="1"/>
  <c r="G99" i="57" a="1"/>
  <c r="T189" i="60" a="1"/>
  <c r="T331" i="60" a="1"/>
  <c r="G5" i="57" a="1"/>
  <c r="G204" i="57" a="1"/>
  <c r="G35" i="57" a="1"/>
  <c r="T362" i="69" a="1"/>
  <c r="T189" i="69" a="1"/>
  <c r="T226" i="60" a="1"/>
  <c r="G625" i="57" a="1"/>
  <c r="T74" i="60" a="1"/>
  <c r="G758" i="57" a="1"/>
  <c r="G410" i="57" a="1"/>
  <c r="L10" i="119" a="1"/>
  <c r="T65" i="60" a="1"/>
  <c r="G581" i="57" a="1"/>
  <c r="T61" i="69" a="1"/>
  <c r="G812" i="57" a="1"/>
  <c r="T140" i="69" a="1"/>
  <c r="G624" i="57" a="1"/>
  <c r="J63" i="72" a="1"/>
  <c r="G396" i="57" a="1"/>
  <c r="T309" i="60" a="1"/>
  <c r="G694" i="57" a="1"/>
  <c r="T175" i="60" a="1"/>
  <c r="J8" i="72" a="1"/>
  <c r="T272" i="60" a="1"/>
  <c r="G727" i="57" a="1"/>
  <c r="G207" i="57" a="1"/>
  <c r="J49" i="72" a="1"/>
  <c r="L31" i="119" a="1"/>
  <c r="T111" i="69" a="1"/>
  <c r="T151" i="60" a="1"/>
  <c r="T58" i="69" a="1"/>
  <c r="G399" i="57" a="1"/>
  <c r="T242" i="60" a="1"/>
  <c r="T319" i="69" a="1"/>
  <c r="T7" i="69" a="1"/>
  <c r="T212" i="69" a="1"/>
  <c r="T208" i="60" a="1"/>
  <c r="T208" i="69" a="1"/>
  <c r="G22" i="57" a="1"/>
  <c r="T387" i="69" a="1"/>
  <c r="T101" i="60" a="1"/>
  <c r="G346" i="57" a="1"/>
  <c r="T257" i="60" a="1"/>
  <c r="G676" i="57" a="1"/>
  <c r="G311" i="57" a="1"/>
  <c r="T147" i="69" a="1"/>
  <c r="G603" i="57" a="1"/>
  <c r="T112" i="69" a="1"/>
  <c r="G324" i="57" a="1"/>
  <c r="G72" i="57" a="1"/>
  <c r="T95" i="69" a="1"/>
  <c r="G297" i="57" a="1"/>
  <c r="G358" i="57" a="1"/>
  <c r="G64" i="57" a="1"/>
  <c r="T221" i="60" a="1"/>
  <c r="G226" i="57" a="1"/>
  <c r="J65" i="72" a="1"/>
  <c r="G347" i="57" a="1"/>
  <c r="J55" i="72" a="1"/>
  <c r="G158" i="57" a="1"/>
  <c r="L14" i="119" a="1"/>
  <c r="T332" i="69" a="1"/>
  <c r="T210" i="60" a="1"/>
  <c r="T256" i="69" a="1"/>
  <c r="T233" i="60" a="1"/>
  <c r="G524" i="57" a="1"/>
  <c r="L27" i="119" a="1"/>
  <c r="T284" i="60" a="1"/>
  <c r="G644" i="57" a="1"/>
  <c r="G447" i="57" a="1"/>
  <c r="G480" i="57" a="1"/>
  <c r="J28" i="72" a="1"/>
  <c r="G643" i="57" a="1"/>
  <c r="T56" i="60" a="1"/>
  <c r="G176" i="57" a="1"/>
  <c r="T126" i="69" a="1"/>
  <c r="G763" i="57" a="1"/>
  <c r="L70" i="119" a="1"/>
  <c r="G719" i="57" a="1"/>
  <c r="G382" i="57" a="1"/>
  <c r="G416" i="57" a="1"/>
  <c r="T316" i="69" a="1"/>
  <c r="G442" i="57" a="1"/>
  <c r="G800" i="57" a="1"/>
  <c r="T333" i="60" a="1"/>
  <c r="T235" i="69" a="1"/>
  <c r="G532" i="57" a="1"/>
  <c r="G100" i="57" a="1"/>
  <c r="T214" i="60" a="1"/>
  <c r="T156" i="60" a="1"/>
  <c r="T242" i="69" a="1"/>
  <c r="L51" i="119" a="1"/>
  <c r="T177" i="69" a="1"/>
  <c r="G796" i="57" a="1"/>
  <c r="G589" i="57" a="1"/>
  <c r="G282" i="57" a="1"/>
  <c r="G751" i="57" a="1"/>
  <c r="G542" i="57" a="1"/>
  <c r="G296" i="57" a="1"/>
  <c r="T154" i="60" a="1"/>
  <c r="G457" i="57" a="1"/>
  <c r="T134" i="69" a="1"/>
  <c r="T116" i="69" a="1"/>
  <c r="G102" i="57" a="1"/>
  <c r="T83" i="69" a="1"/>
  <c r="G270" i="57" a="1"/>
  <c r="T88" i="60" a="1"/>
  <c r="T345" i="69" a="1"/>
  <c r="T303" i="69" a="1"/>
  <c r="G789" i="57" a="1"/>
  <c r="T33" i="69" a="1"/>
  <c r="G523" i="57" a="1"/>
  <c r="G397" i="57" a="1"/>
  <c r="G664" i="57" a="1"/>
  <c r="T212" i="60" a="1"/>
  <c r="T323" i="69" a="1"/>
  <c r="G131" i="57" a="1"/>
  <c r="G498" i="57" a="1"/>
  <c r="G243" i="57" a="1"/>
  <c r="T7" i="60" a="1"/>
  <c r="G79" i="57" a="1"/>
  <c r="T169" i="60" a="1"/>
  <c r="T213" i="60" a="1"/>
  <c r="G342" i="57" a="1"/>
  <c r="T66" i="69" a="1"/>
  <c r="T73" i="69" a="1"/>
  <c r="L32" i="119" a="1"/>
  <c r="T385" i="69" a="1"/>
  <c r="T378" i="69" a="1"/>
  <c r="T225" i="60" a="1"/>
  <c r="G814" i="57" a="1"/>
  <c r="T63" i="60" a="1"/>
  <c r="L20" i="119" a="1"/>
  <c r="G249" i="57" a="1"/>
  <c r="T204" i="60" a="1"/>
  <c r="J81" i="72" a="1"/>
  <c r="L86" i="119" a="1"/>
  <c r="G816" i="57" a="1"/>
  <c r="T324" i="69" a="1"/>
  <c r="T206" i="69" a="1"/>
  <c r="T386" i="69" a="1"/>
  <c r="G496" i="57" a="1"/>
  <c r="T110" i="69" a="1"/>
  <c r="G88" i="57" a="1"/>
  <c r="L71" i="119" a="1"/>
  <c r="G431" i="57" a="1"/>
  <c r="G426" i="57" a="1"/>
  <c r="T57" i="69" a="1"/>
  <c r="T157" i="69" a="1"/>
  <c r="G680" i="57" a="1"/>
  <c r="G393" i="57" a="1"/>
  <c r="T12" i="60" a="1"/>
  <c r="G696" i="57" a="1"/>
  <c r="G271" i="57" a="1"/>
  <c r="G514" i="57" a="1"/>
  <c r="T260" i="60" a="1"/>
  <c r="T199" i="60" a="1"/>
  <c r="T355" i="69" a="1"/>
  <c r="T232" i="69" a="1"/>
  <c r="T395" i="69" a="1"/>
  <c r="G268" i="57" a="1"/>
  <c r="G114" i="57" a="1"/>
  <c r="G548" i="57" a="1"/>
  <c r="G482" i="57" a="1"/>
  <c r="T224" i="69" a="1"/>
  <c r="T243" i="60" a="1"/>
  <c r="J76" i="72" a="1"/>
  <c r="J37" i="72" a="1"/>
  <c r="T90" i="69" a="1"/>
  <c r="L7" i="119" a="1"/>
  <c r="T228" i="60" a="1"/>
  <c r="T304" i="69" a="1"/>
  <c r="G115" i="57" a="1"/>
  <c r="G343" i="57" a="1"/>
  <c r="J25" i="72" a="1"/>
  <c r="T9" i="69" a="1"/>
  <c r="G778" i="57" a="1"/>
  <c r="G183" i="57" a="1"/>
  <c r="T23" i="60" a="1"/>
  <c r="T246" i="60" a="1"/>
  <c r="G285" i="57" a="1"/>
  <c r="T129" i="69" a="1"/>
  <c r="L11" i="119" a="1"/>
  <c r="G813" i="57" a="1"/>
  <c r="T81" i="69" a="1"/>
  <c r="T28" i="60" a="1"/>
  <c r="G386" i="57" a="1"/>
  <c r="G49" i="57" a="1"/>
  <c r="T273" i="60" a="1"/>
  <c r="G519" i="57" a="1"/>
  <c r="G588" i="57" a="1"/>
  <c r="G333" i="57" a="1"/>
  <c r="G765" i="57" a="1"/>
  <c r="G90" i="57" a="1"/>
  <c r="G275" i="57" a="1"/>
  <c r="G157" i="57" a="1"/>
  <c r="G572" i="57" a="1"/>
  <c r="G592" i="57" a="1"/>
  <c r="T309" i="69" a="1"/>
  <c r="G116" i="57" a="1"/>
  <c r="G377" i="57" a="1"/>
  <c r="T8" i="60" a="1"/>
  <c r="G749" i="57" a="1"/>
  <c r="T19" i="60" a="1"/>
  <c r="T152" i="69" a="1"/>
  <c r="T93" i="60" a="1"/>
  <c r="T312" i="69" a="1"/>
  <c r="J17" i="72" a="1"/>
  <c r="T144" i="69" a="1"/>
  <c r="T144" i="60" a="1"/>
  <c r="G595" i="57" a="1"/>
  <c r="J67" i="72" a="1"/>
  <c r="T148" i="60" a="1"/>
  <c r="G759" i="57" a="1"/>
  <c r="G301" i="57" a="1"/>
  <c r="G434" i="57" a="1"/>
  <c r="L37" i="119" a="1"/>
  <c r="L15" i="119" a="1"/>
  <c r="T340" i="69" a="1"/>
  <c r="T314" i="69" a="1"/>
  <c r="G558" i="57" a="1"/>
  <c r="T51" i="69" a="1"/>
  <c r="T349" i="69" a="1"/>
  <c r="T146" i="60" a="1"/>
  <c r="T184" i="69" a="1"/>
  <c r="G146" i="57" a="1"/>
  <c r="T77" i="60" a="1"/>
  <c r="T318" i="60" a="1"/>
  <c r="T236" i="69" a="1"/>
  <c r="G27" i="57" a="1"/>
  <c r="T397" i="69" a="1"/>
  <c r="G469" i="57" a="1"/>
  <c r="G678" i="57" a="1"/>
  <c r="T201" i="69" a="1"/>
  <c r="J16" i="72" a="1"/>
  <c r="T327" i="60" a="1"/>
  <c r="G785" i="57" a="1"/>
  <c r="T91" i="69" a="1"/>
  <c r="G752" i="57" a="1"/>
  <c r="T158" i="60" a="1"/>
  <c r="G735" i="57" a="1"/>
  <c r="T254" i="69" a="1"/>
  <c r="G280" i="57" a="1"/>
  <c r="T131" i="60" a="1"/>
  <c r="G750" i="57" a="1"/>
  <c r="G652" i="57" a="1"/>
  <c r="G675" i="57" a="1"/>
  <c r="G193" i="57" a="1"/>
  <c r="T285" i="69" a="1"/>
  <c r="G227" i="57" a="1"/>
  <c r="G737" i="57" a="1"/>
  <c r="T36" i="60" a="1"/>
  <c r="G144" i="57" a="1"/>
  <c r="G578" i="57" a="1"/>
  <c r="T220" i="69" a="1"/>
  <c r="G407" i="57" a="1"/>
  <c r="T72" i="69" a="1"/>
  <c r="T107" i="69" a="1"/>
  <c r="T61" i="60" a="1"/>
  <c r="T312" i="60" a="1"/>
  <c r="T359" i="69" a="1"/>
  <c r="T128" i="60" a="1"/>
  <c r="G164" i="57" a="1"/>
  <c r="G85" i="57" a="1"/>
  <c r="T298" i="60" a="1"/>
  <c r="L99" i="119" a="1"/>
  <c r="T82" i="69" a="1"/>
  <c r="L92" i="119" a="1"/>
  <c r="G826" i="57" a="1"/>
  <c r="T289" i="60" a="1"/>
  <c r="T283" i="69" a="1"/>
  <c r="G55" i="57" a="1"/>
  <c r="T22" i="60" a="1"/>
  <c r="G335" i="57" a="1"/>
  <c r="G445" i="57" a="1"/>
  <c r="G244" i="57" a="1"/>
  <c r="T333" i="69" a="1"/>
  <c r="T330" i="69" a="1"/>
  <c r="T155" i="60" a="1"/>
  <c r="J29" i="72" a="1"/>
  <c r="T168" i="69" a="1"/>
  <c r="T191" i="60" a="1"/>
  <c r="J30" i="72" a="1"/>
  <c r="G117" i="57" a="1"/>
  <c r="T157" i="60" a="1"/>
  <c r="G554" i="57" a="1"/>
  <c r="T71" i="60" a="1"/>
  <c r="G575" i="57" a="1"/>
  <c r="G611" i="57" a="1"/>
  <c r="T165" i="69" a="1"/>
  <c r="G734" i="57" a="1"/>
  <c r="T71" i="69" a="1"/>
  <c r="T198" i="60" a="1"/>
  <c r="T108" i="69" a="1"/>
  <c r="T269" i="60" a="1"/>
  <c r="L39" i="119" a="1"/>
  <c r="G194" i="57" a="1"/>
  <c r="G563" i="57" a="1"/>
  <c r="G261" i="57" a="1"/>
  <c r="T49" i="69" a="1"/>
  <c r="G550" i="57" a="1"/>
  <c r="L77" i="119" a="1"/>
  <c r="T226" i="69" a="1"/>
  <c r="T15" i="60" a="1"/>
  <c r="G391" i="57" a="1"/>
  <c r="T164" i="60" a="1"/>
  <c r="G508" i="57" a="1"/>
  <c r="T161" i="60" a="1"/>
  <c r="G641" i="57" a="1"/>
  <c r="T79" i="60" a="1"/>
  <c r="T358" i="69" a="1"/>
  <c r="T65" i="69" a="1"/>
  <c r="T178" i="60" a="1"/>
  <c r="G474" i="57" a="1"/>
  <c r="J11" i="72" a="1"/>
  <c r="G775" i="57" a="1"/>
  <c r="G544" i="57" a="1"/>
  <c r="T296" i="60" a="1"/>
  <c r="J41" i="72" a="1"/>
  <c r="G53" i="57" a="1"/>
  <c r="G714" i="57" a="1"/>
  <c r="T128" i="69" a="1"/>
  <c r="T249" i="60" a="1"/>
  <c r="G472" i="57" a="1"/>
  <c r="T306" i="60" a="1"/>
  <c r="L42" i="119" a="1"/>
  <c r="G18" i="57" a="1"/>
  <c r="G213" i="57" a="1"/>
  <c r="G420" i="57" a="1"/>
  <c r="G357" i="57" a="1"/>
  <c r="G645" i="57" a="1"/>
  <c r="G815" i="57" a="1"/>
  <c r="L61" i="119" a="1"/>
  <c r="G736" i="57" a="1"/>
  <c r="L13" i="119" a="1"/>
  <c r="G717" i="57" a="1"/>
  <c r="T76" i="69" a="1"/>
  <c r="T17" i="69" a="1"/>
  <c r="T100" i="69" a="1"/>
  <c r="G685" i="57" a="1"/>
  <c r="T98" i="69" a="1"/>
  <c r="G289" i="57" a="1"/>
  <c r="T13" i="69" a="1"/>
  <c r="T16" i="60" a="1"/>
  <c r="T141" i="69" a="1"/>
  <c r="G332" i="57" a="1"/>
  <c r="T108" i="60" a="1"/>
  <c r="T290" i="60" a="1"/>
  <c r="G587" i="57" a="1"/>
  <c r="T291" i="60" a="1"/>
  <c r="G545" i="57" a="1"/>
  <c r="G74" i="57" a="1"/>
  <c r="G486" i="57" a="1"/>
  <c r="G827" i="57" a="1"/>
  <c r="G283" i="57" a="1"/>
  <c r="T120" i="60" a="1"/>
  <c r="T361" i="69" a="1"/>
  <c r="G133" i="57" a="1"/>
  <c r="J42" i="72" a="1"/>
  <c r="T93" i="69" a="1"/>
  <c r="G449" i="57" a="1"/>
  <c r="L84" i="119" a="1"/>
  <c r="T60" i="60" a="1"/>
  <c r="G405" i="57" a="1"/>
  <c r="E8" i="73" a="1"/>
  <c r="T328" i="69" a="1"/>
  <c r="T248" i="69" a="1"/>
  <c r="T165" i="60" a="1"/>
  <c r="J80" i="72" a="1"/>
  <c r="T215" i="69" a="1"/>
  <c r="G634" i="57" a="1"/>
  <c r="G784" i="57" a="1"/>
  <c r="T85" i="69" a="1"/>
  <c r="G684" i="57" a="1"/>
  <c r="J53" i="72" a="1"/>
  <c r="J74" i="72" a="1"/>
  <c r="G14" i="57" a="1"/>
  <c r="G172" i="57" a="1"/>
  <c r="G821" i="57" a="1"/>
  <c r="G806" i="57" a="1"/>
  <c r="G182" i="57" a="1"/>
  <c r="L69" i="119" a="1"/>
  <c r="G444" i="57" a="1"/>
  <c r="T299" i="60" a="1"/>
  <c r="T363" i="69" a="1"/>
  <c r="T321" i="69" a="1"/>
  <c r="T187" i="60" a="1"/>
  <c r="T164" i="69" a="1"/>
  <c r="T369" i="69" a="1"/>
  <c r="L50" i="119" a="1"/>
  <c r="T166" i="69" a="1"/>
  <c r="T350" i="69" a="1"/>
  <c r="G437" i="57" a="1"/>
  <c r="G278" i="57" a="1"/>
  <c r="T270" i="60" a="1"/>
  <c r="L9" i="119" a="1"/>
  <c r="G336" i="57" a="1"/>
  <c r="G340" i="57" a="1"/>
  <c r="G160" i="57" a="1"/>
  <c r="T202" i="69" a="1"/>
  <c r="G112" i="57" a="1"/>
  <c r="L54" i="119" a="1"/>
  <c r="T102" i="60" a="1"/>
  <c r="G245" i="57" a="1"/>
  <c r="T337" i="69" a="1"/>
  <c r="G36" i="57" a="1"/>
  <c r="G406" i="57" a="1"/>
  <c r="G818" i="57" a="1"/>
  <c r="T373" i="69" a="1"/>
  <c r="G254" i="57" a="1"/>
  <c r="T27" i="60" a="1"/>
  <c r="G484" i="57" a="1"/>
  <c r="G460" i="57" a="1"/>
  <c r="T265" i="69" a="1"/>
  <c r="T310" i="60" a="1"/>
  <c r="G577" i="57" a="1"/>
  <c r="T80" i="69" a="1"/>
  <c r="G464" i="57" a="1"/>
  <c r="L55" i="119" a="1"/>
  <c r="G503" i="57" a="1"/>
  <c r="T250" i="69" a="1"/>
  <c r="G418" i="57" a="1"/>
  <c r="L5" i="119" a="1"/>
  <c r="G352" i="57" a="1"/>
  <c r="T245" i="60" a="1"/>
  <c r="L59" i="119" a="1"/>
  <c r="G495" i="57" a="1"/>
  <c r="L45" i="119" a="1"/>
  <c r="T85" i="60" a="1"/>
  <c r="G232" i="57" a="1"/>
  <c r="L28" i="119" a="1"/>
  <c r="T80" i="60" a="1"/>
  <c r="G309" i="57" a="1"/>
  <c r="T352" i="69" a="1"/>
  <c r="T266" i="69" a="1"/>
  <c r="G711" i="57" a="1"/>
  <c r="E10" i="73" a="1"/>
  <c r="G606" i="57" a="1"/>
  <c r="G330" i="57" a="1"/>
  <c r="G730" i="57" a="1"/>
  <c r="T293" i="69" a="1"/>
  <c r="T19" i="69" a="1"/>
  <c r="L95" i="119" a="1"/>
  <c r="G70" i="57" a="1"/>
  <c r="G98" i="57" a="1"/>
  <c r="G363" i="57" a="1"/>
  <c r="G559" i="57" a="1"/>
  <c r="G147" i="57" a="1"/>
  <c r="T193" i="69" a="1"/>
  <c r="G138" i="57" a="1"/>
  <c r="T233" i="69" a="1"/>
  <c r="T78" i="60" a="1"/>
  <c r="T49" i="60" a="1"/>
  <c r="T372" i="69" a="1"/>
  <c r="G764" i="57" a="1"/>
  <c r="T334" i="60" a="1"/>
  <c r="G337" i="57" a="1"/>
  <c r="G522" i="57" a="1"/>
  <c r="J57" i="72" a="1"/>
  <c r="G551" i="57" a="1"/>
  <c r="T149" i="60" a="1"/>
  <c r="G156" i="57" a="1"/>
  <c r="G354" i="57" a="1"/>
  <c r="G576" i="57" a="1"/>
  <c r="T89" i="60" a="1"/>
  <c r="T62" i="60" a="1"/>
  <c r="G409" i="57" a="1"/>
  <c r="G436" i="57" a="1"/>
  <c r="G649" i="57" a="1"/>
  <c r="G71" i="57" a="1"/>
  <c r="T291" i="69" a="1"/>
  <c r="T159" i="60" a="1"/>
  <c r="T285" i="60" a="1"/>
  <c r="J46" i="72" a="1"/>
  <c r="T235" i="60" a="1"/>
  <c r="G383" i="57" a="1"/>
  <c r="G323" i="57" a="1"/>
  <c r="G452" i="57" a="1"/>
  <c r="T319" i="60" a="1"/>
  <c r="G656" i="57" a="1"/>
  <c r="G638" i="57" a="1"/>
  <c r="G651" i="57" a="1"/>
  <c r="G515" i="57" a="1"/>
  <c r="T256" i="60" a="1"/>
  <c r="T279" i="69" a="1"/>
  <c r="T339" i="69" a="1"/>
  <c r="G203" i="57" a="1"/>
  <c r="G584" i="57" a="1"/>
  <c r="T288" i="69" a="1"/>
  <c r="G184" i="57" a="1"/>
  <c r="G177" i="57" a="1"/>
  <c r="G489" i="57" a="1"/>
  <c r="T178" i="69" a="1"/>
  <c r="G413" i="57" a="1"/>
  <c r="G237" i="57" a="1"/>
  <c r="T32" i="60" a="1"/>
  <c r="G756" i="57" a="1"/>
  <c r="L12" i="119" a="1"/>
  <c r="G255" i="57" a="1"/>
  <c r="T74" i="69" a="1"/>
  <c r="T166" i="60" a="1"/>
  <c r="G441" i="57" a="1"/>
  <c r="G598" i="57" a="1"/>
  <c r="T10" i="69" a="1"/>
  <c r="G288" i="57" a="1"/>
  <c r="G535" i="57" a="1"/>
  <c r="G654" i="57" a="1"/>
  <c r="G781" i="57" a="1"/>
  <c r="L34" i="119" a="1"/>
  <c r="T277" i="69" a="1"/>
  <c r="T131" i="69" a="1"/>
  <c r="T147" i="60" a="1"/>
  <c r="G101" i="57" a="1"/>
  <c r="G788" i="57" a="1"/>
  <c r="T9" i="60" a="1"/>
  <c r="G562" i="57" a="1"/>
  <c r="T169" i="69" a="1"/>
  <c r="T336" i="69" a="1"/>
  <c r="G697" i="57" a="1"/>
  <c r="G139" i="57" a="1"/>
  <c r="T64" i="69" a="1"/>
  <c r="G561" i="57" a="1"/>
  <c r="G376" i="57" a="1"/>
  <c r="G520" i="57" a="1"/>
  <c r="T119" i="60" a="1"/>
  <c r="G780" i="57" a="1"/>
  <c r="G328" i="57" a="1"/>
  <c r="G415" i="57" a="1"/>
  <c r="T181" i="69" a="1"/>
  <c r="L85" i="119" a="1"/>
  <c r="G320" i="57" a="1"/>
  <c r="G721" i="57" a="1"/>
  <c r="T44" i="69" a="1"/>
  <c r="T59" i="69" a="1"/>
  <c r="G552" i="57" a="1"/>
  <c r="G56" i="57" a="1"/>
  <c r="T79" i="69" a="1"/>
  <c r="T106" i="69" a="1"/>
  <c r="G483" i="57" a="1"/>
  <c r="T10" i="60" a="1"/>
  <c r="T23" i="69" a="1"/>
  <c r="G163" i="57" a="1"/>
  <c r="G716" i="57" a="1"/>
  <c r="G13" i="57" a="1"/>
  <c r="T91" i="60" a="1"/>
  <c r="G276" i="57" a="1"/>
  <c r="T176" i="60" a="1"/>
  <c r="G427" i="57" a="1"/>
  <c r="T156" i="69" a="1"/>
  <c r="G151" i="57" a="1"/>
  <c r="G668" i="57" a="1"/>
  <c r="T78" i="69" a="1"/>
  <c r="T229" i="60" a="1"/>
  <c r="T282" i="69" a="1"/>
  <c r="G128" i="57" a="1"/>
  <c r="G29" i="57" a="1"/>
  <c r="L89" i="119" a="1"/>
  <c r="G422" i="57" a="1"/>
  <c r="G32" i="57" a="1"/>
  <c r="G188" i="57" a="1"/>
  <c r="G108" i="57" a="1"/>
  <c r="J60" i="72" a="1"/>
  <c r="T321" i="60" a="1"/>
  <c r="T315" i="60" a="1"/>
  <c r="L65" i="119" a="1"/>
  <c r="T332" i="60" a="1"/>
  <c r="T341" i="69" a="1"/>
  <c r="G132" i="57" a="1"/>
  <c r="G408" i="57" a="1"/>
  <c r="G284" i="57" a="1"/>
  <c r="G373" i="57" a="1"/>
  <c r="T182" i="69" a="1"/>
  <c r="T203" i="69" a="1"/>
  <c r="J24" i="72" a="1"/>
  <c r="G302" i="57" a="1"/>
  <c r="T357" i="69" a="1"/>
  <c r="L22" i="119" a="1"/>
  <c r="T183" i="69" a="1"/>
  <c r="T13" i="60" a="1"/>
  <c r="T45" i="60" a="1"/>
  <c r="G369" i="57" a="1"/>
  <c r="G745" i="57" a="1"/>
  <c r="G510" i="57" a="1"/>
  <c r="L26" i="119" a="1"/>
  <c r="G252" i="57" a="1"/>
  <c r="J7" i="72" a="1"/>
  <c r="T290" i="69" a="1"/>
  <c r="T275" i="60" a="1"/>
  <c r="G746" i="57" a="1"/>
  <c r="G677" i="57" a="1"/>
  <c r="T87" i="60" a="1"/>
  <c r="G220" i="57" a="1"/>
  <c r="T292" i="69" a="1"/>
  <c r="T117" i="69" a="1"/>
  <c r="G621" i="57" a="1"/>
  <c r="L38" i="119" a="1"/>
  <c r="G366" i="57" a="1"/>
  <c r="G428" i="57" a="1"/>
  <c r="T228" i="69" a="1"/>
  <c r="T117" i="60" a="1"/>
  <c r="L33" i="119" a="1"/>
  <c r="G159" i="57" a="1"/>
  <c r="G682" i="57" a="1"/>
  <c r="G197" i="57" a="1"/>
  <c r="G341" i="57" a="1"/>
  <c r="T114" i="60" a="1"/>
  <c r="T207" i="69" a="1"/>
  <c r="T267" i="60" a="1"/>
  <c r="T180" i="69" a="1"/>
  <c r="G817" i="57" a="1"/>
  <c r="G28" i="57" a="1"/>
  <c r="T153" i="60" a="1"/>
  <c r="G661" i="57" a="1"/>
  <c r="T211" i="60" a="1"/>
  <c r="J19" i="72" a="1"/>
  <c r="T366" i="69" a="1"/>
  <c r="L87" i="119" a="1"/>
  <c r="T324" i="60" a="1"/>
  <c r="T294" i="69" a="1"/>
  <c r="G690" i="57" a="1"/>
  <c r="T145" i="69" a="1"/>
  <c r="T143" i="69" a="1"/>
  <c r="J44" i="72" a="1"/>
  <c r="G811" i="57" a="1"/>
  <c r="T272" i="69" a="1"/>
  <c r="G8" i="57" a="1"/>
  <c r="J10" i="72" a="1"/>
  <c r="G15" i="57" a="1"/>
  <c r="L23" i="119" a="1"/>
  <c r="G292" i="57" a="1"/>
  <c r="G704" i="57" a="1"/>
  <c r="G281" i="57" a="1"/>
  <c r="G106" i="57" a="1"/>
  <c r="G384" i="57" a="1"/>
  <c r="T195" i="69" a="1"/>
  <c r="T50" i="60" a="1"/>
  <c r="V71" i="59" l="1"/>
  <c r="D313" i="69" a="1"/>
  <c r="D313" i="69" s="1"/>
  <c r="V72" i="59"/>
  <c r="I18" i="59"/>
  <c r="V18" i="59"/>
  <c r="H18" i="59" s="1"/>
  <c r="O95" i="136"/>
  <c r="O83" i="136"/>
  <c r="O46" i="136"/>
  <c r="O34" i="136"/>
  <c r="Z16" i="116"/>
  <c r="A385" i="57"/>
  <c r="AD185" i="60"/>
  <c r="A601" i="57"/>
  <c r="AD23" i="60"/>
  <c r="K770" i="57"/>
  <c r="AD244" i="60"/>
  <c r="K503" i="57"/>
  <c r="AD203" i="60"/>
  <c r="K649" i="57"/>
  <c r="AD234" i="60"/>
  <c r="K227" i="57"/>
  <c r="AD108" i="60"/>
  <c r="J325" i="57"/>
  <c r="AD172" i="60"/>
  <c r="K337" i="57"/>
  <c r="AD21" i="60"/>
  <c r="A560" i="57"/>
  <c r="AD215" i="60"/>
  <c r="A669" i="57"/>
  <c r="AD236" i="60"/>
  <c r="K675" i="57"/>
  <c r="AD18" i="69"/>
  <c r="A829" i="57"/>
  <c r="AD252" i="60"/>
  <c r="AD209" i="60"/>
  <c r="K533" i="57"/>
  <c r="AD71" i="69"/>
  <c r="A599" i="57"/>
  <c r="AD223" i="60"/>
  <c r="AD103" i="60"/>
  <c r="A66" i="57"/>
  <c r="AD35" i="69"/>
  <c r="K56" i="57"/>
  <c r="AD23" i="69"/>
  <c r="K43" i="57"/>
  <c r="AD20" i="60"/>
  <c r="A76" i="57"/>
  <c r="AD127" i="60"/>
  <c r="A132" i="57"/>
  <c r="AD52" i="69"/>
  <c r="A234" i="57"/>
  <c r="AD157" i="60"/>
  <c r="K223" i="57"/>
  <c r="AD156" i="60"/>
  <c r="K202" i="57"/>
  <c r="AD5" i="60"/>
  <c r="J193" i="57"/>
  <c r="AD148" i="60"/>
  <c r="A176" i="57"/>
  <c r="AD144" i="60"/>
  <c r="A161" i="57"/>
  <c r="R11" i="73"/>
  <c r="AD143" i="60"/>
  <c r="A138" i="57"/>
  <c r="U53" i="119"/>
  <c r="AD78" i="60"/>
  <c r="A289" i="57"/>
  <c r="AD168" i="69"/>
  <c r="A276" i="57"/>
  <c r="AD165" i="60"/>
  <c r="A303" i="57"/>
  <c r="AD21" i="69"/>
  <c r="K97" i="57"/>
  <c r="AD199" i="69"/>
  <c r="A240" i="57"/>
  <c r="AD158" i="60"/>
  <c r="A7" i="57"/>
  <c r="AD119" i="60"/>
  <c r="A61" i="57"/>
  <c r="AD284" i="69"/>
  <c r="A51" i="57"/>
  <c r="AD195" i="69"/>
  <c r="A85" i="57"/>
  <c r="AD146" i="69"/>
  <c r="A87" i="57"/>
  <c r="AD37" i="69"/>
  <c r="A100" i="57"/>
  <c r="AD89" i="69"/>
  <c r="A88" i="57"/>
  <c r="AD129" i="60"/>
  <c r="A126" i="57"/>
  <c r="R13" i="72"/>
  <c r="U23" i="119"/>
  <c r="AD35" i="60"/>
  <c r="A136" i="57"/>
  <c r="AD25" i="69"/>
  <c r="A137" i="57"/>
  <c r="AD32" i="69"/>
  <c r="A216" i="57"/>
  <c r="AD211" i="69"/>
  <c r="J274" i="57"/>
  <c r="AD57" i="69"/>
  <c r="K252" i="57"/>
  <c r="AD38" i="69"/>
  <c r="A311" i="57"/>
  <c r="AD15" i="60"/>
  <c r="J333" i="57"/>
  <c r="AD100" i="69"/>
  <c r="J324" i="57"/>
  <c r="AD131" i="69"/>
  <c r="A184" i="57"/>
  <c r="AD125" i="69"/>
  <c r="A151" i="57"/>
  <c r="AD140" i="60"/>
  <c r="A320" i="57"/>
  <c r="AD130" i="69"/>
  <c r="J33" i="57"/>
  <c r="AD192" i="69"/>
  <c r="J71" i="57"/>
  <c r="AD50" i="69"/>
  <c r="A118" i="57"/>
  <c r="AD190" i="69"/>
  <c r="A108" i="57"/>
  <c r="AD132" i="60"/>
  <c r="J226" i="57"/>
  <c r="AD157" i="69"/>
  <c r="K205" i="57"/>
  <c r="U56" i="119"/>
  <c r="AD81" i="60"/>
  <c r="K187" i="57"/>
  <c r="AD147" i="60"/>
  <c r="K164" i="57"/>
  <c r="U55" i="119"/>
  <c r="AD80" i="60"/>
  <c r="K156" i="57"/>
  <c r="AD141" i="60"/>
  <c r="K142" i="57"/>
  <c r="AD137" i="60"/>
  <c r="A243" i="57"/>
  <c r="AD56" i="69"/>
  <c r="J294" i="57"/>
  <c r="AD58" i="69"/>
  <c r="J280" i="57"/>
  <c r="U37" i="119"/>
  <c r="AD62" i="60"/>
  <c r="A296" i="57"/>
  <c r="AD171" i="69"/>
  <c r="A306" i="57"/>
  <c r="AD170" i="60"/>
  <c r="A18" i="57"/>
  <c r="AD283" i="69"/>
  <c r="A5" i="57"/>
  <c r="AD118" i="60"/>
  <c r="J26" i="57"/>
  <c r="AD123" i="60"/>
  <c r="J67" i="57"/>
  <c r="AD155" i="69"/>
  <c r="A57" i="57"/>
  <c r="AD22" i="69"/>
  <c r="A44" i="57"/>
  <c r="U4" i="119"/>
  <c r="AD42" i="60"/>
  <c r="A34" i="57"/>
  <c r="AD193" i="69"/>
  <c r="A80" i="57"/>
  <c r="R10" i="72"/>
  <c r="AD99" i="60"/>
  <c r="J98" i="57"/>
  <c r="AD131" i="60"/>
  <c r="A116" i="57"/>
  <c r="AD94" i="69"/>
  <c r="A105" i="57"/>
  <c r="AD200" i="69"/>
  <c r="J124" i="57"/>
  <c r="AD122" i="69"/>
  <c r="J133" i="57"/>
  <c r="AD205" i="69"/>
  <c r="A224" i="57"/>
  <c r="AD6" i="60"/>
  <c r="K211" i="57"/>
  <c r="AD154" i="60"/>
  <c r="K203" i="57"/>
  <c r="AD151" i="60"/>
  <c r="K194" i="57"/>
  <c r="R16" i="72"/>
  <c r="AD3" i="69"/>
  <c r="AD42" i="69"/>
  <c r="J185" i="57"/>
  <c r="R15" i="72"/>
  <c r="AD167" i="69"/>
  <c r="J177" i="57"/>
  <c r="U5" i="119"/>
  <c r="AD43" i="60"/>
  <c r="A162" i="57"/>
  <c r="AD123" i="69"/>
  <c r="A139" i="57"/>
  <c r="AD135" i="60"/>
  <c r="A244" i="57"/>
  <c r="U57" i="119"/>
  <c r="AD82" i="60"/>
  <c r="A271" i="57"/>
  <c r="AD109" i="60"/>
  <c r="K261" i="57"/>
  <c r="AD158" i="69"/>
  <c r="AD127" i="69"/>
  <c r="AD218" i="69"/>
  <c r="AD164" i="69"/>
  <c r="J250" i="57"/>
  <c r="AD215" i="69"/>
  <c r="A290" i="57"/>
  <c r="U38" i="119"/>
  <c r="AD63" i="60"/>
  <c r="A277" i="57"/>
  <c r="AD128" i="69"/>
  <c r="A304" i="57"/>
  <c r="AD59" i="69"/>
  <c r="A312" i="57"/>
  <c r="AD14" i="69"/>
  <c r="K331" i="57"/>
  <c r="AD61" i="69"/>
  <c r="A322" i="57"/>
  <c r="U60" i="119"/>
  <c r="AD85" i="60"/>
  <c r="J342" i="57"/>
  <c r="AD178" i="60"/>
  <c r="J367" i="57"/>
  <c r="AD183" i="60"/>
  <c r="K357" i="57"/>
  <c r="AD181" i="60"/>
  <c r="K347" i="57"/>
  <c r="AD39" i="60"/>
  <c r="J391" i="57"/>
  <c r="AD39" i="69"/>
  <c r="A403" i="57"/>
  <c r="AD187" i="60"/>
  <c r="A4" i="57"/>
  <c r="AD117" i="60"/>
  <c r="A25" i="57"/>
  <c r="AD113" i="69"/>
  <c r="A115" i="57"/>
  <c r="AD202" i="69"/>
  <c r="A104" i="57"/>
  <c r="AD181" i="69"/>
  <c r="A260" i="57"/>
  <c r="AD217" i="69"/>
  <c r="J341" i="57"/>
  <c r="R31" i="72"/>
  <c r="AD100" i="60"/>
  <c r="J377" i="57"/>
  <c r="AD184" i="60"/>
  <c r="K366" i="57"/>
  <c r="AD153" i="69"/>
  <c r="K356" i="57"/>
  <c r="AD224" i="69"/>
  <c r="A346" i="57"/>
  <c r="R32" i="72"/>
  <c r="U31" i="119"/>
  <c r="AD56" i="60"/>
  <c r="A402" i="57"/>
  <c r="AD186" i="60"/>
  <c r="J485" i="57"/>
  <c r="U66" i="119"/>
  <c r="AD91" i="60"/>
  <c r="J476" i="57"/>
  <c r="AD242" i="69"/>
  <c r="U16" i="119"/>
  <c r="R41" i="72"/>
  <c r="AD28" i="60"/>
  <c r="J434" i="57"/>
  <c r="AD104" i="69"/>
  <c r="A426" i="57"/>
  <c r="AD110" i="60"/>
  <c r="J415" i="57"/>
  <c r="AD229" i="69"/>
  <c r="AD159" i="69"/>
  <c r="J495" i="57"/>
  <c r="AD24" i="69"/>
  <c r="A525" i="57"/>
  <c r="U8" i="119"/>
  <c r="AD46" i="60"/>
  <c r="K537" i="57"/>
  <c r="AD208" i="60"/>
  <c r="K477" i="57"/>
  <c r="AD16" i="60"/>
  <c r="J466" i="57"/>
  <c r="AD200" i="60"/>
  <c r="J457" i="57"/>
  <c r="AD240" i="69"/>
  <c r="J446" i="57"/>
  <c r="AD172" i="69"/>
  <c r="J427" i="57"/>
  <c r="AD231" i="69"/>
  <c r="J416" i="57"/>
  <c r="AD189" i="60"/>
  <c r="A103" i="57"/>
  <c r="AD96" i="69"/>
  <c r="A122" i="57"/>
  <c r="AD133" i="60"/>
  <c r="K222" i="57"/>
  <c r="AD163" i="69"/>
  <c r="AD212" i="69"/>
  <c r="A191" i="57"/>
  <c r="AD15" i="69"/>
  <c r="A259" i="57"/>
  <c r="AD216" i="69"/>
  <c r="A248" i="57"/>
  <c r="AD160" i="60"/>
  <c r="A288" i="57"/>
  <c r="AD167" i="60"/>
  <c r="A301" i="57"/>
  <c r="AD222" i="69"/>
  <c r="J340" i="57"/>
  <c r="AD177" i="60"/>
  <c r="J484" i="57"/>
  <c r="AD244" i="69"/>
  <c r="J454" i="57"/>
  <c r="AD111" i="60"/>
  <c r="A506" i="57"/>
  <c r="AD173" i="69"/>
  <c r="A514" i="57"/>
  <c r="AD204" i="60"/>
  <c r="J568" i="57"/>
  <c r="AD97" i="69"/>
  <c r="J556" i="57"/>
  <c r="U9" i="119"/>
  <c r="AD47" i="60"/>
  <c r="J576" i="57"/>
  <c r="AD257" i="69"/>
  <c r="J592" i="57"/>
  <c r="AD73" i="69"/>
  <c r="K603" i="57"/>
  <c r="AD258" i="69"/>
  <c r="AD140" i="69"/>
  <c r="J637" i="57"/>
  <c r="AD230" i="60"/>
  <c r="J626" i="57"/>
  <c r="AD229" i="60"/>
  <c r="J615" i="57"/>
  <c r="AD292" i="69"/>
  <c r="A269" i="57"/>
  <c r="AD163" i="60"/>
  <c r="A275" i="57"/>
  <c r="AD20" i="69"/>
  <c r="K374" i="57"/>
  <c r="U42" i="119"/>
  <c r="AD67" i="60"/>
  <c r="K365" i="57"/>
  <c r="AD11" i="69"/>
  <c r="A355" i="57"/>
  <c r="AD4" i="69"/>
  <c r="A345" i="57"/>
  <c r="U41" i="119"/>
  <c r="AD66" i="60"/>
  <c r="K389" i="57"/>
  <c r="AD64" i="69"/>
  <c r="J524" i="57"/>
  <c r="AD206" i="60"/>
  <c r="A536" i="57"/>
  <c r="AD251" i="69"/>
  <c r="K15" i="57"/>
  <c r="AD122" i="60"/>
  <c r="J54" i="57"/>
  <c r="AD107" i="69"/>
  <c r="A93" i="57"/>
  <c r="AD51" i="69"/>
  <c r="A112" i="57"/>
  <c r="R11" i="72"/>
  <c r="R12" i="72"/>
  <c r="AD177" i="69"/>
  <c r="A130" i="57"/>
  <c r="AD204" i="69"/>
  <c r="A286" i="57"/>
  <c r="AD166" i="60"/>
  <c r="A327" i="57"/>
  <c r="U6" i="119"/>
  <c r="AD44" i="60"/>
  <c r="A317" i="57"/>
  <c r="AD60" i="69"/>
  <c r="K373" i="57"/>
  <c r="AD102" i="60"/>
  <c r="A364" i="57"/>
  <c r="AD182" i="60"/>
  <c r="J354" i="57"/>
  <c r="AD12" i="69"/>
  <c r="AD13" i="69"/>
  <c r="K386" i="57"/>
  <c r="AD225" i="69"/>
  <c r="A400" i="57"/>
  <c r="U44" i="119"/>
  <c r="AD69" i="60"/>
  <c r="A96" i="57"/>
  <c r="U34" i="119"/>
  <c r="AD59" i="60"/>
  <c r="A113" i="57"/>
  <c r="AD3" i="60"/>
  <c r="A131" i="57"/>
  <c r="AD102" i="69"/>
  <c r="J474" i="57"/>
  <c r="U46" i="119"/>
  <c r="AD71" i="60"/>
  <c r="J464" i="57"/>
  <c r="AD199" i="60"/>
  <c r="J444" i="57"/>
  <c r="R9" i="73"/>
  <c r="U45" i="119"/>
  <c r="AD70" i="60"/>
  <c r="J433" i="57"/>
  <c r="AD192" i="60"/>
  <c r="A425" i="57"/>
  <c r="AD191" i="60"/>
  <c r="J414" i="57"/>
  <c r="U64" i="119"/>
  <c r="AD89" i="60"/>
  <c r="A493" i="57"/>
  <c r="AD106" i="69"/>
  <c r="J339" i="57"/>
  <c r="U63" i="119"/>
  <c r="AD88" i="60"/>
  <c r="J16" i="57"/>
  <c r="U50" i="119"/>
  <c r="AD75" i="60"/>
  <c r="A24" i="57"/>
  <c r="U51" i="119"/>
  <c r="AD76" i="60"/>
  <c r="K65" i="57"/>
  <c r="AD165" i="69"/>
  <c r="AD196" i="69"/>
  <c r="K55" i="57"/>
  <c r="AD120" i="69"/>
  <c r="K42" i="57"/>
  <c r="AD125" i="60"/>
  <c r="A75" i="57"/>
  <c r="U33" i="119"/>
  <c r="AD58" i="60"/>
  <c r="A232" i="57"/>
  <c r="AD214" i="69"/>
  <c r="J209" i="57"/>
  <c r="R10" i="73"/>
  <c r="AD107" i="60"/>
  <c r="J201" i="57"/>
  <c r="AD150" i="60"/>
  <c r="A183" i="57"/>
  <c r="AD124" i="69"/>
  <c r="K175" i="57"/>
  <c r="AD183" i="69"/>
  <c r="AD208" i="69"/>
  <c r="K160" i="57"/>
  <c r="U54" i="119"/>
  <c r="AD79" i="60"/>
  <c r="K150" i="57"/>
  <c r="AD115" i="69"/>
  <c r="A328" i="57"/>
  <c r="U62" i="119"/>
  <c r="AD87" i="60"/>
  <c r="A318" i="57"/>
  <c r="AD129" i="69"/>
  <c r="K401" i="57"/>
  <c r="R38" i="72"/>
  <c r="U15" i="119"/>
  <c r="AD27" i="60"/>
  <c r="A547" i="57"/>
  <c r="AD90" i="69"/>
  <c r="J40" i="57"/>
  <c r="U25" i="119"/>
  <c r="R6" i="72"/>
  <c r="AD37" i="60"/>
  <c r="A102" i="57"/>
  <c r="U52" i="119"/>
  <c r="AD77" i="60"/>
  <c r="K231" i="57"/>
  <c r="R21" i="72"/>
  <c r="AD178" i="69"/>
  <c r="K221" i="57"/>
  <c r="AD155" i="60"/>
  <c r="A199" i="57"/>
  <c r="AD209" i="69"/>
  <c r="K182" i="57"/>
  <c r="AD146" i="60"/>
  <c r="K174" i="57"/>
  <c r="AD182" i="69"/>
  <c r="K159" i="57"/>
  <c r="AD207" i="69"/>
  <c r="K149" i="57"/>
  <c r="AD46" i="69"/>
  <c r="A268" i="57"/>
  <c r="AD220" i="69"/>
  <c r="A300" i="57"/>
  <c r="AD168" i="60"/>
  <c r="A344" i="57"/>
  <c r="AD223" i="69"/>
  <c r="A335" i="57"/>
  <c r="U40" i="119"/>
  <c r="AD65" i="60"/>
  <c r="A381" i="57"/>
  <c r="AD63" i="69"/>
  <c r="J370" i="57"/>
  <c r="AD62" i="69"/>
  <c r="J360" i="57"/>
  <c r="AD286" i="69"/>
  <c r="AD132" i="69"/>
  <c r="J349" i="57"/>
  <c r="U28" i="119"/>
  <c r="R34" i="72"/>
  <c r="AD53" i="60"/>
  <c r="A393" i="57"/>
  <c r="AD65" i="69"/>
  <c r="A406" i="57"/>
  <c r="AD114" i="69"/>
  <c r="A395" i="57"/>
  <c r="U43" i="119"/>
  <c r="AD68" i="60"/>
  <c r="A489" i="57"/>
  <c r="AD245" i="69"/>
  <c r="AD246" i="69"/>
  <c r="A480" i="57"/>
  <c r="AD243" i="69"/>
  <c r="A468" i="57"/>
  <c r="AD105" i="69"/>
  <c r="J459" i="57"/>
  <c r="AD195" i="60"/>
  <c r="J449" i="57"/>
  <c r="U65" i="119"/>
  <c r="AD90" i="60"/>
  <c r="A438" i="57"/>
  <c r="AD47" i="69"/>
  <c r="J429" i="57"/>
  <c r="AD232" i="69"/>
  <c r="J418" i="57"/>
  <c r="AD136" i="69"/>
  <c r="A408" i="57"/>
  <c r="AD66" i="69"/>
  <c r="K511" i="57"/>
  <c r="AD248" i="69"/>
  <c r="K500" i="57"/>
  <c r="AD202" i="60"/>
  <c r="J528" i="57"/>
  <c r="U47" i="119"/>
  <c r="AD72" i="60"/>
  <c r="J518" i="57"/>
  <c r="AD179" i="69"/>
  <c r="K540" i="57"/>
  <c r="AD253" i="69"/>
  <c r="K531" i="57"/>
  <c r="AD69" i="69"/>
  <c r="AD70" i="69"/>
  <c r="J572" i="57"/>
  <c r="AD219" i="60"/>
  <c r="A561" i="57"/>
  <c r="R8" i="73"/>
  <c r="AD216" i="60"/>
  <c r="A582" i="57"/>
  <c r="AD16" i="69"/>
  <c r="AD17" i="69"/>
  <c r="J588" i="57"/>
  <c r="AD221" i="60"/>
  <c r="J645" i="57"/>
  <c r="U18" i="119"/>
  <c r="R58" i="72"/>
  <c r="AD30" i="60"/>
  <c r="J631" i="57"/>
  <c r="AD112" i="60"/>
  <c r="A621" i="57"/>
  <c r="AD261" i="69"/>
  <c r="A611" i="57"/>
  <c r="R5" i="73"/>
  <c r="AD74" i="69"/>
  <c r="A670" i="57"/>
  <c r="AD77" i="69"/>
  <c r="A655" i="57"/>
  <c r="AD10" i="60"/>
  <c r="A647" i="57"/>
  <c r="AD75" i="69"/>
  <c r="K735" i="57"/>
  <c r="AD271" i="69"/>
  <c r="AD154" i="69"/>
  <c r="A830" i="57"/>
  <c r="AD281" i="69"/>
  <c r="A815" i="57"/>
  <c r="AD85" i="69"/>
  <c r="A803" i="57"/>
  <c r="AD275" i="69"/>
  <c r="A790" i="57"/>
  <c r="AD298" i="69"/>
  <c r="A779" i="57"/>
  <c r="AD245" i="60"/>
  <c r="J758" i="57"/>
  <c r="AD328" i="60"/>
  <c r="R60" i="72"/>
  <c r="AD359" i="69"/>
  <c r="R59" i="72"/>
  <c r="AD282" i="60"/>
  <c r="U93" i="119"/>
  <c r="J521" i="57"/>
  <c r="AD318" i="60"/>
  <c r="U87" i="119"/>
  <c r="AD276" i="60"/>
  <c r="AD292" i="60"/>
  <c r="R22" i="72"/>
  <c r="AD291" i="60"/>
  <c r="R19" i="72"/>
  <c r="K109" i="57"/>
  <c r="AD311" i="60"/>
  <c r="K712" i="57"/>
  <c r="AD34" i="69"/>
  <c r="K699" i="57"/>
  <c r="U19" i="119"/>
  <c r="R67" i="72"/>
  <c r="AD31" i="60"/>
  <c r="K676" i="57"/>
  <c r="AD265" i="69"/>
  <c r="A727" i="57"/>
  <c r="U21" i="119"/>
  <c r="R72" i="72"/>
  <c r="AD33" i="60"/>
  <c r="A719" i="57"/>
  <c r="AD238" i="60"/>
  <c r="A767" i="57"/>
  <c r="AD81" i="69"/>
  <c r="J756" i="57"/>
  <c r="AD141" i="69"/>
  <c r="D163" i="69" a="1"/>
  <c r="D163" i="69" s="1"/>
  <c r="D164" i="69" a="1"/>
  <c r="D164" i="69" s="1"/>
  <c r="I92" i="59"/>
  <c r="D316" i="69" a="1"/>
  <c r="D316" i="69" s="1"/>
  <c r="D324" i="69" a="1"/>
  <c r="D324" i="69" s="1"/>
  <c r="D325" i="69" a="1"/>
  <c r="D325" i="69" s="1"/>
  <c r="D318" i="69" a="1"/>
  <c r="D318" i="69" s="1"/>
  <c r="D326" i="69" a="1"/>
  <c r="D326" i="69" s="1"/>
  <c r="D319" i="69" a="1"/>
  <c r="D319" i="69" s="1"/>
  <c r="D327" i="69" a="1"/>
  <c r="D327" i="69" s="1"/>
  <c r="D320" i="69" a="1"/>
  <c r="D320" i="69" s="1"/>
  <c r="D321" i="69" a="1"/>
  <c r="D321" i="69" s="1"/>
  <c r="D323" i="69" a="1"/>
  <c r="D323" i="69" s="1"/>
  <c r="D49" i="69" a="1"/>
  <c r="D49" i="69" s="1"/>
  <c r="D57" i="69" a="1"/>
  <c r="D57" i="69" s="1"/>
  <c r="D50" i="69" a="1"/>
  <c r="D50" i="69" s="1"/>
  <c r="D58" i="69" a="1"/>
  <c r="D58" i="69" s="1"/>
  <c r="D66" i="69" a="1"/>
  <c r="D66" i="69" s="1"/>
  <c r="D74" i="69" a="1"/>
  <c r="D74" i="69" s="1"/>
  <c r="D82" i="69" a="1"/>
  <c r="D82" i="69" s="1"/>
  <c r="D51" i="69" a="1"/>
  <c r="D51" i="69" s="1"/>
  <c r="D59" i="69" a="1"/>
  <c r="D59" i="69" s="1"/>
  <c r="D67" i="69" a="1"/>
  <c r="D67" i="69" s="1"/>
  <c r="D75" i="69" a="1"/>
  <c r="D75" i="69" s="1"/>
  <c r="D83" i="69" a="1"/>
  <c r="D83" i="69" s="1"/>
  <c r="D54" i="69" a="1"/>
  <c r="D54" i="69" s="1"/>
  <c r="D62" i="69" a="1"/>
  <c r="D62" i="69" s="1"/>
  <c r="D70" i="69" a="1"/>
  <c r="D70" i="69" s="1"/>
  <c r="D78" i="69" a="1"/>
  <c r="D78" i="69" s="1"/>
  <c r="D86" i="69" a="1"/>
  <c r="D86" i="69" s="1"/>
  <c r="D315" i="69" a="1"/>
  <c r="D315" i="69" s="1"/>
  <c r="D55" i="69" a="1"/>
  <c r="D55" i="69" s="1"/>
  <c r="D63" i="69" a="1"/>
  <c r="D63" i="69" s="1"/>
  <c r="D71" i="69" a="1"/>
  <c r="D71" i="69" s="1"/>
  <c r="D79" i="69" a="1"/>
  <c r="D79" i="69" s="1"/>
  <c r="D322" i="69" a="1"/>
  <c r="D322" i="69" s="1"/>
  <c r="D48" i="69" a="1"/>
  <c r="D48" i="69" s="1"/>
  <c r="D68" i="69" a="1"/>
  <c r="D68" i="69" s="1"/>
  <c r="D84" i="69" a="1"/>
  <c r="D84" i="69" s="1"/>
  <c r="D52" i="69" a="1"/>
  <c r="D52" i="69" s="1"/>
  <c r="D69" i="69" a="1"/>
  <c r="D69" i="69" s="1"/>
  <c r="D85" i="69" a="1"/>
  <c r="D85" i="69" s="1"/>
  <c r="D53" i="69" a="1"/>
  <c r="D53" i="69" s="1"/>
  <c r="D72" i="69" a="1"/>
  <c r="D72" i="69" s="1"/>
  <c r="D56" i="69" a="1"/>
  <c r="D56" i="69" s="1"/>
  <c r="D73" i="69" a="1"/>
  <c r="D73" i="69" s="1"/>
  <c r="D61" i="69" a="1"/>
  <c r="D61" i="69" s="1"/>
  <c r="D77" i="69" a="1"/>
  <c r="D77" i="69" s="1"/>
  <c r="D64" i="69" a="1"/>
  <c r="D64" i="69" s="1"/>
  <c r="D80" i="69" a="1"/>
  <c r="D80" i="69" s="1"/>
  <c r="D60" i="69" a="1"/>
  <c r="D60" i="69" s="1"/>
  <c r="D65" i="69" a="1"/>
  <c r="D65" i="69" s="1"/>
  <c r="D76" i="69" a="1"/>
  <c r="D76" i="69" s="1"/>
  <c r="D81" i="69" a="1"/>
  <c r="D81" i="69" s="1"/>
  <c r="I84" i="59"/>
  <c r="D362" i="69" a="1"/>
  <c r="D362" i="69" s="1"/>
  <c r="V68" i="59"/>
  <c r="D42" i="69" a="1"/>
  <c r="D42" i="69" s="1"/>
  <c r="D43" i="69" a="1"/>
  <c r="D43" i="69" s="1"/>
  <c r="I60" i="59"/>
  <c r="D34" i="69" a="1"/>
  <c r="D34" i="69" s="1"/>
  <c r="V52" i="59"/>
  <c r="D24" i="69" a="1"/>
  <c r="D24" i="69" s="1"/>
  <c r="V44" i="59"/>
  <c r="D303" i="69" a="1"/>
  <c r="D303" i="69" s="1"/>
  <c r="D116" i="69" a="1"/>
  <c r="D116" i="69" s="1"/>
  <c r="D12" i="69" a="1"/>
  <c r="D12" i="69" s="1"/>
  <c r="D13" i="69" a="1"/>
  <c r="D13" i="69" s="1"/>
  <c r="A6" i="57"/>
  <c r="U32" i="119"/>
  <c r="AD57" i="60"/>
  <c r="J27" i="57"/>
  <c r="AD124" i="60"/>
  <c r="J68" i="57"/>
  <c r="AD44" i="69"/>
  <c r="A59" i="57"/>
  <c r="AD126" i="60"/>
  <c r="A47" i="57"/>
  <c r="AD106" i="60"/>
  <c r="A35" i="57"/>
  <c r="AD118" i="69"/>
  <c r="A81" i="57"/>
  <c r="AD128" i="60"/>
  <c r="K508" i="57"/>
  <c r="AD139" i="69"/>
  <c r="K497" i="57"/>
  <c r="AD201" i="60"/>
  <c r="A516" i="57"/>
  <c r="U71" i="119"/>
  <c r="AD96" i="60"/>
  <c r="K538" i="57"/>
  <c r="R49" i="72"/>
  <c r="U14" i="119"/>
  <c r="R48" i="72"/>
  <c r="AD26" i="60"/>
  <c r="A529" i="57"/>
  <c r="AD170" i="69"/>
  <c r="A549" i="57"/>
  <c r="R50" i="72"/>
  <c r="J558" i="57"/>
  <c r="AD214" i="60"/>
  <c r="J580" i="57"/>
  <c r="AD291" i="69"/>
  <c r="A595" i="57"/>
  <c r="U22" i="119"/>
  <c r="R54" i="72"/>
  <c r="AD34" i="60"/>
  <c r="A584" i="57"/>
  <c r="AD220" i="60"/>
  <c r="A641" i="57"/>
  <c r="AD231" i="60"/>
  <c r="A629" i="57"/>
  <c r="AD262" i="69"/>
  <c r="K617" i="57"/>
  <c r="AD9" i="69"/>
  <c r="J668" i="57"/>
  <c r="AD11" i="60"/>
  <c r="J653" i="57"/>
  <c r="AD235" i="60"/>
  <c r="A548" i="57"/>
  <c r="AD211" i="60"/>
  <c r="J569" i="57"/>
  <c r="AD279" i="69"/>
  <c r="J557" i="57"/>
  <c r="AD213" i="60"/>
  <c r="J578" i="57"/>
  <c r="R53" i="72"/>
  <c r="AD87" i="69"/>
  <c r="J604" i="57"/>
  <c r="AD259" i="69"/>
  <c r="K638" i="57"/>
  <c r="AD293" i="69"/>
  <c r="K628" i="57"/>
  <c r="AD24" i="60"/>
  <c r="J616" i="57"/>
  <c r="AD226" i="60"/>
  <c r="J664" i="57"/>
  <c r="U11" i="119"/>
  <c r="AD49" i="60"/>
  <c r="J652" i="57"/>
  <c r="AD76" i="69"/>
  <c r="K695" i="57"/>
  <c r="AD268" i="69"/>
  <c r="K691" i="57"/>
  <c r="AD92" i="69"/>
  <c r="J681" i="57"/>
  <c r="AD267" i="69"/>
  <c r="A671" i="57"/>
  <c r="AD186" i="69"/>
  <c r="AD264" i="69"/>
  <c r="K724" i="57"/>
  <c r="U68" i="119"/>
  <c r="AD93" i="60"/>
  <c r="J731" i="57"/>
  <c r="AD6" i="69"/>
  <c r="J773" i="57"/>
  <c r="AD83" i="69"/>
  <c r="J762" i="57"/>
  <c r="AD114" i="60"/>
  <c r="J749" i="57"/>
  <c r="AD12" i="60"/>
  <c r="K740" i="57"/>
  <c r="AD239" i="60"/>
  <c r="K709" i="57"/>
  <c r="AD269" i="69"/>
  <c r="K692" i="57"/>
  <c r="AD30" i="69"/>
  <c r="J673" i="57"/>
  <c r="U48" i="119"/>
  <c r="AD73" i="60"/>
  <c r="A732" i="57"/>
  <c r="AD270" i="69"/>
  <c r="J775" i="57"/>
  <c r="AD176" i="69"/>
  <c r="J763" i="57"/>
  <c r="AD297" i="69"/>
  <c r="J741" i="57"/>
  <c r="AD240" i="60"/>
  <c r="A828" i="57"/>
  <c r="AD189" i="69"/>
  <c r="A813" i="57"/>
  <c r="AD142" i="69"/>
  <c r="AD188" i="69"/>
  <c r="A787" i="57"/>
  <c r="U69" i="119"/>
  <c r="AD94" i="60"/>
  <c r="AD296" i="60"/>
  <c r="U98" i="119"/>
  <c r="AD274" i="60"/>
  <c r="U85" i="119"/>
  <c r="U92" i="119"/>
  <c r="AD281" i="60"/>
  <c r="U89" i="119"/>
  <c r="AD278" i="60"/>
  <c r="K214" i="57"/>
  <c r="AD338" i="60"/>
  <c r="AD369" i="69"/>
  <c r="J169" i="57"/>
  <c r="AD255" i="60"/>
  <c r="J29" i="57"/>
  <c r="AD343" i="69"/>
  <c r="K9" i="57"/>
  <c r="AD308" i="69"/>
  <c r="A826" i="57"/>
  <c r="AD251" i="60"/>
  <c r="A786" i="57"/>
  <c r="AD105" i="60"/>
  <c r="K822" i="57"/>
  <c r="AD314" i="60"/>
  <c r="R79" i="72"/>
  <c r="U75" i="119"/>
  <c r="AD300" i="69"/>
  <c r="U101" i="119"/>
  <c r="AD298" i="60"/>
  <c r="AD362" i="69"/>
  <c r="AD325" i="69"/>
  <c r="K336" i="57"/>
  <c r="R30" i="72"/>
  <c r="U81" i="119"/>
  <c r="AD270" i="60"/>
  <c r="R25" i="72"/>
  <c r="AD263" i="60"/>
  <c r="A237" i="57"/>
  <c r="AD377" i="69"/>
  <c r="K213" i="57"/>
  <c r="AD304" i="60"/>
  <c r="K168" i="57"/>
  <c r="AD351" i="69"/>
  <c r="A77" i="57"/>
  <c r="AD313" i="69"/>
  <c r="R5" i="72"/>
  <c r="AD289" i="60"/>
  <c r="V97" i="59"/>
  <c r="D150" i="69" a="1"/>
  <c r="D150" i="69" s="1"/>
  <c r="D151" i="69" a="1"/>
  <c r="D151" i="69" s="1"/>
  <c r="V89" i="59"/>
  <c r="D358" i="69" a="1"/>
  <c r="D358" i="69" s="1"/>
  <c r="D359" i="69" a="1"/>
  <c r="D359" i="69" s="1"/>
  <c r="D175" i="69" a="1"/>
  <c r="D175" i="69" s="1"/>
  <c r="D172" i="69" a="1"/>
  <c r="D172" i="69" s="1"/>
  <c r="D360" i="69" a="1"/>
  <c r="D360" i="69" s="1"/>
  <c r="D173" i="69" a="1"/>
  <c r="D173" i="69" s="1"/>
  <c r="D174" i="69" a="1"/>
  <c r="D174" i="69" s="1"/>
  <c r="D171" i="69" a="1"/>
  <c r="D171" i="69" s="1"/>
  <c r="V81" i="59"/>
  <c r="D281" i="69" a="1"/>
  <c r="D281" i="69" s="1"/>
  <c r="D276" i="69" a="1"/>
  <c r="D276" i="69" s="1"/>
  <c r="D277" i="69" a="1"/>
  <c r="D277" i="69" s="1"/>
  <c r="D398" i="69" a="1"/>
  <c r="D398" i="69" s="1"/>
  <c r="D280" i="69" a="1"/>
  <c r="D280" i="69" s="1"/>
  <c r="D279" i="69" a="1"/>
  <c r="D279" i="69" s="1"/>
  <c r="D278" i="69" a="1"/>
  <c r="D278" i="69" s="1"/>
  <c r="V65" i="59"/>
  <c r="D36" i="69" a="1"/>
  <c r="D36" i="69" s="1"/>
  <c r="V57" i="59"/>
  <c r="D31" i="69" a="1"/>
  <c r="D31" i="69" s="1"/>
  <c r="V49" i="59"/>
  <c r="D21" i="69" a="1"/>
  <c r="D21" i="69" s="1"/>
  <c r="V41" i="59"/>
  <c r="D9" i="69" a="1"/>
  <c r="D9" i="69" s="1"/>
  <c r="D90" i="69" a="1"/>
  <c r="D90" i="69" s="1"/>
  <c r="D88" i="69" a="1"/>
  <c r="D88" i="69" s="1"/>
  <c r="D89" i="69" a="1"/>
  <c r="D89" i="69" s="1"/>
  <c r="AD212" i="60"/>
  <c r="J663" i="57"/>
  <c r="AD113" i="60"/>
  <c r="J705" i="57"/>
  <c r="U67" i="119"/>
  <c r="AD92" i="60"/>
  <c r="J690" i="57"/>
  <c r="AD29" i="69"/>
  <c r="A723" i="57"/>
  <c r="U27" i="119"/>
  <c r="R71" i="72"/>
  <c r="AD52" i="60"/>
  <c r="A730" i="57"/>
  <c r="AD79" i="69"/>
  <c r="J772" i="57"/>
  <c r="AD13" i="60"/>
  <c r="J761" i="57"/>
  <c r="AD111" i="69"/>
  <c r="K748" i="57"/>
  <c r="AD242" i="60"/>
  <c r="A738" i="57"/>
  <c r="AD161" i="69"/>
  <c r="A825" i="57"/>
  <c r="AD86" i="69"/>
  <c r="A810" i="57"/>
  <c r="AD250" i="60"/>
  <c r="A797" i="57"/>
  <c r="AD274" i="69"/>
  <c r="AD247" i="60"/>
  <c r="AD130" i="60"/>
  <c r="A463" i="57"/>
  <c r="AD198" i="60"/>
  <c r="A453" i="57"/>
  <c r="AD193" i="60"/>
  <c r="J443" i="57"/>
  <c r="AD239" i="69"/>
  <c r="AD184" i="69"/>
  <c r="K424" i="57"/>
  <c r="AD230" i="69"/>
  <c r="J413" i="57"/>
  <c r="AD109" i="69"/>
  <c r="A505" i="57"/>
  <c r="AD247" i="69"/>
  <c r="A490" i="57"/>
  <c r="AD138" i="69"/>
  <c r="A523" i="57"/>
  <c r="AD289" i="69"/>
  <c r="J535" i="57"/>
  <c r="AD207" i="60"/>
  <c r="A544" i="57"/>
  <c r="AD43" i="69"/>
  <c r="J566" i="57"/>
  <c r="AD290" i="69"/>
  <c r="K575" i="57"/>
  <c r="AD22" i="60"/>
  <c r="J591" i="57"/>
  <c r="AD174" i="69"/>
  <c r="K602" i="57"/>
  <c r="AD28" i="69"/>
  <c r="J636" i="57"/>
  <c r="U10" i="119"/>
  <c r="J625" i="57"/>
  <c r="AD228" i="60"/>
  <c r="J614" i="57"/>
  <c r="AD169" i="69"/>
  <c r="J662" i="57"/>
  <c r="AD263" i="69"/>
  <c r="A704" i="57"/>
  <c r="AD294" i="69"/>
  <c r="A689" i="57"/>
  <c r="AD78" i="69"/>
  <c r="K679" i="57"/>
  <c r="R62" i="72"/>
  <c r="AD145" i="69"/>
  <c r="A722" i="57"/>
  <c r="R70" i="72"/>
  <c r="AD41" i="60"/>
  <c r="A728" i="57"/>
  <c r="R73" i="72"/>
  <c r="AD88" i="69"/>
  <c r="K760" i="57"/>
  <c r="AD144" i="69"/>
  <c r="AD272" i="69"/>
  <c r="K747" i="57"/>
  <c r="AD80" i="69"/>
  <c r="A737" i="57"/>
  <c r="AD296" i="69"/>
  <c r="A821" i="57"/>
  <c r="U70" i="119"/>
  <c r="AD95" i="60"/>
  <c r="A809" i="57"/>
  <c r="AD249" i="60"/>
  <c r="A783" i="57"/>
  <c r="AD116" i="60"/>
  <c r="K817" i="57"/>
  <c r="R83" i="72"/>
  <c r="R82" i="72"/>
  <c r="AD358" i="69"/>
  <c r="U77" i="119"/>
  <c r="K796" i="57"/>
  <c r="AD305" i="69"/>
  <c r="K665" i="57"/>
  <c r="R61" i="72"/>
  <c r="AD266" i="60"/>
  <c r="AD388" i="69"/>
  <c r="AD333" i="69"/>
  <c r="A475" i="57"/>
  <c r="AD339" i="69"/>
  <c r="J399" i="57"/>
  <c r="U76" i="119"/>
  <c r="AD301" i="69"/>
  <c r="R37" i="72"/>
  <c r="AD328" i="69"/>
  <c r="K321" i="57"/>
  <c r="AD336" i="69"/>
  <c r="U97" i="119"/>
  <c r="AD295" i="60"/>
  <c r="J233" i="57"/>
  <c r="U88" i="119"/>
  <c r="AD277" i="60"/>
  <c r="J135" i="57"/>
  <c r="AD329" i="60"/>
  <c r="R7" i="72"/>
  <c r="R8" i="72"/>
  <c r="AD287" i="60"/>
  <c r="D144" i="69" a="1"/>
  <c r="D144" i="69" s="1"/>
  <c r="D353" i="69" a="1"/>
  <c r="D353" i="69" s="1"/>
  <c r="D143" i="69" a="1"/>
  <c r="D143" i="69" s="1"/>
  <c r="V87" i="59"/>
  <c r="D170" i="69" a="1"/>
  <c r="D170" i="69" s="1"/>
  <c r="D309" i="69" a="1"/>
  <c r="D309" i="69" s="1"/>
  <c r="D302" i="69" a="1"/>
  <c r="D302" i="69" s="1"/>
  <c r="D310" i="69" a="1"/>
  <c r="D310" i="69" s="1"/>
  <c r="D311" i="69" a="1"/>
  <c r="D311" i="69" s="1"/>
  <c r="D312" i="69" a="1"/>
  <c r="D312" i="69" s="1"/>
  <c r="V63" i="59"/>
  <c r="D29" i="69" a="1"/>
  <c r="D29" i="69" s="1"/>
  <c r="V55" i="59"/>
  <c r="D17" i="69" a="1"/>
  <c r="D17" i="69" s="1"/>
  <c r="D18" i="69" a="1"/>
  <c r="D18" i="69" s="1"/>
  <c r="D19" i="69" a="1"/>
  <c r="D19" i="69" s="1"/>
  <c r="V47" i="59"/>
  <c r="AD18" i="60"/>
  <c r="AD237" i="60"/>
  <c r="AD48" i="60"/>
  <c r="K11" i="57"/>
  <c r="AD121" i="60"/>
  <c r="J63" i="57"/>
  <c r="AD180" i="69"/>
  <c r="J53" i="57"/>
  <c r="AD10" i="69"/>
  <c r="J39" i="57"/>
  <c r="AD19" i="60"/>
  <c r="A111" i="57"/>
  <c r="AD108" i="69"/>
  <c r="A129" i="57"/>
  <c r="AD134" i="60"/>
  <c r="J220" i="57"/>
  <c r="AD55" i="69"/>
  <c r="A198" i="57"/>
  <c r="AD149" i="60"/>
  <c r="K181" i="57"/>
  <c r="AD282" i="69"/>
  <c r="K267" i="57"/>
  <c r="AD162" i="60"/>
  <c r="A257" i="57"/>
  <c r="AD161" i="60"/>
  <c r="A298" i="57"/>
  <c r="AD285" i="69"/>
  <c r="A326" i="57"/>
  <c r="AD173" i="60"/>
  <c r="A315" i="57"/>
  <c r="U59" i="119"/>
  <c r="AD84" i="60"/>
  <c r="K338" i="57"/>
  <c r="AD176" i="60"/>
  <c r="A372" i="57"/>
  <c r="AD278" i="69"/>
  <c r="A363" i="57"/>
  <c r="AD103" i="69"/>
  <c r="J353" i="57"/>
  <c r="AD101" i="60"/>
  <c r="AD8" i="60"/>
  <c r="AD194" i="60"/>
  <c r="AD82" i="69"/>
  <c r="A86" i="57"/>
  <c r="AD197" i="69"/>
  <c r="J99" i="57"/>
  <c r="AD101" i="69"/>
  <c r="A117" i="57"/>
  <c r="AD150" i="69"/>
  <c r="AD203" i="69"/>
  <c r="AD156" i="69"/>
  <c r="A106" i="57"/>
  <c r="AD276" i="69"/>
  <c r="J125" i="57"/>
  <c r="AD4" i="60"/>
  <c r="A225" i="57"/>
  <c r="AD7" i="60"/>
  <c r="AD151" i="69"/>
  <c r="AD210" i="69"/>
  <c r="AD152" i="69"/>
  <c r="U26" i="119"/>
  <c r="R17" i="72"/>
  <c r="AD38" i="60"/>
  <c r="K186" i="57"/>
  <c r="AD54" i="69"/>
  <c r="K178" i="57"/>
  <c r="AD145" i="60"/>
  <c r="J155" i="57"/>
  <c r="AD206" i="69"/>
  <c r="J141" i="57"/>
  <c r="AD136" i="60"/>
  <c r="A242" i="57"/>
  <c r="AD159" i="60"/>
  <c r="J272" i="57"/>
  <c r="AD164" i="60"/>
  <c r="J262" i="57"/>
  <c r="U36" i="119"/>
  <c r="AD61" i="60"/>
  <c r="J251" i="57"/>
  <c r="AD126" i="69"/>
  <c r="J279" i="57"/>
  <c r="AD221" i="69"/>
  <c r="A305" i="57"/>
  <c r="AD169" i="60"/>
  <c r="A310" i="57"/>
  <c r="AD171" i="60"/>
  <c r="A313" i="57"/>
  <c r="AD8" i="69"/>
  <c r="J332" i="57"/>
  <c r="R4" i="73"/>
  <c r="AD174" i="60"/>
  <c r="K323" i="57"/>
  <c r="U61" i="119"/>
  <c r="AD86" i="60"/>
  <c r="A343" i="57"/>
  <c r="AD179" i="60"/>
  <c r="A334" i="57"/>
  <c r="AD175" i="60"/>
  <c r="J358" i="57"/>
  <c r="AD26" i="69"/>
  <c r="K348" i="57"/>
  <c r="U17" i="119"/>
  <c r="R33" i="72"/>
  <c r="J392" i="57"/>
  <c r="AD133" i="69"/>
  <c r="AD226" i="69"/>
  <c r="A405" i="57"/>
  <c r="U72" i="119"/>
  <c r="AD97" i="60"/>
  <c r="A488" i="57"/>
  <c r="AD160" i="69"/>
  <c r="J467" i="57"/>
  <c r="AD143" i="69"/>
  <c r="AD185" i="69"/>
  <c r="AD241" i="69"/>
  <c r="J448" i="57"/>
  <c r="U73" i="119"/>
  <c r="AD98" i="60"/>
  <c r="A407" i="57"/>
  <c r="AD188" i="60"/>
  <c r="K509" i="57"/>
  <c r="AD166" i="69"/>
  <c r="K498" i="57"/>
  <c r="AD40" i="69"/>
  <c r="J517" i="57"/>
  <c r="AD205" i="60"/>
  <c r="K539" i="57"/>
  <c r="AD252" i="69"/>
  <c r="K530" i="57"/>
  <c r="U29" i="119"/>
  <c r="R46" i="72"/>
  <c r="AD54" i="60"/>
  <c r="A550" i="57"/>
  <c r="R6" i="73"/>
  <c r="AD254" i="69"/>
  <c r="V73" i="59"/>
  <c r="D354" i="69" a="1"/>
  <c r="D354" i="69" s="1"/>
  <c r="D355" i="69" a="1"/>
  <c r="D355" i="69" s="1"/>
  <c r="D356" i="69" a="1"/>
  <c r="D356" i="69" s="1"/>
  <c r="D357" i="69" a="1"/>
  <c r="D357" i="69" s="1"/>
  <c r="D120" i="69" a="1"/>
  <c r="D120" i="69" s="1"/>
  <c r="D128" i="69" a="1"/>
  <c r="D128" i="69" s="1"/>
  <c r="D136" i="69" a="1"/>
  <c r="D136" i="69" s="1"/>
  <c r="D121" i="69" a="1"/>
  <c r="D121" i="69" s="1"/>
  <c r="D130" i="69" a="1"/>
  <c r="D130" i="69" s="1"/>
  <c r="D139" i="69" a="1"/>
  <c r="D139" i="69" s="1"/>
  <c r="D330" i="69" a="1"/>
  <c r="D330" i="69" s="1"/>
  <c r="D122" i="69" a="1"/>
  <c r="D122" i="69" s="1"/>
  <c r="D131" i="69" a="1"/>
  <c r="D131" i="69" s="1"/>
  <c r="D140" i="69" a="1"/>
  <c r="D140" i="69" s="1"/>
  <c r="D123" i="69" a="1"/>
  <c r="D123" i="69" s="1"/>
  <c r="D132" i="69" a="1"/>
  <c r="D132" i="69" s="1"/>
  <c r="D141" i="69" a="1"/>
  <c r="D141" i="69" s="1"/>
  <c r="D352" i="69" a="1"/>
  <c r="D352" i="69" s="1"/>
  <c r="D126" i="69" a="1"/>
  <c r="D126" i="69" s="1"/>
  <c r="D135" i="69" a="1"/>
  <c r="D135" i="69" s="1"/>
  <c r="D118" i="69" a="1"/>
  <c r="D118" i="69" s="1"/>
  <c r="D127" i="69" a="1"/>
  <c r="D127" i="69" s="1"/>
  <c r="D137" i="69" a="1"/>
  <c r="D137" i="69" s="1"/>
  <c r="D119" i="69" a="1"/>
  <c r="D119" i="69" s="1"/>
  <c r="D129" i="69" a="1"/>
  <c r="D129" i="69" s="1"/>
  <c r="D138" i="69" a="1"/>
  <c r="D138" i="69" s="1"/>
  <c r="D125" i="69" a="1"/>
  <c r="D125" i="69" s="1"/>
  <c r="D133" i="69" a="1"/>
  <c r="D133" i="69" s="1"/>
  <c r="D134" i="69" a="1"/>
  <c r="D134" i="69" s="1"/>
  <c r="D142" i="69" a="1"/>
  <c r="D142" i="69" s="1"/>
  <c r="D124" i="69" a="1"/>
  <c r="D124" i="69" s="1"/>
  <c r="V86" i="59"/>
  <c r="D169" i="69" a="1"/>
  <c r="D169" i="69" s="1"/>
  <c r="V70" i="59"/>
  <c r="D46" i="69" a="1"/>
  <c r="D46" i="69" s="1"/>
  <c r="D108" i="69" a="1"/>
  <c r="D108" i="69" s="1"/>
  <c r="V62" i="59"/>
  <c r="D308" i="69" a="1"/>
  <c r="D308" i="69" s="1"/>
  <c r="V54" i="59"/>
  <c r="D26" i="69" a="1"/>
  <c r="D26" i="69" s="1"/>
  <c r="D27" i="69" a="1"/>
  <c r="D27" i="69" s="1"/>
  <c r="D28" i="69" a="1"/>
  <c r="D28" i="69" s="1"/>
  <c r="V46" i="59"/>
  <c r="D15" i="69" a="1"/>
  <c r="D15" i="69" s="1"/>
  <c r="D16" i="69" a="1"/>
  <c r="D16" i="69" s="1"/>
  <c r="V38" i="59"/>
  <c r="D6" i="69" a="1"/>
  <c r="D6" i="69" s="1"/>
  <c r="D7" i="69" a="1"/>
  <c r="D7" i="69" s="1"/>
  <c r="D5" i="69" a="1"/>
  <c r="D5" i="69" s="1"/>
  <c r="D4" i="69" a="1"/>
  <c r="D4" i="69" s="1"/>
  <c r="V94" i="59"/>
  <c r="A571" i="57"/>
  <c r="AD72" i="69"/>
  <c r="A606" i="57"/>
  <c r="AD260" i="69"/>
  <c r="A630" i="57"/>
  <c r="R57" i="72"/>
  <c r="A654" i="57"/>
  <c r="AD175" i="69"/>
  <c r="K698" i="57"/>
  <c r="R66" i="72"/>
  <c r="U30" i="119"/>
  <c r="A713" i="57"/>
  <c r="AD41" i="69"/>
  <c r="J726" i="57"/>
  <c r="AD295" i="69"/>
  <c r="K734" i="57"/>
  <c r="AD93" i="69"/>
  <c r="A814" i="57"/>
  <c r="AD280" i="69"/>
  <c r="J789" i="57"/>
  <c r="AD84" i="69"/>
  <c r="AD397" i="69"/>
  <c r="R77" i="72"/>
  <c r="R78" i="72"/>
  <c r="AD353" i="69"/>
  <c r="K718" i="57"/>
  <c r="AD324" i="69"/>
  <c r="U95" i="119"/>
  <c r="AD284" i="60"/>
  <c r="A623" i="57"/>
  <c r="AD341" i="69"/>
  <c r="A593" i="57"/>
  <c r="AD338" i="69"/>
  <c r="AD393" i="69"/>
  <c r="K564" i="57"/>
  <c r="AD344" i="69"/>
  <c r="R45" i="72"/>
  <c r="AD330" i="69"/>
  <c r="R44" i="72"/>
  <c r="AD315" i="69"/>
  <c r="R40" i="72"/>
  <c r="AD329" i="69"/>
  <c r="K419" i="57"/>
  <c r="AD348" i="69"/>
  <c r="U86" i="119"/>
  <c r="AD275" i="60"/>
  <c r="AD264" i="60"/>
  <c r="R18" i="72"/>
  <c r="J171" i="57"/>
  <c r="AD327" i="60"/>
  <c r="A107" i="57"/>
  <c r="U84" i="119"/>
  <c r="AD273" i="60"/>
  <c r="J30" i="57"/>
  <c r="AD384" i="69"/>
  <c r="R2" i="72"/>
  <c r="U79" i="119"/>
  <c r="AD268" i="60"/>
  <c r="V96" i="59"/>
  <c r="D149" i="69" a="1"/>
  <c r="D149" i="69" s="1"/>
  <c r="V88" i="59"/>
  <c r="D361" i="69" a="1"/>
  <c r="D361" i="69" s="1"/>
  <c r="V80" i="59"/>
  <c r="D148" i="69" a="1"/>
  <c r="D148" i="69" s="1"/>
  <c r="D147" i="69" a="1"/>
  <c r="D147" i="69" s="1"/>
  <c r="V56" i="59"/>
  <c r="D304" i="69" a="1"/>
  <c r="D304" i="69" s="1"/>
  <c r="D305" i="69" a="1"/>
  <c r="D305" i="69" s="1"/>
  <c r="D306" i="69" a="1"/>
  <c r="D306" i="69" s="1"/>
  <c r="D314" i="69" a="1"/>
  <c r="D314" i="69" s="1"/>
  <c r="D30" i="69" a="1"/>
  <c r="D30" i="69" s="1"/>
  <c r="V48" i="59"/>
  <c r="D20" i="69" a="1"/>
  <c r="D20" i="69" s="1"/>
  <c r="AD25" i="60"/>
  <c r="AD17" i="60"/>
  <c r="AD9" i="60"/>
  <c r="AD246" i="60"/>
  <c r="AD222" i="60"/>
  <c r="AD104" i="60"/>
  <c r="AD40" i="60"/>
  <c r="AD138" i="60"/>
  <c r="AD120" i="60"/>
  <c r="AD279" i="60"/>
  <c r="K819" i="57"/>
  <c r="U96" i="119"/>
  <c r="AD285" i="60"/>
  <c r="K801" i="57"/>
  <c r="AD395" i="69"/>
  <c r="A774" i="57"/>
  <c r="R76" i="72"/>
  <c r="AD294" i="60"/>
  <c r="R74" i="72"/>
  <c r="AD293" i="60"/>
  <c r="J714" i="57"/>
  <c r="AD308" i="60"/>
  <c r="R64" i="72"/>
  <c r="R65" i="72"/>
  <c r="AD286" i="60"/>
  <c r="K666" i="57"/>
  <c r="AD350" i="69"/>
  <c r="R56" i="72"/>
  <c r="U82" i="119"/>
  <c r="AD271" i="60"/>
  <c r="K546" i="57"/>
  <c r="AD387" i="69"/>
  <c r="J479" i="57"/>
  <c r="AD378" i="69"/>
  <c r="J404" i="57"/>
  <c r="AD280" i="60"/>
  <c r="U91" i="119"/>
  <c r="K330" i="57"/>
  <c r="R29" i="72"/>
  <c r="AD262" i="60"/>
  <c r="AD302" i="69"/>
  <c r="R24" i="72"/>
  <c r="U99" i="119"/>
  <c r="R9" i="72"/>
  <c r="AD299" i="60"/>
  <c r="J22" i="57"/>
  <c r="AD342" i="69"/>
  <c r="V101" i="59"/>
  <c r="D165" i="69" a="1"/>
  <c r="D165" i="69" s="1"/>
  <c r="V93" i="59"/>
  <c r="D317" i="69" a="1"/>
  <c r="D317" i="69" s="1"/>
  <c r="V85" i="59"/>
  <c r="D363" i="69" a="1"/>
  <c r="D363" i="69" s="1"/>
  <c r="D168" i="69" a="1"/>
  <c r="D168" i="69" s="1"/>
  <c r="V69" i="59"/>
  <c r="D44" i="69" a="1"/>
  <c r="D44" i="69" s="1"/>
  <c r="V61" i="59"/>
  <c r="D35" i="69" a="1"/>
  <c r="D35" i="69" s="1"/>
  <c r="D307" i="69" a="1"/>
  <c r="D307" i="69" s="1"/>
  <c r="V53" i="59"/>
  <c r="D25" i="69" a="1"/>
  <c r="D25" i="69" s="1"/>
  <c r="V45" i="59"/>
  <c r="D14" i="69" a="1"/>
  <c r="D14" i="69" s="1"/>
  <c r="V37" i="59"/>
  <c r="D111" i="69" a="1"/>
  <c r="D111" i="69" s="1"/>
  <c r="D112" i="69" a="1"/>
  <c r="D112" i="69" s="1"/>
  <c r="AD14" i="60"/>
  <c r="AD243" i="60"/>
  <c r="AD227" i="60"/>
  <c r="AD210" i="60"/>
  <c r="AD55" i="60"/>
  <c r="AD218" i="60"/>
  <c r="D45" i="69" a="1"/>
  <c r="D45" i="69" s="1"/>
  <c r="K397" i="57"/>
  <c r="AD135" i="69"/>
  <c r="AD228" i="69"/>
  <c r="A452" i="57"/>
  <c r="U7" i="119"/>
  <c r="J442" i="57"/>
  <c r="AD238" i="69"/>
  <c r="J431" i="57"/>
  <c r="AD235" i="69"/>
  <c r="J423" i="57"/>
  <c r="AD147" i="69"/>
  <c r="K522" i="57"/>
  <c r="AD249" i="69"/>
  <c r="J534" i="57"/>
  <c r="AD250" i="69"/>
  <c r="K554" i="57"/>
  <c r="U13" i="119"/>
  <c r="K574" i="57"/>
  <c r="AD256" i="69"/>
  <c r="J624" i="57"/>
  <c r="AD5" i="69"/>
  <c r="K659" i="57"/>
  <c r="AD91" i="69"/>
  <c r="A703" i="57"/>
  <c r="R68" i="72"/>
  <c r="AD48" i="69"/>
  <c r="K678" i="57"/>
  <c r="AD266" i="69"/>
  <c r="A721" i="57"/>
  <c r="U24" i="119"/>
  <c r="R69" i="72"/>
  <c r="A746" i="57"/>
  <c r="AD45" i="69"/>
  <c r="A806" i="57"/>
  <c r="AD99" i="69"/>
  <c r="R81" i="72"/>
  <c r="AD361" i="69"/>
  <c r="AD288" i="60"/>
  <c r="R63" i="72"/>
  <c r="R55" i="72"/>
  <c r="U80" i="119"/>
  <c r="AD269" i="60"/>
  <c r="R51" i="72"/>
  <c r="U74" i="119"/>
  <c r="AD299" i="69"/>
  <c r="R43" i="72"/>
  <c r="AD265" i="60"/>
  <c r="K472" i="57"/>
  <c r="AD323" i="69"/>
  <c r="K436" i="57"/>
  <c r="AD355" i="69"/>
  <c r="K291" i="57"/>
  <c r="R26" i="72"/>
  <c r="R27" i="72"/>
  <c r="AD360" i="69"/>
  <c r="U100" i="119"/>
  <c r="AD297" i="60"/>
  <c r="I99" i="59"/>
  <c r="D160" i="69" a="1"/>
  <c r="D160" i="69" s="1"/>
  <c r="D157" i="69" a="1"/>
  <c r="D157" i="69" s="1"/>
  <c r="D158" i="69" a="1"/>
  <c r="D158" i="69" s="1"/>
  <c r="D159" i="69" a="1"/>
  <c r="D159" i="69" s="1"/>
  <c r="D155" i="69" a="1"/>
  <c r="D155" i="69" s="1"/>
  <c r="D156" i="69" a="1"/>
  <c r="D156" i="69" s="1"/>
  <c r="D162" i="69" a="1"/>
  <c r="D162" i="69" s="1"/>
  <c r="I91" i="59"/>
  <c r="D176" i="69" a="1"/>
  <c r="D176" i="69" s="1"/>
  <c r="I83" i="59"/>
  <c r="D399" i="69" a="1"/>
  <c r="D399" i="69" s="1"/>
  <c r="D400" i="69" a="1"/>
  <c r="D400" i="69" s="1"/>
  <c r="D401" i="69" a="1"/>
  <c r="D401" i="69" s="1"/>
  <c r="D402" i="69" a="1"/>
  <c r="D402" i="69" s="1"/>
  <c r="D289" i="69" a="1"/>
  <c r="D289" i="69" s="1"/>
  <c r="D297" i="69" a="1"/>
  <c r="D297" i="69" s="1"/>
  <c r="D284" i="69" a="1"/>
  <c r="D284" i="69" s="1"/>
  <c r="D293" i="69" a="1"/>
  <c r="D293" i="69" s="1"/>
  <c r="D285" i="69" a="1"/>
  <c r="D285" i="69" s="1"/>
  <c r="D294" i="69" a="1"/>
  <c r="D294" i="69" s="1"/>
  <c r="D286" i="69" a="1"/>
  <c r="D286" i="69" s="1"/>
  <c r="D295" i="69" a="1"/>
  <c r="D295" i="69" s="1"/>
  <c r="D397" i="69" a="1"/>
  <c r="D397" i="69" s="1"/>
  <c r="D290" i="69" a="1"/>
  <c r="D290" i="69" s="1"/>
  <c r="D291" i="69" a="1"/>
  <c r="D291" i="69" s="1"/>
  <c r="D283" i="69" a="1"/>
  <c r="D283" i="69" s="1"/>
  <c r="D292" i="69" a="1"/>
  <c r="D292" i="69" s="1"/>
  <c r="D287" i="69" a="1"/>
  <c r="D287" i="69" s="1"/>
  <c r="D288" i="69" a="1"/>
  <c r="D288" i="69" s="1"/>
  <c r="D296" i="69" a="1"/>
  <c r="D296" i="69" s="1"/>
  <c r="D298" i="69" a="1"/>
  <c r="D298" i="69" s="1"/>
  <c r="I75" i="59"/>
  <c r="D351" i="69" a="1"/>
  <c r="D351" i="69" s="1"/>
  <c r="I67" i="59"/>
  <c r="D41" i="69" a="1"/>
  <c r="D41" i="69" s="1"/>
  <c r="D3" i="69" a="1"/>
  <c r="D3" i="69" s="1"/>
  <c r="D107" i="69" a="1"/>
  <c r="D107" i="69" s="1"/>
  <c r="D38" i="69" a="1"/>
  <c r="D38" i="69" s="1"/>
  <c r="D39" i="69" a="1"/>
  <c r="D39" i="69" s="1"/>
  <c r="D40" i="69" a="1"/>
  <c r="D40" i="69" s="1"/>
  <c r="V59" i="59"/>
  <c r="D33" i="69" a="1"/>
  <c r="D33" i="69" s="1"/>
  <c r="V51" i="59"/>
  <c r="D23" i="69" a="1"/>
  <c r="D23" i="69" s="1"/>
  <c r="V43" i="59"/>
  <c r="D11" i="69" a="1"/>
  <c r="D11" i="69" s="1"/>
  <c r="AD2" i="60"/>
  <c r="AD241" i="60"/>
  <c r="AD233" i="60"/>
  <c r="AD225" i="60"/>
  <c r="AD217" i="60"/>
  <c r="AD180" i="60"/>
  <c r="AD153" i="60"/>
  <c r="AD98" i="69"/>
  <c r="D37" i="69" a="1"/>
  <c r="D37" i="69" s="1"/>
  <c r="A52" i="57"/>
  <c r="AD119" i="69"/>
  <c r="A38" i="57"/>
  <c r="AD194" i="69"/>
  <c r="A91" i="57"/>
  <c r="AD198" i="69"/>
  <c r="A110" i="57"/>
  <c r="AD201" i="69"/>
  <c r="A119" i="57"/>
  <c r="AD121" i="69"/>
  <c r="A127" i="57"/>
  <c r="U35" i="119"/>
  <c r="A219" i="57"/>
  <c r="U20" i="119"/>
  <c r="R20" i="72"/>
  <c r="K197" i="57"/>
  <c r="U12" i="119"/>
  <c r="K167" i="57"/>
  <c r="AD277" i="69"/>
  <c r="K157" i="57"/>
  <c r="AD142" i="60"/>
  <c r="K264" i="57"/>
  <c r="AD219" i="69"/>
  <c r="K254" i="57"/>
  <c r="U58" i="119"/>
  <c r="J281" i="57"/>
  <c r="AD112" i="69"/>
  <c r="A297" i="57"/>
  <c r="U39" i="119"/>
  <c r="A383" i="57"/>
  <c r="AD287" i="69"/>
  <c r="A396" i="57"/>
  <c r="AD134" i="69"/>
  <c r="AD227" i="69"/>
  <c r="K460" i="57"/>
  <c r="R7" i="73"/>
  <c r="K450" i="57"/>
  <c r="AD67" i="69"/>
  <c r="A440" i="57"/>
  <c r="AD237" i="69"/>
  <c r="AD137" i="69"/>
  <c r="K430" i="57"/>
  <c r="AD234" i="69"/>
  <c r="AD233" i="69"/>
  <c r="J420" i="57"/>
  <c r="AD190" i="60"/>
  <c r="J411" i="57"/>
  <c r="R39" i="72"/>
  <c r="AD116" i="69"/>
  <c r="A553" i="57"/>
  <c r="AD191" i="69"/>
  <c r="AD255" i="69"/>
  <c r="A573" i="57"/>
  <c r="AD149" i="69"/>
  <c r="AD27" i="69"/>
  <c r="J633" i="57"/>
  <c r="AD36" i="69"/>
  <c r="K686" i="57"/>
  <c r="AD187" i="69"/>
  <c r="A720" i="57"/>
  <c r="U49" i="119"/>
  <c r="A769" i="57"/>
  <c r="AD19" i="69"/>
  <c r="A757" i="57"/>
  <c r="AD117" i="69"/>
  <c r="A805" i="57"/>
  <c r="AD7" i="69"/>
  <c r="A791" i="57"/>
  <c r="AD162" i="69"/>
  <c r="AD273" i="69"/>
  <c r="A780" i="57"/>
  <c r="AD110" i="69"/>
  <c r="AD272" i="60"/>
  <c r="R80" i="72"/>
  <c r="U83" i="119"/>
  <c r="K660" i="57"/>
  <c r="AD380" i="69"/>
  <c r="J632" i="57"/>
  <c r="U94" i="119"/>
  <c r="AD283" i="60"/>
  <c r="U78" i="119"/>
  <c r="R47" i="72"/>
  <c r="AD267" i="60"/>
  <c r="R42" i="72"/>
  <c r="AD261" i="60"/>
  <c r="A471" i="57"/>
  <c r="AD302" i="60"/>
  <c r="K422" i="57"/>
  <c r="AD322" i="60"/>
  <c r="R36" i="72"/>
  <c r="R35" i="72"/>
  <c r="AD352" i="69"/>
  <c r="AD316" i="69"/>
  <c r="AD317" i="69"/>
  <c r="R28" i="72"/>
  <c r="R23" i="72"/>
  <c r="AD300" i="60"/>
  <c r="R14" i="72"/>
  <c r="AD290" i="60"/>
  <c r="K13" i="57"/>
  <c r="R3" i="72"/>
  <c r="R4" i="72"/>
  <c r="AD260" i="60"/>
  <c r="V98" i="59"/>
  <c r="D152" i="69" a="1"/>
  <c r="D152" i="69" s="1"/>
  <c r="D154" i="69" a="1"/>
  <c r="D154" i="69" s="1"/>
  <c r="D153" i="69" a="1"/>
  <c r="D153" i="69" s="1"/>
  <c r="V90" i="59"/>
  <c r="D167" i="69" a="1"/>
  <c r="D167" i="69" s="1"/>
  <c r="V82" i="59"/>
  <c r="D282" i="69" a="1"/>
  <c r="D282" i="69" s="1"/>
  <c r="V74" i="59"/>
  <c r="D301" i="69" a="1"/>
  <c r="D301" i="69" s="1"/>
  <c r="V58" i="59"/>
  <c r="D32" i="69" a="1"/>
  <c r="D32" i="69" s="1"/>
  <c r="V50" i="59"/>
  <c r="D22" i="69" a="1"/>
  <c r="D22" i="69" s="1"/>
  <c r="V42" i="59"/>
  <c r="D10" i="69" a="1"/>
  <c r="D10" i="69" s="1"/>
  <c r="AD248" i="60"/>
  <c r="AD232" i="60"/>
  <c r="AD224" i="60"/>
  <c r="AD197" i="60"/>
  <c r="AD115" i="60"/>
  <c r="AD60" i="60"/>
  <c r="AD51" i="60"/>
  <c r="AD95" i="69"/>
  <c r="AD31" i="69"/>
  <c r="C63" i="119"/>
  <c r="C40" i="119"/>
  <c r="C23" i="119"/>
  <c r="C10" i="72"/>
  <c r="C71" i="72"/>
  <c r="C100" i="119"/>
  <c r="C86" i="119"/>
  <c r="C22" i="72"/>
  <c r="C43" i="72"/>
  <c r="C62" i="119"/>
  <c r="C39" i="119"/>
  <c r="C22" i="119"/>
  <c r="C46" i="72"/>
  <c r="C67" i="72"/>
  <c r="C85" i="119"/>
  <c r="C80" i="72"/>
  <c r="C56" i="119"/>
  <c r="C55" i="119"/>
  <c r="C36" i="119"/>
  <c r="C15" i="119"/>
  <c r="C68" i="119"/>
  <c r="C60" i="119"/>
  <c r="C52" i="119"/>
  <c r="C44" i="119"/>
  <c r="C28" i="119"/>
  <c r="C20" i="119"/>
  <c r="C12" i="119"/>
  <c r="C4" i="119"/>
  <c r="C72" i="72"/>
  <c r="C6" i="72"/>
  <c r="C94" i="119"/>
  <c r="C83" i="119"/>
  <c r="C96" i="119"/>
  <c r="C88" i="119"/>
  <c r="C80" i="119"/>
  <c r="C74" i="72"/>
  <c r="C38" i="119"/>
  <c r="C53" i="119"/>
  <c r="C21" i="119"/>
  <c r="C81" i="119"/>
  <c r="C47" i="72"/>
  <c r="C72" i="119"/>
  <c r="C54" i="119"/>
  <c r="C32" i="119"/>
  <c r="C14" i="119"/>
  <c r="C67" i="119"/>
  <c r="C59" i="119"/>
  <c r="C51" i="119"/>
  <c r="C43" i="119"/>
  <c r="C35" i="119"/>
  <c r="C27" i="119"/>
  <c r="C19" i="119"/>
  <c r="C11" i="119"/>
  <c r="C41" i="72"/>
  <c r="C93" i="119"/>
  <c r="C82" i="119"/>
  <c r="C95" i="119"/>
  <c r="C87" i="119"/>
  <c r="C79" i="119"/>
  <c r="C64" i="72"/>
  <c r="C23" i="72"/>
  <c r="C61" i="119"/>
  <c r="C13" i="119"/>
  <c r="C58" i="72"/>
  <c r="C98" i="119"/>
  <c r="C89" i="119"/>
  <c r="C14" i="72"/>
  <c r="C71" i="119"/>
  <c r="C48" i="119"/>
  <c r="C31" i="119"/>
  <c r="C8" i="119"/>
  <c r="C66" i="119"/>
  <c r="C58" i="119"/>
  <c r="C50" i="119"/>
  <c r="C42" i="119"/>
  <c r="C34" i="119"/>
  <c r="C26" i="119"/>
  <c r="C18" i="119"/>
  <c r="C10" i="119"/>
  <c r="C38" i="72"/>
  <c r="C92" i="119"/>
  <c r="C78" i="119"/>
  <c r="C61" i="72"/>
  <c r="C9" i="72"/>
  <c r="C7" i="72"/>
  <c r="C2" i="72"/>
  <c r="C69" i="119"/>
  <c r="C37" i="119"/>
  <c r="C5" i="119"/>
  <c r="C17" i="72"/>
  <c r="C97" i="119"/>
  <c r="C70" i="119"/>
  <c r="C47" i="119"/>
  <c r="C30" i="119"/>
  <c r="C7" i="119"/>
  <c r="C73" i="119"/>
  <c r="C65" i="119"/>
  <c r="C57" i="119"/>
  <c r="C49" i="119"/>
  <c r="C41" i="119"/>
  <c r="C33" i="119"/>
  <c r="C25" i="119"/>
  <c r="C17" i="119"/>
  <c r="C9" i="119"/>
  <c r="C48" i="72"/>
  <c r="C91" i="119"/>
  <c r="C18" i="72"/>
  <c r="C16" i="119"/>
  <c r="C45" i="119"/>
  <c r="C29" i="119"/>
  <c r="C34" i="72"/>
  <c r="C84" i="119"/>
  <c r="C76" i="72"/>
  <c r="C64" i="119"/>
  <c r="C46" i="119"/>
  <c r="C24" i="119"/>
  <c r="C6" i="119"/>
  <c r="C31" i="72"/>
  <c r="C101" i="119"/>
  <c r="C90" i="119"/>
  <c r="C65" i="72"/>
  <c r="E10" i="73"/>
  <c r="H10" i="73" s="1"/>
  <c r="E5" i="73"/>
  <c r="H5" i="73" s="1"/>
  <c r="E9" i="73"/>
  <c r="H9" i="73" s="1"/>
  <c r="E4" i="73"/>
  <c r="H4" i="73" s="1"/>
  <c r="E8" i="73"/>
  <c r="H8" i="73" s="1"/>
  <c r="E7" i="73"/>
  <c r="H7" i="73" s="1"/>
  <c r="E11" i="73"/>
  <c r="H11" i="73" s="1"/>
  <c r="E6" i="73"/>
  <c r="H6" i="73" s="1"/>
  <c r="H9" i="118"/>
  <c r="J83" i="72"/>
  <c r="J80" i="72"/>
  <c r="J2" i="72"/>
  <c r="J82" i="72"/>
  <c r="J51" i="72"/>
  <c r="J56" i="72"/>
  <c r="J8" i="72"/>
  <c r="J47" i="72"/>
  <c r="J27" i="72"/>
  <c r="J30" i="72"/>
  <c r="J65" i="72"/>
  <c r="J24" i="72"/>
  <c r="J60" i="72"/>
  <c r="J55" i="72"/>
  <c r="J4" i="72"/>
  <c r="J79" i="72"/>
  <c r="J76" i="72"/>
  <c r="J14" i="72"/>
  <c r="J64" i="72"/>
  <c r="J25" i="72"/>
  <c r="J26" i="72"/>
  <c r="J81" i="72"/>
  <c r="J40" i="72"/>
  <c r="J44" i="72"/>
  <c r="J74" i="72"/>
  <c r="J5" i="72"/>
  <c r="J61" i="72"/>
  <c r="J29" i="72"/>
  <c r="J59" i="72"/>
  <c r="J77" i="72"/>
  <c r="J37" i="72"/>
  <c r="J23" i="72"/>
  <c r="J22" i="72"/>
  <c r="J63" i="72"/>
  <c r="J43" i="72"/>
  <c r="J42" i="72"/>
  <c r="J36" i="72"/>
  <c r="J28" i="72"/>
  <c r="J9" i="72"/>
  <c r="J19" i="72"/>
  <c r="J7" i="72"/>
  <c r="J18" i="72"/>
  <c r="J3" i="72"/>
  <c r="J78" i="72"/>
  <c r="J45" i="72"/>
  <c r="J35" i="72"/>
  <c r="L101" i="119"/>
  <c r="L77" i="119"/>
  <c r="L97" i="119"/>
  <c r="L89" i="119"/>
  <c r="L100" i="119"/>
  <c r="L96" i="119"/>
  <c r="L92" i="119"/>
  <c r="L88" i="119"/>
  <c r="L84" i="119"/>
  <c r="L80" i="119"/>
  <c r="L76" i="119"/>
  <c r="L81" i="119"/>
  <c r="L93" i="119"/>
  <c r="L99" i="119"/>
  <c r="L95" i="119"/>
  <c r="L91" i="119"/>
  <c r="L87" i="119"/>
  <c r="L83" i="119"/>
  <c r="L79" i="119"/>
  <c r="L75" i="119"/>
  <c r="L85" i="119"/>
  <c r="L98" i="119"/>
  <c r="L94" i="119"/>
  <c r="L90" i="119"/>
  <c r="L86" i="119"/>
  <c r="L82" i="119"/>
  <c r="L78" i="119"/>
  <c r="L74" i="119"/>
  <c r="J49" i="72"/>
  <c r="J32" i="72"/>
  <c r="J71" i="72"/>
  <c r="J69" i="72"/>
  <c r="J20" i="72"/>
  <c r="J41" i="72"/>
  <c r="J66" i="72"/>
  <c r="J53" i="72"/>
  <c r="J13" i="72"/>
  <c r="J67" i="72"/>
  <c r="J38" i="72"/>
  <c r="J46" i="72"/>
  <c r="J17" i="72"/>
  <c r="J54" i="72"/>
  <c r="J58" i="72"/>
  <c r="J48" i="72"/>
  <c r="J34" i="72"/>
  <c r="J6" i="72"/>
  <c r="J72" i="72"/>
  <c r="J33" i="72"/>
  <c r="J12" i="72"/>
  <c r="J57" i="72"/>
  <c r="J70" i="72"/>
  <c r="J10" i="72"/>
  <c r="J39" i="72"/>
  <c r="J21" i="72"/>
  <c r="J62" i="72"/>
  <c r="J68" i="72"/>
  <c r="J11" i="72"/>
  <c r="J73" i="72"/>
  <c r="J50" i="72"/>
  <c r="J15" i="72"/>
  <c r="J16" i="72"/>
  <c r="J31" i="72"/>
  <c r="L71" i="119"/>
  <c r="L67" i="119"/>
  <c r="L63" i="119"/>
  <c r="L59" i="119"/>
  <c r="L55" i="119"/>
  <c r="L51" i="119"/>
  <c r="L47" i="119"/>
  <c r="L43" i="119"/>
  <c r="L39" i="119"/>
  <c r="L35" i="119"/>
  <c r="L31" i="119"/>
  <c r="L27" i="119"/>
  <c r="L23" i="119"/>
  <c r="L19" i="119"/>
  <c r="L15" i="119"/>
  <c r="L11" i="119"/>
  <c r="L7" i="119"/>
  <c r="L70" i="119"/>
  <c r="L66" i="119"/>
  <c r="L62" i="119"/>
  <c r="L58" i="119"/>
  <c r="L54" i="119"/>
  <c r="L50" i="119"/>
  <c r="L46" i="119"/>
  <c r="L42" i="119"/>
  <c r="L38" i="119"/>
  <c r="L34" i="119"/>
  <c r="L30" i="119"/>
  <c r="L26" i="119"/>
  <c r="L22" i="119"/>
  <c r="L18" i="119"/>
  <c r="L14" i="119"/>
  <c r="L10" i="119"/>
  <c r="L6" i="119"/>
  <c r="L73" i="119"/>
  <c r="L65" i="119"/>
  <c r="L57" i="119"/>
  <c r="L45" i="119"/>
  <c r="L37" i="119"/>
  <c r="L29" i="119"/>
  <c r="L21" i="119"/>
  <c r="L17" i="119"/>
  <c r="L5" i="119"/>
  <c r="L69" i="119"/>
  <c r="L61" i="119"/>
  <c r="L53" i="119"/>
  <c r="L49" i="119"/>
  <c r="L41" i="119"/>
  <c r="L33" i="119"/>
  <c r="L25" i="119"/>
  <c r="L13" i="119"/>
  <c r="L9" i="119"/>
  <c r="L72" i="119"/>
  <c r="L68" i="119"/>
  <c r="L64" i="119"/>
  <c r="L60" i="119"/>
  <c r="L56" i="119"/>
  <c r="L52" i="119"/>
  <c r="L48" i="119"/>
  <c r="L44" i="119"/>
  <c r="L40" i="119"/>
  <c r="L36" i="119"/>
  <c r="L32" i="119"/>
  <c r="L28" i="119"/>
  <c r="L24" i="119"/>
  <c r="L20" i="119"/>
  <c r="L16" i="119"/>
  <c r="L12" i="119"/>
  <c r="L8" i="119"/>
  <c r="L4" i="119"/>
  <c r="I402" i="69" a="1"/>
  <c r="I402" i="69" s="1"/>
  <c r="I399" i="69" a="1"/>
  <c r="I399" i="69" s="1"/>
  <c r="F381" i="69" a="1"/>
  <c r="F381" i="69" s="1"/>
  <c r="H400" i="69"/>
  <c r="H399" i="69"/>
  <c r="F399" i="69" a="1"/>
  <c r="F399" i="69" s="1"/>
  <c r="M400" i="69"/>
  <c r="T399" i="69"/>
  <c r="T402" i="69"/>
  <c r="T398" i="69"/>
  <c r="T401" i="69"/>
  <c r="T397" i="69"/>
  <c r="T400" i="69"/>
  <c r="E398" i="69" a="1"/>
  <c r="E398" i="69" s="1"/>
  <c r="M398" i="69"/>
  <c r="M397" i="69"/>
  <c r="E397" i="69" a="1"/>
  <c r="E397" i="69" s="1"/>
  <c r="E399" i="69" a="1"/>
  <c r="E399" i="69" s="1"/>
  <c r="M399" i="69"/>
  <c r="E395" i="69" a="1"/>
  <c r="E395" i="69" s="1"/>
  <c r="M395" i="69"/>
  <c r="H395" i="69"/>
  <c r="E401" i="69" a="1"/>
  <c r="E401" i="69" s="1"/>
  <c r="H365" i="69"/>
  <c r="H398" i="69"/>
  <c r="H363" i="69"/>
  <c r="I398" i="69" a="1"/>
  <c r="I398" i="69" s="1"/>
  <c r="H397" i="69"/>
  <c r="F402" i="69" a="1"/>
  <c r="F402" i="69" s="1"/>
  <c r="F398" i="69" a="1"/>
  <c r="F398" i="69" s="1"/>
  <c r="H343" i="69"/>
  <c r="I383" i="69" a="1"/>
  <c r="I383" i="69" s="1"/>
  <c r="I401" i="69" a="1"/>
  <c r="I401" i="69" s="1"/>
  <c r="I397" i="69" a="1"/>
  <c r="I397" i="69" s="1"/>
  <c r="F401" i="69" a="1"/>
  <c r="F401" i="69" s="1"/>
  <c r="M402" i="69"/>
  <c r="I367" i="69" a="1"/>
  <c r="I367" i="69" s="1"/>
  <c r="I400" i="69" a="1"/>
  <c r="I400" i="69" s="1"/>
  <c r="T394" i="69"/>
  <c r="T356" i="69"/>
  <c r="T392" i="69"/>
  <c r="T387" i="69"/>
  <c r="T382" i="69"/>
  <c r="T376" i="69"/>
  <c r="T371" i="69"/>
  <c r="T366" i="69"/>
  <c r="T360" i="69"/>
  <c r="T355" i="69"/>
  <c r="T383" i="69"/>
  <c r="T367" i="69"/>
  <c r="T396" i="69"/>
  <c r="T391" i="69"/>
  <c r="T386" i="69"/>
  <c r="T380" i="69"/>
  <c r="T375" i="69"/>
  <c r="T370" i="69"/>
  <c r="T364" i="69"/>
  <c r="T359" i="69"/>
  <c r="T354" i="69"/>
  <c r="T388" i="69"/>
  <c r="T362" i="69"/>
  <c r="T378" i="69"/>
  <c r="T372" i="69"/>
  <c r="T395" i="69"/>
  <c r="T390" i="69"/>
  <c r="T384" i="69"/>
  <c r="T379" i="69"/>
  <c r="T374" i="69"/>
  <c r="T368" i="69"/>
  <c r="T363" i="69"/>
  <c r="T358" i="69"/>
  <c r="T352" i="69"/>
  <c r="T393" i="69"/>
  <c r="T389" i="69"/>
  <c r="T385" i="69"/>
  <c r="T381" i="69"/>
  <c r="T377" i="69"/>
  <c r="T373" i="69"/>
  <c r="T369" i="69"/>
  <c r="T365" i="69"/>
  <c r="T361" i="69"/>
  <c r="T357" i="69"/>
  <c r="T353" i="69"/>
  <c r="E393" i="69" a="1"/>
  <c r="E393" i="69" s="1"/>
  <c r="M393" i="69"/>
  <c r="E385" i="69" a="1"/>
  <c r="E385" i="69" s="1"/>
  <c r="M385" i="69"/>
  <c r="E377" i="69" a="1"/>
  <c r="E377" i="69" s="1"/>
  <c r="M377" i="69"/>
  <c r="E369" i="69" a="1"/>
  <c r="E369" i="69" s="1"/>
  <c r="M369" i="69"/>
  <c r="E361" i="69" a="1"/>
  <c r="E361" i="69" s="1"/>
  <c r="M361" i="69"/>
  <c r="E353" i="69" a="1"/>
  <c r="E353" i="69" s="1"/>
  <c r="M353" i="69"/>
  <c r="E394" i="69" a="1"/>
  <c r="E394" i="69" s="1"/>
  <c r="M394" i="69"/>
  <c r="E378" i="69" a="1"/>
  <c r="E378" i="69" s="1"/>
  <c r="M378" i="69"/>
  <c r="E362" i="69" a="1"/>
  <c r="E362" i="69" s="1"/>
  <c r="M362" i="69"/>
  <c r="E392" i="69" a="1"/>
  <c r="E392" i="69" s="1"/>
  <c r="M392" i="69"/>
  <c r="E384" i="69" a="1"/>
  <c r="E384" i="69" s="1"/>
  <c r="M384" i="69"/>
  <c r="E376" i="69" a="1"/>
  <c r="E376" i="69" s="1"/>
  <c r="M376" i="69"/>
  <c r="E368" i="69" a="1"/>
  <c r="E368" i="69" s="1"/>
  <c r="M368" i="69"/>
  <c r="E360" i="69" a="1"/>
  <c r="E360" i="69" s="1"/>
  <c r="M360" i="69"/>
  <c r="E352" i="69" a="1"/>
  <c r="E352" i="69" s="1"/>
  <c r="M352" i="69"/>
  <c r="E309" i="69" a="1"/>
  <c r="E309" i="69" s="1"/>
  <c r="M309" i="69"/>
  <c r="M386" i="69"/>
  <c r="E386" i="69" a="1"/>
  <c r="E386" i="69" s="1"/>
  <c r="E354" i="69" a="1"/>
  <c r="E354" i="69" s="1"/>
  <c r="M354" i="69"/>
  <c r="M391" i="69"/>
  <c r="E391" i="69" a="1"/>
  <c r="E391" i="69" s="1"/>
  <c r="M383" i="69"/>
  <c r="E383" i="69" a="1"/>
  <c r="E383" i="69" s="1"/>
  <c r="M375" i="69"/>
  <c r="E375" i="69" a="1"/>
  <c r="E375" i="69" s="1"/>
  <c r="M367" i="69"/>
  <c r="E367" i="69" a="1"/>
  <c r="E367" i="69" s="1"/>
  <c r="M359" i="69"/>
  <c r="E359" i="69" a="1"/>
  <c r="E359" i="69" s="1"/>
  <c r="E390" i="69" a="1"/>
  <c r="E390" i="69" s="1"/>
  <c r="M390" i="69"/>
  <c r="M382" i="69"/>
  <c r="E382" i="69" a="1"/>
  <c r="E382" i="69" s="1"/>
  <c r="M374" i="69"/>
  <c r="E374" i="69" a="1"/>
  <c r="E374" i="69" s="1"/>
  <c r="E366" i="69" a="1"/>
  <c r="E366" i="69" s="1"/>
  <c r="M366" i="69"/>
  <c r="M358" i="69"/>
  <c r="E358" i="69" a="1"/>
  <c r="E358" i="69" s="1"/>
  <c r="E370" i="69" a="1"/>
  <c r="E370" i="69" s="1"/>
  <c r="M370" i="69"/>
  <c r="E389" i="69" a="1"/>
  <c r="E389" i="69" s="1"/>
  <c r="M389" i="69"/>
  <c r="E381" i="69" a="1"/>
  <c r="E381" i="69" s="1"/>
  <c r="M381" i="69"/>
  <c r="E373" i="69" a="1"/>
  <c r="E373" i="69" s="1"/>
  <c r="M373" i="69"/>
  <c r="E365" i="69" a="1"/>
  <c r="E365" i="69" s="1"/>
  <c r="M365" i="69"/>
  <c r="E357" i="69" a="1"/>
  <c r="E357" i="69" s="1"/>
  <c r="M357" i="69"/>
  <c r="I370" i="69" a="1"/>
  <c r="I370" i="69" s="1"/>
  <c r="H370" i="69"/>
  <c r="I393" i="69" a="1"/>
  <c r="I393" i="69" s="1"/>
  <c r="H393" i="69"/>
  <c r="I385" i="69" a="1"/>
  <c r="I385" i="69" s="1"/>
  <c r="H385" i="69"/>
  <c r="I377" i="69" a="1"/>
  <c r="I377" i="69" s="1"/>
  <c r="H377" i="69"/>
  <c r="I369" i="69" a="1"/>
  <c r="I369" i="69" s="1"/>
  <c r="H369" i="69"/>
  <c r="I361" i="69" a="1"/>
  <c r="I361" i="69" s="1"/>
  <c r="H361" i="69"/>
  <c r="I353" i="69" a="1"/>
  <c r="I353" i="69" s="1"/>
  <c r="H353" i="69"/>
  <c r="M380" i="69"/>
  <c r="M355" i="69"/>
  <c r="H392" i="69"/>
  <c r="F392" i="69" a="1"/>
  <c r="F392" i="69" s="1"/>
  <c r="H384" i="69"/>
  <c r="F384" i="69" a="1"/>
  <c r="F384" i="69" s="1"/>
  <c r="H376" i="69"/>
  <c r="F376" i="69" a="1"/>
  <c r="F376" i="69" s="1"/>
  <c r="H368" i="69"/>
  <c r="F368" i="69" a="1"/>
  <c r="F368" i="69" s="1"/>
  <c r="H360" i="69"/>
  <c r="F360" i="69" a="1"/>
  <c r="F360" i="69" s="1"/>
  <c r="H352" i="69"/>
  <c r="F352" i="69" a="1"/>
  <c r="F352" i="69" s="1"/>
  <c r="M379" i="69"/>
  <c r="H389" i="69"/>
  <c r="H357" i="69"/>
  <c r="F393" i="69" a="1"/>
  <c r="F393" i="69" s="1"/>
  <c r="F377" i="69" a="1"/>
  <c r="F377" i="69" s="1"/>
  <c r="F361" i="69" a="1"/>
  <c r="F361" i="69" s="1"/>
  <c r="I378" i="69" a="1"/>
  <c r="I378" i="69" s="1"/>
  <c r="H378" i="69"/>
  <c r="H311" i="69"/>
  <c r="F391" i="69" a="1"/>
  <c r="F391" i="69" s="1"/>
  <c r="H391" i="69"/>
  <c r="F383" i="69" a="1"/>
  <c r="F383" i="69" s="1"/>
  <c r="H383" i="69"/>
  <c r="F375" i="69" a="1"/>
  <c r="F375" i="69" s="1"/>
  <c r="H375" i="69"/>
  <c r="F367" i="69" a="1"/>
  <c r="F367" i="69" s="1"/>
  <c r="H367" i="69"/>
  <c r="F359" i="69" a="1"/>
  <c r="F359" i="69" s="1"/>
  <c r="H359" i="69"/>
  <c r="M364" i="69"/>
  <c r="I395" i="69" a="1"/>
  <c r="I395" i="69" s="1"/>
  <c r="I379" i="69" a="1"/>
  <c r="I379" i="69" s="1"/>
  <c r="I363" i="69" a="1"/>
  <c r="I363" i="69" s="1"/>
  <c r="H387" i="69"/>
  <c r="H355" i="69"/>
  <c r="E387" i="69" a="1"/>
  <c r="E387" i="69" s="1"/>
  <c r="E371" i="69" a="1"/>
  <c r="E371" i="69" s="1"/>
  <c r="I362" i="69" a="1"/>
  <c r="I362" i="69" s="1"/>
  <c r="H362" i="69"/>
  <c r="H390" i="69"/>
  <c r="I390" i="69" a="1"/>
  <c r="I390" i="69" s="1"/>
  <c r="H382" i="69"/>
  <c r="I382" i="69" a="1"/>
  <c r="I382" i="69" s="1"/>
  <c r="H374" i="69"/>
  <c r="I374" i="69" a="1"/>
  <c r="I374" i="69" s="1"/>
  <c r="H366" i="69"/>
  <c r="I366" i="69" a="1"/>
  <c r="I366" i="69" s="1"/>
  <c r="H358" i="69"/>
  <c r="I358" i="69" a="1"/>
  <c r="I358" i="69" s="1"/>
  <c r="M388" i="69"/>
  <c r="M363" i="69"/>
  <c r="I392" i="69" a="1"/>
  <c r="I392" i="69" s="1"/>
  <c r="I376" i="69" a="1"/>
  <c r="I376" i="69" s="1"/>
  <c r="I360" i="69" a="1"/>
  <c r="I360" i="69" s="1"/>
  <c r="I394" i="69" a="1"/>
  <c r="I394" i="69" s="1"/>
  <c r="H394" i="69"/>
  <c r="I354" i="69" a="1"/>
  <c r="I354" i="69" s="1"/>
  <c r="H354" i="69"/>
  <c r="M356" i="69"/>
  <c r="I389" i="69" a="1"/>
  <c r="I389" i="69" s="1"/>
  <c r="I381" i="69" a="1"/>
  <c r="I381" i="69" s="1"/>
  <c r="I373" i="69" a="1"/>
  <c r="I373" i="69" s="1"/>
  <c r="I365" i="69" a="1"/>
  <c r="I365" i="69" s="1"/>
  <c r="I357" i="69" a="1"/>
  <c r="I357" i="69" s="1"/>
  <c r="I391" i="69" a="1"/>
  <c r="I391" i="69" s="1"/>
  <c r="I375" i="69" a="1"/>
  <c r="I375" i="69" s="1"/>
  <c r="I359" i="69" a="1"/>
  <c r="I359" i="69" s="1"/>
  <c r="H379" i="69"/>
  <c r="F370" i="69" a="1"/>
  <c r="F370" i="69" s="1"/>
  <c r="F354" i="69" a="1"/>
  <c r="F354" i="69" s="1"/>
  <c r="I386" i="69" a="1"/>
  <c r="I386" i="69" s="1"/>
  <c r="H386" i="69"/>
  <c r="F396" i="69" a="1"/>
  <c r="F396" i="69" s="1"/>
  <c r="H396" i="69"/>
  <c r="F388" i="69" a="1"/>
  <c r="F388" i="69" s="1"/>
  <c r="H388" i="69"/>
  <c r="F380" i="69" a="1"/>
  <c r="F380" i="69" s="1"/>
  <c r="H380" i="69"/>
  <c r="F372" i="69" a="1"/>
  <c r="F372" i="69" s="1"/>
  <c r="H372" i="69"/>
  <c r="F364" i="69" a="1"/>
  <c r="F364" i="69" s="1"/>
  <c r="H364" i="69"/>
  <c r="F356" i="69" a="1"/>
  <c r="F356" i="69" s="1"/>
  <c r="H356" i="69"/>
  <c r="M372" i="69"/>
  <c r="I388" i="69" a="1"/>
  <c r="I388" i="69" s="1"/>
  <c r="I372" i="69" a="1"/>
  <c r="I372" i="69" s="1"/>
  <c r="I356" i="69" a="1"/>
  <c r="I356" i="69" s="1"/>
  <c r="H373" i="69"/>
  <c r="F385" i="69" a="1"/>
  <c r="F385" i="69" s="1"/>
  <c r="F369" i="69" a="1"/>
  <c r="F369" i="69" s="1"/>
  <c r="F353" i="69" a="1"/>
  <c r="F353" i="69" s="1"/>
  <c r="M396" i="69"/>
  <c r="I387" i="69" a="1"/>
  <c r="I387" i="69" s="1"/>
  <c r="I371" i="69" a="1"/>
  <c r="I371" i="69" s="1"/>
  <c r="I355" i="69" a="1"/>
  <c r="I355" i="69" s="1"/>
  <c r="H371" i="69"/>
  <c r="F382" i="69" a="1"/>
  <c r="F382" i="69" s="1"/>
  <c r="F366" i="69" a="1"/>
  <c r="F366" i="69" s="1"/>
  <c r="T348" i="69"/>
  <c r="T344" i="69"/>
  <c r="T340" i="69"/>
  <c r="T336" i="69"/>
  <c r="T332" i="69"/>
  <c r="T328" i="69"/>
  <c r="T324" i="69"/>
  <c r="T320" i="69"/>
  <c r="T316" i="69"/>
  <c r="T312" i="69"/>
  <c r="T307" i="69"/>
  <c r="T351" i="69"/>
  <c r="T347" i="69"/>
  <c r="T343" i="69"/>
  <c r="T339" i="69"/>
  <c r="T335" i="69"/>
  <c r="T331" i="69"/>
  <c r="T327" i="69"/>
  <c r="T323" i="69"/>
  <c r="T319" i="69"/>
  <c r="T315" i="69"/>
  <c r="T311" i="69"/>
  <c r="T300" i="69"/>
  <c r="T350" i="69"/>
  <c r="T346" i="69"/>
  <c r="T342" i="69"/>
  <c r="T338" i="69"/>
  <c r="T334" i="69"/>
  <c r="T330" i="69"/>
  <c r="T326" i="69"/>
  <c r="T322" i="69"/>
  <c r="T318" i="69"/>
  <c r="T314" i="69"/>
  <c r="T304" i="69"/>
  <c r="T299" i="69"/>
  <c r="T349" i="69"/>
  <c r="T345" i="69"/>
  <c r="T341" i="69"/>
  <c r="T337" i="69"/>
  <c r="T333" i="69"/>
  <c r="T329" i="69"/>
  <c r="T325" i="69"/>
  <c r="T321" i="69"/>
  <c r="T317" i="69"/>
  <c r="T313" i="69"/>
  <c r="T308" i="69"/>
  <c r="T303" i="69"/>
  <c r="T310" i="69"/>
  <c r="T306" i="69"/>
  <c r="T302" i="69"/>
  <c r="T309" i="69"/>
  <c r="T305" i="69"/>
  <c r="T301" i="69"/>
  <c r="E351" i="69" a="1"/>
  <c r="E351" i="69" s="1"/>
  <c r="M351" i="69"/>
  <c r="E311" i="69" a="1"/>
  <c r="E311" i="69" s="1"/>
  <c r="M311" i="69"/>
  <c r="E303" i="69" a="1"/>
  <c r="E303" i="69" s="1"/>
  <c r="M303" i="69"/>
  <c r="E319" i="69" a="1"/>
  <c r="E319" i="69" s="1"/>
  <c r="M319" i="69"/>
  <c r="E335" i="69" a="1"/>
  <c r="E335" i="69" s="1"/>
  <c r="M335" i="69"/>
  <c r="E347" i="69" a="1"/>
  <c r="E347" i="69" s="1"/>
  <c r="M347" i="69"/>
  <c r="E339" i="69" a="1"/>
  <c r="E339" i="69" s="1"/>
  <c r="M339" i="69"/>
  <c r="E331" i="69" a="1"/>
  <c r="E331" i="69" s="1"/>
  <c r="M331" i="69"/>
  <c r="E323" i="69" a="1"/>
  <c r="E323" i="69" s="1"/>
  <c r="M323" i="69"/>
  <c r="E315" i="69" a="1"/>
  <c r="E315" i="69" s="1"/>
  <c r="M315" i="69"/>
  <c r="E307" i="69" a="1"/>
  <c r="E307" i="69" s="1"/>
  <c r="M307" i="69"/>
  <c r="E299" i="69" a="1"/>
  <c r="E299" i="69" s="1"/>
  <c r="M299" i="69"/>
  <c r="E343" i="69" a="1"/>
  <c r="E343" i="69" s="1"/>
  <c r="M343" i="69"/>
  <c r="M346" i="69"/>
  <c r="E346" i="69" a="1"/>
  <c r="E346" i="69" s="1"/>
  <c r="M338" i="69"/>
  <c r="E338" i="69" a="1"/>
  <c r="E338" i="69" s="1"/>
  <c r="M330" i="69"/>
  <c r="E330" i="69" a="1"/>
  <c r="E330" i="69" s="1"/>
  <c r="M322" i="69"/>
  <c r="E322" i="69" a="1"/>
  <c r="E322" i="69" s="1"/>
  <c r="M314" i="69"/>
  <c r="E314" i="69" a="1"/>
  <c r="E314" i="69" s="1"/>
  <c r="M306" i="69"/>
  <c r="E306" i="69" a="1"/>
  <c r="E306" i="69" s="1"/>
  <c r="E345" i="69" a="1"/>
  <c r="E345" i="69" s="1"/>
  <c r="M345" i="69"/>
  <c r="E337" i="69" a="1"/>
  <c r="E337" i="69" s="1"/>
  <c r="M337" i="69"/>
  <c r="E329" i="69" a="1"/>
  <c r="E329" i="69" s="1"/>
  <c r="M329" i="69"/>
  <c r="E321" i="69" a="1"/>
  <c r="E321" i="69" s="1"/>
  <c r="M321" i="69"/>
  <c r="E313" i="69" a="1"/>
  <c r="E313" i="69" s="1"/>
  <c r="M313" i="69"/>
  <c r="E305" i="69" a="1"/>
  <c r="E305" i="69" s="1"/>
  <c r="M305" i="69"/>
  <c r="E327" i="69" a="1"/>
  <c r="E327" i="69" s="1"/>
  <c r="M327" i="69"/>
  <c r="E344" i="69" a="1"/>
  <c r="E344" i="69" s="1"/>
  <c r="M344" i="69"/>
  <c r="E336" i="69" a="1"/>
  <c r="E336" i="69" s="1"/>
  <c r="M336" i="69"/>
  <c r="E328" i="69" a="1"/>
  <c r="E328" i="69" s="1"/>
  <c r="M328" i="69"/>
  <c r="E320" i="69" a="1"/>
  <c r="E320" i="69" s="1"/>
  <c r="M320" i="69"/>
  <c r="E312" i="69" a="1"/>
  <c r="E312" i="69" s="1"/>
  <c r="M312" i="69"/>
  <c r="E304" i="69" a="1"/>
  <c r="E304" i="69" s="1"/>
  <c r="M304" i="69"/>
  <c r="E342" i="69" a="1"/>
  <c r="E342" i="69" s="1"/>
  <c r="E326" i="69" a="1"/>
  <c r="E326" i="69" s="1"/>
  <c r="E310" i="69" a="1"/>
  <c r="E310" i="69" s="1"/>
  <c r="I324" i="69" a="1"/>
  <c r="I324" i="69" s="1"/>
  <c r="H324" i="69"/>
  <c r="F324" i="69" a="1"/>
  <c r="F324" i="69" s="1"/>
  <c r="I308" i="69" a="1"/>
  <c r="I308" i="69" s="1"/>
  <c r="H308" i="69"/>
  <c r="F308" i="69" a="1"/>
  <c r="F308" i="69" s="1"/>
  <c r="H347" i="69"/>
  <c r="F347" i="69" a="1"/>
  <c r="F347" i="69" s="1"/>
  <c r="H339" i="69"/>
  <c r="F339" i="69" a="1"/>
  <c r="F339" i="69" s="1"/>
  <c r="H331" i="69"/>
  <c r="F331" i="69" a="1"/>
  <c r="F331" i="69" s="1"/>
  <c r="H323" i="69"/>
  <c r="F323" i="69" a="1"/>
  <c r="F323" i="69" s="1"/>
  <c r="H315" i="69"/>
  <c r="F315" i="69" a="1"/>
  <c r="F315" i="69" s="1"/>
  <c r="H307" i="69"/>
  <c r="F307" i="69" a="1"/>
  <c r="F307" i="69" s="1"/>
  <c r="H299" i="69"/>
  <c r="F299" i="69" a="1"/>
  <c r="F299" i="69" s="1"/>
  <c r="M333" i="69"/>
  <c r="F346" i="69" a="1"/>
  <c r="F346" i="69" s="1"/>
  <c r="H346" i="69"/>
  <c r="I346" i="69" a="1"/>
  <c r="I346" i="69" s="1"/>
  <c r="F338" i="69" a="1"/>
  <c r="F338" i="69" s="1"/>
  <c r="H338" i="69"/>
  <c r="I338" i="69" a="1"/>
  <c r="I338" i="69" s="1"/>
  <c r="F330" i="69" a="1"/>
  <c r="F330" i="69" s="1"/>
  <c r="H330" i="69"/>
  <c r="I330" i="69" a="1"/>
  <c r="I330" i="69" s="1"/>
  <c r="F322" i="69" a="1"/>
  <c r="F322" i="69" s="1"/>
  <c r="H322" i="69"/>
  <c r="I322" i="69" a="1"/>
  <c r="I322" i="69" s="1"/>
  <c r="F314" i="69" a="1"/>
  <c r="F314" i="69" s="1"/>
  <c r="H314" i="69"/>
  <c r="I314" i="69" a="1"/>
  <c r="I314" i="69" s="1"/>
  <c r="F306" i="69" a="1"/>
  <c r="F306" i="69" s="1"/>
  <c r="H306" i="69"/>
  <c r="I306" i="69" a="1"/>
  <c r="I306" i="69" s="1"/>
  <c r="E348" i="69" a="1"/>
  <c r="E348" i="69" s="1"/>
  <c r="M348" i="69"/>
  <c r="E340" i="69" a="1"/>
  <c r="E340" i="69" s="1"/>
  <c r="M340" i="69"/>
  <c r="E332" i="69" a="1"/>
  <c r="E332" i="69" s="1"/>
  <c r="M332" i="69"/>
  <c r="E324" i="69" a="1"/>
  <c r="E324" i="69" s="1"/>
  <c r="M324" i="69"/>
  <c r="E316" i="69" a="1"/>
  <c r="E316" i="69" s="1"/>
  <c r="M316" i="69"/>
  <c r="E308" i="69" a="1"/>
  <c r="E308" i="69" s="1"/>
  <c r="M308" i="69"/>
  <c r="E300" i="69" a="1"/>
  <c r="E300" i="69" s="1"/>
  <c r="M300" i="69"/>
  <c r="H345" i="69"/>
  <c r="I345" i="69" a="1"/>
  <c r="I345" i="69" s="1"/>
  <c r="H337" i="69"/>
  <c r="I337" i="69" a="1"/>
  <c r="I337" i="69" s="1"/>
  <c r="H329" i="69"/>
  <c r="I329" i="69" a="1"/>
  <c r="I329" i="69" s="1"/>
  <c r="H321" i="69"/>
  <c r="I321" i="69" a="1"/>
  <c r="I321" i="69" s="1"/>
  <c r="H313" i="69"/>
  <c r="I313" i="69" a="1"/>
  <c r="I313" i="69" s="1"/>
  <c r="H305" i="69"/>
  <c r="I305" i="69" a="1"/>
  <c r="I305" i="69" s="1"/>
  <c r="M317" i="69"/>
  <c r="I339" i="69" a="1"/>
  <c r="I339" i="69" s="1"/>
  <c r="I323" i="69" a="1"/>
  <c r="I323" i="69" s="1"/>
  <c r="I307" i="69" a="1"/>
  <c r="I307" i="69" s="1"/>
  <c r="I348" i="69" a="1"/>
  <c r="I348" i="69" s="1"/>
  <c r="H348" i="69"/>
  <c r="F348" i="69" a="1"/>
  <c r="F348" i="69" s="1"/>
  <c r="I344" i="69" a="1"/>
  <c r="I344" i="69" s="1"/>
  <c r="F344" i="69" a="1"/>
  <c r="F344" i="69" s="1"/>
  <c r="I336" i="69" a="1"/>
  <c r="I336" i="69" s="1"/>
  <c r="F336" i="69" a="1"/>
  <c r="F336" i="69" s="1"/>
  <c r="I328" i="69" a="1"/>
  <c r="I328" i="69" s="1"/>
  <c r="F328" i="69" a="1"/>
  <c r="F328" i="69" s="1"/>
  <c r="I320" i="69" a="1"/>
  <c r="I320" i="69" s="1"/>
  <c r="F320" i="69" a="1"/>
  <c r="F320" i="69" s="1"/>
  <c r="I312" i="69" a="1"/>
  <c r="I312" i="69" s="1"/>
  <c r="F312" i="69" a="1"/>
  <c r="F312" i="69" s="1"/>
  <c r="I304" i="69" a="1"/>
  <c r="I304" i="69" s="1"/>
  <c r="F304" i="69" a="1"/>
  <c r="F304" i="69" s="1"/>
  <c r="M341" i="69"/>
  <c r="F345" i="69" a="1"/>
  <c r="F345" i="69" s="1"/>
  <c r="F329" i="69" a="1"/>
  <c r="F329" i="69" s="1"/>
  <c r="F313" i="69" a="1"/>
  <c r="F313" i="69" s="1"/>
  <c r="E350" i="69" a="1"/>
  <c r="E350" i="69" s="1"/>
  <c r="E334" i="69" a="1"/>
  <c r="E334" i="69" s="1"/>
  <c r="E318" i="69" a="1"/>
  <c r="E318" i="69" s="1"/>
  <c r="E302" i="69" a="1"/>
  <c r="E302" i="69" s="1"/>
  <c r="I340" i="69" a="1"/>
  <c r="I340" i="69" s="1"/>
  <c r="H340" i="69"/>
  <c r="F340" i="69" a="1"/>
  <c r="F340" i="69" s="1"/>
  <c r="H290" i="69"/>
  <c r="F351" i="69" a="1"/>
  <c r="F351" i="69" s="1"/>
  <c r="F343" i="69" a="1"/>
  <c r="F343" i="69" s="1"/>
  <c r="F335" i="69" a="1"/>
  <c r="F335" i="69" s="1"/>
  <c r="F327" i="69" a="1"/>
  <c r="F327" i="69" s="1"/>
  <c r="F319" i="69" a="1"/>
  <c r="F319" i="69" s="1"/>
  <c r="F311" i="69" a="1"/>
  <c r="F311" i="69" s="1"/>
  <c r="F303" i="69" a="1"/>
  <c r="F303" i="69" s="1"/>
  <c r="M301" i="69"/>
  <c r="I351" i="69" a="1"/>
  <c r="I351" i="69" s="1"/>
  <c r="I335" i="69" a="1"/>
  <c r="I335" i="69" s="1"/>
  <c r="I319" i="69" a="1"/>
  <c r="I319" i="69" s="1"/>
  <c r="I303" i="69" a="1"/>
  <c r="I303" i="69" s="1"/>
  <c r="H328" i="69"/>
  <c r="I316" i="69" a="1"/>
  <c r="I316" i="69" s="1"/>
  <c r="H316" i="69"/>
  <c r="F316" i="69" a="1"/>
  <c r="F316" i="69" s="1"/>
  <c r="I300" i="69" a="1"/>
  <c r="I300" i="69" s="1"/>
  <c r="H300" i="69"/>
  <c r="F300" i="69" a="1"/>
  <c r="F300" i="69" s="1"/>
  <c r="F350" i="69" a="1"/>
  <c r="F350" i="69" s="1"/>
  <c r="H350" i="69"/>
  <c r="I350" i="69" a="1"/>
  <c r="I350" i="69" s="1"/>
  <c r="F342" i="69" a="1"/>
  <c r="F342" i="69" s="1"/>
  <c r="H342" i="69"/>
  <c r="I342" i="69" a="1"/>
  <c r="I342" i="69" s="1"/>
  <c r="F334" i="69" a="1"/>
  <c r="F334" i="69" s="1"/>
  <c r="H334" i="69"/>
  <c r="I334" i="69" a="1"/>
  <c r="I334" i="69" s="1"/>
  <c r="F326" i="69" a="1"/>
  <c r="F326" i="69" s="1"/>
  <c r="H326" i="69"/>
  <c r="I326" i="69" a="1"/>
  <c r="I326" i="69" s="1"/>
  <c r="F318" i="69" a="1"/>
  <c r="F318" i="69" s="1"/>
  <c r="H318" i="69"/>
  <c r="I318" i="69" a="1"/>
  <c r="I318" i="69" s="1"/>
  <c r="F310" i="69" a="1"/>
  <c r="F310" i="69" s="1"/>
  <c r="H310" i="69"/>
  <c r="I310" i="69" a="1"/>
  <c r="I310" i="69" s="1"/>
  <c r="F302" i="69" a="1"/>
  <c r="F302" i="69" s="1"/>
  <c r="H302" i="69"/>
  <c r="I302" i="69" a="1"/>
  <c r="I302" i="69" s="1"/>
  <c r="M325" i="69"/>
  <c r="H327" i="69"/>
  <c r="I332" i="69" a="1"/>
  <c r="I332" i="69" s="1"/>
  <c r="H332" i="69"/>
  <c r="F332" i="69" a="1"/>
  <c r="F332" i="69" s="1"/>
  <c r="I349" i="69" a="1"/>
  <c r="I349" i="69" s="1"/>
  <c r="H349" i="69"/>
  <c r="I341" i="69" a="1"/>
  <c r="I341" i="69" s="1"/>
  <c r="H341" i="69"/>
  <c r="I333" i="69" a="1"/>
  <c r="I333" i="69" s="1"/>
  <c r="H333" i="69"/>
  <c r="I325" i="69" a="1"/>
  <c r="I325" i="69" s="1"/>
  <c r="H325" i="69"/>
  <c r="I317" i="69" a="1"/>
  <c r="I317" i="69" s="1"/>
  <c r="H317" i="69"/>
  <c r="I309" i="69" a="1"/>
  <c r="I309" i="69" s="1"/>
  <c r="H309" i="69"/>
  <c r="I301" i="69" a="1"/>
  <c r="I301" i="69" s="1"/>
  <c r="H301" i="69"/>
  <c r="M349" i="69"/>
  <c r="I347" i="69" a="1"/>
  <c r="I347" i="69" s="1"/>
  <c r="I331" i="69" a="1"/>
  <c r="I331" i="69" s="1"/>
  <c r="I315" i="69" a="1"/>
  <c r="I315" i="69" s="1"/>
  <c r="I299" i="69" a="1"/>
  <c r="I299" i="69" s="1"/>
  <c r="H320" i="69"/>
  <c r="E309" i="60" a="1"/>
  <c r="E309" i="60" s="1"/>
  <c r="M309" i="60"/>
  <c r="E293" i="60" a="1"/>
  <c r="E293" i="60" s="1"/>
  <c r="M293" i="60"/>
  <c r="E327" i="60" a="1"/>
  <c r="E327" i="60" s="1"/>
  <c r="M327" i="60"/>
  <c r="E311" i="60" a="1"/>
  <c r="E311" i="60" s="1"/>
  <c r="M311" i="60"/>
  <c r="B259" i="60"/>
  <c r="F332" i="60" a="1"/>
  <c r="F332" i="60" s="1"/>
  <c r="B256" i="60"/>
  <c r="B253" i="60"/>
  <c r="B300" i="60"/>
  <c r="B260" i="60"/>
  <c r="B331" i="60"/>
  <c r="B258" i="60"/>
  <c r="B255" i="60"/>
  <c r="B338" i="60"/>
  <c r="B330" i="60"/>
  <c r="B322" i="60"/>
  <c r="B257" i="60"/>
  <c r="B254" i="60"/>
  <c r="B336" i="60"/>
  <c r="B328" i="60"/>
  <c r="B324" i="60"/>
  <c r="B316" i="60"/>
  <c r="T338" i="60"/>
  <c r="T334" i="60"/>
  <c r="T330" i="60"/>
  <c r="T326" i="60"/>
  <c r="T322" i="60"/>
  <c r="T318" i="60"/>
  <c r="T314" i="60"/>
  <c r="T310" i="60"/>
  <c r="T306" i="60"/>
  <c r="T302" i="60"/>
  <c r="T298" i="60"/>
  <c r="T294" i="60"/>
  <c r="T290" i="60"/>
  <c r="T286" i="60"/>
  <c r="T282" i="60"/>
  <c r="T278" i="60"/>
  <c r="T274" i="60"/>
  <c r="T270" i="60"/>
  <c r="T266" i="60"/>
  <c r="T262" i="60"/>
  <c r="T337" i="60"/>
  <c r="T333" i="60"/>
  <c r="T329" i="60"/>
  <c r="T325" i="60"/>
  <c r="T321" i="60"/>
  <c r="T317" i="60"/>
  <c r="T313" i="60"/>
  <c r="T309" i="60"/>
  <c r="T305" i="60"/>
  <c r="T301" i="60"/>
  <c r="T297" i="60"/>
  <c r="T293" i="60"/>
  <c r="T289" i="60"/>
  <c r="T285" i="60"/>
  <c r="T281" i="60"/>
  <c r="T277" i="60"/>
  <c r="T273" i="60"/>
  <c r="T269" i="60"/>
  <c r="T265" i="60"/>
  <c r="T261" i="60"/>
  <c r="T336" i="60"/>
  <c r="T332" i="60"/>
  <c r="T328" i="60"/>
  <c r="T324" i="60"/>
  <c r="T320" i="60"/>
  <c r="T316" i="60"/>
  <c r="T312" i="60"/>
  <c r="T308" i="60"/>
  <c r="T304" i="60"/>
  <c r="T300" i="60"/>
  <c r="T296" i="60"/>
  <c r="T292" i="60"/>
  <c r="T288" i="60"/>
  <c r="T284" i="60"/>
  <c r="T280" i="60"/>
  <c r="T276" i="60"/>
  <c r="T272" i="60"/>
  <c r="T268" i="60"/>
  <c r="T264" i="60"/>
  <c r="T260" i="60"/>
  <c r="T335" i="60"/>
  <c r="T331" i="60"/>
  <c r="T327" i="60"/>
  <c r="T323" i="60"/>
  <c r="T319" i="60"/>
  <c r="T315" i="60"/>
  <c r="T311" i="60"/>
  <c r="T307" i="60"/>
  <c r="T303" i="60"/>
  <c r="T299" i="60"/>
  <c r="T295" i="60"/>
  <c r="T291" i="60"/>
  <c r="T287" i="60"/>
  <c r="T283" i="60"/>
  <c r="T279" i="60"/>
  <c r="T275" i="60"/>
  <c r="T271" i="60"/>
  <c r="T267" i="60"/>
  <c r="T263" i="60"/>
  <c r="E332" i="60" a="1"/>
  <c r="E332" i="60" s="1"/>
  <c r="M332" i="60"/>
  <c r="E324" i="60" a="1"/>
  <c r="E324" i="60" s="1"/>
  <c r="M324" i="60"/>
  <c r="E316" i="60" a="1"/>
  <c r="E316" i="60" s="1"/>
  <c r="M316" i="60"/>
  <c r="E308" i="60" a="1"/>
  <c r="E308" i="60" s="1"/>
  <c r="M308" i="60"/>
  <c r="E300" i="60" a="1"/>
  <c r="E300" i="60" s="1"/>
  <c r="M300" i="60"/>
  <c r="E292" i="60" a="1"/>
  <c r="E292" i="60" s="1"/>
  <c r="M292" i="60"/>
  <c r="E284" i="60" a="1"/>
  <c r="E284" i="60" s="1"/>
  <c r="M284" i="60"/>
  <c r="E276" i="60" a="1"/>
  <c r="E276" i="60" s="1"/>
  <c r="M276" i="60"/>
  <c r="E268" i="60" a="1"/>
  <c r="E268" i="60" s="1"/>
  <c r="M268" i="60"/>
  <c r="E260" i="60" a="1"/>
  <c r="E260" i="60" s="1"/>
  <c r="M260" i="60"/>
  <c r="E338" i="60" a="1"/>
  <c r="E338" i="60" s="1"/>
  <c r="M338" i="60"/>
  <c r="E330" i="60" a="1"/>
  <c r="E330" i="60" s="1"/>
  <c r="M330" i="60"/>
  <c r="E322" i="60" a="1"/>
  <c r="E322" i="60" s="1"/>
  <c r="M322" i="60"/>
  <c r="E314" i="60" a="1"/>
  <c r="E314" i="60" s="1"/>
  <c r="M314" i="60"/>
  <c r="E306" i="60" a="1"/>
  <c r="E306" i="60" s="1"/>
  <c r="M306" i="60"/>
  <c r="E298" i="60" a="1"/>
  <c r="E298" i="60" s="1"/>
  <c r="M298" i="60"/>
  <c r="M290" i="60"/>
  <c r="E290" i="60" a="1"/>
  <c r="E290" i="60" s="1"/>
  <c r="E282" i="60" a="1"/>
  <c r="E282" i="60" s="1"/>
  <c r="M282" i="60"/>
  <c r="E274" i="60" a="1"/>
  <c r="E274" i="60" s="1"/>
  <c r="M274" i="60"/>
  <c r="E266" i="60" a="1"/>
  <c r="E266" i="60" s="1"/>
  <c r="M266" i="60"/>
  <c r="E336" i="60" a="1"/>
  <c r="E336" i="60" s="1"/>
  <c r="M336" i="60"/>
  <c r="E328" i="60" a="1"/>
  <c r="E328" i="60" s="1"/>
  <c r="M328" i="60"/>
  <c r="E320" i="60" a="1"/>
  <c r="E320" i="60" s="1"/>
  <c r="M320" i="60"/>
  <c r="E312" i="60" a="1"/>
  <c r="E312" i="60" s="1"/>
  <c r="M312" i="60"/>
  <c r="E304" i="60" a="1"/>
  <c r="E304" i="60" s="1"/>
  <c r="M304" i="60"/>
  <c r="E296" i="60" a="1"/>
  <c r="E296" i="60" s="1"/>
  <c r="M296" i="60"/>
  <c r="E288" i="60" a="1"/>
  <c r="E288" i="60" s="1"/>
  <c r="M288" i="60"/>
  <c r="E280" i="60" a="1"/>
  <c r="E280" i="60" s="1"/>
  <c r="M280" i="60"/>
  <c r="E272" i="60" a="1"/>
  <c r="E272" i="60" s="1"/>
  <c r="M272" i="60"/>
  <c r="E264" i="60" a="1"/>
  <c r="E264" i="60" s="1"/>
  <c r="M264" i="60"/>
  <c r="E334" i="60" a="1"/>
  <c r="E334" i="60" s="1"/>
  <c r="M334" i="60"/>
  <c r="E326" i="60" a="1"/>
  <c r="E326" i="60" s="1"/>
  <c r="M326" i="60"/>
  <c r="E318" i="60" a="1"/>
  <c r="E318" i="60" s="1"/>
  <c r="M318" i="60"/>
  <c r="E310" i="60" a="1"/>
  <c r="E310" i="60" s="1"/>
  <c r="M310" i="60"/>
  <c r="E302" i="60" a="1"/>
  <c r="E302" i="60" s="1"/>
  <c r="M302" i="60"/>
  <c r="E294" i="60" a="1"/>
  <c r="E294" i="60" s="1"/>
  <c r="M294" i="60"/>
  <c r="E286" i="60" a="1"/>
  <c r="E286" i="60" s="1"/>
  <c r="M286" i="60"/>
  <c r="E278" i="60" a="1"/>
  <c r="E278" i="60" s="1"/>
  <c r="M278" i="60"/>
  <c r="E270" i="60" a="1"/>
  <c r="E270" i="60" s="1"/>
  <c r="M270" i="60"/>
  <c r="E262" i="60" a="1"/>
  <c r="E262" i="60" s="1"/>
  <c r="M262" i="60"/>
  <c r="I307" i="60" a="1"/>
  <c r="I307" i="60" s="1"/>
  <c r="F307" i="60" a="1"/>
  <c r="F307" i="60" s="1"/>
  <c r="H307" i="60"/>
  <c r="F267" i="60" a="1"/>
  <c r="F267" i="60" s="1"/>
  <c r="H267" i="60"/>
  <c r="I267" i="60" a="1"/>
  <c r="I267" i="60" s="1"/>
  <c r="F338" i="60" a="1"/>
  <c r="F338" i="60" s="1"/>
  <c r="H338" i="60"/>
  <c r="I330" i="60" a="1"/>
  <c r="I330" i="60" s="1"/>
  <c r="H330" i="60"/>
  <c r="F330" i="60" a="1"/>
  <c r="F330" i="60" s="1"/>
  <c r="H322" i="60"/>
  <c r="I322" i="60" a="1"/>
  <c r="I322" i="60" s="1"/>
  <c r="F322" i="60" a="1"/>
  <c r="F322" i="60" s="1"/>
  <c r="H314" i="60"/>
  <c r="F314" i="60" a="1"/>
  <c r="F314" i="60" s="1"/>
  <c r="I314" i="60" a="1"/>
  <c r="I314" i="60" s="1"/>
  <c r="H306" i="60"/>
  <c r="F306" i="60" a="1"/>
  <c r="F306" i="60" s="1"/>
  <c r="H298" i="60"/>
  <c r="F298" i="60" a="1"/>
  <c r="F298" i="60" s="1"/>
  <c r="I298" i="60" a="1"/>
  <c r="I298" i="60" s="1"/>
  <c r="H290" i="60"/>
  <c r="F290" i="60" a="1"/>
  <c r="F290" i="60" s="1"/>
  <c r="I290" i="60" a="1"/>
  <c r="I290" i="60" s="1"/>
  <c r="F282" i="60" a="1"/>
  <c r="F282" i="60" s="1"/>
  <c r="I282" i="60" a="1"/>
  <c r="I282" i="60" s="1"/>
  <c r="H282" i="60"/>
  <c r="F274" i="60" a="1"/>
  <c r="F274" i="60" s="1"/>
  <c r="H274" i="60"/>
  <c r="I274" i="60" a="1"/>
  <c r="I274" i="60" s="1"/>
  <c r="I266" i="60" a="1"/>
  <c r="I266" i="60" s="1"/>
  <c r="H266" i="60"/>
  <c r="F266" i="60" a="1"/>
  <c r="F266" i="60" s="1"/>
  <c r="M335" i="60"/>
  <c r="M317" i="60"/>
  <c r="M289" i="60"/>
  <c r="M271" i="60"/>
  <c r="M261" i="60"/>
  <c r="I306" i="60" a="1"/>
  <c r="I306" i="60" s="1"/>
  <c r="F331" i="60" a="1"/>
  <c r="F331" i="60" s="1"/>
  <c r="I331" i="60" a="1"/>
  <c r="I331" i="60" s="1"/>
  <c r="H331" i="60"/>
  <c r="F291" i="60" a="1"/>
  <c r="F291" i="60" s="1"/>
  <c r="H291" i="60"/>
  <c r="I291" i="60" a="1"/>
  <c r="I291" i="60" s="1"/>
  <c r="M265" i="60"/>
  <c r="E265" i="60" a="1"/>
  <c r="E265" i="60" s="1"/>
  <c r="F337" i="60" a="1"/>
  <c r="F337" i="60" s="1"/>
  <c r="I337" i="60" a="1"/>
  <c r="I337" i="60" s="1"/>
  <c r="H329" i="60"/>
  <c r="F329" i="60" a="1"/>
  <c r="F329" i="60" s="1"/>
  <c r="I321" i="60" a="1"/>
  <c r="I321" i="60" s="1"/>
  <c r="F321" i="60" a="1"/>
  <c r="F321" i="60" s="1"/>
  <c r="H321" i="60"/>
  <c r="H313" i="60"/>
  <c r="F313" i="60" a="1"/>
  <c r="F313" i="60" s="1"/>
  <c r="I313" i="60" a="1"/>
  <c r="I313" i="60" s="1"/>
  <c r="F305" i="60" a="1"/>
  <c r="F305" i="60" s="1"/>
  <c r="H305" i="60"/>
  <c r="I305" i="60" a="1"/>
  <c r="I305" i="60" s="1"/>
  <c r="H297" i="60"/>
  <c r="F289" i="60" a="1"/>
  <c r="F289" i="60" s="1"/>
  <c r="H289" i="60"/>
  <c r="I289" i="60" a="1"/>
  <c r="I289" i="60" s="1"/>
  <c r="H281" i="60"/>
  <c r="I281" i="60" a="1"/>
  <c r="I281" i="60" s="1"/>
  <c r="F281" i="60" a="1"/>
  <c r="F281" i="60" s="1"/>
  <c r="I273" i="60" a="1"/>
  <c r="I273" i="60" s="1"/>
  <c r="F273" i="60" a="1"/>
  <c r="F273" i="60" s="1"/>
  <c r="H273" i="60"/>
  <c r="H265" i="60"/>
  <c r="I265" i="60" a="1"/>
  <c r="I265" i="60" s="1"/>
  <c r="F265" i="60" a="1"/>
  <c r="F265" i="60" s="1"/>
  <c r="M325" i="60"/>
  <c r="M297" i="60"/>
  <c r="M279" i="60"/>
  <c r="I338" i="60" a="1"/>
  <c r="I338" i="60" s="1"/>
  <c r="H337" i="60"/>
  <c r="E283" i="60" a="1"/>
  <c r="E283" i="60" s="1"/>
  <c r="H299" i="60"/>
  <c r="F299" i="60" a="1"/>
  <c r="F299" i="60" s="1"/>
  <c r="I299" i="60" a="1"/>
  <c r="I299" i="60" s="1"/>
  <c r="I258" i="60" a="1"/>
  <c r="I258" i="60" s="1"/>
  <c r="H336" i="60"/>
  <c r="F336" i="60" a="1"/>
  <c r="F336" i="60" s="1"/>
  <c r="I336" i="60" a="1"/>
  <c r="I336" i="60" s="1"/>
  <c r="H328" i="60"/>
  <c r="F328" i="60" a="1"/>
  <c r="F328" i="60" s="1"/>
  <c r="I328" i="60" a="1"/>
  <c r="I328" i="60" s="1"/>
  <c r="H320" i="60"/>
  <c r="I320" i="60" a="1"/>
  <c r="I320" i="60" s="1"/>
  <c r="F320" i="60" a="1"/>
  <c r="F320" i="60" s="1"/>
  <c r="H312" i="60"/>
  <c r="F312" i="60" a="1"/>
  <c r="F312" i="60" s="1"/>
  <c r="I312" i="60" a="1"/>
  <c r="I312" i="60" s="1"/>
  <c r="H304" i="60"/>
  <c r="I304" i="60" a="1"/>
  <c r="I304" i="60" s="1"/>
  <c r="H296" i="60"/>
  <c r="F296" i="60" a="1"/>
  <c r="F296" i="60" s="1"/>
  <c r="I296" i="60" a="1"/>
  <c r="I296" i="60" s="1"/>
  <c r="H288" i="60"/>
  <c r="I288" i="60" a="1"/>
  <c r="I288" i="60" s="1"/>
  <c r="F288" i="60" a="1"/>
  <c r="F288" i="60" s="1"/>
  <c r="H280" i="60"/>
  <c r="F280" i="60" a="1"/>
  <c r="F280" i="60" s="1"/>
  <c r="I280" i="60" a="1"/>
  <c r="I280" i="60" s="1"/>
  <c r="H272" i="60"/>
  <c r="I272" i="60" a="1"/>
  <c r="I272" i="60" s="1"/>
  <c r="F272" i="60" a="1"/>
  <c r="F272" i="60" s="1"/>
  <c r="H264" i="60"/>
  <c r="F264" i="60" a="1"/>
  <c r="F264" i="60" s="1"/>
  <c r="I264" i="60" a="1"/>
  <c r="I264" i="60" s="1"/>
  <c r="M333" i="60"/>
  <c r="M305" i="60"/>
  <c r="M287" i="60"/>
  <c r="M269" i="60"/>
  <c r="I297" i="60" a="1"/>
  <c r="I297" i="60" s="1"/>
  <c r="F323" i="60" a="1"/>
  <c r="F323" i="60" s="1"/>
  <c r="I323" i="60" a="1"/>
  <c r="I323" i="60" s="1"/>
  <c r="F283" i="60" a="1"/>
  <c r="F283" i="60" s="1"/>
  <c r="H283" i="60"/>
  <c r="M281" i="60"/>
  <c r="I254" i="60" a="1"/>
  <c r="I254" i="60" s="1"/>
  <c r="H335" i="60"/>
  <c r="F335" i="60" a="1"/>
  <c r="F335" i="60" s="1"/>
  <c r="I335" i="60" a="1"/>
  <c r="I335" i="60" s="1"/>
  <c r="H327" i="60"/>
  <c r="F327" i="60" a="1"/>
  <c r="F327" i="60" s="1"/>
  <c r="I327" i="60" a="1"/>
  <c r="I327" i="60" s="1"/>
  <c r="I319" i="60" a="1"/>
  <c r="I319" i="60" s="1"/>
  <c r="F319" i="60" a="1"/>
  <c r="F319" i="60" s="1"/>
  <c r="H319" i="60"/>
  <c r="F311" i="60" a="1"/>
  <c r="F311" i="60" s="1"/>
  <c r="I311" i="60" a="1"/>
  <c r="I311" i="60" s="1"/>
  <c r="F303" i="60" a="1"/>
  <c r="F303" i="60" s="1"/>
  <c r="H303" i="60"/>
  <c r="I303" i="60" a="1"/>
  <c r="I303" i="60" s="1"/>
  <c r="F295" i="60" a="1"/>
  <c r="F295" i="60" s="1"/>
  <c r="I295" i="60" a="1"/>
  <c r="I295" i="60" s="1"/>
  <c r="H295" i="60"/>
  <c r="H287" i="60"/>
  <c r="I287" i="60" a="1"/>
  <c r="I287" i="60" s="1"/>
  <c r="F287" i="60" a="1"/>
  <c r="F287" i="60" s="1"/>
  <c r="H279" i="60"/>
  <c r="I279" i="60" a="1"/>
  <c r="I279" i="60" s="1"/>
  <c r="F279" i="60" a="1"/>
  <c r="F279" i="60" s="1"/>
  <c r="I271" i="60" a="1"/>
  <c r="I271" i="60" s="1"/>
  <c r="H271" i="60"/>
  <c r="F271" i="60" a="1"/>
  <c r="F271" i="60" s="1"/>
  <c r="I263" i="60" a="1"/>
  <c r="I263" i="60" s="1"/>
  <c r="F263" i="60" a="1"/>
  <c r="F263" i="60" s="1"/>
  <c r="M313" i="60"/>
  <c r="M295" i="60"/>
  <c r="M277" i="60"/>
  <c r="I329" i="60" a="1"/>
  <c r="I329" i="60" s="1"/>
  <c r="H311" i="60"/>
  <c r="F304" i="60" a="1"/>
  <c r="F304" i="60" s="1"/>
  <c r="H315" i="60"/>
  <c r="F315" i="60" a="1"/>
  <c r="F315" i="60" s="1"/>
  <c r="I275" i="60" a="1"/>
  <c r="I275" i="60" s="1"/>
  <c r="H254" i="60"/>
  <c r="F256" i="60" a="1"/>
  <c r="F256" i="60" s="1"/>
  <c r="H334" i="60"/>
  <c r="I334" i="60" a="1"/>
  <c r="I334" i="60" s="1"/>
  <c r="F334" i="60" a="1"/>
  <c r="F334" i="60" s="1"/>
  <c r="H326" i="60"/>
  <c r="F326" i="60" a="1"/>
  <c r="F326" i="60" s="1"/>
  <c r="I326" i="60" a="1"/>
  <c r="I326" i="60" s="1"/>
  <c r="H318" i="60"/>
  <c r="I318" i="60" a="1"/>
  <c r="I318" i="60" s="1"/>
  <c r="F310" i="60" a="1"/>
  <c r="F310" i="60" s="1"/>
  <c r="H310" i="60"/>
  <c r="I310" i="60" a="1"/>
  <c r="I310" i="60" s="1"/>
  <c r="I302" i="60" a="1"/>
  <c r="I302" i="60" s="1"/>
  <c r="H302" i="60"/>
  <c r="F302" i="60" a="1"/>
  <c r="F302" i="60" s="1"/>
  <c r="I294" i="60" a="1"/>
  <c r="I294" i="60" s="1"/>
  <c r="F294" i="60" a="1"/>
  <c r="F294" i="60" s="1"/>
  <c r="H294" i="60"/>
  <c r="F286" i="60" a="1"/>
  <c r="F286" i="60" s="1"/>
  <c r="I286" i="60" a="1"/>
  <c r="I286" i="60" s="1"/>
  <c r="H278" i="60"/>
  <c r="I278" i="60" a="1"/>
  <c r="I278" i="60" s="1"/>
  <c r="F278" i="60" a="1"/>
  <c r="F278" i="60" s="1"/>
  <c r="F270" i="60" a="1"/>
  <c r="F270" i="60" s="1"/>
  <c r="H270" i="60"/>
  <c r="H262" i="60"/>
  <c r="F262" i="60" a="1"/>
  <c r="F262" i="60" s="1"/>
  <c r="I262" i="60" a="1"/>
  <c r="I262" i="60" s="1"/>
  <c r="M321" i="60"/>
  <c r="M303" i="60"/>
  <c r="M285" i="60"/>
  <c r="F297" i="60" a="1"/>
  <c r="F297" i="60" s="1"/>
  <c r="E319" i="60" a="1"/>
  <c r="E319" i="60" s="1"/>
  <c r="H333" i="60"/>
  <c r="I333" i="60" a="1"/>
  <c r="I333" i="60" s="1"/>
  <c r="F333" i="60" a="1"/>
  <c r="F333" i="60" s="1"/>
  <c r="F325" i="60" a="1"/>
  <c r="F325" i="60" s="1"/>
  <c r="H325" i="60"/>
  <c r="I325" i="60" a="1"/>
  <c r="I325" i="60" s="1"/>
  <c r="H317" i="60"/>
  <c r="F317" i="60" a="1"/>
  <c r="F317" i="60" s="1"/>
  <c r="I317" i="60" a="1"/>
  <c r="I317" i="60" s="1"/>
  <c r="F309" i="60" a="1"/>
  <c r="F309" i="60" s="1"/>
  <c r="I309" i="60" a="1"/>
  <c r="I309" i="60" s="1"/>
  <c r="H309" i="60"/>
  <c r="I301" i="60" a="1"/>
  <c r="I301" i="60" s="1"/>
  <c r="H301" i="60"/>
  <c r="F301" i="60" a="1"/>
  <c r="F301" i="60" s="1"/>
  <c r="I293" i="60" a="1"/>
  <c r="I293" i="60" s="1"/>
  <c r="F293" i="60" a="1"/>
  <c r="F293" i="60" s="1"/>
  <c r="H293" i="60"/>
  <c r="H285" i="60"/>
  <c r="F285" i="60" a="1"/>
  <c r="F285" i="60" s="1"/>
  <c r="I285" i="60" a="1"/>
  <c r="I285" i="60" s="1"/>
  <c r="F277" i="60" a="1"/>
  <c r="F277" i="60" s="1"/>
  <c r="H277" i="60"/>
  <c r="H269" i="60"/>
  <c r="F269" i="60" a="1"/>
  <c r="F269" i="60" s="1"/>
  <c r="I269" i="60" a="1"/>
  <c r="I269" i="60" s="1"/>
  <c r="F261" i="60" a="1"/>
  <c r="F261" i="60" s="1"/>
  <c r="H261" i="60"/>
  <c r="I261" i="60" a="1"/>
  <c r="I261" i="60" s="1"/>
  <c r="M331" i="60"/>
  <c r="E331" i="60" a="1"/>
  <c r="E331" i="60" s="1"/>
  <c r="E323" i="60" a="1"/>
  <c r="E323" i="60" s="1"/>
  <c r="M323" i="60"/>
  <c r="M315" i="60"/>
  <c r="E315" i="60" a="1"/>
  <c r="E315" i="60" s="1"/>
  <c r="E307" i="60" a="1"/>
  <c r="E307" i="60" s="1"/>
  <c r="M307" i="60"/>
  <c r="M299" i="60"/>
  <c r="E299" i="60" a="1"/>
  <c r="E299" i="60" s="1"/>
  <c r="E291" i="60" a="1"/>
  <c r="E291" i="60" s="1"/>
  <c r="M291" i="60"/>
  <c r="E275" i="60" a="1"/>
  <c r="E275" i="60" s="1"/>
  <c r="M275" i="60"/>
  <c r="M267" i="60"/>
  <c r="E267" i="60" a="1"/>
  <c r="E267" i="60" s="1"/>
  <c r="M329" i="60"/>
  <c r="I283" i="60" a="1"/>
  <c r="I283" i="60" s="1"/>
  <c r="H332" i="60"/>
  <c r="I332" i="60" a="1"/>
  <c r="I332" i="60" s="1"/>
  <c r="H324" i="60"/>
  <c r="F324" i="60" a="1"/>
  <c r="F324" i="60" s="1"/>
  <c r="I316" i="60" a="1"/>
  <c r="I316" i="60" s="1"/>
  <c r="H316" i="60"/>
  <c r="F316" i="60" a="1"/>
  <c r="F316" i="60" s="1"/>
  <c r="F308" i="60" a="1"/>
  <c r="F308" i="60" s="1"/>
  <c r="H308" i="60"/>
  <c r="I308" i="60" a="1"/>
  <c r="I308" i="60" s="1"/>
  <c r="F300" i="60" a="1"/>
  <c r="F300" i="60" s="1"/>
  <c r="I300" i="60" a="1"/>
  <c r="I300" i="60" s="1"/>
  <c r="F292" i="60" a="1"/>
  <c r="F292" i="60" s="1"/>
  <c r="H292" i="60"/>
  <c r="F284" i="60" a="1"/>
  <c r="F284" i="60" s="1"/>
  <c r="I284" i="60" a="1"/>
  <c r="I284" i="60" s="1"/>
  <c r="H284" i="60"/>
  <c r="F276" i="60" a="1"/>
  <c r="F276" i="60" s="1"/>
  <c r="I276" i="60" a="1"/>
  <c r="I276" i="60" s="1"/>
  <c r="H276" i="60"/>
  <c r="H268" i="60"/>
  <c r="I268" i="60" a="1"/>
  <c r="I268" i="60" s="1"/>
  <c r="H260" i="60"/>
  <c r="F260" i="60" a="1"/>
  <c r="F260" i="60" s="1"/>
  <c r="I260" i="60" a="1"/>
  <c r="I260" i="60" s="1"/>
  <c r="M337" i="60"/>
  <c r="M301" i="60"/>
  <c r="M273" i="60"/>
  <c r="M263" i="60"/>
  <c r="I315" i="60" a="1"/>
  <c r="I315" i="60" s="1"/>
  <c r="I277" i="60" a="1"/>
  <c r="I277" i="60" s="1"/>
  <c r="H275" i="60"/>
  <c r="B323" i="60"/>
  <c r="B315" i="60"/>
  <c r="B307" i="60"/>
  <c r="B299" i="60"/>
  <c r="B291" i="60"/>
  <c r="B283" i="60"/>
  <c r="B275" i="60"/>
  <c r="B261" i="60"/>
  <c r="B269" i="60"/>
  <c r="B277" i="60"/>
  <c r="B285" i="60"/>
  <c r="B293" i="60"/>
  <c r="B301" i="60"/>
  <c r="B309" i="60"/>
  <c r="B317" i="60"/>
  <c r="B325" i="60"/>
  <c r="B333" i="60"/>
  <c r="B262" i="60"/>
  <c r="B270" i="60"/>
  <c r="B278" i="60"/>
  <c r="B286" i="60"/>
  <c r="B294" i="60"/>
  <c r="B302" i="60"/>
  <c r="B310" i="60"/>
  <c r="B318" i="60"/>
  <c r="B326" i="60"/>
  <c r="B334" i="60"/>
  <c r="B263" i="60"/>
  <c r="B271" i="60"/>
  <c r="B279" i="60"/>
  <c r="B287" i="60"/>
  <c r="B295" i="60"/>
  <c r="B303" i="60"/>
  <c r="B311" i="60"/>
  <c r="B319" i="60"/>
  <c r="B327" i="60"/>
  <c r="B335" i="60"/>
  <c r="B265" i="60"/>
  <c r="B273" i="60"/>
  <c r="B281" i="60"/>
  <c r="B289" i="60"/>
  <c r="B297" i="60"/>
  <c r="B305" i="60"/>
  <c r="B313" i="60"/>
  <c r="B321" i="60"/>
  <c r="B329" i="60"/>
  <c r="B337" i="60"/>
  <c r="B267" i="60"/>
  <c r="B314" i="60"/>
  <c r="B306" i="60"/>
  <c r="B298" i="60"/>
  <c r="B290" i="60"/>
  <c r="B282" i="60"/>
  <c r="B274" i="60"/>
  <c r="B266" i="60"/>
  <c r="B308" i="60"/>
  <c r="B320" i="60"/>
  <c r="B312" i="60"/>
  <c r="B304" i="60"/>
  <c r="B296" i="60"/>
  <c r="B288" i="60"/>
  <c r="B280" i="60"/>
  <c r="B272" i="60"/>
  <c r="B264" i="60"/>
  <c r="B292" i="60"/>
  <c r="B284" i="60"/>
  <c r="B276" i="60"/>
  <c r="B332" i="60"/>
  <c r="B268" i="60"/>
  <c r="T258" i="60"/>
  <c r="T257" i="60"/>
  <c r="T253" i="60"/>
  <c r="T256" i="60"/>
  <c r="T254" i="60"/>
  <c r="T259" i="60"/>
  <c r="T255" i="60"/>
  <c r="M254" i="60"/>
  <c r="E254" i="60" a="1"/>
  <c r="E254" i="60" s="1"/>
  <c r="E253" i="60" a="1"/>
  <c r="E253" i="60" s="1"/>
  <c r="M253" i="60"/>
  <c r="E256" i="60" a="1"/>
  <c r="E256" i="60" s="1"/>
  <c r="M256" i="60"/>
  <c r="E259" i="60" a="1"/>
  <c r="E259" i="60" s="1"/>
  <c r="M259" i="60"/>
  <c r="M257" i="60"/>
  <c r="E257" i="60" a="1"/>
  <c r="E257" i="60" s="1"/>
  <c r="H253" i="60"/>
  <c r="I257" i="60" a="1"/>
  <c r="I257" i="60" s="1"/>
  <c r="I253" i="60" a="1"/>
  <c r="I253" i="60" s="1"/>
  <c r="F259" i="60" a="1"/>
  <c r="F259" i="60" s="1"/>
  <c r="F255" i="60" a="1"/>
  <c r="F255" i="60" s="1"/>
  <c r="E258" i="60" a="1"/>
  <c r="E258" i="60" s="1"/>
  <c r="H259" i="60"/>
  <c r="I256" i="60" a="1"/>
  <c r="I256" i="60" s="1"/>
  <c r="H258" i="60"/>
  <c r="E255" i="60" a="1"/>
  <c r="E255" i="60" s="1"/>
  <c r="H257" i="60"/>
  <c r="I4" i="60" a="1"/>
  <c r="I4" i="60" s="1"/>
  <c r="I255" i="60" a="1"/>
  <c r="I255" i="60" s="1"/>
  <c r="H12" i="60"/>
  <c r="I290" i="69" a="1"/>
  <c r="I290" i="69" s="1"/>
  <c r="H285" i="69"/>
  <c r="M283" i="69"/>
  <c r="I287" i="69" a="1"/>
  <c r="I287" i="69" s="1"/>
  <c r="H282" i="69"/>
  <c r="I285" i="69" a="1"/>
  <c r="I285" i="69" s="1"/>
  <c r="H281" i="69"/>
  <c r="I281" i="69" a="1"/>
  <c r="I281" i="69" s="1"/>
  <c r="H276" i="69"/>
  <c r="F295" i="69" a="1"/>
  <c r="F295" i="69" s="1"/>
  <c r="I277" i="69" a="1"/>
  <c r="I277" i="69" s="1"/>
  <c r="I276" i="69" a="1"/>
  <c r="I276" i="69" s="1"/>
  <c r="F284" i="69" a="1"/>
  <c r="F284" i="69" s="1"/>
  <c r="H291" i="69"/>
  <c r="E180" i="69" a="1"/>
  <c r="E180" i="69" s="1"/>
  <c r="M180" i="69"/>
  <c r="M124" i="69"/>
  <c r="M298" i="69"/>
  <c r="E298" i="69" a="1"/>
  <c r="E298" i="69" s="1"/>
  <c r="M290" i="69"/>
  <c r="E290" i="69" a="1"/>
  <c r="E290" i="69" s="1"/>
  <c r="M282" i="69"/>
  <c r="E282" i="69" a="1"/>
  <c r="E282" i="69" s="1"/>
  <c r="E289" i="69" a="1"/>
  <c r="E289" i="69" s="1"/>
  <c r="M289" i="69"/>
  <c r="E281" i="69" a="1"/>
  <c r="E281" i="69" s="1"/>
  <c r="M281" i="69"/>
  <c r="M240" i="69"/>
  <c r="F296" i="69" a="1"/>
  <c r="F296" i="69" s="1"/>
  <c r="H296" i="69"/>
  <c r="I288" i="69" a="1"/>
  <c r="I288" i="69" s="1"/>
  <c r="F288" i="69" a="1"/>
  <c r="F288" i="69" s="1"/>
  <c r="H288" i="69"/>
  <c r="I280" i="69" a="1"/>
  <c r="I280" i="69" s="1"/>
  <c r="F280" i="69" a="1"/>
  <c r="F280" i="69" s="1"/>
  <c r="H280" i="69"/>
  <c r="E295" i="69" a="1"/>
  <c r="E295" i="69" s="1"/>
  <c r="M295" i="69"/>
  <c r="E287" i="69" a="1"/>
  <c r="E287" i="69" s="1"/>
  <c r="M287" i="69"/>
  <c r="E279" i="69" a="1"/>
  <c r="E279" i="69" s="1"/>
  <c r="M279" i="69"/>
  <c r="E278" i="69" a="1"/>
  <c r="E278" i="69" s="1"/>
  <c r="M278" i="69"/>
  <c r="E286" i="69" a="1"/>
  <c r="E286" i="69" s="1"/>
  <c r="M297" i="69"/>
  <c r="I295" i="69" a="1"/>
  <c r="I295" i="69" s="1"/>
  <c r="F293" i="69" a="1"/>
  <c r="F293" i="69" s="1"/>
  <c r="I293" i="69" a="1"/>
  <c r="I293" i="69" s="1"/>
  <c r="I284" i="69" a="1"/>
  <c r="I284" i="69" s="1"/>
  <c r="H298" i="69"/>
  <c r="H289" i="69"/>
  <c r="F292" i="69" a="1"/>
  <c r="F292" i="69" s="1"/>
  <c r="F283" i="69" a="1"/>
  <c r="F283" i="69" s="1"/>
  <c r="M293" i="69"/>
  <c r="I292" i="69" a="1"/>
  <c r="I292" i="69" s="1"/>
  <c r="I283" i="69" a="1"/>
  <c r="I283" i="69" s="1"/>
  <c r="H297" i="69"/>
  <c r="H279" i="69"/>
  <c r="F291" i="69" a="1"/>
  <c r="F291" i="69" s="1"/>
  <c r="F282" i="69" a="1"/>
  <c r="F282" i="69" s="1"/>
  <c r="M291" i="69"/>
  <c r="M277" i="69"/>
  <c r="H287" i="69"/>
  <c r="H277" i="69"/>
  <c r="F298" i="69" a="1"/>
  <c r="F298" i="69" s="1"/>
  <c r="F289" i="69" a="1"/>
  <c r="F289" i="69" s="1"/>
  <c r="F297" i="69" a="1"/>
  <c r="F297" i="69" s="1"/>
  <c r="F279" i="69" a="1"/>
  <c r="F279" i="69" s="1"/>
  <c r="T127" i="69"/>
  <c r="T159" i="69"/>
  <c r="T191" i="69"/>
  <c r="T118" i="69"/>
  <c r="T200" i="69"/>
  <c r="T150" i="69"/>
  <c r="T182" i="69"/>
  <c r="T145" i="69"/>
  <c r="T214" i="69"/>
  <c r="T177" i="69"/>
  <c r="T209" i="69"/>
  <c r="T136" i="69"/>
  <c r="T168" i="69"/>
  <c r="T274" i="69"/>
  <c r="T270" i="69"/>
  <c r="T266" i="69"/>
  <c r="T262" i="69"/>
  <c r="T258" i="69"/>
  <c r="T254" i="69"/>
  <c r="T250" i="69"/>
  <c r="T246" i="69"/>
  <c r="T242" i="69"/>
  <c r="T238" i="69"/>
  <c r="T234" i="69"/>
  <c r="T230" i="69"/>
  <c r="T226" i="69"/>
  <c r="T222" i="69"/>
  <c r="T218" i="69"/>
  <c r="T213" i="69"/>
  <c r="T204" i="69"/>
  <c r="T195" i="69"/>
  <c r="T186" i="69"/>
  <c r="T181" i="69"/>
  <c r="T172" i="69"/>
  <c r="T163" i="69"/>
  <c r="T154" i="69"/>
  <c r="T149" i="69"/>
  <c r="T140" i="69"/>
  <c r="T131" i="69"/>
  <c r="T122" i="69"/>
  <c r="T217" i="69"/>
  <c r="T208" i="69"/>
  <c r="T199" i="69"/>
  <c r="T190" i="69"/>
  <c r="T185" i="69"/>
  <c r="T176" i="69"/>
  <c r="T167" i="69"/>
  <c r="T158" i="69"/>
  <c r="T153" i="69"/>
  <c r="T144" i="69"/>
  <c r="T135" i="69"/>
  <c r="T126" i="69"/>
  <c r="T121" i="69"/>
  <c r="T273" i="69"/>
  <c r="T269" i="69"/>
  <c r="T265" i="69"/>
  <c r="T261" i="69"/>
  <c r="T257" i="69"/>
  <c r="T253" i="69"/>
  <c r="T249" i="69"/>
  <c r="T245" i="69"/>
  <c r="T241" i="69"/>
  <c r="T237" i="69"/>
  <c r="T233" i="69"/>
  <c r="T229" i="69"/>
  <c r="T225" i="69"/>
  <c r="T221" i="69"/>
  <c r="T212" i="69"/>
  <c r="T203" i="69"/>
  <c r="T194" i="69"/>
  <c r="T189" i="69"/>
  <c r="T180" i="69"/>
  <c r="T171" i="69"/>
  <c r="T162" i="69"/>
  <c r="T157" i="69"/>
  <c r="T148" i="69"/>
  <c r="T139" i="69"/>
  <c r="T130" i="69"/>
  <c r="T125" i="69"/>
  <c r="T216" i="69"/>
  <c r="T207" i="69"/>
  <c r="T198" i="69"/>
  <c r="T193" i="69"/>
  <c r="T184" i="69"/>
  <c r="T175" i="69"/>
  <c r="T166" i="69"/>
  <c r="T161" i="69"/>
  <c r="T152" i="69"/>
  <c r="T143" i="69"/>
  <c r="T134" i="69"/>
  <c r="T129" i="69"/>
  <c r="T120" i="69"/>
  <c r="T272" i="69"/>
  <c r="T268" i="69"/>
  <c r="T264" i="69"/>
  <c r="T260" i="69"/>
  <c r="T256" i="69"/>
  <c r="T252" i="69"/>
  <c r="T248" i="69"/>
  <c r="T244" i="69"/>
  <c r="T240" i="69"/>
  <c r="T236" i="69"/>
  <c r="T232" i="69"/>
  <c r="T228" i="69"/>
  <c r="T224" i="69"/>
  <c r="T220" i="69"/>
  <c r="T211" i="69"/>
  <c r="T202" i="69"/>
  <c r="T197" i="69"/>
  <c r="T188" i="69"/>
  <c r="T179" i="69"/>
  <c r="T170" i="69"/>
  <c r="T165" i="69"/>
  <c r="T156" i="69"/>
  <c r="T147" i="69"/>
  <c r="T138" i="69"/>
  <c r="T133" i="69"/>
  <c r="T124" i="69"/>
  <c r="T215" i="69"/>
  <c r="T206" i="69"/>
  <c r="T201" i="69"/>
  <c r="T192" i="69"/>
  <c r="T183" i="69"/>
  <c r="T174" i="69"/>
  <c r="T169" i="69"/>
  <c r="T160" i="69"/>
  <c r="T151" i="69"/>
  <c r="T142" i="69"/>
  <c r="T137" i="69"/>
  <c r="T128" i="69"/>
  <c r="T119" i="69"/>
  <c r="T275" i="69"/>
  <c r="T271" i="69"/>
  <c r="T267" i="69"/>
  <c r="T263" i="69"/>
  <c r="T259" i="69"/>
  <c r="T255" i="69"/>
  <c r="T251" i="69"/>
  <c r="T247" i="69"/>
  <c r="T243" i="69"/>
  <c r="T239" i="69"/>
  <c r="T235" i="69"/>
  <c r="T231" i="69"/>
  <c r="T227" i="69"/>
  <c r="T223" i="69"/>
  <c r="T219" i="69"/>
  <c r="T210" i="69"/>
  <c r="T205" i="69"/>
  <c r="T196" i="69"/>
  <c r="T187" i="69"/>
  <c r="T178" i="69"/>
  <c r="T173" i="69"/>
  <c r="T164" i="69"/>
  <c r="T155" i="69"/>
  <c r="T146" i="69"/>
  <c r="T141" i="69"/>
  <c r="T132" i="69"/>
  <c r="T123" i="69"/>
  <c r="T293" i="69"/>
  <c r="T292" i="69"/>
  <c r="T289" i="69"/>
  <c r="T277" i="69"/>
  <c r="T276" i="69"/>
  <c r="T288" i="69"/>
  <c r="T285" i="69"/>
  <c r="T284" i="69"/>
  <c r="T297" i="69"/>
  <c r="T281" i="69"/>
  <c r="T296" i="69"/>
  <c r="T280" i="69"/>
  <c r="T295" i="69"/>
  <c r="T291" i="69"/>
  <c r="T287" i="69"/>
  <c r="T283" i="69"/>
  <c r="T279" i="69"/>
  <c r="T298" i="69"/>
  <c r="T294" i="69"/>
  <c r="T290" i="69"/>
  <c r="T286" i="69"/>
  <c r="T282" i="69"/>
  <c r="T278" i="69"/>
  <c r="F275" i="69" a="1"/>
  <c r="F275" i="69" s="1"/>
  <c r="I275" i="69" a="1"/>
  <c r="I275" i="69" s="1"/>
  <c r="H275" i="69"/>
  <c r="H267" i="69"/>
  <c r="I267" i="69" a="1"/>
  <c r="I267" i="69" s="1"/>
  <c r="F267" i="69" a="1"/>
  <c r="F267" i="69" s="1"/>
  <c r="F259" i="69" a="1"/>
  <c r="F259" i="69" s="1"/>
  <c r="H259" i="69"/>
  <c r="I259" i="69" a="1"/>
  <c r="I259" i="69" s="1"/>
  <c r="F251" i="69" a="1"/>
  <c r="F251" i="69" s="1"/>
  <c r="I251" i="69" a="1"/>
  <c r="I251" i="69" s="1"/>
  <c r="H251" i="69"/>
  <c r="F243" i="69" a="1"/>
  <c r="F243" i="69" s="1"/>
  <c r="I243" i="69" a="1"/>
  <c r="I243" i="69" s="1"/>
  <c r="H243" i="69"/>
  <c r="I235" i="69" a="1"/>
  <c r="I235" i="69" s="1"/>
  <c r="H235" i="69"/>
  <c r="F235" i="69" a="1"/>
  <c r="F235" i="69" s="1"/>
  <c r="F227" i="69" a="1"/>
  <c r="F227" i="69" s="1"/>
  <c r="H227" i="69"/>
  <c r="I227" i="69" a="1"/>
  <c r="I227" i="69" s="1"/>
  <c r="I219" i="69" a="1"/>
  <c r="I219" i="69" s="1"/>
  <c r="H219" i="69"/>
  <c r="F219" i="69" a="1"/>
  <c r="F219" i="69" s="1"/>
  <c r="F211" i="69" a="1"/>
  <c r="F211" i="69" s="1"/>
  <c r="I211" i="69" a="1"/>
  <c r="I211" i="69" s="1"/>
  <c r="H211" i="69"/>
  <c r="F203" i="69" a="1"/>
  <c r="F203" i="69" s="1"/>
  <c r="I203" i="69" a="1"/>
  <c r="I203" i="69" s="1"/>
  <c r="H203" i="69"/>
  <c r="F195" i="69" a="1"/>
  <c r="F195" i="69" s="1"/>
  <c r="H195" i="69"/>
  <c r="I195" i="69" a="1"/>
  <c r="I195" i="69" s="1"/>
  <c r="I187" i="69" a="1"/>
  <c r="I187" i="69" s="1"/>
  <c r="H187" i="69"/>
  <c r="F187" i="69" a="1"/>
  <c r="F187" i="69" s="1"/>
  <c r="H179" i="69"/>
  <c r="F179" i="69" a="1"/>
  <c r="F179" i="69" s="1"/>
  <c r="I179" i="69" a="1"/>
  <c r="I179" i="69" s="1"/>
  <c r="I171" i="69" a="1"/>
  <c r="I171" i="69" s="1"/>
  <c r="F171" i="69" a="1"/>
  <c r="F171" i="69" s="1"/>
  <c r="H171" i="69"/>
  <c r="H163" i="69"/>
  <c r="F163" i="69" a="1"/>
  <c r="F163" i="69" s="1"/>
  <c r="I163" i="69" a="1"/>
  <c r="I163" i="69" s="1"/>
  <c r="H155" i="69"/>
  <c r="I155" i="69" a="1"/>
  <c r="I155" i="69" s="1"/>
  <c r="F155" i="69" a="1"/>
  <c r="F155" i="69" s="1"/>
  <c r="F147" i="69" a="1"/>
  <c r="F147" i="69" s="1"/>
  <c r="H147" i="69"/>
  <c r="I147" i="69" a="1"/>
  <c r="I147" i="69" s="1"/>
  <c r="F139" i="69" a="1"/>
  <c r="F139" i="69" s="1"/>
  <c r="I139" i="69" a="1"/>
  <c r="I139" i="69" s="1"/>
  <c r="H139" i="69"/>
  <c r="H131" i="69"/>
  <c r="F131" i="69" a="1"/>
  <c r="F131" i="69" s="1"/>
  <c r="I131" i="69" a="1"/>
  <c r="I131" i="69" s="1"/>
  <c r="F123" i="69" a="1"/>
  <c r="F123" i="69" s="1"/>
  <c r="H123" i="69"/>
  <c r="I123" i="69" a="1"/>
  <c r="I123" i="69" s="1"/>
  <c r="E273" i="69" a="1"/>
  <c r="E273" i="69" s="1"/>
  <c r="M273" i="69"/>
  <c r="E265" i="69" a="1"/>
  <c r="E265" i="69" s="1"/>
  <c r="M265" i="69"/>
  <c r="E257" i="69" a="1"/>
  <c r="E257" i="69" s="1"/>
  <c r="M257" i="69"/>
  <c r="E249" i="69" a="1"/>
  <c r="E249" i="69" s="1"/>
  <c r="M249" i="69"/>
  <c r="E241" i="69" a="1"/>
  <c r="E241" i="69" s="1"/>
  <c r="M241" i="69"/>
  <c r="E233" i="69" a="1"/>
  <c r="E233" i="69" s="1"/>
  <c r="M233" i="69"/>
  <c r="E225" i="69" a="1"/>
  <c r="E225" i="69" s="1"/>
  <c r="M225" i="69"/>
  <c r="E217" i="69" a="1"/>
  <c r="E217" i="69" s="1"/>
  <c r="M217" i="69"/>
  <c r="E209" i="69" a="1"/>
  <c r="E209" i="69" s="1"/>
  <c r="M209" i="69"/>
  <c r="E201" i="69" a="1"/>
  <c r="E201" i="69" s="1"/>
  <c r="M201" i="69"/>
  <c r="M193" i="69"/>
  <c r="E193" i="69" a="1"/>
  <c r="E193" i="69" s="1"/>
  <c r="E185" i="69" a="1"/>
  <c r="E185" i="69" s="1"/>
  <c r="M185" i="69"/>
  <c r="E177" i="69" a="1"/>
  <c r="E177" i="69" s="1"/>
  <c r="M177" i="69"/>
  <c r="E169" i="69" a="1"/>
  <c r="E169" i="69" s="1"/>
  <c r="M169" i="69"/>
  <c r="E161" i="69" a="1"/>
  <c r="E161" i="69" s="1"/>
  <c r="M161" i="69"/>
  <c r="E153" i="69" a="1"/>
  <c r="E153" i="69" s="1"/>
  <c r="M153" i="69"/>
  <c r="E145" i="69" a="1"/>
  <c r="E145" i="69" s="1"/>
  <c r="M145" i="69"/>
  <c r="E137" i="69" a="1"/>
  <c r="E137" i="69" s="1"/>
  <c r="M137" i="69"/>
  <c r="E129" i="69" a="1"/>
  <c r="E129" i="69" s="1"/>
  <c r="M129" i="69"/>
  <c r="E121" i="69" a="1"/>
  <c r="E121" i="69" s="1"/>
  <c r="M121" i="69"/>
  <c r="E266" i="69" a="1"/>
  <c r="E266" i="69" s="1"/>
  <c r="M266" i="69"/>
  <c r="E258" i="69" a="1"/>
  <c r="E258" i="69" s="1"/>
  <c r="M258" i="69"/>
  <c r="E263" i="69" a="1"/>
  <c r="E263" i="69" s="1"/>
  <c r="M263" i="69"/>
  <c r="E247" i="69" a="1"/>
  <c r="E247" i="69" s="1"/>
  <c r="M247" i="69"/>
  <c r="E231" i="69" a="1"/>
  <c r="E231" i="69" s="1"/>
  <c r="M231" i="69"/>
  <c r="M215" i="69"/>
  <c r="E215" i="69" a="1"/>
  <c r="E215" i="69" s="1"/>
  <c r="E199" i="69" a="1"/>
  <c r="E199" i="69" s="1"/>
  <c r="M199" i="69"/>
  <c r="E183" i="69" a="1"/>
  <c r="E183" i="69" s="1"/>
  <c r="M183" i="69"/>
  <c r="E167" i="69" a="1"/>
  <c r="E167" i="69" s="1"/>
  <c r="M167" i="69"/>
  <c r="E151" i="69" a="1"/>
  <c r="E151" i="69" s="1"/>
  <c r="M151" i="69"/>
  <c r="E135" i="69" a="1"/>
  <c r="E135" i="69" s="1"/>
  <c r="M135" i="69"/>
  <c r="E119" i="69" a="1"/>
  <c r="E119" i="69" s="1"/>
  <c r="M119" i="69"/>
  <c r="E250" i="69" a="1"/>
  <c r="E250" i="69" s="1"/>
  <c r="M250" i="69"/>
  <c r="E226" i="69" a="1"/>
  <c r="E226" i="69" s="1"/>
  <c r="M226" i="69"/>
  <c r="E210" i="69" a="1"/>
  <c r="E210" i="69" s="1"/>
  <c r="M210" i="69"/>
  <c r="E194" i="69" a="1"/>
  <c r="E194" i="69" s="1"/>
  <c r="M194" i="69"/>
  <c r="E186" i="69" a="1"/>
  <c r="E186" i="69" s="1"/>
  <c r="M186" i="69"/>
  <c r="E178" i="69" a="1"/>
  <c r="E178" i="69" s="1"/>
  <c r="M178" i="69"/>
  <c r="E162" i="69" a="1"/>
  <c r="E162" i="69" s="1"/>
  <c r="M162" i="69"/>
  <c r="E146" i="69" a="1"/>
  <c r="E146" i="69" s="1"/>
  <c r="M146" i="69"/>
  <c r="E138" i="69" a="1"/>
  <c r="E138" i="69" s="1"/>
  <c r="M138" i="69"/>
  <c r="E130" i="69" a="1"/>
  <c r="E130" i="69" s="1"/>
  <c r="M130" i="69"/>
  <c r="E122" i="69" a="1"/>
  <c r="E122" i="69" s="1"/>
  <c r="M122" i="69"/>
  <c r="E270" i="69" a="1"/>
  <c r="E270" i="69" s="1"/>
  <c r="M270" i="69"/>
  <c r="E262" i="69" a="1"/>
  <c r="E262" i="69" s="1"/>
  <c r="M262" i="69"/>
  <c r="E254" i="69" a="1"/>
  <c r="E254" i="69" s="1"/>
  <c r="M254" i="69"/>
  <c r="E246" i="69" a="1"/>
  <c r="E246" i="69" s="1"/>
  <c r="M246" i="69"/>
  <c r="E238" i="69" a="1"/>
  <c r="E238" i="69" s="1"/>
  <c r="M238" i="69"/>
  <c r="E230" i="69" a="1"/>
  <c r="E230" i="69" s="1"/>
  <c r="M230" i="69"/>
  <c r="E222" i="69" a="1"/>
  <c r="E222" i="69" s="1"/>
  <c r="M222" i="69"/>
  <c r="E214" i="69" a="1"/>
  <c r="E214" i="69" s="1"/>
  <c r="M214" i="69"/>
  <c r="E206" i="69" a="1"/>
  <c r="E206" i="69" s="1"/>
  <c r="M206" i="69"/>
  <c r="E198" i="69" a="1"/>
  <c r="E198" i="69" s="1"/>
  <c r="M198" i="69"/>
  <c r="E190" i="69" a="1"/>
  <c r="E190" i="69" s="1"/>
  <c r="M190" i="69"/>
  <c r="E182" i="69" a="1"/>
  <c r="E182" i="69" s="1"/>
  <c r="M182" i="69"/>
  <c r="E174" i="69" a="1"/>
  <c r="E174" i="69" s="1"/>
  <c r="M174" i="69"/>
  <c r="E166" i="69" a="1"/>
  <c r="E166" i="69" s="1"/>
  <c r="M166" i="69"/>
  <c r="E158" i="69" a="1"/>
  <c r="E158" i="69" s="1"/>
  <c r="M158" i="69"/>
  <c r="E150" i="69" a="1"/>
  <c r="E150" i="69" s="1"/>
  <c r="M150" i="69"/>
  <c r="E142" i="69" a="1"/>
  <c r="E142" i="69" s="1"/>
  <c r="M142" i="69"/>
  <c r="E134" i="69" a="1"/>
  <c r="E134" i="69" s="1"/>
  <c r="M134" i="69"/>
  <c r="E126" i="69" a="1"/>
  <c r="E126" i="69" s="1"/>
  <c r="M126" i="69"/>
  <c r="E118" i="69" a="1"/>
  <c r="E118" i="69" s="1"/>
  <c r="M118" i="69"/>
  <c r="E269" i="69" a="1"/>
  <c r="E269" i="69" s="1"/>
  <c r="M269" i="69"/>
  <c r="E261" i="69" a="1"/>
  <c r="E261" i="69" s="1"/>
  <c r="M261" i="69"/>
  <c r="E253" i="69" a="1"/>
  <c r="E253" i="69" s="1"/>
  <c r="M253" i="69"/>
  <c r="M245" i="69"/>
  <c r="E245" i="69" a="1"/>
  <c r="E245" i="69" s="1"/>
  <c r="E237" i="69" a="1"/>
  <c r="E237" i="69" s="1"/>
  <c r="M237" i="69"/>
  <c r="E229" i="69" a="1"/>
  <c r="E229" i="69" s="1"/>
  <c r="M229" i="69"/>
  <c r="E221" i="69" a="1"/>
  <c r="E221" i="69" s="1"/>
  <c r="M221" i="69"/>
  <c r="E213" i="69" a="1"/>
  <c r="E213" i="69" s="1"/>
  <c r="M213" i="69"/>
  <c r="E205" i="69" a="1"/>
  <c r="E205" i="69" s="1"/>
  <c r="M205" i="69"/>
  <c r="E197" i="69" a="1"/>
  <c r="E197" i="69" s="1"/>
  <c r="M197" i="69"/>
  <c r="E189" i="69" a="1"/>
  <c r="E189" i="69" s="1"/>
  <c r="M189" i="69"/>
  <c r="E181" i="69" a="1"/>
  <c r="E181" i="69" s="1"/>
  <c r="M181" i="69"/>
  <c r="E173" i="69" a="1"/>
  <c r="E173" i="69" s="1"/>
  <c r="M173" i="69"/>
  <c r="M165" i="69"/>
  <c r="E165" i="69" a="1"/>
  <c r="E165" i="69" s="1"/>
  <c r="M157" i="69"/>
  <c r="E157" i="69" a="1"/>
  <c r="E157" i="69" s="1"/>
  <c r="M149" i="69"/>
  <c r="E149" i="69" a="1"/>
  <c r="E149" i="69" s="1"/>
  <c r="E141" i="69" a="1"/>
  <c r="E141" i="69" s="1"/>
  <c r="M141" i="69"/>
  <c r="E133" i="69" a="1"/>
  <c r="E133" i="69" s="1"/>
  <c r="M133" i="69"/>
  <c r="E125" i="69" a="1"/>
  <c r="E125" i="69" s="1"/>
  <c r="M125" i="69"/>
  <c r="E234" i="69" a="1"/>
  <c r="E234" i="69" s="1"/>
  <c r="M234" i="69"/>
  <c r="E202" i="69" a="1"/>
  <c r="E202" i="69" s="1"/>
  <c r="M202" i="69"/>
  <c r="E170" i="69" a="1"/>
  <c r="E170" i="69" s="1"/>
  <c r="M170" i="69"/>
  <c r="E274" i="69" a="1"/>
  <c r="E274" i="69" s="1"/>
  <c r="M274" i="69"/>
  <c r="E242" i="69" a="1"/>
  <c r="E242" i="69" s="1"/>
  <c r="M242" i="69"/>
  <c r="E218" i="69" a="1"/>
  <c r="E218" i="69" s="1"/>
  <c r="M218" i="69"/>
  <c r="E154" i="69" a="1"/>
  <c r="E154" i="69" s="1"/>
  <c r="M154" i="69"/>
  <c r="E271" i="69" a="1"/>
  <c r="E271" i="69" s="1"/>
  <c r="M271" i="69"/>
  <c r="E255" i="69" a="1"/>
  <c r="E255" i="69" s="1"/>
  <c r="M255" i="69"/>
  <c r="E239" i="69" a="1"/>
  <c r="E239" i="69" s="1"/>
  <c r="M239" i="69"/>
  <c r="E223" i="69" a="1"/>
  <c r="E223" i="69" s="1"/>
  <c r="M223" i="69"/>
  <c r="M207" i="69"/>
  <c r="E207" i="69" a="1"/>
  <c r="E207" i="69" s="1"/>
  <c r="M191" i="69"/>
  <c r="E191" i="69" a="1"/>
  <c r="E191" i="69" s="1"/>
  <c r="E175" i="69" a="1"/>
  <c r="E175" i="69" s="1"/>
  <c r="M175" i="69"/>
  <c r="E159" i="69" a="1"/>
  <c r="E159" i="69" s="1"/>
  <c r="M159" i="69"/>
  <c r="E143" i="69" a="1"/>
  <c r="E143" i="69" s="1"/>
  <c r="M143" i="69"/>
  <c r="E127" i="69" a="1"/>
  <c r="E127" i="69" s="1"/>
  <c r="M127" i="69"/>
  <c r="F274" i="69" a="1"/>
  <c r="F274" i="69" s="1"/>
  <c r="I274" i="69" a="1"/>
  <c r="I274" i="69" s="1"/>
  <c r="H274" i="69"/>
  <c r="F266" i="69" a="1"/>
  <c r="F266" i="69" s="1"/>
  <c r="I266" i="69" a="1"/>
  <c r="I266" i="69" s="1"/>
  <c r="H266" i="69"/>
  <c r="H258" i="69"/>
  <c r="I258" i="69" a="1"/>
  <c r="I258" i="69" s="1"/>
  <c r="F258" i="69" a="1"/>
  <c r="F258" i="69" s="1"/>
  <c r="F250" i="69" a="1"/>
  <c r="F250" i="69" s="1"/>
  <c r="I250" i="69" a="1"/>
  <c r="I250" i="69" s="1"/>
  <c r="H250" i="69"/>
  <c r="I242" i="69" a="1"/>
  <c r="I242" i="69" s="1"/>
  <c r="F242" i="69" a="1"/>
  <c r="F242" i="69" s="1"/>
  <c r="H242" i="69"/>
  <c r="F234" i="69" a="1"/>
  <c r="F234" i="69" s="1"/>
  <c r="I234" i="69" a="1"/>
  <c r="I234" i="69" s="1"/>
  <c r="H234" i="69"/>
  <c r="F226" i="69" a="1"/>
  <c r="F226" i="69" s="1"/>
  <c r="H226" i="69"/>
  <c r="I226" i="69" a="1"/>
  <c r="I226" i="69" s="1"/>
  <c r="F218" i="69" a="1"/>
  <c r="F218" i="69" s="1"/>
  <c r="I218" i="69" a="1"/>
  <c r="I218" i="69" s="1"/>
  <c r="H218" i="69"/>
  <c r="I210" i="69" a="1"/>
  <c r="I210" i="69" s="1"/>
  <c r="H210" i="69"/>
  <c r="F210" i="69" a="1"/>
  <c r="F210" i="69" s="1"/>
  <c r="F202" i="69" a="1"/>
  <c r="F202" i="69" s="1"/>
  <c r="I202" i="69" a="1"/>
  <c r="I202" i="69" s="1"/>
  <c r="H202" i="69"/>
  <c r="H194" i="69"/>
  <c r="I194" i="69" a="1"/>
  <c r="I194" i="69" s="1"/>
  <c r="F194" i="69" a="1"/>
  <c r="F194" i="69" s="1"/>
  <c r="F186" i="69" a="1"/>
  <c r="F186" i="69" s="1"/>
  <c r="I186" i="69" a="1"/>
  <c r="I186" i="69" s="1"/>
  <c r="H186" i="69"/>
  <c r="F178" i="69" a="1"/>
  <c r="F178" i="69" s="1"/>
  <c r="H178" i="69"/>
  <c r="I178" i="69" a="1"/>
  <c r="I178" i="69" s="1"/>
  <c r="F170" i="69" a="1"/>
  <c r="F170" i="69" s="1"/>
  <c r="I170" i="69" a="1"/>
  <c r="I170" i="69" s="1"/>
  <c r="H170" i="69"/>
  <c r="F162" i="69" a="1"/>
  <c r="F162" i="69" s="1"/>
  <c r="I162" i="69" a="1"/>
  <c r="I162" i="69" s="1"/>
  <c r="H162" i="69"/>
  <c r="F154" i="69" a="1"/>
  <c r="F154" i="69" s="1"/>
  <c r="H154" i="69"/>
  <c r="I154" i="69" a="1"/>
  <c r="I154" i="69" s="1"/>
  <c r="F146" i="69" a="1"/>
  <c r="F146" i="69" s="1"/>
  <c r="H146" i="69"/>
  <c r="I146" i="69" a="1"/>
  <c r="I146" i="69" s="1"/>
  <c r="F138" i="69" a="1"/>
  <c r="F138" i="69" s="1"/>
  <c r="H138" i="69"/>
  <c r="I138" i="69" a="1"/>
  <c r="I138" i="69" s="1"/>
  <c r="I130" i="69" a="1"/>
  <c r="I130" i="69" s="1"/>
  <c r="H130" i="69"/>
  <c r="F130" i="69" a="1"/>
  <c r="F130" i="69" s="1"/>
  <c r="H122" i="69"/>
  <c r="I122" i="69" a="1"/>
  <c r="I122" i="69" s="1"/>
  <c r="F122" i="69" a="1"/>
  <c r="F122" i="69" s="1"/>
  <c r="M236" i="69"/>
  <c r="M179" i="69"/>
  <c r="M123" i="69"/>
  <c r="H273" i="69"/>
  <c r="F273" i="69" a="1"/>
  <c r="F273" i="69" s="1"/>
  <c r="I273" i="69" a="1"/>
  <c r="I273" i="69" s="1"/>
  <c r="H265" i="69"/>
  <c r="F265" i="69" a="1"/>
  <c r="F265" i="69" s="1"/>
  <c r="I265" i="69" a="1"/>
  <c r="I265" i="69" s="1"/>
  <c r="H257" i="69"/>
  <c r="F257" i="69" a="1"/>
  <c r="F257" i="69" s="1"/>
  <c r="H249" i="69"/>
  <c r="F249" i="69" a="1"/>
  <c r="F249" i="69" s="1"/>
  <c r="H241" i="69"/>
  <c r="F241" i="69" a="1"/>
  <c r="F241" i="69" s="1"/>
  <c r="I241" i="69" a="1"/>
  <c r="I241" i="69" s="1"/>
  <c r="H233" i="69"/>
  <c r="F233" i="69" a="1"/>
  <c r="F233" i="69" s="1"/>
  <c r="I233" i="69" a="1"/>
  <c r="I233" i="69" s="1"/>
  <c r="H225" i="69"/>
  <c r="F225" i="69" a="1"/>
  <c r="F225" i="69" s="1"/>
  <c r="I225" i="69" a="1"/>
  <c r="I225" i="69" s="1"/>
  <c r="H217" i="69"/>
  <c r="F217" i="69" a="1"/>
  <c r="F217" i="69" s="1"/>
  <c r="I217" i="69" a="1"/>
  <c r="I217" i="69" s="1"/>
  <c r="H209" i="69"/>
  <c r="F209" i="69" a="1"/>
  <c r="F209" i="69" s="1"/>
  <c r="I209" i="69" a="1"/>
  <c r="I209" i="69" s="1"/>
  <c r="H201" i="69"/>
  <c r="F201" i="69" a="1"/>
  <c r="F201" i="69" s="1"/>
  <c r="I201" i="69" a="1"/>
  <c r="I201" i="69" s="1"/>
  <c r="H193" i="69"/>
  <c r="F193" i="69" a="1"/>
  <c r="F193" i="69" s="1"/>
  <c r="I193" i="69" a="1"/>
  <c r="I193" i="69" s="1"/>
  <c r="H185" i="69"/>
  <c r="F185" i="69" a="1"/>
  <c r="F185" i="69" s="1"/>
  <c r="I185" i="69" a="1"/>
  <c r="I185" i="69" s="1"/>
  <c r="H177" i="69"/>
  <c r="F177" i="69" a="1"/>
  <c r="F177" i="69" s="1"/>
  <c r="I177" i="69" a="1"/>
  <c r="I177" i="69" s="1"/>
  <c r="H169" i="69"/>
  <c r="F169" i="69" a="1"/>
  <c r="F169" i="69" s="1"/>
  <c r="I169" i="69" a="1"/>
  <c r="I169" i="69" s="1"/>
  <c r="H161" i="69"/>
  <c r="F161" i="69" a="1"/>
  <c r="F161" i="69" s="1"/>
  <c r="I161" i="69" a="1"/>
  <c r="I161" i="69" s="1"/>
  <c r="H153" i="69"/>
  <c r="F153" i="69" a="1"/>
  <c r="F153" i="69" s="1"/>
  <c r="I153" i="69" a="1"/>
  <c r="I153" i="69" s="1"/>
  <c r="H145" i="69"/>
  <c r="I145" i="69" a="1"/>
  <c r="I145" i="69" s="1"/>
  <c r="F145" i="69" a="1"/>
  <c r="F145" i="69" s="1"/>
  <c r="H137" i="69"/>
  <c r="F137" i="69" a="1"/>
  <c r="F137" i="69" s="1"/>
  <c r="I137" i="69" a="1"/>
  <c r="I137" i="69" s="1"/>
  <c r="H129" i="69"/>
  <c r="F129" i="69" a="1"/>
  <c r="F129" i="69" s="1"/>
  <c r="H121" i="69"/>
  <c r="F121" i="69" a="1"/>
  <c r="F121" i="69" s="1"/>
  <c r="M224" i="69"/>
  <c r="M168" i="69"/>
  <c r="I257" i="69" a="1"/>
  <c r="I257" i="69" s="1"/>
  <c r="F272" i="69" a="1"/>
  <c r="F272" i="69" s="1"/>
  <c r="I272" i="69" a="1"/>
  <c r="I272" i="69" s="1"/>
  <c r="H272" i="69"/>
  <c r="F264" i="69" a="1"/>
  <c r="F264" i="69" s="1"/>
  <c r="I264" i="69" a="1"/>
  <c r="I264" i="69" s="1"/>
  <c r="H264" i="69"/>
  <c r="F256" i="69" a="1"/>
  <c r="F256" i="69" s="1"/>
  <c r="I256" i="69" a="1"/>
  <c r="I256" i="69" s="1"/>
  <c r="H256" i="69"/>
  <c r="F248" i="69" a="1"/>
  <c r="F248" i="69" s="1"/>
  <c r="H248" i="69"/>
  <c r="I248" i="69" a="1"/>
  <c r="I248" i="69" s="1"/>
  <c r="F240" i="69" a="1"/>
  <c r="F240" i="69" s="1"/>
  <c r="H240" i="69"/>
  <c r="I240" i="69" a="1"/>
  <c r="I240" i="69" s="1"/>
  <c r="F232" i="69" a="1"/>
  <c r="F232" i="69" s="1"/>
  <c r="I232" i="69" a="1"/>
  <c r="I232" i="69" s="1"/>
  <c r="H232" i="69"/>
  <c r="F224" i="69" a="1"/>
  <c r="F224" i="69" s="1"/>
  <c r="I224" i="69" a="1"/>
  <c r="I224" i="69" s="1"/>
  <c r="H224" i="69"/>
  <c r="F216" i="69" a="1"/>
  <c r="F216" i="69" s="1"/>
  <c r="H216" i="69"/>
  <c r="I216" i="69" a="1"/>
  <c r="I216" i="69" s="1"/>
  <c r="F208" i="69" a="1"/>
  <c r="F208" i="69" s="1"/>
  <c r="H208" i="69"/>
  <c r="I208" i="69" a="1"/>
  <c r="I208" i="69" s="1"/>
  <c r="I200" i="69" a="1"/>
  <c r="I200" i="69" s="1"/>
  <c r="F200" i="69" a="1"/>
  <c r="F200" i="69" s="1"/>
  <c r="H200" i="69"/>
  <c r="F192" i="69" a="1"/>
  <c r="F192" i="69" s="1"/>
  <c r="I192" i="69" a="1"/>
  <c r="I192" i="69" s="1"/>
  <c r="F184" i="69" a="1"/>
  <c r="F184" i="69" s="1"/>
  <c r="H184" i="69"/>
  <c r="I184" i="69" a="1"/>
  <c r="I184" i="69" s="1"/>
  <c r="H176" i="69"/>
  <c r="F176" i="69" a="1"/>
  <c r="F176" i="69" s="1"/>
  <c r="I176" i="69" a="1"/>
  <c r="I176" i="69" s="1"/>
  <c r="F168" i="69" a="1"/>
  <c r="F168" i="69" s="1"/>
  <c r="H168" i="69"/>
  <c r="I168" i="69" a="1"/>
  <c r="I168" i="69" s="1"/>
  <c r="H160" i="69"/>
  <c r="I160" i="69" a="1"/>
  <c r="I160" i="69" s="1"/>
  <c r="F160" i="69" a="1"/>
  <c r="F160" i="69" s="1"/>
  <c r="F152" i="69" a="1"/>
  <c r="F152" i="69" s="1"/>
  <c r="I152" i="69" a="1"/>
  <c r="I152" i="69" s="1"/>
  <c r="H152" i="69"/>
  <c r="F144" i="69" a="1"/>
  <c r="F144" i="69" s="1"/>
  <c r="H144" i="69"/>
  <c r="I144" i="69" a="1"/>
  <c r="I144" i="69" s="1"/>
  <c r="F136" i="69" a="1"/>
  <c r="F136" i="69" s="1"/>
  <c r="H136" i="69"/>
  <c r="I136" i="69" a="1"/>
  <c r="I136" i="69" s="1"/>
  <c r="F128" i="69" a="1"/>
  <c r="F128" i="69" s="1"/>
  <c r="H128" i="69"/>
  <c r="I128" i="69" a="1"/>
  <c r="I128" i="69" s="1"/>
  <c r="F120" i="69" a="1"/>
  <c r="F120" i="69" s="1"/>
  <c r="I120" i="69" a="1"/>
  <c r="I120" i="69" s="1"/>
  <c r="H120" i="69"/>
  <c r="E252" i="69" a="1"/>
  <c r="E252" i="69" s="1"/>
  <c r="M252" i="69"/>
  <c r="E244" i="69" a="1"/>
  <c r="E244" i="69" s="1"/>
  <c r="M244" i="69"/>
  <c r="E228" i="69" a="1"/>
  <c r="E228" i="69" s="1"/>
  <c r="M228" i="69"/>
  <c r="E220" i="69" a="1"/>
  <c r="E220" i="69" s="1"/>
  <c r="M220" i="69"/>
  <c r="E212" i="69" a="1"/>
  <c r="E212" i="69" s="1"/>
  <c r="M212" i="69"/>
  <c r="E188" i="69" a="1"/>
  <c r="E188" i="69" s="1"/>
  <c r="M188" i="69"/>
  <c r="E172" i="69" a="1"/>
  <c r="E172" i="69" s="1"/>
  <c r="M172" i="69"/>
  <c r="E164" i="69" a="1"/>
  <c r="E164" i="69" s="1"/>
  <c r="M164" i="69"/>
  <c r="E156" i="69" a="1"/>
  <c r="E156" i="69" s="1"/>
  <c r="M156" i="69"/>
  <c r="E148" i="69" a="1"/>
  <c r="E148" i="69" s="1"/>
  <c r="M148" i="69"/>
  <c r="E140" i="69" a="1"/>
  <c r="E140" i="69" s="1"/>
  <c r="M140" i="69"/>
  <c r="E132" i="69" a="1"/>
  <c r="E132" i="69" s="1"/>
  <c r="M132" i="69"/>
  <c r="M268" i="69"/>
  <c r="I249" i="69" a="1"/>
  <c r="I249" i="69" s="1"/>
  <c r="F271" i="69" a="1"/>
  <c r="F271" i="69" s="1"/>
  <c r="I271" i="69" a="1"/>
  <c r="I271" i="69" s="1"/>
  <c r="H271" i="69"/>
  <c r="F263" i="69" a="1"/>
  <c r="F263" i="69" s="1"/>
  <c r="I263" i="69" a="1"/>
  <c r="I263" i="69" s="1"/>
  <c r="H263" i="69"/>
  <c r="I255" i="69" a="1"/>
  <c r="I255" i="69" s="1"/>
  <c r="F255" i="69" a="1"/>
  <c r="F255" i="69" s="1"/>
  <c r="H255" i="69"/>
  <c r="F247" i="69" a="1"/>
  <c r="F247" i="69" s="1"/>
  <c r="H247" i="69"/>
  <c r="I247" i="69" a="1"/>
  <c r="I247" i="69" s="1"/>
  <c r="F239" i="69" a="1"/>
  <c r="F239" i="69" s="1"/>
  <c r="H239" i="69"/>
  <c r="I239" i="69" a="1"/>
  <c r="I239" i="69" s="1"/>
  <c r="F231" i="69" a="1"/>
  <c r="F231" i="69" s="1"/>
  <c r="I231" i="69" a="1"/>
  <c r="I231" i="69" s="1"/>
  <c r="H231" i="69"/>
  <c r="I223" i="69" a="1"/>
  <c r="I223" i="69" s="1"/>
  <c r="F223" i="69" a="1"/>
  <c r="F223" i="69" s="1"/>
  <c r="H223" i="69"/>
  <c r="F215" i="69" a="1"/>
  <c r="F215" i="69" s="1"/>
  <c r="H215" i="69"/>
  <c r="I215" i="69" a="1"/>
  <c r="I215" i="69" s="1"/>
  <c r="F207" i="69" a="1"/>
  <c r="F207" i="69" s="1"/>
  <c r="H207" i="69"/>
  <c r="I207" i="69" a="1"/>
  <c r="I207" i="69" s="1"/>
  <c r="F199" i="69" a="1"/>
  <c r="F199" i="69" s="1"/>
  <c r="I199" i="69" a="1"/>
  <c r="I199" i="69" s="1"/>
  <c r="H199" i="69"/>
  <c r="H191" i="69"/>
  <c r="F191" i="69" a="1"/>
  <c r="F191" i="69" s="1"/>
  <c r="I191" i="69" a="1"/>
  <c r="I191" i="69" s="1"/>
  <c r="F183" i="69" a="1"/>
  <c r="F183" i="69" s="1"/>
  <c r="H183" i="69"/>
  <c r="I183" i="69" a="1"/>
  <c r="I183" i="69" s="1"/>
  <c r="F175" i="69" a="1"/>
  <c r="F175" i="69" s="1"/>
  <c r="I175" i="69" a="1"/>
  <c r="I175" i="69" s="1"/>
  <c r="H175" i="69"/>
  <c r="H167" i="69"/>
  <c r="F167" i="69" a="1"/>
  <c r="F167" i="69" s="1"/>
  <c r="I167" i="69" a="1"/>
  <c r="I167" i="69" s="1"/>
  <c r="F159" i="69" a="1"/>
  <c r="F159" i="69" s="1"/>
  <c r="H159" i="69"/>
  <c r="I159" i="69" a="1"/>
  <c r="I159" i="69" s="1"/>
  <c r="F151" i="69" a="1"/>
  <c r="F151" i="69" s="1"/>
  <c r="I151" i="69" a="1"/>
  <c r="I151" i="69" s="1"/>
  <c r="H151" i="69"/>
  <c r="F143" i="69" a="1"/>
  <c r="F143" i="69" s="1"/>
  <c r="H143" i="69"/>
  <c r="I143" i="69" a="1"/>
  <c r="I143" i="69" s="1"/>
  <c r="H135" i="69"/>
  <c r="F135" i="69" a="1"/>
  <c r="F135" i="69" s="1"/>
  <c r="I135" i="69" a="1"/>
  <c r="I135" i="69" s="1"/>
  <c r="H127" i="69"/>
  <c r="I127" i="69" a="1"/>
  <c r="I127" i="69" s="1"/>
  <c r="F127" i="69" a="1"/>
  <c r="F127" i="69" s="1"/>
  <c r="H119" i="69"/>
  <c r="F119" i="69" a="1"/>
  <c r="F119" i="69" s="1"/>
  <c r="I119" i="69" a="1"/>
  <c r="I119" i="69" s="1"/>
  <c r="E275" i="69" a="1"/>
  <c r="E275" i="69" s="1"/>
  <c r="M275" i="69"/>
  <c r="E267" i="69" a="1"/>
  <c r="E267" i="69" s="1"/>
  <c r="M267" i="69"/>
  <c r="E243" i="69" a="1"/>
  <c r="E243" i="69" s="1"/>
  <c r="M243" i="69"/>
  <c r="M235" i="69"/>
  <c r="E235" i="69" a="1"/>
  <c r="E235" i="69" s="1"/>
  <c r="E227" i="69" a="1"/>
  <c r="E227" i="69" s="1"/>
  <c r="M227" i="69"/>
  <c r="E219" i="69" a="1"/>
  <c r="E219" i="69" s="1"/>
  <c r="M219" i="69"/>
  <c r="E211" i="69" a="1"/>
  <c r="E211" i="69" s="1"/>
  <c r="M211" i="69"/>
  <c r="E203" i="69" a="1"/>
  <c r="E203" i="69" s="1"/>
  <c r="M203" i="69"/>
  <c r="E195" i="69" a="1"/>
  <c r="E195" i="69" s="1"/>
  <c r="M195" i="69"/>
  <c r="E187" i="69" a="1"/>
  <c r="E187" i="69" s="1"/>
  <c r="M187" i="69"/>
  <c r="E171" i="69" a="1"/>
  <c r="E171" i="69" s="1"/>
  <c r="M171" i="69"/>
  <c r="E163" i="69" a="1"/>
  <c r="E163" i="69" s="1"/>
  <c r="M163" i="69"/>
  <c r="E155" i="69" a="1"/>
  <c r="E155" i="69" s="1"/>
  <c r="M155" i="69"/>
  <c r="E147" i="69" a="1"/>
  <c r="E147" i="69" s="1"/>
  <c r="M147" i="69"/>
  <c r="E139" i="69" a="1"/>
  <c r="E139" i="69" s="1"/>
  <c r="M139" i="69"/>
  <c r="E131" i="69" a="1"/>
  <c r="E131" i="69" s="1"/>
  <c r="M131" i="69"/>
  <c r="M260" i="69"/>
  <c r="E204" i="69" a="1"/>
  <c r="E204" i="69" s="1"/>
  <c r="F270" i="69" a="1"/>
  <c r="F270" i="69" s="1"/>
  <c r="I270" i="69" a="1"/>
  <c r="I270" i="69" s="1"/>
  <c r="H270" i="69"/>
  <c r="F262" i="69" a="1"/>
  <c r="F262" i="69" s="1"/>
  <c r="I262" i="69" a="1"/>
  <c r="I262" i="69" s="1"/>
  <c r="H262" i="69"/>
  <c r="F254" i="69" a="1"/>
  <c r="F254" i="69" s="1"/>
  <c r="I254" i="69" a="1"/>
  <c r="I254" i="69" s="1"/>
  <c r="H254" i="69"/>
  <c r="I246" i="69" a="1"/>
  <c r="I246" i="69" s="1"/>
  <c r="F246" i="69" a="1"/>
  <c r="F246" i="69" s="1"/>
  <c r="H246" i="69"/>
  <c r="F238" i="69" a="1"/>
  <c r="F238" i="69" s="1"/>
  <c r="I238" i="69" a="1"/>
  <c r="I238" i="69" s="1"/>
  <c r="H238" i="69"/>
  <c r="F230" i="69" a="1"/>
  <c r="F230" i="69" s="1"/>
  <c r="I230" i="69" a="1"/>
  <c r="I230" i="69" s="1"/>
  <c r="H230" i="69"/>
  <c r="F222" i="69" a="1"/>
  <c r="F222" i="69" s="1"/>
  <c r="I222" i="69" a="1"/>
  <c r="I222" i="69" s="1"/>
  <c r="H222" i="69"/>
  <c r="F214" i="69" a="1"/>
  <c r="F214" i="69" s="1"/>
  <c r="I214" i="69" a="1"/>
  <c r="I214" i="69" s="1"/>
  <c r="H214" i="69"/>
  <c r="F206" i="69" a="1"/>
  <c r="F206" i="69" s="1"/>
  <c r="I206" i="69" a="1"/>
  <c r="I206" i="69" s="1"/>
  <c r="H206" i="69"/>
  <c r="F198" i="69" a="1"/>
  <c r="F198" i="69" s="1"/>
  <c r="I198" i="69" a="1"/>
  <c r="I198" i="69" s="1"/>
  <c r="H198" i="69"/>
  <c r="F190" i="69" a="1"/>
  <c r="F190" i="69" s="1"/>
  <c r="H190" i="69"/>
  <c r="I190" i="69" a="1"/>
  <c r="I190" i="69" s="1"/>
  <c r="H182" i="69"/>
  <c r="I182" i="69" a="1"/>
  <c r="I182" i="69" s="1"/>
  <c r="F182" i="69" a="1"/>
  <c r="F182" i="69" s="1"/>
  <c r="H174" i="69"/>
  <c r="I174" i="69" a="1"/>
  <c r="I174" i="69" s="1"/>
  <c r="F174" i="69" a="1"/>
  <c r="F174" i="69" s="1"/>
  <c r="F166" i="69" a="1"/>
  <c r="F166" i="69" s="1"/>
  <c r="I166" i="69" a="1"/>
  <c r="I166" i="69" s="1"/>
  <c r="H166" i="69"/>
  <c r="H158" i="69"/>
  <c r="F158" i="69" a="1"/>
  <c r="F158" i="69" s="1"/>
  <c r="I158" i="69" a="1"/>
  <c r="I158" i="69" s="1"/>
  <c r="I150" i="69" a="1"/>
  <c r="I150" i="69" s="1"/>
  <c r="F150" i="69" a="1"/>
  <c r="F150" i="69" s="1"/>
  <c r="H150" i="69"/>
  <c r="F142" i="69" a="1"/>
  <c r="F142" i="69" s="1"/>
  <c r="I142" i="69" a="1"/>
  <c r="I142" i="69" s="1"/>
  <c r="H142" i="69"/>
  <c r="F134" i="69" a="1"/>
  <c r="F134" i="69" s="1"/>
  <c r="I134" i="69" a="1"/>
  <c r="I134" i="69" s="1"/>
  <c r="H134" i="69"/>
  <c r="H126" i="69"/>
  <c r="F126" i="69" a="1"/>
  <c r="F126" i="69" s="1"/>
  <c r="I126" i="69" a="1"/>
  <c r="I126" i="69" s="1"/>
  <c r="F118" i="69" a="1"/>
  <c r="F118" i="69" s="1"/>
  <c r="H118" i="69"/>
  <c r="I118" i="69" a="1"/>
  <c r="I118" i="69" s="1"/>
  <c r="M259" i="69"/>
  <c r="M152" i="69"/>
  <c r="H269" i="69"/>
  <c r="F269" i="69" a="1"/>
  <c r="F269" i="69" s="1"/>
  <c r="I269" i="69" a="1"/>
  <c r="I269" i="69" s="1"/>
  <c r="F261" i="69" a="1"/>
  <c r="F261" i="69" s="1"/>
  <c r="H261" i="69"/>
  <c r="I261" i="69" a="1"/>
  <c r="I261" i="69" s="1"/>
  <c r="H253" i="69"/>
  <c r="F253" i="69" a="1"/>
  <c r="F253" i="69" s="1"/>
  <c r="I253" i="69" a="1"/>
  <c r="I253" i="69" s="1"/>
  <c r="F245" i="69" a="1"/>
  <c r="F245" i="69" s="1"/>
  <c r="H245" i="69"/>
  <c r="I245" i="69" a="1"/>
  <c r="I245" i="69" s="1"/>
  <c r="H237" i="69"/>
  <c r="F237" i="69" a="1"/>
  <c r="F237" i="69" s="1"/>
  <c r="I237" i="69" a="1"/>
  <c r="I237" i="69" s="1"/>
  <c r="F229" i="69" a="1"/>
  <c r="F229" i="69" s="1"/>
  <c r="H229" i="69"/>
  <c r="I229" i="69" a="1"/>
  <c r="I229" i="69" s="1"/>
  <c r="H221" i="69"/>
  <c r="F221" i="69" a="1"/>
  <c r="F221" i="69" s="1"/>
  <c r="I221" i="69" a="1"/>
  <c r="I221" i="69" s="1"/>
  <c r="F213" i="69" a="1"/>
  <c r="F213" i="69" s="1"/>
  <c r="H213" i="69"/>
  <c r="I213" i="69" a="1"/>
  <c r="I213" i="69" s="1"/>
  <c r="H205" i="69"/>
  <c r="F205" i="69" a="1"/>
  <c r="F205" i="69" s="1"/>
  <c r="I205" i="69" a="1"/>
  <c r="I205" i="69" s="1"/>
  <c r="F197" i="69" a="1"/>
  <c r="F197" i="69" s="1"/>
  <c r="H197" i="69"/>
  <c r="I197" i="69" a="1"/>
  <c r="I197" i="69" s="1"/>
  <c r="H189" i="69"/>
  <c r="F189" i="69" a="1"/>
  <c r="F189" i="69" s="1"/>
  <c r="I189" i="69" a="1"/>
  <c r="I189" i="69" s="1"/>
  <c r="F181" i="69" a="1"/>
  <c r="F181" i="69" s="1"/>
  <c r="H181" i="69"/>
  <c r="I181" i="69" a="1"/>
  <c r="I181" i="69" s="1"/>
  <c r="F173" i="69" a="1"/>
  <c r="F173" i="69" s="1"/>
  <c r="H173" i="69"/>
  <c r="I173" i="69" a="1"/>
  <c r="I173" i="69" s="1"/>
  <c r="F165" i="69" a="1"/>
  <c r="F165" i="69" s="1"/>
  <c r="H165" i="69"/>
  <c r="I165" i="69" a="1"/>
  <c r="I165" i="69" s="1"/>
  <c r="F157" i="69" a="1"/>
  <c r="F157" i="69" s="1"/>
  <c r="I157" i="69" a="1"/>
  <c r="I157" i="69" s="1"/>
  <c r="F149" i="69" a="1"/>
  <c r="F149" i="69" s="1"/>
  <c r="H149" i="69"/>
  <c r="I149" i="69" a="1"/>
  <c r="I149" i="69" s="1"/>
  <c r="F141" i="69" a="1"/>
  <c r="F141" i="69" s="1"/>
  <c r="H141" i="69"/>
  <c r="I141" i="69" a="1"/>
  <c r="I141" i="69" s="1"/>
  <c r="F133" i="69" a="1"/>
  <c r="F133" i="69" s="1"/>
  <c r="I133" i="69" a="1"/>
  <c r="I133" i="69" s="1"/>
  <c r="H133" i="69"/>
  <c r="F125" i="69" a="1"/>
  <c r="F125" i="69" s="1"/>
  <c r="H125" i="69"/>
  <c r="I125" i="69" a="1"/>
  <c r="I125" i="69" s="1"/>
  <c r="M251" i="69"/>
  <c r="M196" i="69"/>
  <c r="F268" i="69" a="1"/>
  <c r="F268" i="69" s="1"/>
  <c r="H268" i="69"/>
  <c r="I268" i="69" a="1"/>
  <c r="I268" i="69" s="1"/>
  <c r="H260" i="69"/>
  <c r="I260" i="69" a="1"/>
  <c r="I260" i="69" s="1"/>
  <c r="F260" i="69" a="1"/>
  <c r="F260" i="69" s="1"/>
  <c r="F252" i="69" a="1"/>
  <c r="F252" i="69" s="1"/>
  <c r="H252" i="69"/>
  <c r="I252" i="69" a="1"/>
  <c r="I252" i="69" s="1"/>
  <c r="F244" i="69" a="1"/>
  <c r="F244" i="69" s="1"/>
  <c r="I244" i="69" a="1"/>
  <c r="I244" i="69" s="1"/>
  <c r="H244" i="69"/>
  <c r="F236" i="69" a="1"/>
  <c r="F236" i="69" s="1"/>
  <c r="H236" i="69"/>
  <c r="I236" i="69" a="1"/>
  <c r="I236" i="69" s="1"/>
  <c r="F228" i="69" a="1"/>
  <c r="F228" i="69" s="1"/>
  <c r="H228" i="69"/>
  <c r="I228" i="69" a="1"/>
  <c r="I228" i="69" s="1"/>
  <c r="F220" i="69" a="1"/>
  <c r="F220" i="69" s="1"/>
  <c r="H220" i="69"/>
  <c r="I220" i="69" a="1"/>
  <c r="I220" i="69" s="1"/>
  <c r="I212" i="69" a="1"/>
  <c r="I212" i="69" s="1"/>
  <c r="F212" i="69" a="1"/>
  <c r="F212" i="69" s="1"/>
  <c r="H212" i="69"/>
  <c r="F204" i="69" a="1"/>
  <c r="F204" i="69" s="1"/>
  <c r="H204" i="69"/>
  <c r="I204" i="69" a="1"/>
  <c r="I204" i="69" s="1"/>
  <c r="H196" i="69"/>
  <c r="I196" i="69" a="1"/>
  <c r="I196" i="69" s="1"/>
  <c r="F196" i="69" a="1"/>
  <c r="F196" i="69" s="1"/>
  <c r="F188" i="69" a="1"/>
  <c r="F188" i="69" s="1"/>
  <c r="I188" i="69" a="1"/>
  <c r="I188" i="69" s="1"/>
  <c r="H188" i="69"/>
  <c r="F180" i="69" a="1"/>
  <c r="F180" i="69" s="1"/>
  <c r="H180" i="69"/>
  <c r="I180" i="69" a="1"/>
  <c r="I180" i="69" s="1"/>
  <c r="F172" i="69" a="1"/>
  <c r="F172" i="69" s="1"/>
  <c r="H172" i="69"/>
  <c r="I172" i="69" a="1"/>
  <c r="I172" i="69" s="1"/>
  <c r="F164" i="69" a="1"/>
  <c r="F164" i="69" s="1"/>
  <c r="H164" i="69"/>
  <c r="I164" i="69" a="1"/>
  <c r="I164" i="69" s="1"/>
  <c r="F156" i="69" a="1"/>
  <c r="F156" i="69" s="1"/>
  <c r="H156" i="69"/>
  <c r="I156" i="69" a="1"/>
  <c r="I156" i="69" s="1"/>
  <c r="F148" i="69" a="1"/>
  <c r="F148" i="69" s="1"/>
  <c r="H148" i="69"/>
  <c r="I148" i="69" a="1"/>
  <c r="I148" i="69" s="1"/>
  <c r="H140" i="69"/>
  <c r="F140" i="69" a="1"/>
  <c r="F140" i="69" s="1"/>
  <c r="I140" i="69" a="1"/>
  <c r="I140" i="69" s="1"/>
  <c r="H132" i="69"/>
  <c r="I132" i="69" a="1"/>
  <c r="I132" i="69" s="1"/>
  <c r="F132" i="69" a="1"/>
  <c r="F132" i="69" s="1"/>
  <c r="H124" i="69"/>
  <c r="F124" i="69" a="1"/>
  <c r="F124" i="69" s="1"/>
  <c r="I124" i="69" a="1"/>
  <c r="I124" i="69" s="1"/>
  <c r="E272" i="69" a="1"/>
  <c r="E272" i="69" s="1"/>
  <c r="M272" i="69"/>
  <c r="E264" i="69" a="1"/>
  <c r="E264" i="69" s="1"/>
  <c r="M264" i="69"/>
  <c r="E256" i="69" a="1"/>
  <c r="E256" i="69" s="1"/>
  <c r="M256" i="69"/>
  <c r="E248" i="69" a="1"/>
  <c r="E248" i="69" s="1"/>
  <c r="M248" i="69"/>
  <c r="E232" i="69" a="1"/>
  <c r="E232" i="69" s="1"/>
  <c r="M232" i="69"/>
  <c r="E216" i="69" a="1"/>
  <c r="E216" i="69" s="1"/>
  <c r="M216" i="69"/>
  <c r="E208" i="69" a="1"/>
  <c r="E208" i="69" s="1"/>
  <c r="M208" i="69"/>
  <c r="E200" i="69" a="1"/>
  <c r="E200" i="69" s="1"/>
  <c r="M200" i="69"/>
  <c r="E192" i="69" a="1"/>
  <c r="E192" i="69" s="1"/>
  <c r="M192" i="69"/>
  <c r="E184" i="69" a="1"/>
  <c r="E184" i="69" s="1"/>
  <c r="M184" i="69"/>
  <c r="E176" i="69" a="1"/>
  <c r="E176" i="69" s="1"/>
  <c r="M176" i="69"/>
  <c r="E160" i="69" a="1"/>
  <c r="E160" i="69" s="1"/>
  <c r="M160" i="69"/>
  <c r="E144" i="69" a="1"/>
  <c r="E144" i="69" s="1"/>
  <c r="M144" i="69"/>
  <c r="E136" i="69" a="1"/>
  <c r="E136" i="69" s="1"/>
  <c r="M136" i="69"/>
  <c r="E128" i="69" a="1"/>
  <c r="E128" i="69" s="1"/>
  <c r="M128" i="69"/>
  <c r="E120" i="69" a="1"/>
  <c r="E120" i="69" s="1"/>
  <c r="M120" i="69"/>
  <c r="E276" i="69" a="1"/>
  <c r="E276" i="69" s="1"/>
  <c r="M276" i="69"/>
  <c r="E284" i="69" a="1"/>
  <c r="E284" i="69" s="1"/>
  <c r="M284" i="69"/>
  <c r="M285" i="69"/>
  <c r="E294" i="69" a="1"/>
  <c r="E294" i="69" s="1"/>
  <c r="E292" i="69" a="1"/>
  <c r="E292" i="69" s="1"/>
  <c r="M292" i="69"/>
  <c r="H294" i="69"/>
  <c r="I294" i="69" a="1"/>
  <c r="I294" i="69" s="1"/>
  <c r="F294" i="69" a="1"/>
  <c r="F294" i="69" s="1"/>
  <c r="H286" i="69"/>
  <c r="I286" i="69" a="1"/>
  <c r="I286" i="69" s="1"/>
  <c r="F286" i="69" a="1"/>
  <c r="F286" i="69" s="1"/>
  <c r="H278" i="69"/>
  <c r="I278" i="69" a="1"/>
  <c r="I278" i="69" s="1"/>
  <c r="F278" i="69" a="1"/>
  <c r="F278" i="69" s="1"/>
  <c r="E296" i="69" a="1"/>
  <c r="E296" i="69" s="1"/>
  <c r="E288" i="69" a="1"/>
  <c r="E288" i="69" s="1"/>
  <c r="E280" i="69" a="1"/>
  <c r="E280" i="69" s="1"/>
  <c r="T116" i="69"/>
  <c r="T112" i="69"/>
  <c r="T108" i="69"/>
  <c r="T104" i="69"/>
  <c r="T100" i="69"/>
  <c r="T96" i="69"/>
  <c r="T92" i="69"/>
  <c r="T88" i="69"/>
  <c r="T84" i="69"/>
  <c r="T80" i="69"/>
  <c r="T76" i="69"/>
  <c r="T72" i="69"/>
  <c r="T68" i="69"/>
  <c r="T64" i="69"/>
  <c r="T60" i="69"/>
  <c r="T56" i="69"/>
  <c r="T52" i="69"/>
  <c r="T48" i="69"/>
  <c r="T44" i="69"/>
  <c r="T40" i="69"/>
  <c r="T36" i="69"/>
  <c r="T32" i="69"/>
  <c r="T28" i="69"/>
  <c r="T24" i="69"/>
  <c r="T20" i="69"/>
  <c r="T16" i="69"/>
  <c r="T12" i="69"/>
  <c r="T8" i="69"/>
  <c r="T4" i="69"/>
  <c r="T115" i="69"/>
  <c r="T111" i="69"/>
  <c r="T107" i="69"/>
  <c r="T103" i="69"/>
  <c r="T99" i="69"/>
  <c r="T95" i="69"/>
  <c r="T91" i="69"/>
  <c r="T87" i="69"/>
  <c r="T83" i="69"/>
  <c r="T79" i="69"/>
  <c r="T75" i="69"/>
  <c r="T71" i="69"/>
  <c r="T67" i="69"/>
  <c r="T63" i="69"/>
  <c r="T59" i="69"/>
  <c r="T55" i="69"/>
  <c r="T51" i="69"/>
  <c r="T47" i="69"/>
  <c r="T43" i="69"/>
  <c r="T39" i="69"/>
  <c r="T35" i="69"/>
  <c r="T31" i="69"/>
  <c r="T27" i="69"/>
  <c r="T23" i="69"/>
  <c r="T19" i="69"/>
  <c r="T15" i="69"/>
  <c r="T11" i="69"/>
  <c r="T7" i="69"/>
  <c r="T3" i="69"/>
  <c r="T114" i="69"/>
  <c r="T110" i="69"/>
  <c r="T106" i="69"/>
  <c r="T102" i="69"/>
  <c r="T98" i="69"/>
  <c r="T94" i="69"/>
  <c r="T90" i="69"/>
  <c r="T86" i="69"/>
  <c r="T82" i="69"/>
  <c r="T78" i="69"/>
  <c r="T74" i="69"/>
  <c r="T70" i="69"/>
  <c r="T66" i="69"/>
  <c r="T62" i="69"/>
  <c r="T58" i="69"/>
  <c r="T54" i="69"/>
  <c r="T50" i="69"/>
  <c r="T46" i="69"/>
  <c r="T42" i="69"/>
  <c r="T38" i="69"/>
  <c r="T34" i="69"/>
  <c r="T30" i="69"/>
  <c r="T26" i="69"/>
  <c r="T22" i="69"/>
  <c r="T18" i="69"/>
  <c r="T14" i="69"/>
  <c r="T10" i="69"/>
  <c r="T6" i="69"/>
  <c r="T117" i="69"/>
  <c r="T113" i="69"/>
  <c r="T109" i="69"/>
  <c r="T105" i="69"/>
  <c r="T101" i="69"/>
  <c r="T97" i="69"/>
  <c r="T93" i="69"/>
  <c r="T89" i="69"/>
  <c r="T85" i="69"/>
  <c r="T81" i="69"/>
  <c r="T77" i="69"/>
  <c r="T73" i="69"/>
  <c r="T69" i="69"/>
  <c r="T65" i="69"/>
  <c r="T61" i="69"/>
  <c r="T57" i="69"/>
  <c r="T53" i="69"/>
  <c r="T49" i="69"/>
  <c r="T45" i="69"/>
  <c r="T41" i="69"/>
  <c r="T37" i="69"/>
  <c r="T33" i="69"/>
  <c r="T29" i="69"/>
  <c r="T25" i="69"/>
  <c r="T21" i="69"/>
  <c r="T17" i="69"/>
  <c r="T13" i="69"/>
  <c r="T9" i="69"/>
  <c r="T5" i="69"/>
  <c r="E105" i="69" a="1"/>
  <c r="E105" i="69" s="1"/>
  <c r="M105" i="69"/>
  <c r="E81" i="69" a="1"/>
  <c r="E81" i="69" s="1"/>
  <c r="M81" i="69"/>
  <c r="E65" i="69" a="1"/>
  <c r="E65" i="69" s="1"/>
  <c r="M65" i="69"/>
  <c r="E57" i="69" a="1"/>
  <c r="E57" i="69" s="1"/>
  <c r="M57" i="69"/>
  <c r="E111" i="69" a="1"/>
  <c r="E111" i="69" s="1"/>
  <c r="M111" i="69"/>
  <c r="E103" i="69" a="1"/>
  <c r="E103" i="69" s="1"/>
  <c r="M103" i="69"/>
  <c r="E95" i="69" a="1"/>
  <c r="E95" i="69" s="1"/>
  <c r="M95" i="69"/>
  <c r="E87" i="69" a="1"/>
  <c r="E87" i="69" s="1"/>
  <c r="M87" i="69"/>
  <c r="E79" i="69" a="1"/>
  <c r="E79" i="69" s="1"/>
  <c r="M79" i="69"/>
  <c r="E71" i="69" a="1"/>
  <c r="E71" i="69" s="1"/>
  <c r="M71" i="69"/>
  <c r="E63" i="69" a="1"/>
  <c r="E63" i="69" s="1"/>
  <c r="M63" i="69"/>
  <c r="E55" i="69" a="1"/>
  <c r="E55" i="69" s="1"/>
  <c r="M55" i="69"/>
  <c r="E47" i="69" a="1"/>
  <c r="E47" i="69" s="1"/>
  <c r="M47" i="69"/>
  <c r="E39" i="69" a="1"/>
  <c r="E39" i="69" s="1"/>
  <c r="M39" i="69"/>
  <c r="E31" i="69" a="1"/>
  <c r="E31" i="69" s="1"/>
  <c r="M31" i="69"/>
  <c r="E23" i="69" a="1"/>
  <c r="E23" i="69" s="1"/>
  <c r="M23" i="69"/>
  <c r="E15" i="69" a="1"/>
  <c r="E15" i="69" s="1"/>
  <c r="M15" i="69"/>
  <c r="E7" i="69" a="1"/>
  <c r="E7" i="69" s="1"/>
  <c r="M7" i="69"/>
  <c r="E113" i="69" a="1"/>
  <c r="E113" i="69" s="1"/>
  <c r="M113" i="69"/>
  <c r="E100" i="69" a="1"/>
  <c r="E100" i="69" s="1"/>
  <c r="M100" i="69"/>
  <c r="E49" i="69" a="1"/>
  <c r="E49" i="69" s="1"/>
  <c r="M49" i="69"/>
  <c r="F99" i="69" a="1"/>
  <c r="F99" i="69" s="1"/>
  <c r="I99" i="69" a="1"/>
  <c r="I99" i="69" s="1"/>
  <c r="H99" i="69"/>
  <c r="I59" i="69" a="1"/>
  <c r="I59" i="69" s="1"/>
  <c r="F59" i="69" a="1"/>
  <c r="F59" i="69" s="1"/>
  <c r="H59" i="69"/>
  <c r="I19" i="69" a="1"/>
  <c r="I19" i="69" s="1"/>
  <c r="F19" i="69" a="1"/>
  <c r="F19" i="69" s="1"/>
  <c r="H19" i="69"/>
  <c r="E94" i="69" a="1"/>
  <c r="E94" i="69" s="1"/>
  <c r="M94" i="69"/>
  <c r="E54" i="69" a="1"/>
  <c r="E54" i="69" s="1"/>
  <c r="M54" i="69"/>
  <c r="M6" i="69"/>
  <c r="E6" i="69" a="1"/>
  <c r="E6" i="69" s="1"/>
  <c r="E97" i="69" a="1"/>
  <c r="E97" i="69" s="1"/>
  <c r="M97" i="69"/>
  <c r="E84" i="69" a="1"/>
  <c r="E84" i="69" s="1"/>
  <c r="M84" i="69"/>
  <c r="I107" i="69" a="1"/>
  <c r="I107" i="69" s="1"/>
  <c r="F107" i="69" a="1"/>
  <c r="F107" i="69" s="1"/>
  <c r="H107" i="69"/>
  <c r="H83" i="69"/>
  <c r="F83" i="69" a="1"/>
  <c r="F83" i="69" s="1"/>
  <c r="I83" i="69" a="1"/>
  <c r="I83" i="69" s="1"/>
  <c r="F43" i="69" a="1"/>
  <c r="F43" i="69" s="1"/>
  <c r="I43" i="69" a="1"/>
  <c r="I43" i="69" s="1"/>
  <c r="H43" i="69"/>
  <c r="F11" i="69" a="1"/>
  <c r="F11" i="69" s="1"/>
  <c r="H11" i="69"/>
  <c r="I11" i="69" a="1"/>
  <c r="I11" i="69" s="1"/>
  <c r="E86" i="69" a="1"/>
  <c r="E86" i="69" s="1"/>
  <c r="M86" i="69"/>
  <c r="E46" i="69" a="1"/>
  <c r="E46" i="69" s="1"/>
  <c r="M46" i="69"/>
  <c r="E30" i="69" a="1"/>
  <c r="E30" i="69" s="1"/>
  <c r="M30" i="69"/>
  <c r="E73" i="69" a="1"/>
  <c r="E73" i="69" s="1"/>
  <c r="M73" i="69"/>
  <c r="E108" i="69" a="1"/>
  <c r="E108" i="69" s="1"/>
  <c r="M108" i="69"/>
  <c r="E44" i="69" a="1"/>
  <c r="E44" i="69" s="1"/>
  <c r="M44" i="69"/>
  <c r="E28" i="69" a="1"/>
  <c r="E28" i="69" s="1"/>
  <c r="M28" i="69"/>
  <c r="E12" i="69" a="1"/>
  <c r="E12" i="69" s="1"/>
  <c r="M12" i="69"/>
  <c r="H75" i="69"/>
  <c r="I75" i="69" a="1"/>
  <c r="I75" i="69" s="1"/>
  <c r="F75" i="69" a="1"/>
  <c r="F75" i="69" s="1"/>
  <c r="F35" i="69" a="1"/>
  <c r="F35" i="69" s="1"/>
  <c r="I35" i="69" a="1"/>
  <c r="I35" i="69" s="1"/>
  <c r="H35" i="69"/>
  <c r="E110" i="69" a="1"/>
  <c r="E110" i="69" s="1"/>
  <c r="M110" i="69"/>
  <c r="E70" i="69" a="1"/>
  <c r="E70" i="69" s="1"/>
  <c r="M70" i="69"/>
  <c r="M38" i="69"/>
  <c r="E38" i="69" a="1"/>
  <c r="E38" i="69" s="1"/>
  <c r="E60" i="69" a="1"/>
  <c r="E60" i="69" s="1"/>
  <c r="M60" i="69"/>
  <c r="E68" i="69" a="1"/>
  <c r="E68" i="69" s="1"/>
  <c r="M68" i="69"/>
  <c r="E76" i="69" a="1"/>
  <c r="E76" i="69" s="1"/>
  <c r="M76" i="69"/>
  <c r="E20" i="69" a="1"/>
  <c r="E20" i="69" s="1"/>
  <c r="M20" i="69"/>
  <c r="H91" i="69"/>
  <c r="I91" i="69" a="1"/>
  <c r="I91" i="69" s="1"/>
  <c r="F91" i="69" a="1"/>
  <c r="F91" i="69" s="1"/>
  <c r="H51" i="69"/>
  <c r="I51" i="69" a="1"/>
  <c r="I51" i="69" s="1"/>
  <c r="F51" i="69" a="1"/>
  <c r="F51" i="69" s="1"/>
  <c r="M102" i="69"/>
  <c r="E102" i="69" a="1"/>
  <c r="E102" i="69" s="1"/>
  <c r="E62" i="69" a="1"/>
  <c r="E62" i="69" s="1"/>
  <c r="M62" i="69"/>
  <c r="E14" i="69" a="1"/>
  <c r="E14" i="69" s="1"/>
  <c r="M14" i="69"/>
  <c r="E114" i="69" a="1"/>
  <c r="E114" i="69" s="1"/>
  <c r="M114" i="69"/>
  <c r="E106" i="69" a="1"/>
  <c r="E106" i="69" s="1"/>
  <c r="M106" i="69"/>
  <c r="E98" i="69" a="1"/>
  <c r="E98" i="69" s="1"/>
  <c r="M98" i="69"/>
  <c r="E90" i="69" a="1"/>
  <c r="E90" i="69" s="1"/>
  <c r="M90" i="69"/>
  <c r="E82" i="69" a="1"/>
  <c r="E82" i="69" s="1"/>
  <c r="M82" i="69"/>
  <c r="E74" i="69" a="1"/>
  <c r="E74" i="69" s="1"/>
  <c r="M74" i="69"/>
  <c r="E66" i="69" a="1"/>
  <c r="E66" i="69" s="1"/>
  <c r="M66" i="69"/>
  <c r="E58" i="69" a="1"/>
  <c r="E58" i="69" s="1"/>
  <c r="M58" i="69"/>
  <c r="E50" i="69" a="1"/>
  <c r="E50" i="69" s="1"/>
  <c r="M50" i="69"/>
  <c r="E42" i="69" a="1"/>
  <c r="E42" i="69" s="1"/>
  <c r="M42" i="69"/>
  <c r="E34" i="69" a="1"/>
  <c r="E34" i="69" s="1"/>
  <c r="M34" i="69"/>
  <c r="E26" i="69" a="1"/>
  <c r="E26" i="69" s="1"/>
  <c r="M26" i="69"/>
  <c r="E18" i="69" a="1"/>
  <c r="E18" i="69" s="1"/>
  <c r="M18" i="69"/>
  <c r="E10" i="69" a="1"/>
  <c r="E10" i="69" s="1"/>
  <c r="M10" i="69"/>
  <c r="E92" i="69" a="1"/>
  <c r="E92" i="69" s="1"/>
  <c r="M92" i="69"/>
  <c r="E89" i="69" a="1"/>
  <c r="E89" i="69" s="1"/>
  <c r="M89" i="69"/>
  <c r="E36" i="69" a="1"/>
  <c r="E36" i="69" s="1"/>
  <c r="M36" i="69"/>
  <c r="E4" i="69" a="1"/>
  <c r="E4" i="69" s="1"/>
  <c r="M4" i="69"/>
  <c r="F115" i="69" a="1"/>
  <c r="F115" i="69" s="1"/>
  <c r="I115" i="69" a="1"/>
  <c r="I115" i="69" s="1"/>
  <c r="H115" i="69"/>
  <c r="F67" i="69" a="1"/>
  <c r="F67" i="69" s="1"/>
  <c r="I67" i="69" a="1"/>
  <c r="I67" i="69" s="1"/>
  <c r="H67" i="69"/>
  <c r="F27" i="69" a="1"/>
  <c r="F27" i="69" s="1"/>
  <c r="H27" i="69"/>
  <c r="I27" i="69" a="1"/>
  <c r="I27" i="69" s="1"/>
  <c r="F3" i="69" a="1"/>
  <c r="F3" i="69" s="1"/>
  <c r="I3" i="69" a="1"/>
  <c r="I3" i="69" s="1"/>
  <c r="H3" i="69"/>
  <c r="E78" i="69" a="1"/>
  <c r="E78" i="69" s="1"/>
  <c r="M78" i="69"/>
  <c r="E22" i="69" a="1"/>
  <c r="E22" i="69" s="1"/>
  <c r="M22" i="69"/>
  <c r="F110" i="69" a="1"/>
  <c r="F110" i="69" s="1"/>
  <c r="I110" i="69" a="1"/>
  <c r="I110" i="69" s="1"/>
  <c r="H110" i="69"/>
  <c r="F102" i="69" a="1"/>
  <c r="F102" i="69" s="1"/>
  <c r="I102" i="69" a="1"/>
  <c r="I102" i="69" s="1"/>
  <c r="H102" i="69"/>
  <c r="F94" i="69" a="1"/>
  <c r="F94" i="69" s="1"/>
  <c r="I94" i="69" a="1"/>
  <c r="I94" i="69" s="1"/>
  <c r="H94" i="69"/>
  <c r="F86" i="69" a="1"/>
  <c r="F86" i="69" s="1"/>
  <c r="I86" i="69" a="1"/>
  <c r="I86" i="69" s="1"/>
  <c r="H86" i="69"/>
  <c r="F78" i="69" a="1"/>
  <c r="F78" i="69" s="1"/>
  <c r="I78" i="69" a="1"/>
  <c r="I78" i="69" s="1"/>
  <c r="H78" i="69"/>
  <c r="F70" i="69" a="1"/>
  <c r="F70" i="69" s="1"/>
  <c r="I70" i="69" a="1"/>
  <c r="I70" i="69" s="1"/>
  <c r="H70" i="69"/>
  <c r="F62" i="69" a="1"/>
  <c r="F62" i="69" s="1"/>
  <c r="I62" i="69" a="1"/>
  <c r="I62" i="69" s="1"/>
  <c r="H62" i="69"/>
  <c r="H54" i="69"/>
  <c r="F54" i="69" a="1"/>
  <c r="F54" i="69" s="1"/>
  <c r="I54" i="69" a="1"/>
  <c r="I54" i="69" s="1"/>
  <c r="H46" i="69"/>
  <c r="F46" i="69" a="1"/>
  <c r="F46" i="69" s="1"/>
  <c r="I46" i="69" a="1"/>
  <c r="I46" i="69" s="1"/>
  <c r="F38" i="69" a="1"/>
  <c r="F38" i="69" s="1"/>
  <c r="H38" i="69"/>
  <c r="I38" i="69" a="1"/>
  <c r="I38" i="69" s="1"/>
  <c r="F30" i="69" a="1"/>
  <c r="F30" i="69" s="1"/>
  <c r="H30" i="69"/>
  <c r="I30" i="69" a="1"/>
  <c r="I30" i="69" s="1"/>
  <c r="H22" i="69"/>
  <c r="F22" i="69" a="1"/>
  <c r="F22" i="69" s="1"/>
  <c r="I22" i="69" a="1"/>
  <c r="I22" i="69" s="1"/>
  <c r="H14" i="69"/>
  <c r="I14" i="69" a="1"/>
  <c r="I14" i="69" s="1"/>
  <c r="F14" i="69" a="1"/>
  <c r="F14" i="69" s="1"/>
  <c r="F6" i="69" a="1"/>
  <c r="F6" i="69" s="1"/>
  <c r="H6" i="69"/>
  <c r="I6" i="69" a="1"/>
  <c r="I6" i="69" s="1"/>
  <c r="E41" i="69" a="1"/>
  <c r="E41" i="69" s="1"/>
  <c r="M41" i="69"/>
  <c r="E33" i="69" a="1"/>
  <c r="E33" i="69" s="1"/>
  <c r="M33" i="69"/>
  <c r="E25" i="69" a="1"/>
  <c r="E25" i="69" s="1"/>
  <c r="M25" i="69"/>
  <c r="E17" i="69" a="1"/>
  <c r="E17" i="69" s="1"/>
  <c r="M17" i="69"/>
  <c r="E9" i="69" a="1"/>
  <c r="E9" i="69" s="1"/>
  <c r="M9" i="69"/>
  <c r="E116" i="69" a="1"/>
  <c r="E116" i="69" s="1"/>
  <c r="M116" i="69"/>
  <c r="E52" i="69" a="1"/>
  <c r="E52" i="69" s="1"/>
  <c r="M52" i="69"/>
  <c r="F114" i="69" a="1"/>
  <c r="F114" i="69" s="1"/>
  <c r="I114" i="69" a="1"/>
  <c r="I114" i="69" s="1"/>
  <c r="H114" i="69"/>
  <c r="F90" i="69" a="1"/>
  <c r="F90" i="69" s="1"/>
  <c r="I90" i="69" a="1"/>
  <c r="I90" i="69" s="1"/>
  <c r="H90" i="69"/>
  <c r="F66" i="69" a="1"/>
  <c r="F66" i="69" s="1"/>
  <c r="I66" i="69" a="1"/>
  <c r="I66" i="69" s="1"/>
  <c r="H66" i="69"/>
  <c r="F58" i="69" a="1"/>
  <c r="F58" i="69" s="1"/>
  <c r="I58" i="69" a="1"/>
  <c r="I58" i="69" s="1"/>
  <c r="H58" i="69"/>
  <c r="F34" i="69" a="1"/>
  <c r="F34" i="69" s="1"/>
  <c r="I34" i="69" a="1"/>
  <c r="I34" i="69" s="1"/>
  <c r="H34" i="69"/>
  <c r="F18" i="69" a="1"/>
  <c r="F18" i="69" s="1"/>
  <c r="I18" i="69" a="1"/>
  <c r="I18" i="69" s="1"/>
  <c r="H18" i="69"/>
  <c r="F112" i="69" a="1"/>
  <c r="F112" i="69" s="1"/>
  <c r="H112" i="69"/>
  <c r="I112" i="69" a="1"/>
  <c r="I112" i="69" s="1"/>
  <c r="F104" i="69" a="1"/>
  <c r="F104" i="69" s="1"/>
  <c r="H104" i="69"/>
  <c r="I104" i="69" a="1"/>
  <c r="I104" i="69" s="1"/>
  <c r="F96" i="69" a="1"/>
  <c r="F96" i="69" s="1"/>
  <c r="H96" i="69"/>
  <c r="I96" i="69" a="1"/>
  <c r="I96" i="69" s="1"/>
  <c r="F88" i="69" a="1"/>
  <c r="F88" i="69" s="1"/>
  <c r="I88" i="69" a="1"/>
  <c r="I88" i="69" s="1"/>
  <c r="H88" i="69"/>
  <c r="F80" i="69" a="1"/>
  <c r="F80" i="69" s="1"/>
  <c r="I80" i="69" a="1"/>
  <c r="I80" i="69" s="1"/>
  <c r="H80" i="69"/>
  <c r="F72" i="69" a="1"/>
  <c r="F72" i="69" s="1"/>
  <c r="I72" i="69" a="1"/>
  <c r="I72" i="69" s="1"/>
  <c r="H72" i="69"/>
  <c r="F64" i="69" a="1"/>
  <c r="F64" i="69" s="1"/>
  <c r="H64" i="69"/>
  <c r="I64" i="69" a="1"/>
  <c r="I64" i="69" s="1"/>
  <c r="F56" i="69" a="1"/>
  <c r="F56" i="69" s="1"/>
  <c r="H56" i="69"/>
  <c r="I56" i="69" a="1"/>
  <c r="I56" i="69" s="1"/>
  <c r="F48" i="69" a="1"/>
  <c r="F48" i="69" s="1"/>
  <c r="H48" i="69"/>
  <c r="I48" i="69" a="1"/>
  <c r="I48" i="69" s="1"/>
  <c r="F40" i="69" a="1"/>
  <c r="F40" i="69" s="1"/>
  <c r="H40" i="69"/>
  <c r="I40" i="69" a="1"/>
  <c r="I40" i="69" s="1"/>
  <c r="H32" i="69"/>
  <c r="F32" i="69" a="1"/>
  <c r="F32" i="69" s="1"/>
  <c r="I32" i="69" a="1"/>
  <c r="I32" i="69" s="1"/>
  <c r="F24" i="69" a="1"/>
  <c r="F24" i="69" s="1"/>
  <c r="H24" i="69"/>
  <c r="I24" i="69" a="1"/>
  <c r="I24" i="69" s="1"/>
  <c r="F16" i="69" a="1"/>
  <c r="F16" i="69" s="1"/>
  <c r="H16" i="69"/>
  <c r="I16" i="69" a="1"/>
  <c r="I16" i="69" s="1"/>
  <c r="F8" i="69" a="1"/>
  <c r="F8" i="69" s="1"/>
  <c r="H8" i="69"/>
  <c r="I8" i="69" a="1"/>
  <c r="I8" i="69" s="1"/>
  <c r="M109" i="69"/>
  <c r="M91" i="69"/>
  <c r="M8" i="69"/>
  <c r="F111" i="69" a="1"/>
  <c r="F111" i="69" s="1"/>
  <c r="I111" i="69" a="1"/>
  <c r="I111" i="69" s="1"/>
  <c r="H111" i="69"/>
  <c r="I103" i="69" a="1"/>
  <c r="I103" i="69" s="1"/>
  <c r="H103" i="69"/>
  <c r="F103" i="69" a="1"/>
  <c r="F103" i="69" s="1"/>
  <c r="F95" i="69" a="1"/>
  <c r="F95" i="69" s="1"/>
  <c r="I95" i="69" a="1"/>
  <c r="I95" i="69" s="1"/>
  <c r="H95" i="69"/>
  <c r="I87" i="69" a="1"/>
  <c r="I87" i="69" s="1"/>
  <c r="F87" i="69" a="1"/>
  <c r="F87" i="69" s="1"/>
  <c r="H87" i="69"/>
  <c r="F79" i="69" a="1"/>
  <c r="F79" i="69" s="1"/>
  <c r="I79" i="69" a="1"/>
  <c r="I79" i="69" s="1"/>
  <c r="H79" i="69"/>
  <c r="I71" i="69" a="1"/>
  <c r="I71" i="69" s="1"/>
  <c r="F71" i="69" a="1"/>
  <c r="F71" i="69" s="1"/>
  <c r="H71" i="69"/>
  <c r="F63" i="69" a="1"/>
  <c r="F63" i="69" s="1"/>
  <c r="H63" i="69"/>
  <c r="I63" i="69" a="1"/>
  <c r="I63" i="69" s="1"/>
  <c r="H55" i="69"/>
  <c r="I55" i="69" a="1"/>
  <c r="I55" i="69" s="1"/>
  <c r="F55" i="69" a="1"/>
  <c r="F55" i="69" s="1"/>
  <c r="F47" i="69" a="1"/>
  <c r="F47" i="69" s="1"/>
  <c r="I47" i="69" a="1"/>
  <c r="I47" i="69" s="1"/>
  <c r="H47" i="69"/>
  <c r="F39" i="69" a="1"/>
  <c r="F39" i="69" s="1"/>
  <c r="I39" i="69" a="1"/>
  <c r="I39" i="69" s="1"/>
  <c r="H39" i="69"/>
  <c r="F31" i="69" a="1"/>
  <c r="F31" i="69" s="1"/>
  <c r="H31" i="69"/>
  <c r="I31" i="69" a="1"/>
  <c r="I31" i="69" s="1"/>
  <c r="I23" i="69" a="1"/>
  <c r="I23" i="69" s="1"/>
  <c r="F23" i="69" a="1"/>
  <c r="F23" i="69" s="1"/>
  <c r="H23" i="69"/>
  <c r="F15" i="69" a="1"/>
  <c r="F15" i="69" s="1"/>
  <c r="I15" i="69" a="1"/>
  <c r="I15" i="69" s="1"/>
  <c r="H15" i="69"/>
  <c r="F7" i="69" a="1"/>
  <c r="F7" i="69" s="1"/>
  <c r="H7" i="69"/>
  <c r="I7" i="69" a="1"/>
  <c r="I7" i="69" s="1"/>
  <c r="E93" i="69" a="1"/>
  <c r="E93" i="69" s="1"/>
  <c r="M93" i="69"/>
  <c r="E85" i="69" a="1"/>
  <c r="E85" i="69" s="1"/>
  <c r="M85" i="69"/>
  <c r="E69" i="69" a="1"/>
  <c r="E69" i="69" s="1"/>
  <c r="M69" i="69"/>
  <c r="E61" i="69" a="1"/>
  <c r="E61" i="69" s="1"/>
  <c r="M61" i="69"/>
  <c r="E29" i="69" a="1"/>
  <c r="E29" i="69" s="1"/>
  <c r="M29" i="69"/>
  <c r="E21" i="69" a="1"/>
  <c r="E21" i="69" s="1"/>
  <c r="M21" i="69"/>
  <c r="E13" i="69" a="1"/>
  <c r="E13" i="69" s="1"/>
  <c r="M13" i="69"/>
  <c r="E5" i="69" a="1"/>
  <c r="E5" i="69" s="1"/>
  <c r="M5" i="69"/>
  <c r="M72" i="69"/>
  <c r="M53" i="69"/>
  <c r="M27" i="69"/>
  <c r="F117" i="69" a="1"/>
  <c r="F117" i="69" s="1"/>
  <c r="H117" i="69"/>
  <c r="I117" i="69" a="1"/>
  <c r="I117" i="69" s="1"/>
  <c r="F109" i="69" a="1"/>
  <c r="F109" i="69" s="1"/>
  <c r="H109" i="69"/>
  <c r="I109" i="69" a="1"/>
  <c r="I109" i="69" s="1"/>
  <c r="F101" i="69" a="1"/>
  <c r="F101" i="69" s="1"/>
  <c r="H101" i="69"/>
  <c r="I101" i="69" a="1"/>
  <c r="I101" i="69" s="1"/>
  <c r="F93" i="69" a="1"/>
  <c r="F93" i="69" s="1"/>
  <c r="H93" i="69"/>
  <c r="I93" i="69" a="1"/>
  <c r="I93" i="69" s="1"/>
  <c r="F85" i="69" a="1"/>
  <c r="F85" i="69" s="1"/>
  <c r="H85" i="69"/>
  <c r="I85" i="69" a="1"/>
  <c r="I85" i="69" s="1"/>
  <c r="F77" i="69" a="1"/>
  <c r="F77" i="69" s="1"/>
  <c r="H77" i="69"/>
  <c r="I77" i="69" a="1"/>
  <c r="I77" i="69" s="1"/>
  <c r="H69" i="69"/>
  <c r="F69" i="69" a="1"/>
  <c r="F69" i="69" s="1"/>
  <c r="I69" i="69" a="1"/>
  <c r="I69" i="69" s="1"/>
  <c r="H61" i="69"/>
  <c r="F61" i="69" a="1"/>
  <c r="F61" i="69" s="1"/>
  <c r="I61" i="69" a="1"/>
  <c r="I61" i="69" s="1"/>
  <c r="H53" i="69"/>
  <c r="F53" i="69" a="1"/>
  <c r="F53" i="69" s="1"/>
  <c r="I53" i="69" a="1"/>
  <c r="I53" i="69" s="1"/>
  <c r="H45" i="69"/>
  <c r="F45" i="69" a="1"/>
  <c r="F45" i="69" s="1"/>
  <c r="I45" i="69" a="1"/>
  <c r="I45" i="69" s="1"/>
  <c r="H37" i="69"/>
  <c r="F37" i="69" a="1"/>
  <c r="F37" i="69" s="1"/>
  <c r="I37" i="69" a="1"/>
  <c r="I37" i="69" s="1"/>
  <c r="F29" i="69" a="1"/>
  <c r="F29" i="69" s="1"/>
  <c r="H29" i="69"/>
  <c r="I29" i="69" a="1"/>
  <c r="I29" i="69" s="1"/>
  <c r="H21" i="69"/>
  <c r="F21" i="69" a="1"/>
  <c r="F21" i="69" s="1"/>
  <c r="I21" i="69" a="1"/>
  <c r="I21" i="69" s="1"/>
  <c r="H13" i="69"/>
  <c r="F13" i="69" a="1"/>
  <c r="F13" i="69" s="1"/>
  <c r="I13" i="69" a="1"/>
  <c r="I13" i="69" s="1"/>
  <c r="H5" i="69"/>
  <c r="I5" i="69" a="1"/>
  <c r="I5" i="69" s="1"/>
  <c r="F5" i="69" a="1"/>
  <c r="F5" i="69" s="1"/>
  <c r="E115" i="69" a="1"/>
  <c r="E115" i="69" s="1"/>
  <c r="M115" i="69"/>
  <c r="E107" i="69" a="1"/>
  <c r="E107" i="69" s="1"/>
  <c r="M107" i="69"/>
  <c r="E75" i="69" a="1"/>
  <c r="E75" i="69" s="1"/>
  <c r="M75" i="69"/>
  <c r="E67" i="69" a="1"/>
  <c r="E67" i="69" s="1"/>
  <c r="M67" i="69"/>
  <c r="E51" i="69" a="1"/>
  <c r="E51" i="69" s="1"/>
  <c r="M51" i="69"/>
  <c r="E43" i="69" a="1"/>
  <c r="E43" i="69" s="1"/>
  <c r="M43" i="69"/>
  <c r="E11" i="69" a="1"/>
  <c r="E11" i="69" s="1"/>
  <c r="M11" i="69"/>
  <c r="E3" i="69" a="1"/>
  <c r="E3" i="69" s="1"/>
  <c r="M3" i="69"/>
  <c r="M101" i="69"/>
  <c r="M83" i="69"/>
  <c r="M45" i="69"/>
  <c r="M19" i="69"/>
  <c r="F116" i="69" a="1"/>
  <c r="F116" i="69" s="1"/>
  <c r="H116" i="69"/>
  <c r="I116" i="69" a="1"/>
  <c r="I116" i="69" s="1"/>
  <c r="F108" i="69" a="1"/>
  <c r="F108" i="69" s="1"/>
  <c r="H108" i="69"/>
  <c r="I108" i="69" a="1"/>
  <c r="I108" i="69" s="1"/>
  <c r="F100" i="69" a="1"/>
  <c r="F100" i="69" s="1"/>
  <c r="H100" i="69"/>
  <c r="I100" i="69" a="1"/>
  <c r="I100" i="69" s="1"/>
  <c r="F92" i="69" a="1"/>
  <c r="F92" i="69" s="1"/>
  <c r="H92" i="69"/>
  <c r="I92" i="69" a="1"/>
  <c r="I92" i="69" s="1"/>
  <c r="F84" i="69" a="1"/>
  <c r="F84" i="69" s="1"/>
  <c r="H84" i="69"/>
  <c r="I84" i="69" a="1"/>
  <c r="I84" i="69" s="1"/>
  <c r="F76" i="69" a="1"/>
  <c r="F76" i="69" s="1"/>
  <c r="H76" i="69"/>
  <c r="I76" i="69" a="1"/>
  <c r="I76" i="69" s="1"/>
  <c r="F68" i="69" a="1"/>
  <c r="F68" i="69" s="1"/>
  <c r="H68" i="69"/>
  <c r="I68" i="69" a="1"/>
  <c r="I68" i="69" s="1"/>
  <c r="F60" i="69" a="1"/>
  <c r="F60" i="69" s="1"/>
  <c r="H60" i="69"/>
  <c r="I60" i="69" a="1"/>
  <c r="I60" i="69" s="1"/>
  <c r="H52" i="69"/>
  <c r="F52" i="69" a="1"/>
  <c r="F52" i="69" s="1"/>
  <c r="I52" i="69" a="1"/>
  <c r="I52" i="69" s="1"/>
  <c r="H44" i="69"/>
  <c r="F44" i="69" a="1"/>
  <c r="F44" i="69" s="1"/>
  <c r="I44" i="69" a="1"/>
  <c r="I44" i="69" s="1"/>
  <c r="H36" i="69"/>
  <c r="F36" i="69" a="1"/>
  <c r="F36" i="69" s="1"/>
  <c r="I36" i="69" a="1"/>
  <c r="I36" i="69" s="1"/>
  <c r="H28" i="69"/>
  <c r="F28" i="69" a="1"/>
  <c r="F28" i="69" s="1"/>
  <c r="I28" i="69" a="1"/>
  <c r="I28" i="69" s="1"/>
  <c r="H20" i="69"/>
  <c r="F20" i="69" a="1"/>
  <c r="F20" i="69" s="1"/>
  <c r="I20" i="69" a="1"/>
  <c r="I20" i="69" s="1"/>
  <c r="H12" i="69"/>
  <c r="F12" i="69" a="1"/>
  <c r="F12" i="69" s="1"/>
  <c r="I12" i="69" a="1"/>
  <c r="I12" i="69" s="1"/>
  <c r="H4" i="69"/>
  <c r="F4" i="69" a="1"/>
  <c r="F4" i="69" s="1"/>
  <c r="I4" i="69" a="1"/>
  <c r="I4" i="69" s="1"/>
  <c r="M64" i="69"/>
  <c r="M117" i="69"/>
  <c r="M99" i="69"/>
  <c r="M37" i="69"/>
  <c r="F106" i="69" a="1"/>
  <c r="F106" i="69" s="1"/>
  <c r="I106" i="69" a="1"/>
  <c r="I106" i="69" s="1"/>
  <c r="H106" i="69"/>
  <c r="F82" i="69" a="1"/>
  <c r="F82" i="69" s="1"/>
  <c r="H82" i="69"/>
  <c r="I82" i="69" a="1"/>
  <c r="I82" i="69" s="1"/>
  <c r="F50" i="69" a="1"/>
  <c r="F50" i="69" s="1"/>
  <c r="H50" i="69"/>
  <c r="I50" i="69" a="1"/>
  <c r="I50" i="69" s="1"/>
  <c r="F26" i="69" a="1"/>
  <c r="F26" i="69" s="1"/>
  <c r="I26" i="69" a="1"/>
  <c r="I26" i="69" s="1"/>
  <c r="H26" i="69"/>
  <c r="I10" i="69" a="1"/>
  <c r="I10" i="69" s="1"/>
  <c r="F10" i="69" a="1"/>
  <c r="F10" i="69" s="1"/>
  <c r="H10" i="69"/>
  <c r="E112" i="69" a="1"/>
  <c r="E112" i="69" s="1"/>
  <c r="M112" i="69"/>
  <c r="E104" i="69" a="1"/>
  <c r="E104" i="69" s="1"/>
  <c r="M104" i="69"/>
  <c r="E88" i="69" a="1"/>
  <c r="E88" i="69" s="1"/>
  <c r="M88" i="69"/>
  <c r="E80" i="69" a="1"/>
  <c r="E80" i="69" s="1"/>
  <c r="M80" i="69"/>
  <c r="E48" i="69" a="1"/>
  <c r="E48" i="69" s="1"/>
  <c r="M48" i="69"/>
  <c r="E40" i="69" a="1"/>
  <c r="E40" i="69" s="1"/>
  <c r="M40" i="69"/>
  <c r="E32" i="69" a="1"/>
  <c r="E32" i="69" s="1"/>
  <c r="M32" i="69"/>
  <c r="E24" i="69" a="1"/>
  <c r="E24" i="69" s="1"/>
  <c r="M24" i="69"/>
  <c r="E16" i="69" a="1"/>
  <c r="E16" i="69" s="1"/>
  <c r="M16" i="69"/>
  <c r="M96" i="69"/>
  <c r="M77" i="69"/>
  <c r="M59" i="69"/>
  <c r="F98" i="69" a="1"/>
  <c r="F98" i="69" s="1"/>
  <c r="I98" i="69" a="1"/>
  <c r="I98" i="69" s="1"/>
  <c r="H98" i="69"/>
  <c r="F74" i="69" a="1"/>
  <c r="F74" i="69" s="1"/>
  <c r="I74" i="69" a="1"/>
  <c r="I74" i="69" s="1"/>
  <c r="H74" i="69"/>
  <c r="I42" i="69" a="1"/>
  <c r="I42" i="69" s="1"/>
  <c r="H42" i="69"/>
  <c r="F113" i="69" a="1"/>
  <c r="F113" i="69" s="1"/>
  <c r="H113" i="69"/>
  <c r="I113" i="69" a="1"/>
  <c r="I113" i="69" s="1"/>
  <c r="F105" i="69" a="1"/>
  <c r="F105" i="69" s="1"/>
  <c r="H105" i="69"/>
  <c r="I105" i="69" a="1"/>
  <c r="I105" i="69" s="1"/>
  <c r="F97" i="69" a="1"/>
  <c r="F97" i="69" s="1"/>
  <c r="H97" i="69"/>
  <c r="I97" i="69" a="1"/>
  <c r="I97" i="69" s="1"/>
  <c r="F89" i="69" a="1"/>
  <c r="F89" i="69" s="1"/>
  <c r="H89" i="69"/>
  <c r="I89" i="69" a="1"/>
  <c r="I89" i="69" s="1"/>
  <c r="F81" i="69" a="1"/>
  <c r="F81" i="69" s="1"/>
  <c r="I81" i="69" a="1"/>
  <c r="I81" i="69" s="1"/>
  <c r="H81" i="69"/>
  <c r="F73" i="69" a="1"/>
  <c r="F73" i="69" s="1"/>
  <c r="H73" i="69"/>
  <c r="I73" i="69" a="1"/>
  <c r="I73" i="69" s="1"/>
  <c r="F65" i="69" a="1"/>
  <c r="F65" i="69" s="1"/>
  <c r="H65" i="69"/>
  <c r="I65" i="69" a="1"/>
  <c r="I65" i="69" s="1"/>
  <c r="F57" i="69" a="1"/>
  <c r="F57" i="69" s="1"/>
  <c r="H57" i="69"/>
  <c r="I57" i="69" a="1"/>
  <c r="I57" i="69" s="1"/>
  <c r="F49" i="69" a="1"/>
  <c r="F49" i="69" s="1"/>
  <c r="H49" i="69"/>
  <c r="I49" i="69" a="1"/>
  <c r="I49" i="69" s="1"/>
  <c r="H41" i="69"/>
  <c r="F41" i="69" a="1"/>
  <c r="F41" i="69" s="1"/>
  <c r="I41" i="69" a="1"/>
  <c r="I41" i="69" s="1"/>
  <c r="F33" i="69" a="1"/>
  <c r="F33" i="69" s="1"/>
  <c r="H33" i="69"/>
  <c r="I33" i="69" a="1"/>
  <c r="I33" i="69" s="1"/>
  <c r="F25" i="69" a="1"/>
  <c r="F25" i="69" s="1"/>
  <c r="H25" i="69"/>
  <c r="I25" i="69" a="1"/>
  <c r="I25" i="69" s="1"/>
  <c r="F17" i="69" a="1"/>
  <c r="F17" i="69" s="1"/>
  <c r="H17" i="69"/>
  <c r="I17" i="69" a="1"/>
  <c r="I17" i="69" s="1"/>
  <c r="H9" i="69"/>
  <c r="F9" i="69" a="1"/>
  <c r="F9" i="69" s="1"/>
  <c r="I9" i="69" a="1"/>
  <c r="I9" i="69" s="1"/>
  <c r="M56" i="69"/>
  <c r="M35" i="69"/>
  <c r="B4" i="60"/>
  <c r="B10" i="60"/>
  <c r="B249" i="60"/>
  <c r="B24" i="60"/>
  <c r="B16" i="60"/>
  <c r="B8" i="60"/>
  <c r="B18" i="60"/>
  <c r="T236" i="60"/>
  <c r="T41" i="60"/>
  <c r="T233" i="60"/>
  <c r="T87" i="60"/>
  <c r="T37" i="60"/>
  <c r="T220" i="60"/>
  <c r="T172" i="60"/>
  <c r="T224" i="60"/>
  <c r="T28" i="60"/>
  <c r="T211" i="60"/>
  <c r="T163" i="60"/>
  <c r="T160" i="60"/>
  <c r="T151" i="60"/>
  <c r="T101" i="60"/>
  <c r="T53" i="60"/>
  <c r="T245" i="60"/>
  <c r="T147" i="60"/>
  <c r="T99" i="60"/>
  <c r="T247" i="60"/>
  <c r="T197" i="60"/>
  <c r="T149" i="60"/>
  <c r="T137" i="60"/>
  <c r="T124" i="60"/>
  <c r="T76" i="60"/>
  <c r="T64" i="60"/>
  <c r="T51" i="60"/>
  <c r="T243" i="60"/>
  <c r="T195" i="60"/>
  <c r="T183" i="60"/>
  <c r="T133" i="60"/>
  <c r="T85" i="60"/>
  <c r="T73" i="60"/>
  <c r="T60" i="60"/>
  <c r="T252" i="60"/>
  <c r="T229" i="60"/>
  <c r="T181" i="60"/>
  <c r="T169" i="60"/>
  <c r="T156" i="60"/>
  <c r="T108" i="60"/>
  <c r="T96" i="60"/>
  <c r="T83" i="60"/>
  <c r="T35" i="60"/>
  <c r="T204" i="60"/>
  <c r="T192" i="60"/>
  <c r="T179" i="60"/>
  <c r="T131" i="60"/>
  <c r="T119" i="60"/>
  <c r="T69" i="60"/>
  <c r="T227" i="60"/>
  <c r="T215" i="60"/>
  <c r="T165" i="60"/>
  <c r="T117" i="60"/>
  <c r="T105" i="60"/>
  <c r="T92" i="60"/>
  <c r="T44" i="60"/>
  <c r="T32" i="60"/>
  <c r="T213" i="60"/>
  <c r="T201" i="60"/>
  <c r="T188" i="60"/>
  <c r="T140" i="60"/>
  <c r="T128" i="60"/>
  <c r="T115" i="60"/>
  <c r="T67" i="60"/>
  <c r="T55" i="60"/>
  <c r="T251" i="60"/>
  <c r="T237" i="60"/>
  <c r="T228" i="60"/>
  <c r="T219" i="60"/>
  <c r="T205" i="60"/>
  <c r="T196" i="60"/>
  <c r="T187" i="60"/>
  <c r="T173" i="60"/>
  <c r="T164" i="60"/>
  <c r="T155" i="60"/>
  <c r="T141" i="60"/>
  <c r="T132" i="60"/>
  <c r="T123" i="60"/>
  <c r="T109" i="60"/>
  <c r="T100" i="60"/>
  <c r="T91" i="60"/>
  <c r="T77" i="60"/>
  <c r="T68" i="60"/>
  <c r="T59" i="60"/>
  <c r="T45" i="60"/>
  <c r="T36" i="60"/>
  <c r="T27" i="60"/>
  <c r="T241" i="60"/>
  <c r="T232" i="60"/>
  <c r="T223" i="60"/>
  <c r="T209" i="60"/>
  <c r="T200" i="60"/>
  <c r="T191" i="60"/>
  <c r="T177" i="60"/>
  <c r="T168" i="60"/>
  <c r="T159" i="60"/>
  <c r="T145" i="60"/>
  <c r="T136" i="60"/>
  <c r="T127" i="60"/>
  <c r="T113" i="60"/>
  <c r="T104" i="60"/>
  <c r="T95" i="60"/>
  <c r="T81" i="60"/>
  <c r="T72" i="60"/>
  <c r="T63" i="60"/>
  <c r="T49" i="60"/>
  <c r="T40" i="60"/>
  <c r="T31" i="60"/>
  <c r="T249" i="60"/>
  <c r="T240" i="60"/>
  <c r="T231" i="60"/>
  <c r="T217" i="60"/>
  <c r="T208" i="60"/>
  <c r="T199" i="60"/>
  <c r="T185" i="60"/>
  <c r="T176" i="60"/>
  <c r="T167" i="60"/>
  <c r="T153" i="60"/>
  <c r="T144" i="60"/>
  <c r="T135" i="60"/>
  <c r="T121" i="60"/>
  <c r="T112" i="60"/>
  <c r="T103" i="60"/>
  <c r="T89" i="60"/>
  <c r="T80" i="60"/>
  <c r="T71" i="60"/>
  <c r="T57" i="60"/>
  <c r="T48" i="60"/>
  <c r="T39" i="60"/>
  <c r="T244" i="60"/>
  <c r="T235" i="60"/>
  <c r="T221" i="60"/>
  <c r="T212" i="60"/>
  <c r="T203" i="60"/>
  <c r="T189" i="60"/>
  <c r="T180" i="60"/>
  <c r="T171" i="60"/>
  <c r="T157" i="60"/>
  <c r="T148" i="60"/>
  <c r="T139" i="60"/>
  <c r="T125" i="60"/>
  <c r="T116" i="60"/>
  <c r="T107" i="60"/>
  <c r="T93" i="60"/>
  <c r="T84" i="60"/>
  <c r="T75" i="60"/>
  <c r="T61" i="60"/>
  <c r="T52" i="60"/>
  <c r="T43" i="60"/>
  <c r="T29" i="60"/>
  <c r="T248" i="60"/>
  <c r="T239" i="60"/>
  <c r="T225" i="60"/>
  <c r="T216" i="60"/>
  <c r="T207" i="60"/>
  <c r="T193" i="60"/>
  <c r="T184" i="60"/>
  <c r="T175" i="60"/>
  <c r="T161" i="60"/>
  <c r="T152" i="60"/>
  <c r="T143" i="60"/>
  <c r="T129" i="60"/>
  <c r="T120" i="60"/>
  <c r="T111" i="60"/>
  <c r="T97" i="60"/>
  <c r="T88" i="60"/>
  <c r="T79" i="60"/>
  <c r="T65" i="60"/>
  <c r="T56" i="60"/>
  <c r="T47" i="60"/>
  <c r="T33" i="60"/>
  <c r="T250" i="60"/>
  <c r="T246" i="60"/>
  <c r="T242" i="60"/>
  <c r="T238" i="60"/>
  <c r="T234" i="60"/>
  <c r="T230" i="60"/>
  <c r="T226" i="60"/>
  <c r="T222" i="60"/>
  <c r="T218" i="60"/>
  <c r="T214" i="60"/>
  <c r="T210" i="60"/>
  <c r="T206" i="60"/>
  <c r="T202" i="60"/>
  <c r="T198" i="60"/>
  <c r="T194" i="60"/>
  <c r="T190" i="60"/>
  <c r="T186" i="60"/>
  <c r="T182" i="60"/>
  <c r="T178" i="60"/>
  <c r="T174" i="60"/>
  <c r="T170" i="60"/>
  <c r="T166" i="60"/>
  <c r="T162" i="60"/>
  <c r="T158" i="60"/>
  <c r="T154" i="60"/>
  <c r="T150" i="60"/>
  <c r="T146" i="60"/>
  <c r="T142" i="60"/>
  <c r="T138" i="60"/>
  <c r="T134" i="60"/>
  <c r="T130" i="60"/>
  <c r="T126" i="60"/>
  <c r="T122" i="60"/>
  <c r="T118" i="60"/>
  <c r="T114" i="60"/>
  <c r="T110" i="60"/>
  <c r="T106" i="60"/>
  <c r="T102" i="60"/>
  <c r="T98" i="60"/>
  <c r="T94" i="60"/>
  <c r="T90" i="60"/>
  <c r="T86" i="60"/>
  <c r="T82" i="60"/>
  <c r="T78" i="60"/>
  <c r="T74" i="60"/>
  <c r="T70" i="60"/>
  <c r="T66" i="60"/>
  <c r="T62" i="60"/>
  <c r="T58" i="60"/>
  <c r="T54" i="60"/>
  <c r="T50" i="60"/>
  <c r="T46" i="60"/>
  <c r="T42" i="60"/>
  <c r="T38" i="60"/>
  <c r="T34" i="60"/>
  <c r="T30" i="60"/>
  <c r="T26" i="60"/>
  <c r="E241" i="60" a="1"/>
  <c r="E241" i="60" s="1"/>
  <c r="M241" i="60"/>
  <c r="E217" i="60" a="1"/>
  <c r="E217" i="60" s="1"/>
  <c r="M217" i="60"/>
  <c r="E201" i="60" a="1"/>
  <c r="E201" i="60" s="1"/>
  <c r="M201" i="60"/>
  <c r="E177" i="60" a="1"/>
  <c r="E177" i="60" s="1"/>
  <c r="M177" i="60"/>
  <c r="E161" i="60" a="1"/>
  <c r="E161" i="60" s="1"/>
  <c r="M161" i="60"/>
  <c r="E153" i="60" a="1"/>
  <c r="E153" i="60" s="1"/>
  <c r="M153" i="60"/>
  <c r="E113" i="60" a="1"/>
  <c r="E113" i="60" s="1"/>
  <c r="M113" i="60"/>
  <c r="E97" i="60" a="1"/>
  <c r="E97" i="60" s="1"/>
  <c r="M97" i="60"/>
  <c r="E89" i="60" a="1"/>
  <c r="E89" i="60" s="1"/>
  <c r="M89" i="60"/>
  <c r="E49" i="60" a="1"/>
  <c r="E49" i="60" s="1"/>
  <c r="M49" i="60"/>
  <c r="E33" i="60" a="1"/>
  <c r="E33" i="60" s="1"/>
  <c r="M33" i="60"/>
  <c r="E248" i="60" a="1"/>
  <c r="E248" i="60" s="1"/>
  <c r="M248" i="60"/>
  <c r="E232" i="60" a="1"/>
  <c r="E232" i="60" s="1"/>
  <c r="M232" i="60"/>
  <c r="E224" i="60" a="1"/>
  <c r="E224" i="60" s="1"/>
  <c r="M224" i="60"/>
  <c r="E216" i="60" a="1"/>
  <c r="E216" i="60" s="1"/>
  <c r="M216" i="60"/>
  <c r="E208" i="60" a="1"/>
  <c r="E208" i="60" s="1"/>
  <c r="M208" i="60"/>
  <c r="E200" i="60" a="1"/>
  <c r="E200" i="60" s="1"/>
  <c r="M200" i="60"/>
  <c r="E192" i="60" a="1"/>
  <c r="E192" i="60" s="1"/>
  <c r="M192" i="60"/>
  <c r="E184" i="60" a="1"/>
  <c r="E184" i="60" s="1"/>
  <c r="M184" i="60"/>
  <c r="E168" i="60" a="1"/>
  <c r="E168" i="60" s="1"/>
  <c r="M168" i="60"/>
  <c r="E160" i="60" a="1"/>
  <c r="E160" i="60" s="1"/>
  <c r="M160" i="60"/>
  <c r="E152" i="60" a="1"/>
  <c r="E152" i="60" s="1"/>
  <c r="M152" i="60"/>
  <c r="E144" i="60" a="1"/>
  <c r="E144" i="60" s="1"/>
  <c r="M144" i="60"/>
  <c r="E136" i="60" a="1"/>
  <c r="E136" i="60" s="1"/>
  <c r="M136" i="60"/>
  <c r="E128" i="60" a="1"/>
  <c r="E128" i="60" s="1"/>
  <c r="M128" i="60"/>
  <c r="E120" i="60" a="1"/>
  <c r="E120" i="60" s="1"/>
  <c r="M120" i="60"/>
  <c r="E104" i="60" a="1"/>
  <c r="E104" i="60" s="1"/>
  <c r="M104" i="60"/>
  <c r="E96" i="60" a="1"/>
  <c r="E96" i="60" s="1"/>
  <c r="M96" i="60"/>
  <c r="E88" i="60" a="1"/>
  <c r="E88" i="60" s="1"/>
  <c r="M88" i="60"/>
  <c r="E80" i="60" a="1"/>
  <c r="E80" i="60" s="1"/>
  <c r="M80" i="60"/>
  <c r="E72" i="60" a="1"/>
  <c r="E72" i="60" s="1"/>
  <c r="M72" i="60"/>
  <c r="E64" i="60" a="1"/>
  <c r="E64" i="60" s="1"/>
  <c r="M64" i="60"/>
  <c r="E56" i="60" a="1"/>
  <c r="E56" i="60" s="1"/>
  <c r="M56" i="60"/>
  <c r="E40" i="60" a="1"/>
  <c r="E40" i="60" s="1"/>
  <c r="M40" i="60"/>
  <c r="E32" i="60" a="1"/>
  <c r="E32" i="60" s="1"/>
  <c r="M32" i="60"/>
  <c r="E225" i="60" a="1"/>
  <c r="E225" i="60" s="1"/>
  <c r="M225" i="60"/>
  <c r="E247" i="60" a="1"/>
  <c r="E247" i="60" s="1"/>
  <c r="M247" i="60"/>
  <c r="E223" i="60" a="1"/>
  <c r="E223" i="60" s="1"/>
  <c r="M223" i="60"/>
  <c r="E207" i="60" a="1"/>
  <c r="E207" i="60" s="1"/>
  <c r="M207" i="60"/>
  <c r="E199" i="60" a="1"/>
  <c r="E199" i="60" s="1"/>
  <c r="M199" i="60"/>
  <c r="E183" i="60" a="1"/>
  <c r="E183" i="60" s="1"/>
  <c r="M183" i="60"/>
  <c r="E159" i="60" a="1"/>
  <c r="E159" i="60" s="1"/>
  <c r="M159" i="60"/>
  <c r="E143" i="60" a="1"/>
  <c r="E143" i="60" s="1"/>
  <c r="M143" i="60"/>
  <c r="E135" i="60" a="1"/>
  <c r="E135" i="60" s="1"/>
  <c r="M135" i="60"/>
  <c r="E95" i="60" a="1"/>
  <c r="E95" i="60" s="1"/>
  <c r="M95" i="60"/>
  <c r="E79" i="60" a="1"/>
  <c r="E79" i="60" s="1"/>
  <c r="M79" i="60"/>
  <c r="E71" i="60" a="1"/>
  <c r="E71" i="60" s="1"/>
  <c r="M71" i="60"/>
  <c r="E31" i="60" a="1"/>
  <c r="E31" i="60" s="1"/>
  <c r="M31" i="60"/>
  <c r="E20" i="60" a="1"/>
  <c r="E20" i="60" s="1"/>
  <c r="M20" i="60"/>
  <c r="E12" i="60" a="1"/>
  <c r="E12" i="60" s="1"/>
  <c r="M12" i="60"/>
  <c r="E4" i="60" a="1"/>
  <c r="E4" i="60" s="1"/>
  <c r="M4" i="60"/>
  <c r="E237" i="60" a="1"/>
  <c r="E237" i="60" s="1"/>
  <c r="M237" i="60"/>
  <c r="E229" i="60" a="1"/>
  <c r="E229" i="60" s="1"/>
  <c r="M229" i="60"/>
  <c r="E213" i="60" a="1"/>
  <c r="E213" i="60" s="1"/>
  <c r="M213" i="60"/>
  <c r="E197" i="60" a="1"/>
  <c r="E197" i="60" s="1"/>
  <c r="M197" i="60"/>
  <c r="E189" i="60" a="1"/>
  <c r="E189" i="60" s="1"/>
  <c r="M189" i="60"/>
  <c r="E173" i="60" a="1"/>
  <c r="E173" i="60" s="1"/>
  <c r="M173" i="60"/>
  <c r="E165" i="60" a="1"/>
  <c r="E165" i="60" s="1"/>
  <c r="M165" i="60"/>
  <c r="E149" i="60" a="1"/>
  <c r="E149" i="60" s="1"/>
  <c r="M149" i="60"/>
  <c r="E133" i="60" a="1"/>
  <c r="E133" i="60" s="1"/>
  <c r="M133" i="60"/>
  <c r="E125" i="60" a="1"/>
  <c r="E125" i="60" s="1"/>
  <c r="M125" i="60"/>
  <c r="E109" i="60" a="1"/>
  <c r="E109" i="60" s="1"/>
  <c r="M109" i="60"/>
  <c r="E101" i="60" a="1"/>
  <c r="E101" i="60" s="1"/>
  <c r="M101" i="60"/>
  <c r="E85" i="60" a="1"/>
  <c r="E85" i="60" s="1"/>
  <c r="M85" i="60"/>
  <c r="E69" i="60" a="1"/>
  <c r="E69" i="60" s="1"/>
  <c r="M69" i="60"/>
  <c r="E61" i="60" a="1"/>
  <c r="E61" i="60" s="1"/>
  <c r="M61" i="60"/>
  <c r="E45" i="60" a="1"/>
  <c r="E45" i="60" s="1"/>
  <c r="M45" i="60"/>
  <c r="E37" i="60" a="1"/>
  <c r="E37" i="60" s="1"/>
  <c r="M37" i="60"/>
  <c r="E252" i="60" a="1"/>
  <c r="E252" i="60" s="1"/>
  <c r="M252" i="60"/>
  <c r="E244" i="60" a="1"/>
  <c r="E244" i="60" s="1"/>
  <c r="M244" i="60"/>
  <c r="E228" i="60" a="1"/>
  <c r="E228" i="60" s="1"/>
  <c r="M228" i="60"/>
  <c r="E204" i="60" a="1"/>
  <c r="E204" i="60" s="1"/>
  <c r="M204" i="60"/>
  <c r="E188" i="60" a="1"/>
  <c r="E188" i="60" s="1"/>
  <c r="M188" i="60"/>
  <c r="E180" i="60" a="1"/>
  <c r="E180" i="60" s="1"/>
  <c r="M180" i="60"/>
  <c r="E164" i="60" a="1"/>
  <c r="E164" i="60" s="1"/>
  <c r="M164" i="60"/>
  <c r="E140" i="60" a="1"/>
  <c r="E140" i="60" s="1"/>
  <c r="M140" i="60"/>
  <c r="E124" i="60" a="1"/>
  <c r="E124" i="60" s="1"/>
  <c r="M124" i="60"/>
  <c r="E116" i="60" a="1"/>
  <c r="E116" i="60" s="1"/>
  <c r="M116" i="60"/>
  <c r="E100" i="60" a="1"/>
  <c r="E100" i="60" s="1"/>
  <c r="M100" i="60"/>
  <c r="E76" i="60" a="1"/>
  <c r="E76" i="60" s="1"/>
  <c r="M76" i="60"/>
  <c r="E60" i="60" a="1"/>
  <c r="E60" i="60" s="1"/>
  <c r="M60" i="60"/>
  <c r="E52" i="60" a="1"/>
  <c r="E52" i="60" s="1"/>
  <c r="M52" i="60"/>
  <c r="E36" i="60" a="1"/>
  <c r="E36" i="60" s="1"/>
  <c r="M36" i="60"/>
  <c r="E250" i="60" a="1"/>
  <c r="E250" i="60" s="1"/>
  <c r="M250" i="60"/>
  <c r="E234" i="60" a="1"/>
  <c r="E234" i="60" s="1"/>
  <c r="M234" i="60"/>
  <c r="E226" i="60" a="1"/>
  <c r="E226" i="60" s="1"/>
  <c r="M226" i="60"/>
  <c r="E210" i="60" a="1"/>
  <c r="E210" i="60" s="1"/>
  <c r="M210" i="60"/>
  <c r="E186" i="60" a="1"/>
  <c r="E186" i="60" s="1"/>
  <c r="M186" i="60"/>
  <c r="E170" i="60" a="1"/>
  <c r="E170" i="60" s="1"/>
  <c r="M170" i="60"/>
  <c r="E162" i="60" a="1"/>
  <c r="E162" i="60" s="1"/>
  <c r="M162" i="60"/>
  <c r="E122" i="60" a="1"/>
  <c r="E122" i="60" s="1"/>
  <c r="M122" i="60"/>
  <c r="E106" i="60" a="1"/>
  <c r="E106" i="60" s="1"/>
  <c r="M106" i="60"/>
  <c r="E98" i="60" a="1"/>
  <c r="E98" i="60" s="1"/>
  <c r="M98" i="60"/>
  <c r="E58" i="60" a="1"/>
  <c r="E58" i="60" s="1"/>
  <c r="M58" i="60"/>
  <c r="E42" i="60" a="1"/>
  <c r="E42" i="60" s="1"/>
  <c r="M42" i="60"/>
  <c r="E34" i="60" a="1"/>
  <c r="E34" i="60" s="1"/>
  <c r="M34" i="60"/>
  <c r="F245" i="60" a="1"/>
  <c r="F245" i="60" s="1"/>
  <c r="H245" i="60"/>
  <c r="I245" i="60" a="1"/>
  <c r="I245" i="60" s="1"/>
  <c r="F237" i="60" a="1"/>
  <c r="F237" i="60" s="1"/>
  <c r="H237" i="60"/>
  <c r="I237" i="60" a="1"/>
  <c r="I237" i="60" s="1"/>
  <c r="F229" i="60" a="1"/>
  <c r="F229" i="60" s="1"/>
  <c r="H229" i="60"/>
  <c r="I229" i="60" a="1"/>
  <c r="I229" i="60" s="1"/>
  <c r="F221" i="60" a="1"/>
  <c r="F221" i="60" s="1"/>
  <c r="H221" i="60"/>
  <c r="I221" i="60" a="1"/>
  <c r="I221" i="60" s="1"/>
  <c r="F213" i="60" a="1"/>
  <c r="F213" i="60" s="1"/>
  <c r="H213" i="60"/>
  <c r="I213" i="60" a="1"/>
  <c r="I213" i="60" s="1"/>
  <c r="F205" i="60" a="1"/>
  <c r="F205" i="60" s="1"/>
  <c r="I205" i="60" a="1"/>
  <c r="I205" i="60" s="1"/>
  <c r="H205" i="60"/>
  <c r="H197" i="60"/>
  <c r="F197" i="60" a="1"/>
  <c r="F197" i="60" s="1"/>
  <c r="I197" i="60" a="1"/>
  <c r="I197" i="60" s="1"/>
  <c r="F189" i="60" a="1"/>
  <c r="F189" i="60" s="1"/>
  <c r="I189" i="60" a="1"/>
  <c r="I189" i="60" s="1"/>
  <c r="H189" i="60"/>
  <c r="F181" i="60" a="1"/>
  <c r="F181" i="60" s="1"/>
  <c r="H181" i="60"/>
  <c r="I181" i="60" a="1"/>
  <c r="I181" i="60" s="1"/>
  <c r="F173" i="60" a="1"/>
  <c r="F173" i="60" s="1"/>
  <c r="H173" i="60"/>
  <c r="I173" i="60" a="1"/>
  <c r="I173" i="60" s="1"/>
  <c r="F165" i="60" a="1"/>
  <c r="F165" i="60" s="1"/>
  <c r="H165" i="60"/>
  <c r="I165" i="60" a="1"/>
  <c r="I165" i="60" s="1"/>
  <c r="F157" i="60" a="1"/>
  <c r="F157" i="60" s="1"/>
  <c r="I157" i="60" a="1"/>
  <c r="I157" i="60" s="1"/>
  <c r="H157" i="60"/>
  <c r="F149" i="60" a="1"/>
  <c r="F149" i="60" s="1"/>
  <c r="H149" i="60"/>
  <c r="I149" i="60" a="1"/>
  <c r="I149" i="60" s="1"/>
  <c r="F141" i="60" a="1"/>
  <c r="F141" i="60" s="1"/>
  <c r="H141" i="60"/>
  <c r="I141" i="60" a="1"/>
  <c r="I141" i="60" s="1"/>
  <c r="F133" i="60" a="1"/>
  <c r="F133" i="60" s="1"/>
  <c r="H133" i="60"/>
  <c r="I133" i="60" a="1"/>
  <c r="I133" i="60" s="1"/>
  <c r="F125" i="60" a="1"/>
  <c r="F125" i="60" s="1"/>
  <c r="H125" i="60"/>
  <c r="I125" i="60" a="1"/>
  <c r="I125" i="60" s="1"/>
  <c r="F117" i="60" a="1"/>
  <c r="F117" i="60" s="1"/>
  <c r="H117" i="60"/>
  <c r="I117" i="60" a="1"/>
  <c r="I117" i="60" s="1"/>
  <c r="F109" i="60" a="1"/>
  <c r="F109" i="60" s="1"/>
  <c r="H109" i="60"/>
  <c r="I109" i="60" a="1"/>
  <c r="I109" i="60" s="1"/>
  <c r="H101" i="60"/>
  <c r="F101" i="60" a="1"/>
  <c r="F101" i="60" s="1"/>
  <c r="I101" i="60" a="1"/>
  <c r="I101" i="60" s="1"/>
  <c r="F93" i="60" a="1"/>
  <c r="F93" i="60" s="1"/>
  <c r="H93" i="60"/>
  <c r="I93" i="60" a="1"/>
  <c r="I93" i="60" s="1"/>
  <c r="F85" i="60" a="1"/>
  <c r="F85" i="60" s="1"/>
  <c r="H85" i="60"/>
  <c r="I85" i="60" a="1"/>
  <c r="I85" i="60" s="1"/>
  <c r="F77" i="60" a="1"/>
  <c r="F77" i="60" s="1"/>
  <c r="H77" i="60"/>
  <c r="I77" i="60" a="1"/>
  <c r="I77" i="60" s="1"/>
  <c r="F69" i="60" a="1"/>
  <c r="F69" i="60" s="1"/>
  <c r="H69" i="60"/>
  <c r="I69" i="60" a="1"/>
  <c r="I69" i="60" s="1"/>
  <c r="F61" i="60" a="1"/>
  <c r="F61" i="60" s="1"/>
  <c r="H61" i="60"/>
  <c r="I61" i="60" a="1"/>
  <c r="I61" i="60" s="1"/>
  <c r="F53" i="60" a="1"/>
  <c r="F53" i="60" s="1"/>
  <c r="H53" i="60"/>
  <c r="I53" i="60" a="1"/>
  <c r="I53" i="60" s="1"/>
  <c r="H45" i="60"/>
  <c r="F45" i="60" a="1"/>
  <c r="F45" i="60" s="1"/>
  <c r="I45" i="60" a="1"/>
  <c r="I45" i="60" s="1"/>
  <c r="H37" i="60"/>
  <c r="F37" i="60" a="1"/>
  <c r="F37" i="60" s="1"/>
  <c r="I37" i="60" a="1"/>
  <c r="I37" i="60" s="1"/>
  <c r="F29" i="60" a="1"/>
  <c r="F29" i="60" s="1"/>
  <c r="H29" i="60"/>
  <c r="I29" i="60" a="1"/>
  <c r="I29" i="60" s="1"/>
  <c r="E251" i="60" a="1"/>
  <c r="E251" i="60" s="1"/>
  <c r="M251" i="60"/>
  <c r="E242" i="60" a="1"/>
  <c r="E242" i="60" s="1"/>
  <c r="M242" i="60"/>
  <c r="E233" i="60" a="1"/>
  <c r="E233" i="60" s="1"/>
  <c r="M233" i="60"/>
  <c r="E215" i="60" a="1"/>
  <c r="E215" i="60" s="1"/>
  <c r="M215" i="60"/>
  <c r="E205" i="60" a="1"/>
  <c r="E205" i="60" s="1"/>
  <c r="M205" i="60"/>
  <c r="E196" i="60" a="1"/>
  <c r="E196" i="60" s="1"/>
  <c r="M196" i="60"/>
  <c r="E187" i="60" a="1"/>
  <c r="E187" i="60" s="1"/>
  <c r="M187" i="60"/>
  <c r="E178" i="60" a="1"/>
  <c r="E178" i="60" s="1"/>
  <c r="M178" i="60"/>
  <c r="E169" i="60" a="1"/>
  <c r="E169" i="60" s="1"/>
  <c r="M169" i="60"/>
  <c r="E151" i="60" a="1"/>
  <c r="E151" i="60" s="1"/>
  <c r="M151" i="60"/>
  <c r="E141" i="60" a="1"/>
  <c r="E141" i="60" s="1"/>
  <c r="M141" i="60"/>
  <c r="E132" i="60" a="1"/>
  <c r="E132" i="60" s="1"/>
  <c r="M132" i="60"/>
  <c r="E123" i="60" a="1"/>
  <c r="E123" i="60" s="1"/>
  <c r="M123" i="60"/>
  <c r="E114" i="60" a="1"/>
  <c r="E114" i="60" s="1"/>
  <c r="M114" i="60"/>
  <c r="E105" i="60" a="1"/>
  <c r="E105" i="60" s="1"/>
  <c r="M105" i="60"/>
  <c r="E87" i="60" a="1"/>
  <c r="E87" i="60" s="1"/>
  <c r="M87" i="60"/>
  <c r="E77" i="60" a="1"/>
  <c r="E77" i="60" s="1"/>
  <c r="M77" i="60"/>
  <c r="E68" i="60" a="1"/>
  <c r="E68" i="60" s="1"/>
  <c r="M68" i="60"/>
  <c r="E59" i="60" a="1"/>
  <c r="E59" i="60" s="1"/>
  <c r="M59" i="60"/>
  <c r="E50" i="60" a="1"/>
  <c r="E50" i="60" s="1"/>
  <c r="M50" i="60"/>
  <c r="E41" i="60" a="1"/>
  <c r="E41" i="60" s="1"/>
  <c r="M41" i="60"/>
  <c r="B241" i="60"/>
  <c r="B233" i="60"/>
  <c r="B225" i="60"/>
  <c r="B217" i="60"/>
  <c r="H6" i="60"/>
  <c r="F6" i="60" a="1"/>
  <c r="F6" i="60" s="1"/>
  <c r="H20" i="60"/>
  <c r="F252" i="60" a="1"/>
  <c r="F252" i="60" s="1"/>
  <c r="H252" i="60"/>
  <c r="I252" i="60" a="1"/>
  <c r="I252" i="60" s="1"/>
  <c r="H244" i="60"/>
  <c r="I244" i="60" a="1"/>
  <c r="I244" i="60" s="1"/>
  <c r="F244" i="60" a="1"/>
  <c r="F244" i="60" s="1"/>
  <c r="F236" i="60" a="1"/>
  <c r="F236" i="60" s="1"/>
  <c r="H236" i="60"/>
  <c r="I236" i="60" a="1"/>
  <c r="I236" i="60" s="1"/>
  <c r="F228" i="60" a="1"/>
  <c r="F228" i="60" s="1"/>
  <c r="H228" i="60"/>
  <c r="I228" i="60" a="1"/>
  <c r="I228" i="60" s="1"/>
  <c r="F220" i="60" a="1"/>
  <c r="F220" i="60" s="1"/>
  <c r="H220" i="60"/>
  <c r="I220" i="60" a="1"/>
  <c r="I220" i="60" s="1"/>
  <c r="F212" i="60" a="1"/>
  <c r="F212" i="60" s="1"/>
  <c r="H212" i="60"/>
  <c r="I212" i="60" a="1"/>
  <c r="I212" i="60" s="1"/>
  <c r="F204" i="60" a="1"/>
  <c r="F204" i="60" s="1"/>
  <c r="H204" i="60"/>
  <c r="I204" i="60" a="1"/>
  <c r="I204" i="60" s="1"/>
  <c r="F196" i="60" a="1"/>
  <c r="F196" i="60" s="1"/>
  <c r="H196" i="60"/>
  <c r="I196" i="60" a="1"/>
  <c r="I196" i="60" s="1"/>
  <c r="F188" i="60" a="1"/>
  <c r="F188" i="60" s="1"/>
  <c r="H188" i="60"/>
  <c r="I188" i="60" a="1"/>
  <c r="I188" i="60" s="1"/>
  <c r="H180" i="60"/>
  <c r="I180" i="60" a="1"/>
  <c r="I180" i="60" s="1"/>
  <c r="F180" i="60" a="1"/>
  <c r="F180" i="60" s="1"/>
  <c r="F172" i="60" a="1"/>
  <c r="F172" i="60" s="1"/>
  <c r="H172" i="60"/>
  <c r="I172" i="60" a="1"/>
  <c r="I172" i="60" s="1"/>
  <c r="F164" i="60" a="1"/>
  <c r="F164" i="60" s="1"/>
  <c r="I164" i="60" a="1"/>
  <c r="I164" i="60" s="1"/>
  <c r="H164" i="60"/>
  <c r="F156" i="60" a="1"/>
  <c r="F156" i="60" s="1"/>
  <c r="I156" i="60" a="1"/>
  <c r="I156" i="60" s="1"/>
  <c r="H156" i="60"/>
  <c r="H148" i="60"/>
  <c r="F148" i="60" a="1"/>
  <c r="F148" i="60" s="1"/>
  <c r="I148" i="60" a="1"/>
  <c r="I148" i="60" s="1"/>
  <c r="H140" i="60"/>
  <c r="I140" i="60" a="1"/>
  <c r="I140" i="60" s="1"/>
  <c r="F140" i="60" a="1"/>
  <c r="F140" i="60" s="1"/>
  <c r="H132" i="60"/>
  <c r="F132" i="60" a="1"/>
  <c r="F132" i="60" s="1"/>
  <c r="I132" i="60" a="1"/>
  <c r="I132" i="60" s="1"/>
  <c r="F124" i="60" a="1"/>
  <c r="F124" i="60" s="1"/>
  <c r="H124" i="60"/>
  <c r="I124" i="60" a="1"/>
  <c r="I124" i="60" s="1"/>
  <c r="F116" i="60" a="1"/>
  <c r="F116" i="60" s="1"/>
  <c r="H116" i="60"/>
  <c r="I116" i="60" a="1"/>
  <c r="I116" i="60" s="1"/>
  <c r="F108" i="60" a="1"/>
  <c r="F108" i="60" s="1"/>
  <c r="H108" i="60"/>
  <c r="I108" i="60" a="1"/>
  <c r="I108" i="60" s="1"/>
  <c r="F100" i="60" a="1"/>
  <c r="F100" i="60" s="1"/>
  <c r="H100" i="60"/>
  <c r="I100" i="60" a="1"/>
  <c r="I100" i="60" s="1"/>
  <c r="F92" i="60" a="1"/>
  <c r="F92" i="60" s="1"/>
  <c r="H92" i="60"/>
  <c r="I92" i="60" a="1"/>
  <c r="I92" i="60" s="1"/>
  <c r="F84" i="60" a="1"/>
  <c r="F84" i="60" s="1"/>
  <c r="H84" i="60"/>
  <c r="I84" i="60" a="1"/>
  <c r="I84" i="60" s="1"/>
  <c r="F76" i="60" a="1"/>
  <c r="F76" i="60" s="1"/>
  <c r="H76" i="60"/>
  <c r="I76" i="60" a="1"/>
  <c r="I76" i="60" s="1"/>
  <c r="F68" i="60" a="1"/>
  <c r="F68" i="60" s="1"/>
  <c r="H68" i="60"/>
  <c r="I68" i="60" a="1"/>
  <c r="I68" i="60" s="1"/>
  <c r="F60" i="60" a="1"/>
  <c r="F60" i="60" s="1"/>
  <c r="H60" i="60"/>
  <c r="I60" i="60" a="1"/>
  <c r="I60" i="60" s="1"/>
  <c r="F52" i="60" a="1"/>
  <c r="F52" i="60" s="1"/>
  <c r="H52" i="60"/>
  <c r="I52" i="60" a="1"/>
  <c r="I52" i="60" s="1"/>
  <c r="F44" i="60" a="1"/>
  <c r="F44" i="60" s="1"/>
  <c r="H44" i="60"/>
  <c r="I44" i="60" a="1"/>
  <c r="I44" i="60" s="1"/>
  <c r="F36" i="60" a="1"/>
  <c r="F36" i="60" s="1"/>
  <c r="H36" i="60"/>
  <c r="I36" i="60" a="1"/>
  <c r="I36" i="60" s="1"/>
  <c r="F28" i="60" a="1"/>
  <c r="F28" i="60" s="1"/>
  <c r="H28" i="60"/>
  <c r="I28" i="60" a="1"/>
  <c r="I28" i="60" s="1"/>
  <c r="E195" i="60" a="1"/>
  <c r="E195" i="60" s="1"/>
  <c r="M195" i="60"/>
  <c r="E131" i="60" a="1"/>
  <c r="E131" i="60" s="1"/>
  <c r="M131" i="60"/>
  <c r="M67" i="60"/>
  <c r="E67" i="60" a="1"/>
  <c r="E67" i="60" s="1"/>
  <c r="E62" i="60" a="1"/>
  <c r="E62" i="60" s="1"/>
  <c r="M62" i="60"/>
  <c r="E38" i="60" a="1"/>
  <c r="E38" i="60" s="1"/>
  <c r="M38" i="60"/>
  <c r="E249" i="60" a="1"/>
  <c r="E249" i="60" s="1"/>
  <c r="M249" i="60"/>
  <c r="E231" i="60" a="1"/>
  <c r="E231" i="60" s="1"/>
  <c r="M231" i="60"/>
  <c r="E212" i="60" a="1"/>
  <c r="E212" i="60" s="1"/>
  <c r="M212" i="60"/>
  <c r="E194" i="60" a="1"/>
  <c r="E194" i="60" s="1"/>
  <c r="M194" i="60"/>
  <c r="E176" i="60" a="1"/>
  <c r="E176" i="60" s="1"/>
  <c r="M176" i="60"/>
  <c r="E157" i="60" a="1"/>
  <c r="E157" i="60" s="1"/>
  <c r="M157" i="60"/>
  <c r="E139" i="60" a="1"/>
  <c r="E139" i="60" s="1"/>
  <c r="M139" i="60"/>
  <c r="E121" i="60" a="1"/>
  <c r="E121" i="60" s="1"/>
  <c r="M121" i="60"/>
  <c r="E103" i="60" a="1"/>
  <c r="E103" i="60" s="1"/>
  <c r="M103" i="60"/>
  <c r="E84" i="60" a="1"/>
  <c r="E84" i="60" s="1"/>
  <c r="M84" i="60"/>
  <c r="E66" i="60" a="1"/>
  <c r="E66" i="60" s="1"/>
  <c r="M66" i="60"/>
  <c r="E48" i="60" a="1"/>
  <c r="E48" i="60" s="1"/>
  <c r="M48" i="60"/>
  <c r="E29" i="60" a="1"/>
  <c r="E29" i="60" s="1"/>
  <c r="M29" i="60"/>
  <c r="H4" i="60"/>
  <c r="F22" i="60" a="1"/>
  <c r="F22" i="60" s="1"/>
  <c r="F250" i="60" a="1"/>
  <c r="F250" i="60" s="1"/>
  <c r="I250" i="60" a="1"/>
  <c r="I250" i="60" s="1"/>
  <c r="H250" i="60"/>
  <c r="F242" i="60" a="1"/>
  <c r="F242" i="60" s="1"/>
  <c r="I242" i="60" a="1"/>
  <c r="I242" i="60" s="1"/>
  <c r="H242" i="60"/>
  <c r="F234" i="60" a="1"/>
  <c r="F234" i="60" s="1"/>
  <c r="H234" i="60"/>
  <c r="I234" i="60" a="1"/>
  <c r="I234" i="60" s="1"/>
  <c r="F226" i="60" a="1"/>
  <c r="F226" i="60" s="1"/>
  <c r="I226" i="60" a="1"/>
  <c r="I226" i="60" s="1"/>
  <c r="H226" i="60"/>
  <c r="F218" i="60" a="1"/>
  <c r="F218" i="60" s="1"/>
  <c r="I218" i="60" a="1"/>
  <c r="I218" i="60" s="1"/>
  <c r="H218" i="60"/>
  <c r="F210" i="60" a="1"/>
  <c r="F210" i="60" s="1"/>
  <c r="H210" i="60"/>
  <c r="I210" i="60" a="1"/>
  <c r="I210" i="60" s="1"/>
  <c r="F202" i="60" a="1"/>
  <c r="F202" i="60" s="1"/>
  <c r="H202" i="60"/>
  <c r="I202" i="60" a="1"/>
  <c r="I202" i="60" s="1"/>
  <c r="F194" i="60" a="1"/>
  <c r="F194" i="60" s="1"/>
  <c r="H194" i="60"/>
  <c r="I194" i="60" a="1"/>
  <c r="I194" i="60" s="1"/>
  <c r="H186" i="60"/>
  <c r="F186" i="60" a="1"/>
  <c r="F186" i="60" s="1"/>
  <c r="I186" i="60" a="1"/>
  <c r="I186" i="60" s="1"/>
  <c r="F178" i="60" a="1"/>
  <c r="F178" i="60" s="1"/>
  <c r="H178" i="60"/>
  <c r="I178" i="60" a="1"/>
  <c r="I178" i="60" s="1"/>
  <c r="F170" i="60" a="1"/>
  <c r="F170" i="60" s="1"/>
  <c r="H170" i="60"/>
  <c r="I170" i="60" a="1"/>
  <c r="I170" i="60" s="1"/>
  <c r="H162" i="60"/>
  <c r="I162" i="60" a="1"/>
  <c r="I162" i="60" s="1"/>
  <c r="F162" i="60" a="1"/>
  <c r="F162" i="60" s="1"/>
  <c r="F154" i="60" a="1"/>
  <c r="F154" i="60" s="1"/>
  <c r="H154" i="60"/>
  <c r="I154" i="60" a="1"/>
  <c r="I154" i="60" s="1"/>
  <c r="F146" i="60" a="1"/>
  <c r="F146" i="60" s="1"/>
  <c r="H146" i="60"/>
  <c r="I146" i="60" a="1"/>
  <c r="I146" i="60" s="1"/>
  <c r="F138" i="60" a="1"/>
  <c r="F138" i="60" s="1"/>
  <c r="H138" i="60"/>
  <c r="I138" i="60" a="1"/>
  <c r="I138" i="60" s="1"/>
  <c r="I130" i="60" a="1"/>
  <c r="I130" i="60" s="1"/>
  <c r="F130" i="60" a="1"/>
  <c r="F130" i="60" s="1"/>
  <c r="H130" i="60"/>
  <c r="F122" i="60" a="1"/>
  <c r="F122" i="60" s="1"/>
  <c r="H122" i="60"/>
  <c r="I122" i="60" a="1"/>
  <c r="I122" i="60" s="1"/>
  <c r="F114" i="60" a="1"/>
  <c r="F114" i="60" s="1"/>
  <c r="H114" i="60"/>
  <c r="I114" i="60" a="1"/>
  <c r="I114" i="60" s="1"/>
  <c r="F106" i="60" a="1"/>
  <c r="F106" i="60" s="1"/>
  <c r="H106" i="60"/>
  <c r="I106" i="60" a="1"/>
  <c r="I106" i="60" s="1"/>
  <c r="F98" i="60" a="1"/>
  <c r="F98" i="60" s="1"/>
  <c r="I98" i="60" a="1"/>
  <c r="I98" i="60" s="1"/>
  <c r="H98" i="60"/>
  <c r="H90" i="60"/>
  <c r="F90" i="60" a="1"/>
  <c r="F90" i="60" s="1"/>
  <c r="I90" i="60" a="1"/>
  <c r="I90" i="60" s="1"/>
  <c r="I82" i="60" a="1"/>
  <c r="I82" i="60" s="1"/>
  <c r="H82" i="60"/>
  <c r="F82" i="60" a="1"/>
  <c r="F82" i="60" s="1"/>
  <c r="F74" i="60" a="1"/>
  <c r="F74" i="60" s="1"/>
  <c r="H74" i="60"/>
  <c r="I74" i="60" a="1"/>
  <c r="I74" i="60" s="1"/>
  <c r="F66" i="60" a="1"/>
  <c r="F66" i="60" s="1"/>
  <c r="H66" i="60"/>
  <c r="I66" i="60" a="1"/>
  <c r="I66" i="60" s="1"/>
  <c r="H58" i="60"/>
  <c r="F58" i="60" a="1"/>
  <c r="F58" i="60" s="1"/>
  <c r="I58" i="60" a="1"/>
  <c r="I58" i="60" s="1"/>
  <c r="F50" i="60" a="1"/>
  <c r="F50" i="60" s="1"/>
  <c r="I50" i="60" a="1"/>
  <c r="I50" i="60" s="1"/>
  <c r="H50" i="60"/>
  <c r="F42" i="60" a="1"/>
  <c r="F42" i="60" s="1"/>
  <c r="H42" i="60"/>
  <c r="I42" i="60" a="1"/>
  <c r="I42" i="60" s="1"/>
  <c r="F34" i="60" a="1"/>
  <c r="F34" i="60" s="1"/>
  <c r="I34" i="60" a="1"/>
  <c r="I34" i="60" s="1"/>
  <c r="H34" i="60"/>
  <c r="H26" i="60"/>
  <c r="F26" i="60" a="1"/>
  <c r="F26" i="60" s="1"/>
  <c r="I26" i="60" a="1"/>
  <c r="I26" i="60" s="1"/>
  <c r="E239" i="60" a="1"/>
  <c r="E239" i="60" s="1"/>
  <c r="M239" i="60"/>
  <c r="E220" i="60" a="1"/>
  <c r="E220" i="60" s="1"/>
  <c r="M220" i="60"/>
  <c r="E211" i="60" a="1"/>
  <c r="E211" i="60" s="1"/>
  <c r="M211" i="60"/>
  <c r="E202" i="60" a="1"/>
  <c r="E202" i="60" s="1"/>
  <c r="M202" i="60"/>
  <c r="E193" i="60" a="1"/>
  <c r="E193" i="60" s="1"/>
  <c r="M193" i="60"/>
  <c r="E175" i="60" a="1"/>
  <c r="E175" i="60" s="1"/>
  <c r="M175" i="60"/>
  <c r="E156" i="60" a="1"/>
  <c r="E156" i="60" s="1"/>
  <c r="M156" i="60"/>
  <c r="E147" i="60" a="1"/>
  <c r="E147" i="60" s="1"/>
  <c r="M147" i="60"/>
  <c r="E138" i="60" a="1"/>
  <c r="E138" i="60" s="1"/>
  <c r="M138" i="60"/>
  <c r="E129" i="60" a="1"/>
  <c r="E129" i="60" s="1"/>
  <c r="M129" i="60"/>
  <c r="E111" i="60" a="1"/>
  <c r="E111" i="60" s="1"/>
  <c r="M111" i="60"/>
  <c r="E92" i="60" a="1"/>
  <c r="E92" i="60" s="1"/>
  <c r="M92" i="60"/>
  <c r="E83" i="60" a="1"/>
  <c r="E83" i="60" s="1"/>
  <c r="M83" i="60"/>
  <c r="E74" i="60" a="1"/>
  <c r="E74" i="60" s="1"/>
  <c r="M74" i="60"/>
  <c r="E65" i="60" a="1"/>
  <c r="E65" i="60" s="1"/>
  <c r="M65" i="60"/>
  <c r="E47" i="60" a="1"/>
  <c r="E47" i="60" s="1"/>
  <c r="M47" i="60"/>
  <c r="E28" i="60" a="1"/>
  <c r="E28" i="60" s="1"/>
  <c r="M28" i="60"/>
  <c r="F243" i="60" a="1"/>
  <c r="F243" i="60" s="1"/>
  <c r="H243" i="60"/>
  <c r="I243" i="60" a="1"/>
  <c r="I243" i="60" s="1"/>
  <c r="F227" i="60" a="1"/>
  <c r="F227" i="60" s="1"/>
  <c r="H227" i="60"/>
  <c r="I227" i="60" a="1"/>
  <c r="I227" i="60" s="1"/>
  <c r="F203" i="60" a="1"/>
  <c r="F203" i="60" s="1"/>
  <c r="H203" i="60"/>
  <c r="I203" i="60" a="1"/>
  <c r="I203" i="60" s="1"/>
  <c r="F187" i="60" a="1"/>
  <c r="F187" i="60" s="1"/>
  <c r="H187" i="60"/>
  <c r="I187" i="60" a="1"/>
  <c r="I187" i="60" s="1"/>
  <c r="F163" i="60" a="1"/>
  <c r="F163" i="60" s="1"/>
  <c r="H163" i="60"/>
  <c r="I163" i="60" a="1"/>
  <c r="I163" i="60" s="1"/>
  <c r="F147" i="60" a="1"/>
  <c r="F147" i="60" s="1"/>
  <c r="H147" i="60"/>
  <c r="I147" i="60" a="1"/>
  <c r="I147" i="60" s="1"/>
  <c r="F131" i="60" a="1"/>
  <c r="F131" i="60" s="1"/>
  <c r="I131" i="60" a="1"/>
  <c r="I131" i="60" s="1"/>
  <c r="H131" i="60"/>
  <c r="F115" i="60" a="1"/>
  <c r="F115" i="60" s="1"/>
  <c r="H115" i="60"/>
  <c r="I115" i="60" a="1"/>
  <c r="I115" i="60" s="1"/>
  <c r="F99" i="60" a="1"/>
  <c r="F99" i="60" s="1"/>
  <c r="H99" i="60"/>
  <c r="I99" i="60" a="1"/>
  <c r="I99" i="60" s="1"/>
  <c r="F83" i="60" a="1"/>
  <c r="F83" i="60" s="1"/>
  <c r="I83" i="60" a="1"/>
  <c r="I83" i="60" s="1"/>
  <c r="H83" i="60"/>
  <c r="F67" i="60" a="1"/>
  <c r="F67" i="60" s="1"/>
  <c r="H67" i="60"/>
  <c r="I67" i="60" a="1"/>
  <c r="I67" i="60" s="1"/>
  <c r="F51" i="60" a="1"/>
  <c r="F51" i="60" s="1"/>
  <c r="I51" i="60" a="1"/>
  <c r="I51" i="60" s="1"/>
  <c r="H51" i="60"/>
  <c r="F35" i="60" a="1"/>
  <c r="F35" i="60" s="1"/>
  <c r="H35" i="60"/>
  <c r="I35" i="60" a="1"/>
  <c r="I35" i="60" s="1"/>
  <c r="F27" i="60" a="1"/>
  <c r="F27" i="60" s="1"/>
  <c r="H27" i="60"/>
  <c r="I27" i="60" a="1"/>
  <c r="I27" i="60" s="1"/>
  <c r="E238" i="60" a="1"/>
  <c r="E238" i="60" s="1"/>
  <c r="M238" i="60"/>
  <c r="E222" i="60" a="1"/>
  <c r="E222" i="60" s="1"/>
  <c r="M222" i="60"/>
  <c r="E206" i="60" a="1"/>
  <c r="E206" i="60" s="1"/>
  <c r="M206" i="60"/>
  <c r="E190" i="60" a="1"/>
  <c r="E190" i="60" s="1"/>
  <c r="M190" i="60"/>
  <c r="E174" i="60" a="1"/>
  <c r="E174" i="60" s="1"/>
  <c r="M174" i="60"/>
  <c r="E166" i="60" a="1"/>
  <c r="E166" i="60" s="1"/>
  <c r="M166" i="60"/>
  <c r="E158" i="60" a="1"/>
  <c r="E158" i="60" s="1"/>
  <c r="M158" i="60"/>
  <c r="E150" i="60" a="1"/>
  <c r="E150" i="60" s="1"/>
  <c r="M150" i="60"/>
  <c r="E142" i="60" a="1"/>
  <c r="E142" i="60" s="1"/>
  <c r="M142" i="60"/>
  <c r="E134" i="60" a="1"/>
  <c r="E134" i="60" s="1"/>
  <c r="M134" i="60"/>
  <c r="E126" i="60" a="1"/>
  <c r="E126" i="60" s="1"/>
  <c r="M126" i="60"/>
  <c r="E118" i="60" a="1"/>
  <c r="E118" i="60" s="1"/>
  <c r="M118" i="60"/>
  <c r="E110" i="60" a="1"/>
  <c r="E110" i="60" s="1"/>
  <c r="M110" i="60"/>
  <c r="E102" i="60" a="1"/>
  <c r="E102" i="60" s="1"/>
  <c r="M102" i="60"/>
  <c r="E94" i="60" a="1"/>
  <c r="E94" i="60" s="1"/>
  <c r="M94" i="60"/>
  <c r="E86" i="60" a="1"/>
  <c r="E86" i="60" s="1"/>
  <c r="M86" i="60"/>
  <c r="E70" i="60" a="1"/>
  <c r="E70" i="60" s="1"/>
  <c r="M70" i="60"/>
  <c r="E54" i="60" a="1"/>
  <c r="E54" i="60" s="1"/>
  <c r="M54" i="60"/>
  <c r="E30" i="60" a="1"/>
  <c r="E30" i="60" s="1"/>
  <c r="M30" i="60"/>
  <c r="E240" i="60" a="1"/>
  <c r="E240" i="60" s="1"/>
  <c r="M240" i="60"/>
  <c r="E221" i="60" a="1"/>
  <c r="E221" i="60" s="1"/>
  <c r="M221" i="60"/>
  <c r="E203" i="60" a="1"/>
  <c r="E203" i="60" s="1"/>
  <c r="M203" i="60"/>
  <c r="E185" i="60" a="1"/>
  <c r="E185" i="60" s="1"/>
  <c r="M185" i="60"/>
  <c r="E167" i="60" a="1"/>
  <c r="E167" i="60" s="1"/>
  <c r="M167" i="60"/>
  <c r="E148" i="60" a="1"/>
  <c r="E148" i="60" s="1"/>
  <c r="M148" i="60"/>
  <c r="E130" i="60" a="1"/>
  <c r="E130" i="60" s="1"/>
  <c r="M130" i="60"/>
  <c r="E112" i="60" a="1"/>
  <c r="E112" i="60" s="1"/>
  <c r="M112" i="60"/>
  <c r="E93" i="60" a="1"/>
  <c r="E93" i="60" s="1"/>
  <c r="M93" i="60"/>
  <c r="E75" i="60" a="1"/>
  <c r="E75" i="60" s="1"/>
  <c r="M75" i="60"/>
  <c r="E57" i="60" a="1"/>
  <c r="E57" i="60" s="1"/>
  <c r="M57" i="60"/>
  <c r="E39" i="60" a="1"/>
  <c r="E39" i="60" s="1"/>
  <c r="M39" i="60"/>
  <c r="I24" i="60" a="1"/>
  <c r="I24" i="60" s="1"/>
  <c r="F18" i="60" a="1"/>
  <c r="F18" i="60" s="1"/>
  <c r="H249" i="60"/>
  <c r="F249" i="60" a="1"/>
  <c r="F249" i="60" s="1"/>
  <c r="I249" i="60" a="1"/>
  <c r="I249" i="60" s="1"/>
  <c r="H241" i="60"/>
  <c r="F241" i="60" a="1"/>
  <c r="F241" i="60" s="1"/>
  <c r="I241" i="60" a="1"/>
  <c r="I241" i="60" s="1"/>
  <c r="F233" i="60" a="1"/>
  <c r="F233" i="60" s="1"/>
  <c r="H233" i="60"/>
  <c r="I233" i="60" a="1"/>
  <c r="I233" i="60" s="1"/>
  <c r="F225" i="60" a="1"/>
  <c r="F225" i="60" s="1"/>
  <c r="H225" i="60"/>
  <c r="I225" i="60" a="1"/>
  <c r="I225" i="60" s="1"/>
  <c r="H217" i="60"/>
  <c r="I217" i="60" a="1"/>
  <c r="I217" i="60" s="1"/>
  <c r="F217" i="60" a="1"/>
  <c r="F217" i="60" s="1"/>
  <c r="F209" i="60" a="1"/>
  <c r="F209" i="60" s="1"/>
  <c r="H209" i="60"/>
  <c r="I209" i="60" a="1"/>
  <c r="I209" i="60" s="1"/>
  <c r="F201" i="60" a="1"/>
  <c r="F201" i="60" s="1"/>
  <c r="H201" i="60"/>
  <c r="I201" i="60" a="1"/>
  <c r="I201" i="60" s="1"/>
  <c r="F193" i="60" a="1"/>
  <c r="F193" i="60" s="1"/>
  <c r="H193" i="60"/>
  <c r="I193" i="60" a="1"/>
  <c r="I193" i="60" s="1"/>
  <c r="H185" i="60"/>
  <c r="F185" i="60" a="1"/>
  <c r="F185" i="60" s="1"/>
  <c r="I185" i="60" a="1"/>
  <c r="I185" i="60" s="1"/>
  <c r="H177" i="60"/>
  <c r="F177" i="60" a="1"/>
  <c r="F177" i="60" s="1"/>
  <c r="I177" i="60" a="1"/>
  <c r="I177" i="60" s="1"/>
  <c r="F169" i="60" a="1"/>
  <c r="F169" i="60" s="1"/>
  <c r="H169" i="60"/>
  <c r="I169" i="60" a="1"/>
  <c r="I169" i="60" s="1"/>
  <c r="F161" i="60" a="1"/>
  <c r="F161" i="60" s="1"/>
  <c r="H161" i="60"/>
  <c r="I161" i="60" a="1"/>
  <c r="I161" i="60" s="1"/>
  <c r="H153" i="60"/>
  <c r="F153" i="60" a="1"/>
  <c r="F153" i="60" s="1"/>
  <c r="I153" i="60" a="1"/>
  <c r="I153" i="60" s="1"/>
  <c r="F145" i="60" a="1"/>
  <c r="F145" i="60" s="1"/>
  <c r="H145" i="60"/>
  <c r="I145" i="60" a="1"/>
  <c r="I145" i="60" s="1"/>
  <c r="H137" i="60"/>
  <c r="F137" i="60" a="1"/>
  <c r="F137" i="60" s="1"/>
  <c r="I137" i="60" a="1"/>
  <c r="I137" i="60" s="1"/>
  <c r="F129" i="60" a="1"/>
  <c r="F129" i="60" s="1"/>
  <c r="H129" i="60"/>
  <c r="I129" i="60" a="1"/>
  <c r="I129" i="60" s="1"/>
  <c r="F121" i="60" a="1"/>
  <c r="F121" i="60" s="1"/>
  <c r="H121" i="60"/>
  <c r="I121" i="60" a="1"/>
  <c r="I121" i="60" s="1"/>
  <c r="F113" i="60" a="1"/>
  <c r="F113" i="60" s="1"/>
  <c r="H113" i="60"/>
  <c r="I113" i="60" a="1"/>
  <c r="I113" i="60" s="1"/>
  <c r="H105" i="60"/>
  <c r="F105" i="60" a="1"/>
  <c r="F105" i="60" s="1"/>
  <c r="I105" i="60" a="1"/>
  <c r="I105" i="60" s="1"/>
  <c r="H97" i="60"/>
  <c r="F97" i="60" a="1"/>
  <c r="F97" i="60" s="1"/>
  <c r="I97" i="60" a="1"/>
  <c r="I97" i="60" s="1"/>
  <c r="F89" i="60" a="1"/>
  <c r="F89" i="60" s="1"/>
  <c r="H89" i="60"/>
  <c r="I89" i="60" a="1"/>
  <c r="I89" i="60" s="1"/>
  <c r="F81" i="60" a="1"/>
  <c r="F81" i="60" s="1"/>
  <c r="H81" i="60"/>
  <c r="I81" i="60" a="1"/>
  <c r="I81" i="60" s="1"/>
  <c r="F73" i="60" a="1"/>
  <c r="F73" i="60" s="1"/>
  <c r="H73" i="60"/>
  <c r="I73" i="60" a="1"/>
  <c r="I73" i="60" s="1"/>
  <c r="H65" i="60"/>
  <c r="I65" i="60" a="1"/>
  <c r="I65" i="60" s="1"/>
  <c r="F65" i="60" a="1"/>
  <c r="F65" i="60" s="1"/>
  <c r="F57" i="60" a="1"/>
  <c r="F57" i="60" s="1"/>
  <c r="H57" i="60"/>
  <c r="I57" i="60" a="1"/>
  <c r="I57" i="60" s="1"/>
  <c r="F49" i="60" a="1"/>
  <c r="F49" i="60" s="1"/>
  <c r="H49" i="60"/>
  <c r="I49" i="60" a="1"/>
  <c r="I49" i="60" s="1"/>
  <c r="F41" i="60" a="1"/>
  <c r="F41" i="60" s="1"/>
  <c r="H41" i="60"/>
  <c r="I41" i="60" a="1"/>
  <c r="I41" i="60" s="1"/>
  <c r="H33" i="60"/>
  <c r="F33" i="60" a="1"/>
  <c r="F33" i="60" s="1"/>
  <c r="I33" i="60" a="1"/>
  <c r="I33" i="60" s="1"/>
  <c r="E219" i="60" a="1"/>
  <c r="E219" i="60" s="1"/>
  <c r="M219" i="60"/>
  <c r="E155" i="60" a="1"/>
  <c r="E155" i="60" s="1"/>
  <c r="M155" i="60"/>
  <c r="E146" i="60" a="1"/>
  <c r="E146" i="60" s="1"/>
  <c r="M146" i="60"/>
  <c r="E137" i="60" a="1"/>
  <c r="E137" i="60" s="1"/>
  <c r="M137" i="60"/>
  <c r="E119" i="60" a="1"/>
  <c r="E119" i="60" s="1"/>
  <c r="M119" i="60"/>
  <c r="E91" i="60" a="1"/>
  <c r="E91" i="60" s="1"/>
  <c r="M91" i="60"/>
  <c r="E82" i="60" a="1"/>
  <c r="E82" i="60" s="1"/>
  <c r="M82" i="60"/>
  <c r="E73" i="60" a="1"/>
  <c r="E73" i="60" s="1"/>
  <c r="M73" i="60"/>
  <c r="E55" i="60" a="1"/>
  <c r="E55" i="60" s="1"/>
  <c r="M55" i="60"/>
  <c r="E27" i="60" a="1"/>
  <c r="E27" i="60" s="1"/>
  <c r="M27" i="60"/>
  <c r="F251" i="60" a="1"/>
  <c r="F251" i="60" s="1"/>
  <c r="H251" i="60"/>
  <c r="I251" i="60" a="1"/>
  <c r="I251" i="60" s="1"/>
  <c r="H235" i="60"/>
  <c r="I235" i="60" a="1"/>
  <c r="I235" i="60" s="1"/>
  <c r="F235" i="60" a="1"/>
  <c r="F235" i="60" s="1"/>
  <c r="F219" i="60" a="1"/>
  <c r="F219" i="60" s="1"/>
  <c r="H219" i="60"/>
  <c r="I219" i="60" a="1"/>
  <c r="I219" i="60" s="1"/>
  <c r="F211" i="60" a="1"/>
  <c r="F211" i="60" s="1"/>
  <c r="H211" i="60"/>
  <c r="I211" i="60" a="1"/>
  <c r="I211" i="60" s="1"/>
  <c r="H195" i="60"/>
  <c r="F195" i="60" a="1"/>
  <c r="F195" i="60" s="1"/>
  <c r="I195" i="60" a="1"/>
  <c r="I195" i="60" s="1"/>
  <c r="H171" i="60"/>
  <c r="I171" i="60" a="1"/>
  <c r="I171" i="60" s="1"/>
  <c r="F171" i="60" a="1"/>
  <c r="F171" i="60" s="1"/>
  <c r="F155" i="60" a="1"/>
  <c r="F155" i="60" s="1"/>
  <c r="H155" i="60"/>
  <c r="I155" i="60" a="1"/>
  <c r="I155" i="60" s="1"/>
  <c r="F139" i="60" a="1"/>
  <c r="F139" i="60" s="1"/>
  <c r="I139" i="60" a="1"/>
  <c r="I139" i="60" s="1"/>
  <c r="H139" i="60"/>
  <c r="F123" i="60" a="1"/>
  <c r="F123" i="60" s="1"/>
  <c r="H123" i="60"/>
  <c r="I123" i="60" a="1"/>
  <c r="I123" i="60" s="1"/>
  <c r="H107" i="60"/>
  <c r="I107" i="60" a="1"/>
  <c r="I107" i="60" s="1"/>
  <c r="F107" i="60" a="1"/>
  <c r="F107" i="60" s="1"/>
  <c r="F91" i="60" a="1"/>
  <c r="F91" i="60" s="1"/>
  <c r="H91" i="60"/>
  <c r="I91" i="60" a="1"/>
  <c r="I91" i="60" s="1"/>
  <c r="F75" i="60" a="1"/>
  <c r="F75" i="60" s="1"/>
  <c r="H75" i="60"/>
  <c r="I75" i="60" a="1"/>
  <c r="I75" i="60" s="1"/>
  <c r="F59" i="60" a="1"/>
  <c r="F59" i="60" s="1"/>
  <c r="H59" i="60"/>
  <c r="I59" i="60" a="1"/>
  <c r="I59" i="60" s="1"/>
  <c r="H43" i="60"/>
  <c r="F43" i="60" a="1"/>
  <c r="F43" i="60" s="1"/>
  <c r="I43" i="60" a="1"/>
  <c r="I43" i="60" s="1"/>
  <c r="E246" i="60" a="1"/>
  <c r="E246" i="60" s="1"/>
  <c r="M246" i="60"/>
  <c r="E230" i="60" a="1"/>
  <c r="E230" i="60" s="1"/>
  <c r="M230" i="60"/>
  <c r="E214" i="60" a="1"/>
  <c r="E214" i="60" s="1"/>
  <c r="M214" i="60"/>
  <c r="E198" i="60" a="1"/>
  <c r="E198" i="60" s="1"/>
  <c r="M198" i="60"/>
  <c r="E182" i="60" a="1"/>
  <c r="E182" i="60" s="1"/>
  <c r="M182" i="60"/>
  <c r="E46" i="60" a="1"/>
  <c r="E46" i="60" s="1"/>
  <c r="M46" i="60"/>
  <c r="I20" i="60" a="1"/>
  <c r="I20" i="60" s="1"/>
  <c r="F14" i="60" a="1"/>
  <c r="F14" i="60" s="1"/>
  <c r="E245" i="60" a="1"/>
  <c r="E245" i="60" s="1"/>
  <c r="M245" i="60"/>
  <c r="E236" i="60" a="1"/>
  <c r="E236" i="60" s="1"/>
  <c r="M236" i="60"/>
  <c r="E227" i="60" a="1"/>
  <c r="E227" i="60" s="1"/>
  <c r="M227" i="60"/>
  <c r="E218" i="60" a="1"/>
  <c r="E218" i="60" s="1"/>
  <c r="M218" i="60"/>
  <c r="E209" i="60" a="1"/>
  <c r="E209" i="60" s="1"/>
  <c r="M209" i="60"/>
  <c r="E191" i="60" a="1"/>
  <c r="E191" i="60" s="1"/>
  <c r="M191" i="60"/>
  <c r="E181" i="60" a="1"/>
  <c r="E181" i="60" s="1"/>
  <c r="M181" i="60"/>
  <c r="E172" i="60" a="1"/>
  <c r="E172" i="60" s="1"/>
  <c r="M172" i="60"/>
  <c r="M163" i="60"/>
  <c r="E163" i="60" a="1"/>
  <c r="E163" i="60" s="1"/>
  <c r="E145" i="60" a="1"/>
  <c r="E145" i="60" s="1"/>
  <c r="M145" i="60"/>
  <c r="E127" i="60" a="1"/>
  <c r="E127" i="60" s="1"/>
  <c r="M127" i="60"/>
  <c r="E117" i="60" a="1"/>
  <c r="E117" i="60" s="1"/>
  <c r="M117" i="60"/>
  <c r="E108" i="60" a="1"/>
  <c r="E108" i="60" s="1"/>
  <c r="M108" i="60"/>
  <c r="E99" i="60" a="1"/>
  <c r="E99" i="60" s="1"/>
  <c r="M99" i="60"/>
  <c r="E90" i="60" a="1"/>
  <c r="E90" i="60" s="1"/>
  <c r="M90" i="60"/>
  <c r="E81" i="60" a="1"/>
  <c r="E81" i="60" s="1"/>
  <c r="M81" i="60"/>
  <c r="E63" i="60" a="1"/>
  <c r="E63" i="60" s="1"/>
  <c r="M63" i="60"/>
  <c r="E53" i="60" a="1"/>
  <c r="E53" i="60" s="1"/>
  <c r="M53" i="60"/>
  <c r="E44" i="60" a="1"/>
  <c r="E44" i="60" s="1"/>
  <c r="M44" i="60"/>
  <c r="E35" i="60" a="1"/>
  <c r="E35" i="60" s="1"/>
  <c r="M35" i="60"/>
  <c r="E26" i="60" a="1"/>
  <c r="E26" i="60" s="1"/>
  <c r="M26" i="60"/>
  <c r="M154" i="60"/>
  <c r="F179" i="60" a="1"/>
  <c r="F179" i="60" s="1"/>
  <c r="H179" i="60"/>
  <c r="I179" i="60" a="1"/>
  <c r="I179" i="60" s="1"/>
  <c r="I16" i="60" a="1"/>
  <c r="I16" i="60" s="1"/>
  <c r="F10" i="60" a="1"/>
  <c r="F10" i="60" s="1"/>
  <c r="F247" i="60" a="1"/>
  <c r="F247" i="60" s="1"/>
  <c r="H247" i="60"/>
  <c r="I247" i="60" a="1"/>
  <c r="I247" i="60" s="1"/>
  <c r="F239" i="60" a="1"/>
  <c r="F239" i="60" s="1"/>
  <c r="I239" i="60" a="1"/>
  <c r="I239" i="60" s="1"/>
  <c r="H239" i="60"/>
  <c r="F231" i="60" a="1"/>
  <c r="F231" i="60" s="1"/>
  <c r="I231" i="60" a="1"/>
  <c r="I231" i="60" s="1"/>
  <c r="H231" i="60"/>
  <c r="F223" i="60" a="1"/>
  <c r="F223" i="60" s="1"/>
  <c r="H223" i="60"/>
  <c r="I223" i="60" a="1"/>
  <c r="I223" i="60" s="1"/>
  <c r="H215" i="60"/>
  <c r="F215" i="60" a="1"/>
  <c r="F215" i="60" s="1"/>
  <c r="I215" i="60" a="1"/>
  <c r="I215" i="60" s="1"/>
  <c r="F207" i="60" a="1"/>
  <c r="F207" i="60" s="1"/>
  <c r="H207" i="60"/>
  <c r="I207" i="60" a="1"/>
  <c r="I207" i="60" s="1"/>
  <c r="F199" i="60" a="1"/>
  <c r="F199" i="60" s="1"/>
  <c r="I199" i="60" a="1"/>
  <c r="I199" i="60" s="1"/>
  <c r="H199" i="60"/>
  <c r="F191" i="60" a="1"/>
  <c r="F191" i="60" s="1"/>
  <c r="I191" i="60" a="1"/>
  <c r="I191" i="60" s="1"/>
  <c r="H191" i="60"/>
  <c r="F183" i="60" a="1"/>
  <c r="F183" i="60" s="1"/>
  <c r="H183" i="60"/>
  <c r="I183" i="60" a="1"/>
  <c r="I183" i="60" s="1"/>
  <c r="F175" i="60" a="1"/>
  <c r="F175" i="60" s="1"/>
  <c r="I175" i="60" a="1"/>
  <c r="I175" i="60" s="1"/>
  <c r="H175" i="60"/>
  <c r="F167" i="60" a="1"/>
  <c r="F167" i="60" s="1"/>
  <c r="H167" i="60"/>
  <c r="I167" i="60" a="1"/>
  <c r="I167" i="60" s="1"/>
  <c r="F159" i="60" a="1"/>
  <c r="F159" i="60" s="1"/>
  <c r="I159" i="60" a="1"/>
  <c r="I159" i="60" s="1"/>
  <c r="H159" i="60"/>
  <c r="F151" i="60" a="1"/>
  <c r="F151" i="60" s="1"/>
  <c r="I151" i="60" a="1"/>
  <c r="I151" i="60" s="1"/>
  <c r="H151" i="60"/>
  <c r="F143" i="60" a="1"/>
  <c r="F143" i="60" s="1"/>
  <c r="H143" i="60"/>
  <c r="I143" i="60" a="1"/>
  <c r="I143" i="60" s="1"/>
  <c r="F135" i="60" a="1"/>
  <c r="F135" i="60" s="1"/>
  <c r="H135" i="60"/>
  <c r="I135" i="60" a="1"/>
  <c r="I135" i="60" s="1"/>
  <c r="H127" i="60"/>
  <c r="F127" i="60" a="1"/>
  <c r="F127" i="60" s="1"/>
  <c r="I127" i="60" a="1"/>
  <c r="I127" i="60" s="1"/>
  <c r="F119" i="60" a="1"/>
  <c r="F119" i="60" s="1"/>
  <c r="H119" i="60"/>
  <c r="I119" i="60" a="1"/>
  <c r="I119" i="60" s="1"/>
  <c r="H111" i="60"/>
  <c r="F111" i="60" a="1"/>
  <c r="F111" i="60" s="1"/>
  <c r="I111" i="60" a="1"/>
  <c r="I111" i="60" s="1"/>
  <c r="H103" i="60"/>
  <c r="F103" i="60" a="1"/>
  <c r="F103" i="60" s="1"/>
  <c r="I103" i="60" a="1"/>
  <c r="I103" i="60" s="1"/>
  <c r="H95" i="60"/>
  <c r="F95" i="60" a="1"/>
  <c r="F95" i="60" s="1"/>
  <c r="I95" i="60" a="1"/>
  <c r="I95" i="60" s="1"/>
  <c r="F87" i="60" a="1"/>
  <c r="F87" i="60" s="1"/>
  <c r="H87" i="60"/>
  <c r="I87" i="60" a="1"/>
  <c r="I87" i="60" s="1"/>
  <c r="H79" i="60"/>
  <c r="F79" i="60" a="1"/>
  <c r="F79" i="60" s="1"/>
  <c r="I79" i="60" a="1"/>
  <c r="I79" i="60" s="1"/>
  <c r="H71" i="60"/>
  <c r="F71" i="60" a="1"/>
  <c r="F71" i="60" s="1"/>
  <c r="I71" i="60" a="1"/>
  <c r="I71" i="60" s="1"/>
  <c r="H63" i="60"/>
  <c r="F63" i="60" a="1"/>
  <c r="F63" i="60" s="1"/>
  <c r="I63" i="60" a="1"/>
  <c r="I63" i="60" s="1"/>
  <c r="F55" i="60" a="1"/>
  <c r="F55" i="60" s="1"/>
  <c r="H55" i="60"/>
  <c r="I55" i="60" a="1"/>
  <c r="I55" i="60" s="1"/>
  <c r="F47" i="60" a="1"/>
  <c r="F47" i="60" s="1"/>
  <c r="H47" i="60"/>
  <c r="I47" i="60" a="1"/>
  <c r="I47" i="60" s="1"/>
  <c r="H39" i="60"/>
  <c r="F39" i="60" a="1"/>
  <c r="F39" i="60" s="1"/>
  <c r="I39" i="60" a="1"/>
  <c r="I39" i="60" s="1"/>
  <c r="H31" i="60"/>
  <c r="F31" i="60" a="1"/>
  <c r="F31" i="60" s="1"/>
  <c r="I31" i="60" a="1"/>
  <c r="I31" i="60" s="1"/>
  <c r="E235" i="60" a="1"/>
  <c r="E235" i="60" s="1"/>
  <c r="M235" i="60"/>
  <c r="E171" i="60" a="1"/>
  <c r="E171" i="60" s="1"/>
  <c r="M171" i="60"/>
  <c r="E107" i="60" a="1"/>
  <c r="E107" i="60" s="1"/>
  <c r="M107" i="60"/>
  <c r="E43" i="60" a="1"/>
  <c r="E43" i="60" s="1"/>
  <c r="M43" i="60"/>
  <c r="M78" i="60"/>
  <c r="F8" i="60" a="1"/>
  <c r="F8" i="60" s="1"/>
  <c r="I8" i="60" a="1"/>
  <c r="I8" i="60" s="1"/>
  <c r="I12" i="60" a="1"/>
  <c r="I12" i="60" s="1"/>
  <c r="F246" i="60" a="1"/>
  <c r="F246" i="60" s="1"/>
  <c r="H246" i="60"/>
  <c r="I246" i="60" a="1"/>
  <c r="I246" i="60" s="1"/>
  <c r="F238" i="60" a="1"/>
  <c r="F238" i="60" s="1"/>
  <c r="H238" i="60"/>
  <c r="I238" i="60" a="1"/>
  <c r="I238" i="60" s="1"/>
  <c r="F230" i="60" a="1"/>
  <c r="F230" i="60" s="1"/>
  <c r="I230" i="60" a="1"/>
  <c r="I230" i="60" s="1"/>
  <c r="H230" i="60"/>
  <c r="F222" i="60" a="1"/>
  <c r="F222" i="60" s="1"/>
  <c r="H222" i="60"/>
  <c r="I222" i="60" a="1"/>
  <c r="I222" i="60" s="1"/>
  <c r="F214" i="60" a="1"/>
  <c r="F214" i="60" s="1"/>
  <c r="H214" i="60"/>
  <c r="I214" i="60" a="1"/>
  <c r="I214" i="60" s="1"/>
  <c r="F206" i="60" a="1"/>
  <c r="F206" i="60" s="1"/>
  <c r="I206" i="60" a="1"/>
  <c r="I206" i="60" s="1"/>
  <c r="H206" i="60"/>
  <c r="F198" i="60" a="1"/>
  <c r="F198" i="60" s="1"/>
  <c r="I198" i="60" a="1"/>
  <c r="I198" i="60" s="1"/>
  <c r="H198" i="60"/>
  <c r="F190" i="60" a="1"/>
  <c r="F190" i="60" s="1"/>
  <c r="I190" i="60" a="1"/>
  <c r="I190" i="60" s="1"/>
  <c r="H190" i="60"/>
  <c r="F182" i="60" a="1"/>
  <c r="F182" i="60" s="1"/>
  <c r="H182" i="60"/>
  <c r="I182" i="60" a="1"/>
  <c r="I182" i="60" s="1"/>
  <c r="F174" i="60" a="1"/>
  <c r="F174" i="60" s="1"/>
  <c r="H174" i="60"/>
  <c r="I174" i="60" a="1"/>
  <c r="I174" i="60" s="1"/>
  <c r="F166" i="60" a="1"/>
  <c r="F166" i="60" s="1"/>
  <c r="I166" i="60" a="1"/>
  <c r="I166" i="60" s="1"/>
  <c r="H166" i="60"/>
  <c r="F158" i="60" a="1"/>
  <c r="F158" i="60" s="1"/>
  <c r="I158" i="60" a="1"/>
  <c r="I158" i="60" s="1"/>
  <c r="H158" i="60"/>
  <c r="F150" i="60" a="1"/>
  <c r="F150" i="60" s="1"/>
  <c r="I150" i="60" a="1"/>
  <c r="I150" i="60" s="1"/>
  <c r="H150" i="60"/>
  <c r="F142" i="60" a="1"/>
  <c r="F142" i="60" s="1"/>
  <c r="H142" i="60"/>
  <c r="I142" i="60" a="1"/>
  <c r="I142" i="60" s="1"/>
  <c r="F134" i="60" a="1"/>
  <c r="F134" i="60" s="1"/>
  <c r="H134" i="60"/>
  <c r="I134" i="60" a="1"/>
  <c r="I134" i="60" s="1"/>
  <c r="H126" i="60"/>
  <c r="F126" i="60" a="1"/>
  <c r="F126" i="60" s="1"/>
  <c r="I126" i="60" a="1"/>
  <c r="I126" i="60" s="1"/>
  <c r="H118" i="60"/>
  <c r="I118" i="60" a="1"/>
  <c r="I118" i="60" s="1"/>
  <c r="F118" i="60" a="1"/>
  <c r="F118" i="60" s="1"/>
  <c r="H110" i="60"/>
  <c r="F110" i="60" a="1"/>
  <c r="F110" i="60" s="1"/>
  <c r="I110" i="60" a="1"/>
  <c r="I110" i="60" s="1"/>
  <c r="H102" i="60"/>
  <c r="F102" i="60" a="1"/>
  <c r="F102" i="60" s="1"/>
  <c r="I102" i="60" a="1"/>
  <c r="I102" i="60" s="1"/>
  <c r="H94" i="60"/>
  <c r="F94" i="60" a="1"/>
  <c r="F94" i="60" s="1"/>
  <c r="I94" i="60" a="1"/>
  <c r="I94" i="60" s="1"/>
  <c r="H86" i="60"/>
  <c r="F86" i="60" a="1"/>
  <c r="F86" i="60" s="1"/>
  <c r="I86" i="60" a="1"/>
  <c r="I86" i="60" s="1"/>
  <c r="H78" i="60"/>
  <c r="F78" i="60" a="1"/>
  <c r="F78" i="60" s="1"/>
  <c r="I78" i="60" a="1"/>
  <c r="I78" i="60" s="1"/>
  <c r="H70" i="60"/>
  <c r="F70" i="60" a="1"/>
  <c r="F70" i="60" s="1"/>
  <c r="I70" i="60" a="1"/>
  <c r="I70" i="60" s="1"/>
  <c r="H62" i="60"/>
  <c r="F62" i="60" a="1"/>
  <c r="F62" i="60" s="1"/>
  <c r="I62" i="60" a="1"/>
  <c r="I62" i="60" s="1"/>
  <c r="F54" i="60" a="1"/>
  <c r="F54" i="60" s="1"/>
  <c r="H54" i="60"/>
  <c r="I54" i="60" a="1"/>
  <c r="I54" i="60" s="1"/>
  <c r="H46" i="60"/>
  <c r="F46" i="60" a="1"/>
  <c r="F46" i="60" s="1"/>
  <c r="I46" i="60" a="1"/>
  <c r="I46" i="60" s="1"/>
  <c r="H38" i="60"/>
  <c r="F38" i="60" a="1"/>
  <c r="F38" i="60" s="1"/>
  <c r="I38" i="60" a="1"/>
  <c r="I38" i="60" s="1"/>
  <c r="H30" i="60"/>
  <c r="F30" i="60" a="1"/>
  <c r="F30" i="60" s="1"/>
  <c r="I30" i="60" a="1"/>
  <c r="I30" i="60" s="1"/>
  <c r="E243" i="60" a="1"/>
  <c r="E243" i="60" s="1"/>
  <c r="M243" i="60"/>
  <c r="E179" i="60" a="1"/>
  <c r="E179" i="60" s="1"/>
  <c r="M179" i="60"/>
  <c r="E115" i="60" a="1"/>
  <c r="E115" i="60" s="1"/>
  <c r="M115" i="60"/>
  <c r="E51" i="60" a="1"/>
  <c r="E51" i="60" s="1"/>
  <c r="M51" i="60"/>
  <c r="F248" i="60" a="1"/>
  <c r="F248" i="60" s="1"/>
  <c r="I248" i="60" a="1"/>
  <c r="I248" i="60" s="1"/>
  <c r="H248" i="60"/>
  <c r="F240" i="60" a="1"/>
  <c r="F240" i="60" s="1"/>
  <c r="I240" i="60" a="1"/>
  <c r="I240" i="60" s="1"/>
  <c r="H240" i="60"/>
  <c r="F232" i="60" a="1"/>
  <c r="F232" i="60" s="1"/>
  <c r="H232" i="60"/>
  <c r="I232" i="60" a="1"/>
  <c r="I232" i="60" s="1"/>
  <c r="F224" i="60" a="1"/>
  <c r="F224" i="60" s="1"/>
  <c r="H224" i="60"/>
  <c r="I224" i="60" a="1"/>
  <c r="I224" i="60" s="1"/>
  <c r="F216" i="60" a="1"/>
  <c r="F216" i="60" s="1"/>
  <c r="I216" i="60" a="1"/>
  <c r="I216" i="60" s="1"/>
  <c r="H216" i="60"/>
  <c r="F208" i="60" a="1"/>
  <c r="F208" i="60" s="1"/>
  <c r="H208" i="60"/>
  <c r="I208" i="60" a="1"/>
  <c r="I208" i="60" s="1"/>
  <c r="F200" i="60" a="1"/>
  <c r="F200" i="60" s="1"/>
  <c r="H200" i="60"/>
  <c r="I200" i="60" a="1"/>
  <c r="I200" i="60" s="1"/>
  <c r="F192" i="60" a="1"/>
  <c r="F192" i="60" s="1"/>
  <c r="H192" i="60"/>
  <c r="I192" i="60" a="1"/>
  <c r="I192" i="60" s="1"/>
  <c r="F184" i="60" a="1"/>
  <c r="F184" i="60" s="1"/>
  <c r="I184" i="60" a="1"/>
  <c r="I184" i="60" s="1"/>
  <c r="H184" i="60"/>
  <c r="F176" i="60" a="1"/>
  <c r="F176" i="60" s="1"/>
  <c r="I176" i="60" a="1"/>
  <c r="I176" i="60" s="1"/>
  <c r="H176" i="60"/>
  <c r="F168" i="60" a="1"/>
  <c r="F168" i="60" s="1"/>
  <c r="H168" i="60"/>
  <c r="I168" i="60" a="1"/>
  <c r="I168" i="60" s="1"/>
  <c r="H160" i="60"/>
  <c r="I160" i="60" a="1"/>
  <c r="I160" i="60" s="1"/>
  <c r="F160" i="60" a="1"/>
  <c r="F160" i="60" s="1"/>
  <c r="F152" i="60" a="1"/>
  <c r="F152" i="60" s="1"/>
  <c r="H152" i="60"/>
  <c r="I152" i="60" a="1"/>
  <c r="I152" i="60" s="1"/>
  <c r="F144" i="60" a="1"/>
  <c r="F144" i="60" s="1"/>
  <c r="H144" i="60"/>
  <c r="I144" i="60" a="1"/>
  <c r="I144" i="60" s="1"/>
  <c r="F136" i="60" a="1"/>
  <c r="F136" i="60" s="1"/>
  <c r="I136" i="60" a="1"/>
  <c r="I136" i="60" s="1"/>
  <c r="H136" i="60"/>
  <c r="I128" i="60" a="1"/>
  <c r="I128" i="60" s="1"/>
  <c r="F128" i="60" a="1"/>
  <c r="F128" i="60" s="1"/>
  <c r="H128" i="60"/>
  <c r="F120" i="60" a="1"/>
  <c r="F120" i="60" s="1"/>
  <c r="H120" i="60"/>
  <c r="I120" i="60" a="1"/>
  <c r="I120" i="60" s="1"/>
  <c r="F112" i="60" a="1"/>
  <c r="F112" i="60" s="1"/>
  <c r="I112" i="60" a="1"/>
  <c r="I112" i="60" s="1"/>
  <c r="H112" i="60"/>
  <c r="F104" i="60" a="1"/>
  <c r="F104" i="60" s="1"/>
  <c r="H104" i="60"/>
  <c r="I104" i="60" a="1"/>
  <c r="I104" i="60" s="1"/>
  <c r="F96" i="60" a="1"/>
  <c r="F96" i="60" s="1"/>
  <c r="I96" i="60" a="1"/>
  <c r="I96" i="60" s="1"/>
  <c r="H96" i="60"/>
  <c r="F88" i="60" a="1"/>
  <c r="F88" i="60" s="1"/>
  <c r="H88" i="60"/>
  <c r="I88" i="60" a="1"/>
  <c r="I88" i="60" s="1"/>
  <c r="F80" i="60" a="1"/>
  <c r="F80" i="60" s="1"/>
  <c r="I80" i="60" a="1"/>
  <c r="I80" i="60" s="1"/>
  <c r="H80" i="60"/>
  <c r="F72" i="60" a="1"/>
  <c r="F72" i="60" s="1"/>
  <c r="H72" i="60"/>
  <c r="I72" i="60" a="1"/>
  <c r="I72" i="60" s="1"/>
  <c r="F64" i="60" a="1"/>
  <c r="F64" i="60" s="1"/>
  <c r="I64" i="60" a="1"/>
  <c r="I64" i="60" s="1"/>
  <c r="H64" i="60"/>
  <c r="F56" i="60" a="1"/>
  <c r="F56" i="60" s="1"/>
  <c r="H56" i="60"/>
  <c r="I56" i="60" a="1"/>
  <c r="I56" i="60" s="1"/>
  <c r="F48" i="60" a="1"/>
  <c r="F48" i="60" s="1"/>
  <c r="I48" i="60" a="1"/>
  <c r="I48" i="60" s="1"/>
  <c r="H48" i="60"/>
  <c r="F40" i="60" a="1"/>
  <c r="F40" i="60" s="1"/>
  <c r="H40" i="60"/>
  <c r="I40" i="60" a="1"/>
  <c r="I40" i="60" s="1"/>
  <c r="F32" i="60" a="1"/>
  <c r="F32" i="60" s="1"/>
  <c r="I32" i="60" a="1"/>
  <c r="I32" i="60" s="1"/>
  <c r="H32" i="60"/>
  <c r="B209" i="60"/>
  <c r="B201" i="60"/>
  <c r="B193" i="60"/>
  <c r="B185" i="60"/>
  <c r="B177" i="60"/>
  <c r="B169" i="60"/>
  <c r="B161" i="60"/>
  <c r="B153" i="60"/>
  <c r="B145" i="60"/>
  <c r="B137" i="60"/>
  <c r="B129" i="60"/>
  <c r="B121" i="60"/>
  <c r="B113" i="60"/>
  <c r="B105" i="60"/>
  <c r="B97" i="60"/>
  <c r="B89" i="60"/>
  <c r="B81" i="60"/>
  <c r="B73" i="60"/>
  <c r="B65" i="60"/>
  <c r="B57" i="60"/>
  <c r="B49" i="60"/>
  <c r="B41" i="60"/>
  <c r="B33" i="60"/>
  <c r="B46" i="60"/>
  <c r="B78" i="60"/>
  <c r="B110" i="60"/>
  <c r="B142" i="60"/>
  <c r="B174" i="60"/>
  <c r="B206" i="60"/>
  <c r="B238" i="60"/>
  <c r="B53" i="60"/>
  <c r="B85" i="60"/>
  <c r="B117" i="60"/>
  <c r="B149" i="60"/>
  <c r="B181" i="60"/>
  <c r="B213" i="60"/>
  <c r="B245" i="60"/>
  <c r="B54" i="60"/>
  <c r="B86" i="60"/>
  <c r="B118" i="60"/>
  <c r="B150" i="60"/>
  <c r="B182" i="60"/>
  <c r="B214" i="60"/>
  <c r="B246" i="60"/>
  <c r="B29" i="60"/>
  <c r="B61" i="60"/>
  <c r="B93" i="60"/>
  <c r="B125" i="60"/>
  <c r="B157" i="60"/>
  <c r="B189" i="60"/>
  <c r="B221" i="60"/>
  <c r="B30" i="60"/>
  <c r="B62" i="60"/>
  <c r="B94" i="60"/>
  <c r="B126" i="60"/>
  <c r="B158" i="60"/>
  <c r="B190" i="60"/>
  <c r="B222" i="60"/>
  <c r="B37" i="60"/>
  <c r="B69" i="60"/>
  <c r="B101" i="60"/>
  <c r="B133" i="60"/>
  <c r="B38" i="60"/>
  <c r="B70" i="60"/>
  <c r="B102" i="60"/>
  <c r="B134" i="60"/>
  <c r="B166" i="60"/>
  <c r="B198" i="60"/>
  <c r="B230" i="60"/>
  <c r="B173" i="60"/>
  <c r="B197" i="60"/>
  <c r="B205" i="60"/>
  <c r="B45" i="60"/>
  <c r="B229" i="60"/>
  <c r="B77" i="60"/>
  <c r="B237" i="60"/>
  <c r="B141" i="60"/>
  <c r="B165" i="60"/>
  <c r="B109" i="60"/>
  <c r="B248" i="60"/>
  <c r="B240" i="60"/>
  <c r="B232" i="60"/>
  <c r="B224" i="60"/>
  <c r="B216" i="60"/>
  <c r="B208" i="60"/>
  <c r="B200" i="60"/>
  <c r="B192" i="60"/>
  <c r="B184" i="60"/>
  <c r="B176" i="60"/>
  <c r="B168" i="60"/>
  <c r="B160" i="60"/>
  <c r="B152" i="60"/>
  <c r="B144" i="60"/>
  <c r="B136" i="60"/>
  <c r="B128" i="60"/>
  <c r="B120" i="60"/>
  <c r="B112" i="60"/>
  <c r="B104" i="60"/>
  <c r="B96" i="60"/>
  <c r="B88" i="60"/>
  <c r="B80" i="60"/>
  <c r="B72" i="60"/>
  <c r="B64" i="60"/>
  <c r="B56" i="60"/>
  <c r="B48" i="60"/>
  <c r="B40" i="60"/>
  <c r="B32" i="60"/>
  <c r="B26" i="60"/>
  <c r="B34" i="60"/>
  <c r="B42" i="60"/>
  <c r="B50" i="60"/>
  <c r="B58" i="60"/>
  <c r="B66" i="60"/>
  <c r="B74" i="60"/>
  <c r="B82" i="60"/>
  <c r="B90" i="60"/>
  <c r="B98" i="60"/>
  <c r="B106" i="60"/>
  <c r="B114" i="60"/>
  <c r="B122" i="60"/>
  <c r="B130" i="60"/>
  <c r="B138" i="60"/>
  <c r="B146" i="60"/>
  <c r="B154" i="60"/>
  <c r="B162" i="60"/>
  <c r="B170" i="60"/>
  <c r="B178" i="60"/>
  <c r="B186" i="60"/>
  <c r="B194" i="60"/>
  <c r="B202" i="60"/>
  <c r="B210" i="60"/>
  <c r="B218" i="60"/>
  <c r="B226" i="60"/>
  <c r="B234" i="60"/>
  <c r="B242" i="60"/>
  <c r="B250" i="60"/>
  <c r="B247" i="60"/>
  <c r="B239" i="60"/>
  <c r="B231" i="60"/>
  <c r="B223" i="60"/>
  <c r="B215" i="60"/>
  <c r="B207" i="60"/>
  <c r="B199" i="60"/>
  <c r="B191" i="60"/>
  <c r="B183" i="60"/>
  <c r="B175" i="60"/>
  <c r="B167" i="60"/>
  <c r="B159" i="60"/>
  <c r="B151" i="60"/>
  <c r="B143" i="60"/>
  <c r="B135" i="60"/>
  <c r="B127" i="60"/>
  <c r="B119" i="60"/>
  <c r="B111" i="60"/>
  <c r="B103" i="60"/>
  <c r="B95" i="60"/>
  <c r="B87" i="60"/>
  <c r="B79" i="60"/>
  <c r="B71" i="60"/>
  <c r="B63" i="60"/>
  <c r="B55" i="60"/>
  <c r="B47" i="60"/>
  <c r="B39" i="60"/>
  <c r="B31" i="60"/>
  <c r="B27" i="60"/>
  <c r="B252" i="60"/>
  <c r="B244" i="60"/>
  <c r="B236" i="60"/>
  <c r="B228" i="60"/>
  <c r="B220" i="60"/>
  <c r="B212" i="60"/>
  <c r="B204" i="60"/>
  <c r="B196" i="60"/>
  <c r="B188" i="60"/>
  <c r="B180" i="60"/>
  <c r="B172" i="60"/>
  <c r="B164" i="60"/>
  <c r="B156" i="60"/>
  <c r="B148" i="60"/>
  <c r="B140" i="60"/>
  <c r="B132" i="60"/>
  <c r="B124" i="60"/>
  <c r="B116" i="60"/>
  <c r="B108" i="60"/>
  <c r="B100" i="60"/>
  <c r="B92" i="60"/>
  <c r="B84" i="60"/>
  <c r="B76" i="60"/>
  <c r="B68" i="60"/>
  <c r="B60" i="60"/>
  <c r="B52" i="60"/>
  <c r="B44" i="60"/>
  <c r="B36" i="60"/>
  <c r="B28" i="60"/>
  <c r="B251" i="60"/>
  <c r="B243" i="60"/>
  <c r="B235" i="60"/>
  <c r="B227" i="60"/>
  <c r="B219" i="60"/>
  <c r="B211" i="60"/>
  <c r="B203" i="60"/>
  <c r="B195" i="60"/>
  <c r="B187" i="60"/>
  <c r="B179" i="60"/>
  <c r="B171" i="60"/>
  <c r="B163" i="60"/>
  <c r="B155" i="60"/>
  <c r="B147" i="60"/>
  <c r="B139" i="60"/>
  <c r="B131" i="60"/>
  <c r="B123" i="60"/>
  <c r="B115" i="60"/>
  <c r="B107" i="60"/>
  <c r="B99" i="60"/>
  <c r="B91" i="60"/>
  <c r="B83" i="60"/>
  <c r="B75" i="60"/>
  <c r="B67" i="60"/>
  <c r="B59" i="60"/>
  <c r="B51" i="60"/>
  <c r="B43" i="60"/>
  <c r="B35" i="60"/>
  <c r="T23" i="60"/>
  <c r="T19" i="60"/>
  <c r="T15" i="60"/>
  <c r="T11" i="60"/>
  <c r="T7" i="60"/>
  <c r="T3" i="60"/>
  <c r="T22" i="60"/>
  <c r="T18" i="60"/>
  <c r="T14" i="60"/>
  <c r="T10" i="60"/>
  <c r="T6" i="60"/>
  <c r="T20" i="60"/>
  <c r="T12" i="60"/>
  <c r="T8" i="60"/>
  <c r="T25" i="60"/>
  <c r="T21" i="60"/>
  <c r="T17" i="60"/>
  <c r="T13" i="60"/>
  <c r="T9" i="60"/>
  <c r="T5" i="60"/>
  <c r="T24" i="60"/>
  <c r="T16" i="60"/>
  <c r="T4" i="60"/>
  <c r="M25" i="60"/>
  <c r="E25" i="60" a="1"/>
  <c r="E25" i="60" s="1"/>
  <c r="M17" i="60"/>
  <c r="E17" i="60" a="1"/>
  <c r="E17" i="60" s="1"/>
  <c r="M9" i="60"/>
  <c r="E9" i="60" a="1"/>
  <c r="E9" i="60" s="1"/>
  <c r="M23" i="60"/>
  <c r="E23" i="60" a="1"/>
  <c r="E23" i="60" s="1"/>
  <c r="M15" i="60"/>
  <c r="E15" i="60" a="1"/>
  <c r="E15" i="60" s="1"/>
  <c r="M7" i="60"/>
  <c r="E7" i="60" a="1"/>
  <c r="E7" i="60" s="1"/>
  <c r="E22" i="60" a="1"/>
  <c r="E22" i="60" s="1"/>
  <c r="M22" i="60"/>
  <c r="E14" i="60" a="1"/>
  <c r="E14" i="60" s="1"/>
  <c r="M14" i="60"/>
  <c r="E6" i="60" a="1"/>
  <c r="E6" i="60" s="1"/>
  <c r="M6" i="60"/>
  <c r="E19" i="60" a="1"/>
  <c r="E19" i="60" s="1"/>
  <c r="M19" i="60"/>
  <c r="E11" i="60" a="1"/>
  <c r="E11" i="60" s="1"/>
  <c r="M11" i="60"/>
  <c r="E3" i="60" a="1"/>
  <c r="E3" i="60" s="1"/>
  <c r="M3" i="60"/>
  <c r="E21" i="60" a="1"/>
  <c r="E21" i="60" s="1"/>
  <c r="E13" i="60" a="1"/>
  <c r="E13" i="60" s="1"/>
  <c r="E5" i="60" a="1"/>
  <c r="E5" i="60" s="1"/>
  <c r="B19" i="60"/>
  <c r="B11" i="60"/>
  <c r="B3" i="60"/>
  <c r="H19" i="60"/>
  <c r="H11" i="60"/>
  <c r="H3" i="60"/>
  <c r="M18" i="60"/>
  <c r="M10" i="60"/>
  <c r="I23" i="60" a="1"/>
  <c r="I23" i="60" s="1"/>
  <c r="I19" i="60" a="1"/>
  <c r="I19" i="60" s="1"/>
  <c r="I15" i="60" a="1"/>
  <c r="I15" i="60" s="1"/>
  <c r="I11" i="60" a="1"/>
  <c r="I11" i="60" s="1"/>
  <c r="I7" i="60" a="1"/>
  <c r="I7" i="60" s="1"/>
  <c r="I3" i="60" a="1"/>
  <c r="I3" i="60" s="1"/>
  <c r="H18" i="60"/>
  <c r="H10" i="60"/>
  <c r="F25" i="60" a="1"/>
  <c r="F25" i="60" s="1"/>
  <c r="F21" i="60" a="1"/>
  <c r="F21" i="60" s="1"/>
  <c r="F17" i="60" a="1"/>
  <c r="F17" i="60" s="1"/>
  <c r="F13" i="60" a="1"/>
  <c r="F13" i="60" s="1"/>
  <c r="F9" i="60" a="1"/>
  <c r="F9" i="60" s="1"/>
  <c r="F5" i="60" a="1"/>
  <c r="F5" i="60" s="1"/>
  <c r="E24" i="60" a="1"/>
  <c r="E24" i="60" s="1"/>
  <c r="E16" i="60" a="1"/>
  <c r="E16" i="60" s="1"/>
  <c r="E8" i="60" a="1"/>
  <c r="E8" i="60" s="1"/>
  <c r="B25" i="60"/>
  <c r="B17" i="60"/>
  <c r="B9" i="60"/>
  <c r="H25" i="60"/>
  <c r="H17" i="60"/>
  <c r="H9" i="60"/>
  <c r="I22" i="60" a="1"/>
  <c r="I22" i="60" s="1"/>
  <c r="I18" i="60" a="1"/>
  <c r="I18" i="60" s="1"/>
  <c r="I14" i="60" a="1"/>
  <c r="I14" i="60" s="1"/>
  <c r="I10" i="60" a="1"/>
  <c r="I10" i="60" s="1"/>
  <c r="I6" i="60" a="1"/>
  <c r="I6" i="60" s="1"/>
  <c r="H24" i="60"/>
  <c r="H16" i="60"/>
  <c r="H8" i="60"/>
  <c r="B23" i="60"/>
  <c r="B15" i="60"/>
  <c r="B7" i="60"/>
  <c r="H23" i="60"/>
  <c r="H15" i="60"/>
  <c r="H7" i="60"/>
  <c r="B22" i="60"/>
  <c r="B14" i="60"/>
  <c r="B6" i="60"/>
  <c r="I21" i="60" a="1"/>
  <c r="I21" i="60" s="1"/>
  <c r="I13" i="60" a="1"/>
  <c r="I13" i="60" s="1"/>
  <c r="I5" i="60" a="1"/>
  <c r="I5" i="60" s="1"/>
  <c r="B21" i="60"/>
  <c r="B13" i="60"/>
  <c r="B5" i="60"/>
  <c r="B20" i="60"/>
  <c r="B12" i="60"/>
  <c r="T2" i="60"/>
  <c r="E2" i="60" a="1"/>
  <c r="E2" i="60" s="1"/>
  <c r="M2" i="60"/>
  <c r="F2" i="60" a="1"/>
  <c r="F2" i="60" s="1"/>
  <c r="H2" i="60"/>
  <c r="I2" i="60" a="1"/>
  <c r="I2" i="60" s="1"/>
  <c r="V83" i="59"/>
  <c r="E83" i="59" s="1"/>
  <c r="V99" i="59"/>
  <c r="E99" i="59" s="1"/>
  <c r="V91" i="59"/>
  <c r="C91" i="59" s="1"/>
  <c r="V60" i="59"/>
  <c r="C60" i="59" s="1"/>
  <c r="V84" i="59"/>
  <c r="E84" i="59" s="1"/>
  <c r="V67" i="59"/>
  <c r="C67" i="59" s="1"/>
  <c r="C71" i="59"/>
  <c r="C63" i="59"/>
  <c r="C55" i="59"/>
  <c r="C47" i="59"/>
  <c r="C86" i="59"/>
  <c r="E52" i="59"/>
  <c r="V102" i="59"/>
  <c r="C102" i="59" s="1"/>
  <c r="V100" i="59"/>
  <c r="H100" i="59" s="1"/>
  <c r="C97" i="59"/>
  <c r="C98" i="59"/>
  <c r="C101" i="59"/>
  <c r="C94" i="59"/>
  <c r="V95" i="59"/>
  <c r="C95" i="59" s="1"/>
  <c r="C93" i="59"/>
  <c r="V92" i="59"/>
  <c r="D92" i="59" s="1"/>
  <c r="C89" i="59"/>
  <c r="C85" i="59"/>
  <c r="C87" i="59"/>
  <c r="C90" i="59"/>
  <c r="C82" i="59"/>
  <c r="C81" i="59"/>
  <c r="V79" i="59"/>
  <c r="C79" i="59" s="1"/>
  <c r="V78" i="59"/>
  <c r="C78" i="59" s="1"/>
  <c r="V76" i="59"/>
  <c r="H76" i="59" s="1"/>
  <c r="V75" i="59"/>
  <c r="C75" i="59" s="1"/>
  <c r="V77" i="59"/>
  <c r="C77" i="59" s="1"/>
  <c r="I76" i="59"/>
  <c r="C70" i="59"/>
  <c r="C62" i="59"/>
  <c r="C54" i="59"/>
  <c r="C46" i="59"/>
  <c r="C38" i="59"/>
  <c r="C53" i="59"/>
  <c r="C45" i="59"/>
  <c r="D68" i="59"/>
  <c r="H52" i="59"/>
  <c r="C44" i="59"/>
  <c r="C39" i="59"/>
  <c r="C69" i="59"/>
  <c r="C74" i="59"/>
  <c r="C66" i="59"/>
  <c r="C58" i="59"/>
  <c r="C50" i="59"/>
  <c r="C42" i="59"/>
  <c r="H68" i="59"/>
  <c r="C73" i="59"/>
  <c r="C65" i="59"/>
  <c r="C57" i="59"/>
  <c r="C49" i="59"/>
  <c r="C41" i="59"/>
  <c r="H44" i="59"/>
  <c r="C61" i="59"/>
  <c r="C68" i="59"/>
  <c r="C37" i="59"/>
  <c r="D96" i="59"/>
  <c r="E96" i="59"/>
  <c r="H96" i="59"/>
  <c r="C96" i="59"/>
  <c r="I96" i="59"/>
  <c r="I88" i="59"/>
  <c r="C88" i="59"/>
  <c r="D88" i="59"/>
  <c r="E88" i="59"/>
  <c r="H88" i="59"/>
  <c r="D80" i="59"/>
  <c r="E80" i="59"/>
  <c r="H80" i="59"/>
  <c r="I80" i="59"/>
  <c r="C80" i="59"/>
  <c r="C72" i="59"/>
  <c r="D72" i="59"/>
  <c r="E72" i="59"/>
  <c r="H72" i="59"/>
  <c r="I72" i="59"/>
  <c r="E64" i="59"/>
  <c r="I64" i="59"/>
  <c r="C64" i="59"/>
  <c r="D64" i="59"/>
  <c r="H64" i="59"/>
  <c r="D56" i="59"/>
  <c r="I56" i="59"/>
  <c r="H56" i="59"/>
  <c r="C56" i="59"/>
  <c r="E56" i="59"/>
  <c r="H48" i="59"/>
  <c r="C48" i="59"/>
  <c r="I48" i="59"/>
  <c r="D48" i="59"/>
  <c r="E48" i="59"/>
  <c r="C40" i="59"/>
  <c r="E40" i="59"/>
  <c r="D40" i="59"/>
  <c r="H40" i="59"/>
  <c r="I40" i="59"/>
  <c r="E68" i="59"/>
  <c r="I100" i="59"/>
  <c r="I68" i="59"/>
  <c r="E44" i="59"/>
  <c r="D52" i="59"/>
  <c r="I52" i="59"/>
  <c r="D44" i="59"/>
  <c r="C52" i="59"/>
  <c r="H91" i="59"/>
  <c r="C59" i="59"/>
  <c r="D59" i="59"/>
  <c r="E59" i="59"/>
  <c r="H59" i="59"/>
  <c r="I59" i="59"/>
  <c r="C51" i="59"/>
  <c r="D51" i="59"/>
  <c r="E51" i="59"/>
  <c r="H51" i="59"/>
  <c r="I51" i="59"/>
  <c r="C43" i="59"/>
  <c r="D43" i="59"/>
  <c r="E43" i="59"/>
  <c r="H43" i="59"/>
  <c r="I43" i="59"/>
  <c r="I44" i="59"/>
  <c r="I98" i="59"/>
  <c r="I90" i="59"/>
  <c r="I82" i="59"/>
  <c r="I74" i="59"/>
  <c r="I66" i="59"/>
  <c r="I58" i="59"/>
  <c r="I50" i="59"/>
  <c r="I42" i="59"/>
  <c r="H98" i="59"/>
  <c r="H90" i="59"/>
  <c r="H82" i="59"/>
  <c r="H74" i="59"/>
  <c r="H66" i="59"/>
  <c r="H58" i="59"/>
  <c r="H50" i="59"/>
  <c r="H42" i="59"/>
  <c r="E98" i="59"/>
  <c r="E90" i="59"/>
  <c r="E82" i="59"/>
  <c r="E74" i="59"/>
  <c r="E66" i="59"/>
  <c r="E58" i="59"/>
  <c r="E50" i="59"/>
  <c r="E42" i="59"/>
  <c r="D98" i="59"/>
  <c r="D90" i="59"/>
  <c r="D82" i="59"/>
  <c r="D74" i="59"/>
  <c r="D66" i="59"/>
  <c r="D58" i="59"/>
  <c r="D50" i="59"/>
  <c r="D42" i="59"/>
  <c r="I97" i="59"/>
  <c r="I89" i="59"/>
  <c r="I81" i="59"/>
  <c r="I73" i="59"/>
  <c r="I65" i="59"/>
  <c r="I57" i="59"/>
  <c r="I49" i="59"/>
  <c r="I41" i="59"/>
  <c r="H97" i="59"/>
  <c r="H89" i="59"/>
  <c r="H81" i="59"/>
  <c r="H73" i="59"/>
  <c r="H65" i="59"/>
  <c r="H57" i="59"/>
  <c r="H49" i="59"/>
  <c r="H41" i="59"/>
  <c r="E97" i="59"/>
  <c r="E89" i="59"/>
  <c r="E81" i="59"/>
  <c r="E73" i="59"/>
  <c r="E65" i="59"/>
  <c r="E57" i="59"/>
  <c r="E49" i="59"/>
  <c r="E41" i="59"/>
  <c r="D97" i="59"/>
  <c r="D89" i="59"/>
  <c r="D81" i="59"/>
  <c r="D73" i="59"/>
  <c r="D65" i="59"/>
  <c r="D57" i="59"/>
  <c r="D49" i="59"/>
  <c r="D41" i="59"/>
  <c r="I95" i="59"/>
  <c r="I87" i="59"/>
  <c r="I79" i="59"/>
  <c r="I71" i="59"/>
  <c r="I63" i="59"/>
  <c r="I55" i="59"/>
  <c r="I47" i="59"/>
  <c r="I39" i="59"/>
  <c r="H87" i="59"/>
  <c r="H71" i="59"/>
  <c r="H63" i="59"/>
  <c r="H55" i="59"/>
  <c r="H47" i="59"/>
  <c r="H39" i="59"/>
  <c r="E87" i="59"/>
  <c r="E71" i="59"/>
  <c r="E63" i="59"/>
  <c r="E55" i="59"/>
  <c r="E47" i="59"/>
  <c r="E39" i="59"/>
  <c r="D87" i="59"/>
  <c r="D71" i="59"/>
  <c r="D63" i="59"/>
  <c r="D55" i="59"/>
  <c r="D47" i="59"/>
  <c r="D39" i="59"/>
  <c r="I102" i="59"/>
  <c r="I94" i="59"/>
  <c r="I86" i="59"/>
  <c r="I78" i="59"/>
  <c r="I70" i="59"/>
  <c r="I62" i="59"/>
  <c r="I54" i="59"/>
  <c r="I46" i="59"/>
  <c r="I38" i="59"/>
  <c r="H94" i="59"/>
  <c r="H86" i="59"/>
  <c r="H70" i="59"/>
  <c r="H62" i="59"/>
  <c r="H54" i="59"/>
  <c r="H46" i="59"/>
  <c r="H38" i="59"/>
  <c r="E94" i="59"/>
  <c r="E86" i="59"/>
  <c r="E70" i="59"/>
  <c r="E62" i="59"/>
  <c r="E54" i="59"/>
  <c r="E46" i="59"/>
  <c r="E38" i="59"/>
  <c r="D94" i="59"/>
  <c r="D86" i="59"/>
  <c r="D70" i="59"/>
  <c r="D62" i="59"/>
  <c r="D54" i="59"/>
  <c r="D46" i="59"/>
  <c r="D38" i="59"/>
  <c r="I101" i="59"/>
  <c r="I93" i="59"/>
  <c r="I85" i="59"/>
  <c r="I77" i="59"/>
  <c r="I69" i="59"/>
  <c r="I61" i="59"/>
  <c r="I53" i="59"/>
  <c r="I45" i="59"/>
  <c r="I37" i="59"/>
  <c r="H101" i="59"/>
  <c r="H93" i="59"/>
  <c r="H85" i="59"/>
  <c r="H69" i="59"/>
  <c r="H61" i="59"/>
  <c r="H53" i="59"/>
  <c r="H45" i="59"/>
  <c r="H37" i="59"/>
  <c r="E101" i="59"/>
  <c r="E93" i="59"/>
  <c r="E85" i="59"/>
  <c r="E69" i="59"/>
  <c r="E61" i="59"/>
  <c r="E53" i="59"/>
  <c r="E45" i="59"/>
  <c r="E37" i="59"/>
  <c r="D101" i="59"/>
  <c r="D93" i="59"/>
  <c r="D85" i="59"/>
  <c r="D69" i="59"/>
  <c r="D61" i="59"/>
  <c r="D53" i="59"/>
  <c r="D45" i="59"/>
  <c r="D37" i="59"/>
  <c r="G21" i="54"/>
  <c r="K21" i="54" s="1"/>
  <c r="G19" i="54"/>
  <c r="K19" i="54" s="1"/>
  <c r="G15" i="54"/>
  <c r="K15" i="54" s="1"/>
  <c r="K385" i="57"/>
  <c r="K87" i="57"/>
  <c r="J475" i="57"/>
  <c r="K593" i="57"/>
  <c r="K237" i="57"/>
  <c r="J471" i="57"/>
  <c r="J717" i="57"/>
  <c r="K471" i="57"/>
  <c r="J293" i="57"/>
  <c r="K107" i="57"/>
  <c r="J623" i="57"/>
  <c r="J593" i="57"/>
  <c r="G808" i="57"/>
  <c r="G729" i="57"/>
  <c r="G273" i="57"/>
  <c r="G46" i="57"/>
  <c r="G658" i="57"/>
  <c r="G587" i="57"/>
  <c r="G266" i="57"/>
  <c r="G794" i="57"/>
  <c r="G717" i="57"/>
  <c r="G642" i="57"/>
  <c r="G593" i="57"/>
  <c r="G718" i="57"/>
  <c r="G472" i="57"/>
  <c r="G559" i="57"/>
  <c r="G233" i="57"/>
  <c r="G758" i="57"/>
  <c r="G784" i="57"/>
  <c r="G706" i="57"/>
  <c r="G623" i="57"/>
  <c r="G439" i="57"/>
  <c r="G308" i="57"/>
  <c r="G672" i="57"/>
  <c r="G765" i="57"/>
  <c r="G697" i="57"/>
  <c r="G510" i="57"/>
  <c r="G436" i="57"/>
  <c r="G84" i="57"/>
  <c r="G824" i="57"/>
  <c r="G674" i="57"/>
  <c r="G620" i="57"/>
  <c r="G388" i="57"/>
  <c r="G307" i="57"/>
  <c r="G823" i="57"/>
  <c r="G807" i="57"/>
  <c r="G782" i="57"/>
  <c r="G753" i="57"/>
  <c r="G667" i="57"/>
  <c r="G640" i="57"/>
  <c r="G541" i="57"/>
  <c r="G471" i="57"/>
  <c r="G384" i="57"/>
  <c r="G265" i="57"/>
  <c r="G169" i="57"/>
  <c r="G128" i="57"/>
  <c r="G822" i="57"/>
  <c r="G801" i="57"/>
  <c r="G715" i="57"/>
  <c r="G696" i="57"/>
  <c r="G661" i="57"/>
  <c r="G608" i="57"/>
  <c r="G494" i="57"/>
  <c r="G330" i="57"/>
  <c r="G291" i="57"/>
  <c r="G10" i="57"/>
  <c r="G778" i="57"/>
  <c r="G750" i="57"/>
  <c r="G708" i="57"/>
  <c r="G694" i="57"/>
  <c r="G639" i="57"/>
  <c r="G492" i="57"/>
  <c r="G462" i="57"/>
  <c r="G375" i="57"/>
  <c r="G819" i="57"/>
  <c r="G796" i="57"/>
  <c r="G766" i="57"/>
  <c r="G744" i="57"/>
  <c r="G693" i="57"/>
  <c r="G660" i="57"/>
  <c r="G632" i="57"/>
  <c r="G600" i="57"/>
  <c r="G565" i="57"/>
  <c r="G521" i="57"/>
  <c r="G409" i="57"/>
  <c r="G321" i="57"/>
  <c r="G153" i="57"/>
  <c r="G9" i="57"/>
  <c r="G812" i="57"/>
  <c r="G795" i="57"/>
  <c r="G739" i="57"/>
  <c r="G707" i="57"/>
  <c r="G683" i="57"/>
  <c r="G627" i="57"/>
  <c r="G564" i="57"/>
  <c r="G447" i="57"/>
  <c r="G368" i="57"/>
  <c r="G235" i="57"/>
  <c r="G60" i="57"/>
  <c r="G804" i="57"/>
  <c r="G755" i="57"/>
  <c r="G702" i="57"/>
  <c r="G657" i="57"/>
  <c r="G579" i="57"/>
  <c r="G487" i="57"/>
  <c r="G359" i="57"/>
  <c r="G299" i="57"/>
  <c r="G283" i="57"/>
  <c r="G255" i="57"/>
  <c r="G168" i="57"/>
  <c r="G101" i="57"/>
  <c r="G36" i="57"/>
  <c r="G19" i="57"/>
  <c r="G827" i="57"/>
  <c r="G817" i="57"/>
  <c r="G802" i="57"/>
  <c r="G788" i="57"/>
  <c r="G774" i="57"/>
  <c r="G754" i="57"/>
  <c r="G733" i="57"/>
  <c r="G714" i="57"/>
  <c r="G700" i="57"/>
  <c r="G687" i="57"/>
  <c r="G666" i="57"/>
  <c r="G643" i="57"/>
  <c r="G634" i="57"/>
  <c r="G619" i="57"/>
  <c r="G519" i="57"/>
  <c r="G496" i="57"/>
  <c r="G422" i="57"/>
  <c r="G399" i="57"/>
  <c r="G319" i="57"/>
  <c r="G293" i="57"/>
  <c r="G816" i="57"/>
  <c r="G768" i="57"/>
  <c r="G711" i="57"/>
  <c r="G665" i="57"/>
  <c r="G610" i="57"/>
  <c r="G577" i="57"/>
  <c r="G451" i="57"/>
  <c r="G398" i="57"/>
  <c r="G352" i="57"/>
  <c r="G217" i="57"/>
  <c r="G192" i="57"/>
  <c r="G95" i="57"/>
  <c r="G48" i="57"/>
  <c r="G583" i="57"/>
  <c r="G545" i="57"/>
  <c r="G502" i="57"/>
  <c r="G410" i="57"/>
  <c r="G378" i="57"/>
  <c r="G309" i="57"/>
  <c r="G284" i="57"/>
  <c r="G218" i="57"/>
  <c r="G213" i="57"/>
  <c r="G154" i="57"/>
  <c r="G143" i="57"/>
  <c r="G89" i="57"/>
  <c r="G77" i="57"/>
  <c r="G41" i="57"/>
  <c r="G29" i="57"/>
  <c r="G596" i="57"/>
  <c r="G546" i="57"/>
  <c r="G504" i="57"/>
  <c r="G479" i="57"/>
  <c r="G419" i="57"/>
  <c r="G382" i="57"/>
  <c r="G350" i="57"/>
  <c r="G285" i="57"/>
  <c r="G253" i="57"/>
  <c r="G214" i="57"/>
  <c r="G173" i="57"/>
  <c r="G145" i="57"/>
  <c r="G114" i="57"/>
  <c r="G78" i="57"/>
  <c r="G58" i="57"/>
  <c r="G30" i="57"/>
  <c r="G14" i="57"/>
  <c r="G246" i="57"/>
  <c r="G229" i="57"/>
  <c r="G212" i="57"/>
  <c r="G172" i="57"/>
  <c r="G166" i="57"/>
  <c r="G148" i="57"/>
  <c r="G140" i="57"/>
  <c r="G109" i="57"/>
  <c r="G94" i="57"/>
  <c r="G83" i="57"/>
  <c r="G70" i="57"/>
  <c r="G50" i="57"/>
  <c r="G32" i="57"/>
  <c r="G28" i="57"/>
  <c r="G13" i="57"/>
  <c r="G609" i="57"/>
  <c r="G586" i="57"/>
  <c r="G567" i="57"/>
  <c r="G551" i="57"/>
  <c r="G532" i="57"/>
  <c r="G512" i="57"/>
  <c r="G499" i="57"/>
  <c r="G491" i="57"/>
  <c r="G475" i="57"/>
  <c r="G455" i="57"/>
  <c r="G441" i="57"/>
  <c r="G421" i="57"/>
  <c r="G404" i="57"/>
  <c r="G387" i="57"/>
  <c r="G376" i="57"/>
  <c r="G362" i="57"/>
  <c r="G336" i="57"/>
  <c r="G316" i="57"/>
  <c r="G302" i="57"/>
  <c r="G287" i="57"/>
  <c r="G278" i="57"/>
  <c r="G256" i="57"/>
  <c r="G237" i="57"/>
  <c r="G228" i="57"/>
  <c r="G200" i="57"/>
  <c r="G171" i="57"/>
  <c r="G165" i="57"/>
  <c r="G147" i="57"/>
  <c r="G135" i="57"/>
  <c r="G107" i="57"/>
  <c r="G90" i="57"/>
  <c r="G79" i="57"/>
  <c r="G69" i="57"/>
  <c r="G49" i="57"/>
  <c r="G45" i="57"/>
  <c r="G31" i="57"/>
  <c r="G22" i="57"/>
  <c r="G12" i="57"/>
  <c r="A812" i="57"/>
  <c r="J812" i="57"/>
  <c r="K812" i="57"/>
  <c r="A794" i="57"/>
  <c r="J794" i="57"/>
  <c r="K794" i="57"/>
  <c r="A766" i="57"/>
  <c r="J766" i="57"/>
  <c r="K766" i="57"/>
  <c r="A739" i="57"/>
  <c r="K739" i="57"/>
  <c r="J739" i="57"/>
  <c r="A708" i="57"/>
  <c r="K708" i="57"/>
  <c r="A693" i="57"/>
  <c r="J693" i="57"/>
  <c r="K693" i="57"/>
  <c r="A661" i="57"/>
  <c r="J661" i="57"/>
  <c r="K661" i="57"/>
  <c r="A639" i="57"/>
  <c r="K639" i="57"/>
  <c r="A609" i="57"/>
  <c r="K609" i="57"/>
  <c r="J609" i="57"/>
  <c r="A586" i="57"/>
  <c r="J586" i="57"/>
  <c r="K586" i="57"/>
  <c r="A551" i="57"/>
  <c r="J551" i="57"/>
  <c r="K551" i="57"/>
  <c r="A512" i="57"/>
  <c r="K512" i="57"/>
  <c r="A491" i="57"/>
  <c r="K491" i="57"/>
  <c r="J491" i="57"/>
  <c r="A455" i="57"/>
  <c r="J455" i="57"/>
  <c r="K455" i="57"/>
  <c r="A421" i="57"/>
  <c r="J421" i="57"/>
  <c r="K421" i="57"/>
  <c r="A387" i="57"/>
  <c r="K387" i="57"/>
  <c r="J387" i="57"/>
  <c r="A362" i="57"/>
  <c r="K362" i="57"/>
  <c r="A316" i="57"/>
  <c r="J316" i="57"/>
  <c r="K316" i="57"/>
  <c r="A287" i="57"/>
  <c r="J287" i="57"/>
  <c r="K287" i="57"/>
  <c r="A256" i="57"/>
  <c r="K256" i="57"/>
  <c r="J256" i="57"/>
  <c r="A228" i="57"/>
  <c r="K228" i="57"/>
  <c r="A200" i="57"/>
  <c r="J200" i="57"/>
  <c r="K200" i="57"/>
  <c r="A165" i="57"/>
  <c r="J165" i="57"/>
  <c r="K165" i="57"/>
  <c r="A135" i="57"/>
  <c r="K135" i="57"/>
  <c r="A90" i="57"/>
  <c r="K90" i="57"/>
  <c r="J90" i="57"/>
  <c r="A69" i="57"/>
  <c r="J69" i="57"/>
  <c r="K69" i="57"/>
  <c r="A45" i="57"/>
  <c r="J45" i="57"/>
  <c r="A22" i="57"/>
  <c r="K22" i="57"/>
  <c r="A733" i="57"/>
  <c r="J733" i="57"/>
  <c r="A634" i="57"/>
  <c r="J634" i="57"/>
  <c r="A384" i="57"/>
  <c r="J384" i="57"/>
  <c r="A285" i="57"/>
  <c r="J285" i="57"/>
  <c r="A128" i="57"/>
  <c r="J128" i="57"/>
  <c r="A19" i="57"/>
  <c r="J19" i="57"/>
  <c r="K19" i="57"/>
  <c r="A824" i="57"/>
  <c r="K824" i="57"/>
  <c r="J824" i="57"/>
  <c r="A807" i="57"/>
  <c r="K807" i="57"/>
  <c r="A758" i="57"/>
  <c r="K758" i="57"/>
  <c r="A729" i="57"/>
  <c r="K729" i="57"/>
  <c r="J729" i="57"/>
  <c r="A706" i="57"/>
  <c r="K706" i="57"/>
  <c r="J706" i="57"/>
  <c r="A683" i="57"/>
  <c r="K683" i="57"/>
  <c r="J683" i="57"/>
  <c r="A658" i="57"/>
  <c r="K658" i="57"/>
  <c r="J658" i="57"/>
  <c r="A632" i="57"/>
  <c r="K632" i="57"/>
  <c r="A600" i="57"/>
  <c r="K600" i="57"/>
  <c r="J600" i="57"/>
  <c r="A579" i="57"/>
  <c r="K579" i="57"/>
  <c r="A545" i="57"/>
  <c r="K545" i="57"/>
  <c r="J545" i="57"/>
  <c r="A504" i="57"/>
  <c r="K504" i="57"/>
  <c r="J504" i="57"/>
  <c r="A487" i="57"/>
  <c r="K487" i="57"/>
  <c r="J487" i="57"/>
  <c r="A451" i="57"/>
  <c r="K451" i="57"/>
  <c r="J451" i="57"/>
  <c r="A410" i="57"/>
  <c r="K410" i="57"/>
  <c r="A382" i="57"/>
  <c r="K382" i="57"/>
  <c r="J382" i="57"/>
  <c r="A352" i="57"/>
  <c r="K352" i="57"/>
  <c r="A308" i="57"/>
  <c r="K308" i="57"/>
  <c r="J308" i="57"/>
  <c r="A284" i="57"/>
  <c r="K284" i="57"/>
  <c r="A253" i="57"/>
  <c r="K253" i="57"/>
  <c r="J253" i="57"/>
  <c r="A217" i="57"/>
  <c r="K217" i="57"/>
  <c r="J217" i="57"/>
  <c r="A173" i="57"/>
  <c r="K173" i="57"/>
  <c r="J173" i="57"/>
  <c r="A153" i="57"/>
  <c r="K153" i="57"/>
  <c r="J153" i="57"/>
  <c r="A114" i="57"/>
  <c r="K114" i="57"/>
  <c r="A84" i="57"/>
  <c r="K84" i="57"/>
  <c r="J84" i="57"/>
  <c r="A58" i="57"/>
  <c r="K58" i="57"/>
  <c r="A36" i="57"/>
  <c r="J36" i="57"/>
  <c r="A14" i="57"/>
  <c r="K14" i="57"/>
  <c r="J14" i="57"/>
  <c r="K634" i="57"/>
  <c r="K293" i="57"/>
  <c r="J807" i="57"/>
  <c r="J708" i="57"/>
  <c r="J579" i="57"/>
  <c r="J410" i="57"/>
  <c r="J284" i="57"/>
  <c r="J114" i="57"/>
  <c r="J795" i="57"/>
  <c r="A795" i="57"/>
  <c r="J744" i="57"/>
  <c r="A744" i="57"/>
  <c r="K744" i="57"/>
  <c r="J694" i="57"/>
  <c r="A694" i="57"/>
  <c r="K694" i="57"/>
  <c r="J610" i="57"/>
  <c r="A610" i="57"/>
  <c r="K610" i="57"/>
  <c r="J587" i="57"/>
  <c r="A587" i="57"/>
  <c r="K587" i="57"/>
  <c r="J492" i="57"/>
  <c r="A492" i="57"/>
  <c r="K492" i="57"/>
  <c r="J462" i="57"/>
  <c r="A462" i="57"/>
  <c r="K462" i="57"/>
  <c r="J388" i="57"/>
  <c r="A388" i="57"/>
  <c r="K388" i="57"/>
  <c r="J319" i="57"/>
  <c r="A319" i="57"/>
  <c r="K319" i="57"/>
  <c r="J229" i="57"/>
  <c r="A229" i="57"/>
  <c r="K229" i="57"/>
  <c r="J166" i="57"/>
  <c r="A166" i="57"/>
  <c r="J94" i="57"/>
  <c r="A94" i="57"/>
  <c r="K94" i="57"/>
  <c r="J28" i="57"/>
  <c r="A28" i="57"/>
  <c r="K28" i="57"/>
  <c r="A765" i="57"/>
  <c r="J765" i="57"/>
  <c r="A583" i="57"/>
  <c r="J583" i="57"/>
  <c r="K583" i="57"/>
  <c r="A218" i="57"/>
  <c r="J218" i="57"/>
  <c r="K218" i="57"/>
  <c r="A823" i="57"/>
  <c r="K823" i="57"/>
  <c r="J823" i="57"/>
  <c r="A804" i="57"/>
  <c r="K804" i="57"/>
  <c r="A784" i="57"/>
  <c r="J784" i="57"/>
  <c r="K784" i="57"/>
  <c r="A755" i="57"/>
  <c r="J755" i="57"/>
  <c r="K755" i="57"/>
  <c r="A718" i="57"/>
  <c r="J718" i="57"/>
  <c r="A702" i="57"/>
  <c r="K702" i="57"/>
  <c r="J702" i="57"/>
  <c r="A674" i="57"/>
  <c r="K674" i="57"/>
  <c r="A657" i="57"/>
  <c r="J657" i="57"/>
  <c r="K657" i="57"/>
  <c r="A627" i="57"/>
  <c r="J627" i="57"/>
  <c r="A596" i="57"/>
  <c r="K596" i="57"/>
  <c r="J596" i="57"/>
  <c r="A577" i="57"/>
  <c r="K577" i="57"/>
  <c r="A541" i="57"/>
  <c r="J541" i="57"/>
  <c r="K541" i="57"/>
  <c r="A502" i="57"/>
  <c r="J502" i="57"/>
  <c r="A479" i="57"/>
  <c r="K479" i="57"/>
  <c r="A447" i="57"/>
  <c r="K447" i="57"/>
  <c r="J447" i="57"/>
  <c r="A409" i="57"/>
  <c r="J409" i="57"/>
  <c r="K409" i="57"/>
  <c r="A378" i="57"/>
  <c r="J378" i="57"/>
  <c r="A350" i="57"/>
  <c r="K350" i="57"/>
  <c r="A307" i="57"/>
  <c r="J307" i="57"/>
  <c r="K307" i="57"/>
  <c r="A283" i="57"/>
  <c r="J283" i="57"/>
  <c r="K283" i="57"/>
  <c r="A246" i="57"/>
  <c r="J246" i="57"/>
  <c r="A172" i="57"/>
  <c r="K172" i="57"/>
  <c r="A148" i="57"/>
  <c r="J148" i="57"/>
  <c r="K148" i="57"/>
  <c r="A109" i="57"/>
  <c r="J109" i="57"/>
  <c r="A83" i="57"/>
  <c r="K83" i="57"/>
  <c r="J83" i="57"/>
  <c r="A50" i="57"/>
  <c r="K50" i="57"/>
  <c r="A32" i="57"/>
  <c r="J32" i="57"/>
  <c r="K32" i="57"/>
  <c r="A13" i="57"/>
  <c r="J13" i="57"/>
  <c r="K717" i="57"/>
  <c r="K627" i="57"/>
  <c r="K77" i="57"/>
  <c r="J804" i="57"/>
  <c r="J674" i="57"/>
  <c r="J577" i="57"/>
  <c r="J237" i="57"/>
  <c r="J107" i="57"/>
  <c r="J816" i="57"/>
  <c r="A816" i="57"/>
  <c r="K816" i="57"/>
  <c r="J768" i="57"/>
  <c r="A768" i="57"/>
  <c r="J711" i="57"/>
  <c r="A711" i="57"/>
  <c r="K711" i="57"/>
  <c r="J665" i="57"/>
  <c r="A665" i="57"/>
  <c r="J559" i="57"/>
  <c r="A559" i="57"/>
  <c r="J519" i="57"/>
  <c r="A519" i="57"/>
  <c r="K519" i="57"/>
  <c r="J422" i="57"/>
  <c r="A422" i="57"/>
  <c r="J291" i="57"/>
  <c r="A291" i="57"/>
  <c r="J265" i="57"/>
  <c r="A265" i="57"/>
  <c r="K265" i="57"/>
  <c r="J212" i="57"/>
  <c r="A212" i="57"/>
  <c r="K212" i="57"/>
  <c r="J140" i="57"/>
  <c r="A140" i="57"/>
  <c r="K140" i="57"/>
  <c r="J70" i="57"/>
  <c r="A70" i="57"/>
  <c r="K70" i="57"/>
  <c r="A808" i="57"/>
  <c r="J808" i="57"/>
  <c r="K808" i="57"/>
  <c r="A707" i="57"/>
  <c r="J707" i="57"/>
  <c r="K707" i="57"/>
  <c r="A608" i="57"/>
  <c r="J608" i="57"/>
  <c r="K608" i="57"/>
  <c r="A359" i="57"/>
  <c r="J359" i="57"/>
  <c r="K359" i="57"/>
  <c r="A255" i="57"/>
  <c r="J255" i="57"/>
  <c r="A89" i="57"/>
  <c r="J89" i="57"/>
  <c r="K89" i="57"/>
  <c r="A41" i="57"/>
  <c r="J41" i="57"/>
  <c r="K41" i="57"/>
  <c r="K559" i="57"/>
  <c r="A822" i="57"/>
  <c r="J822" i="57"/>
  <c r="A802" i="57"/>
  <c r="K802" i="57"/>
  <c r="A782" i="57"/>
  <c r="J782" i="57"/>
  <c r="K782" i="57"/>
  <c r="A754" i="57"/>
  <c r="K754" i="57"/>
  <c r="J754" i="57"/>
  <c r="A700" i="57"/>
  <c r="J700" i="57"/>
  <c r="A672" i="57"/>
  <c r="K672" i="57"/>
  <c r="A643" i="57"/>
  <c r="J643" i="57"/>
  <c r="K643" i="57"/>
  <c r="A567" i="57"/>
  <c r="K567" i="57"/>
  <c r="J567" i="57"/>
  <c r="A532" i="57"/>
  <c r="J532" i="57"/>
  <c r="K532" i="57"/>
  <c r="A499" i="57"/>
  <c r="J499" i="57"/>
  <c r="A441" i="57"/>
  <c r="K441" i="57"/>
  <c r="J441" i="57"/>
  <c r="A404" i="57"/>
  <c r="K404" i="57"/>
  <c r="A376" i="57"/>
  <c r="J376" i="57"/>
  <c r="A336" i="57"/>
  <c r="J336" i="57"/>
  <c r="A302" i="57"/>
  <c r="J302" i="57"/>
  <c r="K302" i="57"/>
  <c r="A278" i="57"/>
  <c r="K278" i="57"/>
  <c r="J278" i="57"/>
  <c r="A171" i="57"/>
  <c r="K171" i="57"/>
  <c r="A147" i="57"/>
  <c r="J147" i="57"/>
  <c r="K147" i="57"/>
  <c r="A79" i="57"/>
  <c r="J79" i="57"/>
  <c r="A49" i="57"/>
  <c r="K49" i="57"/>
  <c r="J49" i="57"/>
  <c r="A31" i="57"/>
  <c r="J31" i="57"/>
  <c r="K31" i="57"/>
  <c r="A12" i="57"/>
  <c r="K12" i="57"/>
  <c r="J12" i="57"/>
  <c r="K700" i="57"/>
  <c r="K623" i="57"/>
  <c r="K502" i="57"/>
  <c r="K384" i="57"/>
  <c r="K285" i="57"/>
  <c r="K166" i="57"/>
  <c r="J802" i="57"/>
  <c r="J672" i="57"/>
  <c r="J77" i="57"/>
  <c r="A827" i="57"/>
  <c r="K827" i="57"/>
  <c r="A687" i="57"/>
  <c r="J687" i="57"/>
  <c r="K687" i="57"/>
  <c r="A546" i="57"/>
  <c r="J546" i="57"/>
  <c r="A154" i="57"/>
  <c r="J154" i="57"/>
  <c r="A819" i="57"/>
  <c r="J819" i="57"/>
  <c r="A801" i="57"/>
  <c r="J801" i="57"/>
  <c r="A778" i="57"/>
  <c r="K778" i="57"/>
  <c r="A753" i="57"/>
  <c r="K753" i="57"/>
  <c r="J753" i="57"/>
  <c r="A715" i="57"/>
  <c r="J715" i="57"/>
  <c r="K715" i="57"/>
  <c r="A697" i="57"/>
  <c r="J697" i="57"/>
  <c r="A667" i="57"/>
  <c r="K667" i="57"/>
  <c r="A642" i="57"/>
  <c r="J642" i="57"/>
  <c r="K642" i="57"/>
  <c r="A620" i="57"/>
  <c r="J620" i="57"/>
  <c r="K620" i="57"/>
  <c r="A565" i="57"/>
  <c r="K565" i="57"/>
  <c r="J565" i="57"/>
  <c r="A521" i="57"/>
  <c r="K521" i="57"/>
  <c r="A496" i="57"/>
  <c r="J496" i="57"/>
  <c r="K496" i="57"/>
  <c r="A472" i="57"/>
  <c r="J472" i="57"/>
  <c r="A439" i="57"/>
  <c r="K439" i="57"/>
  <c r="J439" i="57"/>
  <c r="A399" i="57"/>
  <c r="K399" i="57"/>
  <c r="A375" i="57"/>
  <c r="J375" i="57"/>
  <c r="K375" i="57"/>
  <c r="A330" i="57"/>
  <c r="J330" i="57"/>
  <c r="A299" i="57"/>
  <c r="K299" i="57"/>
  <c r="A273" i="57"/>
  <c r="K273" i="57"/>
  <c r="J273" i="57"/>
  <c r="A235" i="57"/>
  <c r="J235" i="57"/>
  <c r="K235" i="57"/>
  <c r="A214" i="57"/>
  <c r="J214" i="57"/>
  <c r="A169" i="57"/>
  <c r="K169" i="57"/>
  <c r="A145" i="57"/>
  <c r="J145" i="57"/>
  <c r="K145" i="57"/>
  <c r="A101" i="57"/>
  <c r="J101" i="57"/>
  <c r="K101" i="57"/>
  <c r="A78" i="57"/>
  <c r="J78" i="57"/>
  <c r="A48" i="57"/>
  <c r="K48" i="57"/>
  <c r="J48" i="57"/>
  <c r="A30" i="57"/>
  <c r="K30" i="57"/>
  <c r="A10" i="57"/>
  <c r="K10" i="57"/>
  <c r="J10" i="57"/>
  <c r="K795" i="57"/>
  <c r="K697" i="57"/>
  <c r="K499" i="57"/>
  <c r="K378" i="57"/>
  <c r="K255" i="57"/>
  <c r="K154" i="57"/>
  <c r="K45" i="57"/>
  <c r="J778" i="57"/>
  <c r="J667" i="57"/>
  <c r="J362" i="57"/>
  <c r="J228" i="57"/>
  <c r="J58" i="57"/>
  <c r="K768" i="57"/>
  <c r="A788" i="57"/>
  <c r="J788" i="57"/>
  <c r="K788" i="57"/>
  <c r="A660" i="57"/>
  <c r="J660" i="57"/>
  <c r="A510" i="57"/>
  <c r="J510" i="57"/>
  <c r="A419" i="57"/>
  <c r="J419" i="57"/>
  <c r="A309" i="57"/>
  <c r="J309" i="57"/>
  <c r="K309" i="57"/>
  <c r="A192" i="57"/>
  <c r="J192" i="57"/>
  <c r="K192" i="57"/>
  <c r="A60" i="57"/>
  <c r="J60" i="57"/>
  <c r="K60" i="57"/>
  <c r="K733" i="57"/>
  <c r="A817" i="57"/>
  <c r="J817" i="57"/>
  <c r="A796" i="57"/>
  <c r="J796" i="57"/>
  <c r="A750" i="57"/>
  <c r="K750" i="57"/>
  <c r="J750" i="57"/>
  <c r="A714" i="57"/>
  <c r="K714" i="57"/>
  <c r="A696" i="57"/>
  <c r="J696" i="57"/>
  <c r="A666" i="57"/>
  <c r="J666" i="57"/>
  <c r="A640" i="57"/>
  <c r="J640" i="57"/>
  <c r="K640" i="57"/>
  <c r="A619" i="57"/>
  <c r="K619" i="57"/>
  <c r="J619" i="57"/>
  <c r="A564" i="57"/>
  <c r="J564" i="57"/>
  <c r="A494" i="57"/>
  <c r="J494" i="57"/>
  <c r="K494" i="57"/>
  <c r="A436" i="57"/>
  <c r="J436" i="57"/>
  <c r="A398" i="57"/>
  <c r="K398" i="57"/>
  <c r="J398" i="57"/>
  <c r="A368" i="57"/>
  <c r="J368" i="57"/>
  <c r="K368" i="57"/>
  <c r="A321" i="57"/>
  <c r="J321" i="57"/>
  <c r="A266" i="57"/>
  <c r="K266" i="57"/>
  <c r="J266" i="57"/>
  <c r="A233" i="57"/>
  <c r="K233" i="57"/>
  <c r="A213" i="57"/>
  <c r="J213" i="57"/>
  <c r="A168" i="57"/>
  <c r="J168" i="57"/>
  <c r="A143" i="57"/>
  <c r="J143" i="57"/>
  <c r="K143" i="57"/>
  <c r="A95" i="57"/>
  <c r="K95" i="57"/>
  <c r="J95" i="57"/>
  <c r="A46" i="57"/>
  <c r="K46" i="57"/>
  <c r="J46" i="57"/>
  <c r="A29" i="57"/>
  <c r="K29" i="57"/>
  <c r="A9" i="57"/>
  <c r="J9" i="57"/>
  <c r="K774" i="57"/>
  <c r="K696" i="57"/>
  <c r="K475" i="57"/>
  <c r="K376" i="57"/>
  <c r="K246" i="57"/>
  <c r="K128" i="57"/>
  <c r="K36" i="57"/>
  <c r="J774" i="57"/>
  <c r="J639" i="57"/>
  <c r="J512" i="57"/>
  <c r="J352" i="57"/>
  <c r="J172" i="57"/>
  <c r="J50" i="57"/>
  <c r="K529" i="57"/>
  <c r="K732" i="57"/>
  <c r="K652" i="57"/>
  <c r="J644" i="57"/>
  <c r="J621" i="57"/>
  <c r="A535" i="57"/>
  <c r="J131" i="57"/>
  <c r="K122" i="57"/>
  <c r="K413" i="57"/>
  <c r="A628" i="57"/>
  <c r="K690" i="57"/>
  <c r="J493" i="57"/>
  <c r="K681" i="57"/>
  <c r="K7" i="57"/>
  <c r="K33" i="57"/>
  <c r="K220" i="57"/>
  <c r="K292" i="57"/>
  <c r="K64" i="57"/>
  <c r="K96" i="57"/>
  <c r="J176" i="57"/>
  <c r="K777" i="57"/>
  <c r="J730" i="57"/>
  <c r="K716" i="57"/>
  <c r="J676" i="57"/>
  <c r="A686" i="57"/>
  <c r="K673" i="57"/>
  <c r="K670" i="57"/>
  <c r="K635" i="57"/>
  <c r="J630" i="57"/>
  <c r="A617" i="57"/>
  <c r="J628" i="57"/>
  <c r="J617" i="57"/>
  <c r="J585" i="57"/>
  <c r="J597" i="57"/>
  <c r="K557" i="57"/>
  <c r="A528" i="57"/>
  <c r="A517" i="57"/>
  <c r="K528" i="57"/>
  <c r="K515" i="57"/>
  <c r="K474" i="57"/>
  <c r="J430" i="57"/>
  <c r="A458" i="57"/>
  <c r="K313" i="57"/>
  <c r="K310" i="57"/>
  <c r="A267" i="57"/>
  <c r="K274" i="57"/>
  <c r="K141" i="57"/>
  <c r="A99" i="57"/>
  <c r="K86" i="57"/>
  <c r="K54" i="57"/>
  <c r="K130" i="57"/>
  <c r="K236" i="57"/>
  <c r="K163" i="57"/>
  <c r="J191" i="57"/>
  <c r="A231" i="57"/>
  <c r="A160" i="57"/>
  <c r="K295" i="57"/>
  <c r="K345" i="57"/>
  <c r="A370" i="57"/>
  <c r="K406" i="57"/>
  <c r="A476" i="57"/>
  <c r="A414" i="57"/>
  <c r="K495" i="57"/>
  <c r="K569" i="57"/>
  <c r="A566" i="57"/>
  <c r="K601" i="57"/>
  <c r="K616" i="57"/>
  <c r="J704" i="57"/>
  <c r="J724" i="57"/>
  <c r="K730" i="57"/>
  <c r="K226" i="57"/>
  <c r="K155" i="57"/>
  <c r="J184" i="57"/>
  <c r="A223" i="57"/>
  <c r="A150" i="57"/>
  <c r="K294" i="57"/>
  <c r="K311" i="57"/>
  <c r="K372" i="57"/>
  <c r="A361" i="57"/>
  <c r="K393" i="57"/>
  <c r="K400" i="57"/>
  <c r="K483" i="57"/>
  <c r="K418" i="57"/>
  <c r="J437" i="57"/>
  <c r="A467" i="57"/>
  <c r="J506" i="57"/>
  <c r="K536" i="57"/>
  <c r="K558" i="57"/>
  <c r="A556" i="57"/>
  <c r="A594" i="57"/>
  <c r="K614" i="57"/>
  <c r="J692" i="57"/>
  <c r="A701" i="57"/>
  <c r="J732" i="57"/>
  <c r="A342" i="57"/>
  <c r="K71" i="57"/>
  <c r="J97" i="57"/>
  <c r="J137" i="57"/>
  <c r="K209" i="57"/>
  <c r="J234" i="57"/>
  <c r="J162" i="57"/>
  <c r="A206" i="57"/>
  <c r="K242" i="57"/>
  <c r="K263" i="57"/>
  <c r="K281" i="57"/>
  <c r="K364" i="57"/>
  <c r="A354" i="57"/>
  <c r="K466" i="57"/>
  <c r="J486" i="57"/>
  <c r="J424" i="57"/>
  <c r="A448" i="57"/>
  <c r="K525" i="57"/>
  <c r="A527" i="57"/>
  <c r="J533" i="57"/>
  <c r="J638" i="57"/>
  <c r="A638" i="57"/>
  <c r="K664" i="57"/>
  <c r="A668" i="57"/>
  <c r="K705" i="57"/>
  <c r="J684" i="57"/>
  <c r="A679" i="57"/>
  <c r="K769" i="57"/>
  <c r="A775" i="57"/>
  <c r="K243" i="57"/>
  <c r="K21" i="57"/>
  <c r="A56" i="57"/>
  <c r="K201" i="57"/>
  <c r="J225" i="57"/>
  <c r="J152" i="57"/>
  <c r="A197" i="57"/>
  <c r="A254" i="57"/>
  <c r="K280" i="57"/>
  <c r="K344" i="57"/>
  <c r="K363" i="57"/>
  <c r="A353" i="57"/>
  <c r="K457" i="57"/>
  <c r="J477" i="57"/>
  <c r="A443" i="57"/>
  <c r="K518" i="57"/>
  <c r="A522" i="57"/>
  <c r="K592" i="57"/>
  <c r="K637" i="57"/>
  <c r="K655" i="57"/>
  <c r="A653" i="57"/>
  <c r="J680" i="57"/>
  <c r="K759" i="57"/>
  <c r="A764" i="57"/>
  <c r="J689" i="57"/>
  <c r="A43" i="57"/>
  <c r="A125" i="57"/>
  <c r="K193" i="57"/>
  <c r="J219" i="57"/>
  <c r="J139" i="57"/>
  <c r="A189" i="57"/>
  <c r="K251" i="57"/>
  <c r="J290" i="57"/>
  <c r="K322" i="57"/>
  <c r="K335" i="57"/>
  <c r="K355" i="57"/>
  <c r="K446" i="57"/>
  <c r="A434" i="57"/>
  <c r="A503" i="57"/>
  <c r="A518" i="57"/>
  <c r="A581" i="57"/>
  <c r="K746" i="57"/>
  <c r="A756" i="57"/>
  <c r="K40" i="57"/>
  <c r="J123" i="57"/>
  <c r="K185" i="57"/>
  <c r="J208" i="57"/>
  <c r="A182" i="57"/>
  <c r="K247" i="57"/>
  <c r="J313" i="57"/>
  <c r="J331" i="57"/>
  <c r="A333" i="57"/>
  <c r="A380" i="57"/>
  <c r="K442" i="57"/>
  <c r="J460" i="57"/>
  <c r="K607" i="57"/>
  <c r="K626" i="57"/>
  <c r="K647" i="57"/>
  <c r="K738" i="57"/>
  <c r="K177" i="57"/>
  <c r="J199" i="57"/>
  <c r="A175" i="57"/>
  <c r="K244" i="57"/>
  <c r="K296" i="57"/>
  <c r="J312" i="57"/>
  <c r="J323" i="57"/>
  <c r="A325" i="57"/>
  <c r="K381" i="57"/>
  <c r="K346" i="57"/>
  <c r="A371" i="57"/>
  <c r="A392" i="57"/>
  <c r="K433" i="57"/>
  <c r="J450" i="57"/>
  <c r="A484" i="57"/>
  <c r="A420" i="57"/>
  <c r="K507" i="57"/>
  <c r="K570" i="57"/>
  <c r="A568" i="57"/>
  <c r="K625" i="57"/>
  <c r="J709" i="57"/>
  <c r="K723" i="57"/>
  <c r="A726" i="57"/>
  <c r="K731" i="57"/>
  <c r="J736" i="57"/>
  <c r="A789" i="57"/>
  <c r="G830" i="57"/>
  <c r="G825" i="57"/>
  <c r="G809" i="57"/>
  <c r="G800" i="57"/>
  <c r="G792" i="57"/>
  <c r="G789" i="57"/>
  <c r="G783" i="57"/>
  <c r="G829" i="57"/>
  <c r="G821" i="57"/>
  <c r="G818" i="57"/>
  <c r="G813" i="57"/>
  <c r="G806" i="57"/>
  <c r="G799" i="57"/>
  <c r="G797" i="57"/>
  <c r="G787" i="57"/>
  <c r="G781" i="57"/>
  <c r="G828" i="57"/>
  <c r="G815" i="57"/>
  <c r="G811" i="57"/>
  <c r="G805" i="57"/>
  <c r="G798" i="57"/>
  <c r="G791" i="57"/>
  <c r="G786" i="57"/>
  <c r="G780" i="57"/>
  <c r="G826" i="57"/>
  <c r="G820" i="57"/>
  <c r="G814" i="57"/>
  <c r="G810" i="57"/>
  <c r="G803" i="57"/>
  <c r="G793" i="57"/>
  <c r="G790" i="57"/>
  <c r="G785" i="57"/>
  <c r="G779" i="57"/>
  <c r="K830" i="57"/>
  <c r="K809" i="57"/>
  <c r="K789" i="57"/>
  <c r="J830" i="57"/>
  <c r="J809" i="57"/>
  <c r="K829" i="57"/>
  <c r="K818" i="57"/>
  <c r="K806" i="57"/>
  <c r="K797" i="57"/>
  <c r="K787" i="57"/>
  <c r="J829" i="57"/>
  <c r="J818" i="57"/>
  <c r="J806" i="57"/>
  <c r="J797" i="57"/>
  <c r="J787" i="57"/>
  <c r="K828" i="57"/>
  <c r="K815" i="57"/>
  <c r="K805" i="57"/>
  <c r="K786" i="57"/>
  <c r="J828" i="57"/>
  <c r="J815" i="57"/>
  <c r="J805" i="57"/>
  <c r="J786" i="57"/>
  <c r="K826" i="57"/>
  <c r="K814" i="57"/>
  <c r="K803" i="57"/>
  <c r="K793" i="57"/>
  <c r="K785" i="57"/>
  <c r="J826" i="57"/>
  <c r="J814" i="57"/>
  <c r="J803" i="57"/>
  <c r="J793" i="57"/>
  <c r="J785" i="57"/>
  <c r="K825" i="57"/>
  <c r="K800" i="57"/>
  <c r="K792" i="57"/>
  <c r="K783" i="57"/>
  <c r="J825" i="57"/>
  <c r="J800" i="57"/>
  <c r="J792" i="57"/>
  <c r="J783" i="57"/>
  <c r="K821" i="57"/>
  <c r="K813" i="57"/>
  <c r="K799" i="57"/>
  <c r="K781" i="57"/>
  <c r="J821" i="57"/>
  <c r="J813" i="57"/>
  <c r="J799" i="57"/>
  <c r="J781" i="57"/>
  <c r="K811" i="57"/>
  <c r="K798" i="57"/>
  <c r="K791" i="57"/>
  <c r="K780" i="57"/>
  <c r="J811" i="57"/>
  <c r="J798" i="57"/>
  <c r="J791" i="57"/>
  <c r="J780" i="57"/>
  <c r="K820" i="57"/>
  <c r="K810" i="57"/>
  <c r="K790" i="57"/>
  <c r="K779" i="57"/>
  <c r="J820" i="57"/>
  <c r="J810" i="57"/>
  <c r="J790" i="57"/>
  <c r="J779" i="57"/>
  <c r="G777" i="57"/>
  <c r="G772" i="57"/>
  <c r="G769" i="57"/>
  <c r="G762" i="57"/>
  <c r="G759" i="57"/>
  <c r="G751" i="57"/>
  <c r="G746" i="57"/>
  <c r="G742" i="57"/>
  <c r="G738" i="57"/>
  <c r="G776" i="57"/>
  <c r="G771" i="57"/>
  <c r="G767" i="57"/>
  <c r="G761" i="57"/>
  <c r="G757" i="57"/>
  <c r="G749" i="57"/>
  <c r="G745" i="57"/>
  <c r="G741" i="57"/>
  <c r="G737" i="57"/>
  <c r="G775" i="57"/>
  <c r="G770" i="57"/>
  <c r="G764" i="57"/>
  <c r="G756" i="57"/>
  <c r="G748" i="57"/>
  <c r="G740" i="57"/>
  <c r="G773" i="57"/>
  <c r="G763" i="57"/>
  <c r="G760" i="57"/>
  <c r="G752" i="57"/>
  <c r="G747" i="57"/>
  <c r="G743" i="57"/>
  <c r="J770" i="57"/>
  <c r="J740" i="57"/>
  <c r="K776" i="57"/>
  <c r="K767" i="57"/>
  <c r="K757" i="57"/>
  <c r="K745" i="57"/>
  <c r="K737" i="57"/>
  <c r="J760" i="57"/>
  <c r="J747" i="57"/>
  <c r="A773" i="57"/>
  <c r="A763" i="57"/>
  <c r="A752" i="57"/>
  <c r="A743" i="57"/>
  <c r="K775" i="57"/>
  <c r="K764" i="57"/>
  <c r="K756" i="57"/>
  <c r="J777" i="57"/>
  <c r="J769" i="57"/>
  <c r="J759" i="57"/>
  <c r="J746" i="57"/>
  <c r="J738" i="57"/>
  <c r="A772" i="57"/>
  <c r="A762" i="57"/>
  <c r="A751" i="57"/>
  <c r="A742" i="57"/>
  <c r="K773" i="57"/>
  <c r="K763" i="57"/>
  <c r="K752" i="57"/>
  <c r="K743" i="57"/>
  <c r="J776" i="57"/>
  <c r="J767" i="57"/>
  <c r="J757" i="57"/>
  <c r="J745" i="57"/>
  <c r="J737" i="57"/>
  <c r="A771" i="57"/>
  <c r="A761" i="57"/>
  <c r="A749" i="57"/>
  <c r="A741" i="57"/>
  <c r="J748" i="57"/>
  <c r="K772" i="57"/>
  <c r="K762" i="57"/>
  <c r="K751" i="57"/>
  <c r="K742" i="57"/>
  <c r="A770" i="57"/>
  <c r="A748" i="57"/>
  <c r="A740" i="57"/>
  <c r="K771" i="57"/>
  <c r="K761" i="57"/>
  <c r="K749" i="57"/>
  <c r="K741" i="57"/>
  <c r="A760" i="57"/>
  <c r="A747" i="57"/>
  <c r="G736" i="57"/>
  <c r="K736" i="57"/>
  <c r="G731" i="57"/>
  <c r="G735" i="57"/>
  <c r="G730" i="57"/>
  <c r="G734" i="57"/>
  <c r="G728" i="57"/>
  <c r="G732" i="57"/>
  <c r="J728" i="57"/>
  <c r="K728" i="57"/>
  <c r="A735" i="57"/>
  <c r="A734" i="57"/>
  <c r="J735" i="57"/>
  <c r="J734" i="57"/>
  <c r="A731" i="57"/>
  <c r="G727" i="57"/>
  <c r="G723" i="57"/>
  <c r="G719" i="57"/>
  <c r="G726" i="57"/>
  <c r="G722" i="57"/>
  <c r="G725" i="57"/>
  <c r="G721" i="57"/>
  <c r="G724" i="57"/>
  <c r="G720" i="57"/>
  <c r="K722" i="57"/>
  <c r="J723" i="57"/>
  <c r="A725" i="57"/>
  <c r="K721" i="57"/>
  <c r="J722" i="57"/>
  <c r="A724" i="57"/>
  <c r="K720" i="57"/>
  <c r="J721" i="57"/>
  <c r="K727" i="57"/>
  <c r="K719" i="57"/>
  <c r="J720" i="57"/>
  <c r="K726" i="57"/>
  <c r="J727" i="57"/>
  <c r="J719" i="57"/>
  <c r="K725" i="57"/>
  <c r="G716" i="57"/>
  <c r="G713" i="57"/>
  <c r="K713" i="57"/>
  <c r="J716" i="57"/>
  <c r="J713" i="57"/>
  <c r="G712" i="57"/>
  <c r="G705" i="57"/>
  <c r="G699" i="57"/>
  <c r="G690" i="57"/>
  <c r="G681" i="57"/>
  <c r="G678" i="57"/>
  <c r="G673" i="57"/>
  <c r="G710" i="57"/>
  <c r="G704" i="57"/>
  <c r="G698" i="57"/>
  <c r="G689" i="57"/>
  <c r="G685" i="57"/>
  <c r="G680" i="57"/>
  <c r="G677" i="57"/>
  <c r="G709" i="57"/>
  <c r="G703" i="57"/>
  <c r="G692" i="57"/>
  <c r="G688" i="57"/>
  <c r="G684" i="57"/>
  <c r="G676" i="57"/>
  <c r="G671" i="57"/>
  <c r="G695" i="57"/>
  <c r="G701" i="57"/>
  <c r="G691" i="57"/>
  <c r="G686" i="57"/>
  <c r="G682" i="57"/>
  <c r="G679" i="57"/>
  <c r="G675" i="57"/>
  <c r="K704" i="57"/>
  <c r="K689" i="57"/>
  <c r="K680" i="57"/>
  <c r="J703" i="57"/>
  <c r="J688" i="57"/>
  <c r="J671" i="57"/>
  <c r="A712" i="57"/>
  <c r="A699" i="57"/>
  <c r="A678" i="57"/>
  <c r="K703" i="57"/>
  <c r="K688" i="57"/>
  <c r="K671" i="57"/>
  <c r="J701" i="57"/>
  <c r="J686" i="57"/>
  <c r="J679" i="57"/>
  <c r="A710" i="57"/>
  <c r="A698" i="57"/>
  <c r="A685" i="57"/>
  <c r="A677" i="57"/>
  <c r="J712" i="57"/>
  <c r="J699" i="57"/>
  <c r="J678" i="57"/>
  <c r="A709" i="57"/>
  <c r="A692" i="57"/>
  <c r="A684" i="57"/>
  <c r="A676" i="57"/>
  <c r="J710" i="57"/>
  <c r="J698" i="57"/>
  <c r="J685" i="57"/>
  <c r="J677" i="57"/>
  <c r="A695" i="57"/>
  <c r="A691" i="57"/>
  <c r="A682" i="57"/>
  <c r="A675" i="57"/>
  <c r="A705" i="57"/>
  <c r="A690" i="57"/>
  <c r="A681" i="57"/>
  <c r="A673" i="57"/>
  <c r="J695" i="57"/>
  <c r="J691" i="57"/>
  <c r="J682" i="57"/>
  <c r="J675" i="57"/>
  <c r="G670" i="57"/>
  <c r="G663" i="57"/>
  <c r="G655" i="57"/>
  <c r="G651" i="57"/>
  <c r="G647" i="57"/>
  <c r="G669" i="57"/>
  <c r="G662" i="57"/>
  <c r="G654" i="57"/>
  <c r="G650" i="57"/>
  <c r="G646" i="57"/>
  <c r="G668" i="57"/>
  <c r="G659" i="57"/>
  <c r="G653" i="57"/>
  <c r="G649" i="57"/>
  <c r="G664" i="57"/>
  <c r="G656" i="57"/>
  <c r="G652" i="57"/>
  <c r="G648" i="57"/>
  <c r="K669" i="57"/>
  <c r="K654" i="57"/>
  <c r="K646" i="57"/>
  <c r="J656" i="57"/>
  <c r="J648" i="57"/>
  <c r="A664" i="57"/>
  <c r="A652" i="57"/>
  <c r="J659" i="57"/>
  <c r="J649" i="57"/>
  <c r="K668" i="57"/>
  <c r="K653" i="57"/>
  <c r="J670" i="57"/>
  <c r="J655" i="57"/>
  <c r="J647" i="57"/>
  <c r="A663" i="57"/>
  <c r="A651" i="57"/>
  <c r="J669" i="57"/>
  <c r="J654" i="57"/>
  <c r="J646" i="57"/>
  <c r="A662" i="57"/>
  <c r="A650" i="57"/>
  <c r="K663" i="57"/>
  <c r="K651" i="57"/>
  <c r="A659" i="57"/>
  <c r="A649" i="57"/>
  <c r="K662" i="57"/>
  <c r="K650" i="57"/>
  <c r="A656" i="57"/>
  <c r="A648" i="57"/>
  <c r="G645" i="57"/>
  <c r="G637" i="57"/>
  <c r="G631" i="57"/>
  <c r="G626" i="57"/>
  <c r="G622" i="57"/>
  <c r="G616" i="57"/>
  <c r="G612" i="57"/>
  <c r="G644" i="57"/>
  <c r="G636" i="57"/>
  <c r="G630" i="57"/>
  <c r="G621" i="57"/>
  <c r="G615" i="57"/>
  <c r="G641" i="57"/>
  <c r="G635" i="57"/>
  <c r="G629" i="57"/>
  <c r="G625" i="57"/>
  <c r="G618" i="57"/>
  <c r="G614" i="57"/>
  <c r="G611" i="57"/>
  <c r="G638" i="57"/>
  <c r="G633" i="57"/>
  <c r="G628" i="57"/>
  <c r="G624" i="57"/>
  <c r="G617" i="57"/>
  <c r="G613" i="57"/>
  <c r="K636" i="57"/>
  <c r="K615" i="57"/>
  <c r="J641" i="57"/>
  <c r="J629" i="57"/>
  <c r="J618" i="57"/>
  <c r="J611" i="57"/>
  <c r="A637" i="57"/>
  <c r="A626" i="57"/>
  <c r="A616" i="57"/>
  <c r="A636" i="57"/>
  <c r="A615" i="57"/>
  <c r="K633" i="57"/>
  <c r="K624" i="57"/>
  <c r="K613" i="57"/>
  <c r="A635" i="57"/>
  <c r="A625" i="57"/>
  <c r="A614" i="57"/>
  <c r="K645" i="57"/>
  <c r="K631" i="57"/>
  <c r="K622" i="57"/>
  <c r="K612" i="57"/>
  <c r="A633" i="57"/>
  <c r="A624" i="57"/>
  <c r="A613" i="57"/>
  <c r="K644" i="57"/>
  <c r="K630" i="57"/>
  <c r="K621" i="57"/>
  <c r="A645" i="57"/>
  <c r="A631" i="57"/>
  <c r="A622" i="57"/>
  <c r="A612" i="57"/>
  <c r="K641" i="57"/>
  <c r="K629" i="57"/>
  <c r="K618" i="57"/>
  <c r="K611" i="57"/>
  <c r="G607" i="57"/>
  <c r="G604" i="57"/>
  <c r="G601" i="57"/>
  <c r="G606" i="57"/>
  <c r="G599" i="57"/>
  <c r="G603" i="57"/>
  <c r="G605" i="57"/>
  <c r="G602" i="57"/>
  <c r="J603" i="57"/>
  <c r="K606" i="57"/>
  <c r="K599" i="57"/>
  <c r="J602" i="57"/>
  <c r="A605" i="57"/>
  <c r="J607" i="57"/>
  <c r="J601" i="57"/>
  <c r="A604" i="57"/>
  <c r="K605" i="57"/>
  <c r="J606" i="57"/>
  <c r="J599" i="57"/>
  <c r="K604" i="57"/>
  <c r="A603" i="57"/>
  <c r="A602" i="57"/>
  <c r="G598" i="57"/>
  <c r="G592" i="57"/>
  <c r="G588" i="57"/>
  <c r="G597" i="57"/>
  <c r="G591" i="57"/>
  <c r="G585" i="57"/>
  <c r="G595" i="57"/>
  <c r="G590" i="57"/>
  <c r="G584" i="57"/>
  <c r="G594" i="57"/>
  <c r="G589" i="57"/>
  <c r="K591" i="57"/>
  <c r="J595" i="57"/>
  <c r="J584" i="57"/>
  <c r="A592" i="57"/>
  <c r="K590" i="57"/>
  <c r="J594" i="57"/>
  <c r="A591" i="57"/>
  <c r="K589" i="57"/>
  <c r="A590" i="57"/>
  <c r="K598" i="57"/>
  <c r="K588" i="57"/>
  <c r="A589" i="57"/>
  <c r="K597" i="57"/>
  <c r="K585" i="57"/>
  <c r="A598" i="57"/>
  <c r="A588" i="57"/>
  <c r="K595" i="57"/>
  <c r="K584" i="57"/>
  <c r="G578" i="57"/>
  <c r="G582" i="57"/>
  <c r="G576" i="57"/>
  <c r="G573" i="57"/>
  <c r="G581" i="57"/>
  <c r="G575" i="57"/>
  <c r="G580" i="57"/>
  <c r="G574" i="57"/>
  <c r="K582" i="57"/>
  <c r="K573" i="57"/>
  <c r="J574" i="57"/>
  <c r="A580" i="57"/>
  <c r="K581" i="57"/>
  <c r="A578" i="57"/>
  <c r="J575" i="57"/>
  <c r="K580" i="57"/>
  <c r="J582" i="57"/>
  <c r="J573" i="57"/>
  <c r="A576" i="57"/>
  <c r="K578" i="57"/>
  <c r="A575" i="57"/>
  <c r="K576" i="57"/>
  <c r="A574" i="57"/>
  <c r="G572" i="57"/>
  <c r="G568" i="57"/>
  <c r="G561" i="57"/>
  <c r="G556" i="57"/>
  <c r="G570" i="57"/>
  <c r="G563" i="57"/>
  <c r="G558" i="57"/>
  <c r="G555" i="57"/>
  <c r="G571" i="57"/>
  <c r="G566" i="57"/>
  <c r="G560" i="57"/>
  <c r="G553" i="57"/>
  <c r="G569" i="57"/>
  <c r="G562" i="57"/>
  <c r="G557" i="57"/>
  <c r="G554" i="57"/>
  <c r="K572" i="57"/>
  <c r="K561" i="57"/>
  <c r="J563" i="57"/>
  <c r="J555" i="57"/>
  <c r="A570" i="57"/>
  <c r="A558" i="57"/>
  <c r="J561" i="57"/>
  <c r="K571" i="57"/>
  <c r="K560" i="57"/>
  <c r="K553" i="57"/>
  <c r="J562" i="57"/>
  <c r="J554" i="57"/>
  <c r="A569" i="57"/>
  <c r="A557" i="57"/>
  <c r="K568" i="57"/>
  <c r="K556" i="57"/>
  <c r="A563" i="57"/>
  <c r="A555" i="57"/>
  <c r="K566" i="57"/>
  <c r="A562" i="57"/>
  <c r="A554" i="57"/>
  <c r="A572" i="57"/>
  <c r="J571" i="57"/>
  <c r="J560" i="57"/>
  <c r="J553" i="57"/>
  <c r="G552" i="57"/>
  <c r="G547" i="57"/>
  <c r="G550" i="57"/>
  <c r="G544" i="57"/>
  <c r="G549" i="57"/>
  <c r="G543" i="57"/>
  <c r="G548" i="57"/>
  <c r="G542" i="57"/>
  <c r="A552" i="57"/>
  <c r="K550" i="57"/>
  <c r="J550" i="57"/>
  <c r="K549" i="57"/>
  <c r="J549" i="57"/>
  <c r="K548" i="57"/>
  <c r="J548" i="57"/>
  <c r="J552" i="57"/>
  <c r="K547" i="57"/>
  <c r="J547" i="57"/>
  <c r="K544" i="57"/>
  <c r="J544" i="57"/>
  <c r="K543" i="57"/>
  <c r="J543" i="57"/>
  <c r="K542" i="57"/>
  <c r="J542" i="57"/>
  <c r="G540" i="57"/>
  <c r="G536" i="57"/>
  <c r="G529" i="57"/>
  <c r="G539" i="57"/>
  <c r="G535" i="57"/>
  <c r="G538" i="57"/>
  <c r="G534" i="57"/>
  <c r="G531" i="57"/>
  <c r="G537" i="57"/>
  <c r="G533" i="57"/>
  <c r="G530" i="57"/>
  <c r="K535" i="57"/>
  <c r="J540" i="57"/>
  <c r="A534" i="57"/>
  <c r="K534" i="57"/>
  <c r="J539" i="57"/>
  <c r="A533" i="57"/>
  <c r="J538" i="57"/>
  <c r="J531" i="57"/>
  <c r="A540" i="57"/>
  <c r="J537" i="57"/>
  <c r="J530" i="57"/>
  <c r="A539" i="57"/>
  <c r="J536" i="57"/>
  <c r="J529" i="57"/>
  <c r="A538" i="57"/>
  <c r="A531" i="57"/>
  <c r="A537" i="57"/>
  <c r="A530" i="57"/>
  <c r="G528" i="57"/>
  <c r="G524" i="57"/>
  <c r="G518" i="57"/>
  <c r="G514" i="57"/>
  <c r="G527" i="57"/>
  <c r="G523" i="57"/>
  <c r="G517" i="57"/>
  <c r="G513" i="57"/>
  <c r="G526" i="57"/>
  <c r="G522" i="57"/>
  <c r="G516" i="57"/>
  <c r="G525" i="57"/>
  <c r="G520" i="57"/>
  <c r="G515" i="57"/>
  <c r="J526" i="57"/>
  <c r="J516" i="57"/>
  <c r="K527" i="57"/>
  <c r="K517" i="57"/>
  <c r="J525" i="57"/>
  <c r="J515" i="57"/>
  <c r="A520" i="57"/>
  <c r="J523" i="57"/>
  <c r="J513" i="57"/>
  <c r="K516" i="57"/>
  <c r="J514" i="57"/>
  <c r="K524" i="57"/>
  <c r="K514" i="57"/>
  <c r="J522" i="57"/>
  <c r="A526" i="57"/>
  <c r="K523" i="57"/>
  <c r="K513" i="57"/>
  <c r="J520" i="57"/>
  <c r="A524" i="57"/>
  <c r="G511" i="57"/>
  <c r="G507" i="57"/>
  <c r="G501" i="57"/>
  <c r="G495" i="57"/>
  <c r="G509" i="57"/>
  <c r="G506" i="57"/>
  <c r="G500" i="57"/>
  <c r="G493" i="57"/>
  <c r="G505" i="57"/>
  <c r="G498" i="57"/>
  <c r="G490" i="57"/>
  <c r="G508" i="57"/>
  <c r="G503" i="57"/>
  <c r="G497" i="57"/>
  <c r="K506" i="57"/>
  <c r="K493" i="57"/>
  <c r="J505" i="57"/>
  <c r="J490" i="57"/>
  <c r="A511" i="57"/>
  <c r="A501" i="57"/>
  <c r="K505" i="57"/>
  <c r="K490" i="57"/>
  <c r="J503" i="57"/>
  <c r="A509" i="57"/>
  <c r="A500" i="57"/>
  <c r="J511" i="57"/>
  <c r="J501" i="57"/>
  <c r="A498" i="57"/>
  <c r="J509" i="57"/>
  <c r="J500" i="57"/>
  <c r="A508" i="57"/>
  <c r="A497" i="57"/>
  <c r="J498" i="57"/>
  <c r="A507" i="57"/>
  <c r="A495" i="57"/>
  <c r="J508" i="57"/>
  <c r="J497" i="57"/>
  <c r="G485" i="57"/>
  <c r="G481" i="57"/>
  <c r="G470" i="57"/>
  <c r="G464" i="57"/>
  <c r="G459" i="57"/>
  <c r="G454" i="57"/>
  <c r="G449" i="57"/>
  <c r="G444" i="57"/>
  <c r="G435" i="57"/>
  <c r="G431" i="57"/>
  <c r="G429" i="57"/>
  <c r="G427" i="57"/>
  <c r="G423" i="57"/>
  <c r="G416" i="57"/>
  <c r="G415" i="57"/>
  <c r="G411" i="57"/>
  <c r="G489" i="57"/>
  <c r="G484" i="57"/>
  <c r="G480" i="57"/>
  <c r="G476" i="57"/>
  <c r="G469" i="57"/>
  <c r="G467" i="57"/>
  <c r="G463" i="57"/>
  <c r="G458" i="57"/>
  <c r="G453" i="57"/>
  <c r="G448" i="57"/>
  <c r="G443" i="57"/>
  <c r="G440" i="57"/>
  <c r="G434" i="57"/>
  <c r="G426" i="57"/>
  <c r="G420" i="57"/>
  <c r="G414" i="57"/>
  <c r="G408" i="57"/>
  <c r="G488" i="57"/>
  <c r="G483" i="57"/>
  <c r="G478" i="57"/>
  <c r="G474" i="57"/>
  <c r="G468" i="57"/>
  <c r="G466" i="57"/>
  <c r="G461" i="57"/>
  <c r="G457" i="57"/>
  <c r="G452" i="57"/>
  <c r="G446" i="57"/>
  <c r="G442" i="57"/>
  <c r="G438" i="57"/>
  <c r="G433" i="57"/>
  <c r="G425" i="57"/>
  <c r="G418" i="57"/>
  <c r="G413" i="57"/>
  <c r="G407" i="57"/>
  <c r="G486" i="57"/>
  <c r="G482" i="57"/>
  <c r="G477" i="57"/>
  <c r="G473" i="57"/>
  <c r="G465" i="57"/>
  <c r="G460" i="57"/>
  <c r="G456" i="57"/>
  <c r="G450" i="57"/>
  <c r="G445" i="57"/>
  <c r="G437" i="57"/>
  <c r="G432" i="57"/>
  <c r="G430" i="57"/>
  <c r="G428" i="57"/>
  <c r="G424" i="57"/>
  <c r="G417" i="57"/>
  <c r="G412" i="57"/>
  <c r="J482" i="57"/>
  <c r="A482" i="57"/>
  <c r="K482" i="57"/>
  <c r="J473" i="57"/>
  <c r="A473" i="57"/>
  <c r="K473" i="57"/>
  <c r="J465" i="57"/>
  <c r="A465" i="57"/>
  <c r="K465" i="57"/>
  <c r="J456" i="57"/>
  <c r="A456" i="57"/>
  <c r="K456" i="57"/>
  <c r="J445" i="57"/>
  <c r="A445" i="57"/>
  <c r="K445" i="57"/>
  <c r="J432" i="57"/>
  <c r="A432" i="57"/>
  <c r="K432" i="57"/>
  <c r="J428" i="57"/>
  <c r="A428" i="57"/>
  <c r="K428" i="57"/>
  <c r="J417" i="57"/>
  <c r="A417" i="57"/>
  <c r="K417" i="57"/>
  <c r="J412" i="57"/>
  <c r="A412" i="57"/>
  <c r="K412" i="57"/>
  <c r="K485" i="57"/>
  <c r="K459" i="57"/>
  <c r="K449" i="57"/>
  <c r="K435" i="57"/>
  <c r="K429" i="57"/>
  <c r="K423" i="57"/>
  <c r="K415" i="57"/>
  <c r="J489" i="57"/>
  <c r="J480" i="57"/>
  <c r="J469" i="57"/>
  <c r="J463" i="57"/>
  <c r="J453" i="57"/>
  <c r="J440" i="57"/>
  <c r="J426" i="57"/>
  <c r="J408" i="57"/>
  <c r="A486" i="57"/>
  <c r="A477" i="57"/>
  <c r="A460" i="57"/>
  <c r="A450" i="57"/>
  <c r="A437" i="57"/>
  <c r="A430" i="57"/>
  <c r="A424" i="57"/>
  <c r="K484" i="57"/>
  <c r="K476" i="57"/>
  <c r="K467" i="57"/>
  <c r="K458" i="57"/>
  <c r="K448" i="57"/>
  <c r="K443" i="57"/>
  <c r="K434" i="57"/>
  <c r="K420" i="57"/>
  <c r="K414" i="57"/>
  <c r="J488" i="57"/>
  <c r="J478" i="57"/>
  <c r="J468" i="57"/>
  <c r="J461" i="57"/>
  <c r="J452" i="57"/>
  <c r="J438" i="57"/>
  <c r="J425" i="57"/>
  <c r="J407" i="57"/>
  <c r="A485" i="57"/>
  <c r="A459" i="57"/>
  <c r="A449" i="57"/>
  <c r="A435" i="57"/>
  <c r="A429" i="57"/>
  <c r="A423" i="57"/>
  <c r="A415" i="57"/>
  <c r="A483" i="57"/>
  <c r="A474" i="57"/>
  <c r="A466" i="57"/>
  <c r="A457" i="57"/>
  <c r="A446" i="57"/>
  <c r="A442" i="57"/>
  <c r="A433" i="57"/>
  <c r="A418" i="57"/>
  <c r="A413" i="57"/>
  <c r="K481" i="57"/>
  <c r="K470" i="57"/>
  <c r="K464" i="57"/>
  <c r="K454" i="57"/>
  <c r="K444" i="57"/>
  <c r="K431" i="57"/>
  <c r="K427" i="57"/>
  <c r="K416" i="57"/>
  <c r="K411" i="57"/>
  <c r="K489" i="57"/>
  <c r="K480" i="57"/>
  <c r="K469" i="57"/>
  <c r="K463" i="57"/>
  <c r="K453" i="57"/>
  <c r="K440" i="57"/>
  <c r="K426" i="57"/>
  <c r="K408" i="57"/>
  <c r="A481" i="57"/>
  <c r="A470" i="57"/>
  <c r="A464" i="57"/>
  <c r="A454" i="57"/>
  <c r="A444" i="57"/>
  <c r="A431" i="57"/>
  <c r="A427" i="57"/>
  <c r="A416" i="57"/>
  <c r="A411" i="57"/>
  <c r="K488" i="57"/>
  <c r="K478" i="57"/>
  <c r="K468" i="57"/>
  <c r="K461" i="57"/>
  <c r="K452" i="57"/>
  <c r="K438" i="57"/>
  <c r="K425" i="57"/>
  <c r="K407" i="57"/>
  <c r="G406" i="57"/>
  <c r="G401" i="57"/>
  <c r="G405" i="57"/>
  <c r="G400" i="57"/>
  <c r="G396" i="57"/>
  <c r="G403" i="57"/>
  <c r="G395" i="57"/>
  <c r="G402" i="57"/>
  <c r="G397" i="57"/>
  <c r="G394" i="57"/>
  <c r="J401" i="57"/>
  <c r="A401" i="57"/>
  <c r="K405" i="57"/>
  <c r="K396" i="57"/>
  <c r="J400" i="57"/>
  <c r="K403" i="57"/>
  <c r="K395" i="57"/>
  <c r="K402" i="57"/>
  <c r="K394" i="57"/>
  <c r="J397" i="57"/>
  <c r="A397" i="57"/>
  <c r="J406" i="57"/>
  <c r="J405" i="57"/>
  <c r="J396" i="57"/>
  <c r="J403" i="57"/>
  <c r="J395" i="57"/>
  <c r="J402" i="57"/>
  <c r="J394" i="57"/>
  <c r="G393" i="57"/>
  <c r="G385" i="57"/>
  <c r="G390" i="57"/>
  <c r="G383" i="57"/>
  <c r="G392" i="57"/>
  <c r="G389" i="57"/>
  <c r="G391" i="57"/>
  <c r="G386" i="57"/>
  <c r="K383" i="57"/>
  <c r="J386" i="57"/>
  <c r="A391" i="57"/>
  <c r="K392" i="57"/>
  <c r="J393" i="57"/>
  <c r="J385" i="57"/>
  <c r="K391" i="57"/>
  <c r="J383" i="57"/>
  <c r="A390" i="57"/>
  <c r="A389" i="57"/>
  <c r="K390" i="57"/>
  <c r="A386" i="57"/>
  <c r="J389" i="57"/>
  <c r="G377" i="57"/>
  <c r="G367" i="57"/>
  <c r="G363" i="57"/>
  <c r="G358" i="57"/>
  <c r="G349" i="57"/>
  <c r="G345" i="57"/>
  <c r="G381" i="57"/>
  <c r="G379" i="57"/>
  <c r="G369" i="57"/>
  <c r="G360" i="57"/>
  <c r="G346" i="57"/>
  <c r="G374" i="57"/>
  <c r="G371" i="57"/>
  <c r="G366" i="57"/>
  <c r="G361" i="57"/>
  <c r="G357" i="57"/>
  <c r="G354" i="57"/>
  <c r="G348" i="57"/>
  <c r="G372" i="57"/>
  <c r="G364" i="57"/>
  <c r="G355" i="57"/>
  <c r="G351" i="57"/>
  <c r="G380" i="57"/>
  <c r="G373" i="57"/>
  <c r="G370" i="57"/>
  <c r="G365" i="57"/>
  <c r="G356" i="57"/>
  <c r="G353" i="57"/>
  <c r="G347" i="57"/>
  <c r="K371" i="57"/>
  <c r="K361" i="57"/>
  <c r="K354" i="57"/>
  <c r="J381" i="57"/>
  <c r="J372" i="57"/>
  <c r="J364" i="57"/>
  <c r="J355" i="57"/>
  <c r="J346" i="57"/>
  <c r="A379" i="57"/>
  <c r="A369" i="57"/>
  <c r="A360" i="57"/>
  <c r="A351" i="57"/>
  <c r="K380" i="57"/>
  <c r="K370" i="57"/>
  <c r="K353" i="57"/>
  <c r="J363" i="57"/>
  <c r="J345" i="57"/>
  <c r="A377" i="57"/>
  <c r="A367" i="57"/>
  <c r="A358" i="57"/>
  <c r="A349" i="57"/>
  <c r="J374" i="57"/>
  <c r="K379" i="57"/>
  <c r="K369" i="57"/>
  <c r="K360" i="57"/>
  <c r="K351" i="57"/>
  <c r="A374" i="57"/>
  <c r="A366" i="57"/>
  <c r="A357" i="57"/>
  <c r="A348" i="57"/>
  <c r="J366" i="57"/>
  <c r="J357" i="57"/>
  <c r="J348" i="57"/>
  <c r="J373" i="57"/>
  <c r="J356" i="57"/>
  <c r="K377" i="57"/>
  <c r="K367" i="57"/>
  <c r="K358" i="57"/>
  <c r="K349" i="57"/>
  <c r="A373" i="57"/>
  <c r="A365" i="57"/>
  <c r="A356" i="57"/>
  <c r="A347" i="57"/>
  <c r="J365" i="57"/>
  <c r="J347" i="57"/>
  <c r="G344" i="57"/>
  <c r="G340" i="57"/>
  <c r="G335" i="57"/>
  <c r="G343" i="57"/>
  <c r="G339" i="57"/>
  <c r="G334" i="57"/>
  <c r="G342" i="57"/>
  <c r="G338" i="57"/>
  <c r="G341" i="57"/>
  <c r="G337" i="57"/>
  <c r="K343" i="57"/>
  <c r="K334" i="57"/>
  <c r="J337" i="57"/>
  <c r="A341" i="57"/>
  <c r="J338" i="57"/>
  <c r="K342" i="57"/>
  <c r="J344" i="57"/>
  <c r="J335" i="57"/>
  <c r="A340" i="57"/>
  <c r="K341" i="57"/>
  <c r="J343" i="57"/>
  <c r="J334" i="57"/>
  <c r="A339" i="57"/>
  <c r="K340" i="57"/>
  <c r="A338" i="57"/>
  <c r="K339" i="57"/>
  <c r="A337" i="57"/>
  <c r="G326" i="57"/>
  <c r="G322" i="57"/>
  <c r="G315" i="57"/>
  <c r="G333" i="57"/>
  <c r="G329" i="57"/>
  <c r="G325" i="57"/>
  <c r="G320" i="57"/>
  <c r="G332" i="57"/>
  <c r="G328" i="57"/>
  <c r="G324" i="57"/>
  <c r="G318" i="57"/>
  <c r="G331" i="57"/>
  <c r="G327" i="57"/>
  <c r="G323" i="57"/>
  <c r="G317" i="57"/>
  <c r="K329" i="57"/>
  <c r="K320" i="57"/>
  <c r="J322" i="57"/>
  <c r="A332" i="57"/>
  <c r="A324" i="57"/>
  <c r="K328" i="57"/>
  <c r="K318" i="57"/>
  <c r="J329" i="57"/>
  <c r="J320" i="57"/>
  <c r="A331" i="57"/>
  <c r="A323" i="57"/>
  <c r="K327" i="57"/>
  <c r="K317" i="57"/>
  <c r="J328" i="57"/>
  <c r="J318" i="57"/>
  <c r="K326" i="57"/>
  <c r="K315" i="57"/>
  <c r="J327" i="57"/>
  <c r="J317" i="57"/>
  <c r="K333" i="57"/>
  <c r="K325" i="57"/>
  <c r="J326" i="57"/>
  <c r="J315" i="57"/>
  <c r="K332" i="57"/>
  <c r="K324" i="57"/>
  <c r="G314" i="57"/>
  <c r="G313" i="57"/>
  <c r="G312" i="57"/>
  <c r="K314" i="57"/>
  <c r="A314" i="57"/>
  <c r="K312" i="57"/>
  <c r="G310" i="57"/>
  <c r="G311" i="57"/>
  <c r="J310" i="57"/>
  <c r="J311" i="57"/>
  <c r="G306" i="57"/>
  <c r="G301" i="57"/>
  <c r="G305" i="57"/>
  <c r="G300" i="57"/>
  <c r="G304" i="57"/>
  <c r="G298" i="57"/>
  <c r="G303" i="57"/>
  <c r="G297" i="57"/>
  <c r="K305" i="57"/>
  <c r="J305" i="57"/>
  <c r="K304" i="57"/>
  <c r="J304" i="57"/>
  <c r="K306" i="57"/>
  <c r="J306" i="57"/>
  <c r="K303" i="57"/>
  <c r="J303" i="57"/>
  <c r="K301" i="57"/>
  <c r="J301" i="57"/>
  <c r="K300" i="57"/>
  <c r="J300" i="57"/>
  <c r="K298" i="57"/>
  <c r="J298" i="57"/>
  <c r="K297" i="57"/>
  <c r="J297" i="57"/>
  <c r="G295" i="57"/>
  <c r="G296" i="57"/>
  <c r="J296" i="57"/>
  <c r="J295" i="57"/>
  <c r="G294" i="57"/>
  <c r="G288" i="57"/>
  <c r="G281" i="57"/>
  <c r="G276" i="57"/>
  <c r="G292" i="57"/>
  <c r="G286" i="57"/>
  <c r="G280" i="57"/>
  <c r="G275" i="57"/>
  <c r="G290" i="57"/>
  <c r="G279" i="57"/>
  <c r="G289" i="57"/>
  <c r="G282" i="57"/>
  <c r="G277" i="57"/>
  <c r="J289" i="57"/>
  <c r="J277" i="57"/>
  <c r="A282" i="57"/>
  <c r="K290" i="57"/>
  <c r="K279" i="57"/>
  <c r="J288" i="57"/>
  <c r="J276" i="57"/>
  <c r="A294" i="57"/>
  <c r="A281" i="57"/>
  <c r="K289" i="57"/>
  <c r="K277" i="57"/>
  <c r="J286" i="57"/>
  <c r="J275" i="57"/>
  <c r="A292" i="57"/>
  <c r="A280" i="57"/>
  <c r="K288" i="57"/>
  <c r="K276" i="57"/>
  <c r="A279" i="57"/>
  <c r="K286" i="57"/>
  <c r="K275" i="57"/>
  <c r="J282" i="57"/>
  <c r="G274" i="57"/>
  <c r="G269" i="57"/>
  <c r="G263" i="57"/>
  <c r="G258" i="57"/>
  <c r="G251" i="57"/>
  <c r="G249" i="57"/>
  <c r="G272" i="57"/>
  <c r="G268" i="57"/>
  <c r="G262" i="57"/>
  <c r="G257" i="57"/>
  <c r="G248" i="57"/>
  <c r="G271" i="57"/>
  <c r="G267" i="57"/>
  <c r="G260" i="57"/>
  <c r="G254" i="57"/>
  <c r="G250" i="57"/>
  <c r="G270" i="57"/>
  <c r="G264" i="57"/>
  <c r="G261" i="57"/>
  <c r="G259" i="57"/>
  <c r="G252" i="57"/>
  <c r="K272" i="57"/>
  <c r="K262" i="57"/>
  <c r="J270" i="57"/>
  <c r="J259" i="57"/>
  <c r="A264" i="57"/>
  <c r="A261" i="57"/>
  <c r="A252" i="57"/>
  <c r="K271" i="57"/>
  <c r="K260" i="57"/>
  <c r="K250" i="57"/>
  <c r="J269" i="57"/>
  <c r="J258" i="57"/>
  <c r="J249" i="57"/>
  <c r="A274" i="57"/>
  <c r="A263" i="57"/>
  <c r="A251" i="57"/>
  <c r="J271" i="57"/>
  <c r="J260" i="57"/>
  <c r="K270" i="57"/>
  <c r="K259" i="57"/>
  <c r="J268" i="57"/>
  <c r="J257" i="57"/>
  <c r="J248" i="57"/>
  <c r="A272" i="57"/>
  <c r="A262" i="57"/>
  <c r="K269" i="57"/>
  <c r="K258" i="57"/>
  <c r="K249" i="57"/>
  <c r="J267" i="57"/>
  <c r="J254" i="57"/>
  <c r="A250" i="57"/>
  <c r="K268" i="57"/>
  <c r="K257" i="57"/>
  <c r="K248" i="57"/>
  <c r="J264" i="57"/>
  <c r="J261" i="57"/>
  <c r="J252" i="57"/>
  <c r="G244" i="57"/>
  <c r="G247" i="57"/>
  <c r="G245" i="57"/>
  <c r="J247" i="57"/>
  <c r="J245" i="57"/>
  <c r="J244" i="57"/>
  <c r="A245" i="57"/>
  <c r="G243" i="57"/>
  <c r="G242" i="57"/>
  <c r="G241" i="57"/>
  <c r="G240" i="57"/>
  <c r="K241" i="57"/>
  <c r="K240" i="57"/>
  <c r="J243" i="57"/>
  <c r="J242" i="57"/>
  <c r="J241" i="57"/>
  <c r="J240" i="57"/>
  <c r="G239" i="57"/>
  <c r="G236" i="57"/>
  <c r="G226" i="57"/>
  <c r="G220" i="57"/>
  <c r="G209" i="57"/>
  <c r="G205" i="57"/>
  <c r="G201" i="57"/>
  <c r="G196" i="57"/>
  <c r="G193" i="57"/>
  <c r="G188" i="57"/>
  <c r="G185" i="57"/>
  <c r="G181" i="57"/>
  <c r="G177" i="57"/>
  <c r="G174" i="57"/>
  <c r="G163" i="57"/>
  <c r="G159" i="57"/>
  <c r="G155" i="57"/>
  <c r="G149" i="57"/>
  <c r="G141" i="57"/>
  <c r="G238" i="57"/>
  <c r="G234" i="57"/>
  <c r="G230" i="57"/>
  <c r="G225" i="57"/>
  <c r="G219" i="57"/>
  <c r="G215" i="57"/>
  <c r="G208" i="57"/>
  <c r="G204" i="57"/>
  <c r="G199" i="57"/>
  <c r="G195" i="57"/>
  <c r="G191" i="57"/>
  <c r="G184" i="57"/>
  <c r="G180" i="57"/>
  <c r="G176" i="57"/>
  <c r="G170" i="57"/>
  <c r="G162" i="57"/>
  <c r="G158" i="57"/>
  <c r="G152" i="57"/>
  <c r="G146" i="57"/>
  <c r="G139" i="57"/>
  <c r="G232" i="57"/>
  <c r="G227" i="57"/>
  <c r="G224" i="57"/>
  <c r="G222" i="57"/>
  <c r="G216" i="57"/>
  <c r="G211" i="57"/>
  <c r="G207" i="57"/>
  <c r="G203" i="57"/>
  <c r="G198" i="57"/>
  <c r="G190" i="57"/>
  <c r="G187" i="57"/>
  <c r="G183" i="57"/>
  <c r="G179" i="57"/>
  <c r="G167" i="57"/>
  <c r="G161" i="57"/>
  <c r="G157" i="57"/>
  <c r="G151" i="57"/>
  <c r="G144" i="57"/>
  <c r="G138" i="57"/>
  <c r="G231" i="57"/>
  <c r="G223" i="57"/>
  <c r="G221" i="57"/>
  <c r="G210" i="57"/>
  <c r="G206" i="57"/>
  <c r="G202" i="57"/>
  <c r="G197" i="57"/>
  <c r="G194" i="57"/>
  <c r="G189" i="57"/>
  <c r="G186" i="57"/>
  <c r="G182" i="57"/>
  <c r="G178" i="57"/>
  <c r="G175" i="57"/>
  <c r="G164" i="57"/>
  <c r="G160" i="57"/>
  <c r="G156" i="57"/>
  <c r="G150" i="57"/>
  <c r="G142" i="57"/>
  <c r="K238" i="57"/>
  <c r="J238" i="57"/>
  <c r="A238" i="57"/>
  <c r="K230" i="57"/>
  <c r="J230" i="57"/>
  <c r="A230" i="57"/>
  <c r="K215" i="57"/>
  <c r="J215" i="57"/>
  <c r="A215" i="57"/>
  <c r="K204" i="57"/>
  <c r="J204" i="57"/>
  <c r="A204" i="57"/>
  <c r="K195" i="57"/>
  <c r="J195" i="57"/>
  <c r="A195" i="57"/>
  <c r="K180" i="57"/>
  <c r="J180" i="57"/>
  <c r="A180" i="57"/>
  <c r="K170" i="57"/>
  <c r="J170" i="57"/>
  <c r="A170" i="57"/>
  <c r="K158" i="57"/>
  <c r="J158" i="57"/>
  <c r="A158" i="57"/>
  <c r="K146" i="57"/>
  <c r="J146" i="57"/>
  <c r="A146" i="57"/>
  <c r="K234" i="57"/>
  <c r="K225" i="57"/>
  <c r="K219" i="57"/>
  <c r="K208" i="57"/>
  <c r="K199" i="57"/>
  <c r="K191" i="57"/>
  <c r="K184" i="57"/>
  <c r="K176" i="57"/>
  <c r="K162" i="57"/>
  <c r="K152" i="57"/>
  <c r="K139" i="57"/>
  <c r="J232" i="57"/>
  <c r="J224" i="57"/>
  <c r="J216" i="57"/>
  <c r="J207" i="57"/>
  <c r="J198" i="57"/>
  <c r="J190" i="57"/>
  <c r="J183" i="57"/>
  <c r="J161" i="57"/>
  <c r="J151" i="57"/>
  <c r="J138" i="57"/>
  <c r="A239" i="57"/>
  <c r="A205" i="57"/>
  <c r="A196" i="57"/>
  <c r="A188" i="57"/>
  <c r="A181" i="57"/>
  <c r="A174" i="57"/>
  <c r="A159" i="57"/>
  <c r="A149" i="57"/>
  <c r="K232" i="57"/>
  <c r="K224" i="57"/>
  <c r="K216" i="57"/>
  <c r="K207" i="57"/>
  <c r="K198" i="57"/>
  <c r="K190" i="57"/>
  <c r="K183" i="57"/>
  <c r="K161" i="57"/>
  <c r="K151" i="57"/>
  <c r="K138" i="57"/>
  <c r="J231" i="57"/>
  <c r="J223" i="57"/>
  <c r="J206" i="57"/>
  <c r="J197" i="57"/>
  <c r="J189" i="57"/>
  <c r="J182" i="57"/>
  <c r="J175" i="57"/>
  <c r="J160" i="57"/>
  <c r="J150" i="57"/>
  <c r="J239" i="57"/>
  <c r="J205" i="57"/>
  <c r="J196" i="57"/>
  <c r="J188" i="57"/>
  <c r="J181" i="57"/>
  <c r="J174" i="57"/>
  <c r="J159" i="57"/>
  <c r="J149" i="57"/>
  <c r="A227" i="57"/>
  <c r="A222" i="57"/>
  <c r="A211" i="57"/>
  <c r="A203" i="57"/>
  <c r="A187" i="57"/>
  <c r="A179" i="57"/>
  <c r="A167" i="57"/>
  <c r="A157" i="57"/>
  <c r="A144" i="57"/>
  <c r="A221" i="57"/>
  <c r="A210" i="57"/>
  <c r="A202" i="57"/>
  <c r="A194" i="57"/>
  <c r="A186" i="57"/>
  <c r="A178" i="57"/>
  <c r="A164" i="57"/>
  <c r="A156" i="57"/>
  <c r="A142" i="57"/>
  <c r="J227" i="57"/>
  <c r="J222" i="57"/>
  <c r="J211" i="57"/>
  <c r="J203" i="57"/>
  <c r="J187" i="57"/>
  <c r="J179" i="57"/>
  <c r="J167" i="57"/>
  <c r="J157" i="57"/>
  <c r="J144" i="57"/>
  <c r="A236" i="57"/>
  <c r="A226" i="57"/>
  <c r="A220" i="57"/>
  <c r="A209" i="57"/>
  <c r="A201" i="57"/>
  <c r="A193" i="57"/>
  <c r="A185" i="57"/>
  <c r="A177" i="57"/>
  <c r="A163" i="57"/>
  <c r="A155" i="57"/>
  <c r="A141" i="57"/>
  <c r="J221" i="57"/>
  <c r="J210" i="57"/>
  <c r="J202" i="57"/>
  <c r="J194" i="57"/>
  <c r="J186" i="57"/>
  <c r="J178" i="57"/>
  <c r="J164" i="57"/>
  <c r="J156" i="57"/>
  <c r="J142" i="57"/>
  <c r="G137" i="57"/>
  <c r="K137" i="57"/>
  <c r="G136" i="57"/>
  <c r="G132" i="57"/>
  <c r="G127" i="57"/>
  <c r="G134" i="57"/>
  <c r="G131" i="57"/>
  <c r="G133" i="57"/>
  <c r="G130" i="57"/>
  <c r="G129" i="57"/>
  <c r="K132" i="57"/>
  <c r="A134" i="57"/>
  <c r="K131" i="57"/>
  <c r="J132" i="57"/>
  <c r="A133" i="57"/>
  <c r="K129" i="57"/>
  <c r="J130" i="57"/>
  <c r="K136" i="57"/>
  <c r="K127" i="57"/>
  <c r="J129" i="57"/>
  <c r="K134" i="57"/>
  <c r="J136" i="57"/>
  <c r="J127" i="57"/>
  <c r="K133" i="57"/>
  <c r="G126" i="57"/>
  <c r="G122" i="57"/>
  <c r="G119" i="57"/>
  <c r="G125" i="57"/>
  <c r="G124" i="57"/>
  <c r="G121" i="57"/>
  <c r="G123" i="57"/>
  <c r="G120" i="57"/>
  <c r="J122" i="57"/>
  <c r="A124" i="57"/>
  <c r="K121" i="57"/>
  <c r="A123" i="57"/>
  <c r="K120" i="57"/>
  <c r="J121" i="57"/>
  <c r="K126" i="57"/>
  <c r="K119" i="57"/>
  <c r="J120" i="57"/>
  <c r="K125" i="57"/>
  <c r="J126" i="57"/>
  <c r="J119" i="57"/>
  <c r="K124" i="57"/>
  <c r="G118" i="57"/>
  <c r="G116" i="57"/>
  <c r="G111" i="57"/>
  <c r="G105" i="57"/>
  <c r="G115" i="57"/>
  <c r="G110" i="57"/>
  <c r="G104" i="57"/>
  <c r="G113" i="57"/>
  <c r="G108" i="57"/>
  <c r="G103" i="57"/>
  <c r="G117" i="57"/>
  <c r="G112" i="57"/>
  <c r="G106" i="57"/>
  <c r="G102" i="57"/>
  <c r="K118" i="57"/>
  <c r="K111" i="57"/>
  <c r="J118" i="57"/>
  <c r="J111" i="57"/>
  <c r="K110" i="57"/>
  <c r="J110" i="57"/>
  <c r="K108" i="57"/>
  <c r="J108" i="57"/>
  <c r="K117" i="57"/>
  <c r="K106" i="57"/>
  <c r="J117" i="57"/>
  <c r="J106" i="57"/>
  <c r="K116" i="57"/>
  <c r="K105" i="57"/>
  <c r="J116" i="57"/>
  <c r="J105" i="57"/>
  <c r="K115" i="57"/>
  <c r="K104" i="57"/>
  <c r="J115" i="57"/>
  <c r="J104" i="57"/>
  <c r="K113" i="57"/>
  <c r="K103" i="57"/>
  <c r="J113" i="57"/>
  <c r="J103" i="57"/>
  <c r="K112" i="57"/>
  <c r="K102" i="57"/>
  <c r="J112" i="57"/>
  <c r="J102" i="57"/>
  <c r="G100" i="57"/>
  <c r="G96" i="57"/>
  <c r="G88" i="57"/>
  <c r="G99" i="57"/>
  <c r="G93" i="57"/>
  <c r="G98" i="57"/>
  <c r="G92" i="57"/>
  <c r="G97" i="57"/>
  <c r="G91" i="57"/>
  <c r="K93" i="57"/>
  <c r="J96" i="57"/>
  <c r="A98" i="57"/>
  <c r="K92" i="57"/>
  <c r="J93" i="57"/>
  <c r="A97" i="57"/>
  <c r="K91" i="57"/>
  <c r="J92" i="57"/>
  <c r="K100" i="57"/>
  <c r="K88" i="57"/>
  <c r="J91" i="57"/>
  <c r="K99" i="57"/>
  <c r="J100" i="57"/>
  <c r="J88" i="57"/>
  <c r="K98" i="57"/>
  <c r="G86" i="57"/>
  <c r="G87" i="57"/>
  <c r="J87" i="57"/>
  <c r="J86" i="57"/>
  <c r="G85" i="57"/>
  <c r="K85" i="57"/>
  <c r="J85" i="57"/>
  <c r="G82" i="57"/>
  <c r="G75" i="57"/>
  <c r="G81" i="57"/>
  <c r="G80" i="57"/>
  <c r="G74" i="57"/>
  <c r="G76" i="57"/>
  <c r="G73" i="57"/>
  <c r="K82" i="57"/>
  <c r="A82" i="57"/>
  <c r="K81" i="57"/>
  <c r="J81" i="57"/>
  <c r="K80" i="57"/>
  <c r="J80" i="57"/>
  <c r="K76" i="57"/>
  <c r="J76" i="57"/>
  <c r="K75" i="57"/>
  <c r="J75" i="57"/>
  <c r="K74" i="57"/>
  <c r="J74" i="57"/>
  <c r="K73" i="57"/>
  <c r="J73" i="57"/>
  <c r="G72" i="57"/>
  <c r="K72" i="57"/>
  <c r="J72" i="57"/>
  <c r="G71" i="57"/>
  <c r="G64" i="57"/>
  <c r="G59" i="57"/>
  <c r="G54" i="57"/>
  <c r="G47" i="57"/>
  <c r="G40" i="57"/>
  <c r="G35" i="57"/>
  <c r="G68" i="57"/>
  <c r="G63" i="57"/>
  <c r="G57" i="57"/>
  <c r="G53" i="57"/>
  <c r="G44" i="57"/>
  <c r="G39" i="57"/>
  <c r="G34" i="57"/>
  <c r="G67" i="57"/>
  <c r="G62" i="57"/>
  <c r="G56" i="57"/>
  <c r="G52" i="57"/>
  <c r="G43" i="57"/>
  <c r="G38" i="57"/>
  <c r="G66" i="57"/>
  <c r="G65" i="57"/>
  <c r="G61" i="57"/>
  <c r="G55" i="57"/>
  <c r="G51" i="57"/>
  <c r="G42" i="57"/>
  <c r="G37" i="57"/>
  <c r="K68" i="57"/>
  <c r="K63" i="57"/>
  <c r="K53" i="57"/>
  <c r="K39" i="57"/>
  <c r="J66" i="57"/>
  <c r="J61" i="57"/>
  <c r="J51" i="57"/>
  <c r="J37" i="57"/>
  <c r="A65" i="57"/>
  <c r="A55" i="57"/>
  <c r="A42" i="57"/>
  <c r="J52" i="57"/>
  <c r="K67" i="57"/>
  <c r="K62" i="57"/>
  <c r="K52" i="57"/>
  <c r="K38" i="57"/>
  <c r="J59" i="57"/>
  <c r="J47" i="57"/>
  <c r="J35" i="57"/>
  <c r="A71" i="57"/>
  <c r="A64" i="57"/>
  <c r="A54" i="57"/>
  <c r="A40" i="57"/>
  <c r="K66" i="57"/>
  <c r="K61" i="57"/>
  <c r="K51" i="57"/>
  <c r="K37" i="57"/>
  <c r="J57" i="57"/>
  <c r="J44" i="57"/>
  <c r="J34" i="57"/>
  <c r="A68" i="57"/>
  <c r="A63" i="57"/>
  <c r="A53" i="57"/>
  <c r="A39" i="57"/>
  <c r="J38" i="57"/>
  <c r="K59" i="57"/>
  <c r="K47" i="57"/>
  <c r="K35" i="57"/>
  <c r="J56" i="57"/>
  <c r="J43" i="57"/>
  <c r="A67" i="57"/>
  <c r="A62" i="57"/>
  <c r="K57" i="57"/>
  <c r="K44" i="57"/>
  <c r="K34" i="57"/>
  <c r="J65" i="57"/>
  <c r="J55" i="57"/>
  <c r="J42" i="57"/>
  <c r="G33" i="57"/>
  <c r="G24" i="57"/>
  <c r="G27" i="57"/>
  <c r="G23" i="57"/>
  <c r="G26" i="57"/>
  <c r="G25" i="57"/>
  <c r="K27" i="57"/>
  <c r="J25" i="57"/>
  <c r="K26" i="57"/>
  <c r="J24" i="57"/>
  <c r="A33" i="57"/>
  <c r="K25" i="57"/>
  <c r="J23" i="57"/>
  <c r="A27" i="57"/>
  <c r="K24" i="57"/>
  <c r="A26" i="57"/>
  <c r="K23" i="57"/>
  <c r="G21" i="57"/>
  <c r="G16" i="57"/>
  <c r="G7" i="57"/>
  <c r="G20" i="57"/>
  <c r="G15" i="57"/>
  <c r="G6" i="57"/>
  <c r="G18" i="57"/>
  <c r="G11" i="57"/>
  <c r="G5" i="57"/>
  <c r="G17" i="57"/>
  <c r="G8" i="57"/>
  <c r="G4" i="57"/>
  <c r="A16" i="57"/>
  <c r="K20" i="57"/>
  <c r="K6" i="57"/>
  <c r="J15" i="57"/>
  <c r="A15" i="57"/>
  <c r="K18" i="57"/>
  <c r="K5" i="57"/>
  <c r="J11" i="57"/>
  <c r="A11" i="57"/>
  <c r="K17" i="57"/>
  <c r="K4" i="57"/>
  <c r="J8" i="57"/>
  <c r="A8" i="57"/>
  <c r="K16" i="57"/>
  <c r="J21" i="57"/>
  <c r="J7" i="57"/>
  <c r="J20" i="57"/>
  <c r="J6" i="57"/>
  <c r="J18" i="57"/>
  <c r="J5" i="57"/>
  <c r="J17" i="57"/>
  <c r="J4" i="57"/>
  <c r="Z6" i="116"/>
  <c r="G17" i="74"/>
  <c r="G22" i="54"/>
  <c r="K22" i="54" s="1"/>
  <c r="H8" i="118"/>
  <c r="H6" i="118"/>
  <c r="H5" i="118"/>
  <c r="H4" i="118"/>
  <c r="H7" i="118"/>
  <c r="A3" i="74"/>
  <c r="A4" i="74"/>
  <c r="A5" i="74"/>
  <c r="A6" i="74"/>
  <c r="A7" i="74"/>
  <c r="A8" i="74"/>
  <c r="A9" i="74"/>
  <c r="A10" i="74"/>
  <c r="A11" i="74"/>
  <c r="A12" i="74"/>
  <c r="A13" i="74"/>
  <c r="A14" i="74"/>
  <c r="A15" i="74"/>
  <c r="A16" i="74"/>
  <c r="B3" i="74"/>
  <c r="B4" i="74"/>
  <c r="B5" i="74"/>
  <c r="B6" i="74"/>
  <c r="B7" i="74"/>
  <c r="B8" i="74"/>
  <c r="B9" i="74"/>
  <c r="B10" i="74"/>
  <c r="B11" i="74"/>
  <c r="B12" i="74"/>
  <c r="B13" i="74"/>
  <c r="B14" i="74"/>
  <c r="B15" i="74"/>
  <c r="B16" i="74"/>
  <c r="C3" i="74"/>
  <c r="C4" i="74"/>
  <c r="C5" i="74"/>
  <c r="C6" i="74"/>
  <c r="C7" i="74"/>
  <c r="C8" i="74"/>
  <c r="C9" i="74"/>
  <c r="C10" i="74"/>
  <c r="C11" i="74"/>
  <c r="C12" i="74"/>
  <c r="C13" i="74"/>
  <c r="C14" i="74"/>
  <c r="C15" i="74"/>
  <c r="C16" i="74"/>
  <c r="D3" i="74"/>
  <c r="D4" i="74"/>
  <c r="D5" i="74"/>
  <c r="D6" i="74"/>
  <c r="D7" i="74"/>
  <c r="D8" i="74"/>
  <c r="D9" i="74"/>
  <c r="D10" i="74"/>
  <c r="D11" i="74"/>
  <c r="D12" i="74"/>
  <c r="D13" i="74"/>
  <c r="D14" i="74"/>
  <c r="D15" i="74"/>
  <c r="D16" i="74"/>
  <c r="E3" i="74"/>
  <c r="E4" i="74"/>
  <c r="E5" i="74"/>
  <c r="E6" i="74"/>
  <c r="E7" i="74"/>
  <c r="E8" i="74"/>
  <c r="E9" i="74"/>
  <c r="E10" i="74"/>
  <c r="E11" i="74"/>
  <c r="E12" i="74"/>
  <c r="E13" i="74"/>
  <c r="E14" i="74"/>
  <c r="E15" i="74"/>
  <c r="E16" i="74"/>
  <c r="F3" i="74"/>
  <c r="F4" i="74"/>
  <c r="F5" i="74"/>
  <c r="F6" i="74"/>
  <c r="F7" i="74"/>
  <c r="F8" i="74"/>
  <c r="F9" i="74"/>
  <c r="F10" i="74"/>
  <c r="F11" i="74"/>
  <c r="F12" i="74"/>
  <c r="F13" i="74"/>
  <c r="F14" i="74"/>
  <c r="F15" i="74"/>
  <c r="F16" i="74"/>
  <c r="H3" i="74"/>
  <c r="H4" i="74"/>
  <c r="H5" i="74"/>
  <c r="H6" i="74"/>
  <c r="H7" i="74"/>
  <c r="H8" i="74"/>
  <c r="H9" i="74"/>
  <c r="H10" i="74"/>
  <c r="H11" i="74"/>
  <c r="H12" i="74"/>
  <c r="H13" i="74"/>
  <c r="H14" i="74"/>
  <c r="H15" i="74"/>
  <c r="H16" i="74"/>
  <c r="A28" i="54"/>
  <c r="A29" i="54"/>
  <c r="A30" i="54"/>
  <c r="A31" i="54"/>
  <c r="A32" i="54"/>
  <c r="A33" i="54"/>
  <c r="A34" i="54"/>
  <c r="A35" i="54"/>
  <c r="A36" i="54"/>
  <c r="A37" i="54"/>
  <c r="B28" i="54"/>
  <c r="B29" i="54"/>
  <c r="B30" i="54"/>
  <c r="B31" i="54"/>
  <c r="B32" i="54"/>
  <c r="B33" i="54"/>
  <c r="B34" i="54"/>
  <c r="B35" i="54"/>
  <c r="B36" i="54"/>
  <c r="B37" i="54"/>
  <c r="C28" i="54" a="1"/>
  <c r="C28" i="54" s="1"/>
  <c r="C29" i="54" a="1"/>
  <c r="C29" i="54" s="1"/>
  <c r="C30" i="54" a="1"/>
  <c r="C30" i="54" s="1"/>
  <c r="C31" i="54" a="1"/>
  <c r="C31" i="54" s="1"/>
  <c r="C32" i="54" a="1"/>
  <c r="C32" i="54" s="1"/>
  <c r="C33" i="54" a="1"/>
  <c r="C33" i="54" s="1"/>
  <c r="C34" i="54" a="1"/>
  <c r="C34" i="54" s="1"/>
  <c r="C35" i="54" a="1"/>
  <c r="C35" i="54" s="1"/>
  <c r="C36" i="54" a="1"/>
  <c r="C36" i="54" s="1"/>
  <c r="C37" i="54" a="1"/>
  <c r="C37" i="54" s="1"/>
  <c r="E28" i="54" a="1"/>
  <c r="E28" i="54" s="1"/>
  <c r="E29" i="54" a="1"/>
  <c r="E29" i="54" s="1"/>
  <c r="E30" i="54" a="1"/>
  <c r="E30" i="54" s="1"/>
  <c r="E31" i="54" a="1"/>
  <c r="E31" i="54" s="1"/>
  <c r="E32" i="54" a="1"/>
  <c r="E32" i="54" s="1"/>
  <c r="E33" i="54" a="1"/>
  <c r="E33" i="54" s="1"/>
  <c r="E34" i="54" a="1"/>
  <c r="E34" i="54" s="1"/>
  <c r="E35" i="54" a="1"/>
  <c r="E35" i="54" s="1"/>
  <c r="E36" i="54" a="1"/>
  <c r="E36" i="54" s="1"/>
  <c r="E37" i="54" a="1"/>
  <c r="E37" i="54" s="1"/>
  <c r="F28" i="54"/>
  <c r="F29" i="54"/>
  <c r="F30" i="54"/>
  <c r="F31" i="54"/>
  <c r="F32" i="54"/>
  <c r="F33" i="54"/>
  <c r="F34" i="54"/>
  <c r="F35" i="54"/>
  <c r="F36" i="54"/>
  <c r="F37" i="54"/>
  <c r="H28" i="54"/>
  <c r="H29" i="54"/>
  <c r="H30" i="54"/>
  <c r="H31" i="54"/>
  <c r="H32" i="54"/>
  <c r="H33" i="54"/>
  <c r="H34" i="54"/>
  <c r="H35" i="54"/>
  <c r="H36" i="54"/>
  <c r="H37" i="54"/>
  <c r="I28" i="54"/>
  <c r="I29" i="54"/>
  <c r="I30" i="54"/>
  <c r="I31" i="54"/>
  <c r="I32" i="54"/>
  <c r="I33" i="54"/>
  <c r="I34" i="54"/>
  <c r="I35" i="54"/>
  <c r="I36" i="54"/>
  <c r="I37" i="54"/>
  <c r="J28" i="54"/>
  <c r="J29" i="54"/>
  <c r="J30" i="54"/>
  <c r="J31" i="54"/>
  <c r="J32" i="54"/>
  <c r="J33" i="54"/>
  <c r="J34" i="54"/>
  <c r="J35" i="54"/>
  <c r="J36" i="54"/>
  <c r="J37" i="54"/>
  <c r="L28" i="54"/>
  <c r="L29" i="54"/>
  <c r="L30" i="54"/>
  <c r="L31" i="54"/>
  <c r="L32" i="54"/>
  <c r="L33" i="54"/>
  <c r="L34" i="54"/>
  <c r="L35" i="54"/>
  <c r="L36" i="54"/>
  <c r="L37" i="54"/>
  <c r="S28" i="54" a="1"/>
  <c r="S28" i="54" s="1"/>
  <c r="S29" i="54" a="1"/>
  <c r="S29" i="54" s="1"/>
  <c r="S30" i="54" a="1"/>
  <c r="S30" i="54" s="1"/>
  <c r="S31" i="54" a="1"/>
  <c r="S31" i="54" s="1"/>
  <c r="S32" i="54" a="1"/>
  <c r="S32" i="54" s="1"/>
  <c r="S33" i="54" a="1"/>
  <c r="S33" i="54" s="1"/>
  <c r="S34" i="54" a="1"/>
  <c r="S34" i="54" s="1"/>
  <c r="S35" i="54" a="1"/>
  <c r="S35" i="54" s="1"/>
  <c r="S36" i="54" a="1"/>
  <c r="S36" i="54" s="1"/>
  <c r="S37" i="54" a="1"/>
  <c r="S37" i="54" s="1"/>
  <c r="T28" i="54" a="1"/>
  <c r="T28" i="54" s="1"/>
  <c r="T29" i="54" a="1"/>
  <c r="T29" i="54" s="1"/>
  <c r="T30" i="54" a="1"/>
  <c r="T30" i="54" s="1"/>
  <c r="T31" i="54" a="1"/>
  <c r="T31" i="54" s="1"/>
  <c r="T32" i="54" a="1"/>
  <c r="T32" i="54" s="1"/>
  <c r="T33" i="54" a="1"/>
  <c r="T33" i="54" s="1"/>
  <c r="T34" i="54" a="1"/>
  <c r="T34" i="54" s="1"/>
  <c r="T35" i="54" a="1"/>
  <c r="T35" i="54" s="1"/>
  <c r="T36" i="54" a="1"/>
  <c r="T36" i="54" s="1"/>
  <c r="T37" i="54" a="1"/>
  <c r="T37" i="54" s="1"/>
  <c r="A108" i="122"/>
  <c r="C108" i="122"/>
  <c r="E108" i="122"/>
  <c r="F108" i="122"/>
  <c r="H108" i="122"/>
  <c r="I108" i="122"/>
  <c r="J108" i="122"/>
  <c r="K108" i="122"/>
  <c r="L108" i="122"/>
  <c r="Q108" i="122"/>
  <c r="A109" i="122"/>
  <c r="C109" i="122"/>
  <c r="E109" i="122"/>
  <c r="F109" i="122"/>
  <c r="H109" i="122"/>
  <c r="I109" i="122"/>
  <c r="J109" i="122"/>
  <c r="K109" i="122"/>
  <c r="L109" i="122"/>
  <c r="Q109" i="122"/>
  <c r="A12" i="54"/>
  <c r="A13" i="54"/>
  <c r="A14" i="54"/>
  <c r="A16" i="54"/>
  <c r="A17" i="54"/>
  <c r="A18" i="54"/>
  <c r="A20" i="54"/>
  <c r="A23" i="54"/>
  <c r="A24" i="54"/>
  <c r="A25" i="54"/>
  <c r="A26" i="54"/>
  <c r="A27" i="54"/>
  <c r="B12" i="54"/>
  <c r="B13" i="54"/>
  <c r="B14" i="54"/>
  <c r="B16" i="54"/>
  <c r="B17" i="54"/>
  <c r="B18" i="54"/>
  <c r="B20" i="54"/>
  <c r="B23" i="54"/>
  <c r="B24" i="54"/>
  <c r="B25" i="54"/>
  <c r="B26" i="54"/>
  <c r="B27" i="54"/>
  <c r="C12" i="54" a="1"/>
  <c r="C12" i="54" s="1"/>
  <c r="C13" i="54" a="1"/>
  <c r="C13" i="54" s="1"/>
  <c r="C14" i="54" a="1"/>
  <c r="C14" i="54" s="1"/>
  <c r="C16" i="54" a="1"/>
  <c r="C16" i="54" s="1"/>
  <c r="C17" i="54" a="1"/>
  <c r="C17" i="54" s="1"/>
  <c r="C18" i="54" a="1"/>
  <c r="C18" i="54" s="1"/>
  <c r="C20" i="54" a="1"/>
  <c r="C20" i="54" s="1"/>
  <c r="C23" i="54" a="1"/>
  <c r="C23" i="54" s="1"/>
  <c r="C24" i="54" a="1"/>
  <c r="C24" i="54" s="1"/>
  <c r="C25" i="54" a="1"/>
  <c r="C25" i="54" s="1"/>
  <c r="C26" i="54" a="1"/>
  <c r="C26" i="54" s="1"/>
  <c r="C27" i="54" a="1"/>
  <c r="C27" i="54" s="1"/>
  <c r="E12" i="54" a="1"/>
  <c r="E12" i="54" s="1"/>
  <c r="E13" i="54" a="1"/>
  <c r="E13" i="54" s="1"/>
  <c r="E14" i="54" a="1"/>
  <c r="E14" i="54" s="1"/>
  <c r="E16" i="54" a="1"/>
  <c r="E16" i="54" s="1"/>
  <c r="E17" i="54" a="1"/>
  <c r="E17" i="54" s="1"/>
  <c r="E18" i="54" a="1"/>
  <c r="E18" i="54" s="1"/>
  <c r="E20" i="54" a="1"/>
  <c r="E20" i="54" s="1"/>
  <c r="E23" i="54" a="1"/>
  <c r="E23" i="54" s="1"/>
  <c r="E24" i="54" a="1"/>
  <c r="E24" i="54" s="1"/>
  <c r="E25" i="54" a="1"/>
  <c r="E25" i="54" s="1"/>
  <c r="E26" i="54" a="1"/>
  <c r="E26" i="54" s="1"/>
  <c r="E27" i="54" a="1"/>
  <c r="E27" i="54" s="1"/>
  <c r="F12" i="54"/>
  <c r="F13" i="54"/>
  <c r="F14" i="54"/>
  <c r="F16" i="54"/>
  <c r="F17" i="54"/>
  <c r="F18" i="54"/>
  <c r="F20" i="54"/>
  <c r="F23" i="54"/>
  <c r="F24" i="54"/>
  <c r="F25" i="54"/>
  <c r="F26" i="54"/>
  <c r="F27" i="54"/>
  <c r="H12" i="54"/>
  <c r="H13" i="54"/>
  <c r="H14" i="54"/>
  <c r="H16" i="54"/>
  <c r="H17" i="54"/>
  <c r="H18" i="54"/>
  <c r="H20" i="54"/>
  <c r="H23" i="54"/>
  <c r="H24" i="54"/>
  <c r="H25" i="54"/>
  <c r="H26" i="54"/>
  <c r="H27" i="54"/>
  <c r="I12" i="54"/>
  <c r="I13" i="54"/>
  <c r="I14" i="54"/>
  <c r="I16" i="54"/>
  <c r="I17" i="54"/>
  <c r="I18" i="54"/>
  <c r="I20" i="54"/>
  <c r="I23" i="54"/>
  <c r="I24" i="54"/>
  <c r="I25" i="54"/>
  <c r="I26" i="54"/>
  <c r="I27" i="54"/>
  <c r="J12" i="54"/>
  <c r="J13" i="54"/>
  <c r="J14" i="54"/>
  <c r="J16" i="54"/>
  <c r="J17" i="54"/>
  <c r="J18" i="54"/>
  <c r="J20" i="54"/>
  <c r="J23" i="54"/>
  <c r="J24" i="54"/>
  <c r="J25" i="54"/>
  <c r="J26" i="54"/>
  <c r="J27" i="54"/>
  <c r="L12" i="54"/>
  <c r="L13" i="54"/>
  <c r="L14" i="54"/>
  <c r="L16" i="54"/>
  <c r="L17" i="54"/>
  <c r="L18" i="54"/>
  <c r="L20" i="54"/>
  <c r="L23" i="54"/>
  <c r="L24" i="54"/>
  <c r="L25" i="54"/>
  <c r="L26" i="54"/>
  <c r="L27" i="54"/>
  <c r="S12" i="54" a="1"/>
  <c r="S12" i="54" s="1"/>
  <c r="S13" i="54" a="1"/>
  <c r="S13" i="54" s="1"/>
  <c r="S14" i="54" a="1"/>
  <c r="S14" i="54" s="1"/>
  <c r="S16" i="54" a="1"/>
  <c r="S16" i="54" s="1"/>
  <c r="S17" i="54" a="1"/>
  <c r="S17" i="54" s="1"/>
  <c r="S18" i="54" a="1"/>
  <c r="S18" i="54" s="1"/>
  <c r="S20" i="54" a="1"/>
  <c r="S20" i="54" s="1"/>
  <c r="S23" i="54" a="1"/>
  <c r="S23" i="54" s="1"/>
  <c r="S24" i="54" a="1"/>
  <c r="S24" i="54" s="1"/>
  <c r="S25" i="54" a="1"/>
  <c r="S25" i="54" s="1"/>
  <c r="S26" i="54" a="1"/>
  <c r="S26" i="54" s="1"/>
  <c r="S27" i="54" a="1"/>
  <c r="S27" i="54" s="1"/>
  <c r="T12" i="54" a="1"/>
  <c r="T12" i="54" s="1"/>
  <c r="T13" i="54" a="1"/>
  <c r="T13" i="54" s="1"/>
  <c r="T14" i="54" a="1"/>
  <c r="T14" i="54" s="1"/>
  <c r="T16" i="54" a="1"/>
  <c r="T16" i="54" s="1"/>
  <c r="T17" i="54" a="1"/>
  <c r="T17" i="54" s="1"/>
  <c r="T18" i="54" a="1"/>
  <c r="T18" i="54" s="1"/>
  <c r="T20" i="54" a="1"/>
  <c r="T20" i="54" s="1"/>
  <c r="T23" i="54" a="1"/>
  <c r="T23" i="54" s="1"/>
  <c r="T24" i="54" a="1"/>
  <c r="T24" i="54" s="1"/>
  <c r="T25" i="54" a="1"/>
  <c r="T25" i="54" s="1"/>
  <c r="T26" i="54" a="1"/>
  <c r="T26" i="54" s="1"/>
  <c r="T27" i="54" a="1"/>
  <c r="T27" i="54" s="1"/>
  <c r="A11" i="120"/>
  <c r="B11" i="120"/>
  <c r="C11" i="120"/>
  <c r="D11" i="120"/>
  <c r="F11" i="120" a="1"/>
  <c r="F11" i="120" s="1"/>
  <c r="G11" i="120"/>
  <c r="H11" i="120"/>
  <c r="I11" i="120"/>
  <c r="K11" i="120"/>
  <c r="O11" i="120"/>
  <c r="J11" i="120" s="1"/>
  <c r="A12" i="120"/>
  <c r="B12" i="120"/>
  <c r="C12" i="120"/>
  <c r="D12" i="120"/>
  <c r="F12" i="120" a="1"/>
  <c r="F12" i="120" s="1"/>
  <c r="G12" i="120"/>
  <c r="H12" i="120"/>
  <c r="I12" i="120"/>
  <c r="K12" i="120"/>
  <c r="O12" i="120"/>
  <c r="J12" i="120" s="1"/>
  <c r="A5" i="120"/>
  <c r="B5" i="120"/>
  <c r="C5" i="120"/>
  <c r="D5" i="120"/>
  <c r="F5" i="120" a="1"/>
  <c r="F5" i="120" s="1"/>
  <c r="G5" i="120"/>
  <c r="H5" i="120"/>
  <c r="I5" i="120"/>
  <c r="K5" i="120"/>
  <c r="O5" i="120"/>
  <c r="J5" i="120" s="1"/>
  <c r="E11" i="120" a="1"/>
  <c r="E5" i="120" a="1"/>
  <c r="E12" i="120" a="1"/>
  <c r="G108" i="122" a="1"/>
  <c r="G109" i="122" a="1"/>
  <c r="C83" i="59" l="1"/>
  <c r="E91" i="59"/>
  <c r="D83" i="59"/>
  <c r="H75" i="59"/>
  <c r="C18" i="59"/>
  <c r="D18" i="59"/>
  <c r="E18" i="59"/>
  <c r="D99" i="59"/>
  <c r="E95" i="59"/>
  <c r="D91" i="59"/>
  <c r="N91" i="59" s="1"/>
  <c r="E60" i="59"/>
  <c r="H60" i="59"/>
  <c r="H84" i="59"/>
  <c r="N50" i="59"/>
  <c r="C84" i="59"/>
  <c r="D84" i="59"/>
  <c r="D95" i="59"/>
  <c r="N73" i="59"/>
  <c r="D60" i="59"/>
  <c r="D102" i="59"/>
  <c r="H67" i="59"/>
  <c r="E102" i="59"/>
  <c r="H102" i="59"/>
  <c r="E67" i="59"/>
  <c r="C99" i="59"/>
  <c r="C76" i="59"/>
  <c r="D67" i="59"/>
  <c r="C92" i="59"/>
  <c r="D78" i="59"/>
  <c r="E75" i="59"/>
  <c r="D76" i="59"/>
  <c r="E78" i="59"/>
  <c r="N90" i="59"/>
  <c r="H83" i="59"/>
  <c r="N83" i="59" s="1"/>
  <c r="H99" i="59"/>
  <c r="H95" i="59"/>
  <c r="H92" i="59"/>
  <c r="N65" i="59"/>
  <c r="N94" i="59"/>
  <c r="H78" i="59"/>
  <c r="D75" i="59"/>
  <c r="B109" i="122"/>
  <c r="E76" i="59"/>
  <c r="N58" i="59"/>
  <c r="D79" i="59"/>
  <c r="E79" i="59"/>
  <c r="H79" i="59"/>
  <c r="E100" i="59"/>
  <c r="D100" i="59"/>
  <c r="N81" i="59"/>
  <c r="N44" i="59"/>
  <c r="N47" i="59"/>
  <c r="N55" i="59"/>
  <c r="N62" i="59"/>
  <c r="N97" i="59"/>
  <c r="N98" i="59"/>
  <c r="C100" i="59"/>
  <c r="N74" i="59"/>
  <c r="D77" i="59"/>
  <c r="E77" i="59"/>
  <c r="E92" i="59"/>
  <c r="H77" i="59"/>
  <c r="N38" i="59"/>
  <c r="N45" i="59"/>
  <c r="N51" i="59"/>
  <c r="N101" i="59"/>
  <c r="N96" i="59"/>
  <c r="N93" i="59"/>
  <c r="N85" i="59"/>
  <c r="N87" i="59"/>
  <c r="N86" i="59"/>
  <c r="N89" i="59"/>
  <c r="N82" i="59"/>
  <c r="N70" i="59"/>
  <c r="N39" i="59"/>
  <c r="N42" i="59"/>
  <c r="N68" i="59"/>
  <c r="N53" i="59"/>
  <c r="N48" i="59"/>
  <c r="N61" i="59"/>
  <c r="N63" i="59"/>
  <c r="N66" i="59"/>
  <c r="N69" i="59"/>
  <c r="N71" i="59"/>
  <c r="N41" i="59"/>
  <c r="N46" i="59"/>
  <c r="N49" i="59"/>
  <c r="N56" i="59"/>
  <c r="N54" i="59"/>
  <c r="N57" i="59"/>
  <c r="N52" i="59"/>
  <c r="N37" i="59"/>
  <c r="N40" i="59"/>
  <c r="N43" i="59"/>
  <c r="N59" i="59"/>
  <c r="N72" i="59"/>
  <c r="N64" i="59"/>
  <c r="N80" i="59"/>
  <c r="N88" i="59"/>
  <c r="G8" i="74"/>
  <c r="G6" i="74"/>
  <c r="G9" i="74"/>
  <c r="G12" i="74"/>
  <c r="G4" i="74"/>
  <c r="G15" i="74"/>
  <c r="G7" i="74"/>
  <c r="G13" i="74"/>
  <c r="G16" i="74"/>
  <c r="G14" i="74"/>
  <c r="G11" i="74"/>
  <c r="G5" i="74"/>
  <c r="G3" i="74"/>
  <c r="G10" i="74"/>
  <c r="G32" i="54"/>
  <c r="K32" i="54" s="1"/>
  <c r="G29" i="54"/>
  <c r="K29" i="54" s="1"/>
  <c r="G33" i="54"/>
  <c r="K33" i="54" s="1"/>
  <c r="G37" i="54"/>
  <c r="K37" i="54" s="1"/>
  <c r="G30" i="54"/>
  <c r="K30" i="54" s="1"/>
  <c r="G34" i="54"/>
  <c r="K34" i="54" s="1"/>
  <c r="G36" i="54"/>
  <c r="K36" i="54" s="1"/>
  <c r="G31" i="54"/>
  <c r="K31" i="54" s="1"/>
  <c r="G35" i="54"/>
  <c r="K35" i="54" s="1"/>
  <c r="G28" i="54"/>
  <c r="K28" i="54" s="1"/>
  <c r="G108" i="122"/>
  <c r="G109" i="122"/>
  <c r="G24" i="54"/>
  <c r="K24" i="54" s="1"/>
  <c r="G26" i="54"/>
  <c r="K26" i="54" s="1"/>
  <c r="G17" i="54"/>
  <c r="K17" i="54" s="1"/>
  <c r="G25" i="54"/>
  <c r="K25" i="54" s="1"/>
  <c r="G16" i="54"/>
  <c r="K16" i="54" s="1"/>
  <c r="G13" i="54"/>
  <c r="K13" i="54" s="1"/>
  <c r="G20" i="54"/>
  <c r="K20" i="54" s="1"/>
  <c r="G12" i="54"/>
  <c r="K12" i="54" s="1"/>
  <c r="G23" i="54"/>
  <c r="K23" i="54" s="1"/>
  <c r="G14" i="54"/>
  <c r="K14" i="54" s="1"/>
  <c r="G27" i="54"/>
  <c r="K27" i="54" s="1"/>
  <c r="G18" i="54"/>
  <c r="K18" i="54" s="1"/>
  <c r="E11" i="120"/>
  <c r="L11" i="120" s="1"/>
  <c r="E12" i="120"/>
  <c r="L12" i="120" s="1"/>
  <c r="E5" i="120"/>
  <c r="L5" i="120" s="1"/>
  <c r="A5" i="91"/>
  <c r="B5" i="91"/>
  <c r="C5" i="91"/>
  <c r="A60" i="122"/>
  <c r="C60" i="122"/>
  <c r="E60" i="122"/>
  <c r="F60" i="122"/>
  <c r="H60" i="122"/>
  <c r="I60" i="122"/>
  <c r="J60" i="122"/>
  <c r="K60" i="122"/>
  <c r="L60" i="122"/>
  <c r="Q60" i="122"/>
  <c r="A61" i="122"/>
  <c r="C61" i="122"/>
  <c r="E61" i="122"/>
  <c r="F61" i="122"/>
  <c r="H61" i="122"/>
  <c r="I61" i="122"/>
  <c r="J61" i="122"/>
  <c r="K61" i="122"/>
  <c r="L61" i="122"/>
  <c r="Q61" i="122"/>
  <c r="A62" i="122"/>
  <c r="C62" i="122"/>
  <c r="E62" i="122"/>
  <c r="F62" i="122"/>
  <c r="H62" i="122"/>
  <c r="I62" i="122"/>
  <c r="J62" i="122"/>
  <c r="K62" i="122"/>
  <c r="L62" i="122"/>
  <c r="Q62" i="122"/>
  <c r="A63" i="122"/>
  <c r="C63" i="122"/>
  <c r="E63" i="122"/>
  <c r="F63" i="122"/>
  <c r="H63" i="122"/>
  <c r="I63" i="122"/>
  <c r="J63" i="122"/>
  <c r="K63" i="122"/>
  <c r="L63" i="122"/>
  <c r="Q63" i="122"/>
  <c r="A64" i="122"/>
  <c r="C64" i="122"/>
  <c r="E64" i="122"/>
  <c r="F64" i="122"/>
  <c r="H64" i="122"/>
  <c r="I64" i="122"/>
  <c r="J64" i="122"/>
  <c r="K64" i="122"/>
  <c r="L64" i="122"/>
  <c r="Q64" i="122"/>
  <c r="A5" i="52"/>
  <c r="B5" i="52"/>
  <c r="C5" i="52" a="1"/>
  <c r="C5" i="52" s="1"/>
  <c r="D5" i="52"/>
  <c r="E5" i="52"/>
  <c r="F5" i="52"/>
  <c r="G5" i="52"/>
  <c r="H5" i="52"/>
  <c r="K5" i="52"/>
  <c r="L5" i="52"/>
  <c r="A3" i="42"/>
  <c r="A4" i="42"/>
  <c r="A5" i="42"/>
  <c r="A6" i="42"/>
  <c r="A7" i="42"/>
  <c r="A8" i="42"/>
  <c r="A9" i="42"/>
  <c r="A10" i="42"/>
  <c r="A11" i="42"/>
  <c r="A12" i="42"/>
  <c r="B3" i="42"/>
  <c r="B4" i="42"/>
  <c r="B5" i="42"/>
  <c r="B6" i="42"/>
  <c r="B7" i="42"/>
  <c r="B8" i="42"/>
  <c r="B9" i="42"/>
  <c r="B10" i="42"/>
  <c r="B11" i="42"/>
  <c r="B12" i="42"/>
  <c r="C3" i="42"/>
  <c r="C4" i="42"/>
  <c r="C5" i="42"/>
  <c r="C6" i="42"/>
  <c r="C7" i="42"/>
  <c r="C8" i="42"/>
  <c r="C9" i="42"/>
  <c r="C10" i="42"/>
  <c r="C11" i="42"/>
  <c r="C12" i="42"/>
  <c r="D3" i="42"/>
  <c r="D4" i="42"/>
  <c r="D5" i="42"/>
  <c r="D6" i="42"/>
  <c r="D7" i="42"/>
  <c r="D8" i="42"/>
  <c r="D9" i="42"/>
  <c r="D10" i="42"/>
  <c r="D11" i="42"/>
  <c r="D12" i="42"/>
  <c r="E3" i="42"/>
  <c r="E4" i="42"/>
  <c r="E5" i="42"/>
  <c r="E6" i="42"/>
  <c r="E7" i="42"/>
  <c r="E8" i="42"/>
  <c r="E9" i="42"/>
  <c r="E10" i="42"/>
  <c r="E11" i="42"/>
  <c r="E12" i="42"/>
  <c r="H3" i="42"/>
  <c r="H4" i="42"/>
  <c r="H5" i="42"/>
  <c r="H6" i="42"/>
  <c r="H7" i="42"/>
  <c r="H8" i="42"/>
  <c r="H9" i="42"/>
  <c r="H10" i="42"/>
  <c r="H11" i="42"/>
  <c r="H12" i="42"/>
  <c r="A3" i="93"/>
  <c r="A4" i="93"/>
  <c r="B3" i="93"/>
  <c r="B4" i="93"/>
  <c r="C3" i="93"/>
  <c r="C4" i="93"/>
  <c r="D3" i="93"/>
  <c r="D4" i="93"/>
  <c r="E3" i="93"/>
  <c r="E4" i="93"/>
  <c r="A3" i="151"/>
  <c r="A4" i="151"/>
  <c r="A5" i="151"/>
  <c r="A6" i="151"/>
  <c r="A7" i="151"/>
  <c r="A8" i="151"/>
  <c r="A9" i="151"/>
  <c r="A10" i="151"/>
  <c r="A11" i="151"/>
  <c r="A12" i="151"/>
  <c r="A13" i="151"/>
  <c r="A14" i="151"/>
  <c r="A15" i="151"/>
  <c r="A16" i="151"/>
  <c r="A17" i="151"/>
  <c r="A18" i="151"/>
  <c r="A19" i="151"/>
  <c r="A20" i="151"/>
  <c r="A21" i="151"/>
  <c r="A22" i="151"/>
  <c r="A23" i="151"/>
  <c r="A24" i="151"/>
  <c r="A25" i="151"/>
  <c r="A26" i="151"/>
  <c r="A27" i="151"/>
  <c r="A28" i="151"/>
  <c r="A29" i="151"/>
  <c r="A30" i="151"/>
  <c r="A31" i="151"/>
  <c r="A32" i="151"/>
  <c r="A33" i="151"/>
  <c r="A34" i="151"/>
  <c r="A35" i="151"/>
  <c r="A36" i="151"/>
  <c r="A37" i="151"/>
  <c r="A38" i="151"/>
  <c r="A39" i="151"/>
  <c r="A40" i="151"/>
  <c r="A41" i="151"/>
  <c r="A42" i="151"/>
  <c r="A43" i="151"/>
  <c r="A44" i="151"/>
  <c r="A45" i="151"/>
  <c r="A46" i="151"/>
  <c r="A47" i="151"/>
  <c r="A48" i="151"/>
  <c r="A49" i="151"/>
  <c r="A50" i="151"/>
  <c r="A51" i="151"/>
  <c r="A52" i="151"/>
  <c r="A53" i="151"/>
  <c r="A54" i="151"/>
  <c r="A55" i="151"/>
  <c r="A56" i="151"/>
  <c r="A57" i="151"/>
  <c r="A58" i="151"/>
  <c r="A59" i="151"/>
  <c r="A60" i="151"/>
  <c r="A61" i="151"/>
  <c r="A62" i="151"/>
  <c r="A63" i="151"/>
  <c r="A64" i="151"/>
  <c r="A65" i="151"/>
  <c r="A66" i="151"/>
  <c r="A67" i="151"/>
  <c r="A68" i="151"/>
  <c r="A69" i="151"/>
  <c r="A70" i="151"/>
  <c r="A71" i="151"/>
  <c r="A72" i="151"/>
  <c r="A73" i="151"/>
  <c r="A74" i="151"/>
  <c r="A75" i="151"/>
  <c r="A76" i="151"/>
  <c r="A77" i="151"/>
  <c r="A78" i="151"/>
  <c r="A79" i="151"/>
  <c r="A80" i="151"/>
  <c r="A81" i="151"/>
  <c r="A82" i="151"/>
  <c r="A83" i="151"/>
  <c r="A84" i="151"/>
  <c r="A85" i="151"/>
  <c r="A86" i="151"/>
  <c r="A87" i="151"/>
  <c r="A88" i="151"/>
  <c r="A89" i="151"/>
  <c r="A90" i="151"/>
  <c r="A91" i="151"/>
  <c r="A92" i="151"/>
  <c r="A93" i="151"/>
  <c r="A94" i="151"/>
  <c r="A95" i="151"/>
  <c r="A96" i="151"/>
  <c r="A97" i="151"/>
  <c r="A98" i="151"/>
  <c r="A99" i="151"/>
  <c r="A100" i="151"/>
  <c r="A101" i="151"/>
  <c r="A102" i="151"/>
  <c r="A103" i="151"/>
  <c r="A104" i="151"/>
  <c r="A105" i="151"/>
  <c r="A106" i="151"/>
  <c r="A107" i="151"/>
  <c r="A108" i="151"/>
  <c r="A109" i="151"/>
  <c r="A110" i="151"/>
  <c r="A111" i="151"/>
  <c r="A112" i="151"/>
  <c r="A113" i="151"/>
  <c r="A114" i="151"/>
  <c r="A115" i="151"/>
  <c r="A116" i="151"/>
  <c r="A117" i="151"/>
  <c r="A118" i="151"/>
  <c r="A119" i="151"/>
  <c r="A120" i="151"/>
  <c r="A121" i="151"/>
  <c r="A122" i="151"/>
  <c r="A123" i="151"/>
  <c r="A124" i="151"/>
  <c r="A125" i="151"/>
  <c r="A126" i="151"/>
  <c r="A127" i="151"/>
  <c r="A128" i="151"/>
  <c r="A129" i="151"/>
  <c r="A130" i="151"/>
  <c r="A131" i="151"/>
  <c r="A132" i="151"/>
  <c r="A133" i="151"/>
  <c r="A134" i="151"/>
  <c r="A135" i="151"/>
  <c r="A136" i="151"/>
  <c r="A137" i="151"/>
  <c r="A138" i="151"/>
  <c r="A139" i="151"/>
  <c r="A140" i="151"/>
  <c r="A141" i="151"/>
  <c r="A142" i="151"/>
  <c r="A143" i="151"/>
  <c r="A144" i="151"/>
  <c r="A145" i="151"/>
  <c r="A146" i="151"/>
  <c r="A147" i="151"/>
  <c r="A148" i="151"/>
  <c r="A149" i="151"/>
  <c r="A150" i="151"/>
  <c r="A151" i="151"/>
  <c r="A152" i="151"/>
  <c r="A153" i="151"/>
  <c r="A154" i="151"/>
  <c r="A155" i="151"/>
  <c r="A156" i="151"/>
  <c r="A157" i="151"/>
  <c r="A158" i="151"/>
  <c r="A159" i="151"/>
  <c r="A160" i="151"/>
  <c r="A161" i="151"/>
  <c r="A162" i="151"/>
  <c r="A163" i="151"/>
  <c r="A164" i="151"/>
  <c r="A165" i="151"/>
  <c r="A166" i="151"/>
  <c r="A167" i="151"/>
  <c r="A168" i="151"/>
  <c r="A169" i="151"/>
  <c r="A170" i="151"/>
  <c r="A171" i="151"/>
  <c r="A172" i="151"/>
  <c r="A173" i="151"/>
  <c r="A174" i="151"/>
  <c r="A175" i="151"/>
  <c r="A176" i="151"/>
  <c r="A177" i="151"/>
  <c r="A178" i="151"/>
  <c r="A179" i="151"/>
  <c r="A180" i="151"/>
  <c r="A181" i="151"/>
  <c r="A182" i="151"/>
  <c r="A183" i="151"/>
  <c r="A184" i="151"/>
  <c r="A185" i="151"/>
  <c r="A186" i="151"/>
  <c r="A187" i="151"/>
  <c r="A188" i="151"/>
  <c r="A189" i="151"/>
  <c r="A190" i="151"/>
  <c r="A191" i="151"/>
  <c r="A192" i="151"/>
  <c r="A193" i="151"/>
  <c r="A194" i="151"/>
  <c r="A195" i="151"/>
  <c r="A196" i="151"/>
  <c r="A197" i="151"/>
  <c r="A198" i="151"/>
  <c r="A199" i="151"/>
  <c r="A200" i="151"/>
  <c r="A201" i="151"/>
  <c r="A202" i="151"/>
  <c r="A203" i="151"/>
  <c r="A204" i="151"/>
  <c r="A205" i="151"/>
  <c r="A206" i="151"/>
  <c r="A207" i="151"/>
  <c r="A208" i="151"/>
  <c r="A209" i="151"/>
  <c r="A210" i="151"/>
  <c r="A211" i="151"/>
  <c r="A212" i="151"/>
  <c r="A213" i="151"/>
  <c r="A214" i="151"/>
  <c r="A215" i="151"/>
  <c r="A216" i="151"/>
  <c r="A217" i="151"/>
  <c r="A218" i="151"/>
  <c r="A219" i="151"/>
  <c r="A220" i="151"/>
  <c r="A221" i="151"/>
  <c r="A222" i="151"/>
  <c r="A223" i="151"/>
  <c r="A224" i="151"/>
  <c r="A225" i="151"/>
  <c r="A226" i="151"/>
  <c r="A227" i="151"/>
  <c r="A228" i="151"/>
  <c r="A229" i="151"/>
  <c r="A230" i="151"/>
  <c r="A231" i="151"/>
  <c r="A232" i="151"/>
  <c r="A233" i="151"/>
  <c r="A234" i="151"/>
  <c r="A235" i="151"/>
  <c r="A236" i="151"/>
  <c r="A237" i="151"/>
  <c r="A238" i="151"/>
  <c r="A239" i="151"/>
  <c r="A240" i="151"/>
  <c r="A241" i="151"/>
  <c r="A242" i="151"/>
  <c r="A243" i="151"/>
  <c r="A244" i="151"/>
  <c r="A245" i="151"/>
  <c r="A246" i="151"/>
  <c r="A247" i="151"/>
  <c r="A248" i="151"/>
  <c r="A249" i="151"/>
  <c r="A250" i="151"/>
  <c r="A251" i="151"/>
  <c r="A252" i="151"/>
  <c r="A253" i="151"/>
  <c r="A254" i="151"/>
  <c r="A255" i="151"/>
  <c r="A256" i="151"/>
  <c r="A257" i="151"/>
  <c r="A258" i="151"/>
  <c r="A259" i="151"/>
  <c r="A260" i="151"/>
  <c r="A261" i="151"/>
  <c r="A262" i="151"/>
  <c r="A263" i="151"/>
  <c r="A264" i="151"/>
  <c r="A265" i="151"/>
  <c r="A266" i="151"/>
  <c r="A267" i="151"/>
  <c r="A268" i="151"/>
  <c r="A269" i="151"/>
  <c r="A270" i="151"/>
  <c r="A271" i="151"/>
  <c r="A272" i="151"/>
  <c r="A273" i="151"/>
  <c r="A274" i="151"/>
  <c r="A275" i="151"/>
  <c r="A276" i="151"/>
  <c r="A277" i="151"/>
  <c r="A278" i="151"/>
  <c r="A279" i="151"/>
  <c r="A280" i="151"/>
  <c r="A281" i="151"/>
  <c r="A282" i="151"/>
  <c r="A283" i="151"/>
  <c r="A284" i="151"/>
  <c r="A285" i="151"/>
  <c r="A286" i="151"/>
  <c r="A287" i="151"/>
  <c r="A288" i="151"/>
  <c r="A289" i="151"/>
  <c r="A290" i="151"/>
  <c r="A291" i="151"/>
  <c r="A292" i="151"/>
  <c r="A293" i="151"/>
  <c r="A294" i="151"/>
  <c r="A295" i="151"/>
  <c r="A296" i="151"/>
  <c r="A297" i="151"/>
  <c r="A298" i="151"/>
  <c r="A299" i="151"/>
  <c r="A300" i="151"/>
  <c r="A301" i="151"/>
  <c r="A302" i="151"/>
  <c r="A303" i="151"/>
  <c r="A304" i="151"/>
  <c r="A305" i="151"/>
  <c r="A306" i="151"/>
  <c r="A307" i="151"/>
  <c r="A308" i="151"/>
  <c r="A309" i="151"/>
  <c r="A310" i="151"/>
  <c r="A311" i="151"/>
  <c r="A312" i="151"/>
  <c r="A313" i="151"/>
  <c r="A314" i="151"/>
  <c r="A315" i="151"/>
  <c r="A316" i="151"/>
  <c r="A317" i="151"/>
  <c r="A318" i="151"/>
  <c r="A319" i="151"/>
  <c r="A320" i="151"/>
  <c r="A321" i="151"/>
  <c r="A322" i="151"/>
  <c r="A323" i="151"/>
  <c r="A324" i="151"/>
  <c r="A325" i="151"/>
  <c r="A326" i="151"/>
  <c r="A327" i="151"/>
  <c r="A328" i="151"/>
  <c r="A329" i="151"/>
  <c r="A330" i="151"/>
  <c r="A331" i="151"/>
  <c r="A332" i="151"/>
  <c r="A333" i="151"/>
  <c r="A334" i="151"/>
  <c r="A335" i="151"/>
  <c r="A336" i="151"/>
  <c r="A337" i="151"/>
  <c r="A338" i="151"/>
  <c r="A339" i="151"/>
  <c r="A340" i="151"/>
  <c r="A341" i="151"/>
  <c r="A342" i="151"/>
  <c r="A343" i="151"/>
  <c r="A344" i="151"/>
  <c r="A345" i="151"/>
  <c r="A346" i="151"/>
  <c r="A347" i="151"/>
  <c r="A348" i="151"/>
  <c r="A349" i="151"/>
  <c r="A350" i="151"/>
  <c r="A351" i="151"/>
  <c r="A352" i="151"/>
  <c r="A353" i="151"/>
  <c r="A354" i="151"/>
  <c r="A355" i="151"/>
  <c r="A356" i="151"/>
  <c r="A357" i="151"/>
  <c r="A358" i="151"/>
  <c r="A359" i="151"/>
  <c r="A360" i="151"/>
  <c r="A361" i="151"/>
  <c r="A362" i="151"/>
  <c r="A363" i="151"/>
  <c r="A364" i="151"/>
  <c r="A365" i="151"/>
  <c r="A366" i="151"/>
  <c r="A367" i="151"/>
  <c r="A368" i="151"/>
  <c r="A369" i="151"/>
  <c r="A370" i="151"/>
  <c r="A371" i="151"/>
  <c r="A372" i="151"/>
  <c r="A373" i="151"/>
  <c r="A374" i="151"/>
  <c r="A375" i="151"/>
  <c r="A376" i="151"/>
  <c r="A377" i="151"/>
  <c r="A378" i="151"/>
  <c r="A379" i="151"/>
  <c r="A380" i="151"/>
  <c r="A381" i="151"/>
  <c r="A382" i="151"/>
  <c r="A383" i="151"/>
  <c r="A384" i="151"/>
  <c r="A385" i="151"/>
  <c r="A386" i="151"/>
  <c r="A387" i="151"/>
  <c r="A388" i="151"/>
  <c r="A389" i="151"/>
  <c r="A390" i="151"/>
  <c r="A391" i="151"/>
  <c r="A392" i="151"/>
  <c r="A393" i="151"/>
  <c r="A394" i="151"/>
  <c r="A395" i="151"/>
  <c r="A396" i="151"/>
  <c r="A397" i="151"/>
  <c r="A398" i="151"/>
  <c r="A399" i="151"/>
  <c r="A400" i="151"/>
  <c r="A401" i="151"/>
  <c r="A402" i="151"/>
  <c r="A403" i="151"/>
  <c r="A404" i="151"/>
  <c r="A405" i="151"/>
  <c r="A406" i="151"/>
  <c r="A407" i="151"/>
  <c r="A408" i="151"/>
  <c r="A409" i="151"/>
  <c r="A410" i="151"/>
  <c r="A411" i="151"/>
  <c r="A412" i="151"/>
  <c r="A413" i="151"/>
  <c r="A414" i="151"/>
  <c r="A415" i="151"/>
  <c r="A416" i="151"/>
  <c r="A417" i="151"/>
  <c r="A418" i="151"/>
  <c r="A419" i="151"/>
  <c r="A420" i="151"/>
  <c r="A421" i="151"/>
  <c r="A422" i="151"/>
  <c r="A423" i="151"/>
  <c r="A424" i="151"/>
  <c r="A425" i="151"/>
  <c r="A426" i="151"/>
  <c r="A427" i="151"/>
  <c r="A428" i="151"/>
  <c r="A429" i="151"/>
  <c r="A430" i="151"/>
  <c r="A431" i="151"/>
  <c r="A432" i="151"/>
  <c r="A433" i="151"/>
  <c r="A434" i="151"/>
  <c r="A435" i="151"/>
  <c r="A436" i="151"/>
  <c r="A437" i="151"/>
  <c r="A438" i="151"/>
  <c r="A439" i="151"/>
  <c r="A440" i="151"/>
  <c r="A441" i="151"/>
  <c r="A442" i="151"/>
  <c r="A443" i="151"/>
  <c r="A444" i="151"/>
  <c r="A445" i="151"/>
  <c r="A446" i="151"/>
  <c r="A447" i="151"/>
  <c r="A448" i="151"/>
  <c r="A449" i="151"/>
  <c r="A450" i="151"/>
  <c r="A451" i="151"/>
  <c r="A452" i="151"/>
  <c r="A453" i="151"/>
  <c r="A454" i="151"/>
  <c r="A455" i="151"/>
  <c r="A456" i="151"/>
  <c r="A457" i="151"/>
  <c r="A458" i="151"/>
  <c r="A459" i="151"/>
  <c r="A460" i="151"/>
  <c r="A461" i="151"/>
  <c r="A462" i="151"/>
  <c r="A463" i="151"/>
  <c r="A464" i="151"/>
  <c r="A465" i="151"/>
  <c r="A466" i="151"/>
  <c r="A467" i="151"/>
  <c r="A468" i="151"/>
  <c r="A469" i="151"/>
  <c r="A470" i="151"/>
  <c r="A471" i="151"/>
  <c r="A472" i="151"/>
  <c r="A473" i="151"/>
  <c r="A474" i="151"/>
  <c r="A475" i="151"/>
  <c r="A476" i="151"/>
  <c r="A477" i="151"/>
  <c r="A478" i="151"/>
  <c r="A479" i="151"/>
  <c r="A480" i="151"/>
  <c r="A481" i="151"/>
  <c r="A482" i="151"/>
  <c r="A483" i="151"/>
  <c r="A484" i="151"/>
  <c r="A485" i="151"/>
  <c r="A486" i="151"/>
  <c r="A487" i="151"/>
  <c r="A488" i="151"/>
  <c r="A489" i="151"/>
  <c r="A490" i="151"/>
  <c r="A491" i="151"/>
  <c r="A492" i="151"/>
  <c r="A493" i="151"/>
  <c r="A494" i="151"/>
  <c r="A495" i="151"/>
  <c r="A496" i="151"/>
  <c r="A497" i="151"/>
  <c r="A498" i="151"/>
  <c r="A499" i="151"/>
  <c r="A500" i="151"/>
  <c r="A501" i="151"/>
  <c r="A502" i="151"/>
  <c r="A503" i="151"/>
  <c r="A504" i="151"/>
  <c r="A505" i="151"/>
  <c r="A506" i="151"/>
  <c r="A507" i="151"/>
  <c r="A508" i="151"/>
  <c r="A509" i="151"/>
  <c r="A510" i="151"/>
  <c r="A511" i="151"/>
  <c r="A512" i="151"/>
  <c r="A513" i="151"/>
  <c r="A514" i="151"/>
  <c r="A515" i="151"/>
  <c r="A516" i="151"/>
  <c r="A517" i="151"/>
  <c r="A518" i="151"/>
  <c r="A519" i="151"/>
  <c r="A520" i="151"/>
  <c r="A521" i="151"/>
  <c r="A522" i="151"/>
  <c r="A523" i="151"/>
  <c r="A524" i="151"/>
  <c r="A525" i="151"/>
  <c r="A526" i="151"/>
  <c r="A527" i="151"/>
  <c r="A528" i="151"/>
  <c r="A529" i="151"/>
  <c r="A530" i="151"/>
  <c r="A531" i="151"/>
  <c r="A532" i="151"/>
  <c r="A533" i="151"/>
  <c r="A534" i="151"/>
  <c r="A535" i="151"/>
  <c r="A536" i="151"/>
  <c r="B3" i="151"/>
  <c r="B4" i="151"/>
  <c r="B5" i="151"/>
  <c r="B6" i="151"/>
  <c r="B7" i="151"/>
  <c r="B8" i="151"/>
  <c r="B9" i="151"/>
  <c r="B10" i="151"/>
  <c r="B11" i="151"/>
  <c r="B12" i="151"/>
  <c r="B13" i="151"/>
  <c r="B14" i="151"/>
  <c r="B15" i="151"/>
  <c r="B16" i="151"/>
  <c r="B17" i="151"/>
  <c r="B18" i="151"/>
  <c r="B19" i="151"/>
  <c r="B20" i="151"/>
  <c r="B21" i="151"/>
  <c r="B22" i="151"/>
  <c r="B23" i="151"/>
  <c r="B24" i="151"/>
  <c r="B25" i="151"/>
  <c r="B26" i="151"/>
  <c r="B27" i="151"/>
  <c r="B28" i="151"/>
  <c r="B29" i="151"/>
  <c r="B30" i="151"/>
  <c r="B31" i="151"/>
  <c r="B32" i="151"/>
  <c r="B33" i="151"/>
  <c r="B34" i="151"/>
  <c r="B35" i="151"/>
  <c r="B36" i="151"/>
  <c r="B37" i="151"/>
  <c r="B38" i="151"/>
  <c r="B39" i="151"/>
  <c r="B40" i="151"/>
  <c r="B41" i="151"/>
  <c r="B42" i="151"/>
  <c r="B43" i="151"/>
  <c r="B44" i="151"/>
  <c r="B45" i="151"/>
  <c r="B46" i="151"/>
  <c r="B47" i="151"/>
  <c r="B48" i="151"/>
  <c r="B49" i="151"/>
  <c r="B50" i="151"/>
  <c r="B51" i="151"/>
  <c r="B52" i="151"/>
  <c r="B53" i="151"/>
  <c r="B54" i="151"/>
  <c r="B55" i="151"/>
  <c r="B56" i="151"/>
  <c r="B57" i="151"/>
  <c r="B58" i="151"/>
  <c r="B59" i="151"/>
  <c r="B60" i="151"/>
  <c r="B61" i="151"/>
  <c r="B62" i="151"/>
  <c r="B63" i="151"/>
  <c r="B64" i="151"/>
  <c r="B65" i="151"/>
  <c r="B66" i="151"/>
  <c r="B67" i="151"/>
  <c r="B68" i="151"/>
  <c r="B69" i="151"/>
  <c r="B70" i="151"/>
  <c r="B71" i="151"/>
  <c r="B72" i="151"/>
  <c r="B73" i="151"/>
  <c r="B74" i="151"/>
  <c r="B75" i="151"/>
  <c r="B76" i="151"/>
  <c r="B77" i="151"/>
  <c r="B78" i="151"/>
  <c r="B79" i="151"/>
  <c r="B80" i="151"/>
  <c r="B81" i="151"/>
  <c r="B82" i="151"/>
  <c r="B83" i="151"/>
  <c r="B84" i="151"/>
  <c r="B85" i="151"/>
  <c r="B86" i="151"/>
  <c r="B87" i="151"/>
  <c r="B88" i="151"/>
  <c r="B89" i="151"/>
  <c r="B90" i="151"/>
  <c r="B91" i="151"/>
  <c r="B92" i="151"/>
  <c r="B93" i="151"/>
  <c r="B94" i="151"/>
  <c r="B95" i="151"/>
  <c r="B96" i="151"/>
  <c r="B97" i="151"/>
  <c r="B98" i="151"/>
  <c r="B99" i="151"/>
  <c r="B100" i="151"/>
  <c r="B101" i="151"/>
  <c r="B102" i="151"/>
  <c r="B103" i="151"/>
  <c r="B104" i="151"/>
  <c r="B105" i="151"/>
  <c r="B106" i="151"/>
  <c r="B107" i="151"/>
  <c r="B108" i="151"/>
  <c r="B109" i="151"/>
  <c r="B110" i="151"/>
  <c r="B111" i="151"/>
  <c r="B112" i="151"/>
  <c r="B113" i="151"/>
  <c r="B114" i="151"/>
  <c r="B115" i="151"/>
  <c r="B116" i="151"/>
  <c r="B117" i="151"/>
  <c r="B118" i="151"/>
  <c r="B119" i="151"/>
  <c r="B120" i="151"/>
  <c r="B121" i="151"/>
  <c r="B122" i="151"/>
  <c r="B123" i="151"/>
  <c r="B124" i="151"/>
  <c r="B125" i="151"/>
  <c r="B126" i="151"/>
  <c r="B127" i="151"/>
  <c r="B128" i="151"/>
  <c r="B129" i="151"/>
  <c r="B130" i="151"/>
  <c r="B131" i="151"/>
  <c r="B132" i="151"/>
  <c r="B133" i="151"/>
  <c r="B134" i="151"/>
  <c r="B135" i="151"/>
  <c r="B136" i="151"/>
  <c r="B137" i="151"/>
  <c r="B138" i="151"/>
  <c r="B139" i="151"/>
  <c r="B140" i="151"/>
  <c r="B141" i="151"/>
  <c r="B142" i="151"/>
  <c r="B143" i="151"/>
  <c r="B144" i="151"/>
  <c r="B145" i="151"/>
  <c r="B146" i="151"/>
  <c r="B147" i="151"/>
  <c r="B148" i="151"/>
  <c r="B149" i="151"/>
  <c r="B150" i="151"/>
  <c r="B151" i="151"/>
  <c r="B152" i="151"/>
  <c r="B153" i="151"/>
  <c r="B154" i="151"/>
  <c r="B155" i="151"/>
  <c r="B156" i="151"/>
  <c r="B157" i="151"/>
  <c r="B158" i="151"/>
  <c r="B159" i="151"/>
  <c r="B160" i="151"/>
  <c r="B161" i="151"/>
  <c r="B162" i="151"/>
  <c r="B163" i="151"/>
  <c r="B164" i="151"/>
  <c r="B165" i="151"/>
  <c r="B166" i="151"/>
  <c r="B167" i="151"/>
  <c r="B168" i="151"/>
  <c r="B169" i="151"/>
  <c r="B170" i="151"/>
  <c r="B171" i="151"/>
  <c r="B172" i="151"/>
  <c r="B173" i="151"/>
  <c r="B174" i="151"/>
  <c r="B175" i="151"/>
  <c r="B176" i="151"/>
  <c r="B177" i="151"/>
  <c r="B178" i="151"/>
  <c r="B179" i="151"/>
  <c r="B180" i="151"/>
  <c r="B181" i="151"/>
  <c r="B182" i="151"/>
  <c r="B183" i="151"/>
  <c r="B184" i="151"/>
  <c r="B185" i="151"/>
  <c r="B186" i="151"/>
  <c r="B187" i="151"/>
  <c r="B188" i="151"/>
  <c r="B189" i="151"/>
  <c r="B190" i="151"/>
  <c r="B191" i="151"/>
  <c r="B192" i="151"/>
  <c r="B193" i="151"/>
  <c r="B194" i="151"/>
  <c r="B195" i="151"/>
  <c r="B196" i="151"/>
  <c r="B197" i="151"/>
  <c r="B198" i="151"/>
  <c r="B199" i="151"/>
  <c r="B200" i="151"/>
  <c r="B201" i="151"/>
  <c r="B202" i="151"/>
  <c r="B203" i="151"/>
  <c r="B204" i="151"/>
  <c r="B205" i="151"/>
  <c r="B206" i="151"/>
  <c r="B207" i="151"/>
  <c r="B208" i="151"/>
  <c r="B209" i="151"/>
  <c r="B210" i="151"/>
  <c r="B211" i="151"/>
  <c r="B212" i="151"/>
  <c r="B213" i="151"/>
  <c r="B214" i="151"/>
  <c r="B215" i="151"/>
  <c r="B216" i="151"/>
  <c r="B217" i="151"/>
  <c r="B218" i="151"/>
  <c r="B219" i="151"/>
  <c r="B220" i="151"/>
  <c r="B221" i="151"/>
  <c r="B222" i="151"/>
  <c r="B223" i="151"/>
  <c r="B224" i="151"/>
  <c r="B225" i="151"/>
  <c r="B226" i="151"/>
  <c r="B227" i="151"/>
  <c r="B228" i="151"/>
  <c r="B229" i="151"/>
  <c r="B230" i="151"/>
  <c r="B231" i="151"/>
  <c r="B232" i="151"/>
  <c r="B233" i="151"/>
  <c r="B234" i="151"/>
  <c r="B235" i="151"/>
  <c r="B236" i="151"/>
  <c r="B237" i="151"/>
  <c r="B238" i="151"/>
  <c r="B239" i="151"/>
  <c r="B240" i="151"/>
  <c r="B241" i="151"/>
  <c r="B242" i="151"/>
  <c r="B243" i="151"/>
  <c r="B244" i="151"/>
  <c r="B245" i="151"/>
  <c r="B246" i="151"/>
  <c r="B247" i="151"/>
  <c r="B248" i="151"/>
  <c r="B249" i="151"/>
  <c r="B250" i="151"/>
  <c r="B251" i="151"/>
  <c r="B252" i="151"/>
  <c r="B253" i="151"/>
  <c r="B254" i="151"/>
  <c r="B255" i="151"/>
  <c r="B256" i="151"/>
  <c r="B257" i="151"/>
  <c r="B258" i="151"/>
  <c r="B259" i="151"/>
  <c r="B260" i="151"/>
  <c r="B261" i="151"/>
  <c r="B262" i="151"/>
  <c r="B263" i="151"/>
  <c r="B264" i="151"/>
  <c r="B265" i="151"/>
  <c r="B266" i="151"/>
  <c r="B267" i="151"/>
  <c r="B268" i="151"/>
  <c r="B269" i="151"/>
  <c r="B270" i="151"/>
  <c r="B271" i="151"/>
  <c r="B272" i="151"/>
  <c r="B273" i="151"/>
  <c r="B274" i="151"/>
  <c r="B275" i="151"/>
  <c r="B276" i="151"/>
  <c r="B277" i="151"/>
  <c r="B278" i="151"/>
  <c r="B279" i="151"/>
  <c r="B280" i="151"/>
  <c r="B281" i="151"/>
  <c r="B282" i="151"/>
  <c r="B283" i="151"/>
  <c r="B284" i="151"/>
  <c r="B285" i="151"/>
  <c r="B286" i="151"/>
  <c r="B287" i="151"/>
  <c r="B288" i="151"/>
  <c r="B289" i="151"/>
  <c r="B290" i="151"/>
  <c r="B291" i="151"/>
  <c r="B292" i="151"/>
  <c r="B293" i="151"/>
  <c r="B294" i="151"/>
  <c r="B295" i="151"/>
  <c r="B296" i="151"/>
  <c r="B297" i="151"/>
  <c r="B298" i="151"/>
  <c r="B299" i="151"/>
  <c r="B300" i="151"/>
  <c r="B301" i="151"/>
  <c r="B302" i="151"/>
  <c r="B303" i="151"/>
  <c r="B304" i="151"/>
  <c r="B305" i="151"/>
  <c r="B306" i="151"/>
  <c r="B307" i="151"/>
  <c r="B308" i="151"/>
  <c r="B309" i="151"/>
  <c r="B310" i="151"/>
  <c r="B311" i="151"/>
  <c r="B312" i="151"/>
  <c r="B313" i="151"/>
  <c r="B314" i="151"/>
  <c r="B315" i="151"/>
  <c r="B316" i="151"/>
  <c r="B317" i="151"/>
  <c r="B318" i="151"/>
  <c r="B319" i="151"/>
  <c r="B320" i="151"/>
  <c r="B321" i="151"/>
  <c r="B322" i="151"/>
  <c r="B323" i="151"/>
  <c r="B324" i="151"/>
  <c r="B325" i="151"/>
  <c r="B326" i="151"/>
  <c r="B327" i="151"/>
  <c r="B328" i="151"/>
  <c r="B329" i="151"/>
  <c r="B330" i="151"/>
  <c r="B331" i="151"/>
  <c r="B332" i="151"/>
  <c r="B333" i="151"/>
  <c r="B334" i="151"/>
  <c r="B335" i="151"/>
  <c r="B336" i="151"/>
  <c r="B337" i="151"/>
  <c r="B338" i="151"/>
  <c r="B339" i="151"/>
  <c r="B340" i="151"/>
  <c r="B341" i="151"/>
  <c r="B342" i="151"/>
  <c r="B343" i="151"/>
  <c r="B344" i="151"/>
  <c r="B345" i="151"/>
  <c r="B346" i="151"/>
  <c r="B347" i="151"/>
  <c r="B348" i="151"/>
  <c r="B349" i="151"/>
  <c r="B350" i="151"/>
  <c r="B351" i="151"/>
  <c r="B352" i="151"/>
  <c r="B353" i="151"/>
  <c r="B354" i="151"/>
  <c r="B355" i="151"/>
  <c r="B356" i="151"/>
  <c r="B357" i="151"/>
  <c r="B358" i="151"/>
  <c r="B359" i="151"/>
  <c r="B360" i="151"/>
  <c r="B361" i="151"/>
  <c r="B362" i="151"/>
  <c r="B363" i="151"/>
  <c r="B364" i="151"/>
  <c r="B365" i="151"/>
  <c r="B366" i="151"/>
  <c r="B367" i="151"/>
  <c r="B368" i="151"/>
  <c r="B369" i="151"/>
  <c r="B370" i="151"/>
  <c r="B371" i="151"/>
  <c r="B372" i="151"/>
  <c r="B373" i="151"/>
  <c r="B374" i="151"/>
  <c r="B375" i="151"/>
  <c r="B376" i="151"/>
  <c r="B377" i="151"/>
  <c r="B378" i="151"/>
  <c r="B379" i="151"/>
  <c r="B380" i="151"/>
  <c r="B381" i="151"/>
  <c r="B382" i="151"/>
  <c r="B383" i="151"/>
  <c r="B384" i="151"/>
  <c r="B385" i="151"/>
  <c r="B386" i="151"/>
  <c r="B387" i="151"/>
  <c r="B388" i="151"/>
  <c r="B389" i="151"/>
  <c r="B390" i="151"/>
  <c r="B391" i="151"/>
  <c r="B392" i="151"/>
  <c r="B393" i="151"/>
  <c r="B394" i="151"/>
  <c r="B395" i="151"/>
  <c r="B396" i="151"/>
  <c r="B397" i="151"/>
  <c r="B398" i="151"/>
  <c r="B399" i="151"/>
  <c r="B400" i="151"/>
  <c r="B401" i="151"/>
  <c r="B402" i="151"/>
  <c r="B403" i="151"/>
  <c r="B404" i="151"/>
  <c r="B405" i="151"/>
  <c r="B406" i="151"/>
  <c r="B407" i="151"/>
  <c r="B408" i="151"/>
  <c r="B409" i="151"/>
  <c r="B410" i="151"/>
  <c r="B411" i="151"/>
  <c r="B412" i="151"/>
  <c r="B413" i="151"/>
  <c r="B414" i="151"/>
  <c r="B415" i="151"/>
  <c r="B416" i="151"/>
  <c r="B417" i="151"/>
  <c r="B418" i="151"/>
  <c r="B419" i="151"/>
  <c r="B420" i="151"/>
  <c r="B421" i="151"/>
  <c r="B422" i="151"/>
  <c r="B423" i="151"/>
  <c r="B424" i="151"/>
  <c r="B425" i="151"/>
  <c r="B426" i="151"/>
  <c r="B427" i="151"/>
  <c r="B428" i="151"/>
  <c r="B429" i="151"/>
  <c r="B430" i="151"/>
  <c r="B431" i="151"/>
  <c r="B432" i="151"/>
  <c r="B433" i="151"/>
  <c r="B434" i="151"/>
  <c r="B435" i="151"/>
  <c r="B436" i="151"/>
  <c r="B437" i="151"/>
  <c r="B438" i="151"/>
  <c r="B439" i="151"/>
  <c r="B440" i="151"/>
  <c r="B441" i="151"/>
  <c r="B442" i="151"/>
  <c r="B443" i="151"/>
  <c r="B444" i="151"/>
  <c r="B445" i="151"/>
  <c r="B446" i="151"/>
  <c r="B447" i="151"/>
  <c r="B448" i="151"/>
  <c r="B449" i="151"/>
  <c r="B450" i="151"/>
  <c r="B451" i="151"/>
  <c r="B452" i="151"/>
  <c r="B453" i="151"/>
  <c r="B454" i="151"/>
  <c r="B455" i="151"/>
  <c r="B456" i="151"/>
  <c r="B457" i="151"/>
  <c r="B458" i="151"/>
  <c r="B459" i="151"/>
  <c r="B460" i="151"/>
  <c r="B461" i="151"/>
  <c r="B462" i="151"/>
  <c r="B463" i="151"/>
  <c r="B464" i="151"/>
  <c r="B465" i="151"/>
  <c r="B466" i="151"/>
  <c r="B467" i="151"/>
  <c r="B468" i="151"/>
  <c r="B469" i="151"/>
  <c r="B470" i="151"/>
  <c r="B471" i="151"/>
  <c r="B472" i="151"/>
  <c r="B473" i="151"/>
  <c r="B474" i="151"/>
  <c r="B475" i="151"/>
  <c r="B476" i="151"/>
  <c r="B477" i="151"/>
  <c r="B478" i="151"/>
  <c r="B479" i="151"/>
  <c r="B480" i="151"/>
  <c r="B481" i="151"/>
  <c r="B482" i="151"/>
  <c r="B483" i="151"/>
  <c r="B484" i="151"/>
  <c r="B485" i="151"/>
  <c r="B486" i="151"/>
  <c r="B487" i="151"/>
  <c r="B488" i="151"/>
  <c r="B489" i="151"/>
  <c r="B490" i="151"/>
  <c r="B491" i="151"/>
  <c r="B492" i="151"/>
  <c r="B493" i="151"/>
  <c r="B494" i="151"/>
  <c r="B495" i="151"/>
  <c r="B496" i="151"/>
  <c r="B497" i="151"/>
  <c r="B498" i="151"/>
  <c r="B499" i="151"/>
  <c r="B500" i="151"/>
  <c r="B501" i="151"/>
  <c r="B502" i="151"/>
  <c r="B503" i="151"/>
  <c r="B504" i="151"/>
  <c r="B505" i="151"/>
  <c r="B506" i="151"/>
  <c r="B507" i="151"/>
  <c r="B508" i="151"/>
  <c r="B509" i="151"/>
  <c r="B510" i="151"/>
  <c r="B511" i="151"/>
  <c r="B512" i="151"/>
  <c r="B513" i="151"/>
  <c r="B514" i="151"/>
  <c r="B515" i="151"/>
  <c r="B516" i="151"/>
  <c r="B517" i="151"/>
  <c r="B518" i="151"/>
  <c r="B519" i="151"/>
  <c r="B520" i="151"/>
  <c r="B521" i="151"/>
  <c r="B522" i="151"/>
  <c r="B523" i="151"/>
  <c r="B524" i="151"/>
  <c r="B525" i="151"/>
  <c r="B526" i="151"/>
  <c r="B527" i="151"/>
  <c r="B528" i="151"/>
  <c r="B529" i="151"/>
  <c r="B530" i="151"/>
  <c r="B531" i="151"/>
  <c r="B532" i="151"/>
  <c r="B533" i="151"/>
  <c r="B534" i="151"/>
  <c r="B535" i="151"/>
  <c r="B536" i="151"/>
  <c r="C3" i="151"/>
  <c r="C4" i="151"/>
  <c r="C5" i="151"/>
  <c r="C6" i="151"/>
  <c r="C7" i="151"/>
  <c r="C8" i="151"/>
  <c r="C9" i="151"/>
  <c r="C10" i="151"/>
  <c r="C11" i="151"/>
  <c r="C12" i="151"/>
  <c r="C13" i="151"/>
  <c r="C14" i="151"/>
  <c r="C15" i="151"/>
  <c r="C16" i="151"/>
  <c r="C17" i="151"/>
  <c r="C18" i="151"/>
  <c r="C19" i="151"/>
  <c r="C20" i="151"/>
  <c r="C21" i="151"/>
  <c r="C22" i="151"/>
  <c r="C23" i="151"/>
  <c r="C24" i="151"/>
  <c r="C25" i="151"/>
  <c r="C26" i="151"/>
  <c r="C27" i="151"/>
  <c r="C28" i="151"/>
  <c r="C29" i="151"/>
  <c r="C30" i="151"/>
  <c r="C31" i="151"/>
  <c r="C32" i="151"/>
  <c r="C33" i="151"/>
  <c r="C34" i="151"/>
  <c r="C35" i="151"/>
  <c r="C36" i="151"/>
  <c r="C37" i="151"/>
  <c r="C38" i="151"/>
  <c r="C39" i="151"/>
  <c r="C40" i="151"/>
  <c r="C41" i="151"/>
  <c r="C42" i="151"/>
  <c r="C43" i="151"/>
  <c r="C44" i="151"/>
  <c r="C45" i="151"/>
  <c r="C46" i="151"/>
  <c r="C47" i="151"/>
  <c r="C48" i="151"/>
  <c r="C49" i="151"/>
  <c r="C50" i="151"/>
  <c r="C51" i="151"/>
  <c r="C52" i="151"/>
  <c r="C53" i="151"/>
  <c r="C54" i="151"/>
  <c r="C55" i="151"/>
  <c r="C56" i="151"/>
  <c r="C57" i="151"/>
  <c r="C58" i="151"/>
  <c r="C59" i="151"/>
  <c r="C60" i="151"/>
  <c r="C61" i="151"/>
  <c r="C62" i="151"/>
  <c r="C63" i="151"/>
  <c r="C64" i="151"/>
  <c r="C65" i="151"/>
  <c r="C66" i="151"/>
  <c r="C67" i="151"/>
  <c r="C68" i="151"/>
  <c r="C69" i="151"/>
  <c r="C70" i="151"/>
  <c r="C71" i="151"/>
  <c r="C72" i="151"/>
  <c r="C73" i="151"/>
  <c r="C74" i="151"/>
  <c r="C75" i="151"/>
  <c r="C76" i="151"/>
  <c r="C77" i="151"/>
  <c r="C78" i="151"/>
  <c r="C79" i="151"/>
  <c r="C80" i="151"/>
  <c r="C81" i="151"/>
  <c r="C82" i="151"/>
  <c r="C83" i="151"/>
  <c r="C84" i="151"/>
  <c r="C85" i="151"/>
  <c r="C86" i="151"/>
  <c r="C87" i="151"/>
  <c r="C88" i="151"/>
  <c r="C89" i="151"/>
  <c r="C90" i="151"/>
  <c r="C91" i="151"/>
  <c r="C92" i="151"/>
  <c r="C93" i="151"/>
  <c r="C94" i="151"/>
  <c r="C95" i="151"/>
  <c r="C96" i="151"/>
  <c r="C97" i="151"/>
  <c r="C98" i="151"/>
  <c r="C99" i="151"/>
  <c r="C100" i="151"/>
  <c r="C101" i="151"/>
  <c r="C102" i="151"/>
  <c r="C103" i="151"/>
  <c r="C104" i="151"/>
  <c r="C105" i="151"/>
  <c r="C106" i="151"/>
  <c r="C107" i="151"/>
  <c r="C108" i="151"/>
  <c r="C109" i="151"/>
  <c r="C110" i="151"/>
  <c r="C111" i="151"/>
  <c r="C112" i="151"/>
  <c r="C113" i="151"/>
  <c r="C114" i="151"/>
  <c r="C115" i="151"/>
  <c r="C116" i="151"/>
  <c r="C117" i="151"/>
  <c r="C118" i="151"/>
  <c r="C119" i="151"/>
  <c r="C120" i="151"/>
  <c r="C121" i="151"/>
  <c r="C122" i="151"/>
  <c r="C123" i="151"/>
  <c r="C124" i="151"/>
  <c r="C125" i="151"/>
  <c r="C126" i="151"/>
  <c r="C127" i="151"/>
  <c r="C128" i="151"/>
  <c r="C129" i="151"/>
  <c r="C130" i="151"/>
  <c r="C131" i="151"/>
  <c r="C132" i="151"/>
  <c r="C133" i="151"/>
  <c r="C134" i="151"/>
  <c r="C135" i="151"/>
  <c r="C136" i="151"/>
  <c r="C137" i="151"/>
  <c r="C138" i="151"/>
  <c r="C139" i="151"/>
  <c r="C140" i="151"/>
  <c r="C141" i="151"/>
  <c r="C142" i="151"/>
  <c r="C143" i="151"/>
  <c r="C144" i="151"/>
  <c r="C145" i="151"/>
  <c r="C146" i="151"/>
  <c r="C147" i="151"/>
  <c r="C148" i="151"/>
  <c r="C149" i="151"/>
  <c r="C150" i="151"/>
  <c r="C151" i="151"/>
  <c r="C152" i="151"/>
  <c r="C153" i="151"/>
  <c r="C154" i="151"/>
  <c r="C155" i="151"/>
  <c r="C156" i="151"/>
  <c r="C157" i="151"/>
  <c r="C158" i="151"/>
  <c r="C159" i="151"/>
  <c r="C160" i="151"/>
  <c r="C161" i="151"/>
  <c r="C162" i="151"/>
  <c r="C163" i="151"/>
  <c r="C164" i="151"/>
  <c r="C165" i="151"/>
  <c r="C166" i="151"/>
  <c r="C167" i="151"/>
  <c r="C168" i="151"/>
  <c r="C169" i="151"/>
  <c r="C170" i="151"/>
  <c r="C171" i="151"/>
  <c r="C172" i="151"/>
  <c r="C173" i="151"/>
  <c r="C174" i="151"/>
  <c r="C175" i="151"/>
  <c r="C176" i="151"/>
  <c r="C177" i="151"/>
  <c r="C178" i="151"/>
  <c r="C179" i="151"/>
  <c r="C180" i="151"/>
  <c r="C181" i="151"/>
  <c r="C182" i="151"/>
  <c r="C183" i="151"/>
  <c r="C184" i="151"/>
  <c r="C185" i="151"/>
  <c r="C186" i="151"/>
  <c r="C187" i="151"/>
  <c r="C188" i="151"/>
  <c r="C189" i="151"/>
  <c r="C190" i="151"/>
  <c r="C191" i="151"/>
  <c r="C192" i="151"/>
  <c r="C193" i="151"/>
  <c r="C194" i="151"/>
  <c r="C195" i="151"/>
  <c r="C196" i="151"/>
  <c r="C197" i="151"/>
  <c r="C198" i="151"/>
  <c r="C199" i="151"/>
  <c r="C200" i="151"/>
  <c r="C201" i="151"/>
  <c r="C202" i="151"/>
  <c r="C203" i="151"/>
  <c r="C204" i="151"/>
  <c r="C205" i="151"/>
  <c r="C206" i="151"/>
  <c r="C207" i="151"/>
  <c r="C208" i="151"/>
  <c r="C209" i="151"/>
  <c r="C210" i="151"/>
  <c r="C211" i="151"/>
  <c r="C212" i="151"/>
  <c r="C213" i="151"/>
  <c r="C214" i="151"/>
  <c r="C215" i="151"/>
  <c r="C216" i="151"/>
  <c r="C217" i="151"/>
  <c r="C218" i="151"/>
  <c r="C219" i="151"/>
  <c r="C220" i="151"/>
  <c r="C221" i="151"/>
  <c r="C222" i="151"/>
  <c r="C223" i="151"/>
  <c r="C224" i="151"/>
  <c r="C225" i="151"/>
  <c r="C226" i="151"/>
  <c r="C227" i="151"/>
  <c r="C228" i="151"/>
  <c r="C229" i="151"/>
  <c r="C230" i="151"/>
  <c r="C231" i="151"/>
  <c r="C232" i="151"/>
  <c r="C233" i="151"/>
  <c r="C234" i="151"/>
  <c r="C235" i="151"/>
  <c r="C236" i="151"/>
  <c r="C237" i="151"/>
  <c r="C238" i="151"/>
  <c r="C239" i="151"/>
  <c r="C240" i="151"/>
  <c r="C241" i="151"/>
  <c r="C242" i="151"/>
  <c r="C243" i="151"/>
  <c r="C244" i="151"/>
  <c r="C245" i="151"/>
  <c r="C246" i="151"/>
  <c r="C247" i="151"/>
  <c r="C248" i="151"/>
  <c r="C249" i="151"/>
  <c r="C250" i="151"/>
  <c r="C251" i="151"/>
  <c r="C252" i="151"/>
  <c r="C253" i="151"/>
  <c r="C254" i="151"/>
  <c r="C255" i="151"/>
  <c r="C256" i="151"/>
  <c r="C257" i="151"/>
  <c r="C258" i="151"/>
  <c r="C259" i="151"/>
  <c r="C260" i="151"/>
  <c r="C261" i="151"/>
  <c r="C262" i="151"/>
  <c r="C263" i="151"/>
  <c r="C264" i="151"/>
  <c r="C265" i="151"/>
  <c r="C266" i="151"/>
  <c r="C267" i="151"/>
  <c r="C268" i="151"/>
  <c r="C269" i="151"/>
  <c r="C270" i="151"/>
  <c r="C271" i="151"/>
  <c r="C272" i="151"/>
  <c r="C273" i="151"/>
  <c r="C274" i="151"/>
  <c r="C275" i="151"/>
  <c r="C276" i="151"/>
  <c r="C277" i="151"/>
  <c r="C278" i="151"/>
  <c r="C279" i="151"/>
  <c r="C280" i="151"/>
  <c r="C281" i="151"/>
  <c r="C282" i="151"/>
  <c r="C283" i="151"/>
  <c r="C284" i="151"/>
  <c r="C285" i="151"/>
  <c r="C286" i="151"/>
  <c r="C287" i="151"/>
  <c r="C288" i="151"/>
  <c r="C289" i="151"/>
  <c r="C290" i="151"/>
  <c r="C291" i="151"/>
  <c r="C292" i="151"/>
  <c r="C293" i="151"/>
  <c r="C294" i="151"/>
  <c r="C295" i="151"/>
  <c r="C296" i="151"/>
  <c r="C297" i="151"/>
  <c r="C298" i="151"/>
  <c r="C299" i="151"/>
  <c r="C300" i="151"/>
  <c r="C301" i="151"/>
  <c r="C302" i="151"/>
  <c r="C303" i="151"/>
  <c r="C304" i="151"/>
  <c r="C305" i="151"/>
  <c r="C306" i="151"/>
  <c r="C307" i="151"/>
  <c r="C308" i="151"/>
  <c r="C309" i="151"/>
  <c r="C310" i="151"/>
  <c r="C311" i="151"/>
  <c r="C312" i="151"/>
  <c r="C313" i="151"/>
  <c r="C314" i="151"/>
  <c r="C315" i="151"/>
  <c r="C316" i="151"/>
  <c r="C317" i="151"/>
  <c r="C318" i="151"/>
  <c r="C319" i="151"/>
  <c r="C320" i="151"/>
  <c r="C321" i="151"/>
  <c r="C322" i="151"/>
  <c r="C323" i="151"/>
  <c r="C324" i="151"/>
  <c r="C325" i="151"/>
  <c r="C326" i="151"/>
  <c r="C327" i="151"/>
  <c r="C328" i="151"/>
  <c r="C329" i="151"/>
  <c r="C330" i="151"/>
  <c r="C331" i="151"/>
  <c r="C332" i="151"/>
  <c r="C333" i="151"/>
  <c r="C334" i="151"/>
  <c r="C335" i="151"/>
  <c r="C336" i="151"/>
  <c r="C337" i="151"/>
  <c r="C338" i="151"/>
  <c r="C339" i="151"/>
  <c r="C340" i="151"/>
  <c r="C341" i="151"/>
  <c r="C342" i="151"/>
  <c r="C343" i="151"/>
  <c r="C344" i="151"/>
  <c r="C345" i="151"/>
  <c r="C346" i="151"/>
  <c r="C347" i="151"/>
  <c r="C348" i="151"/>
  <c r="C349" i="151"/>
  <c r="C350" i="151"/>
  <c r="C351" i="151"/>
  <c r="C352" i="151"/>
  <c r="C353" i="151"/>
  <c r="C354" i="151"/>
  <c r="C355" i="151"/>
  <c r="C356" i="151"/>
  <c r="C357" i="151"/>
  <c r="C358" i="151"/>
  <c r="C359" i="151"/>
  <c r="C360" i="151"/>
  <c r="C361" i="151"/>
  <c r="C362" i="151"/>
  <c r="C363" i="151"/>
  <c r="C364" i="151"/>
  <c r="C365" i="151"/>
  <c r="C366" i="151"/>
  <c r="C367" i="151"/>
  <c r="C368" i="151"/>
  <c r="C369" i="151"/>
  <c r="C370" i="151"/>
  <c r="C371" i="151"/>
  <c r="C372" i="151"/>
  <c r="C373" i="151"/>
  <c r="C374" i="151"/>
  <c r="C375" i="151"/>
  <c r="C376" i="151"/>
  <c r="C377" i="151"/>
  <c r="C378" i="151"/>
  <c r="C379" i="151"/>
  <c r="C380" i="151"/>
  <c r="C381" i="151"/>
  <c r="C382" i="151"/>
  <c r="C383" i="151"/>
  <c r="C384" i="151"/>
  <c r="C385" i="151"/>
  <c r="C386" i="151"/>
  <c r="C387" i="151"/>
  <c r="C388" i="151"/>
  <c r="C389" i="151"/>
  <c r="C390" i="151"/>
  <c r="C391" i="151"/>
  <c r="C392" i="151"/>
  <c r="C393" i="151"/>
  <c r="C394" i="151"/>
  <c r="C395" i="151"/>
  <c r="C396" i="151"/>
  <c r="C397" i="151"/>
  <c r="C398" i="151"/>
  <c r="C399" i="151"/>
  <c r="C400" i="151"/>
  <c r="C401" i="151"/>
  <c r="C402" i="151"/>
  <c r="C403" i="151"/>
  <c r="C404" i="151"/>
  <c r="C405" i="151"/>
  <c r="C406" i="151"/>
  <c r="C407" i="151"/>
  <c r="C408" i="151"/>
  <c r="C409" i="151"/>
  <c r="C410" i="151"/>
  <c r="C411" i="151"/>
  <c r="C412" i="151"/>
  <c r="C413" i="151"/>
  <c r="C414" i="151"/>
  <c r="C415" i="151"/>
  <c r="C416" i="151"/>
  <c r="C417" i="151"/>
  <c r="C418" i="151"/>
  <c r="C419" i="151"/>
  <c r="C420" i="151"/>
  <c r="C421" i="151"/>
  <c r="C422" i="151"/>
  <c r="C423" i="151"/>
  <c r="C424" i="151"/>
  <c r="C425" i="151"/>
  <c r="C426" i="151"/>
  <c r="C427" i="151"/>
  <c r="C428" i="151"/>
  <c r="C429" i="151"/>
  <c r="C430" i="151"/>
  <c r="C431" i="151"/>
  <c r="C432" i="151"/>
  <c r="C433" i="151"/>
  <c r="C434" i="151"/>
  <c r="C435" i="151"/>
  <c r="C436" i="151"/>
  <c r="C437" i="151"/>
  <c r="C438" i="151"/>
  <c r="C439" i="151"/>
  <c r="C440" i="151"/>
  <c r="C441" i="151"/>
  <c r="C442" i="151"/>
  <c r="C443" i="151"/>
  <c r="C444" i="151"/>
  <c r="C445" i="151"/>
  <c r="C446" i="151"/>
  <c r="C447" i="151"/>
  <c r="C448" i="151"/>
  <c r="C449" i="151"/>
  <c r="C450" i="151"/>
  <c r="C451" i="151"/>
  <c r="C452" i="151"/>
  <c r="C453" i="151"/>
  <c r="C454" i="151"/>
  <c r="C455" i="151"/>
  <c r="C456" i="151"/>
  <c r="C457" i="151"/>
  <c r="C458" i="151"/>
  <c r="C459" i="151"/>
  <c r="C460" i="151"/>
  <c r="C461" i="151"/>
  <c r="C462" i="151"/>
  <c r="C463" i="151"/>
  <c r="C464" i="151"/>
  <c r="C465" i="151"/>
  <c r="C466" i="151"/>
  <c r="C467" i="151"/>
  <c r="C468" i="151"/>
  <c r="C469" i="151"/>
  <c r="C470" i="151"/>
  <c r="C471" i="151"/>
  <c r="C472" i="151"/>
  <c r="C473" i="151"/>
  <c r="C474" i="151"/>
  <c r="C475" i="151"/>
  <c r="C476" i="151"/>
  <c r="C477" i="151"/>
  <c r="C478" i="151"/>
  <c r="C479" i="151"/>
  <c r="C480" i="151"/>
  <c r="C481" i="151"/>
  <c r="C482" i="151"/>
  <c r="C483" i="151"/>
  <c r="C484" i="151"/>
  <c r="C485" i="151"/>
  <c r="C486" i="151"/>
  <c r="C487" i="151"/>
  <c r="C488" i="151"/>
  <c r="C489" i="151"/>
  <c r="C490" i="151"/>
  <c r="C491" i="151"/>
  <c r="C492" i="151"/>
  <c r="C493" i="151"/>
  <c r="C494" i="151"/>
  <c r="C495" i="151"/>
  <c r="C496" i="151"/>
  <c r="C497" i="151"/>
  <c r="C498" i="151"/>
  <c r="C499" i="151"/>
  <c r="C500" i="151"/>
  <c r="C501" i="151"/>
  <c r="C502" i="151"/>
  <c r="C503" i="151"/>
  <c r="C504" i="151"/>
  <c r="C505" i="151"/>
  <c r="C506" i="151"/>
  <c r="C507" i="151"/>
  <c r="C508" i="151"/>
  <c r="C509" i="151"/>
  <c r="C510" i="151"/>
  <c r="C511" i="151"/>
  <c r="C512" i="151"/>
  <c r="C513" i="151"/>
  <c r="C514" i="151"/>
  <c r="C515" i="151"/>
  <c r="C516" i="151"/>
  <c r="C517" i="151"/>
  <c r="C518" i="151"/>
  <c r="C519" i="151"/>
  <c r="C520" i="151"/>
  <c r="C521" i="151"/>
  <c r="C522" i="151"/>
  <c r="C523" i="151"/>
  <c r="C524" i="151"/>
  <c r="C525" i="151"/>
  <c r="C526" i="151"/>
  <c r="C527" i="151"/>
  <c r="C528" i="151"/>
  <c r="C529" i="151"/>
  <c r="C530" i="151"/>
  <c r="C531" i="151"/>
  <c r="C532" i="151"/>
  <c r="C533" i="151"/>
  <c r="C534" i="151"/>
  <c r="C535" i="151"/>
  <c r="C536" i="151"/>
  <c r="D3" i="151" a="1"/>
  <c r="D3" i="151" s="1"/>
  <c r="D4" i="151" a="1"/>
  <c r="D4" i="151" s="1"/>
  <c r="D5" i="151" a="1"/>
  <c r="D5" i="151" s="1"/>
  <c r="D6" i="151" a="1"/>
  <c r="D6" i="151" s="1"/>
  <c r="D7" i="151" a="1"/>
  <c r="D7" i="151" s="1"/>
  <c r="D8" i="151" a="1"/>
  <c r="D8" i="151" s="1"/>
  <c r="D9" i="151" a="1"/>
  <c r="D9" i="151" s="1"/>
  <c r="D10" i="151" a="1"/>
  <c r="D10" i="151" s="1"/>
  <c r="D11" i="151" a="1"/>
  <c r="D11" i="151" s="1"/>
  <c r="D12" i="151" a="1"/>
  <c r="D12" i="151" s="1"/>
  <c r="D13" i="151" a="1"/>
  <c r="D13" i="151" s="1"/>
  <c r="D14" i="151" a="1"/>
  <c r="D14" i="151" s="1"/>
  <c r="D15" i="151" a="1"/>
  <c r="D15" i="151" s="1"/>
  <c r="D16" i="151" a="1"/>
  <c r="D16" i="151" s="1"/>
  <c r="D17" i="151" a="1"/>
  <c r="D17" i="151" s="1"/>
  <c r="D18" i="151" a="1"/>
  <c r="D18" i="151" s="1"/>
  <c r="D19" i="151" a="1"/>
  <c r="D19" i="151" s="1"/>
  <c r="D20" i="151" a="1"/>
  <c r="D20" i="151" s="1"/>
  <c r="D21" i="151" a="1"/>
  <c r="D21" i="151" s="1"/>
  <c r="D22" i="151" a="1"/>
  <c r="D22" i="151" s="1"/>
  <c r="D23" i="151" a="1"/>
  <c r="D23" i="151" s="1"/>
  <c r="D24" i="151" a="1"/>
  <c r="D24" i="151" s="1"/>
  <c r="D25" i="151" a="1"/>
  <c r="D25" i="151" s="1"/>
  <c r="D26" i="151" a="1"/>
  <c r="D26" i="151" s="1"/>
  <c r="D27" i="151" a="1"/>
  <c r="D27" i="151" s="1"/>
  <c r="D28" i="151" a="1"/>
  <c r="D28" i="151" s="1"/>
  <c r="D29" i="151" a="1"/>
  <c r="D29" i="151" s="1"/>
  <c r="D30" i="151" a="1"/>
  <c r="D30" i="151" s="1"/>
  <c r="D31" i="151" a="1"/>
  <c r="D31" i="151" s="1"/>
  <c r="D32" i="151" a="1"/>
  <c r="D32" i="151" s="1"/>
  <c r="D33" i="151" a="1"/>
  <c r="D33" i="151" s="1"/>
  <c r="D34" i="151" a="1"/>
  <c r="D34" i="151" s="1"/>
  <c r="D35" i="151" a="1"/>
  <c r="D35" i="151" s="1"/>
  <c r="D36" i="151" a="1"/>
  <c r="D36" i="151" s="1"/>
  <c r="D37" i="151" a="1"/>
  <c r="D37" i="151" s="1"/>
  <c r="D38" i="151" a="1"/>
  <c r="D38" i="151" s="1"/>
  <c r="D39" i="151" a="1"/>
  <c r="D39" i="151" s="1"/>
  <c r="D40" i="151" a="1"/>
  <c r="D40" i="151" s="1"/>
  <c r="D41" i="151" a="1"/>
  <c r="D41" i="151" s="1"/>
  <c r="D42" i="151" a="1"/>
  <c r="D42" i="151" s="1"/>
  <c r="D43" i="151" a="1"/>
  <c r="D43" i="151" s="1"/>
  <c r="D44" i="151" a="1"/>
  <c r="D44" i="151" s="1"/>
  <c r="D45" i="151" a="1"/>
  <c r="D45" i="151" s="1"/>
  <c r="D46" i="151" a="1"/>
  <c r="D46" i="151" s="1"/>
  <c r="D47" i="151" a="1"/>
  <c r="D47" i="151" s="1"/>
  <c r="D48" i="151" a="1"/>
  <c r="D48" i="151" s="1"/>
  <c r="D49" i="151" a="1"/>
  <c r="D49" i="151" s="1"/>
  <c r="D50" i="151" a="1"/>
  <c r="D50" i="151" s="1"/>
  <c r="D51" i="151" a="1"/>
  <c r="D51" i="151" s="1"/>
  <c r="D52" i="151" a="1"/>
  <c r="D52" i="151" s="1"/>
  <c r="D53" i="151" a="1"/>
  <c r="D53" i="151" s="1"/>
  <c r="D54" i="151" a="1"/>
  <c r="D54" i="151" s="1"/>
  <c r="D55" i="151" a="1"/>
  <c r="D55" i="151" s="1"/>
  <c r="D56" i="151" a="1"/>
  <c r="D56" i="151" s="1"/>
  <c r="D57" i="151" a="1"/>
  <c r="D57" i="151" s="1"/>
  <c r="D58" i="151" a="1"/>
  <c r="D58" i="151" s="1"/>
  <c r="D59" i="151" a="1"/>
  <c r="D59" i="151" s="1"/>
  <c r="D60" i="151" a="1"/>
  <c r="D60" i="151" s="1"/>
  <c r="D61" i="151" a="1"/>
  <c r="D61" i="151" s="1"/>
  <c r="D62" i="151" a="1"/>
  <c r="D62" i="151" s="1"/>
  <c r="D63" i="151" a="1"/>
  <c r="D63" i="151" s="1"/>
  <c r="D64" i="151" a="1"/>
  <c r="D64" i="151" s="1"/>
  <c r="D65" i="151" a="1"/>
  <c r="D65" i="151" s="1"/>
  <c r="D66" i="151" a="1"/>
  <c r="D66" i="151" s="1"/>
  <c r="D67" i="151" a="1"/>
  <c r="D67" i="151" s="1"/>
  <c r="D68" i="151" a="1"/>
  <c r="D68" i="151" s="1"/>
  <c r="D69" i="151" a="1"/>
  <c r="D69" i="151" s="1"/>
  <c r="D70" i="151" a="1"/>
  <c r="D70" i="151" s="1"/>
  <c r="D71" i="151" a="1"/>
  <c r="D71" i="151" s="1"/>
  <c r="D72" i="151" a="1"/>
  <c r="D72" i="151" s="1"/>
  <c r="D73" i="151" a="1"/>
  <c r="D73" i="151" s="1"/>
  <c r="D74" i="151" a="1"/>
  <c r="D74" i="151" s="1"/>
  <c r="D75" i="151" a="1"/>
  <c r="D75" i="151" s="1"/>
  <c r="D76" i="151" a="1"/>
  <c r="D76" i="151" s="1"/>
  <c r="D77" i="151" a="1"/>
  <c r="D77" i="151" s="1"/>
  <c r="D78" i="151" a="1"/>
  <c r="D78" i="151" s="1"/>
  <c r="D79" i="151" a="1"/>
  <c r="D79" i="151" s="1"/>
  <c r="D80" i="151" a="1"/>
  <c r="D80" i="151" s="1"/>
  <c r="D81" i="151" a="1"/>
  <c r="D81" i="151" s="1"/>
  <c r="D82" i="151" a="1"/>
  <c r="D82" i="151" s="1"/>
  <c r="D83" i="151" a="1"/>
  <c r="D83" i="151" s="1"/>
  <c r="D84" i="151" a="1"/>
  <c r="D84" i="151" s="1"/>
  <c r="D85" i="151" a="1"/>
  <c r="D85" i="151" s="1"/>
  <c r="D86" i="151" a="1"/>
  <c r="D86" i="151" s="1"/>
  <c r="D87" i="151" a="1"/>
  <c r="D87" i="151" s="1"/>
  <c r="D88" i="151" a="1"/>
  <c r="D88" i="151" s="1"/>
  <c r="D89" i="151" a="1"/>
  <c r="D89" i="151" s="1"/>
  <c r="D90" i="151" a="1"/>
  <c r="D90" i="151" s="1"/>
  <c r="D91" i="151" a="1"/>
  <c r="D91" i="151" s="1"/>
  <c r="D92" i="151" a="1"/>
  <c r="D92" i="151" s="1"/>
  <c r="D93" i="151" a="1"/>
  <c r="D93" i="151" s="1"/>
  <c r="D94" i="151" a="1"/>
  <c r="D94" i="151" s="1"/>
  <c r="D95" i="151" a="1"/>
  <c r="D95" i="151" s="1"/>
  <c r="D96" i="151" a="1"/>
  <c r="D96" i="151" s="1"/>
  <c r="D97" i="151" a="1"/>
  <c r="D97" i="151" s="1"/>
  <c r="D98" i="151" a="1"/>
  <c r="D98" i="151" s="1"/>
  <c r="D99" i="151" a="1"/>
  <c r="D99" i="151" s="1"/>
  <c r="D100" i="151" a="1"/>
  <c r="D100" i="151" s="1"/>
  <c r="D101" i="151" a="1"/>
  <c r="D101" i="151" s="1"/>
  <c r="D102" i="151" a="1"/>
  <c r="D102" i="151" s="1"/>
  <c r="D103" i="151" a="1"/>
  <c r="D103" i="151" s="1"/>
  <c r="D104" i="151" a="1"/>
  <c r="D104" i="151" s="1"/>
  <c r="D105" i="151" a="1"/>
  <c r="D105" i="151" s="1"/>
  <c r="D106" i="151" a="1"/>
  <c r="D106" i="151" s="1"/>
  <c r="D107" i="151" a="1"/>
  <c r="D107" i="151" s="1"/>
  <c r="D108" i="151" a="1"/>
  <c r="D108" i="151" s="1"/>
  <c r="D109" i="151" a="1"/>
  <c r="D109" i="151" s="1"/>
  <c r="D110" i="151" a="1"/>
  <c r="D110" i="151" s="1"/>
  <c r="D111" i="151" a="1"/>
  <c r="D111" i="151" s="1"/>
  <c r="D112" i="151" a="1"/>
  <c r="D112" i="151" s="1"/>
  <c r="D113" i="151" a="1"/>
  <c r="D113" i="151" s="1"/>
  <c r="D114" i="151" a="1"/>
  <c r="D114" i="151" s="1"/>
  <c r="D115" i="151" a="1"/>
  <c r="D115" i="151" s="1"/>
  <c r="D116" i="151" a="1"/>
  <c r="D116" i="151" s="1"/>
  <c r="D117" i="151" a="1"/>
  <c r="D117" i="151" s="1"/>
  <c r="D118" i="151" a="1"/>
  <c r="D118" i="151" s="1"/>
  <c r="D119" i="151" a="1"/>
  <c r="D119" i="151" s="1"/>
  <c r="D120" i="151" a="1"/>
  <c r="D120" i="151" s="1"/>
  <c r="D121" i="151" a="1"/>
  <c r="D121" i="151" s="1"/>
  <c r="D122" i="151" a="1"/>
  <c r="D122" i="151" s="1"/>
  <c r="D123" i="151" a="1"/>
  <c r="D123" i="151" s="1"/>
  <c r="D124" i="151" a="1"/>
  <c r="D124" i="151" s="1"/>
  <c r="D125" i="151" a="1"/>
  <c r="D125" i="151" s="1"/>
  <c r="D126" i="151" a="1"/>
  <c r="D126" i="151" s="1"/>
  <c r="D127" i="151" a="1"/>
  <c r="D127" i="151" s="1"/>
  <c r="D128" i="151" a="1"/>
  <c r="D128" i="151" s="1"/>
  <c r="D129" i="151" a="1"/>
  <c r="D129" i="151" s="1"/>
  <c r="D130" i="151" a="1"/>
  <c r="D130" i="151" s="1"/>
  <c r="D131" i="151" a="1"/>
  <c r="D131" i="151" s="1"/>
  <c r="D132" i="151" a="1"/>
  <c r="D132" i="151" s="1"/>
  <c r="D133" i="151" a="1"/>
  <c r="D133" i="151" s="1"/>
  <c r="D134" i="151" a="1"/>
  <c r="D134" i="151" s="1"/>
  <c r="D135" i="151" a="1"/>
  <c r="D135" i="151" s="1"/>
  <c r="D136" i="151" a="1"/>
  <c r="D136" i="151" s="1"/>
  <c r="D137" i="151" a="1"/>
  <c r="D137" i="151" s="1"/>
  <c r="D138" i="151" a="1"/>
  <c r="D138" i="151" s="1"/>
  <c r="D139" i="151" a="1"/>
  <c r="D139" i="151" s="1"/>
  <c r="D140" i="151" a="1"/>
  <c r="D140" i="151" s="1"/>
  <c r="D141" i="151" a="1"/>
  <c r="D141" i="151" s="1"/>
  <c r="D142" i="151" a="1"/>
  <c r="D142" i="151" s="1"/>
  <c r="D143" i="151" a="1"/>
  <c r="D143" i="151" s="1"/>
  <c r="D144" i="151" a="1"/>
  <c r="D144" i="151" s="1"/>
  <c r="D145" i="151" a="1"/>
  <c r="D145" i="151" s="1"/>
  <c r="D146" i="151" a="1"/>
  <c r="D146" i="151" s="1"/>
  <c r="D147" i="151" a="1"/>
  <c r="D147" i="151" s="1"/>
  <c r="D148" i="151" a="1"/>
  <c r="D148" i="151" s="1"/>
  <c r="D149" i="151" a="1"/>
  <c r="D149" i="151" s="1"/>
  <c r="D150" i="151" a="1"/>
  <c r="D150" i="151" s="1"/>
  <c r="D151" i="151" a="1"/>
  <c r="D151" i="151" s="1"/>
  <c r="D152" i="151" a="1"/>
  <c r="D152" i="151" s="1"/>
  <c r="D153" i="151" a="1"/>
  <c r="D153" i="151" s="1"/>
  <c r="D154" i="151" a="1"/>
  <c r="D154" i="151" s="1"/>
  <c r="D155" i="151" a="1"/>
  <c r="D155" i="151" s="1"/>
  <c r="D156" i="151" a="1"/>
  <c r="D156" i="151" s="1"/>
  <c r="D157" i="151" a="1"/>
  <c r="D157" i="151" s="1"/>
  <c r="D158" i="151" a="1"/>
  <c r="D158" i="151" s="1"/>
  <c r="D159" i="151" a="1"/>
  <c r="D159" i="151" s="1"/>
  <c r="D160" i="151" a="1"/>
  <c r="D160" i="151" s="1"/>
  <c r="D161" i="151" a="1"/>
  <c r="D161" i="151" s="1"/>
  <c r="D162" i="151" a="1"/>
  <c r="D162" i="151" s="1"/>
  <c r="D163" i="151" a="1"/>
  <c r="D163" i="151" s="1"/>
  <c r="D164" i="151" a="1"/>
  <c r="D164" i="151" s="1"/>
  <c r="D165" i="151" a="1"/>
  <c r="D165" i="151" s="1"/>
  <c r="D166" i="151" a="1"/>
  <c r="D166" i="151" s="1"/>
  <c r="D167" i="151" a="1"/>
  <c r="D167" i="151" s="1"/>
  <c r="D168" i="151" a="1"/>
  <c r="D168" i="151" s="1"/>
  <c r="D169" i="151" a="1"/>
  <c r="D169" i="151" s="1"/>
  <c r="D170" i="151" a="1"/>
  <c r="D170" i="151" s="1"/>
  <c r="D171" i="151" a="1"/>
  <c r="D171" i="151" s="1"/>
  <c r="D172" i="151" a="1"/>
  <c r="D172" i="151" s="1"/>
  <c r="D173" i="151" a="1"/>
  <c r="D173" i="151" s="1"/>
  <c r="D174" i="151" a="1"/>
  <c r="D174" i="151" s="1"/>
  <c r="D175" i="151" a="1"/>
  <c r="D175" i="151" s="1"/>
  <c r="D176" i="151" a="1"/>
  <c r="D176" i="151" s="1"/>
  <c r="D177" i="151" a="1"/>
  <c r="D177" i="151" s="1"/>
  <c r="D178" i="151" a="1"/>
  <c r="D178" i="151" s="1"/>
  <c r="D179" i="151" a="1"/>
  <c r="D179" i="151" s="1"/>
  <c r="D180" i="151" a="1"/>
  <c r="D180" i="151" s="1"/>
  <c r="D181" i="151" a="1"/>
  <c r="D181" i="151" s="1"/>
  <c r="D182" i="151" a="1"/>
  <c r="D182" i="151" s="1"/>
  <c r="D183" i="151" a="1"/>
  <c r="D183" i="151" s="1"/>
  <c r="D184" i="151" a="1"/>
  <c r="D184" i="151" s="1"/>
  <c r="D185" i="151" a="1"/>
  <c r="D185" i="151" s="1"/>
  <c r="D186" i="151" a="1"/>
  <c r="D186" i="151" s="1"/>
  <c r="D187" i="151" a="1"/>
  <c r="D187" i="151" s="1"/>
  <c r="D188" i="151" a="1"/>
  <c r="D188" i="151" s="1"/>
  <c r="D189" i="151" a="1"/>
  <c r="D189" i="151" s="1"/>
  <c r="D190" i="151" a="1"/>
  <c r="D190" i="151" s="1"/>
  <c r="D191" i="151" a="1"/>
  <c r="D191" i="151" s="1"/>
  <c r="D192" i="151" a="1"/>
  <c r="D192" i="151" s="1"/>
  <c r="D193" i="151" a="1"/>
  <c r="D193" i="151" s="1"/>
  <c r="D194" i="151" a="1"/>
  <c r="D194" i="151" s="1"/>
  <c r="D195" i="151" a="1"/>
  <c r="D195" i="151" s="1"/>
  <c r="D196" i="151" a="1"/>
  <c r="D196" i="151" s="1"/>
  <c r="D197" i="151" a="1"/>
  <c r="D197" i="151" s="1"/>
  <c r="D198" i="151" a="1"/>
  <c r="D198" i="151" s="1"/>
  <c r="D199" i="151" a="1"/>
  <c r="D199" i="151" s="1"/>
  <c r="D200" i="151" a="1"/>
  <c r="D200" i="151" s="1"/>
  <c r="D201" i="151" a="1"/>
  <c r="D201" i="151" s="1"/>
  <c r="D202" i="151" a="1"/>
  <c r="D202" i="151" s="1"/>
  <c r="D203" i="151" a="1"/>
  <c r="D203" i="151" s="1"/>
  <c r="D204" i="151" a="1"/>
  <c r="D204" i="151" s="1"/>
  <c r="D205" i="151" a="1"/>
  <c r="D205" i="151" s="1"/>
  <c r="D206" i="151" a="1"/>
  <c r="D206" i="151" s="1"/>
  <c r="D207" i="151" a="1"/>
  <c r="D207" i="151" s="1"/>
  <c r="D208" i="151" a="1"/>
  <c r="D208" i="151" s="1"/>
  <c r="D209" i="151" a="1"/>
  <c r="D209" i="151" s="1"/>
  <c r="D210" i="151" a="1"/>
  <c r="D210" i="151" s="1"/>
  <c r="D211" i="151" a="1"/>
  <c r="D211" i="151" s="1"/>
  <c r="D212" i="151" a="1"/>
  <c r="D212" i="151" s="1"/>
  <c r="D213" i="151" a="1"/>
  <c r="D213" i="151" s="1"/>
  <c r="D214" i="151" a="1"/>
  <c r="D214" i="151" s="1"/>
  <c r="D215" i="151" a="1"/>
  <c r="D215" i="151" s="1"/>
  <c r="D216" i="151" a="1"/>
  <c r="D216" i="151" s="1"/>
  <c r="D217" i="151" a="1"/>
  <c r="D217" i="151" s="1"/>
  <c r="D218" i="151" a="1"/>
  <c r="D218" i="151" s="1"/>
  <c r="D219" i="151" a="1"/>
  <c r="D219" i="151" s="1"/>
  <c r="D220" i="151" a="1"/>
  <c r="D220" i="151" s="1"/>
  <c r="D221" i="151" a="1"/>
  <c r="D221" i="151" s="1"/>
  <c r="D222" i="151" a="1"/>
  <c r="D222" i="151" s="1"/>
  <c r="D223" i="151" a="1"/>
  <c r="D223" i="151" s="1"/>
  <c r="D224" i="151" a="1"/>
  <c r="D224" i="151" s="1"/>
  <c r="D225" i="151" a="1"/>
  <c r="D225" i="151" s="1"/>
  <c r="D226" i="151" a="1"/>
  <c r="D226" i="151" s="1"/>
  <c r="D227" i="151" a="1"/>
  <c r="D227" i="151" s="1"/>
  <c r="D228" i="151" a="1"/>
  <c r="D228" i="151" s="1"/>
  <c r="D229" i="151" a="1"/>
  <c r="D229" i="151" s="1"/>
  <c r="D230" i="151" a="1"/>
  <c r="D230" i="151" s="1"/>
  <c r="D231" i="151" a="1"/>
  <c r="D231" i="151" s="1"/>
  <c r="D232" i="151" a="1"/>
  <c r="D232" i="151" s="1"/>
  <c r="D233" i="151" a="1"/>
  <c r="D233" i="151" s="1"/>
  <c r="D234" i="151" a="1"/>
  <c r="D234" i="151" s="1"/>
  <c r="D235" i="151" a="1"/>
  <c r="D235" i="151" s="1"/>
  <c r="D236" i="151" a="1"/>
  <c r="D236" i="151" s="1"/>
  <c r="D237" i="151" a="1"/>
  <c r="D237" i="151" s="1"/>
  <c r="D238" i="151" a="1"/>
  <c r="D238" i="151" s="1"/>
  <c r="D239" i="151" a="1"/>
  <c r="D239" i="151" s="1"/>
  <c r="D240" i="151" a="1"/>
  <c r="D240" i="151" s="1"/>
  <c r="D241" i="151" a="1"/>
  <c r="D241" i="151" s="1"/>
  <c r="D242" i="151" a="1"/>
  <c r="D242" i="151" s="1"/>
  <c r="D243" i="151" a="1"/>
  <c r="D243" i="151" s="1"/>
  <c r="D244" i="151" a="1"/>
  <c r="D244" i="151" s="1"/>
  <c r="D245" i="151" a="1"/>
  <c r="D245" i="151" s="1"/>
  <c r="D246" i="151" a="1"/>
  <c r="D246" i="151" s="1"/>
  <c r="D247" i="151" a="1"/>
  <c r="D247" i="151" s="1"/>
  <c r="D248" i="151" a="1"/>
  <c r="D248" i="151" s="1"/>
  <c r="D249" i="151" a="1"/>
  <c r="D249" i="151" s="1"/>
  <c r="D250" i="151" a="1"/>
  <c r="D250" i="151" s="1"/>
  <c r="D251" i="151" a="1"/>
  <c r="D251" i="151" s="1"/>
  <c r="D252" i="151" a="1"/>
  <c r="D252" i="151" s="1"/>
  <c r="D253" i="151" a="1"/>
  <c r="D253" i="151" s="1"/>
  <c r="D254" i="151" a="1"/>
  <c r="D254" i="151" s="1"/>
  <c r="D255" i="151" a="1"/>
  <c r="D255" i="151" s="1"/>
  <c r="D256" i="151" a="1"/>
  <c r="D256" i="151" s="1"/>
  <c r="D257" i="151" a="1"/>
  <c r="D257" i="151" s="1"/>
  <c r="D258" i="151" a="1"/>
  <c r="D258" i="151" s="1"/>
  <c r="D259" i="151" a="1"/>
  <c r="D259" i="151" s="1"/>
  <c r="D260" i="151" a="1"/>
  <c r="D260" i="151" s="1"/>
  <c r="D261" i="151" a="1"/>
  <c r="D261" i="151" s="1"/>
  <c r="D262" i="151" a="1"/>
  <c r="D262" i="151" s="1"/>
  <c r="D263" i="151" a="1"/>
  <c r="D263" i="151" s="1"/>
  <c r="D264" i="151" a="1"/>
  <c r="D264" i="151" s="1"/>
  <c r="D265" i="151" a="1"/>
  <c r="D265" i="151" s="1"/>
  <c r="D266" i="151" a="1"/>
  <c r="D266" i="151" s="1"/>
  <c r="D267" i="151" a="1"/>
  <c r="D267" i="151" s="1"/>
  <c r="D268" i="151" a="1"/>
  <c r="D268" i="151" s="1"/>
  <c r="D269" i="151" a="1"/>
  <c r="D269" i="151" s="1"/>
  <c r="D270" i="151" a="1"/>
  <c r="D270" i="151" s="1"/>
  <c r="D271" i="151" a="1"/>
  <c r="D271" i="151" s="1"/>
  <c r="D272" i="151" a="1"/>
  <c r="D272" i="151" s="1"/>
  <c r="D273" i="151" a="1"/>
  <c r="D273" i="151" s="1"/>
  <c r="D274" i="151" a="1"/>
  <c r="D274" i="151" s="1"/>
  <c r="D275" i="151" a="1"/>
  <c r="D275" i="151" s="1"/>
  <c r="D276" i="151" a="1"/>
  <c r="D276" i="151" s="1"/>
  <c r="D277" i="151" a="1"/>
  <c r="D277" i="151" s="1"/>
  <c r="D278" i="151" a="1"/>
  <c r="D278" i="151" s="1"/>
  <c r="D279" i="151" a="1"/>
  <c r="D279" i="151" s="1"/>
  <c r="D280" i="151" a="1"/>
  <c r="D280" i="151" s="1"/>
  <c r="D281" i="151" a="1"/>
  <c r="D281" i="151" s="1"/>
  <c r="D282" i="151" a="1"/>
  <c r="D282" i="151" s="1"/>
  <c r="D283" i="151" a="1"/>
  <c r="D283" i="151" s="1"/>
  <c r="D284" i="151" a="1"/>
  <c r="D284" i="151" s="1"/>
  <c r="D285" i="151" a="1"/>
  <c r="D285" i="151" s="1"/>
  <c r="D286" i="151" a="1"/>
  <c r="D286" i="151" s="1"/>
  <c r="D287" i="151" a="1"/>
  <c r="D287" i="151" s="1"/>
  <c r="D288" i="151" a="1"/>
  <c r="D288" i="151" s="1"/>
  <c r="D289" i="151" a="1"/>
  <c r="D289" i="151" s="1"/>
  <c r="D290" i="151" a="1"/>
  <c r="D290" i="151" s="1"/>
  <c r="D291" i="151" a="1"/>
  <c r="D291" i="151" s="1"/>
  <c r="D292" i="151" a="1"/>
  <c r="D292" i="151" s="1"/>
  <c r="D293" i="151" a="1"/>
  <c r="D293" i="151" s="1"/>
  <c r="D294" i="151" a="1"/>
  <c r="D294" i="151" s="1"/>
  <c r="D295" i="151" a="1"/>
  <c r="D295" i="151" s="1"/>
  <c r="D296" i="151" a="1"/>
  <c r="D296" i="151" s="1"/>
  <c r="D297" i="151" a="1"/>
  <c r="D297" i="151" s="1"/>
  <c r="D298" i="151" a="1"/>
  <c r="D298" i="151" s="1"/>
  <c r="D299" i="151" a="1"/>
  <c r="D299" i="151" s="1"/>
  <c r="D300" i="151" a="1"/>
  <c r="D300" i="151" s="1"/>
  <c r="D301" i="151" a="1"/>
  <c r="D301" i="151" s="1"/>
  <c r="D302" i="151" a="1"/>
  <c r="D302" i="151" s="1"/>
  <c r="D303" i="151" a="1"/>
  <c r="D303" i="151" s="1"/>
  <c r="D304" i="151" a="1"/>
  <c r="D304" i="151" s="1"/>
  <c r="D305" i="151" a="1"/>
  <c r="D305" i="151" s="1"/>
  <c r="D306" i="151" a="1"/>
  <c r="D306" i="151" s="1"/>
  <c r="D307" i="151" a="1"/>
  <c r="D307" i="151" s="1"/>
  <c r="D308" i="151" a="1"/>
  <c r="D308" i="151" s="1"/>
  <c r="D309" i="151" a="1"/>
  <c r="D309" i="151" s="1"/>
  <c r="D310" i="151" a="1"/>
  <c r="D310" i="151" s="1"/>
  <c r="D311" i="151" a="1"/>
  <c r="D311" i="151" s="1"/>
  <c r="D312" i="151" a="1"/>
  <c r="D312" i="151" s="1"/>
  <c r="D313" i="151" a="1"/>
  <c r="D313" i="151" s="1"/>
  <c r="D314" i="151" a="1"/>
  <c r="D314" i="151" s="1"/>
  <c r="D315" i="151" a="1"/>
  <c r="D315" i="151" s="1"/>
  <c r="D316" i="151" a="1"/>
  <c r="D316" i="151" s="1"/>
  <c r="D317" i="151" a="1"/>
  <c r="D317" i="151" s="1"/>
  <c r="D318" i="151" a="1"/>
  <c r="D318" i="151" s="1"/>
  <c r="D319" i="151" a="1"/>
  <c r="D319" i="151" s="1"/>
  <c r="D320" i="151" a="1"/>
  <c r="D320" i="151" s="1"/>
  <c r="D321" i="151" a="1"/>
  <c r="D321" i="151" s="1"/>
  <c r="D322" i="151" a="1"/>
  <c r="D322" i="151" s="1"/>
  <c r="D323" i="151" a="1"/>
  <c r="D323" i="151" s="1"/>
  <c r="D324" i="151" a="1"/>
  <c r="D324" i="151" s="1"/>
  <c r="D325" i="151" a="1"/>
  <c r="D325" i="151" s="1"/>
  <c r="D326" i="151" a="1"/>
  <c r="D326" i="151" s="1"/>
  <c r="D327" i="151" a="1"/>
  <c r="D327" i="151" s="1"/>
  <c r="D328" i="151" a="1"/>
  <c r="D328" i="151" s="1"/>
  <c r="D329" i="151" a="1"/>
  <c r="D329" i="151" s="1"/>
  <c r="D330" i="151" a="1"/>
  <c r="D330" i="151" s="1"/>
  <c r="D331" i="151" a="1"/>
  <c r="D331" i="151" s="1"/>
  <c r="D332" i="151" a="1"/>
  <c r="D332" i="151" s="1"/>
  <c r="D333" i="151" a="1"/>
  <c r="D333" i="151" s="1"/>
  <c r="D334" i="151" a="1"/>
  <c r="D334" i="151" s="1"/>
  <c r="D335" i="151" a="1"/>
  <c r="D335" i="151" s="1"/>
  <c r="D336" i="151" a="1"/>
  <c r="D336" i="151" s="1"/>
  <c r="D337" i="151" a="1"/>
  <c r="D337" i="151" s="1"/>
  <c r="D338" i="151" a="1"/>
  <c r="D338" i="151" s="1"/>
  <c r="D339" i="151" a="1"/>
  <c r="D339" i="151" s="1"/>
  <c r="D340" i="151" a="1"/>
  <c r="D340" i="151" s="1"/>
  <c r="D341" i="151" a="1"/>
  <c r="D341" i="151" s="1"/>
  <c r="D342" i="151" a="1"/>
  <c r="D342" i="151" s="1"/>
  <c r="D343" i="151" a="1"/>
  <c r="D343" i="151" s="1"/>
  <c r="D344" i="151" a="1"/>
  <c r="D344" i="151" s="1"/>
  <c r="D345" i="151" a="1"/>
  <c r="D345" i="151" s="1"/>
  <c r="D346" i="151" a="1"/>
  <c r="D346" i="151" s="1"/>
  <c r="D347" i="151" a="1"/>
  <c r="D347" i="151" s="1"/>
  <c r="D348" i="151" a="1"/>
  <c r="D348" i="151" s="1"/>
  <c r="D349" i="151" a="1"/>
  <c r="D349" i="151" s="1"/>
  <c r="D350" i="151" a="1"/>
  <c r="D350" i="151" s="1"/>
  <c r="D351" i="151" a="1"/>
  <c r="D351" i="151" s="1"/>
  <c r="D352" i="151" a="1"/>
  <c r="D352" i="151" s="1"/>
  <c r="D353" i="151" a="1"/>
  <c r="D353" i="151" s="1"/>
  <c r="D354" i="151" a="1"/>
  <c r="D354" i="151" s="1"/>
  <c r="D355" i="151" a="1"/>
  <c r="D355" i="151" s="1"/>
  <c r="D356" i="151" a="1"/>
  <c r="D356" i="151" s="1"/>
  <c r="D357" i="151" a="1"/>
  <c r="D357" i="151" s="1"/>
  <c r="D358" i="151" a="1"/>
  <c r="D358" i="151" s="1"/>
  <c r="D359" i="151" a="1"/>
  <c r="D359" i="151" s="1"/>
  <c r="D360" i="151" a="1"/>
  <c r="D360" i="151" s="1"/>
  <c r="D361" i="151" a="1"/>
  <c r="D361" i="151" s="1"/>
  <c r="D362" i="151" a="1"/>
  <c r="D362" i="151" s="1"/>
  <c r="D363" i="151" a="1"/>
  <c r="D363" i="151" s="1"/>
  <c r="D364" i="151" a="1"/>
  <c r="D364" i="151" s="1"/>
  <c r="D365" i="151" a="1"/>
  <c r="D365" i="151" s="1"/>
  <c r="D366" i="151" a="1"/>
  <c r="D366" i="151" s="1"/>
  <c r="D367" i="151" a="1"/>
  <c r="D367" i="151" s="1"/>
  <c r="D368" i="151" a="1"/>
  <c r="D368" i="151" s="1"/>
  <c r="D369" i="151" a="1"/>
  <c r="D369" i="151" s="1"/>
  <c r="D370" i="151" a="1"/>
  <c r="D370" i="151" s="1"/>
  <c r="D371" i="151" a="1"/>
  <c r="D371" i="151" s="1"/>
  <c r="D372" i="151" a="1"/>
  <c r="D372" i="151" s="1"/>
  <c r="D373" i="151" a="1"/>
  <c r="D373" i="151" s="1"/>
  <c r="D374" i="151" a="1"/>
  <c r="D374" i="151" s="1"/>
  <c r="D375" i="151" a="1"/>
  <c r="D375" i="151" s="1"/>
  <c r="D376" i="151" a="1"/>
  <c r="D376" i="151" s="1"/>
  <c r="D377" i="151" a="1"/>
  <c r="D377" i="151" s="1"/>
  <c r="D378" i="151" a="1"/>
  <c r="D378" i="151" s="1"/>
  <c r="D379" i="151" a="1"/>
  <c r="D379" i="151" s="1"/>
  <c r="D380" i="151" a="1"/>
  <c r="D380" i="151" s="1"/>
  <c r="D381" i="151" a="1"/>
  <c r="D381" i="151" s="1"/>
  <c r="D382" i="151" a="1"/>
  <c r="D382" i="151" s="1"/>
  <c r="D383" i="151" a="1"/>
  <c r="D383" i="151" s="1"/>
  <c r="D384" i="151" a="1"/>
  <c r="D384" i="151" s="1"/>
  <c r="D385" i="151" a="1"/>
  <c r="D385" i="151" s="1"/>
  <c r="D386" i="151" a="1"/>
  <c r="D386" i="151" s="1"/>
  <c r="D387" i="151" a="1"/>
  <c r="D387" i="151" s="1"/>
  <c r="D388" i="151" a="1"/>
  <c r="D388" i="151" s="1"/>
  <c r="D389" i="151" a="1"/>
  <c r="D389" i="151" s="1"/>
  <c r="D390" i="151" a="1"/>
  <c r="D390" i="151" s="1"/>
  <c r="D391" i="151" a="1"/>
  <c r="D391" i="151" s="1"/>
  <c r="D392" i="151" a="1"/>
  <c r="D392" i="151" s="1"/>
  <c r="D393" i="151" a="1"/>
  <c r="D393" i="151" s="1"/>
  <c r="D394" i="151" a="1"/>
  <c r="D394" i="151" s="1"/>
  <c r="D395" i="151" a="1"/>
  <c r="D395" i="151" s="1"/>
  <c r="D396" i="151" a="1"/>
  <c r="D396" i="151" s="1"/>
  <c r="D397" i="151" a="1"/>
  <c r="D397" i="151" s="1"/>
  <c r="D398" i="151" a="1"/>
  <c r="D398" i="151" s="1"/>
  <c r="D399" i="151" a="1"/>
  <c r="D399" i="151" s="1"/>
  <c r="D400" i="151" a="1"/>
  <c r="D400" i="151" s="1"/>
  <c r="D401" i="151" a="1"/>
  <c r="D401" i="151" s="1"/>
  <c r="D402" i="151" a="1"/>
  <c r="D402" i="151" s="1"/>
  <c r="D403" i="151" a="1"/>
  <c r="D403" i="151" s="1"/>
  <c r="D404" i="151" a="1"/>
  <c r="D404" i="151" s="1"/>
  <c r="D405" i="151" a="1"/>
  <c r="D405" i="151" s="1"/>
  <c r="D406" i="151" a="1"/>
  <c r="D406" i="151" s="1"/>
  <c r="D407" i="151" a="1"/>
  <c r="D407" i="151" s="1"/>
  <c r="D408" i="151" a="1"/>
  <c r="D408" i="151" s="1"/>
  <c r="D409" i="151" a="1"/>
  <c r="D409" i="151" s="1"/>
  <c r="D410" i="151" a="1"/>
  <c r="D410" i="151" s="1"/>
  <c r="D411" i="151" a="1"/>
  <c r="D411" i="151" s="1"/>
  <c r="D412" i="151" a="1"/>
  <c r="D412" i="151" s="1"/>
  <c r="D413" i="151" a="1"/>
  <c r="D413" i="151" s="1"/>
  <c r="D414" i="151" a="1"/>
  <c r="D414" i="151" s="1"/>
  <c r="D415" i="151" a="1"/>
  <c r="D415" i="151" s="1"/>
  <c r="D416" i="151" a="1"/>
  <c r="D416" i="151" s="1"/>
  <c r="D417" i="151" a="1"/>
  <c r="D417" i="151" s="1"/>
  <c r="D418" i="151" a="1"/>
  <c r="D418" i="151" s="1"/>
  <c r="D419" i="151" a="1"/>
  <c r="D419" i="151" s="1"/>
  <c r="D420" i="151" a="1"/>
  <c r="D420" i="151" s="1"/>
  <c r="D421" i="151" a="1"/>
  <c r="D421" i="151" s="1"/>
  <c r="D422" i="151" a="1"/>
  <c r="D422" i="151" s="1"/>
  <c r="D423" i="151" a="1"/>
  <c r="D423" i="151" s="1"/>
  <c r="D424" i="151" a="1"/>
  <c r="D424" i="151" s="1"/>
  <c r="D425" i="151" a="1"/>
  <c r="D425" i="151" s="1"/>
  <c r="D426" i="151" a="1"/>
  <c r="D426" i="151" s="1"/>
  <c r="D427" i="151" a="1"/>
  <c r="D427" i="151" s="1"/>
  <c r="D428" i="151" a="1"/>
  <c r="D428" i="151" s="1"/>
  <c r="D429" i="151" a="1"/>
  <c r="D429" i="151" s="1"/>
  <c r="D430" i="151" a="1"/>
  <c r="D430" i="151" s="1"/>
  <c r="D431" i="151" a="1"/>
  <c r="D431" i="151" s="1"/>
  <c r="D432" i="151" a="1"/>
  <c r="D432" i="151" s="1"/>
  <c r="D433" i="151" a="1"/>
  <c r="D433" i="151" s="1"/>
  <c r="D434" i="151" a="1"/>
  <c r="D434" i="151" s="1"/>
  <c r="D435" i="151" a="1"/>
  <c r="D435" i="151" s="1"/>
  <c r="D436" i="151" a="1"/>
  <c r="D436" i="151" s="1"/>
  <c r="D437" i="151" a="1"/>
  <c r="D437" i="151" s="1"/>
  <c r="D438" i="151" a="1"/>
  <c r="D438" i="151" s="1"/>
  <c r="D439" i="151" a="1"/>
  <c r="D439" i="151" s="1"/>
  <c r="D440" i="151" a="1"/>
  <c r="D440" i="151" s="1"/>
  <c r="D441" i="151" a="1"/>
  <c r="D441" i="151" s="1"/>
  <c r="D442" i="151" a="1"/>
  <c r="D442" i="151" s="1"/>
  <c r="D443" i="151" a="1"/>
  <c r="D443" i="151" s="1"/>
  <c r="D444" i="151" a="1"/>
  <c r="D444" i="151" s="1"/>
  <c r="D445" i="151" a="1"/>
  <c r="D445" i="151" s="1"/>
  <c r="D446" i="151" a="1"/>
  <c r="D446" i="151" s="1"/>
  <c r="D447" i="151" a="1"/>
  <c r="D447" i="151" s="1"/>
  <c r="D448" i="151" a="1"/>
  <c r="D448" i="151" s="1"/>
  <c r="D449" i="151" a="1"/>
  <c r="D449" i="151" s="1"/>
  <c r="D450" i="151" a="1"/>
  <c r="D450" i="151" s="1"/>
  <c r="D451" i="151" a="1"/>
  <c r="D451" i="151" s="1"/>
  <c r="D452" i="151" a="1"/>
  <c r="D452" i="151" s="1"/>
  <c r="D453" i="151" a="1"/>
  <c r="D453" i="151" s="1"/>
  <c r="D454" i="151" a="1"/>
  <c r="D454" i="151" s="1"/>
  <c r="D455" i="151" a="1"/>
  <c r="D455" i="151" s="1"/>
  <c r="D456" i="151" a="1"/>
  <c r="D456" i="151" s="1"/>
  <c r="D457" i="151" a="1"/>
  <c r="D457" i="151" s="1"/>
  <c r="D458" i="151" a="1"/>
  <c r="D458" i="151" s="1"/>
  <c r="D459" i="151" a="1"/>
  <c r="D459" i="151" s="1"/>
  <c r="D460" i="151" a="1"/>
  <c r="D460" i="151" s="1"/>
  <c r="D461" i="151" a="1"/>
  <c r="D461" i="151" s="1"/>
  <c r="D462" i="151" a="1"/>
  <c r="D462" i="151" s="1"/>
  <c r="D463" i="151" a="1"/>
  <c r="D463" i="151" s="1"/>
  <c r="D464" i="151" a="1"/>
  <c r="D464" i="151" s="1"/>
  <c r="D465" i="151" a="1"/>
  <c r="D465" i="151" s="1"/>
  <c r="D466" i="151" a="1"/>
  <c r="D466" i="151" s="1"/>
  <c r="D467" i="151" a="1"/>
  <c r="D467" i="151" s="1"/>
  <c r="D468" i="151" a="1"/>
  <c r="D468" i="151" s="1"/>
  <c r="D469" i="151" a="1"/>
  <c r="D469" i="151" s="1"/>
  <c r="D470" i="151" a="1"/>
  <c r="D470" i="151" s="1"/>
  <c r="D471" i="151" a="1"/>
  <c r="D471" i="151" s="1"/>
  <c r="D472" i="151" a="1"/>
  <c r="D472" i="151" s="1"/>
  <c r="D473" i="151" a="1"/>
  <c r="D473" i="151" s="1"/>
  <c r="D474" i="151" a="1"/>
  <c r="D474" i="151" s="1"/>
  <c r="D475" i="151" a="1"/>
  <c r="D475" i="151" s="1"/>
  <c r="D476" i="151" a="1"/>
  <c r="D476" i="151" s="1"/>
  <c r="D477" i="151" a="1"/>
  <c r="D477" i="151" s="1"/>
  <c r="D478" i="151" a="1"/>
  <c r="D478" i="151" s="1"/>
  <c r="D479" i="151" a="1"/>
  <c r="D479" i="151" s="1"/>
  <c r="D480" i="151" a="1"/>
  <c r="D480" i="151" s="1"/>
  <c r="D481" i="151" a="1"/>
  <c r="D481" i="151" s="1"/>
  <c r="D482" i="151" a="1"/>
  <c r="D482" i="151" s="1"/>
  <c r="D483" i="151" a="1"/>
  <c r="D483" i="151" s="1"/>
  <c r="D484" i="151" a="1"/>
  <c r="D484" i="151" s="1"/>
  <c r="D485" i="151" a="1"/>
  <c r="D485" i="151" s="1"/>
  <c r="D486" i="151" a="1"/>
  <c r="D486" i="151" s="1"/>
  <c r="D487" i="151" a="1"/>
  <c r="D487" i="151" s="1"/>
  <c r="D488" i="151" a="1"/>
  <c r="D488" i="151" s="1"/>
  <c r="D489" i="151" a="1"/>
  <c r="D489" i="151" s="1"/>
  <c r="D490" i="151" a="1"/>
  <c r="D490" i="151" s="1"/>
  <c r="D491" i="151" a="1"/>
  <c r="D491" i="151" s="1"/>
  <c r="D492" i="151" a="1"/>
  <c r="D492" i="151" s="1"/>
  <c r="D493" i="151" a="1"/>
  <c r="D493" i="151" s="1"/>
  <c r="D494" i="151" a="1"/>
  <c r="D494" i="151" s="1"/>
  <c r="D495" i="151" a="1"/>
  <c r="D495" i="151" s="1"/>
  <c r="D496" i="151" a="1"/>
  <c r="D496" i="151" s="1"/>
  <c r="D497" i="151" a="1"/>
  <c r="D497" i="151" s="1"/>
  <c r="D498" i="151" a="1"/>
  <c r="D498" i="151" s="1"/>
  <c r="D499" i="151" a="1"/>
  <c r="D499" i="151" s="1"/>
  <c r="D500" i="151" a="1"/>
  <c r="D500" i="151" s="1"/>
  <c r="D501" i="151" a="1"/>
  <c r="D501" i="151" s="1"/>
  <c r="D502" i="151" a="1"/>
  <c r="D502" i="151" s="1"/>
  <c r="D503" i="151" a="1"/>
  <c r="D503" i="151" s="1"/>
  <c r="D504" i="151" a="1"/>
  <c r="D504" i="151" s="1"/>
  <c r="D505" i="151" a="1"/>
  <c r="D505" i="151" s="1"/>
  <c r="D506" i="151" a="1"/>
  <c r="D506" i="151" s="1"/>
  <c r="D507" i="151" a="1"/>
  <c r="D507" i="151" s="1"/>
  <c r="D508" i="151" a="1"/>
  <c r="D508" i="151" s="1"/>
  <c r="D509" i="151" a="1"/>
  <c r="D509" i="151" s="1"/>
  <c r="D510" i="151" a="1"/>
  <c r="D510" i="151" s="1"/>
  <c r="D511" i="151" a="1"/>
  <c r="D511" i="151" s="1"/>
  <c r="D512" i="151" a="1"/>
  <c r="D512" i="151" s="1"/>
  <c r="D513" i="151" a="1"/>
  <c r="D513" i="151" s="1"/>
  <c r="D514" i="151" a="1"/>
  <c r="D514" i="151" s="1"/>
  <c r="D515" i="151" a="1"/>
  <c r="D515" i="151" s="1"/>
  <c r="D516" i="151" a="1"/>
  <c r="D516" i="151" s="1"/>
  <c r="D517" i="151" a="1"/>
  <c r="D517" i="151" s="1"/>
  <c r="D518" i="151" a="1"/>
  <c r="D518" i="151" s="1"/>
  <c r="D519" i="151" a="1"/>
  <c r="D519" i="151" s="1"/>
  <c r="D520" i="151" a="1"/>
  <c r="D520" i="151" s="1"/>
  <c r="D521" i="151" a="1"/>
  <c r="D521" i="151" s="1"/>
  <c r="D522" i="151" a="1"/>
  <c r="D522" i="151" s="1"/>
  <c r="D523" i="151" a="1"/>
  <c r="D523" i="151" s="1"/>
  <c r="D524" i="151" a="1"/>
  <c r="D524" i="151" s="1"/>
  <c r="D525" i="151" a="1"/>
  <c r="D525" i="151" s="1"/>
  <c r="D526" i="151" a="1"/>
  <c r="D526" i="151" s="1"/>
  <c r="D527" i="151" a="1"/>
  <c r="D527" i="151" s="1"/>
  <c r="D528" i="151" a="1"/>
  <c r="D528" i="151" s="1"/>
  <c r="D529" i="151" a="1"/>
  <c r="D529" i="151" s="1"/>
  <c r="D530" i="151" a="1"/>
  <c r="D530" i="151" s="1"/>
  <c r="D531" i="151" a="1"/>
  <c r="D531" i="151" s="1"/>
  <c r="D532" i="151" a="1"/>
  <c r="D532" i="151" s="1"/>
  <c r="D533" i="151" a="1"/>
  <c r="D533" i="151" s="1"/>
  <c r="D534" i="151" a="1"/>
  <c r="D534" i="151" s="1"/>
  <c r="D535" i="151" a="1"/>
  <c r="D535" i="151" s="1"/>
  <c r="D536" i="151" a="1"/>
  <c r="D536" i="151" s="1"/>
  <c r="E3" i="151"/>
  <c r="E4" i="151"/>
  <c r="E5" i="151"/>
  <c r="E6" i="151"/>
  <c r="E7" i="151"/>
  <c r="E8" i="151"/>
  <c r="E9" i="151"/>
  <c r="E10" i="151"/>
  <c r="E11" i="151"/>
  <c r="E12" i="151"/>
  <c r="E13" i="151"/>
  <c r="E14" i="151"/>
  <c r="E15" i="151"/>
  <c r="E16" i="151"/>
  <c r="E17" i="151"/>
  <c r="E18" i="151"/>
  <c r="E19" i="151"/>
  <c r="E20" i="151"/>
  <c r="E21" i="151"/>
  <c r="E22" i="151"/>
  <c r="E23" i="151"/>
  <c r="E24" i="151"/>
  <c r="E25" i="151"/>
  <c r="E26" i="151"/>
  <c r="E27" i="151"/>
  <c r="E28" i="151"/>
  <c r="E29" i="151"/>
  <c r="E30" i="151"/>
  <c r="E31" i="151"/>
  <c r="E32" i="151"/>
  <c r="E33" i="151"/>
  <c r="E34" i="151"/>
  <c r="E35" i="151"/>
  <c r="E36" i="151"/>
  <c r="E37" i="151"/>
  <c r="E38" i="151"/>
  <c r="E39" i="151"/>
  <c r="E40" i="151"/>
  <c r="E41" i="151"/>
  <c r="E42" i="151"/>
  <c r="E43" i="151"/>
  <c r="E44" i="151"/>
  <c r="E45" i="151"/>
  <c r="E46" i="151"/>
  <c r="E47" i="151"/>
  <c r="E48" i="151"/>
  <c r="E49" i="151"/>
  <c r="E50" i="151"/>
  <c r="E51" i="151"/>
  <c r="E52" i="151"/>
  <c r="E53" i="151"/>
  <c r="E54" i="151"/>
  <c r="E55" i="151"/>
  <c r="E56" i="151"/>
  <c r="E57" i="151"/>
  <c r="E58" i="151"/>
  <c r="E59" i="151"/>
  <c r="E60" i="151"/>
  <c r="E61" i="151"/>
  <c r="E62" i="151"/>
  <c r="E63" i="151"/>
  <c r="E64" i="151"/>
  <c r="E65" i="151"/>
  <c r="E66" i="151"/>
  <c r="E67" i="151"/>
  <c r="E68" i="151"/>
  <c r="E69" i="151"/>
  <c r="E70" i="151"/>
  <c r="E71" i="151"/>
  <c r="E72" i="151"/>
  <c r="E73" i="151"/>
  <c r="E74" i="151"/>
  <c r="E75" i="151"/>
  <c r="E76" i="151"/>
  <c r="E77" i="151"/>
  <c r="E78" i="151"/>
  <c r="E79" i="151"/>
  <c r="E80" i="151"/>
  <c r="E81" i="151"/>
  <c r="E82" i="151"/>
  <c r="E83" i="151"/>
  <c r="E84" i="151"/>
  <c r="E85" i="151"/>
  <c r="E86" i="151"/>
  <c r="E87" i="151"/>
  <c r="E88" i="151"/>
  <c r="E89" i="151"/>
  <c r="E90" i="151"/>
  <c r="E91" i="151"/>
  <c r="E92" i="151"/>
  <c r="E93" i="151"/>
  <c r="E94" i="151"/>
  <c r="E95" i="151"/>
  <c r="E96" i="151"/>
  <c r="E97" i="151"/>
  <c r="E98" i="151"/>
  <c r="E99" i="151"/>
  <c r="E100" i="151"/>
  <c r="E101" i="151"/>
  <c r="E102" i="151"/>
  <c r="E103" i="151"/>
  <c r="E104" i="151"/>
  <c r="E105" i="151"/>
  <c r="E106" i="151"/>
  <c r="E107" i="151"/>
  <c r="E108" i="151"/>
  <c r="E109" i="151"/>
  <c r="E110" i="151"/>
  <c r="E111" i="151"/>
  <c r="E112" i="151"/>
  <c r="E113" i="151"/>
  <c r="E114" i="151"/>
  <c r="E115" i="151"/>
  <c r="E116" i="151"/>
  <c r="E117" i="151"/>
  <c r="E118" i="151"/>
  <c r="E119" i="151"/>
  <c r="E120" i="151"/>
  <c r="E121" i="151"/>
  <c r="E122" i="151"/>
  <c r="E123" i="151"/>
  <c r="E124" i="151"/>
  <c r="E125" i="151"/>
  <c r="E126" i="151"/>
  <c r="E127" i="151"/>
  <c r="E128" i="151"/>
  <c r="E129" i="151"/>
  <c r="E130" i="151"/>
  <c r="E131" i="151"/>
  <c r="E132" i="151"/>
  <c r="E133" i="151"/>
  <c r="E134" i="151"/>
  <c r="E135" i="151"/>
  <c r="E136" i="151"/>
  <c r="E137" i="151"/>
  <c r="E138" i="151"/>
  <c r="E139" i="151"/>
  <c r="E140" i="151"/>
  <c r="E141" i="151"/>
  <c r="E142" i="151"/>
  <c r="E143" i="151"/>
  <c r="E144" i="151"/>
  <c r="E145" i="151"/>
  <c r="E146" i="151"/>
  <c r="E147" i="151"/>
  <c r="E148" i="151"/>
  <c r="E149" i="151"/>
  <c r="E150" i="151"/>
  <c r="E151" i="151"/>
  <c r="E152" i="151"/>
  <c r="E153" i="151"/>
  <c r="E154" i="151"/>
  <c r="E155" i="151"/>
  <c r="E156" i="151"/>
  <c r="E157" i="151"/>
  <c r="E158" i="151"/>
  <c r="E159" i="151"/>
  <c r="E160" i="151"/>
  <c r="E161" i="151"/>
  <c r="E162" i="151"/>
  <c r="E163" i="151"/>
  <c r="E164" i="151"/>
  <c r="E165" i="151"/>
  <c r="E166" i="151"/>
  <c r="E167" i="151"/>
  <c r="E168" i="151"/>
  <c r="E169" i="151"/>
  <c r="E170" i="151"/>
  <c r="E171" i="151"/>
  <c r="E172" i="151"/>
  <c r="E173" i="151"/>
  <c r="E174" i="151"/>
  <c r="E175" i="151"/>
  <c r="E176" i="151"/>
  <c r="E177" i="151"/>
  <c r="E178" i="151"/>
  <c r="E179" i="151"/>
  <c r="E180" i="151"/>
  <c r="E181" i="151"/>
  <c r="E182" i="151"/>
  <c r="E183" i="151"/>
  <c r="E184" i="151"/>
  <c r="E185" i="151"/>
  <c r="E186" i="151"/>
  <c r="E187" i="151"/>
  <c r="E188" i="151"/>
  <c r="E189" i="151"/>
  <c r="E190" i="151"/>
  <c r="E191" i="151"/>
  <c r="E192" i="151"/>
  <c r="E193" i="151"/>
  <c r="E194" i="151"/>
  <c r="E195" i="151"/>
  <c r="E196" i="151"/>
  <c r="E197" i="151"/>
  <c r="E198" i="151"/>
  <c r="E199" i="151"/>
  <c r="E200" i="151"/>
  <c r="E201" i="151"/>
  <c r="E202" i="151"/>
  <c r="E203" i="151"/>
  <c r="E204" i="151"/>
  <c r="E205" i="151"/>
  <c r="E206" i="151"/>
  <c r="E207" i="151"/>
  <c r="E208" i="151"/>
  <c r="E209" i="151"/>
  <c r="E210" i="151"/>
  <c r="E211" i="151"/>
  <c r="E212" i="151"/>
  <c r="E213" i="151"/>
  <c r="E214" i="151"/>
  <c r="E215" i="151"/>
  <c r="E216" i="151"/>
  <c r="E217" i="151"/>
  <c r="E218" i="151"/>
  <c r="E219" i="151"/>
  <c r="E220" i="151"/>
  <c r="E221" i="151"/>
  <c r="E222" i="151"/>
  <c r="E223" i="151"/>
  <c r="E224" i="151"/>
  <c r="E225" i="151"/>
  <c r="E226" i="151"/>
  <c r="E227" i="151"/>
  <c r="E228" i="151"/>
  <c r="E229" i="151"/>
  <c r="E230" i="151"/>
  <c r="E231" i="151"/>
  <c r="E232" i="151"/>
  <c r="E233" i="151"/>
  <c r="E234" i="151"/>
  <c r="E235" i="151"/>
  <c r="E236" i="151"/>
  <c r="E237" i="151"/>
  <c r="E238" i="151"/>
  <c r="E239" i="151"/>
  <c r="E240" i="151"/>
  <c r="E241" i="151"/>
  <c r="E242" i="151"/>
  <c r="E243" i="151"/>
  <c r="E244" i="151"/>
  <c r="E245" i="151"/>
  <c r="E246" i="151"/>
  <c r="E247" i="151"/>
  <c r="E248" i="151"/>
  <c r="E249" i="151"/>
  <c r="E250" i="151"/>
  <c r="E251" i="151"/>
  <c r="E252" i="151"/>
  <c r="E253" i="151"/>
  <c r="E254" i="151"/>
  <c r="E255" i="151"/>
  <c r="E256" i="151"/>
  <c r="E257" i="151"/>
  <c r="E258" i="151"/>
  <c r="E259" i="151"/>
  <c r="E260" i="151"/>
  <c r="E261" i="151"/>
  <c r="E262" i="151"/>
  <c r="E263" i="151"/>
  <c r="E264" i="151"/>
  <c r="E265" i="151"/>
  <c r="E266" i="151"/>
  <c r="E267" i="151"/>
  <c r="E268" i="151"/>
  <c r="E269" i="151"/>
  <c r="E270" i="151"/>
  <c r="E271" i="151"/>
  <c r="E272" i="151"/>
  <c r="E273" i="151"/>
  <c r="E274" i="151"/>
  <c r="E275" i="151"/>
  <c r="E276" i="151"/>
  <c r="E277" i="151"/>
  <c r="E278" i="151"/>
  <c r="E279" i="151"/>
  <c r="E280" i="151"/>
  <c r="E281" i="151"/>
  <c r="E282" i="151"/>
  <c r="E283" i="151"/>
  <c r="E284" i="151"/>
  <c r="E285" i="151"/>
  <c r="E286" i="151"/>
  <c r="E287" i="151"/>
  <c r="E288" i="151"/>
  <c r="E289" i="151"/>
  <c r="E290" i="151"/>
  <c r="E291" i="151"/>
  <c r="E292" i="151"/>
  <c r="E293" i="151"/>
  <c r="E294" i="151"/>
  <c r="E295" i="151"/>
  <c r="E296" i="151"/>
  <c r="E297" i="151"/>
  <c r="E298" i="151"/>
  <c r="E299" i="151"/>
  <c r="E300" i="151"/>
  <c r="E301" i="151"/>
  <c r="E302" i="151"/>
  <c r="E303" i="151"/>
  <c r="E304" i="151"/>
  <c r="E305" i="151"/>
  <c r="E306" i="151"/>
  <c r="E307" i="151"/>
  <c r="E308" i="151"/>
  <c r="E309" i="151"/>
  <c r="E310" i="151"/>
  <c r="E311" i="151"/>
  <c r="E312" i="151"/>
  <c r="E313" i="151"/>
  <c r="E314" i="151"/>
  <c r="E315" i="151"/>
  <c r="E316" i="151"/>
  <c r="E317" i="151"/>
  <c r="E318" i="151"/>
  <c r="E319" i="151"/>
  <c r="E320" i="151"/>
  <c r="E321" i="151"/>
  <c r="E322" i="151"/>
  <c r="E323" i="151"/>
  <c r="E324" i="151"/>
  <c r="E325" i="151"/>
  <c r="E326" i="151"/>
  <c r="E327" i="151"/>
  <c r="E328" i="151"/>
  <c r="E329" i="151"/>
  <c r="E330" i="151"/>
  <c r="E331" i="151"/>
  <c r="E332" i="151"/>
  <c r="E333" i="151"/>
  <c r="E334" i="151"/>
  <c r="E335" i="151"/>
  <c r="E336" i="151"/>
  <c r="E337" i="151"/>
  <c r="E338" i="151"/>
  <c r="E339" i="151"/>
  <c r="E340" i="151"/>
  <c r="E341" i="151"/>
  <c r="E342" i="151"/>
  <c r="E343" i="151"/>
  <c r="E344" i="151"/>
  <c r="E345" i="151"/>
  <c r="E346" i="151"/>
  <c r="E347" i="151"/>
  <c r="E348" i="151"/>
  <c r="E349" i="151"/>
  <c r="E350" i="151"/>
  <c r="E351" i="151"/>
  <c r="E352" i="151"/>
  <c r="E353" i="151"/>
  <c r="E354" i="151"/>
  <c r="E355" i="151"/>
  <c r="E356" i="151"/>
  <c r="E357" i="151"/>
  <c r="E358" i="151"/>
  <c r="E359" i="151"/>
  <c r="E360" i="151"/>
  <c r="E361" i="151"/>
  <c r="E362" i="151"/>
  <c r="E363" i="151"/>
  <c r="E364" i="151"/>
  <c r="E365" i="151"/>
  <c r="E366" i="151"/>
  <c r="E367" i="151"/>
  <c r="E368" i="151"/>
  <c r="E369" i="151"/>
  <c r="E370" i="151"/>
  <c r="E371" i="151"/>
  <c r="E372" i="151"/>
  <c r="E373" i="151"/>
  <c r="E374" i="151"/>
  <c r="E375" i="151"/>
  <c r="E376" i="151"/>
  <c r="E377" i="151"/>
  <c r="E378" i="151"/>
  <c r="E379" i="151"/>
  <c r="E380" i="151"/>
  <c r="E381" i="151"/>
  <c r="E382" i="151"/>
  <c r="E383" i="151"/>
  <c r="E384" i="151"/>
  <c r="E385" i="151"/>
  <c r="E386" i="151"/>
  <c r="E387" i="151"/>
  <c r="E388" i="151"/>
  <c r="E389" i="151"/>
  <c r="E390" i="151"/>
  <c r="E391" i="151"/>
  <c r="E392" i="151"/>
  <c r="E393" i="151"/>
  <c r="E394" i="151"/>
  <c r="E395" i="151"/>
  <c r="E396" i="151"/>
  <c r="E397" i="151"/>
  <c r="E398" i="151"/>
  <c r="E399" i="151"/>
  <c r="E400" i="151"/>
  <c r="E401" i="151"/>
  <c r="E402" i="151"/>
  <c r="E403" i="151"/>
  <c r="E404" i="151"/>
  <c r="E405" i="151"/>
  <c r="E406" i="151"/>
  <c r="E407" i="151"/>
  <c r="E408" i="151"/>
  <c r="E409" i="151"/>
  <c r="E410" i="151"/>
  <c r="E411" i="151"/>
  <c r="E412" i="151"/>
  <c r="E413" i="151"/>
  <c r="E414" i="151"/>
  <c r="E415" i="151"/>
  <c r="E416" i="151"/>
  <c r="E417" i="151"/>
  <c r="E418" i="151"/>
  <c r="E419" i="151"/>
  <c r="E420" i="151"/>
  <c r="E421" i="151"/>
  <c r="E422" i="151"/>
  <c r="E423" i="151"/>
  <c r="E424" i="151"/>
  <c r="E425" i="151"/>
  <c r="E426" i="151"/>
  <c r="E427" i="151"/>
  <c r="E428" i="151"/>
  <c r="E429" i="151"/>
  <c r="E430" i="151"/>
  <c r="E431" i="151"/>
  <c r="E432" i="151"/>
  <c r="E433" i="151"/>
  <c r="E434" i="151"/>
  <c r="E435" i="151"/>
  <c r="E436" i="151"/>
  <c r="E437" i="151"/>
  <c r="E438" i="151"/>
  <c r="E439" i="151"/>
  <c r="E440" i="151"/>
  <c r="E441" i="151"/>
  <c r="E442" i="151"/>
  <c r="E443" i="151"/>
  <c r="E444" i="151"/>
  <c r="E445" i="151"/>
  <c r="E446" i="151"/>
  <c r="E447" i="151"/>
  <c r="E448" i="151"/>
  <c r="E449" i="151"/>
  <c r="E450" i="151"/>
  <c r="E451" i="151"/>
  <c r="E452" i="151"/>
  <c r="E453" i="151"/>
  <c r="E454" i="151"/>
  <c r="E455" i="151"/>
  <c r="E456" i="151"/>
  <c r="E457" i="151"/>
  <c r="E458" i="151"/>
  <c r="E459" i="151"/>
  <c r="E460" i="151"/>
  <c r="E461" i="151"/>
  <c r="E462" i="151"/>
  <c r="E463" i="151"/>
  <c r="E464" i="151"/>
  <c r="E465" i="151"/>
  <c r="E466" i="151"/>
  <c r="E467" i="151"/>
  <c r="E468" i="151"/>
  <c r="E469" i="151"/>
  <c r="E470" i="151"/>
  <c r="E471" i="151"/>
  <c r="E472" i="151"/>
  <c r="E473" i="151"/>
  <c r="E474" i="151"/>
  <c r="E475" i="151"/>
  <c r="E476" i="151"/>
  <c r="E477" i="151"/>
  <c r="E478" i="151"/>
  <c r="E479" i="151"/>
  <c r="E480" i="151"/>
  <c r="E481" i="151"/>
  <c r="E482" i="151"/>
  <c r="E483" i="151"/>
  <c r="E484" i="151"/>
  <c r="E485" i="151"/>
  <c r="E486" i="151"/>
  <c r="E487" i="151"/>
  <c r="E488" i="151"/>
  <c r="E489" i="151"/>
  <c r="E490" i="151"/>
  <c r="E491" i="151"/>
  <c r="E492" i="151"/>
  <c r="E493" i="151"/>
  <c r="E494" i="151"/>
  <c r="E495" i="151"/>
  <c r="E496" i="151"/>
  <c r="E497" i="151"/>
  <c r="E498" i="151"/>
  <c r="E499" i="151"/>
  <c r="E500" i="151"/>
  <c r="E501" i="151"/>
  <c r="E502" i="151"/>
  <c r="E503" i="151"/>
  <c r="E504" i="151"/>
  <c r="E505" i="151"/>
  <c r="E506" i="151"/>
  <c r="E507" i="151"/>
  <c r="E508" i="151"/>
  <c r="E509" i="151"/>
  <c r="E510" i="151"/>
  <c r="E511" i="151"/>
  <c r="E512" i="151"/>
  <c r="E513" i="151"/>
  <c r="E514" i="151"/>
  <c r="E515" i="151"/>
  <c r="E516" i="151"/>
  <c r="E517" i="151"/>
  <c r="E518" i="151"/>
  <c r="E519" i="151"/>
  <c r="E520" i="151"/>
  <c r="E521" i="151"/>
  <c r="E522" i="151"/>
  <c r="E523" i="151"/>
  <c r="E524" i="151"/>
  <c r="E525" i="151"/>
  <c r="E526" i="151"/>
  <c r="E527" i="151"/>
  <c r="E528" i="151"/>
  <c r="E529" i="151"/>
  <c r="E530" i="151"/>
  <c r="E531" i="151"/>
  <c r="E532" i="151"/>
  <c r="E533" i="151"/>
  <c r="E534" i="151"/>
  <c r="E535" i="151"/>
  <c r="E536" i="151"/>
  <c r="F3" i="151"/>
  <c r="F4" i="151"/>
  <c r="F5" i="151"/>
  <c r="F6" i="151"/>
  <c r="F7" i="151"/>
  <c r="F8" i="151"/>
  <c r="F9" i="151"/>
  <c r="F10" i="151"/>
  <c r="F11" i="151"/>
  <c r="F12" i="151"/>
  <c r="F13" i="151"/>
  <c r="F14" i="151"/>
  <c r="F15" i="151"/>
  <c r="F16" i="151"/>
  <c r="F17" i="151"/>
  <c r="F18" i="151"/>
  <c r="F19" i="151"/>
  <c r="F20" i="151"/>
  <c r="F21" i="151"/>
  <c r="F22" i="151"/>
  <c r="F23" i="151"/>
  <c r="F24" i="151"/>
  <c r="F25" i="151"/>
  <c r="F26" i="151"/>
  <c r="F27" i="151"/>
  <c r="F28" i="151"/>
  <c r="F29" i="151"/>
  <c r="F30" i="151"/>
  <c r="F31" i="151"/>
  <c r="F32" i="151"/>
  <c r="F33" i="151"/>
  <c r="F34" i="151"/>
  <c r="F35" i="151"/>
  <c r="F36" i="151"/>
  <c r="F37" i="151"/>
  <c r="F38" i="151"/>
  <c r="F39" i="151"/>
  <c r="F40" i="151"/>
  <c r="F41" i="151"/>
  <c r="F42" i="151"/>
  <c r="F43" i="151"/>
  <c r="F44" i="151"/>
  <c r="F45" i="151"/>
  <c r="F46" i="151"/>
  <c r="F47" i="151"/>
  <c r="F48" i="151"/>
  <c r="F49" i="151"/>
  <c r="F50" i="151"/>
  <c r="F51" i="151"/>
  <c r="F52" i="151"/>
  <c r="F53" i="151"/>
  <c r="F54" i="151"/>
  <c r="F55" i="151"/>
  <c r="F56" i="151"/>
  <c r="F57" i="151"/>
  <c r="F58" i="151"/>
  <c r="F59" i="151"/>
  <c r="F60" i="151"/>
  <c r="F61" i="151"/>
  <c r="F62" i="151"/>
  <c r="F63" i="151"/>
  <c r="F64" i="151"/>
  <c r="F65" i="151"/>
  <c r="F66" i="151"/>
  <c r="F67" i="151"/>
  <c r="F68" i="151"/>
  <c r="F69" i="151"/>
  <c r="F70" i="151"/>
  <c r="F71" i="151"/>
  <c r="F72" i="151"/>
  <c r="F73" i="151"/>
  <c r="F74" i="151"/>
  <c r="F75" i="151"/>
  <c r="F76" i="151"/>
  <c r="F77" i="151"/>
  <c r="F78" i="151"/>
  <c r="F79" i="151"/>
  <c r="F80" i="151"/>
  <c r="F81" i="151"/>
  <c r="F82" i="151"/>
  <c r="F83" i="151"/>
  <c r="F84" i="151"/>
  <c r="F85" i="151"/>
  <c r="F86" i="151"/>
  <c r="F87" i="151"/>
  <c r="F88" i="151"/>
  <c r="F89" i="151"/>
  <c r="F90" i="151"/>
  <c r="F91" i="151"/>
  <c r="F92" i="151"/>
  <c r="F93" i="151"/>
  <c r="F94" i="151"/>
  <c r="F95" i="151"/>
  <c r="F96" i="151"/>
  <c r="F97" i="151"/>
  <c r="F98" i="151"/>
  <c r="F99" i="151"/>
  <c r="F100" i="151"/>
  <c r="F101" i="151"/>
  <c r="F102" i="151"/>
  <c r="F103" i="151"/>
  <c r="F104" i="151"/>
  <c r="F105" i="151"/>
  <c r="F106" i="151"/>
  <c r="F107" i="151"/>
  <c r="F108" i="151"/>
  <c r="F109" i="151"/>
  <c r="F110" i="151"/>
  <c r="F111" i="151"/>
  <c r="F112" i="151"/>
  <c r="F113" i="151"/>
  <c r="F114" i="151"/>
  <c r="F115" i="151"/>
  <c r="F116" i="151"/>
  <c r="F117" i="151"/>
  <c r="F118" i="151"/>
  <c r="F119" i="151"/>
  <c r="F120" i="151"/>
  <c r="F121" i="151"/>
  <c r="F122" i="151"/>
  <c r="F123" i="151"/>
  <c r="F124" i="151"/>
  <c r="F125" i="151"/>
  <c r="F126" i="151"/>
  <c r="F127" i="151"/>
  <c r="F128" i="151"/>
  <c r="F129" i="151"/>
  <c r="F130" i="151"/>
  <c r="F131" i="151"/>
  <c r="F132" i="151"/>
  <c r="F133" i="151"/>
  <c r="F134" i="151"/>
  <c r="F135" i="151"/>
  <c r="F136" i="151"/>
  <c r="F137" i="151"/>
  <c r="F138" i="151"/>
  <c r="F139" i="151"/>
  <c r="F140" i="151"/>
  <c r="F141" i="151"/>
  <c r="F142" i="151"/>
  <c r="F143" i="151"/>
  <c r="F144" i="151"/>
  <c r="F145" i="151"/>
  <c r="F146" i="151"/>
  <c r="F147" i="151"/>
  <c r="F148" i="151"/>
  <c r="F149" i="151"/>
  <c r="F150" i="151"/>
  <c r="F151" i="151"/>
  <c r="F152" i="151"/>
  <c r="F153" i="151"/>
  <c r="F154" i="151"/>
  <c r="F155" i="151"/>
  <c r="F156" i="151"/>
  <c r="F157" i="151"/>
  <c r="F158" i="151"/>
  <c r="F159" i="151"/>
  <c r="F160" i="151"/>
  <c r="F161" i="151"/>
  <c r="F162" i="151"/>
  <c r="F163" i="151"/>
  <c r="F164" i="151"/>
  <c r="F165" i="151"/>
  <c r="F166" i="151"/>
  <c r="F167" i="151"/>
  <c r="F168" i="151"/>
  <c r="F169" i="151"/>
  <c r="F170" i="151"/>
  <c r="F171" i="151"/>
  <c r="F172" i="151"/>
  <c r="F173" i="151"/>
  <c r="F174" i="151"/>
  <c r="F175" i="151"/>
  <c r="F176" i="151"/>
  <c r="F177" i="151"/>
  <c r="F178" i="151"/>
  <c r="F179" i="151"/>
  <c r="F180" i="151"/>
  <c r="F181" i="151"/>
  <c r="F182" i="151"/>
  <c r="F183" i="151"/>
  <c r="F184" i="151"/>
  <c r="F185" i="151"/>
  <c r="F186" i="151"/>
  <c r="F187" i="151"/>
  <c r="F188" i="151"/>
  <c r="F189" i="151"/>
  <c r="F190" i="151"/>
  <c r="F191" i="151"/>
  <c r="F192" i="151"/>
  <c r="F193" i="151"/>
  <c r="F194" i="151"/>
  <c r="F195" i="151"/>
  <c r="F196" i="151"/>
  <c r="F197" i="151"/>
  <c r="F198" i="151"/>
  <c r="F199" i="151"/>
  <c r="F200" i="151"/>
  <c r="F201" i="151"/>
  <c r="F202" i="151"/>
  <c r="F203" i="151"/>
  <c r="F204" i="151"/>
  <c r="F205" i="151"/>
  <c r="F206" i="151"/>
  <c r="F207" i="151"/>
  <c r="F208" i="151"/>
  <c r="F209" i="151"/>
  <c r="F210" i="151"/>
  <c r="F211" i="151"/>
  <c r="F212" i="151"/>
  <c r="F213" i="151"/>
  <c r="F214" i="151"/>
  <c r="F215" i="151"/>
  <c r="F216" i="151"/>
  <c r="F217" i="151"/>
  <c r="F218" i="151"/>
  <c r="F219" i="151"/>
  <c r="F220" i="151"/>
  <c r="F221" i="151"/>
  <c r="F222" i="151"/>
  <c r="F223" i="151"/>
  <c r="F224" i="151"/>
  <c r="F225" i="151"/>
  <c r="F226" i="151"/>
  <c r="F227" i="151"/>
  <c r="F228" i="151"/>
  <c r="F229" i="151"/>
  <c r="F230" i="151"/>
  <c r="F231" i="151"/>
  <c r="F232" i="151"/>
  <c r="F233" i="151"/>
  <c r="F234" i="151"/>
  <c r="F235" i="151"/>
  <c r="F236" i="151"/>
  <c r="F237" i="151"/>
  <c r="F238" i="151"/>
  <c r="F239" i="151"/>
  <c r="F240" i="151"/>
  <c r="F241" i="151"/>
  <c r="F242" i="151"/>
  <c r="F243" i="151"/>
  <c r="F244" i="151"/>
  <c r="F245" i="151"/>
  <c r="F246" i="151"/>
  <c r="F247" i="151"/>
  <c r="F248" i="151"/>
  <c r="F249" i="151"/>
  <c r="F250" i="151"/>
  <c r="F251" i="151"/>
  <c r="F252" i="151"/>
  <c r="F253" i="151"/>
  <c r="F254" i="151"/>
  <c r="F255" i="151"/>
  <c r="F256" i="151"/>
  <c r="F257" i="151"/>
  <c r="F258" i="151"/>
  <c r="F259" i="151"/>
  <c r="F260" i="151"/>
  <c r="F261" i="151"/>
  <c r="F262" i="151"/>
  <c r="F263" i="151"/>
  <c r="F264" i="151"/>
  <c r="F265" i="151"/>
  <c r="F266" i="151"/>
  <c r="F267" i="151"/>
  <c r="F268" i="151"/>
  <c r="F269" i="151"/>
  <c r="F270" i="151"/>
  <c r="F271" i="151"/>
  <c r="F272" i="151"/>
  <c r="F273" i="151"/>
  <c r="F274" i="151"/>
  <c r="F275" i="151"/>
  <c r="F276" i="151"/>
  <c r="F277" i="151"/>
  <c r="F278" i="151"/>
  <c r="F279" i="151"/>
  <c r="F280" i="151"/>
  <c r="F281" i="151"/>
  <c r="F282" i="151"/>
  <c r="F283" i="151"/>
  <c r="F284" i="151"/>
  <c r="F285" i="151"/>
  <c r="F286" i="151"/>
  <c r="F287" i="151"/>
  <c r="F288" i="151"/>
  <c r="F289" i="151"/>
  <c r="F290" i="151"/>
  <c r="F291" i="151"/>
  <c r="F292" i="151"/>
  <c r="F293" i="151"/>
  <c r="F294" i="151"/>
  <c r="F295" i="151"/>
  <c r="F296" i="151"/>
  <c r="F297" i="151"/>
  <c r="F298" i="151"/>
  <c r="F299" i="151"/>
  <c r="F300" i="151"/>
  <c r="F301" i="151"/>
  <c r="F302" i="151"/>
  <c r="F303" i="151"/>
  <c r="F304" i="151"/>
  <c r="F305" i="151"/>
  <c r="F306" i="151"/>
  <c r="F307" i="151"/>
  <c r="F308" i="151"/>
  <c r="F309" i="151"/>
  <c r="F310" i="151"/>
  <c r="F311" i="151"/>
  <c r="F312" i="151"/>
  <c r="F313" i="151"/>
  <c r="F314" i="151"/>
  <c r="F315" i="151"/>
  <c r="F316" i="151"/>
  <c r="F317" i="151"/>
  <c r="F318" i="151"/>
  <c r="F319" i="151"/>
  <c r="F320" i="151"/>
  <c r="F321" i="151"/>
  <c r="F322" i="151"/>
  <c r="F323" i="151"/>
  <c r="F324" i="151"/>
  <c r="F325" i="151"/>
  <c r="F326" i="151"/>
  <c r="F327" i="151"/>
  <c r="F328" i="151"/>
  <c r="F329" i="151"/>
  <c r="F330" i="151"/>
  <c r="F331" i="151"/>
  <c r="F332" i="151"/>
  <c r="F333" i="151"/>
  <c r="F334" i="151"/>
  <c r="F335" i="151"/>
  <c r="F336" i="151"/>
  <c r="F337" i="151"/>
  <c r="F338" i="151"/>
  <c r="F339" i="151"/>
  <c r="F340" i="151"/>
  <c r="F341" i="151"/>
  <c r="F342" i="151"/>
  <c r="F343" i="151"/>
  <c r="F344" i="151"/>
  <c r="F345" i="151"/>
  <c r="F346" i="151"/>
  <c r="F347" i="151"/>
  <c r="F348" i="151"/>
  <c r="F349" i="151"/>
  <c r="F350" i="151"/>
  <c r="F351" i="151"/>
  <c r="F352" i="151"/>
  <c r="F353" i="151"/>
  <c r="F354" i="151"/>
  <c r="F355" i="151"/>
  <c r="F356" i="151"/>
  <c r="F357" i="151"/>
  <c r="F358" i="151"/>
  <c r="F359" i="151"/>
  <c r="F360" i="151"/>
  <c r="F361" i="151"/>
  <c r="F362" i="151"/>
  <c r="F363" i="151"/>
  <c r="F364" i="151"/>
  <c r="F365" i="151"/>
  <c r="F366" i="151"/>
  <c r="F367" i="151"/>
  <c r="F368" i="151"/>
  <c r="F369" i="151"/>
  <c r="F370" i="151"/>
  <c r="F371" i="151"/>
  <c r="F372" i="151"/>
  <c r="F373" i="151"/>
  <c r="F374" i="151"/>
  <c r="F375" i="151"/>
  <c r="F376" i="151"/>
  <c r="F377" i="151"/>
  <c r="F378" i="151"/>
  <c r="F379" i="151"/>
  <c r="F380" i="151"/>
  <c r="F381" i="151"/>
  <c r="F382" i="151"/>
  <c r="F383" i="151"/>
  <c r="F384" i="151"/>
  <c r="F385" i="151"/>
  <c r="F386" i="151"/>
  <c r="F387" i="151"/>
  <c r="F388" i="151"/>
  <c r="F389" i="151"/>
  <c r="F390" i="151"/>
  <c r="F391" i="151"/>
  <c r="F392" i="151"/>
  <c r="F393" i="151"/>
  <c r="F394" i="151"/>
  <c r="F395" i="151"/>
  <c r="F396" i="151"/>
  <c r="F397" i="151"/>
  <c r="F398" i="151"/>
  <c r="F399" i="151"/>
  <c r="F400" i="151"/>
  <c r="F401" i="151"/>
  <c r="F402" i="151"/>
  <c r="F403" i="151"/>
  <c r="F404" i="151"/>
  <c r="F405" i="151"/>
  <c r="F406" i="151"/>
  <c r="F407" i="151"/>
  <c r="F408" i="151"/>
  <c r="F409" i="151"/>
  <c r="F410" i="151"/>
  <c r="F411" i="151"/>
  <c r="F412" i="151"/>
  <c r="F413" i="151"/>
  <c r="F414" i="151"/>
  <c r="F415" i="151"/>
  <c r="F416" i="151"/>
  <c r="F417" i="151"/>
  <c r="F418" i="151"/>
  <c r="F419" i="151"/>
  <c r="F420" i="151"/>
  <c r="F421" i="151"/>
  <c r="F422" i="151"/>
  <c r="F423" i="151"/>
  <c r="F424" i="151"/>
  <c r="F425" i="151"/>
  <c r="F426" i="151"/>
  <c r="F427" i="151"/>
  <c r="F428" i="151"/>
  <c r="F429" i="151"/>
  <c r="F430" i="151"/>
  <c r="F431" i="151"/>
  <c r="F432" i="151"/>
  <c r="F433" i="151"/>
  <c r="F434" i="151"/>
  <c r="F435" i="151"/>
  <c r="F436" i="151"/>
  <c r="F437" i="151"/>
  <c r="F438" i="151"/>
  <c r="F439" i="151"/>
  <c r="F440" i="151"/>
  <c r="F441" i="151"/>
  <c r="F442" i="151"/>
  <c r="F443" i="151"/>
  <c r="F444" i="151"/>
  <c r="F445" i="151"/>
  <c r="F446" i="151"/>
  <c r="F447" i="151"/>
  <c r="F448" i="151"/>
  <c r="F449" i="151"/>
  <c r="F450" i="151"/>
  <c r="F451" i="151"/>
  <c r="F452" i="151"/>
  <c r="F453" i="151"/>
  <c r="F454" i="151"/>
  <c r="F455" i="151"/>
  <c r="F456" i="151"/>
  <c r="F457" i="151"/>
  <c r="F458" i="151"/>
  <c r="F459" i="151"/>
  <c r="F460" i="151"/>
  <c r="F461" i="151"/>
  <c r="F462" i="151"/>
  <c r="F463" i="151"/>
  <c r="F464" i="151"/>
  <c r="F465" i="151"/>
  <c r="F466" i="151"/>
  <c r="F467" i="151"/>
  <c r="F468" i="151"/>
  <c r="F469" i="151"/>
  <c r="F470" i="151"/>
  <c r="F471" i="151"/>
  <c r="F472" i="151"/>
  <c r="F473" i="151"/>
  <c r="F474" i="151"/>
  <c r="F475" i="151"/>
  <c r="F476" i="151"/>
  <c r="F477" i="151"/>
  <c r="F478" i="151"/>
  <c r="F479" i="151"/>
  <c r="F480" i="151"/>
  <c r="F481" i="151"/>
  <c r="F482" i="151"/>
  <c r="F483" i="151"/>
  <c r="F484" i="151"/>
  <c r="F485" i="151"/>
  <c r="F486" i="151"/>
  <c r="F487" i="151"/>
  <c r="F488" i="151"/>
  <c r="F489" i="151"/>
  <c r="F490" i="151"/>
  <c r="F491" i="151"/>
  <c r="F492" i="151"/>
  <c r="F493" i="151"/>
  <c r="F494" i="151"/>
  <c r="F495" i="151"/>
  <c r="F496" i="151"/>
  <c r="F497" i="151"/>
  <c r="F498" i="151"/>
  <c r="F499" i="151"/>
  <c r="F500" i="151"/>
  <c r="F501" i="151"/>
  <c r="F502" i="151"/>
  <c r="F503" i="151"/>
  <c r="F504" i="151"/>
  <c r="F505" i="151"/>
  <c r="F506" i="151"/>
  <c r="F507" i="151"/>
  <c r="F508" i="151"/>
  <c r="F509" i="151"/>
  <c r="F510" i="151"/>
  <c r="F511" i="151"/>
  <c r="F512" i="151"/>
  <c r="F513" i="151"/>
  <c r="F514" i="151"/>
  <c r="F515" i="151"/>
  <c r="F516" i="151"/>
  <c r="F517" i="151"/>
  <c r="F518" i="151"/>
  <c r="F519" i="151"/>
  <c r="F520" i="151"/>
  <c r="F521" i="151"/>
  <c r="F522" i="151"/>
  <c r="F523" i="151"/>
  <c r="F524" i="151"/>
  <c r="F525" i="151"/>
  <c r="F526" i="151"/>
  <c r="F527" i="151"/>
  <c r="F528" i="151"/>
  <c r="F529" i="151"/>
  <c r="F530" i="151"/>
  <c r="F531" i="151"/>
  <c r="F532" i="151"/>
  <c r="F533" i="151"/>
  <c r="F534" i="151"/>
  <c r="F535" i="151"/>
  <c r="F536" i="151"/>
  <c r="G3" i="151"/>
  <c r="G4" i="151"/>
  <c r="G5" i="151"/>
  <c r="G6" i="151"/>
  <c r="G7" i="151"/>
  <c r="G8" i="151"/>
  <c r="G9" i="151"/>
  <c r="G10" i="151"/>
  <c r="G11" i="151"/>
  <c r="G12" i="151"/>
  <c r="G13" i="151"/>
  <c r="G14" i="151"/>
  <c r="G15" i="151"/>
  <c r="G16" i="151"/>
  <c r="G17" i="151"/>
  <c r="G18" i="151"/>
  <c r="G19" i="151"/>
  <c r="G20" i="151"/>
  <c r="G21" i="151"/>
  <c r="G22" i="151"/>
  <c r="G23" i="151"/>
  <c r="G24" i="151"/>
  <c r="G25" i="151"/>
  <c r="G26" i="151"/>
  <c r="G27" i="151"/>
  <c r="G28" i="151"/>
  <c r="G29" i="151"/>
  <c r="G30" i="151"/>
  <c r="G31" i="151"/>
  <c r="G32" i="151"/>
  <c r="G33" i="151"/>
  <c r="G34" i="151"/>
  <c r="G35" i="151"/>
  <c r="G36" i="151"/>
  <c r="G37" i="151"/>
  <c r="G38" i="151"/>
  <c r="G39" i="151"/>
  <c r="G40" i="151"/>
  <c r="G41" i="151"/>
  <c r="G42" i="151"/>
  <c r="G43" i="151"/>
  <c r="G44" i="151"/>
  <c r="G45" i="151"/>
  <c r="G46" i="151"/>
  <c r="G47" i="151"/>
  <c r="G48" i="151"/>
  <c r="G49" i="151"/>
  <c r="G50" i="151"/>
  <c r="G51" i="151"/>
  <c r="G52" i="151"/>
  <c r="G53" i="151"/>
  <c r="G54" i="151"/>
  <c r="G55" i="151"/>
  <c r="G56" i="151"/>
  <c r="G57" i="151"/>
  <c r="G58" i="151"/>
  <c r="G59" i="151"/>
  <c r="G60" i="151"/>
  <c r="G61" i="151"/>
  <c r="G62" i="151"/>
  <c r="G63" i="151"/>
  <c r="G64" i="151"/>
  <c r="G65" i="151"/>
  <c r="G66" i="151"/>
  <c r="G67" i="151"/>
  <c r="G68" i="151"/>
  <c r="G69" i="151"/>
  <c r="G70" i="151"/>
  <c r="G71" i="151"/>
  <c r="G72" i="151"/>
  <c r="G73" i="151"/>
  <c r="G74" i="151"/>
  <c r="G75" i="151"/>
  <c r="G76" i="151"/>
  <c r="G77" i="151"/>
  <c r="G78" i="151"/>
  <c r="G79" i="151"/>
  <c r="G80" i="151"/>
  <c r="G81" i="151"/>
  <c r="G82" i="151"/>
  <c r="G83" i="151"/>
  <c r="G84" i="151"/>
  <c r="G85" i="151"/>
  <c r="G86" i="151"/>
  <c r="G87" i="151"/>
  <c r="G88" i="151"/>
  <c r="G89" i="151"/>
  <c r="G90" i="151"/>
  <c r="G91" i="151"/>
  <c r="G92" i="151"/>
  <c r="G93" i="151"/>
  <c r="G94" i="151"/>
  <c r="G95" i="151"/>
  <c r="G96" i="151"/>
  <c r="G97" i="151"/>
  <c r="G98" i="151"/>
  <c r="G99" i="151"/>
  <c r="G100" i="151"/>
  <c r="G101" i="151"/>
  <c r="G102" i="151"/>
  <c r="G103" i="151"/>
  <c r="G104" i="151"/>
  <c r="G105" i="151"/>
  <c r="G106" i="151"/>
  <c r="G107" i="151"/>
  <c r="G108" i="151"/>
  <c r="G109" i="151"/>
  <c r="G110" i="151"/>
  <c r="G111" i="151"/>
  <c r="G112" i="151"/>
  <c r="G113" i="151"/>
  <c r="G114" i="151"/>
  <c r="G115" i="151"/>
  <c r="G116" i="151"/>
  <c r="G117" i="151"/>
  <c r="G118" i="151"/>
  <c r="G119" i="151"/>
  <c r="G120" i="151"/>
  <c r="G121" i="151"/>
  <c r="G122" i="151"/>
  <c r="G123" i="151"/>
  <c r="G124" i="151"/>
  <c r="G125" i="151"/>
  <c r="G126" i="151"/>
  <c r="G127" i="151"/>
  <c r="G128" i="151"/>
  <c r="G129" i="151"/>
  <c r="G130" i="151"/>
  <c r="G131" i="151"/>
  <c r="G132" i="151"/>
  <c r="G133" i="151"/>
  <c r="G134" i="151"/>
  <c r="G135" i="151"/>
  <c r="G136" i="151"/>
  <c r="G137" i="151"/>
  <c r="G138" i="151"/>
  <c r="G139" i="151"/>
  <c r="G140" i="151"/>
  <c r="G141" i="151"/>
  <c r="G142" i="151"/>
  <c r="G143" i="151"/>
  <c r="G144" i="151"/>
  <c r="G145" i="151"/>
  <c r="G146" i="151"/>
  <c r="G147" i="151"/>
  <c r="G148" i="151"/>
  <c r="G149" i="151"/>
  <c r="G150" i="151"/>
  <c r="G151" i="151"/>
  <c r="G152" i="151"/>
  <c r="G153" i="151"/>
  <c r="G154" i="151"/>
  <c r="G155" i="151"/>
  <c r="G156" i="151"/>
  <c r="G157" i="151"/>
  <c r="G158" i="151"/>
  <c r="G159" i="151"/>
  <c r="G160" i="151"/>
  <c r="G161" i="151"/>
  <c r="G162" i="151"/>
  <c r="G163" i="151"/>
  <c r="G164" i="151"/>
  <c r="G165" i="151"/>
  <c r="G166" i="151"/>
  <c r="G167" i="151"/>
  <c r="G168" i="151"/>
  <c r="G169" i="151"/>
  <c r="G170" i="151"/>
  <c r="G171" i="151"/>
  <c r="G172" i="151"/>
  <c r="G173" i="151"/>
  <c r="G174" i="151"/>
  <c r="G175" i="151"/>
  <c r="G176" i="151"/>
  <c r="G177" i="151"/>
  <c r="G178" i="151"/>
  <c r="G179" i="151"/>
  <c r="G180" i="151"/>
  <c r="G181" i="151"/>
  <c r="G182" i="151"/>
  <c r="G183" i="151"/>
  <c r="G184" i="151"/>
  <c r="G185" i="151"/>
  <c r="G186" i="151"/>
  <c r="G187" i="151"/>
  <c r="G188" i="151"/>
  <c r="G189" i="151"/>
  <c r="G190" i="151"/>
  <c r="G191" i="151"/>
  <c r="G192" i="151"/>
  <c r="G193" i="151"/>
  <c r="G194" i="151"/>
  <c r="G195" i="151"/>
  <c r="G196" i="151"/>
  <c r="G197" i="151"/>
  <c r="G198" i="151"/>
  <c r="G199" i="151"/>
  <c r="G200" i="151"/>
  <c r="G201" i="151"/>
  <c r="G202" i="151"/>
  <c r="G203" i="151"/>
  <c r="G204" i="151"/>
  <c r="G205" i="151"/>
  <c r="G206" i="151"/>
  <c r="G207" i="151"/>
  <c r="G208" i="151"/>
  <c r="G209" i="151"/>
  <c r="G210" i="151"/>
  <c r="G211" i="151"/>
  <c r="G212" i="151"/>
  <c r="G213" i="151"/>
  <c r="G214" i="151"/>
  <c r="G215" i="151"/>
  <c r="G216" i="151"/>
  <c r="G217" i="151"/>
  <c r="G218" i="151"/>
  <c r="G219" i="151"/>
  <c r="G220" i="151"/>
  <c r="G221" i="151"/>
  <c r="G222" i="151"/>
  <c r="G223" i="151"/>
  <c r="G224" i="151"/>
  <c r="G225" i="151"/>
  <c r="G226" i="151"/>
  <c r="G227" i="151"/>
  <c r="G228" i="151"/>
  <c r="G229" i="151"/>
  <c r="G230" i="151"/>
  <c r="G231" i="151"/>
  <c r="G232" i="151"/>
  <c r="G233" i="151"/>
  <c r="G234" i="151"/>
  <c r="G235" i="151"/>
  <c r="G236" i="151"/>
  <c r="G237" i="151"/>
  <c r="G238" i="151"/>
  <c r="G239" i="151"/>
  <c r="G240" i="151"/>
  <c r="G241" i="151"/>
  <c r="G242" i="151"/>
  <c r="G243" i="151"/>
  <c r="G244" i="151"/>
  <c r="G245" i="151"/>
  <c r="G246" i="151"/>
  <c r="G247" i="151"/>
  <c r="G248" i="151"/>
  <c r="G249" i="151"/>
  <c r="G250" i="151"/>
  <c r="G251" i="151"/>
  <c r="G252" i="151"/>
  <c r="G253" i="151"/>
  <c r="G254" i="151"/>
  <c r="G255" i="151"/>
  <c r="G256" i="151"/>
  <c r="G257" i="151"/>
  <c r="G258" i="151"/>
  <c r="G259" i="151"/>
  <c r="G260" i="151"/>
  <c r="G261" i="151"/>
  <c r="G262" i="151"/>
  <c r="G263" i="151"/>
  <c r="G264" i="151"/>
  <c r="G265" i="151"/>
  <c r="G266" i="151"/>
  <c r="G267" i="151"/>
  <c r="G268" i="151"/>
  <c r="G269" i="151"/>
  <c r="G270" i="151"/>
  <c r="G271" i="151"/>
  <c r="G272" i="151"/>
  <c r="G273" i="151"/>
  <c r="G274" i="151"/>
  <c r="G275" i="151"/>
  <c r="G276" i="151"/>
  <c r="G277" i="151"/>
  <c r="G278" i="151"/>
  <c r="G279" i="151"/>
  <c r="G280" i="151"/>
  <c r="G281" i="151"/>
  <c r="G282" i="151"/>
  <c r="G283" i="151"/>
  <c r="G284" i="151"/>
  <c r="G285" i="151"/>
  <c r="G286" i="151"/>
  <c r="G287" i="151"/>
  <c r="G288" i="151"/>
  <c r="G289" i="151"/>
  <c r="G290" i="151"/>
  <c r="G291" i="151"/>
  <c r="G292" i="151"/>
  <c r="G293" i="151"/>
  <c r="G294" i="151"/>
  <c r="G295" i="151"/>
  <c r="G296" i="151"/>
  <c r="G297" i="151"/>
  <c r="G298" i="151"/>
  <c r="G299" i="151"/>
  <c r="G300" i="151"/>
  <c r="G301" i="151"/>
  <c r="G302" i="151"/>
  <c r="G303" i="151"/>
  <c r="G304" i="151"/>
  <c r="G305" i="151"/>
  <c r="G306" i="151"/>
  <c r="G307" i="151"/>
  <c r="G308" i="151"/>
  <c r="G309" i="151"/>
  <c r="G310" i="151"/>
  <c r="G311" i="151"/>
  <c r="G312" i="151"/>
  <c r="G313" i="151"/>
  <c r="G314" i="151"/>
  <c r="G315" i="151"/>
  <c r="G316" i="151"/>
  <c r="G317" i="151"/>
  <c r="G318" i="151"/>
  <c r="G319" i="151"/>
  <c r="G320" i="151"/>
  <c r="G321" i="151"/>
  <c r="G322" i="151"/>
  <c r="G323" i="151"/>
  <c r="G324" i="151"/>
  <c r="G325" i="151"/>
  <c r="G326" i="151"/>
  <c r="G327" i="151"/>
  <c r="G328" i="151"/>
  <c r="G329" i="151"/>
  <c r="G330" i="151"/>
  <c r="G331" i="151"/>
  <c r="G332" i="151"/>
  <c r="G333" i="151"/>
  <c r="G334" i="151"/>
  <c r="G335" i="151"/>
  <c r="G336" i="151"/>
  <c r="G337" i="151"/>
  <c r="G338" i="151"/>
  <c r="G339" i="151"/>
  <c r="G340" i="151"/>
  <c r="G341" i="151"/>
  <c r="G342" i="151"/>
  <c r="G343" i="151"/>
  <c r="G344" i="151"/>
  <c r="G345" i="151"/>
  <c r="G346" i="151"/>
  <c r="G347" i="151"/>
  <c r="G348" i="151"/>
  <c r="G349" i="151"/>
  <c r="G350" i="151"/>
  <c r="G351" i="151"/>
  <c r="G352" i="151"/>
  <c r="G353" i="151"/>
  <c r="G354" i="151"/>
  <c r="G355" i="151"/>
  <c r="G356" i="151"/>
  <c r="G357" i="151"/>
  <c r="G358" i="151"/>
  <c r="G359" i="151"/>
  <c r="G360" i="151"/>
  <c r="G361" i="151"/>
  <c r="G362" i="151"/>
  <c r="G363" i="151"/>
  <c r="G364" i="151"/>
  <c r="G365" i="151"/>
  <c r="G366" i="151"/>
  <c r="G367" i="151"/>
  <c r="G368" i="151"/>
  <c r="G369" i="151"/>
  <c r="G370" i="151"/>
  <c r="G371" i="151"/>
  <c r="G372" i="151"/>
  <c r="G373" i="151"/>
  <c r="G374" i="151"/>
  <c r="G375" i="151"/>
  <c r="G376" i="151"/>
  <c r="G377" i="151"/>
  <c r="G378" i="151"/>
  <c r="G379" i="151"/>
  <c r="G380" i="151"/>
  <c r="G381" i="151"/>
  <c r="G382" i="151"/>
  <c r="G383" i="151"/>
  <c r="G384" i="151"/>
  <c r="G385" i="151"/>
  <c r="G386" i="151"/>
  <c r="G387" i="151"/>
  <c r="G388" i="151"/>
  <c r="G389" i="151"/>
  <c r="G390" i="151"/>
  <c r="G391" i="151"/>
  <c r="G392" i="151"/>
  <c r="G393" i="151"/>
  <c r="G394" i="151"/>
  <c r="G395" i="151"/>
  <c r="G396" i="151"/>
  <c r="G397" i="151"/>
  <c r="G398" i="151"/>
  <c r="G399" i="151"/>
  <c r="G400" i="151"/>
  <c r="G401" i="151"/>
  <c r="G402" i="151"/>
  <c r="G403" i="151"/>
  <c r="G404" i="151"/>
  <c r="G405" i="151"/>
  <c r="G406" i="151"/>
  <c r="G407" i="151"/>
  <c r="G408" i="151"/>
  <c r="G409" i="151"/>
  <c r="G410" i="151"/>
  <c r="G411" i="151"/>
  <c r="G412" i="151"/>
  <c r="G413" i="151"/>
  <c r="G414" i="151"/>
  <c r="G415" i="151"/>
  <c r="G416" i="151"/>
  <c r="G417" i="151"/>
  <c r="G418" i="151"/>
  <c r="G419" i="151"/>
  <c r="G420" i="151"/>
  <c r="G421" i="151"/>
  <c r="G422" i="151"/>
  <c r="G423" i="151"/>
  <c r="G424" i="151"/>
  <c r="G425" i="151"/>
  <c r="G426" i="151"/>
  <c r="G427" i="151"/>
  <c r="G428" i="151"/>
  <c r="G429" i="151"/>
  <c r="G430" i="151"/>
  <c r="G431" i="151"/>
  <c r="G432" i="151"/>
  <c r="G433" i="151"/>
  <c r="G434" i="151"/>
  <c r="G435" i="151"/>
  <c r="G436" i="151"/>
  <c r="G437" i="151"/>
  <c r="G438" i="151"/>
  <c r="G439" i="151"/>
  <c r="G440" i="151"/>
  <c r="G441" i="151"/>
  <c r="G442" i="151"/>
  <c r="G443" i="151"/>
  <c r="G444" i="151"/>
  <c r="G445" i="151"/>
  <c r="G446" i="151"/>
  <c r="G447" i="151"/>
  <c r="G448" i="151"/>
  <c r="G449" i="151"/>
  <c r="G450" i="151"/>
  <c r="G451" i="151"/>
  <c r="G452" i="151"/>
  <c r="G453" i="151"/>
  <c r="G454" i="151"/>
  <c r="G455" i="151"/>
  <c r="G456" i="151"/>
  <c r="G457" i="151"/>
  <c r="G458" i="151"/>
  <c r="G459" i="151"/>
  <c r="G460" i="151"/>
  <c r="G461" i="151"/>
  <c r="G462" i="151"/>
  <c r="G463" i="151"/>
  <c r="G464" i="151"/>
  <c r="G465" i="151"/>
  <c r="G466" i="151"/>
  <c r="G467" i="151"/>
  <c r="G468" i="151"/>
  <c r="G469" i="151"/>
  <c r="G470" i="151"/>
  <c r="G471" i="151"/>
  <c r="G472" i="151"/>
  <c r="G473" i="151"/>
  <c r="G474" i="151"/>
  <c r="G475" i="151"/>
  <c r="G476" i="151"/>
  <c r="G477" i="151"/>
  <c r="G478" i="151"/>
  <c r="G479" i="151"/>
  <c r="G480" i="151"/>
  <c r="G481" i="151"/>
  <c r="G482" i="151"/>
  <c r="G483" i="151"/>
  <c r="G484" i="151"/>
  <c r="G485" i="151"/>
  <c r="G486" i="151"/>
  <c r="G487" i="151"/>
  <c r="G488" i="151"/>
  <c r="G489" i="151"/>
  <c r="G490" i="151"/>
  <c r="G491" i="151"/>
  <c r="G492" i="151"/>
  <c r="G493" i="151"/>
  <c r="G494" i="151"/>
  <c r="G495" i="151"/>
  <c r="G496" i="151"/>
  <c r="G497" i="151"/>
  <c r="G498" i="151"/>
  <c r="G499" i="151"/>
  <c r="G500" i="151"/>
  <c r="G501" i="151"/>
  <c r="G502" i="151"/>
  <c r="G503" i="151"/>
  <c r="G504" i="151"/>
  <c r="G505" i="151"/>
  <c r="G506" i="151"/>
  <c r="G507" i="151"/>
  <c r="G508" i="151"/>
  <c r="G509" i="151"/>
  <c r="G510" i="151"/>
  <c r="G511" i="151"/>
  <c r="G512" i="151"/>
  <c r="G513" i="151"/>
  <c r="G514" i="151"/>
  <c r="G515" i="151"/>
  <c r="G516" i="151"/>
  <c r="G517" i="151"/>
  <c r="G518" i="151"/>
  <c r="G519" i="151"/>
  <c r="G520" i="151"/>
  <c r="G521" i="151"/>
  <c r="G522" i="151"/>
  <c r="G523" i="151"/>
  <c r="G524" i="151"/>
  <c r="G525" i="151"/>
  <c r="G526" i="151"/>
  <c r="G527" i="151"/>
  <c r="G528" i="151"/>
  <c r="G529" i="151"/>
  <c r="G530" i="151"/>
  <c r="G531" i="151"/>
  <c r="G532" i="151"/>
  <c r="G533" i="151"/>
  <c r="G534" i="151"/>
  <c r="G535" i="151"/>
  <c r="G536" i="151"/>
  <c r="H3" i="151"/>
  <c r="H4" i="151"/>
  <c r="H5" i="151"/>
  <c r="H6" i="151"/>
  <c r="H7" i="151"/>
  <c r="H8" i="151"/>
  <c r="H9" i="151"/>
  <c r="H10" i="151"/>
  <c r="H11" i="151"/>
  <c r="H12" i="151"/>
  <c r="H13" i="151"/>
  <c r="H14" i="151"/>
  <c r="H15" i="151"/>
  <c r="H16" i="151"/>
  <c r="H17" i="151"/>
  <c r="H18" i="151"/>
  <c r="H19" i="151"/>
  <c r="H20" i="151"/>
  <c r="H21" i="151"/>
  <c r="H22" i="151"/>
  <c r="H23" i="151"/>
  <c r="H24" i="151"/>
  <c r="H25" i="151"/>
  <c r="H26" i="151"/>
  <c r="H27" i="151"/>
  <c r="H28" i="151"/>
  <c r="H29" i="151"/>
  <c r="H30" i="151"/>
  <c r="H31" i="151"/>
  <c r="H32" i="151"/>
  <c r="H33" i="151"/>
  <c r="H34" i="151"/>
  <c r="H35" i="151"/>
  <c r="H36" i="151"/>
  <c r="H37" i="151"/>
  <c r="H38" i="151"/>
  <c r="H39" i="151"/>
  <c r="H40" i="151"/>
  <c r="H41" i="151"/>
  <c r="H42" i="151"/>
  <c r="H43" i="151"/>
  <c r="H44" i="151"/>
  <c r="H45" i="151"/>
  <c r="H46" i="151"/>
  <c r="H47" i="151"/>
  <c r="H48" i="151"/>
  <c r="H49" i="151"/>
  <c r="H50" i="151"/>
  <c r="H51" i="151"/>
  <c r="H52" i="151"/>
  <c r="H53" i="151"/>
  <c r="H54" i="151"/>
  <c r="H55" i="151"/>
  <c r="H56" i="151"/>
  <c r="H57" i="151"/>
  <c r="H58" i="151"/>
  <c r="H59" i="151"/>
  <c r="H60" i="151"/>
  <c r="H61" i="151"/>
  <c r="H62" i="151"/>
  <c r="H63" i="151"/>
  <c r="H64" i="151"/>
  <c r="H65" i="151"/>
  <c r="H66" i="151"/>
  <c r="H67" i="151"/>
  <c r="H68" i="151"/>
  <c r="H69" i="151"/>
  <c r="H70" i="151"/>
  <c r="H71" i="151"/>
  <c r="H72" i="151"/>
  <c r="H73" i="151"/>
  <c r="H74" i="151"/>
  <c r="H75" i="151"/>
  <c r="H76" i="151"/>
  <c r="H77" i="151"/>
  <c r="H78" i="151"/>
  <c r="H79" i="151"/>
  <c r="H80" i="151"/>
  <c r="H81" i="151"/>
  <c r="H82" i="151"/>
  <c r="H83" i="151"/>
  <c r="H84" i="151"/>
  <c r="H85" i="151"/>
  <c r="H86" i="151"/>
  <c r="H87" i="151"/>
  <c r="H88" i="151"/>
  <c r="H89" i="151"/>
  <c r="H90" i="151"/>
  <c r="H91" i="151"/>
  <c r="H92" i="151"/>
  <c r="H93" i="151"/>
  <c r="H94" i="151"/>
  <c r="H95" i="151"/>
  <c r="H96" i="151"/>
  <c r="H97" i="151"/>
  <c r="H98" i="151"/>
  <c r="H99" i="151"/>
  <c r="H100" i="151"/>
  <c r="H101" i="151"/>
  <c r="H102" i="151"/>
  <c r="H103" i="151"/>
  <c r="H104" i="151"/>
  <c r="H105" i="151"/>
  <c r="H106" i="151"/>
  <c r="H107" i="151"/>
  <c r="H108" i="151"/>
  <c r="H109" i="151"/>
  <c r="H110" i="151"/>
  <c r="H111" i="151"/>
  <c r="H112" i="151"/>
  <c r="H113" i="151"/>
  <c r="H114" i="151"/>
  <c r="H115" i="151"/>
  <c r="H116" i="151"/>
  <c r="H117" i="151"/>
  <c r="H118" i="151"/>
  <c r="H119" i="151"/>
  <c r="H120" i="151"/>
  <c r="H121" i="151"/>
  <c r="H122" i="151"/>
  <c r="H123" i="151"/>
  <c r="H124" i="151"/>
  <c r="H125" i="151"/>
  <c r="H126" i="151"/>
  <c r="H127" i="151"/>
  <c r="H128" i="151"/>
  <c r="H129" i="151"/>
  <c r="H130" i="151"/>
  <c r="H131" i="151"/>
  <c r="H132" i="151"/>
  <c r="H133" i="151"/>
  <c r="H134" i="151"/>
  <c r="H135" i="151"/>
  <c r="H136" i="151"/>
  <c r="H137" i="151"/>
  <c r="H138" i="151"/>
  <c r="H139" i="151"/>
  <c r="H140" i="151"/>
  <c r="H141" i="151"/>
  <c r="H142" i="151"/>
  <c r="H143" i="151"/>
  <c r="H144" i="151"/>
  <c r="H145" i="151"/>
  <c r="H146" i="151"/>
  <c r="H147" i="151"/>
  <c r="H148" i="151"/>
  <c r="H149" i="151"/>
  <c r="H150" i="151"/>
  <c r="H151" i="151"/>
  <c r="H152" i="151"/>
  <c r="H153" i="151"/>
  <c r="H154" i="151"/>
  <c r="H155" i="151"/>
  <c r="H156" i="151"/>
  <c r="H157" i="151"/>
  <c r="H158" i="151"/>
  <c r="H159" i="151"/>
  <c r="H160" i="151"/>
  <c r="H161" i="151"/>
  <c r="H162" i="151"/>
  <c r="H163" i="151"/>
  <c r="H164" i="151"/>
  <c r="H165" i="151"/>
  <c r="H166" i="151"/>
  <c r="H167" i="151"/>
  <c r="H168" i="151"/>
  <c r="H169" i="151"/>
  <c r="H170" i="151"/>
  <c r="H171" i="151"/>
  <c r="H172" i="151"/>
  <c r="H173" i="151"/>
  <c r="H174" i="151"/>
  <c r="H175" i="151"/>
  <c r="H176" i="151"/>
  <c r="H177" i="151"/>
  <c r="H178" i="151"/>
  <c r="H179" i="151"/>
  <c r="H180" i="151"/>
  <c r="H181" i="151"/>
  <c r="H182" i="151"/>
  <c r="H183" i="151"/>
  <c r="H184" i="151"/>
  <c r="H185" i="151"/>
  <c r="H186" i="151"/>
  <c r="H187" i="151"/>
  <c r="H188" i="151"/>
  <c r="H189" i="151"/>
  <c r="H190" i="151"/>
  <c r="H191" i="151"/>
  <c r="H192" i="151"/>
  <c r="H193" i="151"/>
  <c r="H194" i="151"/>
  <c r="H195" i="151"/>
  <c r="H196" i="151"/>
  <c r="H197" i="151"/>
  <c r="H198" i="151"/>
  <c r="H199" i="151"/>
  <c r="H200" i="151"/>
  <c r="H201" i="151"/>
  <c r="H202" i="151"/>
  <c r="H203" i="151"/>
  <c r="H204" i="151"/>
  <c r="H205" i="151"/>
  <c r="H206" i="151"/>
  <c r="H207" i="151"/>
  <c r="H208" i="151"/>
  <c r="H209" i="151"/>
  <c r="H210" i="151"/>
  <c r="H211" i="151"/>
  <c r="H212" i="151"/>
  <c r="H213" i="151"/>
  <c r="H214" i="151"/>
  <c r="H215" i="151"/>
  <c r="H216" i="151"/>
  <c r="H217" i="151"/>
  <c r="H218" i="151"/>
  <c r="H219" i="151"/>
  <c r="H220" i="151"/>
  <c r="H221" i="151"/>
  <c r="H222" i="151"/>
  <c r="H223" i="151"/>
  <c r="H224" i="151"/>
  <c r="H225" i="151"/>
  <c r="H226" i="151"/>
  <c r="H227" i="151"/>
  <c r="H228" i="151"/>
  <c r="H229" i="151"/>
  <c r="H230" i="151"/>
  <c r="H231" i="151"/>
  <c r="H232" i="151"/>
  <c r="H233" i="151"/>
  <c r="H234" i="151"/>
  <c r="H235" i="151"/>
  <c r="H236" i="151"/>
  <c r="H237" i="151"/>
  <c r="H238" i="151"/>
  <c r="H239" i="151"/>
  <c r="H240" i="151"/>
  <c r="H241" i="151"/>
  <c r="H242" i="151"/>
  <c r="H243" i="151"/>
  <c r="H244" i="151"/>
  <c r="H245" i="151"/>
  <c r="H246" i="151"/>
  <c r="H247" i="151"/>
  <c r="H248" i="151"/>
  <c r="H249" i="151"/>
  <c r="H250" i="151"/>
  <c r="H251" i="151"/>
  <c r="H252" i="151"/>
  <c r="H253" i="151"/>
  <c r="H254" i="151"/>
  <c r="H255" i="151"/>
  <c r="H256" i="151"/>
  <c r="H257" i="151"/>
  <c r="H258" i="151"/>
  <c r="H259" i="151"/>
  <c r="H260" i="151"/>
  <c r="H261" i="151"/>
  <c r="H262" i="151"/>
  <c r="H263" i="151"/>
  <c r="H264" i="151"/>
  <c r="H265" i="151"/>
  <c r="H266" i="151"/>
  <c r="H267" i="151"/>
  <c r="H268" i="151"/>
  <c r="H269" i="151"/>
  <c r="H270" i="151"/>
  <c r="H271" i="151"/>
  <c r="H272" i="151"/>
  <c r="H273" i="151"/>
  <c r="H274" i="151"/>
  <c r="H275" i="151"/>
  <c r="H276" i="151"/>
  <c r="H277" i="151"/>
  <c r="H278" i="151"/>
  <c r="H279" i="151"/>
  <c r="H280" i="151"/>
  <c r="H281" i="151"/>
  <c r="H282" i="151"/>
  <c r="H283" i="151"/>
  <c r="H284" i="151"/>
  <c r="H285" i="151"/>
  <c r="H286" i="151"/>
  <c r="H287" i="151"/>
  <c r="H288" i="151"/>
  <c r="H289" i="151"/>
  <c r="H290" i="151"/>
  <c r="H291" i="151"/>
  <c r="H292" i="151"/>
  <c r="H293" i="151"/>
  <c r="H294" i="151"/>
  <c r="H295" i="151"/>
  <c r="H296" i="151"/>
  <c r="H297" i="151"/>
  <c r="H298" i="151"/>
  <c r="H299" i="151"/>
  <c r="H300" i="151"/>
  <c r="H301" i="151"/>
  <c r="H302" i="151"/>
  <c r="H303" i="151"/>
  <c r="H304" i="151"/>
  <c r="H305" i="151"/>
  <c r="H306" i="151"/>
  <c r="H307" i="151"/>
  <c r="H308" i="151"/>
  <c r="H309" i="151"/>
  <c r="H310" i="151"/>
  <c r="H311" i="151"/>
  <c r="H312" i="151"/>
  <c r="H313" i="151"/>
  <c r="H314" i="151"/>
  <c r="H315" i="151"/>
  <c r="H316" i="151"/>
  <c r="H317" i="151"/>
  <c r="H318" i="151"/>
  <c r="H319" i="151"/>
  <c r="H320" i="151"/>
  <c r="H321" i="151"/>
  <c r="H322" i="151"/>
  <c r="H323" i="151"/>
  <c r="H324" i="151"/>
  <c r="H325" i="151"/>
  <c r="H326" i="151"/>
  <c r="H327" i="151"/>
  <c r="H328" i="151"/>
  <c r="H329" i="151"/>
  <c r="H330" i="151"/>
  <c r="H331" i="151"/>
  <c r="H332" i="151"/>
  <c r="H333" i="151"/>
  <c r="H334" i="151"/>
  <c r="H335" i="151"/>
  <c r="H336" i="151"/>
  <c r="H337" i="151"/>
  <c r="H338" i="151"/>
  <c r="H339" i="151"/>
  <c r="H340" i="151"/>
  <c r="H341" i="151"/>
  <c r="H342" i="151"/>
  <c r="H343" i="151"/>
  <c r="H344" i="151"/>
  <c r="H345" i="151"/>
  <c r="H346" i="151"/>
  <c r="H347" i="151"/>
  <c r="H348" i="151"/>
  <c r="H349" i="151"/>
  <c r="H350" i="151"/>
  <c r="H351" i="151"/>
  <c r="H352" i="151"/>
  <c r="H353" i="151"/>
  <c r="H354" i="151"/>
  <c r="H355" i="151"/>
  <c r="H356" i="151"/>
  <c r="H357" i="151"/>
  <c r="H358" i="151"/>
  <c r="H359" i="151"/>
  <c r="H360" i="151"/>
  <c r="H361" i="151"/>
  <c r="H362" i="151"/>
  <c r="H363" i="151"/>
  <c r="H364" i="151"/>
  <c r="H365" i="151"/>
  <c r="H366" i="151"/>
  <c r="H367" i="151"/>
  <c r="H368" i="151"/>
  <c r="H369" i="151"/>
  <c r="H370" i="151"/>
  <c r="H371" i="151"/>
  <c r="H372" i="151"/>
  <c r="H373" i="151"/>
  <c r="H374" i="151"/>
  <c r="H375" i="151"/>
  <c r="H376" i="151"/>
  <c r="H377" i="151"/>
  <c r="H378" i="151"/>
  <c r="H379" i="151"/>
  <c r="H380" i="151"/>
  <c r="H381" i="151"/>
  <c r="H382" i="151"/>
  <c r="H383" i="151"/>
  <c r="H384" i="151"/>
  <c r="H385" i="151"/>
  <c r="H386" i="151"/>
  <c r="H387" i="151"/>
  <c r="H388" i="151"/>
  <c r="H389" i="151"/>
  <c r="H390" i="151"/>
  <c r="H391" i="151"/>
  <c r="H392" i="151"/>
  <c r="H393" i="151"/>
  <c r="H394" i="151"/>
  <c r="H395" i="151"/>
  <c r="H396" i="151"/>
  <c r="H397" i="151"/>
  <c r="H398" i="151"/>
  <c r="H399" i="151"/>
  <c r="H400" i="151"/>
  <c r="H401" i="151"/>
  <c r="H402" i="151"/>
  <c r="H403" i="151"/>
  <c r="H404" i="151"/>
  <c r="H405" i="151"/>
  <c r="H406" i="151"/>
  <c r="H407" i="151"/>
  <c r="H408" i="151"/>
  <c r="H409" i="151"/>
  <c r="H410" i="151"/>
  <c r="H411" i="151"/>
  <c r="H412" i="151"/>
  <c r="H413" i="151"/>
  <c r="H414" i="151"/>
  <c r="H415" i="151"/>
  <c r="H416" i="151"/>
  <c r="H417" i="151"/>
  <c r="H418" i="151"/>
  <c r="H419" i="151"/>
  <c r="H420" i="151"/>
  <c r="H421" i="151"/>
  <c r="H422" i="151"/>
  <c r="H423" i="151"/>
  <c r="H424" i="151"/>
  <c r="H425" i="151"/>
  <c r="H426" i="151"/>
  <c r="H427" i="151"/>
  <c r="H428" i="151"/>
  <c r="H429" i="151"/>
  <c r="H430" i="151"/>
  <c r="H431" i="151"/>
  <c r="H432" i="151"/>
  <c r="H433" i="151"/>
  <c r="H434" i="151"/>
  <c r="H435" i="151"/>
  <c r="H436" i="151"/>
  <c r="H437" i="151"/>
  <c r="H438" i="151"/>
  <c r="H439" i="151"/>
  <c r="H440" i="151"/>
  <c r="H441" i="151"/>
  <c r="H442" i="151"/>
  <c r="H443" i="151"/>
  <c r="H444" i="151"/>
  <c r="H445" i="151"/>
  <c r="H446" i="151"/>
  <c r="H447" i="151"/>
  <c r="H448" i="151"/>
  <c r="H449" i="151"/>
  <c r="H450" i="151"/>
  <c r="H451" i="151"/>
  <c r="H452" i="151"/>
  <c r="H453" i="151"/>
  <c r="H454" i="151"/>
  <c r="H455" i="151"/>
  <c r="H456" i="151"/>
  <c r="H457" i="151"/>
  <c r="H458" i="151"/>
  <c r="H459" i="151"/>
  <c r="H460" i="151"/>
  <c r="H461" i="151"/>
  <c r="H462" i="151"/>
  <c r="H463" i="151"/>
  <c r="H464" i="151"/>
  <c r="H465" i="151"/>
  <c r="H466" i="151"/>
  <c r="H467" i="151"/>
  <c r="H468" i="151"/>
  <c r="H469" i="151"/>
  <c r="H470" i="151"/>
  <c r="H471" i="151"/>
  <c r="H472" i="151"/>
  <c r="H473" i="151"/>
  <c r="H474" i="151"/>
  <c r="H475" i="151"/>
  <c r="H476" i="151"/>
  <c r="H477" i="151"/>
  <c r="H478" i="151"/>
  <c r="H479" i="151"/>
  <c r="H480" i="151"/>
  <c r="H481" i="151"/>
  <c r="H482" i="151"/>
  <c r="H483" i="151"/>
  <c r="H484" i="151"/>
  <c r="H485" i="151"/>
  <c r="H486" i="151"/>
  <c r="H487" i="151"/>
  <c r="H488" i="151"/>
  <c r="H489" i="151"/>
  <c r="H490" i="151"/>
  <c r="H491" i="151"/>
  <c r="H492" i="151"/>
  <c r="H493" i="151"/>
  <c r="H494" i="151"/>
  <c r="H495" i="151"/>
  <c r="H496" i="151"/>
  <c r="H497" i="151"/>
  <c r="H498" i="151"/>
  <c r="H499" i="151"/>
  <c r="H500" i="151"/>
  <c r="H501" i="151"/>
  <c r="H502" i="151"/>
  <c r="H503" i="151"/>
  <c r="H504" i="151"/>
  <c r="H505" i="151"/>
  <c r="H506" i="151"/>
  <c r="H507" i="151"/>
  <c r="H508" i="151"/>
  <c r="H509" i="151"/>
  <c r="H510" i="151"/>
  <c r="H511" i="151"/>
  <c r="H512" i="151"/>
  <c r="H513" i="151"/>
  <c r="H514" i="151"/>
  <c r="H515" i="151"/>
  <c r="H516" i="151"/>
  <c r="H517" i="151"/>
  <c r="H518" i="151"/>
  <c r="H519" i="151"/>
  <c r="H520" i="151"/>
  <c r="H521" i="151"/>
  <c r="H522" i="151"/>
  <c r="H523" i="151"/>
  <c r="H524" i="151"/>
  <c r="H525" i="151"/>
  <c r="H526" i="151"/>
  <c r="H527" i="151"/>
  <c r="H528" i="151"/>
  <c r="H529" i="151"/>
  <c r="H530" i="151"/>
  <c r="H531" i="151"/>
  <c r="H532" i="151"/>
  <c r="H533" i="151"/>
  <c r="H534" i="151"/>
  <c r="H535" i="151"/>
  <c r="H536" i="151"/>
  <c r="I3" i="151"/>
  <c r="I4" i="151"/>
  <c r="I5" i="151"/>
  <c r="I6" i="151"/>
  <c r="I7" i="151"/>
  <c r="I8" i="151"/>
  <c r="I9" i="151"/>
  <c r="I10" i="151"/>
  <c r="I11" i="151"/>
  <c r="I12" i="151"/>
  <c r="I13" i="151"/>
  <c r="I14" i="151"/>
  <c r="I15" i="151"/>
  <c r="I16" i="151"/>
  <c r="I17" i="151"/>
  <c r="I18" i="151"/>
  <c r="I19" i="151"/>
  <c r="I20" i="151"/>
  <c r="I21" i="151"/>
  <c r="I22" i="151"/>
  <c r="I23" i="151"/>
  <c r="I24" i="151"/>
  <c r="I25" i="151"/>
  <c r="I26" i="151"/>
  <c r="I27" i="151"/>
  <c r="I28" i="151"/>
  <c r="I29" i="151"/>
  <c r="I30" i="151"/>
  <c r="I31" i="151"/>
  <c r="I32" i="151"/>
  <c r="I33" i="151"/>
  <c r="I34" i="151"/>
  <c r="I35" i="151"/>
  <c r="I36" i="151"/>
  <c r="I37" i="151"/>
  <c r="I38" i="151"/>
  <c r="I39" i="151"/>
  <c r="I40" i="151"/>
  <c r="I41" i="151"/>
  <c r="I42" i="151"/>
  <c r="I43" i="151"/>
  <c r="I44" i="151"/>
  <c r="I45" i="151"/>
  <c r="I46" i="151"/>
  <c r="I47" i="151"/>
  <c r="I48" i="151"/>
  <c r="I49" i="151"/>
  <c r="I50" i="151"/>
  <c r="I51" i="151"/>
  <c r="I52" i="151"/>
  <c r="I53" i="151"/>
  <c r="I54" i="151"/>
  <c r="I55" i="151"/>
  <c r="I56" i="151"/>
  <c r="I57" i="151"/>
  <c r="I58" i="151"/>
  <c r="I59" i="151"/>
  <c r="I60" i="151"/>
  <c r="I61" i="151"/>
  <c r="I62" i="151"/>
  <c r="I63" i="151"/>
  <c r="I64" i="151"/>
  <c r="I65" i="151"/>
  <c r="I66" i="151"/>
  <c r="I67" i="151"/>
  <c r="I68" i="151"/>
  <c r="I69" i="151"/>
  <c r="I70" i="151"/>
  <c r="I71" i="151"/>
  <c r="I72" i="151"/>
  <c r="I73" i="151"/>
  <c r="I74" i="151"/>
  <c r="I75" i="151"/>
  <c r="I76" i="151"/>
  <c r="I77" i="151"/>
  <c r="I78" i="151"/>
  <c r="I79" i="151"/>
  <c r="I80" i="151"/>
  <c r="I81" i="151"/>
  <c r="I82" i="151"/>
  <c r="I83" i="151"/>
  <c r="I84" i="151"/>
  <c r="I85" i="151"/>
  <c r="I86" i="151"/>
  <c r="I87" i="151"/>
  <c r="I88" i="151"/>
  <c r="I89" i="151"/>
  <c r="I90" i="151"/>
  <c r="I91" i="151"/>
  <c r="I92" i="151"/>
  <c r="I93" i="151"/>
  <c r="I94" i="151"/>
  <c r="I95" i="151"/>
  <c r="I96" i="151"/>
  <c r="I97" i="151"/>
  <c r="I98" i="151"/>
  <c r="I99" i="151"/>
  <c r="I100" i="151"/>
  <c r="I101" i="151"/>
  <c r="I102" i="151"/>
  <c r="I103" i="151"/>
  <c r="I104" i="151"/>
  <c r="I105" i="151"/>
  <c r="I106" i="151"/>
  <c r="I107" i="151"/>
  <c r="I108" i="151"/>
  <c r="I109" i="151"/>
  <c r="I110" i="151"/>
  <c r="I111" i="151"/>
  <c r="I112" i="151"/>
  <c r="I113" i="151"/>
  <c r="I114" i="151"/>
  <c r="I115" i="151"/>
  <c r="I116" i="151"/>
  <c r="I117" i="151"/>
  <c r="I118" i="151"/>
  <c r="I119" i="151"/>
  <c r="I120" i="151"/>
  <c r="I121" i="151"/>
  <c r="I122" i="151"/>
  <c r="I123" i="151"/>
  <c r="I124" i="151"/>
  <c r="I125" i="151"/>
  <c r="I126" i="151"/>
  <c r="I127" i="151"/>
  <c r="I128" i="151"/>
  <c r="I129" i="151"/>
  <c r="I130" i="151"/>
  <c r="I131" i="151"/>
  <c r="I132" i="151"/>
  <c r="I133" i="151"/>
  <c r="I134" i="151"/>
  <c r="I135" i="151"/>
  <c r="I136" i="151"/>
  <c r="I137" i="151"/>
  <c r="I138" i="151"/>
  <c r="I139" i="151"/>
  <c r="I140" i="151"/>
  <c r="I141" i="151"/>
  <c r="I142" i="151"/>
  <c r="I143" i="151"/>
  <c r="I144" i="151"/>
  <c r="I145" i="151"/>
  <c r="I146" i="151"/>
  <c r="I147" i="151"/>
  <c r="I148" i="151"/>
  <c r="I149" i="151"/>
  <c r="I150" i="151"/>
  <c r="I151" i="151"/>
  <c r="I152" i="151"/>
  <c r="I153" i="151"/>
  <c r="I154" i="151"/>
  <c r="I155" i="151"/>
  <c r="I156" i="151"/>
  <c r="I157" i="151"/>
  <c r="I158" i="151"/>
  <c r="I159" i="151"/>
  <c r="I160" i="151"/>
  <c r="I161" i="151"/>
  <c r="I162" i="151"/>
  <c r="I163" i="151"/>
  <c r="I164" i="151"/>
  <c r="I165" i="151"/>
  <c r="I166" i="151"/>
  <c r="I167" i="151"/>
  <c r="I168" i="151"/>
  <c r="I169" i="151"/>
  <c r="I170" i="151"/>
  <c r="I171" i="151"/>
  <c r="I172" i="151"/>
  <c r="I173" i="151"/>
  <c r="I174" i="151"/>
  <c r="I175" i="151"/>
  <c r="I176" i="151"/>
  <c r="I177" i="151"/>
  <c r="I178" i="151"/>
  <c r="I179" i="151"/>
  <c r="I180" i="151"/>
  <c r="I181" i="151"/>
  <c r="I182" i="151"/>
  <c r="I183" i="151"/>
  <c r="I184" i="151"/>
  <c r="I185" i="151"/>
  <c r="I186" i="151"/>
  <c r="I187" i="151"/>
  <c r="I188" i="151"/>
  <c r="I189" i="151"/>
  <c r="I190" i="151"/>
  <c r="I191" i="151"/>
  <c r="I192" i="151"/>
  <c r="I193" i="151"/>
  <c r="I194" i="151"/>
  <c r="I195" i="151"/>
  <c r="I196" i="151"/>
  <c r="I197" i="151"/>
  <c r="I198" i="151"/>
  <c r="I199" i="151"/>
  <c r="I200" i="151"/>
  <c r="I201" i="151"/>
  <c r="I202" i="151"/>
  <c r="I203" i="151"/>
  <c r="I204" i="151"/>
  <c r="I205" i="151"/>
  <c r="I206" i="151"/>
  <c r="I207" i="151"/>
  <c r="I208" i="151"/>
  <c r="I209" i="151"/>
  <c r="I210" i="151"/>
  <c r="I211" i="151"/>
  <c r="I212" i="151"/>
  <c r="I213" i="151"/>
  <c r="I214" i="151"/>
  <c r="I215" i="151"/>
  <c r="I216" i="151"/>
  <c r="I217" i="151"/>
  <c r="I218" i="151"/>
  <c r="I219" i="151"/>
  <c r="I220" i="151"/>
  <c r="I221" i="151"/>
  <c r="I222" i="151"/>
  <c r="I223" i="151"/>
  <c r="I224" i="151"/>
  <c r="I225" i="151"/>
  <c r="I226" i="151"/>
  <c r="I227" i="151"/>
  <c r="I228" i="151"/>
  <c r="I229" i="151"/>
  <c r="I230" i="151"/>
  <c r="I231" i="151"/>
  <c r="I232" i="151"/>
  <c r="I233" i="151"/>
  <c r="I234" i="151"/>
  <c r="I235" i="151"/>
  <c r="I236" i="151"/>
  <c r="I237" i="151"/>
  <c r="I238" i="151"/>
  <c r="I239" i="151"/>
  <c r="I240" i="151"/>
  <c r="I241" i="151"/>
  <c r="I242" i="151"/>
  <c r="I243" i="151"/>
  <c r="I244" i="151"/>
  <c r="I245" i="151"/>
  <c r="I246" i="151"/>
  <c r="I247" i="151"/>
  <c r="I248" i="151"/>
  <c r="I249" i="151"/>
  <c r="I250" i="151"/>
  <c r="I251" i="151"/>
  <c r="I252" i="151"/>
  <c r="I253" i="151"/>
  <c r="I254" i="151"/>
  <c r="I255" i="151"/>
  <c r="I256" i="151"/>
  <c r="I257" i="151"/>
  <c r="I258" i="151"/>
  <c r="I259" i="151"/>
  <c r="I260" i="151"/>
  <c r="I261" i="151"/>
  <c r="I262" i="151"/>
  <c r="I263" i="151"/>
  <c r="I264" i="151"/>
  <c r="I265" i="151"/>
  <c r="I266" i="151"/>
  <c r="I267" i="151"/>
  <c r="I268" i="151"/>
  <c r="I269" i="151"/>
  <c r="I270" i="151"/>
  <c r="I271" i="151"/>
  <c r="I272" i="151"/>
  <c r="I273" i="151"/>
  <c r="I274" i="151"/>
  <c r="I275" i="151"/>
  <c r="I276" i="151"/>
  <c r="I277" i="151"/>
  <c r="I278" i="151"/>
  <c r="I279" i="151"/>
  <c r="I280" i="151"/>
  <c r="I281" i="151"/>
  <c r="I282" i="151"/>
  <c r="I283" i="151"/>
  <c r="I284" i="151"/>
  <c r="I285" i="151"/>
  <c r="I286" i="151"/>
  <c r="I287" i="151"/>
  <c r="I288" i="151"/>
  <c r="I289" i="151"/>
  <c r="I290" i="151"/>
  <c r="I291" i="151"/>
  <c r="I292" i="151"/>
  <c r="I293" i="151"/>
  <c r="I294" i="151"/>
  <c r="I295" i="151"/>
  <c r="I296" i="151"/>
  <c r="I297" i="151"/>
  <c r="I298" i="151"/>
  <c r="I299" i="151"/>
  <c r="I300" i="151"/>
  <c r="I301" i="151"/>
  <c r="I302" i="151"/>
  <c r="I303" i="151"/>
  <c r="I304" i="151"/>
  <c r="I305" i="151"/>
  <c r="I306" i="151"/>
  <c r="I307" i="151"/>
  <c r="I308" i="151"/>
  <c r="I309" i="151"/>
  <c r="I310" i="151"/>
  <c r="I311" i="151"/>
  <c r="I312" i="151"/>
  <c r="I313" i="151"/>
  <c r="I314" i="151"/>
  <c r="I315" i="151"/>
  <c r="I316" i="151"/>
  <c r="I317" i="151"/>
  <c r="I318" i="151"/>
  <c r="I319" i="151"/>
  <c r="I320" i="151"/>
  <c r="I321" i="151"/>
  <c r="I322" i="151"/>
  <c r="I323" i="151"/>
  <c r="I324" i="151"/>
  <c r="I325" i="151"/>
  <c r="I326" i="151"/>
  <c r="I327" i="151"/>
  <c r="I328" i="151"/>
  <c r="I329" i="151"/>
  <c r="I330" i="151"/>
  <c r="I331" i="151"/>
  <c r="I332" i="151"/>
  <c r="I333" i="151"/>
  <c r="I334" i="151"/>
  <c r="I335" i="151"/>
  <c r="I336" i="151"/>
  <c r="I337" i="151"/>
  <c r="I338" i="151"/>
  <c r="I339" i="151"/>
  <c r="I340" i="151"/>
  <c r="I341" i="151"/>
  <c r="I342" i="151"/>
  <c r="I343" i="151"/>
  <c r="I344" i="151"/>
  <c r="I345" i="151"/>
  <c r="I346" i="151"/>
  <c r="I347" i="151"/>
  <c r="I348" i="151"/>
  <c r="I349" i="151"/>
  <c r="I350" i="151"/>
  <c r="I351" i="151"/>
  <c r="I352" i="151"/>
  <c r="I353" i="151"/>
  <c r="I354" i="151"/>
  <c r="I355" i="151"/>
  <c r="I356" i="151"/>
  <c r="I357" i="151"/>
  <c r="I358" i="151"/>
  <c r="I359" i="151"/>
  <c r="I360" i="151"/>
  <c r="I361" i="151"/>
  <c r="I362" i="151"/>
  <c r="I363" i="151"/>
  <c r="I364" i="151"/>
  <c r="I365" i="151"/>
  <c r="I366" i="151"/>
  <c r="I367" i="151"/>
  <c r="I368" i="151"/>
  <c r="I369" i="151"/>
  <c r="I370" i="151"/>
  <c r="I371" i="151"/>
  <c r="I372" i="151"/>
  <c r="I373" i="151"/>
  <c r="I374" i="151"/>
  <c r="I375" i="151"/>
  <c r="I376" i="151"/>
  <c r="I377" i="151"/>
  <c r="I378" i="151"/>
  <c r="I379" i="151"/>
  <c r="I380" i="151"/>
  <c r="I381" i="151"/>
  <c r="I382" i="151"/>
  <c r="I383" i="151"/>
  <c r="I384" i="151"/>
  <c r="I385" i="151"/>
  <c r="I386" i="151"/>
  <c r="I387" i="151"/>
  <c r="I388" i="151"/>
  <c r="I389" i="151"/>
  <c r="I390" i="151"/>
  <c r="I391" i="151"/>
  <c r="I392" i="151"/>
  <c r="I393" i="151"/>
  <c r="I394" i="151"/>
  <c r="I395" i="151"/>
  <c r="I396" i="151"/>
  <c r="I397" i="151"/>
  <c r="I398" i="151"/>
  <c r="I399" i="151"/>
  <c r="I400" i="151"/>
  <c r="I401" i="151"/>
  <c r="I402" i="151"/>
  <c r="I403" i="151"/>
  <c r="I404" i="151"/>
  <c r="I405" i="151"/>
  <c r="I406" i="151"/>
  <c r="I407" i="151"/>
  <c r="I408" i="151"/>
  <c r="I409" i="151"/>
  <c r="I410" i="151"/>
  <c r="I411" i="151"/>
  <c r="I412" i="151"/>
  <c r="I413" i="151"/>
  <c r="I414" i="151"/>
  <c r="I415" i="151"/>
  <c r="I416" i="151"/>
  <c r="I417" i="151"/>
  <c r="I418" i="151"/>
  <c r="I419" i="151"/>
  <c r="I420" i="151"/>
  <c r="I421" i="151"/>
  <c r="I422" i="151"/>
  <c r="I423" i="151"/>
  <c r="I424" i="151"/>
  <c r="I425" i="151"/>
  <c r="I426" i="151"/>
  <c r="I427" i="151"/>
  <c r="I428" i="151"/>
  <c r="I429" i="151"/>
  <c r="I430" i="151"/>
  <c r="I431" i="151"/>
  <c r="I432" i="151"/>
  <c r="I433" i="151"/>
  <c r="I434" i="151"/>
  <c r="I435" i="151"/>
  <c r="I436" i="151"/>
  <c r="I437" i="151"/>
  <c r="I438" i="151"/>
  <c r="I439" i="151"/>
  <c r="I440" i="151"/>
  <c r="I441" i="151"/>
  <c r="I442" i="151"/>
  <c r="I443" i="151"/>
  <c r="I444" i="151"/>
  <c r="I445" i="151"/>
  <c r="I446" i="151"/>
  <c r="I447" i="151"/>
  <c r="I448" i="151"/>
  <c r="I449" i="151"/>
  <c r="I450" i="151"/>
  <c r="I451" i="151"/>
  <c r="I452" i="151"/>
  <c r="I453" i="151"/>
  <c r="I454" i="151"/>
  <c r="I455" i="151"/>
  <c r="I456" i="151"/>
  <c r="I457" i="151"/>
  <c r="I458" i="151"/>
  <c r="I459" i="151"/>
  <c r="I460" i="151"/>
  <c r="I461" i="151"/>
  <c r="I462" i="151"/>
  <c r="I463" i="151"/>
  <c r="I464" i="151"/>
  <c r="I465" i="151"/>
  <c r="I466" i="151"/>
  <c r="I467" i="151"/>
  <c r="I468" i="151"/>
  <c r="I469" i="151"/>
  <c r="I470" i="151"/>
  <c r="I471" i="151"/>
  <c r="I472" i="151"/>
  <c r="I473" i="151"/>
  <c r="I474" i="151"/>
  <c r="I475" i="151"/>
  <c r="I476" i="151"/>
  <c r="I477" i="151"/>
  <c r="I478" i="151"/>
  <c r="I479" i="151"/>
  <c r="I480" i="151"/>
  <c r="I481" i="151"/>
  <c r="I482" i="151"/>
  <c r="I483" i="151"/>
  <c r="I484" i="151"/>
  <c r="I485" i="151"/>
  <c r="I486" i="151"/>
  <c r="I487" i="151"/>
  <c r="I488" i="151"/>
  <c r="I489" i="151"/>
  <c r="I490" i="151"/>
  <c r="I491" i="151"/>
  <c r="I492" i="151"/>
  <c r="I493" i="151"/>
  <c r="I494" i="151"/>
  <c r="I495" i="151"/>
  <c r="I496" i="151"/>
  <c r="I497" i="151"/>
  <c r="I498" i="151"/>
  <c r="I499" i="151"/>
  <c r="I500" i="151"/>
  <c r="I501" i="151"/>
  <c r="I502" i="151"/>
  <c r="I503" i="151"/>
  <c r="I504" i="151"/>
  <c r="I505" i="151"/>
  <c r="I506" i="151"/>
  <c r="I507" i="151"/>
  <c r="I508" i="151"/>
  <c r="I509" i="151"/>
  <c r="I510" i="151"/>
  <c r="I511" i="151"/>
  <c r="I512" i="151"/>
  <c r="I513" i="151"/>
  <c r="I514" i="151"/>
  <c r="I515" i="151"/>
  <c r="I516" i="151"/>
  <c r="I517" i="151"/>
  <c r="I518" i="151"/>
  <c r="I519" i="151"/>
  <c r="I520" i="151"/>
  <c r="I521" i="151"/>
  <c r="I522" i="151"/>
  <c r="I523" i="151"/>
  <c r="I524" i="151"/>
  <c r="I525" i="151"/>
  <c r="I526" i="151"/>
  <c r="I527" i="151"/>
  <c r="I528" i="151"/>
  <c r="I529" i="151"/>
  <c r="I530" i="151"/>
  <c r="I531" i="151"/>
  <c r="I532" i="151"/>
  <c r="I533" i="151"/>
  <c r="I534" i="151"/>
  <c r="I535" i="151"/>
  <c r="I536" i="151"/>
  <c r="J3" i="151"/>
  <c r="J4" i="151"/>
  <c r="J5" i="151"/>
  <c r="J6" i="151"/>
  <c r="J7" i="151"/>
  <c r="J8" i="151"/>
  <c r="J9" i="151"/>
  <c r="J10" i="151"/>
  <c r="J11" i="151"/>
  <c r="J12" i="151"/>
  <c r="J13" i="151"/>
  <c r="J14" i="151"/>
  <c r="J15" i="151"/>
  <c r="J16" i="151"/>
  <c r="J17" i="151"/>
  <c r="J18" i="151"/>
  <c r="J19" i="151"/>
  <c r="J20" i="151"/>
  <c r="J21" i="151"/>
  <c r="J22" i="151"/>
  <c r="J23" i="151"/>
  <c r="J24" i="151"/>
  <c r="J25" i="151"/>
  <c r="J26" i="151"/>
  <c r="J27" i="151"/>
  <c r="J28" i="151"/>
  <c r="J29" i="151"/>
  <c r="J30" i="151"/>
  <c r="J31" i="151"/>
  <c r="J32" i="151"/>
  <c r="J33" i="151"/>
  <c r="J34" i="151"/>
  <c r="J35" i="151"/>
  <c r="J36" i="151"/>
  <c r="J37" i="151"/>
  <c r="J38" i="151"/>
  <c r="J39" i="151"/>
  <c r="J40" i="151"/>
  <c r="J41" i="151"/>
  <c r="J42" i="151"/>
  <c r="J43" i="151"/>
  <c r="J44" i="151"/>
  <c r="J45" i="151"/>
  <c r="J46" i="151"/>
  <c r="J47" i="151"/>
  <c r="J48" i="151"/>
  <c r="J49" i="151"/>
  <c r="J50" i="151"/>
  <c r="J51" i="151"/>
  <c r="J52" i="151"/>
  <c r="J53" i="151"/>
  <c r="J54" i="151"/>
  <c r="J55" i="151"/>
  <c r="J56" i="151"/>
  <c r="J57" i="151"/>
  <c r="J58" i="151"/>
  <c r="J59" i="151"/>
  <c r="J60" i="151"/>
  <c r="J61" i="151"/>
  <c r="J62" i="151"/>
  <c r="J63" i="151"/>
  <c r="J64" i="151"/>
  <c r="J65" i="151"/>
  <c r="J66" i="151"/>
  <c r="J67" i="151"/>
  <c r="J68" i="151"/>
  <c r="J69" i="151"/>
  <c r="J70" i="151"/>
  <c r="J71" i="151"/>
  <c r="J72" i="151"/>
  <c r="J73" i="151"/>
  <c r="J74" i="151"/>
  <c r="J75" i="151"/>
  <c r="J76" i="151"/>
  <c r="J77" i="151"/>
  <c r="J78" i="151"/>
  <c r="J79" i="151"/>
  <c r="J80" i="151"/>
  <c r="J81" i="151"/>
  <c r="J82" i="151"/>
  <c r="J83" i="151"/>
  <c r="J84" i="151"/>
  <c r="J85" i="151"/>
  <c r="J86" i="151"/>
  <c r="J87" i="151"/>
  <c r="J88" i="151"/>
  <c r="J89" i="151"/>
  <c r="J90" i="151"/>
  <c r="J91" i="151"/>
  <c r="J92" i="151"/>
  <c r="J93" i="151"/>
  <c r="J94" i="151"/>
  <c r="J95" i="151"/>
  <c r="J96" i="151"/>
  <c r="J97" i="151"/>
  <c r="J98" i="151"/>
  <c r="J99" i="151"/>
  <c r="J100" i="151"/>
  <c r="J101" i="151"/>
  <c r="J102" i="151"/>
  <c r="J103" i="151"/>
  <c r="J104" i="151"/>
  <c r="J105" i="151"/>
  <c r="J106" i="151"/>
  <c r="J107" i="151"/>
  <c r="J108" i="151"/>
  <c r="J109" i="151"/>
  <c r="J110" i="151"/>
  <c r="J111" i="151"/>
  <c r="J112" i="151"/>
  <c r="J113" i="151"/>
  <c r="J114" i="151"/>
  <c r="J115" i="151"/>
  <c r="J116" i="151"/>
  <c r="J117" i="151"/>
  <c r="J118" i="151"/>
  <c r="J119" i="151"/>
  <c r="J120" i="151"/>
  <c r="J121" i="151"/>
  <c r="J122" i="151"/>
  <c r="J123" i="151"/>
  <c r="J124" i="151"/>
  <c r="J125" i="151"/>
  <c r="J126" i="151"/>
  <c r="J127" i="151"/>
  <c r="J128" i="151"/>
  <c r="J129" i="151"/>
  <c r="J130" i="151"/>
  <c r="J131" i="151"/>
  <c r="J132" i="151"/>
  <c r="J133" i="151"/>
  <c r="J134" i="151"/>
  <c r="J135" i="151"/>
  <c r="J136" i="151"/>
  <c r="J137" i="151"/>
  <c r="J138" i="151"/>
  <c r="J139" i="151"/>
  <c r="J140" i="151"/>
  <c r="J141" i="151"/>
  <c r="J142" i="151"/>
  <c r="J143" i="151"/>
  <c r="J144" i="151"/>
  <c r="J145" i="151"/>
  <c r="J146" i="151"/>
  <c r="J147" i="151"/>
  <c r="J148" i="151"/>
  <c r="J149" i="151"/>
  <c r="J150" i="151"/>
  <c r="J151" i="151"/>
  <c r="J152" i="151"/>
  <c r="J153" i="151"/>
  <c r="J154" i="151"/>
  <c r="J155" i="151"/>
  <c r="J156" i="151"/>
  <c r="J157" i="151"/>
  <c r="J158" i="151"/>
  <c r="J159" i="151"/>
  <c r="J160" i="151"/>
  <c r="J161" i="151"/>
  <c r="J162" i="151"/>
  <c r="J163" i="151"/>
  <c r="J164" i="151"/>
  <c r="J165" i="151"/>
  <c r="J166" i="151"/>
  <c r="J167" i="151"/>
  <c r="J168" i="151"/>
  <c r="J169" i="151"/>
  <c r="J170" i="151"/>
  <c r="J171" i="151"/>
  <c r="J172" i="151"/>
  <c r="J173" i="151"/>
  <c r="J174" i="151"/>
  <c r="J175" i="151"/>
  <c r="J176" i="151"/>
  <c r="J177" i="151"/>
  <c r="J178" i="151"/>
  <c r="J179" i="151"/>
  <c r="J180" i="151"/>
  <c r="J181" i="151"/>
  <c r="J182" i="151"/>
  <c r="J183" i="151"/>
  <c r="J184" i="151"/>
  <c r="J185" i="151"/>
  <c r="J186" i="151"/>
  <c r="J187" i="151"/>
  <c r="J188" i="151"/>
  <c r="J189" i="151"/>
  <c r="J190" i="151"/>
  <c r="J191" i="151"/>
  <c r="J192" i="151"/>
  <c r="J193" i="151"/>
  <c r="J194" i="151"/>
  <c r="J195" i="151"/>
  <c r="J196" i="151"/>
  <c r="J197" i="151"/>
  <c r="J198" i="151"/>
  <c r="J199" i="151"/>
  <c r="J200" i="151"/>
  <c r="J201" i="151"/>
  <c r="J202" i="151"/>
  <c r="J203" i="151"/>
  <c r="J204" i="151"/>
  <c r="J205" i="151"/>
  <c r="J206" i="151"/>
  <c r="J207" i="151"/>
  <c r="J208" i="151"/>
  <c r="J209" i="151"/>
  <c r="J210" i="151"/>
  <c r="J211" i="151"/>
  <c r="J212" i="151"/>
  <c r="J213" i="151"/>
  <c r="J214" i="151"/>
  <c r="J215" i="151"/>
  <c r="J216" i="151"/>
  <c r="J217" i="151"/>
  <c r="J218" i="151"/>
  <c r="J219" i="151"/>
  <c r="J220" i="151"/>
  <c r="J221" i="151"/>
  <c r="J222" i="151"/>
  <c r="J223" i="151"/>
  <c r="J224" i="151"/>
  <c r="J225" i="151"/>
  <c r="J226" i="151"/>
  <c r="J227" i="151"/>
  <c r="J228" i="151"/>
  <c r="J229" i="151"/>
  <c r="J230" i="151"/>
  <c r="J231" i="151"/>
  <c r="J232" i="151"/>
  <c r="J233" i="151"/>
  <c r="J234" i="151"/>
  <c r="J235" i="151"/>
  <c r="J236" i="151"/>
  <c r="J237" i="151"/>
  <c r="J238" i="151"/>
  <c r="J239" i="151"/>
  <c r="J240" i="151"/>
  <c r="J241" i="151"/>
  <c r="J242" i="151"/>
  <c r="J243" i="151"/>
  <c r="J244" i="151"/>
  <c r="J245" i="151"/>
  <c r="J246" i="151"/>
  <c r="J247" i="151"/>
  <c r="J248" i="151"/>
  <c r="J249" i="151"/>
  <c r="J250" i="151"/>
  <c r="J251" i="151"/>
  <c r="J252" i="151"/>
  <c r="J253" i="151"/>
  <c r="J254" i="151"/>
  <c r="J255" i="151"/>
  <c r="J256" i="151"/>
  <c r="J257" i="151"/>
  <c r="J258" i="151"/>
  <c r="J259" i="151"/>
  <c r="J260" i="151"/>
  <c r="J261" i="151"/>
  <c r="J262" i="151"/>
  <c r="J263" i="151"/>
  <c r="J264" i="151"/>
  <c r="J265" i="151"/>
  <c r="J266" i="151"/>
  <c r="J267" i="151"/>
  <c r="J268" i="151"/>
  <c r="J269" i="151"/>
  <c r="J270" i="151"/>
  <c r="J271" i="151"/>
  <c r="J272" i="151"/>
  <c r="J273" i="151"/>
  <c r="J274" i="151"/>
  <c r="J275" i="151"/>
  <c r="J276" i="151"/>
  <c r="J277" i="151"/>
  <c r="J278" i="151"/>
  <c r="J279" i="151"/>
  <c r="J280" i="151"/>
  <c r="J281" i="151"/>
  <c r="J282" i="151"/>
  <c r="J283" i="151"/>
  <c r="J284" i="151"/>
  <c r="J285" i="151"/>
  <c r="J286" i="151"/>
  <c r="J287" i="151"/>
  <c r="J288" i="151"/>
  <c r="J289" i="151"/>
  <c r="J290" i="151"/>
  <c r="J291" i="151"/>
  <c r="J292" i="151"/>
  <c r="J293" i="151"/>
  <c r="J294" i="151"/>
  <c r="J295" i="151"/>
  <c r="J296" i="151"/>
  <c r="J297" i="151"/>
  <c r="J298" i="151"/>
  <c r="J299" i="151"/>
  <c r="J300" i="151"/>
  <c r="J301" i="151"/>
  <c r="J302" i="151"/>
  <c r="J303" i="151"/>
  <c r="J304" i="151"/>
  <c r="J305" i="151"/>
  <c r="J306" i="151"/>
  <c r="J307" i="151"/>
  <c r="J308" i="151"/>
  <c r="J309" i="151"/>
  <c r="J310" i="151"/>
  <c r="J311" i="151"/>
  <c r="J312" i="151"/>
  <c r="J313" i="151"/>
  <c r="J314" i="151"/>
  <c r="J315" i="151"/>
  <c r="J316" i="151"/>
  <c r="J317" i="151"/>
  <c r="J318" i="151"/>
  <c r="J319" i="151"/>
  <c r="J320" i="151"/>
  <c r="J321" i="151"/>
  <c r="J322" i="151"/>
  <c r="J323" i="151"/>
  <c r="J324" i="151"/>
  <c r="J325" i="151"/>
  <c r="J326" i="151"/>
  <c r="J327" i="151"/>
  <c r="J328" i="151"/>
  <c r="J329" i="151"/>
  <c r="J330" i="151"/>
  <c r="J331" i="151"/>
  <c r="J332" i="151"/>
  <c r="J333" i="151"/>
  <c r="J334" i="151"/>
  <c r="J335" i="151"/>
  <c r="J336" i="151"/>
  <c r="J337" i="151"/>
  <c r="J338" i="151"/>
  <c r="J339" i="151"/>
  <c r="J340" i="151"/>
  <c r="J341" i="151"/>
  <c r="J342" i="151"/>
  <c r="J343" i="151"/>
  <c r="J344" i="151"/>
  <c r="J345" i="151"/>
  <c r="J346" i="151"/>
  <c r="J347" i="151"/>
  <c r="J348" i="151"/>
  <c r="J349" i="151"/>
  <c r="J350" i="151"/>
  <c r="J351" i="151"/>
  <c r="J352" i="151"/>
  <c r="J353" i="151"/>
  <c r="J354" i="151"/>
  <c r="J355" i="151"/>
  <c r="J356" i="151"/>
  <c r="J357" i="151"/>
  <c r="J358" i="151"/>
  <c r="J359" i="151"/>
  <c r="J360" i="151"/>
  <c r="J361" i="151"/>
  <c r="J362" i="151"/>
  <c r="J363" i="151"/>
  <c r="J364" i="151"/>
  <c r="J365" i="151"/>
  <c r="J366" i="151"/>
  <c r="J367" i="151"/>
  <c r="J368" i="151"/>
  <c r="J369" i="151"/>
  <c r="J370" i="151"/>
  <c r="J371" i="151"/>
  <c r="J372" i="151"/>
  <c r="J373" i="151"/>
  <c r="J374" i="151"/>
  <c r="J375" i="151"/>
  <c r="J376" i="151"/>
  <c r="J377" i="151"/>
  <c r="J378" i="151"/>
  <c r="J379" i="151"/>
  <c r="J380" i="151"/>
  <c r="J381" i="151"/>
  <c r="J382" i="151"/>
  <c r="J383" i="151"/>
  <c r="J384" i="151"/>
  <c r="J385" i="151"/>
  <c r="J386" i="151"/>
  <c r="J387" i="151"/>
  <c r="J388" i="151"/>
  <c r="J389" i="151"/>
  <c r="J390" i="151"/>
  <c r="J391" i="151"/>
  <c r="J392" i="151"/>
  <c r="J393" i="151"/>
  <c r="J394" i="151"/>
  <c r="J395" i="151"/>
  <c r="J396" i="151"/>
  <c r="J397" i="151"/>
  <c r="J398" i="151"/>
  <c r="J399" i="151"/>
  <c r="J400" i="151"/>
  <c r="J401" i="151"/>
  <c r="J402" i="151"/>
  <c r="J403" i="151"/>
  <c r="J404" i="151"/>
  <c r="J405" i="151"/>
  <c r="J406" i="151"/>
  <c r="J407" i="151"/>
  <c r="J408" i="151"/>
  <c r="J409" i="151"/>
  <c r="J410" i="151"/>
  <c r="J411" i="151"/>
  <c r="J412" i="151"/>
  <c r="J413" i="151"/>
  <c r="J414" i="151"/>
  <c r="J415" i="151"/>
  <c r="J416" i="151"/>
  <c r="J417" i="151"/>
  <c r="J418" i="151"/>
  <c r="J419" i="151"/>
  <c r="J420" i="151"/>
  <c r="J421" i="151"/>
  <c r="J422" i="151"/>
  <c r="J423" i="151"/>
  <c r="J424" i="151"/>
  <c r="J425" i="151"/>
  <c r="J426" i="151"/>
  <c r="J427" i="151"/>
  <c r="J428" i="151"/>
  <c r="J429" i="151"/>
  <c r="J430" i="151"/>
  <c r="J431" i="151"/>
  <c r="J432" i="151"/>
  <c r="J433" i="151"/>
  <c r="J434" i="151"/>
  <c r="J435" i="151"/>
  <c r="J436" i="151"/>
  <c r="J437" i="151"/>
  <c r="J438" i="151"/>
  <c r="J439" i="151"/>
  <c r="J440" i="151"/>
  <c r="J441" i="151"/>
  <c r="J442" i="151"/>
  <c r="J443" i="151"/>
  <c r="J444" i="151"/>
  <c r="J445" i="151"/>
  <c r="J446" i="151"/>
  <c r="J447" i="151"/>
  <c r="J448" i="151"/>
  <c r="J449" i="151"/>
  <c r="J450" i="151"/>
  <c r="J451" i="151"/>
  <c r="J452" i="151"/>
  <c r="J453" i="151"/>
  <c r="J454" i="151"/>
  <c r="J455" i="151"/>
  <c r="J456" i="151"/>
  <c r="J457" i="151"/>
  <c r="J458" i="151"/>
  <c r="J459" i="151"/>
  <c r="J460" i="151"/>
  <c r="J461" i="151"/>
  <c r="J462" i="151"/>
  <c r="J463" i="151"/>
  <c r="J464" i="151"/>
  <c r="J465" i="151"/>
  <c r="J466" i="151"/>
  <c r="J467" i="151"/>
  <c r="J468" i="151"/>
  <c r="J469" i="151"/>
  <c r="J470" i="151"/>
  <c r="J471" i="151"/>
  <c r="J472" i="151"/>
  <c r="J473" i="151"/>
  <c r="J474" i="151"/>
  <c r="J475" i="151"/>
  <c r="J476" i="151"/>
  <c r="J477" i="151"/>
  <c r="J478" i="151"/>
  <c r="J479" i="151"/>
  <c r="J480" i="151"/>
  <c r="J481" i="151"/>
  <c r="J482" i="151"/>
  <c r="J483" i="151"/>
  <c r="J484" i="151"/>
  <c r="J485" i="151"/>
  <c r="J486" i="151"/>
  <c r="J487" i="151"/>
  <c r="J488" i="151"/>
  <c r="J489" i="151"/>
  <c r="J490" i="151"/>
  <c r="J491" i="151"/>
  <c r="J492" i="151"/>
  <c r="J493" i="151"/>
  <c r="J494" i="151"/>
  <c r="J495" i="151"/>
  <c r="J496" i="151"/>
  <c r="J497" i="151"/>
  <c r="J498" i="151"/>
  <c r="J499" i="151"/>
  <c r="J500" i="151"/>
  <c r="J501" i="151"/>
  <c r="J502" i="151"/>
  <c r="J503" i="151"/>
  <c r="J504" i="151"/>
  <c r="J505" i="151"/>
  <c r="J506" i="151"/>
  <c r="J507" i="151"/>
  <c r="J508" i="151"/>
  <c r="J509" i="151"/>
  <c r="J510" i="151"/>
  <c r="J511" i="151"/>
  <c r="J512" i="151"/>
  <c r="J513" i="151"/>
  <c r="J514" i="151"/>
  <c r="J515" i="151"/>
  <c r="J516" i="151"/>
  <c r="J517" i="151"/>
  <c r="J518" i="151"/>
  <c r="J519" i="151"/>
  <c r="J520" i="151"/>
  <c r="J521" i="151"/>
  <c r="J522" i="151"/>
  <c r="J523" i="151"/>
  <c r="J524" i="151"/>
  <c r="J525" i="151"/>
  <c r="J526" i="151"/>
  <c r="J527" i="151"/>
  <c r="J528" i="151"/>
  <c r="J529" i="151"/>
  <c r="J530" i="151"/>
  <c r="J531" i="151"/>
  <c r="J532" i="151"/>
  <c r="J533" i="151"/>
  <c r="J534" i="151"/>
  <c r="J535" i="151"/>
  <c r="J536" i="151"/>
  <c r="K3" i="151"/>
  <c r="K4" i="151"/>
  <c r="K5" i="151"/>
  <c r="K6" i="151"/>
  <c r="K7" i="151"/>
  <c r="K8" i="151"/>
  <c r="K9" i="151"/>
  <c r="K10" i="151"/>
  <c r="K11" i="151"/>
  <c r="K12" i="151"/>
  <c r="K13" i="151"/>
  <c r="K14" i="151"/>
  <c r="K15" i="151"/>
  <c r="K16" i="151"/>
  <c r="K17" i="151"/>
  <c r="K18" i="151"/>
  <c r="K19" i="151"/>
  <c r="K20" i="151"/>
  <c r="K21" i="151"/>
  <c r="K22" i="151"/>
  <c r="K23" i="151"/>
  <c r="K24" i="151"/>
  <c r="K25" i="151"/>
  <c r="K26" i="151"/>
  <c r="K27" i="151"/>
  <c r="K28" i="151"/>
  <c r="K29" i="151"/>
  <c r="K30" i="151"/>
  <c r="K31" i="151"/>
  <c r="K32" i="151"/>
  <c r="K33" i="151"/>
  <c r="K34" i="151"/>
  <c r="K35" i="151"/>
  <c r="K36" i="151"/>
  <c r="K37" i="151"/>
  <c r="K38" i="151"/>
  <c r="K39" i="151"/>
  <c r="K40" i="151"/>
  <c r="K41" i="151"/>
  <c r="K42" i="151"/>
  <c r="K43" i="151"/>
  <c r="K44" i="151"/>
  <c r="K45" i="151"/>
  <c r="K46" i="151"/>
  <c r="K47" i="151"/>
  <c r="K48" i="151"/>
  <c r="K49" i="151"/>
  <c r="K50" i="151"/>
  <c r="K51" i="151"/>
  <c r="K52" i="151"/>
  <c r="K53" i="151"/>
  <c r="K54" i="151"/>
  <c r="K55" i="151"/>
  <c r="K56" i="151"/>
  <c r="K57" i="151"/>
  <c r="K58" i="151"/>
  <c r="K59" i="151"/>
  <c r="K60" i="151"/>
  <c r="K61" i="151"/>
  <c r="K62" i="151"/>
  <c r="K63" i="151"/>
  <c r="K64" i="151"/>
  <c r="K65" i="151"/>
  <c r="K66" i="151"/>
  <c r="K67" i="151"/>
  <c r="K68" i="151"/>
  <c r="K69" i="151"/>
  <c r="K70" i="151"/>
  <c r="K71" i="151"/>
  <c r="K72" i="151"/>
  <c r="K73" i="151"/>
  <c r="K74" i="151"/>
  <c r="K75" i="151"/>
  <c r="K76" i="151"/>
  <c r="K77" i="151"/>
  <c r="K78" i="151"/>
  <c r="K79" i="151"/>
  <c r="K80" i="151"/>
  <c r="K81" i="151"/>
  <c r="K82" i="151"/>
  <c r="K83" i="151"/>
  <c r="K84" i="151"/>
  <c r="K85" i="151"/>
  <c r="K86" i="151"/>
  <c r="K87" i="151"/>
  <c r="K88" i="151"/>
  <c r="K89" i="151"/>
  <c r="K90" i="151"/>
  <c r="K91" i="151"/>
  <c r="K92" i="151"/>
  <c r="K93" i="151"/>
  <c r="K94" i="151"/>
  <c r="K95" i="151"/>
  <c r="K96" i="151"/>
  <c r="K97" i="151"/>
  <c r="K98" i="151"/>
  <c r="K99" i="151"/>
  <c r="K100" i="151"/>
  <c r="K101" i="151"/>
  <c r="K102" i="151"/>
  <c r="K103" i="151"/>
  <c r="K104" i="151"/>
  <c r="K105" i="151"/>
  <c r="K106" i="151"/>
  <c r="K107" i="151"/>
  <c r="K108" i="151"/>
  <c r="K109" i="151"/>
  <c r="K110" i="151"/>
  <c r="K111" i="151"/>
  <c r="K112" i="151"/>
  <c r="K113" i="151"/>
  <c r="K114" i="151"/>
  <c r="K115" i="151"/>
  <c r="K116" i="151"/>
  <c r="K117" i="151"/>
  <c r="K118" i="151"/>
  <c r="K119" i="151"/>
  <c r="K120" i="151"/>
  <c r="K121" i="151"/>
  <c r="K122" i="151"/>
  <c r="K123" i="151"/>
  <c r="K124" i="151"/>
  <c r="K125" i="151"/>
  <c r="K126" i="151"/>
  <c r="K127" i="151"/>
  <c r="K128" i="151"/>
  <c r="K129" i="151"/>
  <c r="K130" i="151"/>
  <c r="K131" i="151"/>
  <c r="K132" i="151"/>
  <c r="K133" i="151"/>
  <c r="K134" i="151"/>
  <c r="K135" i="151"/>
  <c r="K136" i="151"/>
  <c r="K137" i="151"/>
  <c r="K138" i="151"/>
  <c r="K139" i="151"/>
  <c r="K140" i="151"/>
  <c r="K141" i="151"/>
  <c r="K142" i="151"/>
  <c r="K143" i="151"/>
  <c r="K144" i="151"/>
  <c r="K145" i="151"/>
  <c r="K146" i="151"/>
  <c r="K147" i="151"/>
  <c r="K148" i="151"/>
  <c r="K149" i="151"/>
  <c r="K150" i="151"/>
  <c r="K151" i="151"/>
  <c r="K152" i="151"/>
  <c r="K153" i="151"/>
  <c r="K154" i="151"/>
  <c r="K155" i="151"/>
  <c r="K156" i="151"/>
  <c r="K157" i="151"/>
  <c r="K158" i="151"/>
  <c r="K159" i="151"/>
  <c r="K160" i="151"/>
  <c r="K161" i="151"/>
  <c r="K162" i="151"/>
  <c r="K163" i="151"/>
  <c r="K164" i="151"/>
  <c r="K165" i="151"/>
  <c r="K166" i="151"/>
  <c r="K167" i="151"/>
  <c r="K168" i="151"/>
  <c r="K169" i="151"/>
  <c r="K170" i="151"/>
  <c r="K171" i="151"/>
  <c r="K172" i="151"/>
  <c r="K173" i="151"/>
  <c r="K174" i="151"/>
  <c r="K175" i="151"/>
  <c r="K176" i="151"/>
  <c r="K177" i="151"/>
  <c r="K178" i="151"/>
  <c r="K179" i="151"/>
  <c r="K180" i="151"/>
  <c r="K181" i="151"/>
  <c r="K182" i="151"/>
  <c r="K183" i="151"/>
  <c r="K184" i="151"/>
  <c r="K185" i="151"/>
  <c r="K186" i="151"/>
  <c r="K187" i="151"/>
  <c r="K188" i="151"/>
  <c r="K189" i="151"/>
  <c r="K190" i="151"/>
  <c r="K191" i="151"/>
  <c r="K192" i="151"/>
  <c r="K193" i="151"/>
  <c r="K194" i="151"/>
  <c r="K195" i="151"/>
  <c r="K196" i="151"/>
  <c r="K197" i="151"/>
  <c r="K198" i="151"/>
  <c r="K199" i="151"/>
  <c r="K200" i="151"/>
  <c r="K201" i="151"/>
  <c r="K202" i="151"/>
  <c r="K203" i="151"/>
  <c r="K204" i="151"/>
  <c r="K205" i="151"/>
  <c r="K206" i="151"/>
  <c r="K207" i="151"/>
  <c r="K208" i="151"/>
  <c r="K209" i="151"/>
  <c r="K210" i="151"/>
  <c r="K211" i="151"/>
  <c r="K212" i="151"/>
  <c r="K213" i="151"/>
  <c r="K214" i="151"/>
  <c r="K215" i="151"/>
  <c r="K216" i="151"/>
  <c r="K217" i="151"/>
  <c r="K218" i="151"/>
  <c r="K219" i="151"/>
  <c r="K220" i="151"/>
  <c r="K221" i="151"/>
  <c r="K222" i="151"/>
  <c r="K223" i="151"/>
  <c r="K224" i="151"/>
  <c r="K225" i="151"/>
  <c r="K226" i="151"/>
  <c r="K227" i="151"/>
  <c r="K228" i="151"/>
  <c r="K229" i="151"/>
  <c r="K230" i="151"/>
  <c r="K231" i="151"/>
  <c r="K232" i="151"/>
  <c r="K233" i="151"/>
  <c r="K234" i="151"/>
  <c r="K235" i="151"/>
  <c r="K236" i="151"/>
  <c r="K237" i="151"/>
  <c r="K238" i="151"/>
  <c r="K239" i="151"/>
  <c r="K240" i="151"/>
  <c r="K241" i="151"/>
  <c r="K242" i="151"/>
  <c r="K243" i="151"/>
  <c r="K244" i="151"/>
  <c r="K245" i="151"/>
  <c r="K246" i="151"/>
  <c r="K247" i="151"/>
  <c r="K248" i="151"/>
  <c r="K249" i="151"/>
  <c r="K250" i="151"/>
  <c r="K251" i="151"/>
  <c r="K252" i="151"/>
  <c r="K253" i="151"/>
  <c r="K254" i="151"/>
  <c r="K255" i="151"/>
  <c r="K256" i="151"/>
  <c r="K257" i="151"/>
  <c r="K258" i="151"/>
  <c r="K259" i="151"/>
  <c r="K260" i="151"/>
  <c r="K261" i="151"/>
  <c r="K262" i="151"/>
  <c r="K263" i="151"/>
  <c r="K264" i="151"/>
  <c r="K265" i="151"/>
  <c r="K266" i="151"/>
  <c r="K267" i="151"/>
  <c r="K268" i="151"/>
  <c r="K269" i="151"/>
  <c r="K270" i="151"/>
  <c r="K271" i="151"/>
  <c r="K272" i="151"/>
  <c r="K273" i="151"/>
  <c r="K274" i="151"/>
  <c r="K275" i="151"/>
  <c r="K276" i="151"/>
  <c r="K277" i="151"/>
  <c r="K278" i="151"/>
  <c r="K279" i="151"/>
  <c r="K280" i="151"/>
  <c r="K281" i="151"/>
  <c r="K282" i="151"/>
  <c r="K283" i="151"/>
  <c r="K284" i="151"/>
  <c r="K285" i="151"/>
  <c r="K286" i="151"/>
  <c r="K287" i="151"/>
  <c r="K288" i="151"/>
  <c r="K289" i="151"/>
  <c r="K290" i="151"/>
  <c r="K291" i="151"/>
  <c r="K292" i="151"/>
  <c r="K293" i="151"/>
  <c r="K294" i="151"/>
  <c r="K295" i="151"/>
  <c r="K296" i="151"/>
  <c r="K297" i="151"/>
  <c r="K298" i="151"/>
  <c r="K299" i="151"/>
  <c r="K300" i="151"/>
  <c r="K301" i="151"/>
  <c r="K302" i="151"/>
  <c r="K303" i="151"/>
  <c r="K304" i="151"/>
  <c r="K305" i="151"/>
  <c r="K306" i="151"/>
  <c r="K307" i="151"/>
  <c r="K308" i="151"/>
  <c r="K309" i="151"/>
  <c r="K310" i="151"/>
  <c r="K311" i="151"/>
  <c r="K312" i="151"/>
  <c r="K313" i="151"/>
  <c r="K314" i="151"/>
  <c r="K315" i="151"/>
  <c r="K316" i="151"/>
  <c r="K317" i="151"/>
  <c r="K318" i="151"/>
  <c r="K319" i="151"/>
  <c r="K320" i="151"/>
  <c r="K321" i="151"/>
  <c r="K322" i="151"/>
  <c r="K323" i="151"/>
  <c r="K324" i="151"/>
  <c r="K325" i="151"/>
  <c r="K326" i="151"/>
  <c r="K327" i="151"/>
  <c r="K328" i="151"/>
  <c r="K329" i="151"/>
  <c r="K330" i="151"/>
  <c r="K331" i="151"/>
  <c r="K332" i="151"/>
  <c r="K333" i="151"/>
  <c r="K334" i="151"/>
  <c r="K335" i="151"/>
  <c r="K336" i="151"/>
  <c r="K337" i="151"/>
  <c r="K338" i="151"/>
  <c r="K339" i="151"/>
  <c r="K340" i="151"/>
  <c r="K341" i="151"/>
  <c r="K342" i="151"/>
  <c r="K343" i="151"/>
  <c r="K344" i="151"/>
  <c r="K345" i="151"/>
  <c r="K346" i="151"/>
  <c r="K347" i="151"/>
  <c r="K348" i="151"/>
  <c r="K349" i="151"/>
  <c r="K350" i="151"/>
  <c r="K351" i="151"/>
  <c r="K352" i="151"/>
  <c r="K353" i="151"/>
  <c r="K354" i="151"/>
  <c r="K355" i="151"/>
  <c r="K356" i="151"/>
  <c r="K357" i="151"/>
  <c r="K358" i="151"/>
  <c r="K359" i="151"/>
  <c r="K360" i="151"/>
  <c r="K361" i="151"/>
  <c r="K362" i="151"/>
  <c r="K363" i="151"/>
  <c r="K364" i="151"/>
  <c r="K365" i="151"/>
  <c r="K366" i="151"/>
  <c r="K367" i="151"/>
  <c r="K368" i="151"/>
  <c r="K369" i="151"/>
  <c r="K370" i="151"/>
  <c r="K371" i="151"/>
  <c r="K372" i="151"/>
  <c r="K373" i="151"/>
  <c r="K374" i="151"/>
  <c r="K375" i="151"/>
  <c r="K376" i="151"/>
  <c r="K377" i="151"/>
  <c r="K378" i="151"/>
  <c r="K379" i="151"/>
  <c r="K380" i="151"/>
  <c r="K381" i="151"/>
  <c r="K382" i="151"/>
  <c r="K383" i="151"/>
  <c r="K384" i="151"/>
  <c r="K385" i="151"/>
  <c r="K386" i="151"/>
  <c r="K387" i="151"/>
  <c r="K388" i="151"/>
  <c r="K389" i="151"/>
  <c r="K390" i="151"/>
  <c r="K391" i="151"/>
  <c r="K392" i="151"/>
  <c r="K393" i="151"/>
  <c r="K394" i="151"/>
  <c r="K395" i="151"/>
  <c r="K396" i="151"/>
  <c r="K397" i="151"/>
  <c r="K398" i="151"/>
  <c r="K399" i="151"/>
  <c r="K400" i="151"/>
  <c r="K401" i="151"/>
  <c r="K402" i="151"/>
  <c r="K403" i="151"/>
  <c r="K404" i="151"/>
  <c r="K405" i="151"/>
  <c r="K406" i="151"/>
  <c r="K407" i="151"/>
  <c r="K408" i="151"/>
  <c r="K409" i="151"/>
  <c r="K410" i="151"/>
  <c r="K411" i="151"/>
  <c r="K412" i="151"/>
  <c r="K413" i="151"/>
  <c r="K414" i="151"/>
  <c r="K415" i="151"/>
  <c r="K416" i="151"/>
  <c r="K417" i="151"/>
  <c r="K418" i="151"/>
  <c r="K419" i="151"/>
  <c r="K420" i="151"/>
  <c r="K421" i="151"/>
  <c r="K422" i="151"/>
  <c r="K423" i="151"/>
  <c r="K424" i="151"/>
  <c r="K425" i="151"/>
  <c r="K426" i="151"/>
  <c r="K427" i="151"/>
  <c r="K428" i="151"/>
  <c r="K429" i="151"/>
  <c r="K430" i="151"/>
  <c r="K431" i="151"/>
  <c r="K432" i="151"/>
  <c r="K433" i="151"/>
  <c r="K434" i="151"/>
  <c r="K435" i="151"/>
  <c r="K436" i="151"/>
  <c r="K437" i="151"/>
  <c r="K438" i="151"/>
  <c r="K439" i="151"/>
  <c r="K440" i="151"/>
  <c r="K441" i="151"/>
  <c r="K442" i="151"/>
  <c r="K443" i="151"/>
  <c r="K444" i="151"/>
  <c r="K445" i="151"/>
  <c r="K446" i="151"/>
  <c r="K447" i="151"/>
  <c r="K448" i="151"/>
  <c r="K449" i="151"/>
  <c r="K450" i="151"/>
  <c r="K451" i="151"/>
  <c r="K452" i="151"/>
  <c r="K453" i="151"/>
  <c r="K454" i="151"/>
  <c r="K455" i="151"/>
  <c r="K456" i="151"/>
  <c r="K457" i="151"/>
  <c r="K458" i="151"/>
  <c r="K459" i="151"/>
  <c r="K460" i="151"/>
  <c r="K461" i="151"/>
  <c r="K462" i="151"/>
  <c r="K463" i="151"/>
  <c r="K464" i="151"/>
  <c r="K465" i="151"/>
  <c r="K466" i="151"/>
  <c r="K467" i="151"/>
  <c r="K468" i="151"/>
  <c r="K469" i="151"/>
  <c r="K470" i="151"/>
  <c r="K471" i="151"/>
  <c r="K472" i="151"/>
  <c r="K473" i="151"/>
  <c r="K474" i="151"/>
  <c r="K475" i="151"/>
  <c r="K476" i="151"/>
  <c r="K477" i="151"/>
  <c r="K478" i="151"/>
  <c r="K479" i="151"/>
  <c r="K480" i="151"/>
  <c r="K481" i="151"/>
  <c r="K482" i="151"/>
  <c r="K483" i="151"/>
  <c r="K484" i="151"/>
  <c r="K485" i="151"/>
  <c r="K486" i="151"/>
  <c r="K487" i="151"/>
  <c r="K488" i="151"/>
  <c r="K489" i="151"/>
  <c r="K490" i="151"/>
  <c r="K491" i="151"/>
  <c r="K492" i="151"/>
  <c r="K493" i="151"/>
  <c r="K494" i="151"/>
  <c r="K495" i="151"/>
  <c r="K496" i="151"/>
  <c r="K497" i="151"/>
  <c r="K498" i="151"/>
  <c r="K499" i="151"/>
  <c r="K500" i="151"/>
  <c r="K501" i="151"/>
  <c r="K502" i="151"/>
  <c r="K503" i="151"/>
  <c r="K504" i="151"/>
  <c r="K505" i="151"/>
  <c r="K506" i="151"/>
  <c r="K507" i="151"/>
  <c r="K508" i="151"/>
  <c r="K509" i="151"/>
  <c r="K510" i="151"/>
  <c r="K511" i="151"/>
  <c r="K512" i="151"/>
  <c r="K513" i="151"/>
  <c r="K514" i="151"/>
  <c r="K515" i="151"/>
  <c r="K516" i="151"/>
  <c r="K517" i="151"/>
  <c r="K518" i="151"/>
  <c r="K519" i="151"/>
  <c r="K520" i="151"/>
  <c r="K521" i="151"/>
  <c r="K522" i="151"/>
  <c r="K523" i="151"/>
  <c r="K524" i="151"/>
  <c r="K525" i="151"/>
  <c r="K526" i="151"/>
  <c r="K527" i="151"/>
  <c r="K528" i="151"/>
  <c r="K529" i="151"/>
  <c r="K530" i="151"/>
  <c r="K531" i="151"/>
  <c r="K532" i="151"/>
  <c r="K533" i="151"/>
  <c r="K534" i="151"/>
  <c r="K535" i="151"/>
  <c r="K536" i="151"/>
  <c r="L3" i="151"/>
  <c r="L4" i="151"/>
  <c r="L5" i="151"/>
  <c r="L6" i="151"/>
  <c r="L7" i="151"/>
  <c r="L8" i="151"/>
  <c r="L9" i="151"/>
  <c r="L10" i="151"/>
  <c r="L11" i="151"/>
  <c r="L12" i="151"/>
  <c r="L13" i="151"/>
  <c r="L14" i="151"/>
  <c r="L15" i="151"/>
  <c r="L16" i="151"/>
  <c r="L17" i="151"/>
  <c r="L18" i="151"/>
  <c r="L19" i="151"/>
  <c r="L20" i="151"/>
  <c r="L21" i="151"/>
  <c r="L22" i="151"/>
  <c r="L23" i="151"/>
  <c r="L24" i="151"/>
  <c r="L25" i="151"/>
  <c r="L26" i="151"/>
  <c r="L27" i="151"/>
  <c r="L28" i="151"/>
  <c r="L29" i="151"/>
  <c r="L30" i="151"/>
  <c r="L31" i="151"/>
  <c r="L32" i="151"/>
  <c r="L33" i="151"/>
  <c r="L34" i="151"/>
  <c r="L35" i="151"/>
  <c r="L36" i="151"/>
  <c r="L37" i="151"/>
  <c r="L38" i="151"/>
  <c r="L39" i="151"/>
  <c r="L40" i="151"/>
  <c r="L41" i="151"/>
  <c r="L42" i="151"/>
  <c r="L43" i="151"/>
  <c r="L44" i="151"/>
  <c r="L45" i="151"/>
  <c r="L46" i="151"/>
  <c r="L47" i="151"/>
  <c r="L48" i="151"/>
  <c r="L49" i="151"/>
  <c r="L50" i="151"/>
  <c r="L51" i="151"/>
  <c r="L52" i="151"/>
  <c r="L53" i="151"/>
  <c r="L54" i="151"/>
  <c r="L55" i="151"/>
  <c r="L56" i="151"/>
  <c r="L57" i="151"/>
  <c r="L58" i="151"/>
  <c r="L59" i="151"/>
  <c r="L60" i="151"/>
  <c r="L61" i="151"/>
  <c r="L62" i="151"/>
  <c r="L63" i="151"/>
  <c r="L64" i="151"/>
  <c r="L65" i="151"/>
  <c r="L66" i="151"/>
  <c r="L67" i="151"/>
  <c r="L68" i="151"/>
  <c r="L69" i="151"/>
  <c r="L70" i="151"/>
  <c r="L71" i="151"/>
  <c r="L72" i="151"/>
  <c r="L73" i="151"/>
  <c r="L74" i="151"/>
  <c r="L75" i="151"/>
  <c r="L76" i="151"/>
  <c r="L77" i="151"/>
  <c r="L78" i="151"/>
  <c r="L79" i="151"/>
  <c r="L80" i="151"/>
  <c r="L81" i="151"/>
  <c r="L82" i="151"/>
  <c r="L83" i="151"/>
  <c r="L84" i="151"/>
  <c r="L85" i="151"/>
  <c r="L86" i="151"/>
  <c r="L87" i="151"/>
  <c r="L88" i="151"/>
  <c r="L89" i="151"/>
  <c r="L90" i="151"/>
  <c r="L91" i="151"/>
  <c r="L92" i="151"/>
  <c r="L93" i="151"/>
  <c r="L94" i="151"/>
  <c r="L95" i="151"/>
  <c r="L96" i="151"/>
  <c r="L97" i="151"/>
  <c r="L98" i="151"/>
  <c r="L99" i="151"/>
  <c r="L100" i="151"/>
  <c r="L101" i="151"/>
  <c r="L102" i="151"/>
  <c r="L103" i="151"/>
  <c r="L104" i="151"/>
  <c r="L105" i="151"/>
  <c r="L106" i="151"/>
  <c r="L107" i="151"/>
  <c r="L108" i="151"/>
  <c r="L109" i="151"/>
  <c r="L110" i="151"/>
  <c r="L111" i="151"/>
  <c r="L112" i="151"/>
  <c r="L113" i="151"/>
  <c r="L114" i="151"/>
  <c r="L115" i="151"/>
  <c r="L116" i="151"/>
  <c r="L117" i="151"/>
  <c r="L118" i="151"/>
  <c r="L119" i="151"/>
  <c r="L120" i="151"/>
  <c r="L121" i="151"/>
  <c r="L122" i="151"/>
  <c r="L123" i="151"/>
  <c r="L124" i="151"/>
  <c r="L125" i="151"/>
  <c r="L126" i="151"/>
  <c r="L127" i="151"/>
  <c r="L128" i="151"/>
  <c r="L129" i="151"/>
  <c r="L130" i="151"/>
  <c r="L131" i="151"/>
  <c r="L132" i="151"/>
  <c r="L133" i="151"/>
  <c r="L134" i="151"/>
  <c r="L135" i="151"/>
  <c r="L136" i="151"/>
  <c r="L137" i="151"/>
  <c r="L138" i="151"/>
  <c r="L139" i="151"/>
  <c r="L140" i="151"/>
  <c r="L141" i="151"/>
  <c r="L142" i="151"/>
  <c r="L143" i="151"/>
  <c r="L144" i="151"/>
  <c r="L145" i="151"/>
  <c r="L146" i="151"/>
  <c r="L147" i="151"/>
  <c r="L148" i="151"/>
  <c r="L149" i="151"/>
  <c r="L150" i="151"/>
  <c r="L151" i="151"/>
  <c r="L152" i="151"/>
  <c r="L153" i="151"/>
  <c r="L154" i="151"/>
  <c r="L155" i="151"/>
  <c r="L156" i="151"/>
  <c r="L157" i="151"/>
  <c r="L158" i="151"/>
  <c r="L159" i="151"/>
  <c r="L160" i="151"/>
  <c r="L161" i="151"/>
  <c r="L162" i="151"/>
  <c r="L163" i="151"/>
  <c r="L164" i="151"/>
  <c r="L165" i="151"/>
  <c r="L166" i="151"/>
  <c r="L167" i="151"/>
  <c r="L168" i="151"/>
  <c r="L169" i="151"/>
  <c r="L170" i="151"/>
  <c r="L171" i="151"/>
  <c r="L172" i="151"/>
  <c r="L173" i="151"/>
  <c r="L174" i="151"/>
  <c r="L175" i="151"/>
  <c r="L176" i="151"/>
  <c r="L177" i="151"/>
  <c r="L178" i="151"/>
  <c r="L179" i="151"/>
  <c r="L180" i="151"/>
  <c r="L181" i="151"/>
  <c r="L182" i="151"/>
  <c r="L183" i="151"/>
  <c r="L184" i="151"/>
  <c r="L185" i="151"/>
  <c r="L186" i="151"/>
  <c r="L187" i="151"/>
  <c r="L188" i="151"/>
  <c r="L189" i="151"/>
  <c r="L190" i="151"/>
  <c r="L191" i="151"/>
  <c r="L192" i="151"/>
  <c r="L193" i="151"/>
  <c r="L194" i="151"/>
  <c r="L195" i="151"/>
  <c r="L196" i="151"/>
  <c r="L197" i="151"/>
  <c r="L198" i="151"/>
  <c r="L199" i="151"/>
  <c r="L200" i="151"/>
  <c r="L201" i="151"/>
  <c r="L202" i="151"/>
  <c r="L203" i="151"/>
  <c r="L204" i="151"/>
  <c r="L205" i="151"/>
  <c r="L206" i="151"/>
  <c r="L207" i="151"/>
  <c r="L208" i="151"/>
  <c r="L209" i="151"/>
  <c r="L210" i="151"/>
  <c r="L211" i="151"/>
  <c r="L212" i="151"/>
  <c r="L213" i="151"/>
  <c r="L214" i="151"/>
  <c r="L215" i="151"/>
  <c r="L216" i="151"/>
  <c r="L217" i="151"/>
  <c r="L218" i="151"/>
  <c r="L219" i="151"/>
  <c r="L220" i="151"/>
  <c r="L221" i="151"/>
  <c r="L222" i="151"/>
  <c r="L223" i="151"/>
  <c r="L224" i="151"/>
  <c r="L225" i="151"/>
  <c r="L226" i="151"/>
  <c r="L227" i="151"/>
  <c r="L228" i="151"/>
  <c r="L229" i="151"/>
  <c r="L230" i="151"/>
  <c r="L231" i="151"/>
  <c r="L232" i="151"/>
  <c r="L233" i="151"/>
  <c r="L234" i="151"/>
  <c r="L235" i="151"/>
  <c r="L236" i="151"/>
  <c r="L237" i="151"/>
  <c r="L238" i="151"/>
  <c r="L239" i="151"/>
  <c r="L240" i="151"/>
  <c r="L241" i="151"/>
  <c r="L242" i="151"/>
  <c r="L243" i="151"/>
  <c r="L244" i="151"/>
  <c r="L245" i="151"/>
  <c r="L246" i="151"/>
  <c r="L247" i="151"/>
  <c r="L248" i="151"/>
  <c r="L249" i="151"/>
  <c r="L250" i="151"/>
  <c r="L251" i="151"/>
  <c r="L252" i="151"/>
  <c r="L253" i="151"/>
  <c r="L254" i="151"/>
  <c r="L255" i="151"/>
  <c r="L256" i="151"/>
  <c r="L257" i="151"/>
  <c r="L258" i="151"/>
  <c r="L259" i="151"/>
  <c r="L260" i="151"/>
  <c r="L261" i="151"/>
  <c r="L262" i="151"/>
  <c r="L263" i="151"/>
  <c r="L264" i="151"/>
  <c r="L265" i="151"/>
  <c r="L266" i="151"/>
  <c r="L267" i="151"/>
  <c r="L268" i="151"/>
  <c r="L269" i="151"/>
  <c r="L270" i="151"/>
  <c r="L271" i="151"/>
  <c r="L272" i="151"/>
  <c r="L273" i="151"/>
  <c r="L274" i="151"/>
  <c r="L275" i="151"/>
  <c r="L276" i="151"/>
  <c r="L277" i="151"/>
  <c r="L278" i="151"/>
  <c r="L279" i="151"/>
  <c r="L280" i="151"/>
  <c r="L281" i="151"/>
  <c r="L282" i="151"/>
  <c r="L283" i="151"/>
  <c r="L284" i="151"/>
  <c r="L285" i="151"/>
  <c r="L286" i="151"/>
  <c r="L287" i="151"/>
  <c r="L288" i="151"/>
  <c r="L289" i="151"/>
  <c r="L290" i="151"/>
  <c r="L291" i="151"/>
  <c r="L292" i="151"/>
  <c r="L293" i="151"/>
  <c r="L294" i="151"/>
  <c r="L295" i="151"/>
  <c r="L296" i="151"/>
  <c r="L297" i="151"/>
  <c r="L298" i="151"/>
  <c r="L299" i="151"/>
  <c r="L300" i="151"/>
  <c r="L301" i="151"/>
  <c r="L302" i="151"/>
  <c r="L303" i="151"/>
  <c r="L304" i="151"/>
  <c r="L305" i="151"/>
  <c r="L306" i="151"/>
  <c r="L307" i="151"/>
  <c r="L308" i="151"/>
  <c r="L309" i="151"/>
  <c r="L310" i="151"/>
  <c r="L311" i="151"/>
  <c r="L312" i="151"/>
  <c r="L313" i="151"/>
  <c r="L314" i="151"/>
  <c r="L315" i="151"/>
  <c r="L316" i="151"/>
  <c r="L317" i="151"/>
  <c r="L318" i="151"/>
  <c r="L319" i="151"/>
  <c r="L320" i="151"/>
  <c r="L321" i="151"/>
  <c r="L322" i="151"/>
  <c r="L323" i="151"/>
  <c r="L324" i="151"/>
  <c r="L325" i="151"/>
  <c r="L326" i="151"/>
  <c r="L327" i="151"/>
  <c r="L328" i="151"/>
  <c r="L329" i="151"/>
  <c r="L330" i="151"/>
  <c r="L331" i="151"/>
  <c r="L332" i="151"/>
  <c r="L333" i="151"/>
  <c r="L334" i="151"/>
  <c r="L335" i="151"/>
  <c r="L336" i="151"/>
  <c r="L337" i="151"/>
  <c r="L338" i="151"/>
  <c r="L339" i="151"/>
  <c r="L340" i="151"/>
  <c r="L341" i="151"/>
  <c r="L342" i="151"/>
  <c r="L343" i="151"/>
  <c r="L344" i="151"/>
  <c r="L345" i="151"/>
  <c r="L346" i="151"/>
  <c r="L347" i="151"/>
  <c r="L348" i="151"/>
  <c r="L349" i="151"/>
  <c r="L350" i="151"/>
  <c r="L351" i="151"/>
  <c r="L352" i="151"/>
  <c r="L353" i="151"/>
  <c r="L354" i="151"/>
  <c r="L355" i="151"/>
  <c r="L356" i="151"/>
  <c r="L357" i="151"/>
  <c r="L358" i="151"/>
  <c r="L359" i="151"/>
  <c r="L360" i="151"/>
  <c r="L361" i="151"/>
  <c r="L362" i="151"/>
  <c r="L363" i="151"/>
  <c r="L364" i="151"/>
  <c r="L365" i="151"/>
  <c r="L366" i="151"/>
  <c r="L367" i="151"/>
  <c r="L368" i="151"/>
  <c r="L369" i="151"/>
  <c r="L370" i="151"/>
  <c r="L371" i="151"/>
  <c r="L372" i="151"/>
  <c r="L373" i="151"/>
  <c r="L374" i="151"/>
  <c r="L375" i="151"/>
  <c r="L376" i="151"/>
  <c r="L377" i="151"/>
  <c r="L378" i="151"/>
  <c r="L379" i="151"/>
  <c r="L380" i="151"/>
  <c r="L381" i="151"/>
  <c r="L382" i="151"/>
  <c r="L383" i="151"/>
  <c r="L384" i="151"/>
  <c r="L385" i="151"/>
  <c r="L386" i="151"/>
  <c r="L387" i="151"/>
  <c r="L388" i="151"/>
  <c r="L389" i="151"/>
  <c r="L390" i="151"/>
  <c r="L391" i="151"/>
  <c r="L392" i="151"/>
  <c r="L393" i="151"/>
  <c r="L394" i="151"/>
  <c r="L395" i="151"/>
  <c r="L396" i="151"/>
  <c r="L397" i="151"/>
  <c r="L398" i="151"/>
  <c r="L399" i="151"/>
  <c r="L400" i="151"/>
  <c r="L401" i="151"/>
  <c r="L402" i="151"/>
  <c r="L403" i="151"/>
  <c r="L404" i="151"/>
  <c r="L405" i="151"/>
  <c r="L406" i="151"/>
  <c r="L407" i="151"/>
  <c r="L408" i="151"/>
  <c r="L409" i="151"/>
  <c r="L410" i="151"/>
  <c r="L411" i="151"/>
  <c r="L412" i="151"/>
  <c r="L413" i="151"/>
  <c r="L414" i="151"/>
  <c r="L415" i="151"/>
  <c r="L416" i="151"/>
  <c r="L417" i="151"/>
  <c r="L418" i="151"/>
  <c r="L419" i="151"/>
  <c r="L420" i="151"/>
  <c r="L421" i="151"/>
  <c r="L422" i="151"/>
  <c r="L423" i="151"/>
  <c r="L424" i="151"/>
  <c r="L425" i="151"/>
  <c r="L426" i="151"/>
  <c r="L427" i="151"/>
  <c r="L428" i="151"/>
  <c r="L429" i="151"/>
  <c r="L430" i="151"/>
  <c r="L431" i="151"/>
  <c r="L432" i="151"/>
  <c r="L433" i="151"/>
  <c r="L434" i="151"/>
  <c r="L435" i="151"/>
  <c r="L436" i="151"/>
  <c r="L437" i="151"/>
  <c r="L438" i="151"/>
  <c r="L439" i="151"/>
  <c r="L440" i="151"/>
  <c r="L441" i="151"/>
  <c r="L442" i="151"/>
  <c r="L443" i="151"/>
  <c r="L444" i="151"/>
  <c r="L445" i="151"/>
  <c r="L446" i="151"/>
  <c r="L447" i="151"/>
  <c r="L448" i="151"/>
  <c r="L449" i="151"/>
  <c r="L450" i="151"/>
  <c r="L451" i="151"/>
  <c r="L452" i="151"/>
  <c r="L453" i="151"/>
  <c r="L454" i="151"/>
  <c r="L455" i="151"/>
  <c r="L456" i="151"/>
  <c r="L457" i="151"/>
  <c r="L458" i="151"/>
  <c r="L459" i="151"/>
  <c r="L460" i="151"/>
  <c r="L461" i="151"/>
  <c r="L462" i="151"/>
  <c r="L463" i="151"/>
  <c r="L464" i="151"/>
  <c r="L465" i="151"/>
  <c r="L466" i="151"/>
  <c r="L467" i="151"/>
  <c r="L468" i="151"/>
  <c r="L469" i="151"/>
  <c r="L470" i="151"/>
  <c r="L471" i="151"/>
  <c r="L472" i="151"/>
  <c r="L473" i="151"/>
  <c r="L474" i="151"/>
  <c r="L475" i="151"/>
  <c r="L476" i="151"/>
  <c r="L477" i="151"/>
  <c r="L478" i="151"/>
  <c r="L479" i="151"/>
  <c r="L480" i="151"/>
  <c r="L481" i="151"/>
  <c r="L482" i="151"/>
  <c r="L483" i="151"/>
  <c r="L484" i="151"/>
  <c r="L485" i="151"/>
  <c r="L486" i="151"/>
  <c r="L487" i="151"/>
  <c r="L488" i="151"/>
  <c r="L489" i="151"/>
  <c r="L490" i="151"/>
  <c r="L491" i="151"/>
  <c r="L492" i="151"/>
  <c r="L493" i="151"/>
  <c r="L494" i="151"/>
  <c r="L495" i="151"/>
  <c r="L496" i="151"/>
  <c r="L497" i="151"/>
  <c r="L498" i="151"/>
  <c r="L499" i="151"/>
  <c r="L500" i="151"/>
  <c r="L501" i="151"/>
  <c r="L502" i="151"/>
  <c r="L503" i="151"/>
  <c r="L504" i="151"/>
  <c r="L505" i="151"/>
  <c r="L506" i="151"/>
  <c r="L507" i="151"/>
  <c r="L508" i="151"/>
  <c r="L509" i="151"/>
  <c r="L510" i="151"/>
  <c r="L511" i="151"/>
  <c r="L512" i="151"/>
  <c r="L513" i="151"/>
  <c r="L514" i="151"/>
  <c r="L515" i="151"/>
  <c r="L516" i="151"/>
  <c r="L517" i="151"/>
  <c r="L518" i="151"/>
  <c r="L519" i="151"/>
  <c r="L520" i="151"/>
  <c r="L521" i="151"/>
  <c r="L522" i="151"/>
  <c r="L523" i="151"/>
  <c r="L524" i="151"/>
  <c r="L525" i="151"/>
  <c r="L526" i="151"/>
  <c r="L527" i="151"/>
  <c r="L528" i="151"/>
  <c r="L529" i="151"/>
  <c r="L530" i="151"/>
  <c r="L531" i="151"/>
  <c r="L532" i="151"/>
  <c r="L533" i="151"/>
  <c r="L534" i="151"/>
  <c r="L535" i="151"/>
  <c r="L536" i="151"/>
  <c r="A3" i="40"/>
  <c r="A4" i="40"/>
  <c r="A5" i="40"/>
  <c r="A6" i="40"/>
  <c r="A7" i="40"/>
  <c r="A8" i="40"/>
  <c r="B3" i="40"/>
  <c r="B4" i="40"/>
  <c r="B5" i="40"/>
  <c r="B6" i="40"/>
  <c r="B7" i="40"/>
  <c r="B8" i="40"/>
  <c r="C3" i="40"/>
  <c r="C4" i="40"/>
  <c r="C5" i="40"/>
  <c r="C6" i="40"/>
  <c r="C7" i="40"/>
  <c r="C8" i="40"/>
  <c r="D3" i="40"/>
  <c r="D4" i="40"/>
  <c r="D5" i="40"/>
  <c r="D6" i="40"/>
  <c r="D7" i="40"/>
  <c r="D8" i="40"/>
  <c r="E3" i="40"/>
  <c r="E4" i="40"/>
  <c r="E5" i="40"/>
  <c r="E6" i="40"/>
  <c r="E7" i="40"/>
  <c r="E8" i="40"/>
  <c r="A3" i="41"/>
  <c r="A4" i="41"/>
  <c r="A5" i="41"/>
  <c r="A6" i="41"/>
  <c r="A7" i="41"/>
  <c r="A8" i="41"/>
  <c r="B3" i="41"/>
  <c r="B4" i="41"/>
  <c r="B5" i="41"/>
  <c r="B6" i="41"/>
  <c r="B7" i="41"/>
  <c r="B8" i="41"/>
  <c r="C3" i="41"/>
  <c r="C4" i="41"/>
  <c r="C5" i="41"/>
  <c r="C6" i="41"/>
  <c r="C7" i="41"/>
  <c r="C8" i="41"/>
  <c r="D3" i="41"/>
  <c r="D4" i="41"/>
  <c r="D5" i="41"/>
  <c r="D6" i="41"/>
  <c r="D7" i="41"/>
  <c r="D8" i="41"/>
  <c r="E3" i="41"/>
  <c r="E4" i="41"/>
  <c r="E5" i="41"/>
  <c r="E6" i="41"/>
  <c r="E7" i="41"/>
  <c r="E8" i="41"/>
  <c r="A3" i="46"/>
  <c r="A4" i="46"/>
  <c r="A5" i="46"/>
  <c r="A6" i="46"/>
  <c r="A7" i="46"/>
  <c r="A8" i="46"/>
  <c r="A9" i="46"/>
  <c r="A10" i="46"/>
  <c r="A11" i="46"/>
  <c r="A12" i="46"/>
  <c r="A13" i="46"/>
  <c r="A14" i="46"/>
  <c r="A15" i="46"/>
  <c r="A16" i="46"/>
  <c r="A17" i="46"/>
  <c r="A18" i="46"/>
  <c r="A19" i="46"/>
  <c r="A20" i="46"/>
  <c r="A21" i="46"/>
  <c r="A22" i="46"/>
  <c r="A23" i="46"/>
  <c r="A24" i="46"/>
  <c r="A25" i="46"/>
  <c r="A26" i="46"/>
  <c r="A27" i="46"/>
  <c r="A28" i="46"/>
  <c r="A29" i="46"/>
  <c r="A30" i="46"/>
  <c r="A31" i="46"/>
  <c r="A32" i="46"/>
  <c r="A33" i="46"/>
  <c r="A34" i="46"/>
  <c r="A35" i="46"/>
  <c r="A36" i="46"/>
  <c r="A37" i="46"/>
  <c r="A38" i="46"/>
  <c r="A39" i="46"/>
  <c r="A40" i="46"/>
  <c r="A41" i="46"/>
  <c r="A42" i="46"/>
  <c r="A43" i="46"/>
  <c r="A44" i="46"/>
  <c r="A45" i="46"/>
  <c r="A46" i="46"/>
  <c r="A47" i="46"/>
  <c r="A48" i="46"/>
  <c r="A49" i="46"/>
  <c r="A50" i="46"/>
  <c r="A51" i="46"/>
  <c r="A52" i="46"/>
  <c r="A53" i="46"/>
  <c r="A54" i="46"/>
  <c r="A55" i="46"/>
  <c r="B3" i="46"/>
  <c r="B4" i="46"/>
  <c r="B5" i="46"/>
  <c r="B6" i="46"/>
  <c r="B7" i="46"/>
  <c r="B8" i="46"/>
  <c r="B9" i="46"/>
  <c r="B10" i="46"/>
  <c r="B11" i="46"/>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C3" i="46"/>
  <c r="C4" i="46"/>
  <c r="C5" i="46"/>
  <c r="C6" i="46"/>
  <c r="C7" i="46"/>
  <c r="C8" i="46"/>
  <c r="C9" i="46"/>
  <c r="C10" i="46"/>
  <c r="C11" i="46"/>
  <c r="C12" i="46"/>
  <c r="C13" i="46"/>
  <c r="C14" i="46"/>
  <c r="C15" i="46"/>
  <c r="C16" i="46"/>
  <c r="C17" i="46"/>
  <c r="C18" i="46"/>
  <c r="C19" i="46"/>
  <c r="C20" i="46"/>
  <c r="C21" i="46"/>
  <c r="C22" i="46"/>
  <c r="C23" i="46"/>
  <c r="C24" i="46"/>
  <c r="C25" i="46"/>
  <c r="C26" i="46"/>
  <c r="C27" i="46"/>
  <c r="C28" i="46"/>
  <c r="C29" i="46"/>
  <c r="C30" i="46"/>
  <c r="C31" i="46"/>
  <c r="C32" i="46"/>
  <c r="C33" i="46"/>
  <c r="C34" i="46"/>
  <c r="C35" i="46"/>
  <c r="C36" i="46"/>
  <c r="C37" i="46"/>
  <c r="C38" i="46"/>
  <c r="C39" i="46"/>
  <c r="C40" i="46"/>
  <c r="C41" i="46"/>
  <c r="C42" i="46"/>
  <c r="C43" i="46"/>
  <c r="C44" i="46"/>
  <c r="C45" i="46"/>
  <c r="C46" i="46"/>
  <c r="C47" i="46"/>
  <c r="C48" i="46"/>
  <c r="C49" i="46"/>
  <c r="C50" i="46"/>
  <c r="C51" i="46"/>
  <c r="C52" i="46"/>
  <c r="C53" i="46"/>
  <c r="C54" i="46"/>
  <c r="C5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A3" i="47"/>
  <c r="A4" i="47"/>
  <c r="A5" i="47"/>
  <c r="A6" i="47"/>
  <c r="A7" i="47"/>
  <c r="A8" i="47"/>
  <c r="B3" i="47"/>
  <c r="B4" i="47"/>
  <c r="B5" i="47"/>
  <c r="B6" i="47"/>
  <c r="B7" i="47"/>
  <c r="B8" i="47"/>
  <c r="C3" i="47"/>
  <c r="C4" i="47"/>
  <c r="C5" i="47"/>
  <c r="C6" i="47"/>
  <c r="C7" i="47"/>
  <c r="C8" i="47"/>
  <c r="D3" i="47"/>
  <c r="D4" i="47"/>
  <c r="D5" i="47"/>
  <c r="D6" i="47"/>
  <c r="D7" i="47"/>
  <c r="D8" i="47"/>
  <c r="E3" i="47"/>
  <c r="E4" i="47"/>
  <c r="E5" i="47"/>
  <c r="E6" i="47"/>
  <c r="E7" i="47"/>
  <c r="E8" i="47"/>
  <c r="A3" i="92"/>
  <c r="A4" i="92"/>
  <c r="A5" i="92"/>
  <c r="A6" i="92"/>
  <c r="A7" i="92"/>
  <c r="A8" i="92"/>
  <c r="A9" i="92"/>
  <c r="A10" i="92"/>
  <c r="B3" i="92"/>
  <c r="B4" i="92"/>
  <c r="B5" i="92"/>
  <c r="B6" i="92"/>
  <c r="B7" i="92"/>
  <c r="B8" i="92"/>
  <c r="B9" i="92"/>
  <c r="B10" i="92"/>
  <c r="C3" i="92"/>
  <c r="C4" i="92"/>
  <c r="C5" i="92"/>
  <c r="C6" i="92"/>
  <c r="C7" i="92"/>
  <c r="C8" i="92"/>
  <c r="C9" i="92"/>
  <c r="C10" i="92"/>
  <c r="D3" i="92"/>
  <c r="D4" i="92"/>
  <c r="D5" i="92"/>
  <c r="D6" i="92"/>
  <c r="D7" i="92"/>
  <c r="D8" i="92"/>
  <c r="D9" i="92"/>
  <c r="D10" i="92"/>
  <c r="E3" i="92"/>
  <c r="E4" i="92"/>
  <c r="E5" i="92"/>
  <c r="E6" i="92"/>
  <c r="E7" i="92"/>
  <c r="E8" i="92"/>
  <c r="E9" i="92"/>
  <c r="E10" i="92"/>
  <c r="A3" i="45"/>
  <c r="A4" i="45"/>
  <c r="A5" i="45"/>
  <c r="A6" i="45"/>
  <c r="A7" i="45"/>
  <c r="A8" i="45"/>
  <c r="A9" i="45"/>
  <c r="A10" i="45"/>
  <c r="A11" i="45"/>
  <c r="A12" i="45"/>
  <c r="A13" i="45"/>
  <c r="B3" i="45"/>
  <c r="B4" i="45"/>
  <c r="B5" i="45"/>
  <c r="B6" i="45"/>
  <c r="B7" i="45"/>
  <c r="B8" i="45"/>
  <c r="B9" i="45"/>
  <c r="B10" i="45"/>
  <c r="B11" i="45"/>
  <c r="B12" i="45"/>
  <c r="B13" i="45"/>
  <c r="C3" i="45"/>
  <c r="C4" i="45"/>
  <c r="C5" i="45"/>
  <c r="C6" i="45"/>
  <c r="C7" i="45"/>
  <c r="C8" i="45"/>
  <c r="C9" i="45"/>
  <c r="C10" i="45"/>
  <c r="C11" i="45"/>
  <c r="C12" i="45"/>
  <c r="C13" i="45"/>
  <c r="D3" i="45"/>
  <c r="D4" i="45"/>
  <c r="D5" i="45"/>
  <c r="D6" i="45"/>
  <c r="D7" i="45"/>
  <c r="D8" i="45"/>
  <c r="D9" i="45"/>
  <c r="D10" i="45"/>
  <c r="D11" i="45"/>
  <c r="D12" i="45"/>
  <c r="D13" i="45"/>
  <c r="E3" i="45"/>
  <c r="E4" i="45"/>
  <c r="E5" i="45"/>
  <c r="E6" i="45"/>
  <c r="E7" i="45"/>
  <c r="E8" i="45"/>
  <c r="E9" i="45"/>
  <c r="E10" i="45"/>
  <c r="E11" i="45"/>
  <c r="E12" i="45"/>
  <c r="E13" i="45"/>
  <c r="G60" i="122" a="1"/>
  <c r="G62" i="122" a="1"/>
  <c r="G63" i="122" a="1"/>
  <c r="G61" i="122" a="1"/>
  <c r="G64" i="122" a="1"/>
  <c r="F8" i="92" l="1"/>
  <c r="N99" i="59"/>
  <c r="F3" i="92"/>
  <c r="N18" i="59"/>
  <c r="N60" i="59"/>
  <c r="N75" i="59"/>
  <c r="N102" i="59"/>
  <c r="N84" i="59"/>
  <c r="N95" i="59"/>
  <c r="N76" i="59"/>
  <c r="F4" i="92"/>
  <c r="N67" i="59"/>
  <c r="N78" i="59"/>
  <c r="N92" i="59"/>
  <c r="N79" i="59"/>
  <c r="F6" i="92"/>
  <c r="N100" i="59"/>
  <c r="N77" i="59"/>
  <c r="F10" i="92"/>
  <c r="F55" i="46"/>
  <c r="F31" i="46"/>
  <c r="F23" i="46"/>
  <c r="F15" i="46"/>
  <c r="F52" i="46"/>
  <c r="F44" i="46"/>
  <c r="F36" i="46"/>
  <c r="F28" i="46"/>
  <c r="F20" i="46"/>
  <c r="F12" i="46"/>
  <c r="F4" i="46"/>
  <c r="F8" i="47"/>
  <c r="F3" i="45"/>
  <c r="F5" i="92"/>
  <c r="F5" i="47"/>
  <c r="F13" i="45"/>
  <c r="F27" i="46"/>
  <c r="M523" i="151"/>
  <c r="M419" i="151"/>
  <c r="M401" i="151"/>
  <c r="M305" i="151"/>
  <c r="M177" i="151"/>
  <c r="M397" i="151"/>
  <c r="M395" i="151"/>
  <c r="M209" i="151"/>
  <c r="M201" i="151"/>
  <c r="F43" i="46"/>
  <c r="M507" i="151"/>
  <c r="F7" i="40"/>
  <c r="F9" i="92"/>
  <c r="F11" i="46"/>
  <c r="F4" i="40"/>
  <c r="M451" i="151"/>
  <c r="F3" i="40"/>
  <c r="F11" i="42"/>
  <c r="B62" i="122"/>
  <c r="M306" i="151"/>
  <c r="M525" i="151"/>
  <c r="M461" i="151"/>
  <c r="M349" i="151"/>
  <c r="M269" i="151"/>
  <c r="M173" i="151"/>
  <c r="M29" i="151"/>
  <c r="M515" i="151"/>
  <c r="M267" i="151"/>
  <c r="M75" i="151"/>
  <c r="M329" i="151"/>
  <c r="M249" i="151"/>
  <c r="M169" i="151"/>
  <c r="M533" i="151"/>
  <c r="M405" i="151"/>
  <c r="M341" i="151"/>
  <c r="M301" i="151"/>
  <c r="M181" i="151"/>
  <c r="M125" i="151"/>
  <c r="M219" i="151"/>
  <c r="M59" i="151"/>
  <c r="M273" i="151"/>
  <c r="M153" i="151"/>
  <c r="M33" i="151"/>
  <c r="M452" i="151"/>
  <c r="M416" i="151"/>
  <c r="M413" i="151"/>
  <c r="M365" i="151"/>
  <c r="M285" i="151"/>
  <c r="M237" i="151"/>
  <c r="M109" i="151"/>
  <c r="M361" i="151"/>
  <c r="M241" i="151"/>
  <c r="M25" i="151"/>
  <c r="M277" i="151"/>
  <c r="M245" i="151"/>
  <c r="M251" i="151"/>
  <c r="M51" i="151"/>
  <c r="M185" i="151"/>
  <c r="M89" i="151"/>
  <c r="F5" i="40"/>
  <c r="M469" i="151"/>
  <c r="M429" i="151"/>
  <c r="M373" i="151"/>
  <c r="M309" i="151"/>
  <c r="M213" i="151"/>
  <c r="M443" i="151"/>
  <c r="M355" i="151"/>
  <c r="M521" i="151"/>
  <c r="M369" i="151"/>
  <c r="M121" i="151"/>
  <c r="M81" i="151"/>
  <c r="F49" i="46"/>
  <c r="F41" i="46"/>
  <c r="F33" i="46"/>
  <c r="F25" i="46"/>
  <c r="F17" i="46"/>
  <c r="F9" i="46"/>
  <c r="M459" i="151"/>
  <c r="M411" i="151"/>
  <c r="M387" i="151"/>
  <c r="M379" i="151"/>
  <c r="M347" i="151"/>
  <c r="M131" i="151"/>
  <c r="M115" i="151"/>
  <c r="M19" i="151"/>
  <c r="M489" i="151"/>
  <c r="M465" i="151"/>
  <c r="M441" i="151"/>
  <c r="M393" i="151"/>
  <c r="M337" i="151"/>
  <c r="M313" i="151"/>
  <c r="M297" i="151"/>
  <c r="F11" i="45"/>
  <c r="F47" i="46"/>
  <c r="F39" i="46"/>
  <c r="F6" i="47"/>
  <c r="M66" i="151"/>
  <c r="M510" i="151"/>
  <c r="B63" i="122"/>
  <c r="M483" i="151"/>
  <c r="M475" i="151"/>
  <c r="M331" i="151"/>
  <c r="M323" i="151"/>
  <c r="M315" i="151"/>
  <c r="M291" i="151"/>
  <c r="M283" i="151"/>
  <c r="M259" i="151"/>
  <c r="M227" i="151"/>
  <c r="M203" i="151"/>
  <c r="M195" i="151"/>
  <c r="M187" i="151"/>
  <c r="M163" i="151"/>
  <c r="M147" i="151"/>
  <c r="M99" i="151"/>
  <c r="M91" i="151"/>
  <c r="M67" i="151"/>
  <c r="M43" i="151"/>
  <c r="M529" i="151"/>
  <c r="M505" i="151"/>
  <c r="M497" i="151"/>
  <c r="M457" i="151"/>
  <c r="M433" i="151"/>
  <c r="M425" i="151"/>
  <c r="M377" i="151"/>
  <c r="M265" i="151"/>
  <c r="M233" i="151"/>
  <c r="M137" i="151"/>
  <c r="M105" i="151"/>
  <c r="M437" i="151"/>
  <c r="M333" i="151"/>
  <c r="F7" i="47"/>
  <c r="F54" i="46"/>
  <c r="F46" i="46"/>
  <c r="F38" i="46"/>
  <c r="F30" i="46"/>
  <c r="F22" i="46"/>
  <c r="F14" i="46"/>
  <c r="F6" i="46"/>
  <c r="F51" i="46"/>
  <c r="F35" i="46"/>
  <c r="F19" i="46"/>
  <c r="F8" i="40"/>
  <c r="F6" i="40"/>
  <c r="F4" i="41"/>
  <c r="F3" i="47"/>
  <c r="F9" i="45"/>
  <c r="F12" i="45"/>
  <c r="F4" i="45"/>
  <c r="F7" i="45"/>
  <c r="F10" i="45"/>
  <c r="F5" i="41"/>
  <c r="F3" i="41"/>
  <c r="M221" i="151"/>
  <c r="M205" i="151"/>
  <c r="M157" i="151"/>
  <c r="M141" i="151"/>
  <c r="F6" i="42"/>
  <c r="M384" i="151"/>
  <c r="M486" i="151"/>
  <c r="M222" i="151"/>
  <c r="M38" i="151"/>
  <c r="M524" i="151"/>
  <c r="M124" i="151"/>
  <c r="M506" i="151"/>
  <c r="M450" i="151"/>
  <c r="M194" i="151"/>
  <c r="F3" i="42"/>
  <c r="F5" i="42"/>
  <c r="B61" i="122"/>
  <c r="M288" i="151"/>
  <c r="M256" i="151"/>
  <c r="M438" i="151"/>
  <c r="M422" i="151"/>
  <c r="M158" i="151"/>
  <c r="M142" i="151"/>
  <c r="M86" i="151"/>
  <c r="M516" i="151"/>
  <c r="M404" i="151"/>
  <c r="M434" i="151"/>
  <c r="M322" i="151"/>
  <c r="M178" i="151"/>
  <c r="M106" i="151"/>
  <c r="F8" i="45"/>
  <c r="F3" i="46"/>
  <c r="F48" i="46"/>
  <c r="F40" i="46"/>
  <c r="F32" i="46"/>
  <c r="F24" i="46"/>
  <c r="F16" i="46"/>
  <c r="F8" i="46"/>
  <c r="F53" i="46"/>
  <c r="F45" i="46"/>
  <c r="F37" i="46"/>
  <c r="F29" i="46"/>
  <c r="F21" i="46"/>
  <c r="F13" i="46"/>
  <c r="F5" i="46"/>
  <c r="B64" i="122"/>
  <c r="D5" i="91"/>
  <c r="G60" i="122"/>
  <c r="G61" i="122"/>
  <c r="G62" i="122"/>
  <c r="G63" i="122"/>
  <c r="G64" i="122"/>
  <c r="F8" i="42"/>
  <c r="F9" i="42"/>
  <c r="I5" i="52"/>
  <c r="F10" i="42"/>
  <c r="F12" i="42"/>
  <c r="F4" i="42"/>
  <c r="F7" i="42"/>
  <c r="F4" i="93"/>
  <c r="F3" i="93"/>
  <c r="M480" i="151"/>
  <c r="M432" i="151"/>
  <c r="M360" i="151"/>
  <c r="M296" i="151"/>
  <c r="M232" i="151"/>
  <c r="M176" i="151"/>
  <c r="M406" i="151"/>
  <c r="M310" i="151"/>
  <c r="M254" i="151"/>
  <c r="M190" i="151"/>
  <c r="M94" i="151"/>
  <c r="M46" i="151"/>
  <c r="M532" i="151"/>
  <c r="M276" i="151"/>
  <c r="M212" i="151"/>
  <c r="M92" i="151"/>
  <c r="M370" i="151"/>
  <c r="M258" i="151"/>
  <c r="M210" i="151"/>
  <c r="M138" i="151"/>
  <c r="M114" i="151"/>
  <c r="M264" i="151"/>
  <c r="M192" i="151"/>
  <c r="M16" i="151"/>
  <c r="M414" i="151"/>
  <c r="M374" i="151"/>
  <c r="M286" i="151"/>
  <c r="M230" i="151"/>
  <c r="M54" i="151"/>
  <c r="M460" i="151"/>
  <c r="M324" i="151"/>
  <c r="M116" i="151"/>
  <c r="M498" i="151"/>
  <c r="M386" i="151"/>
  <c r="M496" i="151"/>
  <c r="M320" i="151"/>
  <c r="M200" i="151"/>
  <c r="M478" i="151"/>
  <c r="M350" i="151"/>
  <c r="M294" i="151"/>
  <c r="M214" i="151"/>
  <c r="M126" i="151"/>
  <c r="M78" i="151"/>
  <c r="M396" i="151"/>
  <c r="M332" i="151"/>
  <c r="M196" i="151"/>
  <c r="M250" i="151"/>
  <c r="M146" i="151"/>
  <c r="M520" i="151"/>
  <c r="M456" i="151"/>
  <c r="M352" i="151"/>
  <c r="M304" i="151"/>
  <c r="M240" i="151"/>
  <c r="M502" i="151"/>
  <c r="M446" i="151"/>
  <c r="M382" i="151"/>
  <c r="M318" i="151"/>
  <c r="M246" i="151"/>
  <c r="M182" i="151"/>
  <c r="M134" i="151"/>
  <c r="M62" i="151"/>
  <c r="M388" i="151"/>
  <c r="M268" i="151"/>
  <c r="M148" i="151"/>
  <c r="M68" i="151"/>
  <c r="M314" i="151"/>
  <c r="M218" i="151"/>
  <c r="M122" i="151"/>
  <c r="M74" i="151"/>
  <c r="M50" i="151"/>
  <c r="M34" i="151"/>
  <c r="M10" i="151"/>
  <c r="M488" i="151"/>
  <c r="M424" i="151"/>
  <c r="M368" i="151"/>
  <c r="M534" i="151"/>
  <c r="M470" i="151"/>
  <c r="M342" i="151"/>
  <c r="M166" i="151"/>
  <c r="M110" i="151"/>
  <c r="M468" i="151"/>
  <c r="M204" i="151"/>
  <c r="M514" i="151"/>
  <c r="M378" i="151"/>
  <c r="M242" i="151"/>
  <c r="M186" i="151"/>
  <c r="M154" i="151"/>
  <c r="M82" i="151"/>
  <c r="M512" i="151"/>
  <c r="M448" i="151"/>
  <c r="M392" i="151"/>
  <c r="M328" i="151"/>
  <c r="M224" i="151"/>
  <c r="M168" i="151"/>
  <c r="M358" i="151"/>
  <c r="M278" i="151"/>
  <c r="M102" i="151"/>
  <c r="M340" i="151"/>
  <c r="M260" i="151"/>
  <c r="M156" i="151"/>
  <c r="M442" i="151"/>
  <c r="M15" i="151"/>
  <c r="M7" i="151"/>
  <c r="M501" i="151"/>
  <c r="M493" i="151"/>
  <c r="M477" i="151"/>
  <c r="M202" i="151"/>
  <c r="M170" i="151"/>
  <c r="M162" i="151"/>
  <c r="M130" i="151"/>
  <c r="M98" i="151"/>
  <c r="M90" i="151"/>
  <c r="M58" i="151"/>
  <c r="M42" i="151"/>
  <c r="M26" i="151"/>
  <c r="M18" i="151"/>
  <c r="M536" i="151"/>
  <c r="M528" i="151"/>
  <c r="M504" i="151"/>
  <c r="M472" i="151"/>
  <c r="M464" i="151"/>
  <c r="M440" i="151"/>
  <c r="M408" i="151"/>
  <c r="M400" i="151"/>
  <c r="M376" i="151"/>
  <c r="M344" i="151"/>
  <c r="M336" i="151"/>
  <c r="M312" i="151"/>
  <c r="M280" i="151"/>
  <c r="M272" i="151"/>
  <c r="M248" i="151"/>
  <c r="M216" i="151"/>
  <c r="M208" i="151"/>
  <c r="M184" i="151"/>
  <c r="M160" i="151"/>
  <c r="M152" i="151"/>
  <c r="M144" i="151"/>
  <c r="M136" i="151"/>
  <c r="M128" i="151"/>
  <c r="M120" i="151"/>
  <c r="M112" i="151"/>
  <c r="M104" i="151"/>
  <c r="M96" i="151"/>
  <c r="M88" i="151"/>
  <c r="M80" i="151"/>
  <c r="M72" i="151"/>
  <c r="M64" i="151"/>
  <c r="M56" i="151"/>
  <c r="M48" i="151"/>
  <c r="M40" i="151"/>
  <c r="M32" i="151"/>
  <c r="M24" i="151"/>
  <c r="M8" i="151"/>
  <c r="M526" i="151"/>
  <c r="M518" i="151"/>
  <c r="M494" i="151"/>
  <c r="M462" i="151"/>
  <c r="M454" i="151"/>
  <c r="M430" i="151"/>
  <c r="M398" i="151"/>
  <c r="M390" i="151"/>
  <c r="M366" i="151"/>
  <c r="M334" i="151"/>
  <c r="M326" i="151"/>
  <c r="M302" i="151"/>
  <c r="M270" i="151"/>
  <c r="M262" i="151"/>
  <c r="M238" i="151"/>
  <c r="M206" i="151"/>
  <c r="M198" i="151"/>
  <c r="M174" i="151"/>
  <c r="M150" i="151"/>
  <c r="M118" i="151"/>
  <c r="M70" i="151"/>
  <c r="M30" i="151"/>
  <c r="M22" i="151"/>
  <c r="M14" i="151"/>
  <c r="M6" i="151"/>
  <c r="M517" i="151"/>
  <c r="M509" i="151"/>
  <c r="M485" i="151"/>
  <c r="M453" i="151"/>
  <c r="M445" i="151"/>
  <c r="M421" i="151"/>
  <c r="M389" i="151"/>
  <c r="M381" i="151"/>
  <c r="M357" i="151"/>
  <c r="M325" i="151"/>
  <c r="M317" i="151"/>
  <c r="M293" i="151"/>
  <c r="M261" i="151"/>
  <c r="M253" i="151"/>
  <c r="M229" i="151"/>
  <c r="M197" i="151"/>
  <c r="M189" i="151"/>
  <c r="M165" i="151"/>
  <c r="M149" i="151"/>
  <c r="M133" i="151"/>
  <c r="M117" i="151"/>
  <c r="M101" i="151"/>
  <c r="M5" i="151"/>
  <c r="M531" i="151"/>
  <c r="M499" i="151"/>
  <c r="M491" i="151"/>
  <c r="M467" i="151"/>
  <c r="M435" i="151"/>
  <c r="M427" i="151"/>
  <c r="M403" i="151"/>
  <c r="M371" i="151"/>
  <c r="M363" i="151"/>
  <c r="M339" i="151"/>
  <c r="M307" i="151"/>
  <c r="M299" i="151"/>
  <c r="M275" i="151"/>
  <c r="M243" i="151"/>
  <c r="M235" i="151"/>
  <c r="M211" i="151"/>
  <c r="M179" i="151"/>
  <c r="M171" i="151"/>
  <c r="M155" i="151"/>
  <c r="M139" i="151"/>
  <c r="M123" i="151"/>
  <c r="M107" i="151"/>
  <c r="M83" i="151"/>
  <c r="M513" i="151"/>
  <c r="M481" i="151"/>
  <c r="M473" i="151"/>
  <c r="M449" i="151"/>
  <c r="M417" i="151"/>
  <c r="M409" i="151"/>
  <c r="M385" i="151"/>
  <c r="M353" i="151"/>
  <c r="M345" i="151"/>
  <c r="M321" i="151"/>
  <c r="M289" i="151"/>
  <c r="M281" i="151"/>
  <c r="M257" i="151"/>
  <c r="M225" i="151"/>
  <c r="M217" i="151"/>
  <c r="M193" i="151"/>
  <c r="M161" i="151"/>
  <c r="M145" i="151"/>
  <c r="M129" i="151"/>
  <c r="M113" i="151"/>
  <c r="M97" i="151"/>
  <c r="M73" i="151"/>
  <c r="M65" i="151"/>
  <c r="M57" i="151"/>
  <c r="M49" i="151"/>
  <c r="M41" i="151"/>
  <c r="M23" i="151"/>
  <c r="M508" i="151"/>
  <c r="M500" i="151"/>
  <c r="M492" i="151"/>
  <c r="M484" i="151"/>
  <c r="M476" i="151"/>
  <c r="M444" i="151"/>
  <c r="M436" i="151"/>
  <c r="M428" i="151"/>
  <c r="M420" i="151"/>
  <c r="M412" i="151"/>
  <c r="M380" i="151"/>
  <c r="M372" i="151"/>
  <c r="M364" i="151"/>
  <c r="M356" i="151"/>
  <c r="M348" i="151"/>
  <c r="M316" i="151"/>
  <c r="M308" i="151"/>
  <c r="M300" i="151"/>
  <c r="M292" i="151"/>
  <c r="M284" i="151"/>
  <c r="M252" i="151"/>
  <c r="M244" i="151"/>
  <c r="M236" i="151"/>
  <c r="M228" i="151"/>
  <c r="M220" i="151"/>
  <c r="M188" i="151"/>
  <c r="M180" i="151"/>
  <c r="M172" i="151"/>
  <c r="M164" i="151"/>
  <c r="M140" i="151"/>
  <c r="M132" i="151"/>
  <c r="M108" i="151"/>
  <c r="M100" i="151"/>
  <c r="M84" i="151"/>
  <c r="M76" i="151"/>
  <c r="M60" i="151"/>
  <c r="M52" i="151"/>
  <c r="M44" i="151"/>
  <c r="M36" i="151"/>
  <c r="M28" i="151"/>
  <c r="M20" i="151"/>
  <c r="M12" i="151"/>
  <c r="M4" i="151"/>
  <c r="M530" i="151"/>
  <c r="M522" i="151"/>
  <c r="M490" i="151"/>
  <c r="M482" i="151"/>
  <c r="M474" i="151"/>
  <c r="M466" i="151"/>
  <c r="M458" i="151"/>
  <c r="M426" i="151"/>
  <c r="M418" i="151"/>
  <c r="M410" i="151"/>
  <c r="M402" i="151"/>
  <c r="M394" i="151"/>
  <c r="M362" i="151"/>
  <c r="M354" i="151"/>
  <c r="M346" i="151"/>
  <c r="M338" i="151"/>
  <c r="M330" i="151"/>
  <c r="M298" i="151"/>
  <c r="M290" i="151"/>
  <c r="M282" i="151"/>
  <c r="M274" i="151"/>
  <c r="M266" i="151"/>
  <c r="M234" i="151"/>
  <c r="M226" i="151"/>
  <c r="M9" i="151"/>
  <c r="M519" i="151"/>
  <c r="M495" i="151"/>
  <c r="M471" i="151"/>
  <c r="M455" i="151"/>
  <c r="M447" i="151"/>
  <c r="M439" i="151"/>
  <c r="M431" i="151"/>
  <c r="M423" i="151"/>
  <c r="M415" i="151"/>
  <c r="M407" i="151"/>
  <c r="M399" i="151"/>
  <c r="M391" i="151"/>
  <c r="M383" i="151"/>
  <c r="M375" i="151"/>
  <c r="M367" i="151"/>
  <c r="M359" i="151"/>
  <c r="M351" i="151"/>
  <c r="M343" i="151"/>
  <c r="M335" i="151"/>
  <c r="M327" i="151"/>
  <c r="M319" i="151"/>
  <c r="M303" i="151"/>
  <c r="M295" i="151"/>
  <c r="M279" i="151"/>
  <c r="M271" i="151"/>
  <c r="M263" i="151"/>
  <c r="M255" i="151"/>
  <c r="M247" i="151"/>
  <c r="M239" i="151"/>
  <c r="M231" i="151"/>
  <c r="M223" i="151"/>
  <c r="M215" i="151"/>
  <c r="M207" i="151"/>
  <c r="M199" i="151"/>
  <c r="M191" i="151"/>
  <c r="M183" i="151"/>
  <c r="M175" i="151"/>
  <c r="M167" i="151"/>
  <c r="M159" i="151"/>
  <c r="M151" i="151"/>
  <c r="M143" i="151"/>
  <c r="M135" i="151"/>
  <c r="M127" i="151"/>
  <c r="M119" i="151"/>
  <c r="M111" i="151"/>
  <c r="M103" i="151"/>
  <c r="M95" i="151"/>
  <c r="M87" i="151"/>
  <c r="M79" i="151"/>
  <c r="M71" i="151"/>
  <c r="M63" i="151"/>
  <c r="M55" i="151"/>
  <c r="M47" i="151"/>
  <c r="M39" i="151"/>
  <c r="M31" i="151"/>
  <c r="M93" i="151"/>
  <c r="M85" i="151"/>
  <c r="M77" i="151"/>
  <c r="M69" i="151"/>
  <c r="M61" i="151"/>
  <c r="M53" i="151"/>
  <c r="M45" i="151"/>
  <c r="M37" i="151"/>
  <c r="M21" i="151"/>
  <c r="M13" i="151"/>
  <c r="M27" i="151"/>
  <c r="M11" i="151"/>
  <c r="M535" i="151"/>
  <c r="M511" i="151"/>
  <c r="M487" i="151"/>
  <c r="M463" i="151"/>
  <c r="M287" i="151"/>
  <c r="M35" i="151"/>
  <c r="M3" i="151"/>
  <c r="M17" i="151"/>
  <c r="M527" i="151"/>
  <c r="M503" i="151"/>
  <c r="M479" i="151"/>
  <c r="M311" i="151"/>
  <c r="F6" i="41"/>
  <c r="F8" i="41"/>
  <c r="F7" i="41"/>
  <c r="F10" i="46"/>
  <c r="F50" i="46"/>
  <c r="F42" i="46"/>
  <c r="F34" i="46"/>
  <c r="F26" i="46"/>
  <c r="F18" i="46"/>
  <c r="F7" i="46"/>
  <c r="F4" i="47"/>
  <c r="F7" i="92"/>
  <c r="F6" i="45"/>
  <c r="F5" i="45"/>
  <c r="A2" i="69"/>
  <c r="B2" i="119"/>
  <c r="B3" i="119"/>
  <c r="J52" i="72" a="1"/>
  <c r="C55" i="72" l="1"/>
  <c r="C57" i="72"/>
  <c r="C32" i="72"/>
  <c r="C49" i="72"/>
  <c r="C5" i="72"/>
  <c r="C54" i="72"/>
  <c r="C4" i="72"/>
  <c r="C19" i="72"/>
  <c r="C33" i="72"/>
  <c r="C30" i="72"/>
  <c r="C66" i="72"/>
  <c r="C70" i="72"/>
  <c r="C3" i="72"/>
  <c r="C20" i="72"/>
  <c r="C69" i="72"/>
  <c r="C63" i="72"/>
  <c r="C13" i="72"/>
  <c r="C56" i="72"/>
  <c r="C42" i="72"/>
  <c r="C25" i="72"/>
  <c r="C82" i="72"/>
  <c r="C35" i="72"/>
  <c r="C15" i="72"/>
  <c r="C44" i="72"/>
  <c r="B402" i="69"/>
  <c r="B359" i="69"/>
  <c r="B384" i="69"/>
  <c r="B372" i="69"/>
  <c r="B382" i="69"/>
  <c r="B355" i="69"/>
  <c r="B338" i="69"/>
  <c r="B321" i="69"/>
  <c r="B350" i="69"/>
  <c r="B312" i="69"/>
  <c r="B315" i="69"/>
  <c r="B341" i="69"/>
  <c r="C75" i="119"/>
  <c r="C99" i="119"/>
  <c r="C79" i="72"/>
  <c r="B401" i="69"/>
  <c r="B352" i="69"/>
  <c r="B380" i="69"/>
  <c r="B390" i="69"/>
  <c r="B370" i="69"/>
  <c r="B330" i="69"/>
  <c r="B313" i="69"/>
  <c r="B303" i="69"/>
  <c r="B320" i="69"/>
  <c r="B323" i="69"/>
  <c r="B309" i="69"/>
  <c r="C59" i="72"/>
  <c r="C36" i="72"/>
  <c r="C50" i="72"/>
  <c r="C76" i="119"/>
  <c r="B392" i="69"/>
  <c r="B389" i="69"/>
  <c r="B388" i="69"/>
  <c r="B353" i="69"/>
  <c r="B376" i="69"/>
  <c r="B368" i="69"/>
  <c r="B322" i="69"/>
  <c r="B302" i="69"/>
  <c r="B311" i="69"/>
  <c r="B328" i="69"/>
  <c r="B331" i="69"/>
  <c r="C21" i="72"/>
  <c r="C62" i="72"/>
  <c r="C74" i="119"/>
  <c r="C37" i="72"/>
  <c r="C26" i="72"/>
  <c r="B399" i="69"/>
  <c r="B400" i="69"/>
  <c r="B381" i="69"/>
  <c r="B396" i="69"/>
  <c r="B361" i="69"/>
  <c r="B395" i="69"/>
  <c r="B340" i="69"/>
  <c r="B314" i="69"/>
  <c r="B333" i="69"/>
  <c r="B310" i="69"/>
  <c r="B319" i="69"/>
  <c r="B336" i="69"/>
  <c r="B339" i="69"/>
  <c r="B349" i="69"/>
  <c r="C11" i="72"/>
  <c r="C40" i="72"/>
  <c r="C45" i="72"/>
  <c r="C24" i="72"/>
  <c r="C77" i="72"/>
  <c r="C27" i="72"/>
  <c r="B398" i="69"/>
  <c r="B391" i="69"/>
  <c r="B373" i="69"/>
  <c r="B357" i="69"/>
  <c r="B369" i="69"/>
  <c r="B387" i="69"/>
  <c r="B346" i="69"/>
  <c r="B306" i="69"/>
  <c r="B301" i="69"/>
  <c r="B318" i="69"/>
  <c r="B327" i="69"/>
  <c r="B344" i="69"/>
  <c r="B347" i="69"/>
  <c r="B317" i="69"/>
  <c r="B348" i="69"/>
  <c r="C78" i="72"/>
  <c r="C16" i="72"/>
  <c r="B308" i="69"/>
  <c r="B383" i="69"/>
  <c r="B365" i="69"/>
  <c r="B358" i="69"/>
  <c r="B377" i="69"/>
  <c r="B378" i="69"/>
  <c r="B379" i="69"/>
  <c r="B345" i="69"/>
  <c r="B326" i="69"/>
  <c r="B335" i="69"/>
  <c r="B305" i="69"/>
  <c r="B332" i="69"/>
  <c r="B316" i="69"/>
  <c r="C51" i="72"/>
  <c r="C60" i="72"/>
  <c r="C53" i="72"/>
  <c r="C81" i="72"/>
  <c r="C68" i="72"/>
  <c r="C83" i="72"/>
  <c r="B360" i="69"/>
  <c r="B375" i="69"/>
  <c r="B386" i="69"/>
  <c r="B356" i="69"/>
  <c r="B366" i="69"/>
  <c r="B385" i="69"/>
  <c r="B371" i="69"/>
  <c r="B394" i="69"/>
  <c r="B337" i="69"/>
  <c r="B334" i="69"/>
  <c r="B343" i="69"/>
  <c r="B299" i="69"/>
  <c r="B300" i="69"/>
  <c r="B325" i="69"/>
  <c r="B324" i="69"/>
  <c r="C28" i="72"/>
  <c r="C73" i="72"/>
  <c r="C39" i="72"/>
  <c r="C77" i="119"/>
  <c r="C12" i="72"/>
  <c r="B397" i="69"/>
  <c r="B367" i="69"/>
  <c r="B354" i="69"/>
  <c r="B364" i="69"/>
  <c r="B374" i="69"/>
  <c r="B393" i="69"/>
  <c r="B363" i="69"/>
  <c r="B362" i="69"/>
  <c r="B329" i="69"/>
  <c r="B342" i="69"/>
  <c r="B351" i="69"/>
  <c r="B307" i="69"/>
  <c r="B304" i="69"/>
  <c r="H74" i="119"/>
  <c r="H82" i="119"/>
  <c r="P82" i="119" s="1"/>
  <c r="H90" i="119"/>
  <c r="P90" i="119" s="1"/>
  <c r="H98" i="119"/>
  <c r="P98" i="119" s="1"/>
  <c r="H75" i="119"/>
  <c r="H83" i="119"/>
  <c r="P83" i="119" s="1"/>
  <c r="H91" i="119"/>
  <c r="P91" i="119" s="1"/>
  <c r="H99" i="119"/>
  <c r="H96" i="119"/>
  <c r="P96" i="119" s="1"/>
  <c r="H89" i="119"/>
  <c r="P89" i="119" s="1"/>
  <c r="H97" i="119"/>
  <c r="P97" i="119" s="1"/>
  <c r="H88" i="119"/>
  <c r="P88" i="119" s="1"/>
  <c r="H78" i="119"/>
  <c r="P78" i="119" s="1"/>
  <c r="H86" i="119"/>
  <c r="P86" i="119" s="1"/>
  <c r="H94" i="119"/>
  <c r="P94" i="119" s="1"/>
  <c r="H80" i="119"/>
  <c r="P80" i="119" s="1"/>
  <c r="H79" i="119"/>
  <c r="P79" i="119" s="1"/>
  <c r="H87" i="119"/>
  <c r="P87" i="119" s="1"/>
  <c r="H95" i="119"/>
  <c r="P95" i="119" s="1"/>
  <c r="H81" i="119"/>
  <c r="P81" i="119" s="1"/>
  <c r="H93" i="119"/>
  <c r="P93" i="119" s="1"/>
  <c r="H92" i="119"/>
  <c r="P92" i="119" s="1"/>
  <c r="H77" i="119"/>
  <c r="H85" i="119"/>
  <c r="P85" i="119" s="1"/>
  <c r="H100" i="119"/>
  <c r="P100" i="119" s="1"/>
  <c r="H84" i="119"/>
  <c r="P84" i="119" s="1"/>
  <c r="H76" i="119"/>
  <c r="H101" i="119"/>
  <c r="P101" i="119" s="1"/>
  <c r="H4" i="119"/>
  <c r="P4" i="119" s="1"/>
  <c r="H12" i="119"/>
  <c r="P12" i="119" s="1"/>
  <c r="H20" i="119"/>
  <c r="P20" i="119" s="1"/>
  <c r="H28" i="119"/>
  <c r="P28" i="119" s="1"/>
  <c r="H36" i="119"/>
  <c r="P36" i="119" s="1"/>
  <c r="H44" i="119"/>
  <c r="P44" i="119" s="1"/>
  <c r="H52" i="119"/>
  <c r="P52" i="119" s="1"/>
  <c r="H60" i="119"/>
  <c r="P60" i="119" s="1"/>
  <c r="H68" i="119"/>
  <c r="P68" i="119" s="1"/>
  <c r="H15" i="119"/>
  <c r="P15" i="119" s="1"/>
  <c r="H31" i="119"/>
  <c r="P31" i="119" s="1"/>
  <c r="H55" i="119"/>
  <c r="P55" i="119" s="1"/>
  <c r="H14" i="119"/>
  <c r="P14" i="119" s="1"/>
  <c r="H30" i="119"/>
  <c r="P30" i="119" s="1"/>
  <c r="H46" i="119"/>
  <c r="P46" i="119" s="1"/>
  <c r="H62" i="119"/>
  <c r="P62" i="119" s="1"/>
  <c r="H70" i="119"/>
  <c r="P70" i="119" s="1"/>
  <c r="H7" i="119"/>
  <c r="P7" i="119" s="1"/>
  <c r="H39" i="119"/>
  <c r="P39" i="119" s="1"/>
  <c r="H63" i="119"/>
  <c r="P63" i="119" s="1"/>
  <c r="H6" i="119"/>
  <c r="P6" i="119" s="1"/>
  <c r="H22" i="119"/>
  <c r="P22" i="119" s="1"/>
  <c r="H38" i="119"/>
  <c r="P38" i="119" s="1"/>
  <c r="H54" i="119"/>
  <c r="P54" i="119" s="1"/>
  <c r="H23" i="119"/>
  <c r="P23" i="119" s="1"/>
  <c r="H47" i="119"/>
  <c r="P47" i="119" s="1"/>
  <c r="H71" i="119"/>
  <c r="P71" i="119" s="1"/>
  <c r="H8" i="119"/>
  <c r="P8" i="119" s="1"/>
  <c r="H16" i="119"/>
  <c r="P16" i="119" s="1"/>
  <c r="H24" i="119"/>
  <c r="P24" i="119" s="1"/>
  <c r="H32" i="119"/>
  <c r="P32" i="119" s="1"/>
  <c r="H40" i="119"/>
  <c r="P40" i="119" s="1"/>
  <c r="H48" i="119"/>
  <c r="P48" i="119" s="1"/>
  <c r="H56" i="119"/>
  <c r="P56" i="119" s="1"/>
  <c r="H64" i="119"/>
  <c r="P64" i="119" s="1"/>
  <c r="H72" i="119"/>
  <c r="P72" i="119" s="1"/>
  <c r="H10" i="119"/>
  <c r="P10" i="119" s="1"/>
  <c r="H18" i="119"/>
  <c r="P18" i="119" s="1"/>
  <c r="H26" i="119"/>
  <c r="P26" i="119" s="1"/>
  <c r="H34" i="119"/>
  <c r="P34" i="119" s="1"/>
  <c r="H42" i="119"/>
  <c r="P42" i="119" s="1"/>
  <c r="H50" i="119"/>
  <c r="P50" i="119" s="1"/>
  <c r="H58" i="119"/>
  <c r="P58" i="119" s="1"/>
  <c r="H66" i="119"/>
  <c r="P66" i="119" s="1"/>
  <c r="H35" i="119"/>
  <c r="P35" i="119" s="1"/>
  <c r="H43" i="119"/>
  <c r="P43" i="119" s="1"/>
  <c r="H59" i="119"/>
  <c r="P59" i="119" s="1"/>
  <c r="H27" i="119"/>
  <c r="P27" i="119" s="1"/>
  <c r="H51" i="119"/>
  <c r="P51" i="119" s="1"/>
  <c r="H67" i="119"/>
  <c r="P67" i="119" s="1"/>
  <c r="H11" i="119"/>
  <c r="P11" i="119" s="1"/>
  <c r="H19" i="119"/>
  <c r="P19" i="119" s="1"/>
  <c r="H25" i="119"/>
  <c r="P25" i="119" s="1"/>
  <c r="H69" i="119"/>
  <c r="P69" i="119" s="1"/>
  <c r="H21" i="119"/>
  <c r="P21" i="119" s="1"/>
  <c r="H29" i="119"/>
  <c r="P29" i="119" s="1"/>
  <c r="H37" i="119"/>
  <c r="P37" i="119" s="1"/>
  <c r="H53" i="119"/>
  <c r="P53" i="119" s="1"/>
  <c r="H73" i="119"/>
  <c r="P73" i="119" s="1"/>
  <c r="H13" i="119"/>
  <c r="P13" i="119" s="1"/>
  <c r="H49" i="119"/>
  <c r="P49" i="119" s="1"/>
  <c r="H45" i="119"/>
  <c r="P45" i="119" s="1"/>
  <c r="H61" i="119"/>
  <c r="P61" i="119" s="1"/>
  <c r="H9" i="119"/>
  <c r="P9" i="119" s="1"/>
  <c r="H65" i="119"/>
  <c r="P65" i="119" s="1"/>
  <c r="H5" i="119"/>
  <c r="P5" i="119" s="1"/>
  <c r="H57" i="119"/>
  <c r="P57" i="119" s="1"/>
  <c r="H41" i="119"/>
  <c r="P41" i="119" s="1"/>
  <c r="H33" i="119"/>
  <c r="P33" i="119" s="1"/>
  <c r="H17" i="119"/>
  <c r="P17" i="119" s="1"/>
  <c r="B277" i="69"/>
  <c r="B286" i="69"/>
  <c r="B295" i="69"/>
  <c r="B278" i="69"/>
  <c r="B287" i="69"/>
  <c r="B296" i="69"/>
  <c r="B119" i="69"/>
  <c r="B127" i="69"/>
  <c r="B135" i="69"/>
  <c r="B143" i="69"/>
  <c r="B151" i="69"/>
  <c r="B159" i="69"/>
  <c r="B167" i="69"/>
  <c r="B175" i="69"/>
  <c r="B183" i="69"/>
  <c r="B191" i="69"/>
  <c r="B199" i="69"/>
  <c r="B207" i="69"/>
  <c r="B215" i="69"/>
  <c r="B223" i="69"/>
  <c r="B231" i="69"/>
  <c r="B239" i="69"/>
  <c r="B247" i="69"/>
  <c r="B255" i="69"/>
  <c r="B263" i="69"/>
  <c r="B271" i="69"/>
  <c r="B279" i="69"/>
  <c r="B288" i="69"/>
  <c r="B298" i="69"/>
  <c r="B120" i="69"/>
  <c r="B128" i="69"/>
  <c r="B136" i="69"/>
  <c r="B144" i="69"/>
  <c r="B152" i="69"/>
  <c r="B160" i="69"/>
  <c r="B168" i="69"/>
  <c r="B176" i="69"/>
  <c r="B184" i="69"/>
  <c r="B192" i="69"/>
  <c r="B200" i="69"/>
  <c r="B208" i="69"/>
  <c r="B216" i="69"/>
  <c r="B224" i="69"/>
  <c r="B232" i="69"/>
  <c r="B240" i="69"/>
  <c r="B248" i="69"/>
  <c r="B256" i="69"/>
  <c r="B264" i="69"/>
  <c r="B272" i="69"/>
  <c r="B280" i="69"/>
  <c r="B290" i="69"/>
  <c r="B292" i="69"/>
  <c r="B284" i="69"/>
  <c r="B293" i="69"/>
  <c r="B124" i="69"/>
  <c r="B132" i="69"/>
  <c r="B140" i="69"/>
  <c r="B148" i="69"/>
  <c r="B156" i="69"/>
  <c r="B164" i="69"/>
  <c r="B172" i="69"/>
  <c r="B180" i="69"/>
  <c r="B188" i="69"/>
  <c r="B196" i="69"/>
  <c r="B204" i="69"/>
  <c r="B212" i="69"/>
  <c r="B220" i="69"/>
  <c r="B228" i="69"/>
  <c r="B236" i="69"/>
  <c r="B244" i="69"/>
  <c r="B252" i="69"/>
  <c r="B260" i="69"/>
  <c r="B268" i="69"/>
  <c r="B285" i="69"/>
  <c r="B147" i="69"/>
  <c r="B179" i="69"/>
  <c r="B211" i="69"/>
  <c r="B243" i="69"/>
  <c r="B275" i="69"/>
  <c r="B294" i="69"/>
  <c r="B149" i="69"/>
  <c r="B181" i="69"/>
  <c r="B213" i="69"/>
  <c r="B245" i="69"/>
  <c r="B123" i="69"/>
  <c r="B155" i="69"/>
  <c r="B187" i="69"/>
  <c r="B219" i="69"/>
  <c r="B251" i="69"/>
  <c r="B197" i="69"/>
  <c r="B125" i="69"/>
  <c r="B157" i="69"/>
  <c r="B189" i="69"/>
  <c r="B221" i="69"/>
  <c r="B253" i="69"/>
  <c r="B229" i="69"/>
  <c r="B131" i="69"/>
  <c r="B163" i="69"/>
  <c r="B195" i="69"/>
  <c r="B227" i="69"/>
  <c r="B259" i="69"/>
  <c r="B165" i="69"/>
  <c r="B261" i="69"/>
  <c r="B139" i="69"/>
  <c r="B171" i="69"/>
  <c r="B203" i="69"/>
  <c r="B235" i="69"/>
  <c r="B267" i="69"/>
  <c r="B276" i="69"/>
  <c r="B141" i="69"/>
  <c r="B173" i="69"/>
  <c r="B205" i="69"/>
  <c r="B237" i="69"/>
  <c r="B269" i="69"/>
  <c r="B133" i="69"/>
  <c r="B257" i="69"/>
  <c r="B193" i="69"/>
  <c r="B129" i="69"/>
  <c r="B262" i="69"/>
  <c r="B198" i="69"/>
  <c r="B134" i="69"/>
  <c r="B226" i="69"/>
  <c r="B162" i="69"/>
  <c r="B270" i="69"/>
  <c r="B281" i="69"/>
  <c r="B249" i="69"/>
  <c r="B185" i="69"/>
  <c r="B121" i="69"/>
  <c r="B254" i="69"/>
  <c r="B190" i="69"/>
  <c r="B126" i="69"/>
  <c r="B218" i="69"/>
  <c r="B154" i="69"/>
  <c r="B265" i="69"/>
  <c r="B234" i="69"/>
  <c r="B241" i="69"/>
  <c r="B177" i="69"/>
  <c r="B291" i="69"/>
  <c r="B246" i="69"/>
  <c r="B182" i="69"/>
  <c r="B118" i="69"/>
  <c r="B274" i="69"/>
  <c r="B210" i="69"/>
  <c r="B146" i="69"/>
  <c r="B142" i="69"/>
  <c r="B233" i="69"/>
  <c r="B169" i="69"/>
  <c r="B283" i="69"/>
  <c r="B238" i="69"/>
  <c r="B174" i="69"/>
  <c r="B266" i="69"/>
  <c r="B202" i="69"/>
  <c r="B138" i="69"/>
  <c r="B201" i="69"/>
  <c r="B225" i="69"/>
  <c r="B161" i="69"/>
  <c r="B230" i="69"/>
  <c r="B166" i="69"/>
  <c r="B258" i="69"/>
  <c r="B194" i="69"/>
  <c r="B130" i="69"/>
  <c r="B273" i="69"/>
  <c r="B145" i="69"/>
  <c r="B150" i="69"/>
  <c r="B137" i="69"/>
  <c r="B217" i="69"/>
  <c r="B153" i="69"/>
  <c r="B282" i="69"/>
  <c r="B222" i="69"/>
  <c r="B158" i="69"/>
  <c r="B250" i="69"/>
  <c r="B186" i="69"/>
  <c r="B122" i="69"/>
  <c r="B297" i="69"/>
  <c r="B209" i="69"/>
  <c r="B214" i="69"/>
  <c r="B242" i="69"/>
  <c r="B178" i="69"/>
  <c r="B289" i="69"/>
  <c r="B206" i="69"/>
  <c r="B170" i="69"/>
  <c r="B8" i="69"/>
  <c r="B16" i="69"/>
  <c r="B24" i="69"/>
  <c r="B32" i="69"/>
  <c r="B40" i="69"/>
  <c r="B48" i="69"/>
  <c r="B56" i="69"/>
  <c r="B64" i="69"/>
  <c r="B72" i="69"/>
  <c r="B80" i="69"/>
  <c r="B88" i="69"/>
  <c r="B96" i="69"/>
  <c r="B104" i="69"/>
  <c r="B112" i="69"/>
  <c r="B3" i="69"/>
  <c r="B11" i="69"/>
  <c r="B19" i="69"/>
  <c r="B27" i="69"/>
  <c r="B35" i="69"/>
  <c r="B43" i="69"/>
  <c r="B51" i="69"/>
  <c r="B59" i="69"/>
  <c r="B67" i="69"/>
  <c r="B75" i="69"/>
  <c r="B83" i="69"/>
  <c r="B91" i="69"/>
  <c r="B99" i="69"/>
  <c r="B107" i="69"/>
  <c r="B115" i="69"/>
  <c r="B4" i="69"/>
  <c r="B12" i="69"/>
  <c r="B20" i="69"/>
  <c r="B28" i="69"/>
  <c r="B36" i="69"/>
  <c r="B44" i="69"/>
  <c r="B52" i="69"/>
  <c r="B60" i="69"/>
  <c r="B68" i="69"/>
  <c r="B76" i="69"/>
  <c r="B84" i="69"/>
  <c r="B92" i="69"/>
  <c r="B100" i="69"/>
  <c r="B108" i="69"/>
  <c r="B116" i="69"/>
  <c r="B5" i="69"/>
  <c r="B13" i="69"/>
  <c r="B21" i="69"/>
  <c r="B29" i="69"/>
  <c r="B37" i="69"/>
  <c r="B45" i="69"/>
  <c r="B53" i="69"/>
  <c r="B61" i="69"/>
  <c r="B69" i="69"/>
  <c r="B77" i="69"/>
  <c r="B85" i="69"/>
  <c r="B93" i="69"/>
  <c r="B101" i="69"/>
  <c r="B109" i="69"/>
  <c r="B117" i="69"/>
  <c r="B23" i="69"/>
  <c r="B55" i="69"/>
  <c r="B87" i="69"/>
  <c r="B30" i="69"/>
  <c r="B62" i="69"/>
  <c r="B94" i="69"/>
  <c r="B31" i="69"/>
  <c r="B63" i="69"/>
  <c r="B95" i="69"/>
  <c r="B6" i="69"/>
  <c r="B38" i="69"/>
  <c r="B70" i="69"/>
  <c r="B102" i="69"/>
  <c r="B7" i="69"/>
  <c r="B39" i="69"/>
  <c r="B71" i="69"/>
  <c r="B103" i="69"/>
  <c r="B14" i="69"/>
  <c r="B46" i="69"/>
  <c r="B78" i="69"/>
  <c r="B110" i="69"/>
  <c r="B15" i="69"/>
  <c r="B47" i="69"/>
  <c r="B79" i="69"/>
  <c r="B111" i="69"/>
  <c r="B22" i="69"/>
  <c r="B54" i="69"/>
  <c r="B86" i="69"/>
  <c r="B58" i="69"/>
  <c r="B105" i="69"/>
  <c r="B41" i="69"/>
  <c r="B114" i="69"/>
  <c r="B50" i="69"/>
  <c r="B97" i="69"/>
  <c r="B33" i="69"/>
  <c r="B106" i="69"/>
  <c r="B42" i="69"/>
  <c r="B89" i="69"/>
  <c r="B25" i="69"/>
  <c r="B74" i="69"/>
  <c r="B57" i="69"/>
  <c r="B98" i="69"/>
  <c r="B34" i="69"/>
  <c r="B81" i="69"/>
  <c r="B17" i="69"/>
  <c r="B90" i="69"/>
  <c r="B26" i="69"/>
  <c r="B73" i="69"/>
  <c r="B9" i="69"/>
  <c r="B66" i="69"/>
  <c r="B113" i="69"/>
  <c r="B49" i="69"/>
  <c r="B82" i="69"/>
  <c r="B18" i="69"/>
  <c r="B65" i="69"/>
  <c r="B10" i="69"/>
  <c r="J52" i="72"/>
  <c r="H2" i="74"/>
  <c r="E2" i="54" a="1"/>
  <c r="E2" i="54" s="1"/>
  <c r="A2" i="117"/>
  <c r="A3" i="117"/>
  <c r="Z2" i="136"/>
  <c r="Z3" i="136"/>
  <c r="Z4" i="136"/>
  <c r="Z5" i="136"/>
  <c r="Z6" i="136"/>
  <c r="Z7" i="136"/>
  <c r="Z8" i="136"/>
  <c r="Z9" i="136"/>
  <c r="Z10" i="136"/>
  <c r="Z11" i="136"/>
  <c r="Z12" i="136"/>
  <c r="Z13" i="136"/>
  <c r="Z14" i="136"/>
  <c r="Z15" i="136"/>
  <c r="Z16" i="136"/>
  <c r="Z17" i="136"/>
  <c r="Z18" i="136"/>
  <c r="Z19" i="136"/>
  <c r="Z20" i="136"/>
  <c r="Z21" i="136"/>
  <c r="Z22" i="136"/>
  <c r="Z23" i="136"/>
  <c r="Z24" i="136"/>
  <c r="Z25" i="136"/>
  <c r="Z26" i="136"/>
  <c r="Z27" i="136"/>
  <c r="Z28" i="136"/>
  <c r="Z29" i="136"/>
  <c r="Z30" i="136"/>
  <c r="Z31" i="136"/>
  <c r="Z32" i="136"/>
  <c r="Z33" i="136"/>
  <c r="Z35" i="136"/>
  <c r="Z36" i="136"/>
  <c r="Z37" i="136"/>
  <c r="Z38" i="136"/>
  <c r="Z39" i="136"/>
  <c r="Z40" i="136"/>
  <c r="Z41" i="136"/>
  <c r="Z42" i="136"/>
  <c r="Z43" i="136"/>
  <c r="Z44" i="136"/>
  <c r="Z45" i="136"/>
  <c r="Z47" i="136"/>
  <c r="Z48" i="136"/>
  <c r="Z49" i="136"/>
  <c r="Z50" i="136"/>
  <c r="Z51" i="136"/>
  <c r="Z52" i="136"/>
  <c r="Z53" i="136"/>
  <c r="Z54" i="136"/>
  <c r="Z55" i="136"/>
  <c r="Z56" i="136"/>
  <c r="Z57" i="136"/>
  <c r="Z58" i="136"/>
  <c r="Z59" i="136"/>
  <c r="Z60" i="136"/>
  <c r="Z61" i="136"/>
  <c r="Z62" i="136"/>
  <c r="Z63" i="136"/>
  <c r="Z64" i="136"/>
  <c r="Z65" i="136"/>
  <c r="Z66" i="136"/>
  <c r="Z67" i="136"/>
  <c r="Z68" i="136"/>
  <c r="Z69" i="136"/>
  <c r="Z70" i="136"/>
  <c r="Z71" i="136"/>
  <c r="Z72" i="136"/>
  <c r="Z73" i="136"/>
  <c r="Z74" i="136"/>
  <c r="Z75" i="136"/>
  <c r="Z76" i="136"/>
  <c r="Z77" i="136"/>
  <c r="Z78" i="136"/>
  <c r="Z79" i="136"/>
  <c r="Z80" i="136"/>
  <c r="Z81" i="136"/>
  <c r="Z82" i="136"/>
  <c r="Z84" i="136"/>
  <c r="Z85" i="136"/>
  <c r="Z86" i="136"/>
  <c r="Z87" i="136"/>
  <c r="Z88" i="136"/>
  <c r="Z89" i="136"/>
  <c r="Z90" i="136"/>
  <c r="Z91" i="136"/>
  <c r="Z92" i="136"/>
  <c r="Z93" i="136"/>
  <c r="Z94" i="136"/>
  <c r="Z96" i="136"/>
  <c r="I2" i="73"/>
  <c r="G2" i="70" a="1"/>
  <c r="G2" i="70" s="1"/>
  <c r="D2" i="119"/>
  <c r="V2" i="69"/>
  <c r="F2" i="120" a="1"/>
  <c r="F2" i="120" s="1"/>
  <c r="G3" i="70" a="1"/>
  <c r="G3" i="70" s="1"/>
  <c r="G4" i="70" a="1"/>
  <c r="G4" i="70" s="1"/>
  <c r="G5" i="70" a="1"/>
  <c r="G5" i="70" s="1"/>
  <c r="G6" i="70" a="1"/>
  <c r="G6" i="70" s="1"/>
  <c r="G7" i="70" a="1"/>
  <c r="G7" i="70" s="1"/>
  <c r="G8" i="70" a="1"/>
  <c r="G8" i="70" s="1"/>
  <c r="G9" i="70" a="1"/>
  <c r="G9" i="70" s="1"/>
  <c r="G10" i="70" a="1"/>
  <c r="G10" i="70" s="1"/>
  <c r="G11" i="70" a="1"/>
  <c r="G11" i="70" s="1"/>
  <c r="G12" i="70" a="1"/>
  <c r="G12" i="70" s="1"/>
  <c r="G13" i="70" a="1"/>
  <c r="G13" i="70" s="1"/>
  <c r="G14" i="70" a="1"/>
  <c r="G14" i="70" s="1"/>
  <c r="G15" i="70" a="1"/>
  <c r="G15" i="70" s="1"/>
  <c r="G16" i="70" a="1"/>
  <c r="G16" i="70" s="1"/>
  <c r="G17" i="70" a="1"/>
  <c r="G17" i="70" s="1"/>
  <c r="G18" i="70" a="1"/>
  <c r="G18" i="70" s="1"/>
  <c r="G19" i="70" a="1"/>
  <c r="G19" i="70" s="1"/>
  <c r="G20" i="70" a="1"/>
  <c r="G20" i="70" s="1"/>
  <c r="G21" i="70" a="1"/>
  <c r="G21" i="70" s="1"/>
  <c r="G22" i="70" a="1"/>
  <c r="G22" i="70" s="1"/>
  <c r="G23" i="70" a="1"/>
  <c r="G23" i="70" s="1"/>
  <c r="G24" i="70" a="1"/>
  <c r="G24" i="70" s="1"/>
  <c r="G25" i="70" a="1"/>
  <c r="G25" i="70" s="1"/>
  <c r="G26" i="70" a="1"/>
  <c r="G26" i="70" s="1"/>
  <c r="G27" i="70" a="1"/>
  <c r="G27" i="70" s="1"/>
  <c r="G28" i="70" a="1"/>
  <c r="G28" i="70" s="1"/>
  <c r="G29" i="70" a="1"/>
  <c r="G29" i="70" s="1"/>
  <c r="G30" i="70" a="1"/>
  <c r="G30" i="70" s="1"/>
  <c r="G31" i="70" a="1"/>
  <c r="G31" i="70" s="1"/>
  <c r="G32" i="70" a="1"/>
  <c r="G32" i="70" s="1"/>
  <c r="G33" i="70" a="1"/>
  <c r="G33" i="70" s="1"/>
  <c r="G34" i="70" a="1"/>
  <c r="G34" i="70" s="1"/>
  <c r="K2" i="136"/>
  <c r="K3" i="136"/>
  <c r="K4" i="136"/>
  <c r="K5" i="136"/>
  <c r="K6" i="136"/>
  <c r="K7" i="136"/>
  <c r="K8" i="136"/>
  <c r="K9" i="136"/>
  <c r="K10" i="136"/>
  <c r="K11" i="136"/>
  <c r="K12" i="136"/>
  <c r="K13" i="136"/>
  <c r="K14" i="136"/>
  <c r="K15" i="136"/>
  <c r="K16" i="136"/>
  <c r="K17" i="136"/>
  <c r="K18" i="136"/>
  <c r="K19" i="136"/>
  <c r="K20" i="136"/>
  <c r="K21" i="136"/>
  <c r="K22" i="136"/>
  <c r="K23" i="136"/>
  <c r="K24" i="136"/>
  <c r="K25" i="136"/>
  <c r="K26" i="136"/>
  <c r="K27" i="136"/>
  <c r="K28" i="136"/>
  <c r="K29" i="136"/>
  <c r="K30" i="136"/>
  <c r="K31" i="136"/>
  <c r="K32" i="136"/>
  <c r="K33" i="136"/>
  <c r="K35" i="136"/>
  <c r="K36" i="136"/>
  <c r="K37" i="136"/>
  <c r="K38" i="136"/>
  <c r="K39" i="136"/>
  <c r="K40" i="136"/>
  <c r="K41" i="136"/>
  <c r="K42" i="136"/>
  <c r="K43" i="136"/>
  <c r="K44" i="136"/>
  <c r="K45" i="136"/>
  <c r="K47" i="136"/>
  <c r="K48" i="136"/>
  <c r="K49" i="136"/>
  <c r="K50" i="136"/>
  <c r="K51" i="136"/>
  <c r="K52" i="136"/>
  <c r="K53" i="136"/>
  <c r="K54" i="136"/>
  <c r="K55" i="136"/>
  <c r="K56" i="136"/>
  <c r="K57" i="136"/>
  <c r="K58" i="136"/>
  <c r="K59" i="136"/>
  <c r="K60" i="136"/>
  <c r="K61" i="136"/>
  <c r="K62" i="136"/>
  <c r="K63" i="136"/>
  <c r="K64" i="136"/>
  <c r="K65" i="136"/>
  <c r="K66" i="136"/>
  <c r="K67" i="136"/>
  <c r="K68" i="136"/>
  <c r="K69" i="136"/>
  <c r="K70" i="136"/>
  <c r="K71" i="136"/>
  <c r="K72" i="136"/>
  <c r="K73" i="136"/>
  <c r="K74" i="136"/>
  <c r="K75" i="136"/>
  <c r="K76" i="136"/>
  <c r="K77" i="136"/>
  <c r="K78" i="136"/>
  <c r="K79" i="136"/>
  <c r="K80" i="136"/>
  <c r="K81" i="136"/>
  <c r="K82" i="136"/>
  <c r="K84" i="136"/>
  <c r="K85" i="136"/>
  <c r="K86" i="136"/>
  <c r="K87" i="136"/>
  <c r="K88" i="136"/>
  <c r="K89" i="136"/>
  <c r="K90" i="136"/>
  <c r="K91" i="136"/>
  <c r="K92" i="136"/>
  <c r="K93" i="136"/>
  <c r="K94" i="136"/>
  <c r="K96" i="136"/>
  <c r="J2" i="136"/>
  <c r="J3" i="136"/>
  <c r="J4" i="136"/>
  <c r="J5" i="136"/>
  <c r="J6" i="136"/>
  <c r="J7" i="136"/>
  <c r="J8" i="136"/>
  <c r="J9" i="136"/>
  <c r="J10" i="136"/>
  <c r="J11" i="136"/>
  <c r="J12" i="136"/>
  <c r="J13" i="136"/>
  <c r="J14" i="136"/>
  <c r="J15" i="136"/>
  <c r="J16" i="136"/>
  <c r="J17" i="136"/>
  <c r="J18" i="136"/>
  <c r="J19" i="136"/>
  <c r="J20" i="136"/>
  <c r="J21" i="136"/>
  <c r="J22" i="136"/>
  <c r="J23" i="136"/>
  <c r="J24" i="136"/>
  <c r="J25" i="136"/>
  <c r="J26" i="136"/>
  <c r="J27" i="136"/>
  <c r="J28" i="136"/>
  <c r="J29" i="136"/>
  <c r="J30" i="136"/>
  <c r="J31" i="136"/>
  <c r="J32" i="136"/>
  <c r="J33" i="136"/>
  <c r="J35" i="136"/>
  <c r="J36" i="136"/>
  <c r="J37" i="136"/>
  <c r="J38" i="136"/>
  <c r="J39" i="136"/>
  <c r="J40" i="136"/>
  <c r="J41" i="136"/>
  <c r="J42" i="136"/>
  <c r="J43" i="136"/>
  <c r="J44" i="136"/>
  <c r="J45" i="136"/>
  <c r="J47" i="136"/>
  <c r="J48" i="136"/>
  <c r="J49" i="136"/>
  <c r="J50" i="136"/>
  <c r="J51" i="136"/>
  <c r="J52" i="136"/>
  <c r="J53" i="136"/>
  <c r="J54" i="136"/>
  <c r="J55" i="136"/>
  <c r="J56" i="136"/>
  <c r="J57" i="136"/>
  <c r="J58" i="136"/>
  <c r="J59" i="136"/>
  <c r="J60" i="136"/>
  <c r="J61" i="136"/>
  <c r="J62" i="136"/>
  <c r="J63" i="136"/>
  <c r="J64" i="136"/>
  <c r="J65" i="136"/>
  <c r="J66" i="136"/>
  <c r="J67" i="136"/>
  <c r="J68" i="136"/>
  <c r="J69" i="136"/>
  <c r="J70" i="136"/>
  <c r="J71" i="136"/>
  <c r="J72" i="136"/>
  <c r="J73" i="136"/>
  <c r="J74" i="136"/>
  <c r="J75" i="136"/>
  <c r="J76" i="136"/>
  <c r="J77" i="136"/>
  <c r="J78" i="136"/>
  <c r="J79" i="136"/>
  <c r="J80" i="136"/>
  <c r="J81" i="136"/>
  <c r="J82" i="136"/>
  <c r="J84" i="136"/>
  <c r="J85" i="136"/>
  <c r="J86" i="136"/>
  <c r="J87" i="136"/>
  <c r="J88" i="136"/>
  <c r="J89" i="136"/>
  <c r="J90" i="136"/>
  <c r="J91" i="136"/>
  <c r="J92" i="136"/>
  <c r="J93" i="136"/>
  <c r="J94" i="136"/>
  <c r="J96" i="136"/>
  <c r="E2" i="73" a="1"/>
  <c r="T2" i="69" a="1"/>
  <c r="L2" i="119" a="1"/>
  <c r="G2" i="57" a="1"/>
  <c r="C2" i="56" a="1"/>
  <c r="E2" i="120" a="1"/>
  <c r="G2" i="122" a="1"/>
  <c r="P76" i="119" l="1"/>
  <c r="P99" i="119"/>
  <c r="P75" i="119"/>
  <c r="P77" i="119"/>
  <c r="P74" i="119"/>
  <c r="G2" i="57"/>
  <c r="C2" i="56"/>
  <c r="E2" i="73"/>
  <c r="L2" i="119"/>
  <c r="T2" i="69"/>
  <c r="E2" i="120"/>
  <c r="G2" i="122"/>
  <c r="A2" i="136"/>
  <c r="A3" i="136"/>
  <c r="A4" i="136"/>
  <c r="A5" i="136"/>
  <c r="A6" i="136"/>
  <c r="A7" i="136"/>
  <c r="A8" i="136"/>
  <c r="A9" i="136"/>
  <c r="A10" i="136"/>
  <c r="A11" i="136"/>
  <c r="A12" i="136"/>
  <c r="A13" i="136"/>
  <c r="A14" i="136"/>
  <c r="A15" i="136"/>
  <c r="A16" i="136"/>
  <c r="A17" i="136"/>
  <c r="A18" i="136"/>
  <c r="A19" i="136"/>
  <c r="A20" i="136"/>
  <c r="A21" i="136"/>
  <c r="A22" i="136"/>
  <c r="A23" i="136"/>
  <c r="A24" i="136"/>
  <c r="A25" i="136"/>
  <c r="A26" i="136"/>
  <c r="A27" i="136"/>
  <c r="A28" i="136"/>
  <c r="A29" i="136"/>
  <c r="A30" i="136"/>
  <c r="A31" i="136"/>
  <c r="A32" i="136"/>
  <c r="A33" i="136"/>
  <c r="A35" i="136"/>
  <c r="A36" i="136"/>
  <c r="A37" i="136"/>
  <c r="A38" i="136"/>
  <c r="A39" i="136"/>
  <c r="A40" i="136"/>
  <c r="A41" i="136"/>
  <c r="A42" i="136"/>
  <c r="A43" i="136"/>
  <c r="A44" i="136"/>
  <c r="A45" i="136"/>
  <c r="A47" i="136"/>
  <c r="A48" i="136"/>
  <c r="A49" i="136"/>
  <c r="A50" i="136"/>
  <c r="A51" i="136"/>
  <c r="A52" i="136"/>
  <c r="A53" i="136"/>
  <c r="A54" i="136"/>
  <c r="A55" i="136"/>
  <c r="A56" i="136"/>
  <c r="A57" i="136"/>
  <c r="A58" i="136"/>
  <c r="A59" i="136"/>
  <c r="A60" i="136"/>
  <c r="A61" i="136"/>
  <c r="A62" i="136"/>
  <c r="A63" i="136"/>
  <c r="A64" i="136"/>
  <c r="A65" i="136"/>
  <c r="A66" i="136"/>
  <c r="A67" i="136"/>
  <c r="A68" i="136"/>
  <c r="A69" i="136"/>
  <c r="A70" i="136"/>
  <c r="A71" i="136"/>
  <c r="A72" i="136"/>
  <c r="A73" i="136"/>
  <c r="A74" i="136"/>
  <c r="A75" i="136"/>
  <c r="A76" i="136"/>
  <c r="A77" i="136"/>
  <c r="A78" i="136"/>
  <c r="A79" i="136"/>
  <c r="A80" i="136"/>
  <c r="A81" i="136"/>
  <c r="A82" i="136"/>
  <c r="A84" i="136"/>
  <c r="A85" i="136"/>
  <c r="A86" i="136"/>
  <c r="A87" i="136"/>
  <c r="A88" i="136"/>
  <c r="A89" i="136"/>
  <c r="A90" i="136"/>
  <c r="A91" i="136"/>
  <c r="A92" i="136"/>
  <c r="A93" i="136"/>
  <c r="A94" i="136"/>
  <c r="A96" i="136"/>
  <c r="B2" i="136"/>
  <c r="B3" i="136"/>
  <c r="B4" i="136"/>
  <c r="B5" i="136"/>
  <c r="B6" i="136"/>
  <c r="B7" i="136"/>
  <c r="B8" i="136"/>
  <c r="B9" i="136"/>
  <c r="B10" i="136"/>
  <c r="B11" i="136"/>
  <c r="B12" i="136"/>
  <c r="B13" i="136"/>
  <c r="B14" i="136"/>
  <c r="B15" i="136"/>
  <c r="B16" i="136"/>
  <c r="B17" i="136"/>
  <c r="B18" i="136"/>
  <c r="B19" i="136"/>
  <c r="B20" i="136"/>
  <c r="B21" i="136"/>
  <c r="B22" i="136"/>
  <c r="B23" i="136"/>
  <c r="B24" i="136"/>
  <c r="B25" i="136"/>
  <c r="B26" i="136"/>
  <c r="B27" i="136"/>
  <c r="B28" i="136"/>
  <c r="B29" i="136"/>
  <c r="B30" i="136"/>
  <c r="B31" i="136"/>
  <c r="B32" i="136"/>
  <c r="B33" i="136"/>
  <c r="B35" i="136"/>
  <c r="B36" i="136"/>
  <c r="B37" i="136"/>
  <c r="B38" i="136"/>
  <c r="B39" i="136"/>
  <c r="B40" i="136"/>
  <c r="B41" i="136"/>
  <c r="B42" i="136"/>
  <c r="B43" i="136"/>
  <c r="B44" i="136"/>
  <c r="B45" i="136"/>
  <c r="B47" i="136"/>
  <c r="B48" i="136"/>
  <c r="B49" i="136"/>
  <c r="B50" i="136"/>
  <c r="B51" i="136"/>
  <c r="B52" i="136"/>
  <c r="B53" i="136"/>
  <c r="B54" i="136"/>
  <c r="B55" i="136"/>
  <c r="B56" i="136"/>
  <c r="B57" i="136"/>
  <c r="B58" i="136"/>
  <c r="B59" i="136"/>
  <c r="B60" i="136"/>
  <c r="B61" i="136"/>
  <c r="B62" i="136"/>
  <c r="B63" i="136"/>
  <c r="B64" i="136"/>
  <c r="B65" i="136"/>
  <c r="B66" i="136"/>
  <c r="B67" i="136"/>
  <c r="B68" i="136"/>
  <c r="B69" i="136"/>
  <c r="B70" i="136"/>
  <c r="B71" i="136"/>
  <c r="B72" i="136"/>
  <c r="B73" i="136"/>
  <c r="B74" i="136"/>
  <c r="B75" i="136"/>
  <c r="B76" i="136"/>
  <c r="B77" i="136"/>
  <c r="B78" i="136"/>
  <c r="B79" i="136"/>
  <c r="B80" i="136"/>
  <c r="B81" i="136"/>
  <c r="B82" i="136"/>
  <c r="B84" i="136"/>
  <c r="B85" i="136"/>
  <c r="B86" i="136"/>
  <c r="B87" i="136"/>
  <c r="B88" i="136"/>
  <c r="B89" i="136"/>
  <c r="B90" i="136"/>
  <c r="B91" i="136"/>
  <c r="B92" i="136"/>
  <c r="B93" i="136"/>
  <c r="B94" i="136"/>
  <c r="B96" i="136"/>
  <c r="C2" i="136"/>
  <c r="C3" i="136"/>
  <c r="C4" i="136"/>
  <c r="C5" i="136"/>
  <c r="C6" i="136"/>
  <c r="C7" i="136"/>
  <c r="C8" i="136"/>
  <c r="C9" i="136"/>
  <c r="C10" i="136"/>
  <c r="C11" i="136"/>
  <c r="C12" i="136"/>
  <c r="C13" i="136"/>
  <c r="C14" i="136"/>
  <c r="C15" i="136"/>
  <c r="C16" i="136"/>
  <c r="C17" i="136"/>
  <c r="C18" i="136"/>
  <c r="C19" i="136"/>
  <c r="C20" i="136"/>
  <c r="C21" i="136"/>
  <c r="C22" i="136"/>
  <c r="C23" i="136"/>
  <c r="C24" i="136"/>
  <c r="C25" i="136"/>
  <c r="C26" i="136"/>
  <c r="C27" i="136"/>
  <c r="C28" i="136"/>
  <c r="C29" i="136"/>
  <c r="C30" i="136"/>
  <c r="C31" i="136"/>
  <c r="C32" i="136"/>
  <c r="C33" i="136"/>
  <c r="C35" i="136"/>
  <c r="C36" i="136"/>
  <c r="C37" i="136"/>
  <c r="C38" i="136"/>
  <c r="C39" i="136"/>
  <c r="C40" i="136"/>
  <c r="C41" i="136"/>
  <c r="C42" i="136"/>
  <c r="C43" i="136"/>
  <c r="C44" i="136"/>
  <c r="C45" i="136"/>
  <c r="C47" i="136"/>
  <c r="C48" i="136"/>
  <c r="C49" i="136"/>
  <c r="C50" i="136"/>
  <c r="C51" i="136"/>
  <c r="C52" i="136"/>
  <c r="C53" i="136"/>
  <c r="C54" i="136"/>
  <c r="C55" i="136"/>
  <c r="C56" i="136"/>
  <c r="C57" i="136"/>
  <c r="C58" i="136"/>
  <c r="C59" i="136"/>
  <c r="C60" i="136"/>
  <c r="C61" i="136"/>
  <c r="C62" i="136"/>
  <c r="C63" i="136"/>
  <c r="C64" i="136"/>
  <c r="C65" i="136"/>
  <c r="C66" i="136"/>
  <c r="C67" i="136"/>
  <c r="C68" i="136"/>
  <c r="C69" i="136"/>
  <c r="C70" i="136"/>
  <c r="C71" i="136"/>
  <c r="C72" i="136"/>
  <c r="C73" i="136"/>
  <c r="C74" i="136"/>
  <c r="C75" i="136"/>
  <c r="C76" i="136"/>
  <c r="C77" i="136"/>
  <c r="C78" i="136"/>
  <c r="C79" i="136"/>
  <c r="C80" i="136"/>
  <c r="C81" i="136"/>
  <c r="C82" i="136"/>
  <c r="C84" i="136"/>
  <c r="C85" i="136"/>
  <c r="C86" i="136"/>
  <c r="C87" i="136"/>
  <c r="C88" i="136"/>
  <c r="C89" i="136"/>
  <c r="C90" i="136"/>
  <c r="C91" i="136"/>
  <c r="C92" i="136"/>
  <c r="C93" i="136"/>
  <c r="C94" i="136"/>
  <c r="C96" i="136"/>
  <c r="D2" i="136" a="1"/>
  <c r="D2" i="136" s="1"/>
  <c r="D3" i="136" a="1"/>
  <c r="D3" i="136" s="1"/>
  <c r="D4" i="136" a="1"/>
  <c r="D4" i="136" s="1"/>
  <c r="D5" i="136" a="1"/>
  <c r="D5" i="136" s="1"/>
  <c r="D6" i="136" a="1"/>
  <c r="D6" i="136" s="1"/>
  <c r="D7" i="136" a="1"/>
  <c r="D7" i="136" s="1"/>
  <c r="D8" i="136" a="1"/>
  <c r="D8" i="136" s="1"/>
  <c r="D9" i="136" a="1"/>
  <c r="D9" i="136" s="1"/>
  <c r="D10" i="136" a="1"/>
  <c r="D10" i="136" s="1"/>
  <c r="D11" i="136" a="1"/>
  <c r="D11" i="136" s="1"/>
  <c r="D12" i="136" a="1"/>
  <c r="D12" i="136" s="1"/>
  <c r="D13" i="136" a="1"/>
  <c r="D13" i="136" s="1"/>
  <c r="D14" i="136" a="1"/>
  <c r="D14" i="136" s="1"/>
  <c r="D15" i="136" a="1"/>
  <c r="D15" i="136" s="1"/>
  <c r="D16" i="136" a="1"/>
  <c r="D16" i="136" s="1"/>
  <c r="D17" i="136" a="1"/>
  <c r="D17" i="136" s="1"/>
  <c r="D18" i="136" a="1"/>
  <c r="D18" i="136" s="1"/>
  <c r="D19" i="136" a="1"/>
  <c r="D19" i="136" s="1"/>
  <c r="D20" i="136" a="1"/>
  <c r="D20" i="136" s="1"/>
  <c r="D21" i="136" a="1"/>
  <c r="D21" i="136" s="1"/>
  <c r="D22" i="136" a="1"/>
  <c r="D22" i="136" s="1"/>
  <c r="D23" i="136" a="1"/>
  <c r="D23" i="136" s="1"/>
  <c r="D24" i="136" a="1"/>
  <c r="D24" i="136" s="1"/>
  <c r="D25" i="136" a="1"/>
  <c r="D25" i="136" s="1"/>
  <c r="D26" i="136" a="1"/>
  <c r="D26" i="136" s="1"/>
  <c r="D27" i="136" a="1"/>
  <c r="D27" i="136" s="1"/>
  <c r="D28" i="136" a="1"/>
  <c r="D28" i="136" s="1"/>
  <c r="D29" i="136" a="1"/>
  <c r="D29" i="136" s="1"/>
  <c r="D30" i="136" a="1"/>
  <c r="D30" i="136" s="1"/>
  <c r="D31" i="136" a="1"/>
  <c r="D31" i="136" s="1"/>
  <c r="D32" i="136" a="1"/>
  <c r="D32" i="136" s="1"/>
  <c r="D33" i="136" a="1"/>
  <c r="D33" i="136" s="1"/>
  <c r="D35" i="136" a="1"/>
  <c r="D35" i="136" s="1"/>
  <c r="D36" i="136" a="1"/>
  <c r="D36" i="136" s="1"/>
  <c r="D37" i="136" a="1"/>
  <c r="D37" i="136" s="1"/>
  <c r="D38" i="136" a="1"/>
  <c r="D38" i="136" s="1"/>
  <c r="D39" i="136" a="1"/>
  <c r="D39" i="136" s="1"/>
  <c r="D40" i="136" a="1"/>
  <c r="D40" i="136" s="1"/>
  <c r="D41" i="136" a="1"/>
  <c r="D41" i="136" s="1"/>
  <c r="D42" i="136" a="1"/>
  <c r="D42" i="136" s="1"/>
  <c r="D43" i="136" a="1"/>
  <c r="D43" i="136" s="1"/>
  <c r="D44" i="136" a="1"/>
  <c r="D44" i="136" s="1"/>
  <c r="D45" i="136" a="1"/>
  <c r="D45" i="136" s="1"/>
  <c r="D47" i="136" a="1"/>
  <c r="D47" i="136" s="1"/>
  <c r="D48" i="136" a="1"/>
  <c r="D48" i="136" s="1"/>
  <c r="D49" i="136" a="1"/>
  <c r="D49" i="136" s="1"/>
  <c r="D50" i="136" a="1"/>
  <c r="D50" i="136" s="1"/>
  <c r="D51" i="136" a="1"/>
  <c r="D51" i="136" s="1"/>
  <c r="D52" i="136" a="1"/>
  <c r="D52" i="136" s="1"/>
  <c r="D53" i="136" a="1"/>
  <c r="D53" i="136" s="1"/>
  <c r="D54" i="136" a="1"/>
  <c r="D54" i="136" s="1"/>
  <c r="D55" i="136" a="1"/>
  <c r="D55" i="136" s="1"/>
  <c r="D56" i="136" a="1"/>
  <c r="D56" i="136" s="1"/>
  <c r="D57" i="136" a="1"/>
  <c r="D57" i="136" s="1"/>
  <c r="D58" i="136" a="1"/>
  <c r="D58" i="136" s="1"/>
  <c r="D59" i="136" a="1"/>
  <c r="D59" i="136" s="1"/>
  <c r="D60" i="136" a="1"/>
  <c r="D60" i="136" s="1"/>
  <c r="D61" i="136" a="1"/>
  <c r="D61" i="136" s="1"/>
  <c r="D62" i="136" a="1"/>
  <c r="D62" i="136" s="1"/>
  <c r="D63" i="136" a="1"/>
  <c r="D63" i="136" s="1"/>
  <c r="D64" i="136" a="1"/>
  <c r="D64" i="136" s="1"/>
  <c r="D65" i="136" a="1"/>
  <c r="D65" i="136" s="1"/>
  <c r="D66" i="136" a="1"/>
  <c r="D66" i="136" s="1"/>
  <c r="D67" i="136" a="1"/>
  <c r="D67" i="136" s="1"/>
  <c r="D68" i="136" a="1"/>
  <c r="D68" i="136" s="1"/>
  <c r="D69" i="136" a="1"/>
  <c r="D69" i="136" s="1"/>
  <c r="D70" i="136" a="1"/>
  <c r="D70" i="136" s="1"/>
  <c r="D71" i="136" a="1"/>
  <c r="D71" i="136" s="1"/>
  <c r="D72" i="136" a="1"/>
  <c r="D72" i="136" s="1"/>
  <c r="D73" i="136" a="1"/>
  <c r="D73" i="136" s="1"/>
  <c r="D74" i="136" a="1"/>
  <c r="D74" i="136" s="1"/>
  <c r="D75" i="136" a="1"/>
  <c r="D75" i="136" s="1"/>
  <c r="D76" i="136" a="1"/>
  <c r="D76" i="136" s="1"/>
  <c r="D77" i="136" a="1"/>
  <c r="D77" i="136" s="1"/>
  <c r="D78" i="136" a="1"/>
  <c r="D78" i="136" s="1"/>
  <c r="D79" i="136" a="1"/>
  <c r="D79" i="136" s="1"/>
  <c r="D80" i="136" a="1"/>
  <c r="D80" i="136" s="1"/>
  <c r="D81" i="136" a="1"/>
  <c r="D81" i="136" s="1"/>
  <c r="D82" i="136" a="1"/>
  <c r="D82" i="136" s="1"/>
  <c r="D84" i="136" a="1"/>
  <c r="D84" i="136" s="1"/>
  <c r="D85" i="136" a="1"/>
  <c r="D85" i="136" s="1"/>
  <c r="D86" i="136" a="1"/>
  <c r="D86" i="136" s="1"/>
  <c r="D87" i="136" a="1"/>
  <c r="D87" i="136" s="1"/>
  <c r="D88" i="136" a="1"/>
  <c r="D88" i="136" s="1"/>
  <c r="D89" i="136" a="1"/>
  <c r="D89" i="136" s="1"/>
  <c r="D90" i="136" a="1"/>
  <c r="D90" i="136" s="1"/>
  <c r="D91" i="136" a="1"/>
  <c r="D91" i="136" s="1"/>
  <c r="D92" i="136" a="1"/>
  <c r="D92" i="136" s="1"/>
  <c r="D93" i="136" a="1"/>
  <c r="D93" i="136" s="1"/>
  <c r="D94" i="136" a="1"/>
  <c r="D94" i="136" s="1"/>
  <c r="D96" i="136" a="1"/>
  <c r="D96" i="136" s="1"/>
  <c r="F2" i="136"/>
  <c r="F3" i="136"/>
  <c r="F4" i="136"/>
  <c r="F5" i="136"/>
  <c r="F6" i="136"/>
  <c r="F7" i="136"/>
  <c r="F8" i="136"/>
  <c r="F9" i="136"/>
  <c r="F10" i="136"/>
  <c r="F11" i="136"/>
  <c r="F12" i="136"/>
  <c r="F13" i="136"/>
  <c r="F14" i="136"/>
  <c r="F15" i="136"/>
  <c r="F16" i="136"/>
  <c r="F17" i="136"/>
  <c r="F18" i="136"/>
  <c r="F19" i="136"/>
  <c r="F20" i="136"/>
  <c r="F21" i="136"/>
  <c r="F22" i="136"/>
  <c r="F23" i="136"/>
  <c r="F24" i="136"/>
  <c r="F25" i="136"/>
  <c r="F26" i="136"/>
  <c r="F27" i="136"/>
  <c r="F28" i="136"/>
  <c r="F29" i="136"/>
  <c r="F30" i="136"/>
  <c r="F31" i="136"/>
  <c r="F32" i="136"/>
  <c r="F33" i="136"/>
  <c r="F35" i="136"/>
  <c r="F36" i="136"/>
  <c r="F37" i="136"/>
  <c r="F38" i="136"/>
  <c r="F39" i="136"/>
  <c r="F40" i="136"/>
  <c r="F41" i="136"/>
  <c r="F42" i="136"/>
  <c r="F43" i="136"/>
  <c r="F44" i="136"/>
  <c r="F45" i="136"/>
  <c r="F47" i="136"/>
  <c r="F48" i="136"/>
  <c r="F49" i="136"/>
  <c r="F50" i="136"/>
  <c r="F51" i="136"/>
  <c r="F52" i="136"/>
  <c r="F53" i="136"/>
  <c r="F54" i="136"/>
  <c r="F55" i="136"/>
  <c r="F56" i="136"/>
  <c r="F57" i="136"/>
  <c r="F58" i="136"/>
  <c r="F59" i="136"/>
  <c r="F60" i="136"/>
  <c r="F61" i="136"/>
  <c r="F62" i="136"/>
  <c r="F63" i="136"/>
  <c r="F64" i="136"/>
  <c r="F65" i="136"/>
  <c r="F66" i="136"/>
  <c r="F67" i="136"/>
  <c r="F68" i="136"/>
  <c r="F69" i="136"/>
  <c r="F70" i="136"/>
  <c r="F71" i="136"/>
  <c r="F72" i="136"/>
  <c r="F73" i="136"/>
  <c r="F74" i="136"/>
  <c r="F75" i="136"/>
  <c r="F76" i="136"/>
  <c r="F77" i="136"/>
  <c r="F78" i="136"/>
  <c r="F79" i="136"/>
  <c r="F80" i="136"/>
  <c r="F81" i="136"/>
  <c r="F82" i="136"/>
  <c r="F84" i="136"/>
  <c r="F85" i="136"/>
  <c r="F86" i="136"/>
  <c r="F87" i="136"/>
  <c r="F88" i="136"/>
  <c r="F89" i="136"/>
  <c r="F90" i="136"/>
  <c r="F91" i="136"/>
  <c r="F92" i="136"/>
  <c r="F93" i="136"/>
  <c r="F94" i="136"/>
  <c r="F96" i="136"/>
  <c r="G2" i="136"/>
  <c r="G3" i="136"/>
  <c r="G4" i="136"/>
  <c r="G5" i="136"/>
  <c r="G6" i="136"/>
  <c r="G7" i="136"/>
  <c r="G8" i="136"/>
  <c r="G9" i="136"/>
  <c r="G10" i="136"/>
  <c r="G11" i="136"/>
  <c r="G12" i="136"/>
  <c r="G13" i="136"/>
  <c r="G14" i="136"/>
  <c r="G15" i="136"/>
  <c r="G16" i="136"/>
  <c r="G17" i="136"/>
  <c r="G18" i="136"/>
  <c r="G19" i="136"/>
  <c r="G20" i="136"/>
  <c r="G21" i="136"/>
  <c r="G22" i="136"/>
  <c r="G23" i="136"/>
  <c r="G24" i="136"/>
  <c r="G25" i="136"/>
  <c r="G26" i="136"/>
  <c r="G27" i="136"/>
  <c r="G28" i="136"/>
  <c r="G29" i="136"/>
  <c r="G30" i="136"/>
  <c r="G31" i="136"/>
  <c r="G32" i="136"/>
  <c r="G33" i="136"/>
  <c r="G35" i="136"/>
  <c r="G36" i="136"/>
  <c r="G37" i="136"/>
  <c r="G38" i="136"/>
  <c r="G39" i="136"/>
  <c r="G40" i="136"/>
  <c r="G41" i="136"/>
  <c r="G42" i="136"/>
  <c r="G43" i="136"/>
  <c r="G44" i="136"/>
  <c r="G45" i="136"/>
  <c r="G47" i="136"/>
  <c r="G48" i="136"/>
  <c r="G49" i="136"/>
  <c r="G50" i="136"/>
  <c r="G51" i="136"/>
  <c r="G52" i="136"/>
  <c r="G53" i="136"/>
  <c r="G54" i="136"/>
  <c r="G55" i="136"/>
  <c r="G56" i="136"/>
  <c r="G57" i="136"/>
  <c r="G58" i="136"/>
  <c r="G59" i="136"/>
  <c r="G60" i="136"/>
  <c r="G61" i="136"/>
  <c r="G62" i="136"/>
  <c r="G63" i="136"/>
  <c r="G64" i="136"/>
  <c r="G65" i="136"/>
  <c r="G66" i="136"/>
  <c r="G67" i="136"/>
  <c r="G68" i="136"/>
  <c r="G69" i="136"/>
  <c r="G70" i="136"/>
  <c r="G71" i="136"/>
  <c r="G72" i="136"/>
  <c r="G73" i="136"/>
  <c r="G74" i="136"/>
  <c r="G75" i="136"/>
  <c r="G76" i="136"/>
  <c r="G77" i="136"/>
  <c r="G78" i="136"/>
  <c r="G79" i="136"/>
  <c r="G80" i="136"/>
  <c r="G81" i="136"/>
  <c r="G82" i="136"/>
  <c r="G84" i="136"/>
  <c r="G85" i="136"/>
  <c r="G86" i="136"/>
  <c r="G87" i="136"/>
  <c r="G88" i="136"/>
  <c r="G89" i="136"/>
  <c r="G90" i="136"/>
  <c r="G91" i="136"/>
  <c r="G92" i="136"/>
  <c r="G93" i="136"/>
  <c r="G94" i="136"/>
  <c r="G96" i="136"/>
  <c r="H2" i="136"/>
  <c r="H3" i="136"/>
  <c r="H4" i="136"/>
  <c r="H5" i="136"/>
  <c r="H6" i="136"/>
  <c r="H7" i="136"/>
  <c r="H8" i="136"/>
  <c r="H9" i="136"/>
  <c r="H10" i="136"/>
  <c r="H11" i="136"/>
  <c r="H12" i="136"/>
  <c r="H13" i="136"/>
  <c r="H14" i="136"/>
  <c r="H15" i="136"/>
  <c r="H16" i="136"/>
  <c r="H17" i="136"/>
  <c r="H18" i="136"/>
  <c r="H19" i="136"/>
  <c r="H20" i="136"/>
  <c r="H21" i="136"/>
  <c r="H22" i="136"/>
  <c r="H23" i="136"/>
  <c r="H24" i="136"/>
  <c r="H25" i="136"/>
  <c r="H26" i="136"/>
  <c r="H27" i="136"/>
  <c r="H28" i="136"/>
  <c r="H29" i="136"/>
  <c r="H30" i="136"/>
  <c r="H31" i="136"/>
  <c r="H32" i="136"/>
  <c r="H33" i="136"/>
  <c r="H35" i="136"/>
  <c r="H36" i="136"/>
  <c r="H37" i="136"/>
  <c r="H38" i="136"/>
  <c r="H39" i="136"/>
  <c r="H40" i="136"/>
  <c r="H41" i="136"/>
  <c r="H42" i="136"/>
  <c r="H43" i="136"/>
  <c r="H44" i="136"/>
  <c r="H45" i="136"/>
  <c r="H47" i="136"/>
  <c r="H48" i="136"/>
  <c r="H49" i="136"/>
  <c r="H50" i="136"/>
  <c r="H51" i="136"/>
  <c r="H52" i="136"/>
  <c r="H53" i="136"/>
  <c r="H54" i="136"/>
  <c r="H55" i="136"/>
  <c r="H56" i="136"/>
  <c r="H57" i="136"/>
  <c r="H58" i="136"/>
  <c r="H59" i="136"/>
  <c r="H60" i="136"/>
  <c r="H61" i="136"/>
  <c r="H62" i="136"/>
  <c r="H63" i="136"/>
  <c r="H64" i="136"/>
  <c r="H65" i="136"/>
  <c r="H66" i="136"/>
  <c r="H67" i="136"/>
  <c r="H68" i="136"/>
  <c r="H69" i="136"/>
  <c r="H70" i="136"/>
  <c r="H71" i="136"/>
  <c r="H72" i="136"/>
  <c r="H73" i="136"/>
  <c r="H74" i="136"/>
  <c r="H75" i="136"/>
  <c r="H76" i="136"/>
  <c r="H77" i="136"/>
  <c r="H78" i="136"/>
  <c r="H79" i="136"/>
  <c r="H80" i="136"/>
  <c r="H81" i="136"/>
  <c r="H82" i="136"/>
  <c r="H84" i="136"/>
  <c r="H85" i="136"/>
  <c r="H86" i="136"/>
  <c r="H87" i="136"/>
  <c r="H88" i="136"/>
  <c r="H89" i="136"/>
  <c r="H90" i="136"/>
  <c r="H91" i="136"/>
  <c r="H92" i="136"/>
  <c r="H93" i="136"/>
  <c r="H94" i="136"/>
  <c r="H96" i="136"/>
  <c r="I2" i="136"/>
  <c r="I3" i="136"/>
  <c r="I4" i="136"/>
  <c r="I5" i="136"/>
  <c r="I6" i="136"/>
  <c r="I7" i="136"/>
  <c r="I8" i="136"/>
  <c r="I9" i="136"/>
  <c r="I10" i="136"/>
  <c r="I11" i="136"/>
  <c r="I12" i="136"/>
  <c r="I13" i="136"/>
  <c r="I14" i="136"/>
  <c r="I15" i="136"/>
  <c r="I16" i="136"/>
  <c r="I17" i="136"/>
  <c r="I18" i="136"/>
  <c r="I19" i="136"/>
  <c r="I20" i="136"/>
  <c r="I21" i="136"/>
  <c r="I22" i="136"/>
  <c r="I23" i="136"/>
  <c r="I24" i="136"/>
  <c r="I25" i="136"/>
  <c r="I26" i="136"/>
  <c r="I27" i="136"/>
  <c r="I28" i="136"/>
  <c r="I29" i="136"/>
  <c r="I30" i="136"/>
  <c r="I31" i="136"/>
  <c r="I32" i="136"/>
  <c r="I33" i="136"/>
  <c r="I35" i="136"/>
  <c r="I36" i="136"/>
  <c r="I37" i="136"/>
  <c r="I38" i="136"/>
  <c r="I39" i="136"/>
  <c r="I40" i="136"/>
  <c r="I41" i="136"/>
  <c r="I42" i="136"/>
  <c r="I43" i="136"/>
  <c r="I44" i="136"/>
  <c r="I45" i="136"/>
  <c r="I47" i="136"/>
  <c r="I48" i="136"/>
  <c r="I49" i="136"/>
  <c r="I50" i="136"/>
  <c r="I51" i="136"/>
  <c r="I52" i="136"/>
  <c r="I53" i="136"/>
  <c r="I54" i="136"/>
  <c r="I55" i="136"/>
  <c r="I56" i="136"/>
  <c r="I57" i="136"/>
  <c r="I58" i="136"/>
  <c r="I59" i="136"/>
  <c r="I60" i="136"/>
  <c r="I61" i="136"/>
  <c r="I62" i="136"/>
  <c r="I63" i="136"/>
  <c r="I64" i="136"/>
  <c r="I65" i="136"/>
  <c r="I66" i="136"/>
  <c r="I67" i="136"/>
  <c r="I68" i="136"/>
  <c r="I69" i="136"/>
  <c r="I70" i="136"/>
  <c r="I71" i="136"/>
  <c r="I72" i="136"/>
  <c r="I73" i="136"/>
  <c r="I74" i="136"/>
  <c r="I75" i="136"/>
  <c r="I76" i="136"/>
  <c r="I77" i="136"/>
  <c r="I78" i="136"/>
  <c r="I79" i="136"/>
  <c r="I80" i="136"/>
  <c r="I81" i="136"/>
  <c r="I82" i="136"/>
  <c r="I84" i="136"/>
  <c r="I85" i="136"/>
  <c r="I86" i="136"/>
  <c r="I87" i="136"/>
  <c r="I88" i="136"/>
  <c r="I89" i="136"/>
  <c r="I90" i="136"/>
  <c r="I91" i="136"/>
  <c r="I92" i="136"/>
  <c r="I93" i="136"/>
  <c r="I94" i="136"/>
  <c r="I96" i="136"/>
  <c r="L2" i="136"/>
  <c r="L3" i="136"/>
  <c r="L4" i="136"/>
  <c r="L5" i="136"/>
  <c r="L6" i="136"/>
  <c r="L7" i="136"/>
  <c r="L8" i="136"/>
  <c r="L9" i="136"/>
  <c r="L10" i="136"/>
  <c r="L11" i="136"/>
  <c r="L12" i="136"/>
  <c r="L13" i="136"/>
  <c r="L14" i="136"/>
  <c r="L15" i="136"/>
  <c r="L16" i="136"/>
  <c r="L17" i="136"/>
  <c r="L18" i="136"/>
  <c r="L19" i="136"/>
  <c r="L20" i="136"/>
  <c r="L21" i="136"/>
  <c r="L22" i="136"/>
  <c r="L23" i="136"/>
  <c r="L24" i="136"/>
  <c r="L25" i="136"/>
  <c r="L26" i="136"/>
  <c r="L27" i="136"/>
  <c r="L28" i="136"/>
  <c r="L29" i="136"/>
  <c r="L30" i="136"/>
  <c r="L31" i="136"/>
  <c r="L32" i="136"/>
  <c r="L33" i="136"/>
  <c r="L35" i="136"/>
  <c r="L36" i="136"/>
  <c r="L37" i="136"/>
  <c r="L38" i="136"/>
  <c r="L39" i="136"/>
  <c r="L40" i="136"/>
  <c r="L41" i="136"/>
  <c r="L42" i="136"/>
  <c r="L43" i="136"/>
  <c r="L44" i="136"/>
  <c r="L45" i="136"/>
  <c r="L47" i="136"/>
  <c r="L48" i="136"/>
  <c r="L49" i="136"/>
  <c r="L50" i="136"/>
  <c r="L51" i="136"/>
  <c r="L52" i="136"/>
  <c r="L53" i="136"/>
  <c r="L54" i="136"/>
  <c r="L55" i="136"/>
  <c r="L56" i="136"/>
  <c r="L57" i="136"/>
  <c r="L58" i="136"/>
  <c r="L59" i="136"/>
  <c r="L60" i="136"/>
  <c r="L61" i="136"/>
  <c r="L62" i="136"/>
  <c r="L63" i="136"/>
  <c r="L64" i="136"/>
  <c r="L65" i="136"/>
  <c r="L66" i="136"/>
  <c r="L67" i="136"/>
  <c r="L68" i="136"/>
  <c r="L69" i="136"/>
  <c r="L70" i="136"/>
  <c r="L71" i="136"/>
  <c r="L72" i="136"/>
  <c r="L73" i="136"/>
  <c r="L74" i="136"/>
  <c r="L75" i="136"/>
  <c r="L76" i="136"/>
  <c r="L77" i="136"/>
  <c r="L78" i="136"/>
  <c r="L79" i="136"/>
  <c r="L80" i="136"/>
  <c r="L81" i="136"/>
  <c r="L82" i="136"/>
  <c r="L84" i="136"/>
  <c r="L85" i="136"/>
  <c r="L86" i="136"/>
  <c r="L87" i="136"/>
  <c r="L88" i="136"/>
  <c r="L89" i="136"/>
  <c r="L90" i="136"/>
  <c r="L91" i="136"/>
  <c r="L92" i="136"/>
  <c r="L93" i="136"/>
  <c r="L94" i="136"/>
  <c r="L96" i="136"/>
  <c r="M2" i="136"/>
  <c r="M3" i="136"/>
  <c r="M4" i="136"/>
  <c r="M5" i="136"/>
  <c r="M6" i="136"/>
  <c r="M7" i="136"/>
  <c r="M8" i="136"/>
  <c r="M9" i="136"/>
  <c r="M10" i="136"/>
  <c r="M11" i="136"/>
  <c r="M12" i="136"/>
  <c r="M13" i="136"/>
  <c r="M14" i="136"/>
  <c r="M15" i="136"/>
  <c r="M16" i="136"/>
  <c r="M17" i="136"/>
  <c r="M18" i="136"/>
  <c r="M19" i="136"/>
  <c r="M20" i="136"/>
  <c r="M21" i="136"/>
  <c r="M22" i="136"/>
  <c r="M23" i="136"/>
  <c r="M24" i="136"/>
  <c r="M25" i="136"/>
  <c r="M26" i="136"/>
  <c r="M27" i="136"/>
  <c r="M28" i="136"/>
  <c r="M29" i="136"/>
  <c r="M30" i="136"/>
  <c r="M31" i="136"/>
  <c r="M32" i="136"/>
  <c r="M33" i="136"/>
  <c r="M35" i="136"/>
  <c r="M36" i="136"/>
  <c r="M37" i="136"/>
  <c r="M38" i="136"/>
  <c r="M39" i="136"/>
  <c r="M40" i="136"/>
  <c r="M41" i="136"/>
  <c r="M42" i="136"/>
  <c r="M43" i="136"/>
  <c r="M44" i="136"/>
  <c r="M45" i="136"/>
  <c r="M47" i="136"/>
  <c r="M48" i="136"/>
  <c r="M49" i="136"/>
  <c r="M50" i="136"/>
  <c r="M51" i="136"/>
  <c r="M52" i="136"/>
  <c r="M53" i="136"/>
  <c r="M54" i="136"/>
  <c r="M55" i="136"/>
  <c r="M56" i="136"/>
  <c r="M57" i="136"/>
  <c r="M58" i="136"/>
  <c r="M59" i="136"/>
  <c r="M60" i="136"/>
  <c r="M61" i="136"/>
  <c r="M62" i="136"/>
  <c r="M63" i="136"/>
  <c r="M64" i="136"/>
  <c r="M65" i="136"/>
  <c r="M66" i="136"/>
  <c r="M67" i="136"/>
  <c r="M68" i="136"/>
  <c r="M69" i="136"/>
  <c r="M70" i="136"/>
  <c r="M71" i="136"/>
  <c r="M72" i="136"/>
  <c r="M73" i="136"/>
  <c r="M74" i="136"/>
  <c r="M75" i="136"/>
  <c r="M76" i="136"/>
  <c r="M77" i="136"/>
  <c r="M78" i="136"/>
  <c r="M79" i="136"/>
  <c r="M80" i="136"/>
  <c r="M81" i="136"/>
  <c r="M82" i="136"/>
  <c r="M84" i="136"/>
  <c r="M85" i="136"/>
  <c r="M86" i="136"/>
  <c r="M87" i="136"/>
  <c r="M88" i="136"/>
  <c r="M89" i="136"/>
  <c r="M90" i="136"/>
  <c r="M91" i="136"/>
  <c r="M92" i="136"/>
  <c r="M93" i="136"/>
  <c r="M94" i="136"/>
  <c r="M96" i="136"/>
  <c r="N2" i="136"/>
  <c r="N3" i="136"/>
  <c r="N4" i="136"/>
  <c r="N5" i="136"/>
  <c r="N6" i="136"/>
  <c r="N7" i="136"/>
  <c r="N8" i="136"/>
  <c r="N9" i="136"/>
  <c r="N10" i="136"/>
  <c r="N11" i="136"/>
  <c r="N12" i="136"/>
  <c r="N13" i="136"/>
  <c r="N14" i="136"/>
  <c r="N15" i="136"/>
  <c r="N16" i="136"/>
  <c r="N17" i="136"/>
  <c r="N18" i="136"/>
  <c r="N19" i="136"/>
  <c r="N20" i="136"/>
  <c r="N21" i="136"/>
  <c r="N22" i="136"/>
  <c r="N23" i="136"/>
  <c r="N24" i="136"/>
  <c r="N25" i="136"/>
  <c r="N26" i="136"/>
  <c r="N27" i="136"/>
  <c r="N28" i="136"/>
  <c r="N29" i="136"/>
  <c r="N30" i="136"/>
  <c r="N31" i="136"/>
  <c r="N32" i="136"/>
  <c r="N33" i="136"/>
  <c r="N35" i="136"/>
  <c r="N36" i="136"/>
  <c r="N37" i="136"/>
  <c r="N38" i="136"/>
  <c r="N39" i="136"/>
  <c r="N40" i="136"/>
  <c r="N41" i="136"/>
  <c r="N42" i="136"/>
  <c r="N43" i="136"/>
  <c r="N44" i="136"/>
  <c r="N45" i="136"/>
  <c r="N47" i="136"/>
  <c r="N48" i="136"/>
  <c r="N49" i="136"/>
  <c r="N50" i="136"/>
  <c r="N51" i="136"/>
  <c r="N52" i="136"/>
  <c r="N53" i="136"/>
  <c r="N54" i="136"/>
  <c r="N55" i="136"/>
  <c r="N56" i="136"/>
  <c r="N57" i="136"/>
  <c r="N58" i="136"/>
  <c r="N59" i="136"/>
  <c r="N60" i="136"/>
  <c r="N61" i="136"/>
  <c r="N62" i="136"/>
  <c r="N63" i="136"/>
  <c r="N64" i="136"/>
  <c r="N65" i="136"/>
  <c r="N66" i="136"/>
  <c r="N67" i="136"/>
  <c r="N68" i="136"/>
  <c r="N69" i="136"/>
  <c r="N70" i="136"/>
  <c r="N71" i="136"/>
  <c r="N72" i="136"/>
  <c r="N73" i="136"/>
  <c r="N74" i="136"/>
  <c r="N75" i="136"/>
  <c r="N76" i="136"/>
  <c r="N77" i="136"/>
  <c r="N78" i="136"/>
  <c r="N79" i="136"/>
  <c r="N80" i="136"/>
  <c r="N81" i="136"/>
  <c r="N82" i="136"/>
  <c r="N84" i="136"/>
  <c r="N85" i="136"/>
  <c r="N86" i="136"/>
  <c r="N87" i="136"/>
  <c r="N88" i="136"/>
  <c r="N89" i="136"/>
  <c r="N90" i="136"/>
  <c r="N91" i="136"/>
  <c r="N92" i="136"/>
  <c r="N93" i="136"/>
  <c r="N94" i="136"/>
  <c r="N96" i="136"/>
  <c r="C2" i="54" a="1"/>
  <c r="C2" i="54" s="1"/>
  <c r="F3" i="120" a="1"/>
  <c r="F3" i="120" s="1"/>
  <c r="F4" i="120" a="1"/>
  <c r="F4" i="120" s="1"/>
  <c r="F6" i="120" a="1"/>
  <c r="F6" i="120" s="1"/>
  <c r="F7" i="120" a="1"/>
  <c r="F7" i="120" s="1"/>
  <c r="F8" i="120" a="1"/>
  <c r="F8" i="120" s="1"/>
  <c r="F9" i="120" a="1"/>
  <c r="F9" i="120" s="1"/>
  <c r="F10" i="120" a="1"/>
  <c r="F10" i="120" s="1"/>
  <c r="F13" i="120" a="1"/>
  <c r="F13" i="120" s="1"/>
  <c r="F14" i="120" a="1"/>
  <c r="F14" i="120" s="1"/>
  <c r="U2" i="59"/>
  <c r="U3" i="59"/>
  <c r="D19" i="60" s="1" a="1"/>
  <c r="D19" i="60" s="1"/>
  <c r="U4" i="59"/>
  <c r="U5" i="59"/>
  <c r="U6" i="59"/>
  <c r="U7" i="59"/>
  <c r="U8" i="59"/>
  <c r="U9" i="59"/>
  <c r="G10" i="59" a="1"/>
  <c r="G10" i="59" s="1"/>
  <c r="G11" i="59" a="1"/>
  <c r="G11" i="59" s="1"/>
  <c r="G12" i="59" a="1"/>
  <c r="G12" i="59" s="1"/>
  <c r="G13" i="59" a="1"/>
  <c r="G13" i="59" s="1"/>
  <c r="G14" i="59" a="1"/>
  <c r="G14" i="59" s="1"/>
  <c r="G15" i="59" a="1"/>
  <c r="G15" i="59" s="1"/>
  <c r="G16" i="59" a="1"/>
  <c r="G16" i="59" s="1"/>
  <c r="G17" i="59" a="1"/>
  <c r="G17" i="59" s="1"/>
  <c r="G19" i="59" a="1"/>
  <c r="G19" i="59" s="1"/>
  <c r="G20" i="59" a="1"/>
  <c r="G20" i="59" s="1"/>
  <c r="G21" i="59" a="1"/>
  <c r="G21" i="59" s="1"/>
  <c r="G22" i="59" a="1"/>
  <c r="G22" i="59" s="1"/>
  <c r="G23" i="59" a="1"/>
  <c r="G23" i="59" s="1"/>
  <c r="G24" i="59" a="1"/>
  <c r="G24" i="59" s="1"/>
  <c r="G25" i="59" a="1"/>
  <c r="G25" i="59" s="1"/>
  <c r="G26" i="59" a="1"/>
  <c r="G26" i="59" s="1"/>
  <c r="G27" i="59" a="1"/>
  <c r="G27" i="59" s="1"/>
  <c r="G28" i="59" a="1"/>
  <c r="G28" i="59" s="1"/>
  <c r="G29" i="59" a="1"/>
  <c r="G29" i="59" s="1"/>
  <c r="G30" i="59" a="1"/>
  <c r="G30" i="59" s="1"/>
  <c r="G31" i="59" a="1"/>
  <c r="G31" i="59" s="1"/>
  <c r="G32" i="59" a="1"/>
  <c r="G32" i="59" s="1"/>
  <c r="G33" i="59" a="1"/>
  <c r="G33" i="59" s="1"/>
  <c r="G34" i="59" a="1"/>
  <c r="G34" i="59" s="1"/>
  <c r="G35" i="59" a="1"/>
  <c r="G35" i="59" s="1"/>
  <c r="G36" i="59" a="1"/>
  <c r="G36" i="59" s="1"/>
  <c r="C3" i="54" a="1"/>
  <c r="C3" i="54" s="1"/>
  <c r="C4" i="54" a="1"/>
  <c r="C4" i="54" s="1"/>
  <c r="C5" i="54" a="1"/>
  <c r="C5" i="54" s="1"/>
  <c r="C6" i="54" a="1"/>
  <c r="C6" i="54" s="1"/>
  <c r="C7" i="54" a="1"/>
  <c r="C7" i="54" s="1"/>
  <c r="C8" i="54" a="1"/>
  <c r="C8" i="54" s="1"/>
  <c r="C9" i="54" a="1"/>
  <c r="C9" i="54" s="1"/>
  <c r="C10" i="54" a="1"/>
  <c r="C10" i="54" s="1"/>
  <c r="C11" i="54" a="1"/>
  <c r="C11" i="54" s="1"/>
  <c r="V7" i="59" l="1"/>
  <c r="D117" i="69" a="1"/>
  <c r="D117" i="69" s="1"/>
  <c r="V6" i="59"/>
  <c r="D257" i="60" a="1"/>
  <c r="D257" i="60" s="1"/>
  <c r="D256" i="60" a="1"/>
  <c r="D256" i="60" s="1"/>
  <c r="D253" i="60" a="1"/>
  <c r="D253" i="60" s="1"/>
  <c r="D254" i="60" a="1"/>
  <c r="D254" i="60" s="1"/>
  <c r="D255" i="60" a="1"/>
  <c r="D255" i="60" s="1"/>
  <c r="D101" i="60" a="1"/>
  <c r="D101" i="60" s="1"/>
  <c r="D103" i="60" a="1"/>
  <c r="D103" i="60" s="1"/>
  <c r="D104" i="60" a="1"/>
  <c r="D104" i="60" s="1"/>
  <c r="D5" i="60" a="1"/>
  <c r="D5" i="60" s="1"/>
  <c r="D13" i="60" a="1"/>
  <c r="D13" i="60" s="1"/>
  <c r="D6" i="60" a="1"/>
  <c r="D6" i="60" s="1"/>
  <c r="D7" i="60" a="1"/>
  <c r="D7" i="60" s="1"/>
  <c r="D8" i="60" a="1"/>
  <c r="D8" i="60" s="1"/>
  <c r="D2" i="60" a="1"/>
  <c r="D2" i="60" s="1"/>
  <c r="D9" i="60" a="1"/>
  <c r="D9" i="60" s="1"/>
  <c r="D105" i="60" a="1"/>
  <c r="D105" i="60" s="1"/>
  <c r="D3" i="60" a="1"/>
  <c r="D3" i="60" s="1"/>
  <c r="D11" i="60" a="1"/>
  <c r="D11" i="60" s="1"/>
  <c r="D10" i="60" a="1"/>
  <c r="D10" i="60" s="1"/>
  <c r="D12" i="60" a="1"/>
  <c r="D12" i="60" s="1"/>
  <c r="D102" i="60" a="1"/>
  <c r="D102" i="60" s="1"/>
  <c r="D4" i="60" a="1"/>
  <c r="D4" i="60" s="1"/>
  <c r="V4" i="59"/>
  <c r="D259" i="60" a="1"/>
  <c r="D259" i="60" s="1"/>
  <c r="D21" i="60" a="1"/>
  <c r="D21" i="60" s="1"/>
  <c r="D22" i="60" a="1"/>
  <c r="D22" i="60" s="1"/>
  <c r="D23" i="60" a="1"/>
  <c r="D23" i="60" s="1"/>
  <c r="D24" i="60" a="1"/>
  <c r="D24" i="60" s="1"/>
  <c r="D25" i="60" a="1"/>
  <c r="D25" i="60" s="1"/>
  <c r="D20" i="60" a="1"/>
  <c r="D20" i="60" s="1"/>
  <c r="D262" i="60" a="1"/>
  <c r="D262" i="60" s="1"/>
  <c r="D96" i="60" a="1"/>
  <c r="D96" i="60" s="1"/>
  <c r="V8" i="59"/>
  <c r="D106" i="60" a="1"/>
  <c r="D106" i="60" s="1"/>
  <c r="D114" i="60" a="1"/>
  <c r="D114" i="60" s="1"/>
  <c r="D107" i="60" a="1"/>
  <c r="D107" i="60" s="1"/>
  <c r="D115" i="60" a="1"/>
  <c r="D115" i="60" s="1"/>
  <c r="D108" i="60" a="1"/>
  <c r="D108" i="60" s="1"/>
  <c r="D116" i="60" a="1"/>
  <c r="D116" i="60" s="1"/>
  <c r="D109" i="60" a="1"/>
  <c r="D109" i="60" s="1"/>
  <c r="D111" i="60" a="1"/>
  <c r="D111" i="60" s="1"/>
  <c r="D112" i="60" a="1"/>
  <c r="D112" i="60" s="1"/>
  <c r="D110" i="60" a="1"/>
  <c r="D110" i="60" s="1"/>
  <c r="D113" i="60" a="1"/>
  <c r="D113" i="60" s="1"/>
  <c r="V5" i="59"/>
  <c r="D258" i="60" a="1"/>
  <c r="D258" i="60" s="1"/>
  <c r="D15" i="60" a="1"/>
  <c r="D15" i="60" s="1"/>
  <c r="D16" i="60" a="1"/>
  <c r="D16" i="60" s="1"/>
  <c r="D17" i="60" a="1"/>
  <c r="D17" i="60" s="1"/>
  <c r="D18" i="60" a="1"/>
  <c r="D18" i="60" s="1"/>
  <c r="V3" i="59"/>
  <c r="C3" i="59" s="1"/>
  <c r="V2" i="59"/>
  <c r="C2" i="59" s="1"/>
  <c r="V9" i="59"/>
  <c r="G2" i="59" l="1" a="1"/>
  <c r="G2" i="59" s="1"/>
  <c r="D2" i="59"/>
  <c r="E2" i="59"/>
  <c r="E3" i="54" a="1"/>
  <c r="E3" i="54" s="1"/>
  <c r="E4" i="54" a="1"/>
  <c r="E4" i="54" s="1"/>
  <c r="E5" i="54" a="1"/>
  <c r="E5" i="54" s="1"/>
  <c r="E6" i="54" a="1"/>
  <c r="E6" i="54" s="1"/>
  <c r="E7" i="54" a="1"/>
  <c r="E7" i="54" s="1"/>
  <c r="E8" i="54" a="1"/>
  <c r="E8" i="54" s="1"/>
  <c r="E9" i="54" a="1"/>
  <c r="E9" i="54" s="1"/>
  <c r="E10" i="54" a="1"/>
  <c r="E10" i="54" s="1"/>
  <c r="E11" i="54" a="1"/>
  <c r="E11" i="54" s="1"/>
  <c r="B52" i="72" l="1"/>
  <c r="B75" i="72"/>
  <c r="A110" i="122"/>
  <c r="B110" i="122" s="1"/>
  <c r="A111" i="122"/>
  <c r="A112" i="122"/>
  <c r="A113" i="122"/>
  <c r="C110" i="122"/>
  <c r="C111" i="122"/>
  <c r="C112" i="122"/>
  <c r="C113" i="122"/>
  <c r="E110" i="122"/>
  <c r="E111" i="122"/>
  <c r="E112" i="122"/>
  <c r="E113" i="122"/>
  <c r="F110" i="122"/>
  <c r="F111" i="122"/>
  <c r="F112" i="122"/>
  <c r="F113" i="122"/>
  <c r="H110" i="122"/>
  <c r="H111" i="122"/>
  <c r="H112" i="122"/>
  <c r="H113" i="122"/>
  <c r="I110" i="122"/>
  <c r="I111" i="122"/>
  <c r="I112" i="122"/>
  <c r="I113" i="122"/>
  <c r="J110" i="122"/>
  <c r="J111" i="122"/>
  <c r="J112" i="122"/>
  <c r="J113" i="122"/>
  <c r="K110" i="122"/>
  <c r="K111" i="122"/>
  <c r="K112" i="122"/>
  <c r="K113" i="122"/>
  <c r="L110" i="122"/>
  <c r="L111" i="122"/>
  <c r="L112" i="122"/>
  <c r="L113" i="122"/>
  <c r="Q110" i="122"/>
  <c r="Q111" i="122"/>
  <c r="Q112" i="122"/>
  <c r="Q113" i="122"/>
  <c r="G3" i="73"/>
  <c r="F3" i="73"/>
  <c r="D3" i="73"/>
  <c r="C3" i="73"/>
  <c r="G2" i="73"/>
  <c r="F2" i="73"/>
  <c r="D2" i="73"/>
  <c r="C2" i="73"/>
  <c r="A25" i="70"/>
  <c r="B25" i="70"/>
  <c r="C25" i="70"/>
  <c r="D25" i="70"/>
  <c r="E25" i="70"/>
  <c r="F25" i="70"/>
  <c r="G112" i="122" a="1"/>
  <c r="E3" i="73" a="1"/>
  <c r="G113" i="122" a="1"/>
  <c r="G111" i="122" a="1"/>
  <c r="G110" i="122" a="1"/>
  <c r="B111" i="122" l="1"/>
  <c r="B113" i="122"/>
  <c r="F83" i="72"/>
  <c r="M83" i="72" s="1"/>
  <c r="B112" i="122"/>
  <c r="F65" i="72"/>
  <c r="M65" i="72" s="1"/>
  <c r="F27" i="72"/>
  <c r="M27" i="72" s="1"/>
  <c r="F4" i="72"/>
  <c r="M4" i="72" s="1"/>
  <c r="F60" i="72"/>
  <c r="M60" i="72" s="1"/>
  <c r="F79" i="72"/>
  <c r="M79" i="72" s="1"/>
  <c r="F55" i="72"/>
  <c r="M55" i="72" s="1"/>
  <c r="F24" i="72"/>
  <c r="M24" i="72" s="1"/>
  <c r="F30" i="72"/>
  <c r="M30" i="72" s="1"/>
  <c r="F47" i="72"/>
  <c r="M47" i="72" s="1"/>
  <c r="F56" i="72"/>
  <c r="M56" i="72" s="1"/>
  <c r="F82" i="72"/>
  <c r="M82" i="72" s="1"/>
  <c r="F80" i="72"/>
  <c r="M80" i="72" s="1"/>
  <c r="F8" i="72"/>
  <c r="F2" i="72"/>
  <c r="M2" i="72" s="1"/>
  <c r="F51" i="72"/>
  <c r="M51" i="72" s="1"/>
  <c r="F49" i="72"/>
  <c r="M49" i="72" s="1"/>
  <c r="F36" i="72"/>
  <c r="M36" i="72" s="1"/>
  <c r="F42" i="72"/>
  <c r="M42" i="72" s="1"/>
  <c r="F63" i="72"/>
  <c r="M63" i="72" s="1"/>
  <c r="F23" i="72"/>
  <c r="M23" i="72" s="1"/>
  <c r="F3" i="72"/>
  <c r="M3" i="72" s="1"/>
  <c r="F77" i="72"/>
  <c r="M77" i="72" s="1"/>
  <c r="F29" i="72"/>
  <c r="F5" i="72"/>
  <c r="M5" i="72" s="1"/>
  <c r="F35" i="72"/>
  <c r="M35" i="72" s="1"/>
  <c r="F78" i="72"/>
  <c r="M78" i="72" s="1"/>
  <c r="F18" i="72"/>
  <c r="M18" i="72" s="1"/>
  <c r="F19" i="72"/>
  <c r="M19" i="72" s="1"/>
  <c r="F28" i="72"/>
  <c r="M28" i="72" s="1"/>
  <c r="F43" i="72"/>
  <c r="M43" i="72" s="1"/>
  <c r="F22" i="72"/>
  <c r="M22" i="72" s="1"/>
  <c r="F37" i="72"/>
  <c r="M37" i="72" s="1"/>
  <c r="F59" i="72"/>
  <c r="M59" i="72" s="1"/>
  <c r="F61" i="72"/>
  <c r="M61" i="72" s="1"/>
  <c r="F74" i="72"/>
  <c r="M74" i="72" s="1"/>
  <c r="F45" i="72"/>
  <c r="M45" i="72" s="1"/>
  <c r="F7" i="72"/>
  <c r="M7" i="72" s="1"/>
  <c r="F9" i="72"/>
  <c r="M9" i="72" s="1"/>
  <c r="F40" i="72"/>
  <c r="M40" i="72" s="1"/>
  <c r="F26" i="72"/>
  <c r="M26" i="72" s="1"/>
  <c r="F64" i="72"/>
  <c r="M64" i="72" s="1"/>
  <c r="F76" i="72"/>
  <c r="M76" i="72" s="1"/>
  <c r="F81" i="72"/>
  <c r="M81" i="72" s="1"/>
  <c r="F44" i="72"/>
  <c r="M44" i="72" s="1"/>
  <c r="F14" i="72"/>
  <c r="M14" i="72" s="1"/>
  <c r="F25" i="72"/>
  <c r="M25" i="72" s="1"/>
  <c r="F12" i="72"/>
  <c r="M12" i="72" s="1"/>
  <c r="F72" i="72"/>
  <c r="M72" i="72" s="1"/>
  <c r="F34" i="72"/>
  <c r="M34" i="72" s="1"/>
  <c r="F58" i="72"/>
  <c r="M58" i="72" s="1"/>
  <c r="F17" i="72"/>
  <c r="M17" i="72" s="1"/>
  <c r="F38" i="72"/>
  <c r="M38" i="72" s="1"/>
  <c r="F13" i="72"/>
  <c r="M13" i="72" s="1"/>
  <c r="F66" i="72"/>
  <c r="M66" i="72" s="1"/>
  <c r="F33" i="72"/>
  <c r="M33" i="72" s="1"/>
  <c r="F6" i="72"/>
  <c r="M6" i="72" s="1"/>
  <c r="F67" i="72"/>
  <c r="M67" i="72" s="1"/>
  <c r="F53" i="72"/>
  <c r="M53" i="72" s="1"/>
  <c r="F20" i="72"/>
  <c r="M20" i="72" s="1"/>
  <c r="F71" i="72"/>
  <c r="M71" i="72" s="1"/>
  <c r="F69" i="72"/>
  <c r="M69" i="72" s="1"/>
  <c r="F46" i="72"/>
  <c r="M46" i="72" s="1"/>
  <c r="F32" i="72"/>
  <c r="M32" i="72" s="1"/>
  <c r="F41" i="72"/>
  <c r="M41" i="72" s="1"/>
  <c r="F54" i="72"/>
  <c r="M54" i="72" s="1"/>
  <c r="F48" i="72"/>
  <c r="M48" i="72" s="1"/>
  <c r="F57" i="72"/>
  <c r="M57" i="72" s="1"/>
  <c r="F70" i="72"/>
  <c r="M70" i="72" s="1"/>
  <c r="F62" i="72"/>
  <c r="M62" i="72" s="1"/>
  <c r="F31" i="72"/>
  <c r="M31" i="72" s="1"/>
  <c r="F50" i="72"/>
  <c r="M50" i="72" s="1"/>
  <c r="F11" i="72"/>
  <c r="M11" i="72" s="1"/>
  <c r="F68" i="72"/>
  <c r="M68" i="72" s="1"/>
  <c r="F16" i="72"/>
  <c r="M16" i="72" s="1"/>
  <c r="F39" i="72"/>
  <c r="M39" i="72" s="1"/>
  <c r="F21" i="72"/>
  <c r="M21" i="72" s="1"/>
  <c r="F73" i="72"/>
  <c r="M73" i="72" s="1"/>
  <c r="F10" i="72"/>
  <c r="M10" i="72" s="1"/>
  <c r="F15" i="72"/>
  <c r="M15" i="72" s="1"/>
  <c r="H25" i="70"/>
  <c r="H2" i="119"/>
  <c r="F52" i="72"/>
  <c r="G110" i="122"/>
  <c r="G113" i="122"/>
  <c r="G111" i="122"/>
  <c r="G112" i="122"/>
  <c r="E3" i="73"/>
  <c r="U11" i="59" l="1"/>
  <c r="M11" i="59"/>
  <c r="L11" i="59"/>
  <c r="K11" i="59"/>
  <c r="J11" i="59"/>
  <c r="F11" i="59"/>
  <c r="B11" i="59"/>
  <c r="A11" i="59"/>
  <c r="E2" i="122"/>
  <c r="E3" i="122"/>
  <c r="E4" i="122"/>
  <c r="E5" i="122"/>
  <c r="E6" i="122"/>
  <c r="E7" i="122"/>
  <c r="E8" i="122"/>
  <c r="E9" i="122"/>
  <c r="E10" i="122"/>
  <c r="E11" i="122"/>
  <c r="E12" i="122"/>
  <c r="E13" i="122"/>
  <c r="E14" i="122"/>
  <c r="E15" i="122"/>
  <c r="E16" i="122"/>
  <c r="E17" i="122"/>
  <c r="E18" i="122"/>
  <c r="E19" i="122"/>
  <c r="E20" i="122"/>
  <c r="E21" i="122"/>
  <c r="E22" i="122"/>
  <c r="E23" i="122"/>
  <c r="E24" i="122"/>
  <c r="E25" i="122"/>
  <c r="E26" i="122"/>
  <c r="E27" i="122"/>
  <c r="E28" i="122"/>
  <c r="E29" i="122"/>
  <c r="E30" i="122"/>
  <c r="E31" i="122"/>
  <c r="E32" i="122"/>
  <c r="E33" i="122"/>
  <c r="E34" i="122"/>
  <c r="E35" i="122"/>
  <c r="E36" i="122"/>
  <c r="E37" i="122"/>
  <c r="E38" i="122"/>
  <c r="E39" i="122"/>
  <c r="E40" i="122"/>
  <c r="E41" i="122"/>
  <c r="E42" i="122"/>
  <c r="E43" i="122"/>
  <c r="E44" i="122"/>
  <c r="E45" i="122"/>
  <c r="E46" i="122"/>
  <c r="E47" i="122"/>
  <c r="E48" i="122"/>
  <c r="E49" i="122"/>
  <c r="E50" i="122"/>
  <c r="E51" i="122"/>
  <c r="E52" i="122"/>
  <c r="E53" i="122"/>
  <c r="E54" i="122"/>
  <c r="E55" i="122"/>
  <c r="E56" i="122"/>
  <c r="E57" i="122"/>
  <c r="E58" i="122"/>
  <c r="E59" i="122"/>
  <c r="E65" i="122"/>
  <c r="E66" i="122"/>
  <c r="E67" i="122"/>
  <c r="E68" i="122"/>
  <c r="E69" i="122"/>
  <c r="E70" i="122"/>
  <c r="E71" i="122"/>
  <c r="E72" i="122"/>
  <c r="E73" i="122"/>
  <c r="E74" i="122"/>
  <c r="E75" i="122"/>
  <c r="E76" i="122"/>
  <c r="E77" i="122"/>
  <c r="E78" i="122"/>
  <c r="E79" i="122"/>
  <c r="E80" i="122"/>
  <c r="E81" i="122"/>
  <c r="E82" i="122"/>
  <c r="E83" i="122"/>
  <c r="E84" i="122"/>
  <c r="E85" i="122"/>
  <c r="E86" i="122"/>
  <c r="E87" i="122"/>
  <c r="E88" i="122"/>
  <c r="E89" i="122"/>
  <c r="E90" i="122"/>
  <c r="E91" i="122"/>
  <c r="E92" i="122"/>
  <c r="E93" i="122"/>
  <c r="E94" i="122"/>
  <c r="E95" i="122"/>
  <c r="E96" i="122"/>
  <c r="E97" i="122"/>
  <c r="E98" i="122"/>
  <c r="E99" i="122"/>
  <c r="E100" i="122"/>
  <c r="E101" i="122"/>
  <c r="E102" i="122"/>
  <c r="E103" i="122"/>
  <c r="E104" i="122"/>
  <c r="E105" i="122"/>
  <c r="E106" i="122"/>
  <c r="E107" i="122"/>
  <c r="A2" i="122"/>
  <c r="B2" i="122" s="1"/>
  <c r="A3" i="122"/>
  <c r="A4" i="122"/>
  <c r="A5" i="122"/>
  <c r="A6" i="122"/>
  <c r="A7" i="122"/>
  <c r="A8" i="122"/>
  <c r="A9" i="122"/>
  <c r="A10" i="122"/>
  <c r="A11" i="122"/>
  <c r="A12" i="122"/>
  <c r="A13" i="122"/>
  <c r="A14" i="122"/>
  <c r="A15" i="122"/>
  <c r="A16" i="122"/>
  <c r="A17" i="122"/>
  <c r="A18" i="122"/>
  <c r="A19" i="122"/>
  <c r="A20" i="122"/>
  <c r="A21" i="122"/>
  <c r="A22" i="122"/>
  <c r="A23" i="122"/>
  <c r="A24" i="122"/>
  <c r="A25" i="122"/>
  <c r="A26" i="122"/>
  <c r="A27" i="122"/>
  <c r="A28" i="122"/>
  <c r="A29" i="122"/>
  <c r="A30" i="122"/>
  <c r="A31" i="122"/>
  <c r="A32" i="122"/>
  <c r="A33" i="122"/>
  <c r="A34" i="122"/>
  <c r="A35" i="122"/>
  <c r="A36" i="122"/>
  <c r="A37" i="122"/>
  <c r="A38" i="122"/>
  <c r="A39" i="122"/>
  <c r="A40" i="122"/>
  <c r="A41" i="122"/>
  <c r="A42" i="122"/>
  <c r="A43" i="122"/>
  <c r="A44" i="122"/>
  <c r="A45" i="122"/>
  <c r="A46" i="122"/>
  <c r="A47" i="122"/>
  <c r="A48" i="122"/>
  <c r="A49" i="122"/>
  <c r="A50" i="122"/>
  <c r="A51" i="122"/>
  <c r="A52" i="122"/>
  <c r="A53" i="122"/>
  <c r="A54" i="122"/>
  <c r="A55" i="122"/>
  <c r="A56" i="122"/>
  <c r="A57" i="122"/>
  <c r="A58" i="122"/>
  <c r="A59" i="122"/>
  <c r="A65" i="122"/>
  <c r="A66" i="122"/>
  <c r="A67" i="122"/>
  <c r="A68" i="122"/>
  <c r="A69" i="122"/>
  <c r="A70" i="122"/>
  <c r="A71" i="122"/>
  <c r="A72" i="122"/>
  <c r="A73" i="122"/>
  <c r="A74" i="122"/>
  <c r="A75" i="122"/>
  <c r="A76" i="122"/>
  <c r="A77" i="122"/>
  <c r="A78" i="122"/>
  <c r="A79" i="122"/>
  <c r="A80" i="122"/>
  <c r="A81" i="122"/>
  <c r="A82" i="122"/>
  <c r="A83" i="122"/>
  <c r="A84" i="122"/>
  <c r="A85" i="122"/>
  <c r="A86" i="122"/>
  <c r="A87" i="122"/>
  <c r="A88" i="122"/>
  <c r="A89" i="122"/>
  <c r="A90" i="122"/>
  <c r="A91" i="122"/>
  <c r="A92" i="122"/>
  <c r="A93" i="122"/>
  <c r="A94" i="122"/>
  <c r="A95" i="122"/>
  <c r="A96" i="122"/>
  <c r="A97" i="122"/>
  <c r="A98" i="122"/>
  <c r="A99" i="122"/>
  <c r="A100" i="122"/>
  <c r="A101" i="122"/>
  <c r="A102" i="122"/>
  <c r="A103" i="122"/>
  <c r="A104" i="122"/>
  <c r="A105" i="122"/>
  <c r="A106" i="122"/>
  <c r="A107" i="122"/>
  <c r="H2" i="52"/>
  <c r="F2" i="70"/>
  <c r="F3" i="70"/>
  <c r="F4" i="70"/>
  <c r="F5" i="70"/>
  <c r="F6" i="70"/>
  <c r="F7" i="70"/>
  <c r="F8" i="70"/>
  <c r="F9" i="70"/>
  <c r="F10" i="70"/>
  <c r="F11" i="70"/>
  <c r="F12" i="70"/>
  <c r="F13" i="70"/>
  <c r="F14" i="70"/>
  <c r="F15" i="70"/>
  <c r="F16" i="70"/>
  <c r="F17" i="70"/>
  <c r="F18" i="70"/>
  <c r="F19" i="70"/>
  <c r="F20" i="70"/>
  <c r="F21" i="70"/>
  <c r="F22" i="70"/>
  <c r="F23" i="70"/>
  <c r="F24" i="70"/>
  <c r="F26" i="70"/>
  <c r="F27" i="70"/>
  <c r="F28" i="70"/>
  <c r="F29" i="70"/>
  <c r="F30" i="70"/>
  <c r="F31" i="70"/>
  <c r="F32" i="70"/>
  <c r="F33" i="70"/>
  <c r="F34" i="70"/>
  <c r="X2" i="69"/>
  <c r="L2" i="57"/>
  <c r="L3" i="57"/>
  <c r="G2" i="118"/>
  <c r="G3" i="118"/>
  <c r="K14" i="120"/>
  <c r="K13" i="120"/>
  <c r="K10" i="120"/>
  <c r="K9" i="120"/>
  <c r="K8" i="120"/>
  <c r="K7" i="120"/>
  <c r="K6" i="120"/>
  <c r="K4" i="120"/>
  <c r="K3" i="120"/>
  <c r="K2" i="120"/>
  <c r="F2" i="71"/>
  <c r="F3" i="71"/>
  <c r="F2" i="74"/>
  <c r="H2" i="56"/>
  <c r="H3" i="56"/>
  <c r="H4" i="56"/>
  <c r="Y2" i="116"/>
  <c r="Y3" i="116"/>
  <c r="Y4" i="116"/>
  <c r="Y5" i="116"/>
  <c r="Y7" i="116"/>
  <c r="Y8" i="116"/>
  <c r="Y9" i="116"/>
  <c r="Y10" i="116"/>
  <c r="Y11" i="116"/>
  <c r="Y12" i="116"/>
  <c r="Y13" i="116"/>
  <c r="Y14" i="116"/>
  <c r="Y15" i="116"/>
  <c r="M2" i="59"/>
  <c r="M3" i="59"/>
  <c r="M4" i="59"/>
  <c r="M5" i="59"/>
  <c r="M6" i="59"/>
  <c r="M7" i="59"/>
  <c r="M8" i="59"/>
  <c r="M9" i="59"/>
  <c r="M10" i="59"/>
  <c r="M12" i="59"/>
  <c r="M13" i="59"/>
  <c r="M14" i="59"/>
  <c r="M15" i="59"/>
  <c r="M16" i="59"/>
  <c r="M17" i="59"/>
  <c r="M19" i="59"/>
  <c r="M20" i="59"/>
  <c r="M21" i="59"/>
  <c r="M22" i="59"/>
  <c r="M23" i="59"/>
  <c r="M24" i="59"/>
  <c r="M25" i="59"/>
  <c r="M26" i="59"/>
  <c r="M27" i="59"/>
  <c r="M28" i="59"/>
  <c r="M29" i="59"/>
  <c r="M30" i="59"/>
  <c r="M31" i="59"/>
  <c r="M32" i="59"/>
  <c r="M33" i="59"/>
  <c r="M34" i="59"/>
  <c r="M35" i="59"/>
  <c r="M36" i="59"/>
  <c r="J2" i="54"/>
  <c r="J3" i="54"/>
  <c r="J4" i="54"/>
  <c r="J5" i="54"/>
  <c r="J6" i="54"/>
  <c r="J7" i="54"/>
  <c r="J8" i="54"/>
  <c r="J9" i="54"/>
  <c r="J10" i="54"/>
  <c r="J11" i="54"/>
  <c r="L2" i="122"/>
  <c r="L3" i="122"/>
  <c r="L4" i="122"/>
  <c r="L5" i="122"/>
  <c r="L6" i="122"/>
  <c r="L7" i="122"/>
  <c r="L8" i="122"/>
  <c r="L9" i="122"/>
  <c r="L10" i="122"/>
  <c r="L11" i="122"/>
  <c r="L12" i="122"/>
  <c r="L13" i="122"/>
  <c r="L14" i="122"/>
  <c r="L15" i="122"/>
  <c r="L16" i="122"/>
  <c r="L17" i="122"/>
  <c r="L18" i="122"/>
  <c r="L19" i="122"/>
  <c r="L20" i="122"/>
  <c r="L21" i="122"/>
  <c r="L22" i="122"/>
  <c r="L23" i="122"/>
  <c r="L24" i="122"/>
  <c r="L25" i="122"/>
  <c r="L26" i="122"/>
  <c r="L27" i="122"/>
  <c r="L28" i="122"/>
  <c r="L29" i="122"/>
  <c r="L30" i="122"/>
  <c r="L31" i="122"/>
  <c r="L32" i="122"/>
  <c r="L33" i="122"/>
  <c r="L34" i="122"/>
  <c r="L35" i="122"/>
  <c r="L36" i="122"/>
  <c r="L37" i="122"/>
  <c r="L38" i="122"/>
  <c r="L39" i="122"/>
  <c r="L40" i="122"/>
  <c r="L41" i="122"/>
  <c r="L42" i="122"/>
  <c r="L43" i="122"/>
  <c r="L44" i="122"/>
  <c r="L45" i="122"/>
  <c r="L46" i="122"/>
  <c r="L47" i="122"/>
  <c r="L48" i="122"/>
  <c r="L49" i="122"/>
  <c r="L50" i="122"/>
  <c r="L51" i="122"/>
  <c r="L52" i="122"/>
  <c r="L53" i="122"/>
  <c r="L54" i="122"/>
  <c r="L55" i="122"/>
  <c r="L56" i="122"/>
  <c r="L57" i="122"/>
  <c r="L58" i="122"/>
  <c r="L59" i="122"/>
  <c r="L65" i="122"/>
  <c r="L66" i="122"/>
  <c r="L67" i="122"/>
  <c r="L68" i="122"/>
  <c r="L69" i="122"/>
  <c r="L70" i="122"/>
  <c r="L71" i="122"/>
  <c r="L72" i="122"/>
  <c r="L73" i="122"/>
  <c r="L74" i="122"/>
  <c r="L75" i="122"/>
  <c r="L76" i="122"/>
  <c r="L77" i="122"/>
  <c r="L78" i="122"/>
  <c r="L79" i="122"/>
  <c r="L80" i="122"/>
  <c r="L81" i="122"/>
  <c r="L82" i="122"/>
  <c r="L83" i="122"/>
  <c r="L84" i="122"/>
  <c r="L85" i="122"/>
  <c r="L86" i="122"/>
  <c r="L87" i="122"/>
  <c r="L88" i="122"/>
  <c r="L89" i="122"/>
  <c r="L90" i="122"/>
  <c r="L91" i="122"/>
  <c r="L92" i="122"/>
  <c r="L93" i="122"/>
  <c r="L94" i="122"/>
  <c r="L95" i="122"/>
  <c r="L96" i="122"/>
  <c r="L97" i="122"/>
  <c r="L98" i="122"/>
  <c r="L99" i="122"/>
  <c r="L100" i="122"/>
  <c r="L101" i="122"/>
  <c r="L102" i="122"/>
  <c r="L103" i="122"/>
  <c r="L104" i="122"/>
  <c r="L105" i="122"/>
  <c r="L106" i="122"/>
  <c r="L107" i="122"/>
  <c r="H3" i="52"/>
  <c r="H4" i="52"/>
  <c r="H6" i="52"/>
  <c r="H7" i="52"/>
  <c r="C2" i="91"/>
  <c r="C3" i="91"/>
  <c r="C4" i="91"/>
  <c r="C6" i="91"/>
  <c r="D3" i="119"/>
  <c r="C2" i="122"/>
  <c r="C3" i="122"/>
  <c r="C4" i="122"/>
  <c r="C5" i="122"/>
  <c r="C6" i="122"/>
  <c r="C7" i="122"/>
  <c r="C8" i="122"/>
  <c r="C9" i="122"/>
  <c r="C10" i="122"/>
  <c r="C11" i="122"/>
  <c r="C12" i="122"/>
  <c r="C13" i="122"/>
  <c r="C14" i="122"/>
  <c r="C15" i="122"/>
  <c r="C16" i="122"/>
  <c r="C17" i="122"/>
  <c r="C18" i="122"/>
  <c r="C19" i="122"/>
  <c r="C20" i="122"/>
  <c r="C21" i="122"/>
  <c r="C22" i="122"/>
  <c r="C23" i="122"/>
  <c r="C24" i="122"/>
  <c r="C25" i="122"/>
  <c r="C26" i="122"/>
  <c r="C27" i="122"/>
  <c r="C28" i="122"/>
  <c r="C29" i="122"/>
  <c r="C30" i="122"/>
  <c r="C31" i="122"/>
  <c r="C32" i="122"/>
  <c r="C33" i="122"/>
  <c r="C34" i="122"/>
  <c r="C35" i="122"/>
  <c r="C36" i="122"/>
  <c r="C37" i="122"/>
  <c r="C38" i="122"/>
  <c r="C39" i="122"/>
  <c r="C40" i="122"/>
  <c r="C41" i="122"/>
  <c r="C42" i="122"/>
  <c r="C43" i="122"/>
  <c r="C44" i="122"/>
  <c r="C45" i="122"/>
  <c r="C46" i="122"/>
  <c r="C47" i="122"/>
  <c r="C48" i="122"/>
  <c r="C49" i="122"/>
  <c r="C50" i="122"/>
  <c r="C51" i="122"/>
  <c r="C52" i="122"/>
  <c r="C53" i="122"/>
  <c r="C54" i="122"/>
  <c r="C55" i="122"/>
  <c r="C56" i="122"/>
  <c r="C57" i="122"/>
  <c r="C58" i="122"/>
  <c r="C59" i="122"/>
  <c r="C65" i="122"/>
  <c r="C66" i="122"/>
  <c r="C67" i="122"/>
  <c r="C68" i="122"/>
  <c r="C69" i="122"/>
  <c r="C70" i="122"/>
  <c r="C71" i="122"/>
  <c r="C72" i="122"/>
  <c r="C73" i="122"/>
  <c r="C74" i="122"/>
  <c r="C75" i="122"/>
  <c r="C76" i="122"/>
  <c r="C77" i="122"/>
  <c r="C78" i="122"/>
  <c r="C79" i="122"/>
  <c r="C80" i="122"/>
  <c r="C81" i="122"/>
  <c r="C82" i="122"/>
  <c r="C83" i="122"/>
  <c r="C84" i="122"/>
  <c r="C85" i="122"/>
  <c r="C86" i="122"/>
  <c r="C87" i="122"/>
  <c r="C88" i="122"/>
  <c r="C89" i="122"/>
  <c r="C90" i="122"/>
  <c r="C91" i="122"/>
  <c r="C92" i="122"/>
  <c r="C93" i="122"/>
  <c r="C94" i="122"/>
  <c r="C95" i="122"/>
  <c r="C96" i="122"/>
  <c r="C97" i="122"/>
  <c r="C98" i="122"/>
  <c r="C99" i="122"/>
  <c r="C100" i="122"/>
  <c r="C101" i="122"/>
  <c r="C102" i="122"/>
  <c r="C103" i="122"/>
  <c r="C104" i="122"/>
  <c r="C105" i="122"/>
  <c r="C106" i="122"/>
  <c r="C107" i="122"/>
  <c r="V11" i="59" l="1"/>
  <c r="D338" i="60" a="1"/>
  <c r="D338" i="60" s="1"/>
  <c r="B105" i="122"/>
  <c r="B97" i="122"/>
  <c r="B89" i="122"/>
  <c r="B81" i="122"/>
  <c r="B73" i="122"/>
  <c r="B52" i="122"/>
  <c r="B44" i="122"/>
  <c r="B36" i="122"/>
  <c r="B28" i="122"/>
  <c r="B20" i="122"/>
  <c r="B12" i="122"/>
  <c r="B58" i="122"/>
  <c r="B50" i="122"/>
  <c r="B42" i="122"/>
  <c r="B34" i="122"/>
  <c r="B26" i="122"/>
  <c r="B18" i="122"/>
  <c r="B101" i="122"/>
  <c r="B93" i="122"/>
  <c r="B85" i="122"/>
  <c r="B77" i="122"/>
  <c r="B69" i="122"/>
  <c r="B48" i="122"/>
  <c r="B40" i="122"/>
  <c r="B32" i="122"/>
  <c r="B24" i="122"/>
  <c r="B16" i="122"/>
  <c r="B99" i="122"/>
  <c r="B91" i="122"/>
  <c r="B83" i="122"/>
  <c r="B75" i="122"/>
  <c r="B67" i="122"/>
  <c r="B54" i="122"/>
  <c r="D108" i="122"/>
  <c r="B108" i="122"/>
  <c r="B46" i="122"/>
  <c r="D109" i="122"/>
  <c r="M109" i="122" s="1"/>
  <c r="B102" i="122"/>
  <c r="B94" i="122"/>
  <c r="B86" i="122"/>
  <c r="B78" i="122"/>
  <c r="B70" i="122"/>
  <c r="B103" i="122"/>
  <c r="B95" i="122"/>
  <c r="B87" i="122"/>
  <c r="B79" i="122"/>
  <c r="B71" i="122"/>
  <c r="B104" i="122"/>
  <c r="B96" i="122"/>
  <c r="B88" i="122"/>
  <c r="B80" i="122"/>
  <c r="B72" i="122"/>
  <c r="B100" i="122"/>
  <c r="B92" i="122"/>
  <c r="B84" i="122"/>
  <c r="B76" i="122"/>
  <c r="B68" i="122"/>
  <c r="B107" i="122"/>
  <c r="B106" i="122"/>
  <c r="B98" i="122"/>
  <c r="B90" i="122"/>
  <c r="B82" i="122"/>
  <c r="B74" i="122"/>
  <c r="B65" i="122"/>
  <c r="B66" i="122"/>
  <c r="B60" i="122"/>
  <c r="B51" i="122"/>
  <c r="B43" i="122"/>
  <c r="B35" i="122"/>
  <c r="B27" i="122"/>
  <c r="B19" i="122"/>
  <c r="B11" i="122"/>
  <c r="D60" i="122"/>
  <c r="B56" i="122"/>
  <c r="D61" i="122"/>
  <c r="B38" i="122"/>
  <c r="B30" i="122"/>
  <c r="B22" i="122"/>
  <c r="B14" i="122"/>
  <c r="D62" i="122"/>
  <c r="D63" i="122"/>
  <c r="B55" i="122"/>
  <c r="B47" i="122"/>
  <c r="B39" i="122"/>
  <c r="B31" i="122"/>
  <c r="B23" i="122"/>
  <c r="B15" i="122"/>
  <c r="B59" i="122"/>
  <c r="D64" i="122"/>
  <c r="B57" i="122"/>
  <c r="B49" i="122"/>
  <c r="B41" i="122"/>
  <c r="B33" i="122"/>
  <c r="B25" i="122"/>
  <c r="B17" i="122"/>
  <c r="B9" i="122"/>
  <c r="B53" i="122"/>
  <c r="B45" i="122"/>
  <c r="B37" i="122"/>
  <c r="B29" i="122"/>
  <c r="B21" i="122"/>
  <c r="B13" i="122"/>
  <c r="B10" i="122"/>
  <c r="D112" i="122"/>
  <c r="M112" i="122" s="1"/>
  <c r="D111" i="122"/>
  <c r="M111" i="122" s="1"/>
  <c r="D110" i="122"/>
  <c r="D113" i="122"/>
  <c r="M113" i="122" s="1"/>
  <c r="E11" i="59"/>
  <c r="C11" i="59"/>
  <c r="I11" i="59"/>
  <c r="D11" i="59"/>
  <c r="H11" i="59"/>
  <c r="B4" i="122"/>
  <c r="B8" i="122"/>
  <c r="B3" i="122"/>
  <c r="B5" i="122"/>
  <c r="B7" i="122"/>
  <c r="B6" i="122"/>
  <c r="D2" i="122"/>
  <c r="D14" i="122"/>
  <c r="D22" i="122"/>
  <c r="D30" i="122"/>
  <c r="D38" i="122"/>
  <c r="D46" i="122"/>
  <c r="D54" i="122"/>
  <c r="D67" i="122"/>
  <c r="D75" i="122"/>
  <c r="D91" i="122"/>
  <c r="D3" i="122"/>
  <c r="D15" i="122"/>
  <c r="D23" i="122"/>
  <c r="D31" i="122"/>
  <c r="D39" i="122"/>
  <c r="D47" i="122"/>
  <c r="D55" i="122"/>
  <c r="D68" i="122"/>
  <c r="D76" i="122"/>
  <c r="D84" i="122"/>
  <c r="D92" i="122"/>
  <c r="D100" i="122"/>
  <c r="D4" i="122"/>
  <c r="D10" i="122"/>
  <c r="D16" i="122"/>
  <c r="D24" i="122"/>
  <c r="D32" i="122"/>
  <c r="D40" i="122"/>
  <c r="D48" i="122"/>
  <c r="D56" i="122"/>
  <c r="D69" i="122"/>
  <c r="D77" i="122"/>
  <c r="D85" i="122"/>
  <c r="D93" i="122"/>
  <c r="D101" i="122"/>
  <c r="D17" i="122"/>
  <c r="D25" i="122"/>
  <c r="D33" i="122"/>
  <c r="D41" i="122"/>
  <c r="D49" i="122"/>
  <c r="D57" i="122"/>
  <c r="D70" i="122"/>
  <c r="D78" i="122"/>
  <c r="D86" i="122"/>
  <c r="D94" i="122"/>
  <c r="D102" i="122"/>
  <c r="D5" i="122"/>
  <c r="D6" i="122"/>
  <c r="D18" i="122"/>
  <c r="D26" i="122"/>
  <c r="D34" i="122"/>
  <c r="D42" i="122"/>
  <c r="D50" i="122"/>
  <c r="D58" i="122"/>
  <c r="D71" i="122"/>
  <c r="D79" i="122"/>
  <c r="D87" i="122"/>
  <c r="D95" i="122"/>
  <c r="D103" i="122"/>
  <c r="D7" i="122"/>
  <c r="D11" i="122"/>
  <c r="D19" i="122"/>
  <c r="D27" i="122"/>
  <c r="D35" i="122"/>
  <c r="D43" i="122"/>
  <c r="D51" i="122"/>
  <c r="D59" i="122"/>
  <c r="D72" i="122"/>
  <c r="D80" i="122"/>
  <c r="D88" i="122"/>
  <c r="D96" i="122"/>
  <c r="D104" i="122"/>
  <c r="D99" i="122"/>
  <c r="D8" i="122"/>
  <c r="D12" i="122"/>
  <c r="D20" i="122"/>
  <c r="D28" i="122"/>
  <c r="D36" i="122"/>
  <c r="D44" i="122"/>
  <c r="D52" i="122"/>
  <c r="D65" i="122"/>
  <c r="D73" i="122"/>
  <c r="D81" i="122"/>
  <c r="D89" i="122"/>
  <c r="D97" i="122"/>
  <c r="D105" i="122"/>
  <c r="D83" i="122"/>
  <c r="D13" i="122"/>
  <c r="D21" i="122"/>
  <c r="D29" i="122"/>
  <c r="D37" i="122"/>
  <c r="D45" i="122"/>
  <c r="D53" i="122"/>
  <c r="D66" i="122"/>
  <c r="D74" i="122"/>
  <c r="D82" i="122"/>
  <c r="D90" i="122"/>
  <c r="D98" i="122"/>
  <c r="D106" i="122"/>
  <c r="D9" i="122"/>
  <c r="D107" i="122"/>
  <c r="M108" i="122" l="1"/>
  <c r="M60" i="122"/>
  <c r="M61" i="122"/>
  <c r="M63" i="122"/>
  <c r="M62" i="122"/>
  <c r="M64" i="122"/>
  <c r="M110" i="122"/>
  <c r="N11" i="59"/>
  <c r="A2" i="91"/>
  <c r="A3" i="91"/>
  <c r="A4" i="91"/>
  <c r="A6" i="91"/>
  <c r="A34" i="70"/>
  <c r="B34" i="70"/>
  <c r="C34" i="70"/>
  <c r="D34" i="70"/>
  <c r="E34" i="70"/>
  <c r="I52" i="72"/>
  <c r="H52" i="72"/>
  <c r="H75" i="72"/>
  <c r="I75" i="72"/>
  <c r="K2" i="119"/>
  <c r="J2" i="119"/>
  <c r="J3" i="119"/>
  <c r="K3" i="119"/>
  <c r="S2" i="69"/>
  <c r="U10" i="59"/>
  <c r="U12" i="59"/>
  <c r="U13" i="59"/>
  <c r="U14" i="59"/>
  <c r="U15" i="59"/>
  <c r="U16" i="59"/>
  <c r="U17" i="59"/>
  <c r="U19" i="59"/>
  <c r="U20" i="59"/>
  <c r="U21" i="59"/>
  <c r="U22" i="59"/>
  <c r="U23" i="59"/>
  <c r="U24" i="59"/>
  <c r="U25" i="59"/>
  <c r="U26" i="59"/>
  <c r="U27" i="59"/>
  <c r="U28" i="59"/>
  <c r="U29" i="59"/>
  <c r="U30" i="59"/>
  <c r="U31" i="59"/>
  <c r="U32" i="59"/>
  <c r="U33" i="59"/>
  <c r="U34" i="59"/>
  <c r="U35" i="59"/>
  <c r="U36" i="59"/>
  <c r="B2" i="91"/>
  <c r="E2" i="70"/>
  <c r="E3" i="70"/>
  <c r="E4" i="70"/>
  <c r="E5" i="70"/>
  <c r="E6" i="70"/>
  <c r="E7" i="70"/>
  <c r="E8" i="70"/>
  <c r="E9" i="70"/>
  <c r="E10" i="70"/>
  <c r="E11" i="70"/>
  <c r="E12" i="70"/>
  <c r="E13" i="70"/>
  <c r="E14" i="70"/>
  <c r="E15" i="70"/>
  <c r="E16" i="70"/>
  <c r="E17" i="70"/>
  <c r="E18" i="70"/>
  <c r="E19" i="70"/>
  <c r="E20" i="70"/>
  <c r="E21" i="70"/>
  <c r="E22" i="70"/>
  <c r="E23" i="70"/>
  <c r="E24" i="70"/>
  <c r="E26" i="70"/>
  <c r="E27" i="70"/>
  <c r="E28" i="70"/>
  <c r="E29" i="70"/>
  <c r="E30" i="70"/>
  <c r="E31" i="70"/>
  <c r="E32" i="70"/>
  <c r="E33" i="70"/>
  <c r="D2" i="70"/>
  <c r="D3" i="70"/>
  <c r="D4" i="70"/>
  <c r="D5" i="70"/>
  <c r="D6" i="70"/>
  <c r="D7" i="70"/>
  <c r="D8" i="70"/>
  <c r="D9" i="70"/>
  <c r="D10" i="70"/>
  <c r="D11" i="70"/>
  <c r="D12" i="70"/>
  <c r="D13" i="70"/>
  <c r="D14" i="70"/>
  <c r="D15" i="70"/>
  <c r="D16" i="70"/>
  <c r="D17" i="70"/>
  <c r="D18" i="70"/>
  <c r="D19" i="70"/>
  <c r="D20" i="70"/>
  <c r="D21" i="70"/>
  <c r="D22" i="70"/>
  <c r="D23" i="70"/>
  <c r="D24" i="70"/>
  <c r="D26" i="70"/>
  <c r="D27" i="70"/>
  <c r="D28" i="70"/>
  <c r="D29" i="70"/>
  <c r="D30" i="70"/>
  <c r="D31" i="70"/>
  <c r="D32" i="70"/>
  <c r="D33" i="70"/>
  <c r="F2" i="118"/>
  <c r="F3" i="118"/>
  <c r="E2" i="118"/>
  <c r="E3" i="118"/>
  <c r="I2" i="120"/>
  <c r="I3" i="120"/>
  <c r="I4" i="120"/>
  <c r="I6" i="120"/>
  <c r="I7" i="120"/>
  <c r="I8" i="120"/>
  <c r="I9" i="120"/>
  <c r="I10" i="120"/>
  <c r="I13" i="120"/>
  <c r="I14" i="120"/>
  <c r="H2" i="120"/>
  <c r="H3" i="120"/>
  <c r="H4" i="120"/>
  <c r="H6" i="120"/>
  <c r="H7" i="120"/>
  <c r="H8" i="120"/>
  <c r="H9" i="120"/>
  <c r="H10" i="120"/>
  <c r="H13" i="120"/>
  <c r="H14" i="120"/>
  <c r="B2" i="117"/>
  <c r="B3" i="117"/>
  <c r="E2" i="74"/>
  <c r="D2" i="74"/>
  <c r="V15" i="59" l="1"/>
  <c r="D364" i="69" a="1"/>
  <c r="D364" i="69" s="1"/>
  <c r="D365" i="69" a="1"/>
  <c r="D365" i="69" s="1"/>
  <c r="V32" i="59"/>
  <c r="D106" i="69" a="1"/>
  <c r="D106" i="69" s="1"/>
  <c r="D102" i="69" a="1"/>
  <c r="D102" i="69" s="1"/>
  <c r="D87" i="69" a="1"/>
  <c r="D87" i="69" s="1"/>
  <c r="D103" i="69" a="1"/>
  <c r="D103" i="69" s="1"/>
  <c r="D104" i="69" a="1"/>
  <c r="D104" i="69" s="1"/>
  <c r="D105" i="69" a="1"/>
  <c r="D105" i="69" s="1"/>
  <c r="V14" i="59"/>
  <c r="H14" i="59" s="1"/>
  <c r="D190" i="69" a="1"/>
  <c r="D190" i="69" s="1"/>
  <c r="V29" i="59"/>
  <c r="D100" i="69" a="1"/>
  <c r="D100" i="69" s="1"/>
  <c r="V21" i="59"/>
  <c r="E21" i="59" s="1"/>
  <c r="D94" i="69" a="1"/>
  <c r="D94" i="69" s="1"/>
  <c r="V12" i="59"/>
  <c r="D179" i="69" a="1"/>
  <c r="D179" i="69" s="1"/>
  <c r="V31" i="59"/>
  <c r="D347" i="69" a="1"/>
  <c r="D347" i="69" s="1"/>
  <c r="V28" i="59"/>
  <c r="D350" i="69" a="1"/>
  <c r="D350" i="69" s="1"/>
  <c r="D343" i="69" a="1"/>
  <c r="D343" i="69" s="1"/>
  <c r="D328" i="69" a="1"/>
  <c r="D328" i="69" s="1"/>
  <c r="D344" i="69" a="1"/>
  <c r="D344" i="69" s="1"/>
  <c r="D329" i="69" a="1"/>
  <c r="D329" i="69" s="1"/>
  <c r="D345" i="69" a="1"/>
  <c r="D345" i="69" s="1"/>
  <c r="V20" i="59"/>
  <c r="D91" i="69" a="1"/>
  <c r="D91" i="69" s="1"/>
  <c r="D93" i="69" a="1"/>
  <c r="D93" i="69" s="1"/>
  <c r="D92" i="69" a="1"/>
  <c r="D92" i="69" s="1"/>
  <c r="V10" i="59"/>
  <c r="E10" i="59" s="1"/>
  <c r="D266" i="60" a="1"/>
  <c r="D266" i="60" s="1"/>
  <c r="D274" i="60" a="1"/>
  <c r="D274" i="60" s="1"/>
  <c r="D282" i="60" a="1"/>
  <c r="D282" i="60" s="1"/>
  <c r="D290" i="60" a="1"/>
  <c r="D290" i="60" s="1"/>
  <c r="D298" i="60" a="1"/>
  <c r="D298" i="60" s="1"/>
  <c r="D306" i="60" a="1"/>
  <c r="D306" i="60" s="1"/>
  <c r="D314" i="60" a="1"/>
  <c r="D314" i="60" s="1"/>
  <c r="D322" i="60" a="1"/>
  <c r="D322" i="60" s="1"/>
  <c r="D330" i="60" a="1"/>
  <c r="D330" i="60" s="1"/>
  <c r="D267" i="60" a="1"/>
  <c r="D267" i="60" s="1"/>
  <c r="D275" i="60" a="1"/>
  <c r="D275" i="60" s="1"/>
  <c r="D283" i="60" a="1"/>
  <c r="D283" i="60" s="1"/>
  <c r="D291" i="60" a="1"/>
  <c r="D291" i="60" s="1"/>
  <c r="D299" i="60" a="1"/>
  <c r="D299" i="60" s="1"/>
  <c r="D307" i="60" a="1"/>
  <c r="D307" i="60" s="1"/>
  <c r="D315" i="60" a="1"/>
  <c r="D315" i="60" s="1"/>
  <c r="D323" i="60" a="1"/>
  <c r="D323" i="60" s="1"/>
  <c r="D331" i="60" a="1"/>
  <c r="D331" i="60" s="1"/>
  <c r="D260" i="60" a="1"/>
  <c r="D260" i="60" s="1"/>
  <c r="D268" i="60" a="1"/>
  <c r="D268" i="60" s="1"/>
  <c r="D276" i="60" a="1"/>
  <c r="D276" i="60" s="1"/>
  <c r="D284" i="60" a="1"/>
  <c r="D284" i="60" s="1"/>
  <c r="D292" i="60" a="1"/>
  <c r="D292" i="60" s="1"/>
  <c r="D300" i="60" a="1"/>
  <c r="D300" i="60" s="1"/>
  <c r="D308" i="60" a="1"/>
  <c r="D308" i="60" s="1"/>
  <c r="D316" i="60" a="1"/>
  <c r="D316" i="60" s="1"/>
  <c r="D324" i="60" a="1"/>
  <c r="D324" i="60" s="1"/>
  <c r="D332" i="60" a="1"/>
  <c r="D332" i="60" s="1"/>
  <c r="D261" i="60" a="1"/>
  <c r="D261" i="60" s="1"/>
  <c r="D269" i="60" a="1"/>
  <c r="D269" i="60" s="1"/>
  <c r="D277" i="60" a="1"/>
  <c r="D277" i="60" s="1"/>
  <c r="D285" i="60" a="1"/>
  <c r="D285" i="60" s="1"/>
  <c r="D293" i="60" a="1"/>
  <c r="D293" i="60" s="1"/>
  <c r="D301" i="60" a="1"/>
  <c r="D301" i="60" s="1"/>
  <c r="D309" i="60" a="1"/>
  <c r="D309" i="60" s="1"/>
  <c r="D317" i="60" a="1"/>
  <c r="D317" i="60" s="1"/>
  <c r="D325" i="60" a="1"/>
  <c r="D325" i="60" s="1"/>
  <c r="D333" i="60" a="1"/>
  <c r="D333" i="60" s="1"/>
  <c r="D270" i="60" a="1"/>
  <c r="D270" i="60" s="1"/>
  <c r="D278" i="60" a="1"/>
  <c r="D278" i="60" s="1"/>
  <c r="D286" i="60" a="1"/>
  <c r="D286" i="60" s="1"/>
  <c r="D294" i="60" a="1"/>
  <c r="D294" i="60" s="1"/>
  <c r="D302" i="60" a="1"/>
  <c r="D302" i="60" s="1"/>
  <c r="D310" i="60" a="1"/>
  <c r="D310" i="60" s="1"/>
  <c r="D318" i="60" a="1"/>
  <c r="D318" i="60" s="1"/>
  <c r="D326" i="60" a="1"/>
  <c r="D326" i="60" s="1"/>
  <c r="D334" i="60" a="1"/>
  <c r="D334" i="60" s="1"/>
  <c r="D263" i="60" a="1"/>
  <c r="D263" i="60" s="1"/>
  <c r="D271" i="60" a="1"/>
  <c r="D271" i="60" s="1"/>
  <c r="D279" i="60" a="1"/>
  <c r="D279" i="60" s="1"/>
  <c r="D287" i="60" a="1"/>
  <c r="D287" i="60" s="1"/>
  <c r="D295" i="60" a="1"/>
  <c r="D295" i="60" s="1"/>
  <c r="D303" i="60" a="1"/>
  <c r="D303" i="60" s="1"/>
  <c r="D311" i="60" a="1"/>
  <c r="D311" i="60" s="1"/>
  <c r="D319" i="60" a="1"/>
  <c r="D319" i="60" s="1"/>
  <c r="D327" i="60" a="1"/>
  <c r="D327" i="60" s="1"/>
  <c r="D335" i="60" a="1"/>
  <c r="D335" i="60" s="1"/>
  <c r="D272" i="60" a="1"/>
  <c r="D272" i="60" s="1"/>
  <c r="D304" i="60" a="1"/>
  <c r="D304" i="60" s="1"/>
  <c r="D336" i="60" a="1"/>
  <c r="D336" i="60" s="1"/>
  <c r="D273" i="60" a="1"/>
  <c r="D273" i="60" s="1"/>
  <c r="D305" i="60" a="1"/>
  <c r="D305" i="60" s="1"/>
  <c r="D337" i="60" a="1"/>
  <c r="D337" i="60" s="1"/>
  <c r="D280" i="60" a="1"/>
  <c r="D280" i="60" s="1"/>
  <c r="D312" i="60" a="1"/>
  <c r="D312" i="60" s="1"/>
  <c r="D281" i="60" a="1"/>
  <c r="D281" i="60" s="1"/>
  <c r="D313" i="60" a="1"/>
  <c r="D313" i="60" s="1"/>
  <c r="D288" i="60" a="1"/>
  <c r="D288" i="60" s="1"/>
  <c r="D320" i="60" a="1"/>
  <c r="D320" i="60" s="1"/>
  <c r="D289" i="60" a="1"/>
  <c r="D289" i="60" s="1"/>
  <c r="D321" i="60" a="1"/>
  <c r="D321" i="60" s="1"/>
  <c r="D264" i="60" a="1"/>
  <c r="D264" i="60" s="1"/>
  <c r="D296" i="60" a="1"/>
  <c r="D296" i="60" s="1"/>
  <c r="D328" i="60" a="1"/>
  <c r="D328" i="60" s="1"/>
  <c r="D265" i="60" a="1"/>
  <c r="D265" i="60" s="1"/>
  <c r="D297" i="60" a="1"/>
  <c r="D297" i="60" s="1"/>
  <c r="D329" i="60" a="1"/>
  <c r="D329" i="60" s="1"/>
  <c r="D27" i="60" a="1"/>
  <c r="D27" i="60" s="1"/>
  <c r="D35" i="60" a="1"/>
  <c r="D35" i="60" s="1"/>
  <c r="D43" i="60" a="1"/>
  <c r="D43" i="60" s="1"/>
  <c r="D51" i="60" a="1"/>
  <c r="D51" i="60" s="1"/>
  <c r="D59" i="60" a="1"/>
  <c r="D59" i="60" s="1"/>
  <c r="D67" i="60" a="1"/>
  <c r="D67" i="60" s="1"/>
  <c r="D75" i="60" a="1"/>
  <c r="D75" i="60" s="1"/>
  <c r="D82" i="60" a="1"/>
  <c r="D82" i="60" s="1"/>
  <c r="D90" i="60" a="1"/>
  <c r="D90" i="60" s="1"/>
  <c r="D98" i="60" a="1"/>
  <c r="D98" i="60" s="1"/>
  <c r="D122" i="60" a="1"/>
  <c r="D122" i="60" s="1"/>
  <c r="D130" i="60" a="1"/>
  <c r="D130" i="60" s="1"/>
  <c r="D138" i="60" a="1"/>
  <c r="D138" i="60" s="1"/>
  <c r="D146" i="60" a="1"/>
  <c r="D146" i="60" s="1"/>
  <c r="D154" i="60" a="1"/>
  <c r="D154" i="60" s="1"/>
  <c r="D162" i="60" a="1"/>
  <c r="D162" i="60" s="1"/>
  <c r="D170" i="60" a="1"/>
  <c r="D170" i="60" s="1"/>
  <c r="D178" i="60" a="1"/>
  <c r="D178" i="60" s="1"/>
  <c r="D186" i="60" a="1"/>
  <c r="D186" i="60" s="1"/>
  <c r="D194" i="60" a="1"/>
  <c r="D194" i="60" s="1"/>
  <c r="D202" i="60" a="1"/>
  <c r="D202" i="60" s="1"/>
  <c r="D210" i="60" a="1"/>
  <c r="D210" i="60" s="1"/>
  <c r="D218" i="60" a="1"/>
  <c r="D218" i="60" s="1"/>
  <c r="D226" i="60" a="1"/>
  <c r="D226" i="60" s="1"/>
  <c r="D234" i="60" a="1"/>
  <c r="D234" i="60" s="1"/>
  <c r="D242" i="60" a="1"/>
  <c r="D242" i="60" s="1"/>
  <c r="D250" i="60" a="1"/>
  <c r="D250" i="60" s="1"/>
  <c r="D28" i="60" a="1"/>
  <c r="D28" i="60" s="1"/>
  <c r="D36" i="60" a="1"/>
  <c r="D36" i="60" s="1"/>
  <c r="D44" i="60" a="1"/>
  <c r="D44" i="60" s="1"/>
  <c r="D52" i="60" a="1"/>
  <c r="D52" i="60" s="1"/>
  <c r="D60" i="60" a="1"/>
  <c r="D60" i="60" s="1"/>
  <c r="D68" i="60" a="1"/>
  <c r="D68" i="60" s="1"/>
  <c r="D83" i="60" a="1"/>
  <c r="D83" i="60" s="1"/>
  <c r="D91" i="60" a="1"/>
  <c r="D91" i="60" s="1"/>
  <c r="D99" i="60" a="1"/>
  <c r="D99" i="60" s="1"/>
  <c r="D123" i="60" a="1"/>
  <c r="D123" i="60" s="1"/>
  <c r="D131" i="60" a="1"/>
  <c r="D131" i="60" s="1"/>
  <c r="D139" i="60" a="1"/>
  <c r="D139" i="60" s="1"/>
  <c r="D147" i="60" a="1"/>
  <c r="D147" i="60" s="1"/>
  <c r="D155" i="60" a="1"/>
  <c r="D155" i="60" s="1"/>
  <c r="D163" i="60" a="1"/>
  <c r="D163" i="60" s="1"/>
  <c r="D171" i="60" a="1"/>
  <c r="D171" i="60" s="1"/>
  <c r="D179" i="60" a="1"/>
  <c r="D179" i="60" s="1"/>
  <c r="D187" i="60" a="1"/>
  <c r="D187" i="60" s="1"/>
  <c r="D195" i="60" a="1"/>
  <c r="D195" i="60" s="1"/>
  <c r="D203" i="60" a="1"/>
  <c r="D203" i="60" s="1"/>
  <c r="D211" i="60" a="1"/>
  <c r="D211" i="60" s="1"/>
  <c r="D219" i="60" a="1"/>
  <c r="D219" i="60" s="1"/>
  <c r="D227" i="60" a="1"/>
  <c r="D227" i="60" s="1"/>
  <c r="D235" i="60" a="1"/>
  <c r="D235" i="60" s="1"/>
  <c r="D243" i="60" a="1"/>
  <c r="D243" i="60" s="1"/>
  <c r="D251" i="60" a="1"/>
  <c r="D251" i="60" s="1"/>
  <c r="D29" i="60" a="1"/>
  <c r="D29" i="60" s="1"/>
  <c r="D37" i="60" a="1"/>
  <c r="D37" i="60" s="1"/>
  <c r="D45" i="60" a="1"/>
  <c r="D45" i="60" s="1"/>
  <c r="D53" i="60" a="1"/>
  <c r="D53" i="60" s="1"/>
  <c r="D61" i="60" a="1"/>
  <c r="D61" i="60" s="1"/>
  <c r="D69" i="60" a="1"/>
  <c r="D69" i="60" s="1"/>
  <c r="D76" i="60" a="1"/>
  <c r="D76" i="60" s="1"/>
  <c r="D84" i="60" a="1"/>
  <c r="D84" i="60" s="1"/>
  <c r="D92" i="60" a="1"/>
  <c r="D92" i="60" s="1"/>
  <c r="D100" i="60" a="1"/>
  <c r="D100" i="60" s="1"/>
  <c r="D124" i="60" a="1"/>
  <c r="D124" i="60" s="1"/>
  <c r="D132" i="60" a="1"/>
  <c r="D132" i="60" s="1"/>
  <c r="D140" i="60" a="1"/>
  <c r="D140" i="60" s="1"/>
  <c r="D148" i="60" a="1"/>
  <c r="D148" i="60" s="1"/>
  <c r="D156" i="60" a="1"/>
  <c r="D156" i="60" s="1"/>
  <c r="D164" i="60" a="1"/>
  <c r="D164" i="60" s="1"/>
  <c r="D172" i="60" a="1"/>
  <c r="D172" i="60" s="1"/>
  <c r="D180" i="60" a="1"/>
  <c r="D180" i="60" s="1"/>
  <c r="D188" i="60" a="1"/>
  <c r="D188" i="60" s="1"/>
  <c r="D196" i="60" a="1"/>
  <c r="D196" i="60" s="1"/>
  <c r="D204" i="60" a="1"/>
  <c r="D204" i="60" s="1"/>
  <c r="D212" i="60" a="1"/>
  <c r="D212" i="60" s="1"/>
  <c r="D220" i="60" a="1"/>
  <c r="D220" i="60" s="1"/>
  <c r="D228" i="60" a="1"/>
  <c r="D228" i="60" s="1"/>
  <c r="D236" i="60" a="1"/>
  <c r="D236" i="60" s="1"/>
  <c r="D244" i="60" a="1"/>
  <c r="D244" i="60" s="1"/>
  <c r="D252" i="60" a="1"/>
  <c r="D252" i="60" s="1"/>
  <c r="D30" i="60" a="1"/>
  <c r="D30" i="60" s="1"/>
  <c r="D38" i="60" a="1"/>
  <c r="D38" i="60" s="1"/>
  <c r="D46" i="60" a="1"/>
  <c r="D46" i="60" s="1"/>
  <c r="D54" i="60" a="1"/>
  <c r="D54" i="60" s="1"/>
  <c r="D62" i="60" a="1"/>
  <c r="D62" i="60" s="1"/>
  <c r="D70" i="60" a="1"/>
  <c r="D70" i="60" s="1"/>
  <c r="D77" i="60" a="1"/>
  <c r="D77" i="60" s="1"/>
  <c r="D85" i="60" a="1"/>
  <c r="D85" i="60" s="1"/>
  <c r="D93" i="60" a="1"/>
  <c r="D93" i="60" s="1"/>
  <c r="D117" i="60" a="1"/>
  <c r="D117" i="60" s="1"/>
  <c r="D125" i="60" a="1"/>
  <c r="D125" i="60" s="1"/>
  <c r="D133" i="60" a="1"/>
  <c r="D133" i="60" s="1"/>
  <c r="D141" i="60" a="1"/>
  <c r="D141" i="60" s="1"/>
  <c r="D149" i="60" a="1"/>
  <c r="D149" i="60" s="1"/>
  <c r="D157" i="60" a="1"/>
  <c r="D157" i="60" s="1"/>
  <c r="D165" i="60" a="1"/>
  <c r="D165" i="60" s="1"/>
  <c r="D173" i="60" a="1"/>
  <c r="D173" i="60" s="1"/>
  <c r="D181" i="60" a="1"/>
  <c r="D181" i="60" s="1"/>
  <c r="D189" i="60" a="1"/>
  <c r="D189" i="60" s="1"/>
  <c r="D197" i="60" a="1"/>
  <c r="D197" i="60" s="1"/>
  <c r="D205" i="60" a="1"/>
  <c r="D205" i="60" s="1"/>
  <c r="D213" i="60" a="1"/>
  <c r="D213" i="60" s="1"/>
  <c r="D221" i="60" a="1"/>
  <c r="D221" i="60" s="1"/>
  <c r="D229" i="60" a="1"/>
  <c r="D229" i="60" s="1"/>
  <c r="D237" i="60" a="1"/>
  <c r="D237" i="60" s="1"/>
  <c r="D245" i="60" a="1"/>
  <c r="D245" i="60" s="1"/>
  <c r="D32" i="60" a="1"/>
  <c r="D32" i="60" s="1"/>
  <c r="D40" i="60" a="1"/>
  <c r="D40" i="60" s="1"/>
  <c r="D48" i="60" a="1"/>
  <c r="D48" i="60" s="1"/>
  <c r="D56" i="60" a="1"/>
  <c r="D56" i="60" s="1"/>
  <c r="D64" i="60" a="1"/>
  <c r="D64" i="60" s="1"/>
  <c r="D72" i="60" a="1"/>
  <c r="D72" i="60" s="1"/>
  <c r="D79" i="60" a="1"/>
  <c r="D79" i="60" s="1"/>
  <c r="D87" i="60" a="1"/>
  <c r="D87" i="60" s="1"/>
  <c r="D95" i="60" a="1"/>
  <c r="D95" i="60" s="1"/>
  <c r="D119" i="60" a="1"/>
  <c r="D119" i="60" s="1"/>
  <c r="D127" i="60" a="1"/>
  <c r="D127" i="60" s="1"/>
  <c r="D135" i="60" a="1"/>
  <c r="D135" i="60" s="1"/>
  <c r="D143" i="60" a="1"/>
  <c r="D143" i="60" s="1"/>
  <c r="D151" i="60" a="1"/>
  <c r="D151" i="60" s="1"/>
  <c r="D159" i="60" a="1"/>
  <c r="D159" i="60" s="1"/>
  <c r="D167" i="60" a="1"/>
  <c r="D167" i="60" s="1"/>
  <c r="D175" i="60" a="1"/>
  <c r="D175" i="60" s="1"/>
  <c r="D183" i="60" a="1"/>
  <c r="D183" i="60" s="1"/>
  <c r="D191" i="60" a="1"/>
  <c r="D191" i="60" s="1"/>
  <c r="D199" i="60" a="1"/>
  <c r="D199" i="60" s="1"/>
  <c r="D207" i="60" a="1"/>
  <c r="D207" i="60" s="1"/>
  <c r="D215" i="60" a="1"/>
  <c r="D215" i="60" s="1"/>
  <c r="D223" i="60" a="1"/>
  <c r="D223" i="60" s="1"/>
  <c r="D231" i="60" a="1"/>
  <c r="D231" i="60" s="1"/>
  <c r="D239" i="60" a="1"/>
  <c r="D239" i="60" s="1"/>
  <c r="D247" i="60" a="1"/>
  <c r="D247" i="60" s="1"/>
  <c r="D33" i="60" a="1"/>
  <c r="D33" i="60" s="1"/>
  <c r="D41" i="60" a="1"/>
  <c r="D41" i="60" s="1"/>
  <c r="D49" i="60" a="1"/>
  <c r="D49" i="60" s="1"/>
  <c r="D57" i="60" a="1"/>
  <c r="D57" i="60" s="1"/>
  <c r="D65" i="60" a="1"/>
  <c r="D65" i="60" s="1"/>
  <c r="D73" i="60" a="1"/>
  <c r="D73" i="60" s="1"/>
  <c r="D80" i="60" a="1"/>
  <c r="D80" i="60" s="1"/>
  <c r="D88" i="60" a="1"/>
  <c r="D88" i="60" s="1"/>
  <c r="D120" i="60" a="1"/>
  <c r="D120" i="60" s="1"/>
  <c r="D128" i="60" a="1"/>
  <c r="D128" i="60" s="1"/>
  <c r="D136" i="60" a="1"/>
  <c r="D136" i="60" s="1"/>
  <c r="D144" i="60" a="1"/>
  <c r="D144" i="60" s="1"/>
  <c r="D152" i="60" a="1"/>
  <c r="D152" i="60" s="1"/>
  <c r="D160" i="60" a="1"/>
  <c r="D160" i="60" s="1"/>
  <c r="D168" i="60" a="1"/>
  <c r="D168" i="60" s="1"/>
  <c r="D176" i="60" a="1"/>
  <c r="D176" i="60" s="1"/>
  <c r="D184" i="60" a="1"/>
  <c r="D184" i="60" s="1"/>
  <c r="D192" i="60" a="1"/>
  <c r="D192" i="60" s="1"/>
  <c r="D200" i="60" a="1"/>
  <c r="D200" i="60" s="1"/>
  <c r="D208" i="60" a="1"/>
  <c r="D208" i="60" s="1"/>
  <c r="D216" i="60" a="1"/>
  <c r="D216" i="60" s="1"/>
  <c r="D224" i="60" a="1"/>
  <c r="D224" i="60" s="1"/>
  <c r="D232" i="60" a="1"/>
  <c r="D232" i="60" s="1"/>
  <c r="D240" i="60" a="1"/>
  <c r="D240" i="60" s="1"/>
  <c r="D248" i="60" a="1"/>
  <c r="D248" i="60" s="1"/>
  <c r="D47" i="60" a="1"/>
  <c r="D47" i="60" s="1"/>
  <c r="D78" i="60" a="1"/>
  <c r="D78" i="60" s="1"/>
  <c r="D142" i="60" a="1"/>
  <c r="D142" i="60" s="1"/>
  <c r="D174" i="60" a="1"/>
  <c r="D174" i="60" s="1"/>
  <c r="D206" i="60" a="1"/>
  <c r="D206" i="60" s="1"/>
  <c r="D238" i="60" a="1"/>
  <c r="D238" i="60" s="1"/>
  <c r="D50" i="60" a="1"/>
  <c r="D50" i="60" s="1"/>
  <c r="D81" i="60" a="1"/>
  <c r="D81" i="60" s="1"/>
  <c r="D145" i="60" a="1"/>
  <c r="D145" i="60" s="1"/>
  <c r="D177" i="60" a="1"/>
  <c r="D177" i="60" s="1"/>
  <c r="D209" i="60" a="1"/>
  <c r="D209" i="60" s="1"/>
  <c r="D241" i="60" a="1"/>
  <c r="D241" i="60" s="1"/>
  <c r="D55" i="60" a="1"/>
  <c r="D55" i="60" s="1"/>
  <c r="D86" i="60" a="1"/>
  <c r="D86" i="60" s="1"/>
  <c r="D118" i="60" a="1"/>
  <c r="D118" i="60" s="1"/>
  <c r="D150" i="60" a="1"/>
  <c r="D150" i="60" s="1"/>
  <c r="D182" i="60" a="1"/>
  <c r="D182" i="60" s="1"/>
  <c r="D214" i="60" a="1"/>
  <c r="D214" i="60" s="1"/>
  <c r="D246" i="60" a="1"/>
  <c r="D246" i="60" s="1"/>
  <c r="D26" i="60" a="1"/>
  <c r="D26" i="60" s="1"/>
  <c r="D58" i="60" a="1"/>
  <c r="D58" i="60" s="1"/>
  <c r="D89" i="60" a="1"/>
  <c r="D89" i="60" s="1"/>
  <c r="D121" i="60" a="1"/>
  <c r="D121" i="60" s="1"/>
  <c r="D153" i="60" a="1"/>
  <c r="D153" i="60" s="1"/>
  <c r="D185" i="60" a="1"/>
  <c r="D185" i="60" s="1"/>
  <c r="D217" i="60" a="1"/>
  <c r="D217" i="60" s="1"/>
  <c r="D249" i="60" a="1"/>
  <c r="D249" i="60" s="1"/>
  <c r="D31" i="60" a="1"/>
  <c r="D31" i="60" s="1"/>
  <c r="D63" i="60" a="1"/>
  <c r="D63" i="60" s="1"/>
  <c r="D94" i="60" a="1"/>
  <c r="D94" i="60" s="1"/>
  <c r="D126" i="60" a="1"/>
  <c r="D126" i="60" s="1"/>
  <c r="D158" i="60" a="1"/>
  <c r="D158" i="60" s="1"/>
  <c r="D190" i="60" a="1"/>
  <c r="D190" i="60" s="1"/>
  <c r="D222" i="60" a="1"/>
  <c r="D222" i="60" s="1"/>
  <c r="D34" i="60" a="1"/>
  <c r="D34" i="60" s="1"/>
  <c r="D66" i="60" a="1"/>
  <c r="D66" i="60" s="1"/>
  <c r="D97" i="60" a="1"/>
  <c r="D97" i="60" s="1"/>
  <c r="D129" i="60" a="1"/>
  <c r="D129" i="60" s="1"/>
  <c r="D161" i="60" a="1"/>
  <c r="D161" i="60" s="1"/>
  <c r="D193" i="60" a="1"/>
  <c r="D193" i="60" s="1"/>
  <c r="D225" i="60" a="1"/>
  <c r="D225" i="60" s="1"/>
  <c r="D42" i="60" a="1"/>
  <c r="D42" i="60" s="1"/>
  <c r="D74" i="60" a="1"/>
  <c r="D74" i="60" s="1"/>
  <c r="D137" i="60" a="1"/>
  <c r="D137" i="60" s="1"/>
  <c r="D169" i="60" a="1"/>
  <c r="D169" i="60" s="1"/>
  <c r="D201" i="60" a="1"/>
  <c r="D201" i="60" s="1"/>
  <c r="D233" i="60" a="1"/>
  <c r="D233" i="60" s="1"/>
  <c r="D39" i="60" a="1"/>
  <c r="D39" i="60" s="1"/>
  <c r="D71" i="60" a="1"/>
  <c r="D71" i="60" s="1"/>
  <c r="D166" i="60" a="1"/>
  <c r="D166" i="60" s="1"/>
  <c r="D198" i="60" a="1"/>
  <c r="D198" i="60" s="1"/>
  <c r="D230" i="60" a="1"/>
  <c r="D230" i="60" s="1"/>
  <c r="D134" i="60" a="1"/>
  <c r="D134" i="60" s="1"/>
  <c r="V24" i="59"/>
  <c r="C24" i="59" s="1"/>
  <c r="D95" i="69" a="1"/>
  <c r="D95" i="69" s="1"/>
  <c r="V22" i="59"/>
  <c r="H22" i="59" s="1"/>
  <c r="D333" i="69" a="1"/>
  <c r="D333" i="69" s="1"/>
  <c r="D334" i="69" a="1"/>
  <c r="D334" i="69" s="1"/>
  <c r="D335" i="69" a="1"/>
  <c r="D335" i="69" s="1"/>
  <c r="D336" i="69" a="1"/>
  <c r="D336" i="69" s="1"/>
  <c r="V35" i="59"/>
  <c r="H35" i="59" s="1"/>
  <c r="D109" i="69" a="1"/>
  <c r="D109" i="69" s="1"/>
  <c r="V27" i="59"/>
  <c r="D340" i="69" a="1"/>
  <c r="D340" i="69" s="1"/>
  <c r="D341" i="69" a="1"/>
  <c r="D341" i="69" s="1"/>
  <c r="D342" i="69" a="1"/>
  <c r="D342" i="69" s="1"/>
  <c r="V19" i="59"/>
  <c r="D332" i="69" a="1"/>
  <c r="D332" i="69" s="1"/>
  <c r="D331" i="69" a="1"/>
  <c r="D331" i="69" s="1"/>
  <c r="V30" i="59"/>
  <c r="E30" i="59" s="1"/>
  <c r="D346" i="69" a="1"/>
  <c r="D346" i="69" s="1"/>
  <c r="D101" i="69" a="1"/>
  <c r="D101" i="69" s="1"/>
  <c r="V34" i="59"/>
  <c r="D349" i="69" a="1"/>
  <c r="D349" i="69" s="1"/>
  <c r="V26" i="59"/>
  <c r="D338" i="69" a="1"/>
  <c r="D338" i="69" s="1"/>
  <c r="D339" i="69" a="1"/>
  <c r="D339" i="69" s="1"/>
  <c r="V17" i="59"/>
  <c r="C17" i="59" s="1"/>
  <c r="D370" i="69" a="1"/>
  <c r="D370" i="69" s="1"/>
  <c r="D378" i="69" a="1"/>
  <c r="D378" i="69" s="1"/>
  <c r="D386" i="69" a="1"/>
  <c r="D386" i="69" s="1"/>
  <c r="D394" i="69" a="1"/>
  <c r="D394" i="69" s="1"/>
  <c r="D371" i="69" a="1"/>
  <c r="D371" i="69" s="1"/>
  <c r="D379" i="69" a="1"/>
  <c r="D379" i="69" s="1"/>
  <c r="D387" i="69" a="1"/>
  <c r="D387" i="69" s="1"/>
  <c r="D395" i="69" a="1"/>
  <c r="D395" i="69" s="1"/>
  <c r="D372" i="69" a="1"/>
  <c r="D372" i="69" s="1"/>
  <c r="D380" i="69" a="1"/>
  <c r="D380" i="69" s="1"/>
  <c r="D388" i="69" a="1"/>
  <c r="D388" i="69" s="1"/>
  <c r="D396" i="69" a="1"/>
  <c r="D396" i="69" s="1"/>
  <c r="D373" i="69" a="1"/>
  <c r="D373" i="69" s="1"/>
  <c r="D381" i="69" a="1"/>
  <c r="D381" i="69" s="1"/>
  <c r="D389" i="69" a="1"/>
  <c r="D389" i="69" s="1"/>
  <c r="D366" i="69" a="1"/>
  <c r="D366" i="69" s="1"/>
  <c r="D374" i="69" a="1"/>
  <c r="D374" i="69" s="1"/>
  <c r="D382" i="69" a="1"/>
  <c r="D382" i="69" s="1"/>
  <c r="D390" i="69" a="1"/>
  <c r="D390" i="69" s="1"/>
  <c r="D367" i="69" a="1"/>
  <c r="D367" i="69" s="1"/>
  <c r="D375" i="69" a="1"/>
  <c r="D375" i="69" s="1"/>
  <c r="D383" i="69" a="1"/>
  <c r="D383" i="69" s="1"/>
  <c r="D391" i="69" a="1"/>
  <c r="D391" i="69" s="1"/>
  <c r="D368" i="69" a="1"/>
  <c r="D368" i="69" s="1"/>
  <c r="D193" i="69" a="1"/>
  <c r="D193" i="69" s="1"/>
  <c r="D201" i="69" a="1"/>
  <c r="D201" i="69" s="1"/>
  <c r="D209" i="69" a="1"/>
  <c r="D209" i="69" s="1"/>
  <c r="D217" i="69" a="1"/>
  <c r="D217" i="69" s="1"/>
  <c r="D225" i="69" a="1"/>
  <c r="D225" i="69" s="1"/>
  <c r="D233" i="69" a="1"/>
  <c r="D233" i="69" s="1"/>
  <c r="D241" i="69" a="1"/>
  <c r="D241" i="69" s="1"/>
  <c r="D249" i="69" a="1"/>
  <c r="D249" i="69" s="1"/>
  <c r="D257" i="69" a="1"/>
  <c r="D257" i="69" s="1"/>
  <c r="D265" i="69" a="1"/>
  <c r="D265" i="69" s="1"/>
  <c r="D273" i="69" a="1"/>
  <c r="D273" i="69" s="1"/>
  <c r="D369" i="69" a="1"/>
  <c r="D369" i="69" s="1"/>
  <c r="D177" i="69" a="1"/>
  <c r="D177" i="69" s="1"/>
  <c r="D194" i="69" a="1"/>
  <c r="D194" i="69" s="1"/>
  <c r="D202" i="69" a="1"/>
  <c r="D202" i="69" s="1"/>
  <c r="D210" i="69" a="1"/>
  <c r="D210" i="69" s="1"/>
  <c r="D218" i="69" a="1"/>
  <c r="D218" i="69" s="1"/>
  <c r="D226" i="69" a="1"/>
  <c r="D226" i="69" s="1"/>
  <c r="D234" i="69" a="1"/>
  <c r="D234" i="69" s="1"/>
  <c r="D242" i="69" a="1"/>
  <c r="D242" i="69" s="1"/>
  <c r="D250" i="69" a="1"/>
  <c r="D250" i="69" s="1"/>
  <c r="D258" i="69" a="1"/>
  <c r="D258" i="69" s="1"/>
  <c r="D266" i="69" a="1"/>
  <c r="D266" i="69" s="1"/>
  <c r="D274" i="69" a="1"/>
  <c r="D274" i="69" s="1"/>
  <c r="D376" i="69" a="1"/>
  <c r="D376" i="69" s="1"/>
  <c r="D178" i="69" a="1"/>
  <c r="D178" i="69" s="1"/>
  <c r="D195" i="69" a="1"/>
  <c r="D195" i="69" s="1"/>
  <c r="D203" i="69" a="1"/>
  <c r="D203" i="69" s="1"/>
  <c r="D211" i="69" a="1"/>
  <c r="D211" i="69" s="1"/>
  <c r="D219" i="69" a="1"/>
  <c r="D219" i="69" s="1"/>
  <c r="D227" i="69" a="1"/>
  <c r="D227" i="69" s="1"/>
  <c r="D235" i="69" a="1"/>
  <c r="D235" i="69" s="1"/>
  <c r="D243" i="69" a="1"/>
  <c r="D243" i="69" s="1"/>
  <c r="D251" i="69" a="1"/>
  <c r="D251" i="69" s="1"/>
  <c r="D259" i="69" a="1"/>
  <c r="D259" i="69" s="1"/>
  <c r="D267" i="69" a="1"/>
  <c r="D267" i="69" s="1"/>
  <c r="D275" i="69" a="1"/>
  <c r="D275" i="69" s="1"/>
  <c r="D377" i="69" a="1"/>
  <c r="D377" i="69" s="1"/>
  <c r="D384" i="69" a="1"/>
  <c r="D384" i="69" s="1"/>
  <c r="D385" i="69" a="1"/>
  <c r="D385" i="69" s="1"/>
  <c r="D198" i="69" a="1"/>
  <c r="D198" i="69" s="1"/>
  <c r="D206" i="69" a="1"/>
  <c r="D206" i="69" s="1"/>
  <c r="D214" i="69" a="1"/>
  <c r="D214" i="69" s="1"/>
  <c r="D222" i="69" a="1"/>
  <c r="D222" i="69" s="1"/>
  <c r="D230" i="69" a="1"/>
  <c r="D230" i="69" s="1"/>
  <c r="D238" i="69" a="1"/>
  <c r="D238" i="69" s="1"/>
  <c r="D246" i="69" a="1"/>
  <c r="D246" i="69" s="1"/>
  <c r="D254" i="69" a="1"/>
  <c r="D254" i="69" s="1"/>
  <c r="D262" i="69" a="1"/>
  <c r="D262" i="69" s="1"/>
  <c r="D270" i="69" a="1"/>
  <c r="D270" i="69" s="1"/>
  <c r="D392" i="69" a="1"/>
  <c r="D392" i="69" s="1"/>
  <c r="D199" i="69" a="1"/>
  <c r="D199" i="69" s="1"/>
  <c r="D207" i="69" a="1"/>
  <c r="D207" i="69" s="1"/>
  <c r="D215" i="69" a="1"/>
  <c r="D215" i="69" s="1"/>
  <c r="D223" i="69" a="1"/>
  <c r="D223" i="69" s="1"/>
  <c r="D231" i="69" a="1"/>
  <c r="D231" i="69" s="1"/>
  <c r="D239" i="69" a="1"/>
  <c r="D239" i="69" s="1"/>
  <c r="D247" i="69" a="1"/>
  <c r="D247" i="69" s="1"/>
  <c r="D255" i="69" a="1"/>
  <c r="D255" i="69" s="1"/>
  <c r="D263" i="69" a="1"/>
  <c r="D263" i="69" s="1"/>
  <c r="D271" i="69" a="1"/>
  <c r="D271" i="69" s="1"/>
  <c r="D393" i="69" a="1"/>
  <c r="D393" i="69" s="1"/>
  <c r="D192" i="69" a="1"/>
  <c r="D192" i="69" s="1"/>
  <c r="D200" i="69" a="1"/>
  <c r="D200" i="69" s="1"/>
  <c r="D208" i="69" a="1"/>
  <c r="D208" i="69" s="1"/>
  <c r="D216" i="69" a="1"/>
  <c r="D216" i="69" s="1"/>
  <c r="D224" i="69" a="1"/>
  <c r="D224" i="69" s="1"/>
  <c r="D232" i="69" a="1"/>
  <c r="D232" i="69" s="1"/>
  <c r="D240" i="69" a="1"/>
  <c r="D240" i="69" s="1"/>
  <c r="D248" i="69" a="1"/>
  <c r="D248" i="69" s="1"/>
  <c r="D256" i="69" a="1"/>
  <c r="D256" i="69" s="1"/>
  <c r="D264" i="69" a="1"/>
  <c r="D264" i="69" s="1"/>
  <c r="D272" i="69" a="1"/>
  <c r="D272" i="69" s="1"/>
  <c r="D197" i="69" a="1"/>
  <c r="D197" i="69" s="1"/>
  <c r="D229" i="69" a="1"/>
  <c r="D229" i="69" s="1"/>
  <c r="D261" i="69" a="1"/>
  <c r="D261" i="69" s="1"/>
  <c r="D204" i="69" a="1"/>
  <c r="D204" i="69" s="1"/>
  <c r="D236" i="69" a="1"/>
  <c r="D236" i="69" s="1"/>
  <c r="D268" i="69" a="1"/>
  <c r="D268" i="69" s="1"/>
  <c r="D205" i="69" a="1"/>
  <c r="D205" i="69" s="1"/>
  <c r="D237" i="69" a="1"/>
  <c r="D237" i="69" s="1"/>
  <c r="D269" i="69" a="1"/>
  <c r="D269" i="69" s="1"/>
  <c r="D212" i="69" a="1"/>
  <c r="D212" i="69" s="1"/>
  <c r="D244" i="69" a="1"/>
  <c r="D244" i="69" s="1"/>
  <c r="D213" i="69" a="1"/>
  <c r="D213" i="69" s="1"/>
  <c r="D245" i="69" a="1"/>
  <c r="D245" i="69" s="1"/>
  <c r="D220" i="69" a="1"/>
  <c r="D220" i="69" s="1"/>
  <c r="D252" i="69" a="1"/>
  <c r="D252" i="69" s="1"/>
  <c r="D221" i="69" a="1"/>
  <c r="D221" i="69" s="1"/>
  <c r="D253" i="69" a="1"/>
  <c r="D253" i="69" s="1"/>
  <c r="D196" i="69" a="1"/>
  <c r="D196" i="69" s="1"/>
  <c r="D228" i="69" a="1"/>
  <c r="D228" i="69" s="1"/>
  <c r="D260" i="69" a="1"/>
  <c r="D260" i="69" s="1"/>
  <c r="V23" i="59"/>
  <c r="E23" i="59" s="1"/>
  <c r="D337" i="69" a="1"/>
  <c r="D337" i="69" s="1"/>
  <c r="V13" i="59"/>
  <c r="E13" i="59" s="1"/>
  <c r="D184" i="69" a="1"/>
  <c r="D184" i="69" s="1"/>
  <c r="D185" i="69" a="1"/>
  <c r="D185" i="69" s="1"/>
  <c r="D186" i="69" a="1"/>
  <c r="D186" i="69" s="1"/>
  <c r="D187" i="69" a="1"/>
  <c r="D187" i="69" s="1"/>
  <c r="D181" i="69" a="1"/>
  <c r="D181" i="69" s="1"/>
  <c r="D182" i="69" a="1"/>
  <c r="D182" i="69" s="1"/>
  <c r="D183" i="69" a="1"/>
  <c r="D183" i="69" s="1"/>
  <c r="D180" i="69" a="1"/>
  <c r="D180" i="69" s="1"/>
  <c r="D188" i="69" a="1"/>
  <c r="D188" i="69" s="1"/>
  <c r="D189" i="69" a="1"/>
  <c r="D189" i="69" s="1"/>
  <c r="V36" i="59"/>
  <c r="H36" i="59" s="1"/>
  <c r="D110" i="69" a="1"/>
  <c r="D110" i="69" s="1"/>
  <c r="V33" i="59"/>
  <c r="D348" i="69" a="1"/>
  <c r="D348" i="69" s="1"/>
  <c r="V25" i="59"/>
  <c r="C25" i="59" s="1"/>
  <c r="D98" i="69" a="1"/>
  <c r="D98" i="69" s="1"/>
  <c r="D99" i="69" a="1"/>
  <c r="D99" i="69" s="1"/>
  <c r="D96" i="69" a="1"/>
  <c r="D96" i="69" s="1"/>
  <c r="D97" i="69" a="1"/>
  <c r="D97" i="69" s="1"/>
  <c r="V16" i="59"/>
  <c r="D16" i="59" s="1"/>
  <c r="D191" i="69" a="1"/>
  <c r="D191" i="69" s="1"/>
  <c r="H34" i="70"/>
  <c r="G9" i="59" a="1"/>
  <c r="G9" i="59" s="1"/>
  <c r="G7" i="59" a="1"/>
  <c r="G7" i="59" s="1"/>
  <c r="H6" i="59"/>
  <c r="G5" i="59" a="1"/>
  <c r="G5" i="59" s="1"/>
  <c r="G8" i="59" a="1"/>
  <c r="G8" i="59" s="1"/>
  <c r="C4" i="59"/>
  <c r="G4" i="59" a="1"/>
  <c r="G4" i="59" s="1"/>
  <c r="G3" i="59" a="1"/>
  <c r="G3" i="59" s="1"/>
  <c r="D2" i="91"/>
  <c r="H34" i="59"/>
  <c r="H26" i="59"/>
  <c r="H9" i="59"/>
  <c r="H33" i="59"/>
  <c r="H16" i="59"/>
  <c r="H32" i="59"/>
  <c r="H15" i="59"/>
  <c r="H7" i="59"/>
  <c r="H31" i="59"/>
  <c r="H5" i="59"/>
  <c r="H29" i="59"/>
  <c r="H12" i="59"/>
  <c r="H28" i="59"/>
  <c r="H20" i="59"/>
  <c r="H3" i="59"/>
  <c r="H27" i="59"/>
  <c r="H19" i="59"/>
  <c r="H2" i="59"/>
  <c r="F2" i="56"/>
  <c r="F3" i="56"/>
  <c r="F4" i="56"/>
  <c r="E2" i="56"/>
  <c r="E3" i="56"/>
  <c r="E4" i="56"/>
  <c r="I2" i="54"/>
  <c r="I3" i="54"/>
  <c r="I4" i="54"/>
  <c r="I5" i="54"/>
  <c r="I6" i="54"/>
  <c r="I7" i="54"/>
  <c r="I8" i="54"/>
  <c r="I9" i="54"/>
  <c r="I10" i="54"/>
  <c r="I11" i="54"/>
  <c r="H2" i="54"/>
  <c r="H3" i="54"/>
  <c r="H4" i="54"/>
  <c r="H5" i="54"/>
  <c r="H6" i="54"/>
  <c r="H7" i="54"/>
  <c r="H8" i="54"/>
  <c r="H9" i="54"/>
  <c r="H10" i="54"/>
  <c r="H11" i="54"/>
  <c r="J2" i="122"/>
  <c r="J3" i="122"/>
  <c r="J4" i="122"/>
  <c r="J5" i="122"/>
  <c r="J6" i="122"/>
  <c r="J7" i="122"/>
  <c r="J8" i="122"/>
  <c r="J9" i="122"/>
  <c r="J10" i="122"/>
  <c r="J11" i="122"/>
  <c r="J12" i="122"/>
  <c r="J13" i="122"/>
  <c r="J14" i="122"/>
  <c r="J15" i="122"/>
  <c r="J16" i="122"/>
  <c r="J17" i="122"/>
  <c r="J18" i="122"/>
  <c r="J19" i="122"/>
  <c r="J20" i="122"/>
  <c r="J21" i="122"/>
  <c r="J22" i="122"/>
  <c r="J23" i="122"/>
  <c r="J24" i="122"/>
  <c r="J25" i="122"/>
  <c r="J26" i="122"/>
  <c r="J27" i="122"/>
  <c r="J28" i="122"/>
  <c r="J29" i="122"/>
  <c r="J30" i="122"/>
  <c r="J31" i="122"/>
  <c r="J32" i="122"/>
  <c r="J33" i="122"/>
  <c r="J34" i="122"/>
  <c r="J35" i="122"/>
  <c r="J36" i="122"/>
  <c r="J37" i="122"/>
  <c r="J38" i="122"/>
  <c r="J39" i="122"/>
  <c r="J40" i="122"/>
  <c r="J41" i="122"/>
  <c r="J42" i="122"/>
  <c r="J43" i="122"/>
  <c r="J44" i="122"/>
  <c r="J45" i="122"/>
  <c r="J46" i="122"/>
  <c r="J47" i="122"/>
  <c r="J48" i="122"/>
  <c r="J49" i="122"/>
  <c r="J50" i="122"/>
  <c r="J51" i="122"/>
  <c r="J52" i="122"/>
  <c r="J53" i="122"/>
  <c r="J54" i="122"/>
  <c r="J55" i="122"/>
  <c r="J56" i="122"/>
  <c r="J57" i="122"/>
  <c r="J58" i="122"/>
  <c r="J59" i="122"/>
  <c r="J65" i="122"/>
  <c r="J66" i="122"/>
  <c r="J67" i="122"/>
  <c r="J68" i="122"/>
  <c r="J69" i="122"/>
  <c r="J70" i="122"/>
  <c r="J71" i="122"/>
  <c r="J72" i="122"/>
  <c r="J73" i="122"/>
  <c r="J74" i="122"/>
  <c r="J75" i="122"/>
  <c r="J76" i="122"/>
  <c r="J77" i="122"/>
  <c r="J78" i="122"/>
  <c r="J79" i="122"/>
  <c r="J80" i="122"/>
  <c r="J81" i="122"/>
  <c r="J82" i="122"/>
  <c r="J83" i="122"/>
  <c r="J84" i="122"/>
  <c r="J85" i="122"/>
  <c r="J86" i="122"/>
  <c r="J87" i="122"/>
  <c r="J88" i="122"/>
  <c r="J89" i="122"/>
  <c r="J90" i="122"/>
  <c r="J91" i="122"/>
  <c r="J92" i="122"/>
  <c r="J93" i="122"/>
  <c r="J94" i="122"/>
  <c r="J95" i="122"/>
  <c r="J96" i="122"/>
  <c r="J97" i="122"/>
  <c r="J98" i="122"/>
  <c r="J99" i="122"/>
  <c r="J100" i="122"/>
  <c r="J101" i="122"/>
  <c r="J102" i="122"/>
  <c r="J103" i="122"/>
  <c r="J104" i="122"/>
  <c r="J105" i="122"/>
  <c r="J106" i="122"/>
  <c r="J107" i="122"/>
  <c r="I2" i="122"/>
  <c r="I3" i="122"/>
  <c r="I4" i="122"/>
  <c r="I5" i="122"/>
  <c r="I6" i="122"/>
  <c r="I7" i="122"/>
  <c r="I8" i="122"/>
  <c r="I9" i="122"/>
  <c r="I10" i="122"/>
  <c r="I11" i="122"/>
  <c r="I12" i="122"/>
  <c r="I13" i="122"/>
  <c r="I14" i="122"/>
  <c r="I15" i="122"/>
  <c r="I16" i="122"/>
  <c r="I17" i="122"/>
  <c r="I18" i="122"/>
  <c r="I19" i="122"/>
  <c r="I20" i="122"/>
  <c r="I21" i="122"/>
  <c r="I22" i="122"/>
  <c r="I23" i="122"/>
  <c r="I24" i="122"/>
  <c r="I25" i="122"/>
  <c r="I26" i="122"/>
  <c r="I27" i="122"/>
  <c r="I28" i="122"/>
  <c r="I29" i="122"/>
  <c r="I30" i="122"/>
  <c r="I31" i="122"/>
  <c r="I32" i="122"/>
  <c r="I33" i="122"/>
  <c r="I34" i="122"/>
  <c r="I35" i="122"/>
  <c r="I36" i="122"/>
  <c r="I37" i="122"/>
  <c r="I38" i="122"/>
  <c r="I39" i="122"/>
  <c r="I40" i="122"/>
  <c r="I41" i="122"/>
  <c r="I42" i="122"/>
  <c r="I43" i="122"/>
  <c r="I44" i="122"/>
  <c r="I45" i="122"/>
  <c r="I46" i="122"/>
  <c r="I47" i="122"/>
  <c r="I48" i="122"/>
  <c r="I49" i="122"/>
  <c r="I50" i="122"/>
  <c r="I51" i="122"/>
  <c r="I52" i="122"/>
  <c r="I53" i="122"/>
  <c r="I54" i="122"/>
  <c r="I55" i="122"/>
  <c r="I56" i="122"/>
  <c r="I57" i="122"/>
  <c r="I58" i="122"/>
  <c r="I59" i="122"/>
  <c r="I65" i="122"/>
  <c r="I66" i="122"/>
  <c r="I67" i="122"/>
  <c r="I68" i="122"/>
  <c r="I69" i="122"/>
  <c r="I70" i="122"/>
  <c r="I71" i="122"/>
  <c r="I72" i="122"/>
  <c r="I73" i="122"/>
  <c r="I74" i="122"/>
  <c r="I75" i="122"/>
  <c r="I76" i="122"/>
  <c r="I77" i="122"/>
  <c r="I78" i="122"/>
  <c r="I79" i="122"/>
  <c r="I80" i="122"/>
  <c r="I81" i="122"/>
  <c r="I82" i="122"/>
  <c r="I83" i="122"/>
  <c r="I84" i="122"/>
  <c r="I85" i="122"/>
  <c r="I86" i="122"/>
  <c r="I87" i="122"/>
  <c r="I88" i="122"/>
  <c r="I89" i="122"/>
  <c r="I90" i="122"/>
  <c r="I91" i="122"/>
  <c r="I92" i="122"/>
  <c r="I93" i="122"/>
  <c r="I94" i="122"/>
  <c r="I95" i="122"/>
  <c r="I96" i="122"/>
  <c r="I97" i="122"/>
  <c r="I98" i="122"/>
  <c r="I99" i="122"/>
  <c r="I100" i="122"/>
  <c r="I101" i="122"/>
  <c r="I102" i="122"/>
  <c r="I103" i="122"/>
  <c r="I104" i="122"/>
  <c r="I105" i="122"/>
  <c r="I106" i="122"/>
  <c r="I107" i="122"/>
  <c r="E3" i="59"/>
  <c r="E4" i="59"/>
  <c r="E5" i="59"/>
  <c r="E7" i="59"/>
  <c r="E8" i="59"/>
  <c r="E9" i="59"/>
  <c r="E12" i="59"/>
  <c r="E14" i="59"/>
  <c r="E15" i="59"/>
  <c r="E16" i="59"/>
  <c r="E19" i="59"/>
  <c r="E20" i="59"/>
  <c r="E26" i="59"/>
  <c r="E27" i="59"/>
  <c r="E28" i="59"/>
  <c r="E29" i="59"/>
  <c r="E31" i="59"/>
  <c r="E32" i="59"/>
  <c r="E33" i="59"/>
  <c r="E34" i="59"/>
  <c r="E36" i="59"/>
  <c r="D3" i="59"/>
  <c r="D4" i="59"/>
  <c r="D5" i="59"/>
  <c r="D6" i="59"/>
  <c r="D7" i="59"/>
  <c r="D8" i="59"/>
  <c r="D9" i="59"/>
  <c r="D12" i="59"/>
  <c r="D14" i="59"/>
  <c r="D15" i="59"/>
  <c r="D19" i="59"/>
  <c r="D20" i="59"/>
  <c r="D22" i="59"/>
  <c r="D26" i="59"/>
  <c r="D27" i="59"/>
  <c r="D28" i="59"/>
  <c r="D29" i="59"/>
  <c r="D31" i="59"/>
  <c r="D32" i="59"/>
  <c r="D33" i="59"/>
  <c r="D34" i="59"/>
  <c r="D36" i="59"/>
  <c r="C5" i="59"/>
  <c r="C7" i="59"/>
  <c r="C8" i="59"/>
  <c r="C9" i="59"/>
  <c r="C12" i="59"/>
  <c r="C14" i="59"/>
  <c r="C15" i="59"/>
  <c r="C19" i="59"/>
  <c r="C20" i="59"/>
  <c r="C22" i="59"/>
  <c r="C23" i="59"/>
  <c r="C26" i="59"/>
  <c r="C27" i="59"/>
  <c r="C28" i="59"/>
  <c r="C29" i="59"/>
  <c r="C31" i="59"/>
  <c r="C32" i="59"/>
  <c r="C33" i="59"/>
  <c r="C34" i="59"/>
  <c r="C36" i="59"/>
  <c r="E22" i="59" l="1"/>
  <c r="C16" i="59"/>
  <c r="D35" i="59"/>
  <c r="D10" i="59"/>
  <c r="E35" i="59"/>
  <c r="H24" i="59"/>
  <c r="H13" i="59"/>
  <c r="D14" i="60" a="1"/>
  <c r="D14" i="60" s="1"/>
  <c r="C30" i="59"/>
  <c r="C21" i="59"/>
  <c r="C10" i="59"/>
  <c r="D25" i="59"/>
  <c r="E25" i="59"/>
  <c r="H25" i="59"/>
  <c r="C13" i="59"/>
  <c r="E17" i="59"/>
  <c r="C35" i="59"/>
  <c r="D24" i="59"/>
  <c r="E24" i="59"/>
  <c r="H10" i="59"/>
  <c r="H23" i="59"/>
  <c r="H30" i="59"/>
  <c r="D23" i="59"/>
  <c r="H21" i="59"/>
  <c r="D17" i="59"/>
  <c r="D30" i="59"/>
  <c r="D13" i="59"/>
  <c r="H17" i="59"/>
  <c r="D21" i="59"/>
  <c r="H4" i="59"/>
  <c r="C6" i="59"/>
  <c r="H8" i="59"/>
  <c r="E6" i="59"/>
  <c r="G6" i="59" a="1"/>
  <c r="G6" i="59" s="1"/>
  <c r="A2" i="56"/>
  <c r="B2" i="56"/>
  <c r="D2" i="56"/>
  <c r="G2" i="56"/>
  <c r="Q2" i="69"/>
  <c r="A75" i="72"/>
  <c r="C8" i="72" s="1"/>
  <c r="M8" i="72" s="1"/>
  <c r="D75" i="72" a="1"/>
  <c r="D75" i="72" s="1"/>
  <c r="E75" i="72"/>
  <c r="G75" i="72"/>
  <c r="K75" i="72"/>
  <c r="L75" i="72"/>
  <c r="A3" i="119"/>
  <c r="E3" i="119" a="1"/>
  <c r="E3" i="119" s="1"/>
  <c r="F3" i="119"/>
  <c r="G3" i="119"/>
  <c r="I3" i="119"/>
  <c r="M3" i="119"/>
  <c r="N3" i="119"/>
  <c r="O3" i="119"/>
  <c r="R2" i="57"/>
  <c r="R3" i="57"/>
  <c r="AD2" i="69" l="1"/>
  <c r="AD49" i="69"/>
  <c r="B2" i="60"/>
  <c r="R75" i="72"/>
  <c r="R3" i="73"/>
  <c r="R2" i="73"/>
  <c r="I2" i="56"/>
  <c r="U2" i="119"/>
  <c r="R52" i="72"/>
  <c r="U3" i="119"/>
  <c r="L3" i="119" a="1"/>
  <c r="G13" i="122" a="1"/>
  <c r="G46" i="122" a="1"/>
  <c r="G90" i="122" a="1"/>
  <c r="G53" i="122" a="1"/>
  <c r="G96" i="122" a="1"/>
  <c r="J75" i="72" a="1"/>
  <c r="G91" i="122" a="1"/>
  <c r="G79" i="122" a="1"/>
  <c r="G55" i="122" a="1"/>
  <c r="G42" i="122" a="1"/>
  <c r="G12" i="122" a="1"/>
  <c r="G106" i="122" a="1"/>
  <c r="G17" i="122" a="1"/>
  <c r="G38" i="122" a="1"/>
  <c r="G84" i="122" a="1"/>
  <c r="G31" i="122" a="1"/>
  <c r="G81" i="122" a="1"/>
  <c r="G74" i="122" a="1"/>
  <c r="G9" i="122" a="1"/>
  <c r="G18" i="122" a="1"/>
  <c r="G44" i="122" a="1"/>
  <c r="G48" i="122" a="1"/>
  <c r="G19" i="122" a="1"/>
  <c r="G58" i="122" a="1"/>
  <c r="G36" i="122" a="1"/>
  <c r="G66" i="122" a="1"/>
  <c r="G20" i="122" a="1"/>
  <c r="G45" i="122" a="1"/>
  <c r="G34" i="122" a="1"/>
  <c r="G47" i="122" a="1"/>
  <c r="G10" i="122" a="1"/>
  <c r="G102" i="122" a="1"/>
  <c r="G88" i="122" a="1"/>
  <c r="G5" i="122" a="1"/>
  <c r="E6" i="120" a="1"/>
  <c r="G98" i="122" a="1"/>
  <c r="G39" i="122" a="1"/>
  <c r="G105" i="122" a="1"/>
  <c r="G33" i="122" a="1"/>
  <c r="G68" i="122" a="1"/>
  <c r="G52" i="122" a="1"/>
  <c r="G51" i="122" a="1"/>
  <c r="G94" i="122" a="1"/>
  <c r="E4" i="120" a="1"/>
  <c r="E7" i="120" a="1"/>
  <c r="G25" i="122" a="1"/>
  <c r="G80" i="122" a="1"/>
  <c r="G24" i="122" a="1"/>
  <c r="G107" i="122" a="1"/>
  <c r="G93" i="122" a="1"/>
  <c r="G3" i="57" a="1"/>
  <c r="G40" i="122" a="1"/>
  <c r="G23" i="122" a="1"/>
  <c r="E10" i="120" a="1"/>
  <c r="G28" i="122" a="1"/>
  <c r="G85" i="122" a="1"/>
  <c r="C4" i="56" a="1"/>
  <c r="G27" i="122" a="1"/>
  <c r="G101" i="122" a="1"/>
  <c r="G71" i="122" a="1"/>
  <c r="G59" i="122" a="1"/>
  <c r="E8" i="120" a="1"/>
  <c r="G92" i="122" a="1"/>
  <c r="G78" i="122" a="1"/>
  <c r="C3" i="56" a="1"/>
  <c r="E9" i="120" a="1"/>
  <c r="G87" i="122" a="1"/>
  <c r="E3" i="120" a="1"/>
  <c r="G54" i="122" a="1"/>
  <c r="G67" i="122" a="1"/>
  <c r="G35" i="122" a="1"/>
  <c r="G8" i="122" a="1"/>
  <c r="E14" i="120" a="1"/>
  <c r="G95" i="122" a="1"/>
  <c r="G73" i="122" a="1"/>
  <c r="G72" i="122" a="1"/>
  <c r="G89" i="122" a="1"/>
  <c r="G57" i="122" a="1"/>
  <c r="G97" i="122" a="1"/>
  <c r="G15" i="122" a="1"/>
  <c r="G99" i="122" a="1"/>
  <c r="E13" i="120" a="1"/>
  <c r="G65" i="122" a="1"/>
  <c r="G75" i="122" a="1"/>
  <c r="G70" i="122" a="1"/>
  <c r="G29" i="122" a="1"/>
  <c r="G69" i="122" a="1"/>
  <c r="G82" i="122" a="1"/>
  <c r="G56" i="122" a="1"/>
  <c r="G3" i="122" a="1"/>
  <c r="G77" i="122" a="1"/>
  <c r="G43" i="122" a="1"/>
  <c r="G50" i="122" a="1"/>
  <c r="G22" i="122" a="1"/>
  <c r="G41" i="122" a="1"/>
  <c r="G100" i="122" a="1"/>
  <c r="G16" i="122" a="1"/>
  <c r="G7" i="122" a="1"/>
  <c r="G26" i="122" a="1"/>
  <c r="G49" i="122" a="1"/>
  <c r="G4" i="122" a="1"/>
  <c r="G11" i="122" a="1"/>
  <c r="G86" i="122" a="1"/>
  <c r="G83" i="122" a="1"/>
  <c r="G30" i="122" a="1"/>
  <c r="G32" i="122" a="1"/>
  <c r="G21" i="122" a="1"/>
  <c r="G103" i="122" a="1"/>
  <c r="G6" i="122" a="1"/>
  <c r="G37" i="122" a="1"/>
  <c r="G14" i="122" a="1"/>
  <c r="G76" i="122" a="1"/>
  <c r="G104" i="122" a="1"/>
  <c r="G75" i="122" l="1"/>
  <c r="G89" i="122"/>
  <c r="G28" i="122"/>
  <c r="E7" i="120"/>
  <c r="G44" i="122"/>
  <c r="E13" i="120"/>
  <c r="G81" i="122"/>
  <c r="G83" i="122"/>
  <c r="G22" i="122"/>
  <c r="G3" i="122"/>
  <c r="G59" i="122"/>
  <c r="G103" i="122"/>
  <c r="G53" i="122"/>
  <c r="G31" i="122"/>
  <c r="G68" i="122"/>
  <c r="G85" i="122"/>
  <c r="G43" i="122"/>
  <c r="G34" i="122"/>
  <c r="C4" i="56"/>
  <c r="G82" i="122"/>
  <c r="G48" i="122"/>
  <c r="G50" i="122"/>
  <c r="G88" i="122"/>
  <c r="G49" i="122"/>
  <c r="E9" i="120"/>
  <c r="E10" i="120"/>
  <c r="G16" i="122"/>
  <c r="G39" i="122"/>
  <c r="G80" i="122"/>
  <c r="G56" i="122"/>
  <c r="G8" i="122"/>
  <c r="L3" i="119"/>
  <c r="G42" i="122"/>
  <c r="G7" i="122"/>
  <c r="G86" i="122"/>
  <c r="G104" i="122"/>
  <c r="G70" i="122"/>
  <c r="G87" i="122"/>
  <c r="G57" i="122"/>
  <c r="G99" i="122"/>
  <c r="G20" i="122"/>
  <c r="G11" i="122"/>
  <c r="G93" i="122"/>
  <c r="G19" i="122"/>
  <c r="G4" i="122"/>
  <c r="G69" i="122"/>
  <c r="G32" i="122"/>
  <c r="G36" i="122"/>
  <c r="G79" i="122"/>
  <c r="E3" i="120"/>
  <c r="G26" i="122"/>
  <c r="G17" i="122"/>
  <c r="G74" i="122"/>
  <c r="G58" i="122"/>
  <c r="G25" i="122"/>
  <c r="G33" i="122"/>
  <c r="G96" i="122"/>
  <c r="J75" i="72"/>
  <c r="G14" i="122"/>
  <c r="G73" i="122"/>
  <c r="G29" i="122"/>
  <c r="G47" i="122"/>
  <c r="G102" i="122"/>
  <c r="G30" i="122"/>
  <c r="G40" i="122"/>
  <c r="G97" i="122"/>
  <c r="G41" i="122"/>
  <c r="G51" i="122"/>
  <c r="G10" i="122"/>
  <c r="G35" i="122"/>
  <c r="G105" i="122"/>
  <c r="G71" i="122"/>
  <c r="G55" i="122"/>
  <c r="G27" i="122"/>
  <c r="G72" i="122"/>
  <c r="G23" i="122"/>
  <c r="G67" i="122"/>
  <c r="G54" i="122"/>
  <c r="C3" i="56"/>
  <c r="G66" i="122"/>
  <c r="G94" i="122"/>
  <c r="G9" i="122"/>
  <c r="G90" i="122"/>
  <c r="G13" i="122"/>
  <c r="G46" i="122"/>
  <c r="G107" i="122"/>
  <c r="G5" i="122"/>
  <c r="G18" i="122"/>
  <c r="G6" i="122"/>
  <c r="G3" i="57"/>
  <c r="G92" i="122"/>
  <c r="G84" i="122"/>
  <c r="G101" i="122"/>
  <c r="E4" i="120"/>
  <c r="G21" i="122"/>
  <c r="G15" i="122"/>
  <c r="G77" i="122"/>
  <c r="G76" i="122"/>
  <c r="E14" i="120"/>
  <c r="G98" i="122"/>
  <c r="G65" i="122"/>
  <c r="G95" i="122"/>
  <c r="G38" i="122"/>
  <c r="E6" i="120"/>
  <c r="G78" i="122"/>
  <c r="G12" i="122"/>
  <c r="G100" i="122"/>
  <c r="G37" i="122"/>
  <c r="G52" i="122"/>
  <c r="G24" i="122"/>
  <c r="G106" i="122"/>
  <c r="E8" i="120"/>
  <c r="G91" i="122"/>
  <c r="G45" i="122"/>
  <c r="K2" i="57"/>
  <c r="K3" i="57"/>
  <c r="H3" i="119"/>
  <c r="A52" i="72"/>
  <c r="C29" i="72" s="1"/>
  <c r="M29" i="72" s="1"/>
  <c r="F75" i="72"/>
  <c r="A3" i="57" l="1"/>
  <c r="C3" i="57"/>
  <c r="D3" i="57"/>
  <c r="E3" i="57"/>
  <c r="F3" i="57"/>
  <c r="H3" i="57"/>
  <c r="I3" i="57"/>
  <c r="J3" i="57"/>
  <c r="C3" i="119" l="1"/>
  <c r="P3" i="119" s="1"/>
  <c r="C75" i="72"/>
  <c r="M75" i="72" s="1"/>
  <c r="C2" i="74" l="1"/>
  <c r="G2" i="52"/>
  <c r="K2" i="122"/>
  <c r="L2" i="59"/>
  <c r="C2" i="117"/>
  <c r="E2" i="71"/>
  <c r="E3" i="71"/>
  <c r="D3" i="118"/>
  <c r="D2" i="118"/>
  <c r="O2" i="119"/>
  <c r="L52" i="72"/>
  <c r="C2" i="70"/>
  <c r="L3" i="59"/>
  <c r="L4" i="59"/>
  <c r="L5" i="59"/>
  <c r="L6" i="59"/>
  <c r="L7" i="59"/>
  <c r="L8" i="59"/>
  <c r="L9" i="59"/>
  <c r="L10" i="59"/>
  <c r="L12" i="59"/>
  <c r="L13" i="59"/>
  <c r="L14" i="59"/>
  <c r="L15" i="59"/>
  <c r="L16" i="59"/>
  <c r="L17" i="59"/>
  <c r="L19" i="59"/>
  <c r="L20" i="59"/>
  <c r="L21" i="59"/>
  <c r="L22" i="59"/>
  <c r="L23" i="59"/>
  <c r="L24" i="59"/>
  <c r="L25" i="59"/>
  <c r="L26" i="59"/>
  <c r="L27" i="59"/>
  <c r="L28" i="59"/>
  <c r="L29" i="59"/>
  <c r="L30" i="59"/>
  <c r="L31" i="59"/>
  <c r="L32" i="59"/>
  <c r="L33" i="59"/>
  <c r="L34" i="59"/>
  <c r="L35" i="59"/>
  <c r="L36" i="59"/>
  <c r="B2" i="120"/>
  <c r="B3" i="120"/>
  <c r="B4" i="120"/>
  <c r="B6" i="120"/>
  <c r="B7" i="120"/>
  <c r="B8" i="120"/>
  <c r="B9" i="120"/>
  <c r="B10" i="120"/>
  <c r="B13" i="120"/>
  <c r="B14" i="120"/>
  <c r="B2" i="118"/>
  <c r="B3" i="118"/>
  <c r="A2" i="73"/>
  <c r="I2" i="119"/>
  <c r="G52" i="72"/>
  <c r="B2" i="70"/>
  <c r="B3" i="70"/>
  <c r="B4" i="70"/>
  <c r="B5" i="70"/>
  <c r="B6" i="70"/>
  <c r="B7" i="70"/>
  <c r="B8" i="70"/>
  <c r="B9" i="70"/>
  <c r="B10" i="70"/>
  <c r="B11" i="70"/>
  <c r="B12" i="70"/>
  <c r="B13" i="70"/>
  <c r="B14" i="70"/>
  <c r="B15" i="70"/>
  <c r="B16" i="70"/>
  <c r="B17" i="70"/>
  <c r="B18" i="70"/>
  <c r="B19" i="70"/>
  <c r="B20" i="70"/>
  <c r="B21" i="70"/>
  <c r="B22" i="70"/>
  <c r="B23" i="70"/>
  <c r="B24" i="70"/>
  <c r="B26" i="70"/>
  <c r="B27" i="70"/>
  <c r="B28" i="70"/>
  <c r="B29" i="70"/>
  <c r="B30" i="70"/>
  <c r="B31" i="70"/>
  <c r="B32" i="70"/>
  <c r="B33" i="70"/>
  <c r="C3" i="70"/>
  <c r="C4" i="70"/>
  <c r="C5" i="70"/>
  <c r="C6" i="70"/>
  <c r="C7" i="70"/>
  <c r="C8" i="70"/>
  <c r="C9" i="70"/>
  <c r="C10" i="70"/>
  <c r="C11" i="70"/>
  <c r="C12" i="70"/>
  <c r="C13" i="70"/>
  <c r="C14" i="70"/>
  <c r="C15" i="70"/>
  <c r="C16" i="70"/>
  <c r="C17" i="70"/>
  <c r="C18" i="70"/>
  <c r="C19" i="70"/>
  <c r="C20" i="70"/>
  <c r="C21" i="70"/>
  <c r="C22" i="70"/>
  <c r="C23" i="70"/>
  <c r="C24" i="70"/>
  <c r="C26" i="70"/>
  <c r="C27" i="70"/>
  <c r="C28" i="70"/>
  <c r="C29" i="70"/>
  <c r="C30" i="70"/>
  <c r="C31" i="70"/>
  <c r="C32" i="70"/>
  <c r="C33" i="70"/>
  <c r="E52" i="72"/>
  <c r="D52" i="72" a="1"/>
  <c r="D52" i="72" s="1"/>
  <c r="K52" i="72"/>
  <c r="M2" i="119"/>
  <c r="N2" i="119"/>
  <c r="G2" i="69"/>
  <c r="K2" i="69"/>
  <c r="L2" i="69" a="1"/>
  <c r="L2" i="69" s="1"/>
  <c r="O2" i="69" a="1"/>
  <c r="O2" i="69" s="1"/>
  <c r="N2" i="69" a="1"/>
  <c r="N2" i="69" s="1"/>
  <c r="D2" i="69" a="1"/>
  <c r="D2" i="69" s="1"/>
  <c r="C2" i="69"/>
  <c r="U2" i="69"/>
  <c r="F2" i="57"/>
  <c r="H2" i="57"/>
  <c r="J2" i="57"/>
  <c r="I2" i="57"/>
  <c r="C2" i="118"/>
  <c r="C3" i="118"/>
  <c r="D2" i="120"/>
  <c r="D3" i="120"/>
  <c r="D4" i="120"/>
  <c r="D6" i="120"/>
  <c r="D7" i="120"/>
  <c r="D8" i="120"/>
  <c r="D9" i="120"/>
  <c r="D10" i="120"/>
  <c r="D13" i="120"/>
  <c r="D14" i="120"/>
  <c r="G2" i="120"/>
  <c r="G3" i="120"/>
  <c r="G4" i="120"/>
  <c r="G6" i="120"/>
  <c r="G7" i="120"/>
  <c r="G8" i="120"/>
  <c r="G9" i="120"/>
  <c r="G10" i="120"/>
  <c r="G13" i="120"/>
  <c r="G14" i="120"/>
  <c r="B2" i="71"/>
  <c r="B3" i="71"/>
  <c r="C2" i="71"/>
  <c r="C3" i="71"/>
  <c r="D2" i="71"/>
  <c r="D3" i="71"/>
  <c r="B2" i="74"/>
  <c r="B3" i="56"/>
  <c r="B4" i="56"/>
  <c r="D3" i="56"/>
  <c r="D4" i="56"/>
  <c r="I2" i="59"/>
  <c r="I3" i="59"/>
  <c r="I4" i="59"/>
  <c r="I5" i="59"/>
  <c r="I6" i="59"/>
  <c r="I7" i="59"/>
  <c r="I8" i="59"/>
  <c r="I9" i="59"/>
  <c r="I10" i="59"/>
  <c r="I12" i="59"/>
  <c r="I13" i="59"/>
  <c r="I14" i="59"/>
  <c r="I15" i="59"/>
  <c r="I16" i="59"/>
  <c r="I17" i="59"/>
  <c r="I19" i="59"/>
  <c r="I20" i="59"/>
  <c r="I21" i="59"/>
  <c r="I22" i="59"/>
  <c r="I23" i="59"/>
  <c r="I24" i="59"/>
  <c r="I25" i="59"/>
  <c r="I26" i="59"/>
  <c r="I27" i="59"/>
  <c r="I28" i="59"/>
  <c r="I29" i="59"/>
  <c r="I30" i="59"/>
  <c r="I31" i="59"/>
  <c r="I32" i="59"/>
  <c r="I33" i="59"/>
  <c r="I34" i="59"/>
  <c r="I35" i="59"/>
  <c r="I36" i="59"/>
  <c r="F2" i="54"/>
  <c r="F3" i="54"/>
  <c r="F4" i="54"/>
  <c r="F5" i="54"/>
  <c r="F6" i="54"/>
  <c r="F7" i="54"/>
  <c r="F8" i="54"/>
  <c r="F9" i="54"/>
  <c r="F10" i="54"/>
  <c r="F11" i="54"/>
  <c r="H2" i="122"/>
  <c r="H3" i="122"/>
  <c r="H4" i="122"/>
  <c r="H5" i="122"/>
  <c r="H6" i="122"/>
  <c r="H7" i="122"/>
  <c r="H8" i="122"/>
  <c r="H9" i="122"/>
  <c r="H10" i="122"/>
  <c r="H11" i="122"/>
  <c r="H12" i="122"/>
  <c r="H13" i="122"/>
  <c r="H14" i="122"/>
  <c r="H15" i="122"/>
  <c r="H16" i="122"/>
  <c r="H17" i="122"/>
  <c r="H18" i="122"/>
  <c r="H19" i="122"/>
  <c r="H20" i="122"/>
  <c r="H21" i="122"/>
  <c r="H22" i="122"/>
  <c r="H23" i="122"/>
  <c r="H24" i="122"/>
  <c r="H25" i="122"/>
  <c r="H26" i="122"/>
  <c r="H27" i="122"/>
  <c r="H28" i="122"/>
  <c r="H29" i="122"/>
  <c r="H30" i="122"/>
  <c r="H31" i="122"/>
  <c r="H32" i="122"/>
  <c r="H33" i="122"/>
  <c r="H34" i="122"/>
  <c r="H35" i="122"/>
  <c r="H36" i="122"/>
  <c r="H37" i="122"/>
  <c r="H38" i="122"/>
  <c r="H39" i="122"/>
  <c r="H40" i="122"/>
  <c r="H41" i="122"/>
  <c r="H42" i="122"/>
  <c r="H43" i="122"/>
  <c r="H44" i="122"/>
  <c r="H45" i="122"/>
  <c r="H46" i="122"/>
  <c r="H47" i="122"/>
  <c r="H48" i="122"/>
  <c r="H49" i="122"/>
  <c r="H50" i="122"/>
  <c r="H51" i="122"/>
  <c r="H52" i="122"/>
  <c r="H53" i="122"/>
  <c r="H54" i="122"/>
  <c r="H55" i="122"/>
  <c r="H56" i="122"/>
  <c r="H57" i="122"/>
  <c r="H58" i="122"/>
  <c r="H59" i="122"/>
  <c r="H65" i="122"/>
  <c r="H66" i="122"/>
  <c r="H67" i="122"/>
  <c r="H68" i="122"/>
  <c r="H69" i="122"/>
  <c r="H70" i="122"/>
  <c r="H71" i="122"/>
  <c r="H72" i="122"/>
  <c r="H73" i="122"/>
  <c r="H74" i="122"/>
  <c r="H75" i="122"/>
  <c r="H76" i="122"/>
  <c r="H77" i="122"/>
  <c r="H78" i="122"/>
  <c r="H79" i="122"/>
  <c r="H80" i="122"/>
  <c r="H81" i="122"/>
  <c r="H82" i="122"/>
  <c r="H83" i="122"/>
  <c r="H84" i="122"/>
  <c r="H85" i="122"/>
  <c r="H86" i="122"/>
  <c r="H87" i="122"/>
  <c r="H88" i="122"/>
  <c r="H89" i="122"/>
  <c r="H90" i="122"/>
  <c r="H91" i="122"/>
  <c r="H92" i="122"/>
  <c r="H93" i="122"/>
  <c r="H94" i="122"/>
  <c r="H95" i="122"/>
  <c r="H96" i="122"/>
  <c r="H97" i="122"/>
  <c r="H98" i="122"/>
  <c r="H99" i="122"/>
  <c r="H100" i="122"/>
  <c r="H101" i="122"/>
  <c r="H102" i="122"/>
  <c r="H103" i="122"/>
  <c r="H104" i="122"/>
  <c r="H105" i="122"/>
  <c r="H106" i="122"/>
  <c r="H107" i="122"/>
  <c r="K3" i="122"/>
  <c r="K4" i="122"/>
  <c r="K5" i="122"/>
  <c r="K6" i="122"/>
  <c r="K7" i="122"/>
  <c r="K8" i="122"/>
  <c r="K9" i="122"/>
  <c r="K10" i="122"/>
  <c r="K11" i="122"/>
  <c r="K12" i="122"/>
  <c r="K13" i="122"/>
  <c r="K14" i="122"/>
  <c r="K15" i="122"/>
  <c r="K16" i="122"/>
  <c r="K17" i="122"/>
  <c r="K18" i="122"/>
  <c r="K19" i="122"/>
  <c r="K20" i="122"/>
  <c r="K21" i="122"/>
  <c r="K22" i="122"/>
  <c r="K23" i="122"/>
  <c r="K24" i="122"/>
  <c r="K25" i="122"/>
  <c r="K26" i="122"/>
  <c r="K27" i="122"/>
  <c r="K28" i="122"/>
  <c r="K29" i="122"/>
  <c r="K30" i="122"/>
  <c r="K31" i="122"/>
  <c r="K32" i="122"/>
  <c r="K33" i="122"/>
  <c r="K34" i="122"/>
  <c r="K35" i="122"/>
  <c r="K36" i="122"/>
  <c r="K37" i="122"/>
  <c r="K38" i="122"/>
  <c r="K39" i="122"/>
  <c r="K40" i="122"/>
  <c r="K41" i="122"/>
  <c r="K42" i="122"/>
  <c r="K43" i="122"/>
  <c r="K44" i="122"/>
  <c r="K45" i="122"/>
  <c r="K46" i="122"/>
  <c r="K47" i="122"/>
  <c r="K48" i="122"/>
  <c r="K49" i="122"/>
  <c r="K50" i="122"/>
  <c r="K51" i="122"/>
  <c r="K52" i="122"/>
  <c r="K53" i="122"/>
  <c r="K54" i="122"/>
  <c r="K55" i="122"/>
  <c r="K56" i="122"/>
  <c r="K57" i="122"/>
  <c r="K58" i="122"/>
  <c r="K59" i="122"/>
  <c r="K65" i="122"/>
  <c r="K66" i="122"/>
  <c r="K67" i="122"/>
  <c r="K68" i="122"/>
  <c r="K69" i="122"/>
  <c r="K70" i="122"/>
  <c r="K71" i="122"/>
  <c r="K72" i="122"/>
  <c r="K73" i="122"/>
  <c r="K74" i="122"/>
  <c r="K75" i="122"/>
  <c r="K76" i="122"/>
  <c r="K77" i="122"/>
  <c r="K78" i="122"/>
  <c r="K79" i="122"/>
  <c r="K80" i="122"/>
  <c r="K81" i="122"/>
  <c r="K82" i="122"/>
  <c r="K83" i="122"/>
  <c r="K84" i="122"/>
  <c r="K85" i="122"/>
  <c r="K86" i="122"/>
  <c r="K87" i="122"/>
  <c r="K88" i="122"/>
  <c r="K89" i="122"/>
  <c r="K90" i="122"/>
  <c r="K91" i="122"/>
  <c r="K92" i="122"/>
  <c r="K93" i="122"/>
  <c r="K94" i="122"/>
  <c r="K95" i="122"/>
  <c r="K96" i="122"/>
  <c r="K97" i="122"/>
  <c r="K98" i="122"/>
  <c r="K99" i="122"/>
  <c r="K100" i="122"/>
  <c r="K101" i="122"/>
  <c r="K102" i="122"/>
  <c r="K103" i="122"/>
  <c r="K104" i="122"/>
  <c r="K105" i="122"/>
  <c r="K106" i="122"/>
  <c r="K107" i="122"/>
  <c r="D7" i="52"/>
  <c r="D6" i="52"/>
  <c r="D4" i="52"/>
  <c r="D3" i="52"/>
  <c r="D2" i="52"/>
  <c r="F7" i="52"/>
  <c r="E7" i="52"/>
  <c r="F6" i="52"/>
  <c r="E6" i="52"/>
  <c r="F4" i="52"/>
  <c r="E4" i="52"/>
  <c r="F3" i="52"/>
  <c r="E3" i="52"/>
  <c r="F2" i="52"/>
  <c r="E2" i="52"/>
  <c r="G7" i="52"/>
  <c r="G6" i="52"/>
  <c r="G4" i="52"/>
  <c r="G3" i="52"/>
  <c r="F2" i="119"/>
  <c r="A2" i="119"/>
  <c r="B2" i="54"/>
  <c r="B3" i="54"/>
  <c r="B4" i="54"/>
  <c r="B5" i="54"/>
  <c r="B6" i="54"/>
  <c r="B7" i="54"/>
  <c r="B8" i="54"/>
  <c r="B9" i="54"/>
  <c r="B10" i="54"/>
  <c r="B11" i="54"/>
  <c r="A2" i="52"/>
  <c r="A3" i="52"/>
  <c r="A4" i="52"/>
  <c r="A6" i="52"/>
  <c r="A7" i="52"/>
  <c r="A8" i="54" l="1"/>
  <c r="A9" i="54"/>
  <c r="A10" i="54"/>
  <c r="A11" i="54"/>
  <c r="L8" i="54"/>
  <c r="L9" i="54"/>
  <c r="L10" i="54"/>
  <c r="L11" i="54"/>
  <c r="S8" i="54" a="1"/>
  <c r="S8" i="54" s="1"/>
  <c r="S9" i="54" a="1"/>
  <c r="S9" i="54" s="1"/>
  <c r="S10" i="54" a="1"/>
  <c r="S10" i="54" s="1"/>
  <c r="S11" i="54" a="1"/>
  <c r="S11" i="54" s="1"/>
  <c r="T8" i="54" a="1"/>
  <c r="T8" i="54" s="1"/>
  <c r="T9" i="54" a="1"/>
  <c r="T9" i="54" s="1"/>
  <c r="T10" i="54" a="1"/>
  <c r="T10" i="54" s="1"/>
  <c r="T11" i="54" a="1"/>
  <c r="T11" i="54" s="1"/>
  <c r="G8" i="54" l="1"/>
  <c r="K8" i="54" s="1"/>
  <c r="G11" i="54"/>
  <c r="K11" i="54" s="1"/>
  <c r="G10" i="54"/>
  <c r="K10" i="54" s="1"/>
  <c r="G9" i="54"/>
  <c r="K9" i="54" s="1"/>
  <c r="B2" i="52"/>
  <c r="B3" i="52"/>
  <c r="B4" i="52"/>
  <c r="B6" i="52"/>
  <c r="B7" i="52"/>
  <c r="R2" i="69"/>
  <c r="G2" i="119"/>
  <c r="B2" i="73"/>
  <c r="B3" i="73"/>
  <c r="G3" i="56" l="1"/>
  <c r="G4" i="56"/>
  <c r="A4" i="56"/>
  <c r="A3" i="56"/>
  <c r="I4" i="56" l="1"/>
  <c r="I3" i="56"/>
  <c r="V2" i="116" l="1"/>
  <c r="V3" i="116"/>
  <c r="V4" i="116"/>
  <c r="V5" i="116"/>
  <c r="V7" i="116"/>
  <c r="V8" i="116"/>
  <c r="V9" i="116"/>
  <c r="V10" i="116"/>
  <c r="V11" i="116"/>
  <c r="V12" i="116"/>
  <c r="V13" i="116"/>
  <c r="V14" i="116"/>
  <c r="V15" i="116"/>
  <c r="D2" i="57"/>
  <c r="F2" i="122"/>
  <c r="F3" i="122"/>
  <c r="F4" i="122"/>
  <c r="F5" i="122"/>
  <c r="F6" i="122"/>
  <c r="F7" i="122"/>
  <c r="F8" i="122"/>
  <c r="F9" i="122"/>
  <c r="F10" i="122"/>
  <c r="F11" i="122"/>
  <c r="F12" i="122"/>
  <c r="F13" i="122"/>
  <c r="F14" i="122"/>
  <c r="F15" i="122"/>
  <c r="F16" i="122"/>
  <c r="F17" i="122"/>
  <c r="F18" i="122"/>
  <c r="F19" i="122"/>
  <c r="F20" i="122"/>
  <c r="F21" i="122"/>
  <c r="F22" i="122"/>
  <c r="F23" i="122"/>
  <c r="F24" i="122"/>
  <c r="F25" i="122"/>
  <c r="F26" i="122"/>
  <c r="F27" i="122"/>
  <c r="F28" i="122"/>
  <c r="F29" i="122"/>
  <c r="F30" i="122"/>
  <c r="F31" i="122"/>
  <c r="F32" i="122"/>
  <c r="F33" i="122"/>
  <c r="F34" i="122"/>
  <c r="F35" i="122"/>
  <c r="F36" i="122"/>
  <c r="F37" i="122"/>
  <c r="F38" i="122"/>
  <c r="F39" i="122"/>
  <c r="F40" i="122"/>
  <c r="F41" i="122"/>
  <c r="F42" i="122"/>
  <c r="F43" i="122"/>
  <c r="F44" i="122"/>
  <c r="F45" i="122"/>
  <c r="F46" i="122"/>
  <c r="F47" i="122"/>
  <c r="F48" i="122"/>
  <c r="F49" i="122"/>
  <c r="F50" i="122"/>
  <c r="F51" i="122"/>
  <c r="F52" i="122"/>
  <c r="F53" i="122"/>
  <c r="F54" i="122"/>
  <c r="F55" i="122"/>
  <c r="F56" i="122"/>
  <c r="F57" i="122"/>
  <c r="F58" i="122"/>
  <c r="F59" i="122"/>
  <c r="F65" i="122"/>
  <c r="F66" i="122"/>
  <c r="F67" i="122"/>
  <c r="F68" i="122"/>
  <c r="F69" i="122"/>
  <c r="F70" i="122"/>
  <c r="F71" i="122"/>
  <c r="F72" i="122"/>
  <c r="F73" i="122"/>
  <c r="F74" i="122"/>
  <c r="F75" i="122"/>
  <c r="F76" i="122"/>
  <c r="F77" i="122"/>
  <c r="F78" i="122"/>
  <c r="F79" i="122"/>
  <c r="F80" i="122"/>
  <c r="F81" i="122"/>
  <c r="F82" i="122"/>
  <c r="F83" i="122"/>
  <c r="F84" i="122"/>
  <c r="F85" i="122"/>
  <c r="F86" i="122"/>
  <c r="F87" i="122"/>
  <c r="F88" i="122"/>
  <c r="F89" i="122"/>
  <c r="F90" i="122"/>
  <c r="F91" i="122"/>
  <c r="F92" i="122"/>
  <c r="F93" i="122"/>
  <c r="F94" i="122"/>
  <c r="F95" i="122"/>
  <c r="F96" i="122"/>
  <c r="F97" i="122"/>
  <c r="F98" i="122"/>
  <c r="F99" i="122"/>
  <c r="F100" i="122"/>
  <c r="F101" i="122"/>
  <c r="F102" i="122"/>
  <c r="F103" i="122"/>
  <c r="F104" i="122"/>
  <c r="F105" i="122"/>
  <c r="F106" i="122"/>
  <c r="F107" i="122"/>
  <c r="A2" i="70"/>
  <c r="H2" i="70" s="1"/>
  <c r="A3" i="70"/>
  <c r="H3" i="70" s="1"/>
  <c r="A4" i="70"/>
  <c r="H4" i="70" s="1"/>
  <c r="A5" i="70"/>
  <c r="H5" i="70" s="1"/>
  <c r="A6" i="70"/>
  <c r="H6" i="70" s="1"/>
  <c r="A7" i="70"/>
  <c r="H7" i="70" s="1"/>
  <c r="A8" i="70"/>
  <c r="H8" i="70" s="1"/>
  <c r="A9" i="70"/>
  <c r="H9" i="70" s="1"/>
  <c r="A10" i="70"/>
  <c r="H10" i="70" s="1"/>
  <c r="A11" i="70"/>
  <c r="H11" i="70" s="1"/>
  <c r="A12" i="70"/>
  <c r="H12" i="70" s="1"/>
  <c r="A13" i="70"/>
  <c r="H13" i="70" s="1"/>
  <c r="A14" i="70"/>
  <c r="H14" i="70" s="1"/>
  <c r="A15" i="70"/>
  <c r="H15" i="70" s="1"/>
  <c r="A16" i="70"/>
  <c r="H16" i="70" s="1"/>
  <c r="A17" i="70"/>
  <c r="H17" i="70" s="1"/>
  <c r="A18" i="70"/>
  <c r="H18" i="70" s="1"/>
  <c r="A19" i="70"/>
  <c r="H19" i="70" s="1"/>
  <c r="A20" i="70"/>
  <c r="H20" i="70" s="1"/>
  <c r="A21" i="70"/>
  <c r="H21" i="70" s="1"/>
  <c r="A22" i="70"/>
  <c r="H22" i="70" s="1"/>
  <c r="A23" i="70"/>
  <c r="H23" i="70" s="1"/>
  <c r="A24" i="70"/>
  <c r="H24" i="70" s="1"/>
  <c r="A26" i="70"/>
  <c r="H26" i="70" s="1"/>
  <c r="A27" i="70"/>
  <c r="H27" i="70" s="1"/>
  <c r="A28" i="70"/>
  <c r="H28" i="70" s="1"/>
  <c r="A29" i="70"/>
  <c r="H29" i="70" s="1"/>
  <c r="A30" i="70"/>
  <c r="H30" i="70" s="1"/>
  <c r="A31" i="70"/>
  <c r="H31" i="70" s="1"/>
  <c r="A32" i="70"/>
  <c r="H32" i="70" s="1"/>
  <c r="A33" i="70"/>
  <c r="H33" i="70" s="1"/>
  <c r="E2" i="57"/>
  <c r="A2" i="74"/>
  <c r="G2" i="74" s="1"/>
  <c r="A2" i="118"/>
  <c r="H2" i="118" s="1"/>
  <c r="A3" i="118"/>
  <c r="H3" i="118" s="1"/>
  <c r="C2" i="120"/>
  <c r="C3" i="120"/>
  <c r="C4" i="120"/>
  <c r="C6" i="120"/>
  <c r="C7" i="120"/>
  <c r="C8" i="120"/>
  <c r="C9" i="120"/>
  <c r="C10" i="120"/>
  <c r="C13" i="120"/>
  <c r="C14" i="120"/>
  <c r="A2" i="71"/>
  <c r="G2" i="71" s="1"/>
  <c r="A3" i="71"/>
  <c r="G3" i="71" s="1"/>
  <c r="A3" i="73"/>
  <c r="H3" i="73" s="1"/>
  <c r="I3" i="73"/>
  <c r="H2" i="73"/>
  <c r="C2" i="52" a="1"/>
  <c r="C2" i="52" s="1"/>
  <c r="I2" i="52" s="1"/>
  <c r="C3" i="52" a="1"/>
  <c r="C3" i="52" s="1"/>
  <c r="I3" i="52" s="1"/>
  <c r="C4" i="52" a="1"/>
  <c r="C4" i="52" s="1"/>
  <c r="I4" i="52" s="1"/>
  <c r="C6" i="52" a="1"/>
  <c r="C6" i="52" s="1"/>
  <c r="I6" i="52" s="1"/>
  <c r="C7" i="52" a="1"/>
  <c r="C7" i="52" s="1"/>
  <c r="I7" i="52" s="1"/>
  <c r="W2" i="69"/>
  <c r="A4" i="54"/>
  <c r="L4" i="54"/>
  <c r="S4" i="54" a="1"/>
  <c r="S4" i="54" s="1"/>
  <c r="T4" i="54" a="1"/>
  <c r="T4" i="54" s="1"/>
  <c r="C17" i="99" l="1"/>
  <c r="G4" i="54"/>
  <c r="K4" i="54" s="1"/>
  <c r="C11" i="99"/>
  <c r="C20" i="99" l="1"/>
  <c r="AM3" i="116"/>
  <c r="AM4" i="116"/>
  <c r="AM5" i="116"/>
  <c r="AM7" i="116"/>
  <c r="AM8" i="116"/>
  <c r="AM9" i="116"/>
  <c r="AM10" i="116"/>
  <c r="AM11" i="116"/>
  <c r="AM12" i="116"/>
  <c r="AM13" i="116"/>
  <c r="AM14" i="116"/>
  <c r="AM15" i="116"/>
  <c r="AM2" i="116"/>
  <c r="AG3" i="116"/>
  <c r="AG4" i="116"/>
  <c r="AG5" i="116"/>
  <c r="AG7" i="116"/>
  <c r="AG8" i="116"/>
  <c r="AG9" i="116"/>
  <c r="AG10" i="116"/>
  <c r="AG11" i="116"/>
  <c r="AG12" i="116"/>
  <c r="AG13" i="116"/>
  <c r="AG14" i="116"/>
  <c r="AG15" i="116"/>
  <c r="AG2" i="116"/>
  <c r="AF3" i="116"/>
  <c r="AF4" i="116"/>
  <c r="AF5" i="116"/>
  <c r="AF7" i="116"/>
  <c r="AF8" i="116"/>
  <c r="AF9" i="116"/>
  <c r="AF10" i="116"/>
  <c r="AF11" i="116"/>
  <c r="AF12" i="116"/>
  <c r="AF13" i="116"/>
  <c r="AF14" i="116"/>
  <c r="AF15" i="116"/>
  <c r="AF2" i="116"/>
  <c r="AE3" i="116"/>
  <c r="AE4" i="116"/>
  <c r="AE5" i="116"/>
  <c r="AE7" i="116"/>
  <c r="AE8" i="116"/>
  <c r="AE9" i="116"/>
  <c r="AE10" i="116"/>
  <c r="AE11" i="116"/>
  <c r="AE12" i="116"/>
  <c r="AE13" i="116"/>
  <c r="AE14" i="116"/>
  <c r="AE15" i="116"/>
  <c r="AE2" i="116"/>
  <c r="B4" i="101" l="1"/>
  <c r="D4" i="101" s="1"/>
  <c r="C21" i="99" l="1"/>
  <c r="A12" i="116"/>
  <c r="A13" i="116"/>
  <c r="A14" i="116"/>
  <c r="A15" i="116"/>
  <c r="B12" i="116"/>
  <c r="B13" i="116"/>
  <c r="B14" i="116"/>
  <c r="B15" i="116"/>
  <c r="C12" i="116"/>
  <c r="C13" i="116"/>
  <c r="C14" i="116"/>
  <c r="C15" i="116"/>
  <c r="D12" i="116"/>
  <c r="D13" i="116"/>
  <c r="D14" i="116"/>
  <c r="D15" i="116"/>
  <c r="E12" i="116"/>
  <c r="E13" i="116"/>
  <c r="E14" i="116"/>
  <c r="E15" i="116"/>
  <c r="F12" i="116"/>
  <c r="G12" i="116" s="1"/>
  <c r="F13" i="116"/>
  <c r="G13" i="116" s="1"/>
  <c r="F14" i="116"/>
  <c r="G14" i="116" s="1"/>
  <c r="F15" i="116"/>
  <c r="G15" i="116" s="1"/>
  <c r="H12" i="116"/>
  <c r="I12" i="116" s="1"/>
  <c r="H13" i="116"/>
  <c r="I13" i="116" s="1"/>
  <c r="H14" i="116"/>
  <c r="I14" i="116" s="1"/>
  <c r="H15" i="116"/>
  <c r="I15" i="116" s="1"/>
  <c r="J12" i="116"/>
  <c r="K12" i="116" s="1"/>
  <c r="J13" i="116"/>
  <c r="K13" i="116" s="1"/>
  <c r="J14" i="116"/>
  <c r="K14" i="116" s="1"/>
  <c r="J15" i="116"/>
  <c r="K15" i="116" s="1"/>
  <c r="L12" i="116"/>
  <c r="M12" i="116" s="1"/>
  <c r="L13" i="116"/>
  <c r="M13" i="116" s="1"/>
  <c r="L14" i="116"/>
  <c r="M14" i="116" s="1"/>
  <c r="L15" i="116"/>
  <c r="M15" i="116" s="1"/>
  <c r="N12" i="116"/>
  <c r="O12" i="116" s="1"/>
  <c r="N13" i="116"/>
  <c r="O13" i="116" s="1"/>
  <c r="N14" i="116"/>
  <c r="O14" i="116" s="1"/>
  <c r="N15" i="116"/>
  <c r="O15" i="116" s="1"/>
  <c r="P12" i="116"/>
  <c r="Q12" i="116" s="1"/>
  <c r="P13" i="116"/>
  <c r="Q13" i="116" s="1"/>
  <c r="P14" i="116"/>
  <c r="Q14" i="116" s="1"/>
  <c r="P15" i="116"/>
  <c r="Q15" i="116" s="1"/>
  <c r="R12" i="116"/>
  <c r="R13" i="116"/>
  <c r="R14" i="116"/>
  <c r="R15" i="116"/>
  <c r="S12" i="116"/>
  <c r="S13" i="116"/>
  <c r="S14" i="116"/>
  <c r="S15" i="116"/>
  <c r="T12" i="116"/>
  <c r="T13" i="116"/>
  <c r="T14" i="116"/>
  <c r="T15" i="116"/>
  <c r="U12" i="116"/>
  <c r="U13" i="116"/>
  <c r="U14" i="116"/>
  <c r="U15" i="116"/>
  <c r="W12" i="116"/>
  <c r="W13" i="116"/>
  <c r="W14" i="116"/>
  <c r="W15" i="116"/>
  <c r="X12" i="116"/>
  <c r="X13" i="116"/>
  <c r="X14" i="116"/>
  <c r="X15" i="116"/>
  <c r="K7" i="52"/>
  <c r="L7" i="52"/>
  <c r="Z15" i="116" l="1"/>
  <c r="Z14" i="116"/>
  <c r="Z13" i="116"/>
  <c r="Z12" i="116"/>
  <c r="O3" i="120" l="1"/>
  <c r="J3" i="120" s="1"/>
  <c r="O4" i="120"/>
  <c r="J4" i="120" s="1"/>
  <c r="O6" i="120"/>
  <c r="J6" i="120" s="1"/>
  <c r="O7" i="120"/>
  <c r="J7" i="120" s="1"/>
  <c r="O8" i="120"/>
  <c r="J8" i="120" s="1"/>
  <c r="O9" i="120"/>
  <c r="J9" i="120" s="1"/>
  <c r="O10" i="120"/>
  <c r="J10" i="120" s="1"/>
  <c r="O13" i="120"/>
  <c r="J13" i="120" s="1"/>
  <c r="O14" i="120"/>
  <c r="J14" i="120" s="1"/>
  <c r="O2" i="120"/>
  <c r="J2" i="120" s="1"/>
  <c r="U2" i="116"/>
  <c r="U3" i="116"/>
  <c r="U4" i="116"/>
  <c r="U5" i="116"/>
  <c r="U7" i="116"/>
  <c r="U8" i="116"/>
  <c r="U9" i="116"/>
  <c r="U10" i="116"/>
  <c r="U11" i="116"/>
  <c r="T2" i="116"/>
  <c r="T3" i="116"/>
  <c r="T4" i="116"/>
  <c r="T5" i="116"/>
  <c r="T7" i="116"/>
  <c r="T8" i="116"/>
  <c r="T9" i="116"/>
  <c r="T10" i="116"/>
  <c r="T11" i="116"/>
  <c r="S2" i="116"/>
  <c r="S3" i="116"/>
  <c r="S4" i="116"/>
  <c r="S5" i="116"/>
  <c r="S7" i="116"/>
  <c r="S8" i="116"/>
  <c r="S9" i="116"/>
  <c r="S10" i="116"/>
  <c r="S11" i="116"/>
  <c r="R2" i="116"/>
  <c r="R3" i="116"/>
  <c r="R4" i="116"/>
  <c r="R5" i="116"/>
  <c r="R7" i="116"/>
  <c r="R8" i="116"/>
  <c r="R9" i="116"/>
  <c r="R10" i="116"/>
  <c r="R11" i="116"/>
  <c r="E2" i="116"/>
  <c r="E3" i="116"/>
  <c r="E4" i="116"/>
  <c r="E5" i="116"/>
  <c r="E7" i="116"/>
  <c r="E8" i="116"/>
  <c r="E9" i="116"/>
  <c r="E10" i="116"/>
  <c r="E11" i="116"/>
  <c r="D2" i="116"/>
  <c r="D3" i="116"/>
  <c r="D4" i="116"/>
  <c r="D5" i="116"/>
  <c r="D7" i="116"/>
  <c r="D8" i="116"/>
  <c r="D9" i="116"/>
  <c r="D10" i="116"/>
  <c r="D11" i="116"/>
  <c r="C2" i="116"/>
  <c r="C3" i="116"/>
  <c r="C4" i="116"/>
  <c r="C5" i="116"/>
  <c r="C7" i="116"/>
  <c r="C8" i="116"/>
  <c r="C9" i="116"/>
  <c r="C10" i="116"/>
  <c r="C11" i="116"/>
  <c r="E2" i="119" l="1" a="1"/>
  <c r="E2" i="119" s="1"/>
  <c r="P2" i="116" l="1"/>
  <c r="Q2" i="116" s="1"/>
  <c r="P3" i="116"/>
  <c r="Q3" i="116" s="1"/>
  <c r="P4" i="116"/>
  <c r="Q4" i="116" s="1"/>
  <c r="P5" i="116"/>
  <c r="Q5" i="116" s="1"/>
  <c r="P7" i="116"/>
  <c r="Q7" i="116" s="1"/>
  <c r="P8" i="116"/>
  <c r="Q8" i="116" s="1"/>
  <c r="P9" i="116"/>
  <c r="Q9" i="116" s="1"/>
  <c r="P10" i="116"/>
  <c r="Q10" i="116" s="1"/>
  <c r="P11" i="116"/>
  <c r="Q11" i="116" s="1"/>
  <c r="N2" i="116"/>
  <c r="O2" i="116" s="1"/>
  <c r="N3" i="116"/>
  <c r="O3" i="116" s="1"/>
  <c r="N4" i="116"/>
  <c r="O4" i="116" s="1"/>
  <c r="N5" i="116"/>
  <c r="O5" i="116" s="1"/>
  <c r="N7" i="116"/>
  <c r="O7" i="116" s="1"/>
  <c r="N8" i="116"/>
  <c r="O8" i="116" s="1"/>
  <c r="N9" i="116"/>
  <c r="O9" i="116" s="1"/>
  <c r="N10" i="116"/>
  <c r="O10" i="116" s="1"/>
  <c r="N11" i="116"/>
  <c r="O11" i="116" s="1"/>
  <c r="L2" i="116"/>
  <c r="M2" i="116" s="1"/>
  <c r="L3" i="116"/>
  <c r="M3" i="116" s="1"/>
  <c r="L4" i="116"/>
  <c r="M4" i="116" s="1"/>
  <c r="L5" i="116"/>
  <c r="M5" i="116" s="1"/>
  <c r="L7" i="116"/>
  <c r="M7" i="116" s="1"/>
  <c r="L8" i="116"/>
  <c r="M8" i="116" s="1"/>
  <c r="L9" i="116"/>
  <c r="M9" i="116" s="1"/>
  <c r="L10" i="116"/>
  <c r="M10" i="116" s="1"/>
  <c r="L11" i="116"/>
  <c r="M11" i="116" s="1"/>
  <c r="J2" i="116"/>
  <c r="K2" i="116" s="1"/>
  <c r="J3" i="116"/>
  <c r="K3" i="116" s="1"/>
  <c r="J4" i="116"/>
  <c r="K4" i="116" s="1"/>
  <c r="J5" i="116"/>
  <c r="K5" i="116" s="1"/>
  <c r="J7" i="116"/>
  <c r="K7" i="116" s="1"/>
  <c r="J8" i="116"/>
  <c r="K8" i="116" s="1"/>
  <c r="J9" i="116"/>
  <c r="K9" i="116" s="1"/>
  <c r="J10" i="116"/>
  <c r="K10" i="116" s="1"/>
  <c r="J11" i="116"/>
  <c r="K11" i="116" s="1"/>
  <c r="H2" i="116"/>
  <c r="I2" i="116" s="1"/>
  <c r="H3" i="116"/>
  <c r="I3" i="116" s="1"/>
  <c r="H4" i="116"/>
  <c r="I4" i="116" s="1"/>
  <c r="H5" i="116"/>
  <c r="I5" i="116" s="1"/>
  <c r="H7" i="116"/>
  <c r="I7" i="116" s="1"/>
  <c r="H8" i="116"/>
  <c r="I8" i="116" s="1"/>
  <c r="H9" i="116"/>
  <c r="I9" i="116" s="1"/>
  <c r="H10" i="116"/>
  <c r="I10" i="116" s="1"/>
  <c r="H11" i="116"/>
  <c r="I11" i="116" s="1"/>
  <c r="F2" i="116"/>
  <c r="G2" i="116" s="1"/>
  <c r="F3" i="116"/>
  <c r="G3" i="116" s="1"/>
  <c r="F4" i="116"/>
  <c r="F5" i="116"/>
  <c r="F7" i="116"/>
  <c r="F8" i="116"/>
  <c r="F9" i="116"/>
  <c r="G9" i="116" s="1"/>
  <c r="F10" i="116"/>
  <c r="F11" i="116"/>
  <c r="G11" i="116" s="1"/>
  <c r="W2" i="116"/>
  <c r="F2" i="59"/>
  <c r="K2" i="59"/>
  <c r="F3" i="59"/>
  <c r="F4" i="59"/>
  <c r="F5" i="59"/>
  <c r="F6" i="59"/>
  <c r="F7" i="59"/>
  <c r="F8" i="59"/>
  <c r="F9" i="59"/>
  <c r="F10" i="59"/>
  <c r="F12" i="59"/>
  <c r="F13" i="59"/>
  <c r="F14" i="59"/>
  <c r="F15" i="59"/>
  <c r="F16" i="59"/>
  <c r="F17" i="59"/>
  <c r="F19" i="59"/>
  <c r="F20" i="59"/>
  <c r="F21" i="59"/>
  <c r="F22" i="59"/>
  <c r="F23" i="59"/>
  <c r="F24" i="59"/>
  <c r="F25" i="59"/>
  <c r="F26" i="59"/>
  <c r="F27" i="59"/>
  <c r="F28" i="59"/>
  <c r="F29" i="59"/>
  <c r="F30" i="59"/>
  <c r="F31" i="59"/>
  <c r="F32" i="59"/>
  <c r="F33" i="59"/>
  <c r="F34" i="59"/>
  <c r="F35" i="59"/>
  <c r="F36" i="59"/>
  <c r="B18" i="101"/>
  <c r="D18" i="101" s="1"/>
  <c r="B17" i="101"/>
  <c r="D17" i="101" s="1"/>
  <c r="J2" i="59"/>
  <c r="J3" i="59"/>
  <c r="J4" i="59"/>
  <c r="J5" i="59"/>
  <c r="J6" i="59"/>
  <c r="J7" i="59"/>
  <c r="J8" i="59"/>
  <c r="J9" i="59"/>
  <c r="J10" i="59"/>
  <c r="J12" i="59"/>
  <c r="J13" i="59"/>
  <c r="J14" i="59"/>
  <c r="J15" i="59"/>
  <c r="J16" i="59"/>
  <c r="J17" i="59"/>
  <c r="J19" i="59"/>
  <c r="J20" i="59"/>
  <c r="J21" i="59"/>
  <c r="J22" i="59"/>
  <c r="J23" i="59"/>
  <c r="J24" i="59"/>
  <c r="J25" i="59"/>
  <c r="J26" i="59"/>
  <c r="J27" i="59"/>
  <c r="J28" i="59"/>
  <c r="J29" i="59"/>
  <c r="J30" i="59"/>
  <c r="J31" i="59"/>
  <c r="J32" i="59"/>
  <c r="J33" i="59"/>
  <c r="J34" i="59"/>
  <c r="J35" i="59"/>
  <c r="J36" i="59"/>
  <c r="X2" i="116"/>
  <c r="X3" i="116"/>
  <c r="X4" i="116"/>
  <c r="X5" i="116"/>
  <c r="X7" i="116"/>
  <c r="X8" i="116"/>
  <c r="X9" i="116"/>
  <c r="X10" i="116"/>
  <c r="X11" i="116"/>
  <c r="W3" i="116"/>
  <c r="W4" i="116"/>
  <c r="W5" i="116"/>
  <c r="W7" i="116"/>
  <c r="W8" i="116"/>
  <c r="W9" i="116"/>
  <c r="W10" i="116"/>
  <c r="W11" i="116"/>
  <c r="K3" i="59"/>
  <c r="K4" i="59"/>
  <c r="K5" i="59"/>
  <c r="K6" i="59"/>
  <c r="K7" i="59"/>
  <c r="K8" i="59"/>
  <c r="K9" i="59"/>
  <c r="K10" i="59"/>
  <c r="K12" i="59"/>
  <c r="K13" i="59"/>
  <c r="K14" i="59"/>
  <c r="K15" i="59"/>
  <c r="K16" i="59"/>
  <c r="K17" i="59"/>
  <c r="K19" i="59"/>
  <c r="K20" i="59"/>
  <c r="K21" i="59"/>
  <c r="K22" i="59"/>
  <c r="K23" i="59"/>
  <c r="K24" i="59"/>
  <c r="K25" i="59"/>
  <c r="K26" i="59"/>
  <c r="K27" i="59"/>
  <c r="K28" i="59"/>
  <c r="K29" i="59"/>
  <c r="K30" i="59"/>
  <c r="K31" i="59"/>
  <c r="K32" i="59"/>
  <c r="K33" i="59"/>
  <c r="K34" i="59"/>
  <c r="K35" i="59"/>
  <c r="K36" i="59"/>
  <c r="A7" i="120"/>
  <c r="L7" i="120" s="1"/>
  <c r="A8" i="120"/>
  <c r="L8" i="120" s="1"/>
  <c r="P2" i="69"/>
  <c r="A14" i="120"/>
  <c r="L14" i="120" s="1"/>
  <c r="A13" i="120"/>
  <c r="L13" i="120" s="1"/>
  <c r="A10" i="120"/>
  <c r="L10" i="120" s="1"/>
  <c r="A9" i="120"/>
  <c r="L9" i="120" s="1"/>
  <c r="A6" i="120"/>
  <c r="L6" i="120" s="1"/>
  <c r="A4" i="120"/>
  <c r="L4" i="120" s="1"/>
  <c r="A3" i="120"/>
  <c r="L3" i="120" s="1"/>
  <c r="B9" i="101"/>
  <c r="D9" i="101" s="1"/>
  <c r="B2" i="59"/>
  <c r="B23" i="101"/>
  <c r="D23" i="101" s="1"/>
  <c r="B20" i="101"/>
  <c r="D20" i="101" s="1"/>
  <c r="B7" i="101"/>
  <c r="D7" i="101" s="1"/>
  <c r="B6" i="101"/>
  <c r="D6" i="101" s="1"/>
  <c r="B5" i="101"/>
  <c r="D5" i="101" s="1"/>
  <c r="T3" i="54" a="1"/>
  <c r="T3" i="54" s="1"/>
  <c r="T5" i="54" a="1"/>
  <c r="T5" i="54" s="1"/>
  <c r="T6" i="54" a="1"/>
  <c r="T6" i="54" s="1"/>
  <c r="T7" i="54" a="1"/>
  <c r="T7" i="54" s="1"/>
  <c r="T2" i="54" a="1"/>
  <c r="T2" i="54" s="1"/>
  <c r="S3" i="54" a="1"/>
  <c r="S3" i="54" s="1"/>
  <c r="S5" i="54" a="1"/>
  <c r="S5" i="54" s="1"/>
  <c r="S6" i="54" a="1"/>
  <c r="S6" i="54" s="1"/>
  <c r="S7" i="54" a="1"/>
  <c r="S7" i="54" s="1"/>
  <c r="S2" i="54" a="1"/>
  <c r="S2" i="54" s="1"/>
  <c r="C3" i="117"/>
  <c r="A3" i="116"/>
  <c r="B3" i="116"/>
  <c r="M2" i="122"/>
  <c r="M3" i="122"/>
  <c r="M4" i="122"/>
  <c r="M5" i="122"/>
  <c r="M6" i="122"/>
  <c r="M7" i="122"/>
  <c r="M8" i="122"/>
  <c r="M9" i="122"/>
  <c r="M10" i="122"/>
  <c r="M11" i="122"/>
  <c r="M12" i="122"/>
  <c r="M13" i="122"/>
  <c r="M14" i="122"/>
  <c r="M15" i="122"/>
  <c r="M16" i="122"/>
  <c r="M17" i="122"/>
  <c r="M18" i="122"/>
  <c r="M19" i="122"/>
  <c r="M20" i="122"/>
  <c r="M21" i="122"/>
  <c r="M22" i="122"/>
  <c r="M23" i="122"/>
  <c r="M24" i="122"/>
  <c r="M25" i="122"/>
  <c r="M26" i="122"/>
  <c r="M27" i="122"/>
  <c r="M28" i="122"/>
  <c r="M29" i="122"/>
  <c r="M30" i="122"/>
  <c r="M31" i="122"/>
  <c r="M32" i="122"/>
  <c r="M33" i="122"/>
  <c r="M34" i="122"/>
  <c r="M35" i="122"/>
  <c r="M36" i="122"/>
  <c r="M37" i="122"/>
  <c r="M38" i="122"/>
  <c r="M39" i="122"/>
  <c r="M40" i="122"/>
  <c r="M41" i="122"/>
  <c r="M42" i="122"/>
  <c r="M43" i="122"/>
  <c r="M44" i="122"/>
  <c r="M45" i="122"/>
  <c r="M46" i="122"/>
  <c r="M47" i="122"/>
  <c r="M48" i="122"/>
  <c r="M49" i="122"/>
  <c r="M50" i="122"/>
  <c r="M51" i="122"/>
  <c r="M52" i="122"/>
  <c r="M53" i="122"/>
  <c r="M54" i="122"/>
  <c r="M55" i="122"/>
  <c r="M56" i="122"/>
  <c r="M57" i="122"/>
  <c r="M58" i="122"/>
  <c r="M59" i="122"/>
  <c r="M65" i="122"/>
  <c r="M66" i="122"/>
  <c r="M67" i="122"/>
  <c r="M68" i="122"/>
  <c r="M69" i="122"/>
  <c r="M70" i="122"/>
  <c r="M71" i="122"/>
  <c r="M72" i="122"/>
  <c r="M73" i="122"/>
  <c r="M74" i="122"/>
  <c r="M75" i="122"/>
  <c r="M76" i="122"/>
  <c r="M77" i="122"/>
  <c r="M78" i="122"/>
  <c r="M79" i="122"/>
  <c r="M80" i="122"/>
  <c r="M81" i="122"/>
  <c r="M82" i="122"/>
  <c r="M83" i="122"/>
  <c r="M84" i="122"/>
  <c r="M85" i="122"/>
  <c r="M86" i="122"/>
  <c r="M87" i="122"/>
  <c r="M88" i="122"/>
  <c r="M89" i="122"/>
  <c r="M90" i="122"/>
  <c r="M91" i="122"/>
  <c r="M92" i="122"/>
  <c r="M93" i="122"/>
  <c r="M94" i="122"/>
  <c r="M95" i="122"/>
  <c r="M96" i="122"/>
  <c r="M97" i="122"/>
  <c r="M98" i="122"/>
  <c r="M99" i="122"/>
  <c r="M100" i="122"/>
  <c r="M101" i="122"/>
  <c r="M102" i="122"/>
  <c r="M103" i="122"/>
  <c r="M104" i="122"/>
  <c r="M105" i="122"/>
  <c r="M106" i="122"/>
  <c r="M107" i="122"/>
  <c r="Q3" i="122"/>
  <c r="Q4" i="122"/>
  <c r="Q5" i="122"/>
  <c r="Q6" i="122"/>
  <c r="Q7" i="122"/>
  <c r="Q8" i="122"/>
  <c r="Q9" i="122"/>
  <c r="Q10" i="122"/>
  <c r="Q11" i="122"/>
  <c r="Q12" i="122"/>
  <c r="Q13" i="122"/>
  <c r="Q14" i="122"/>
  <c r="Q15" i="122"/>
  <c r="Q16" i="122"/>
  <c r="Q17" i="122"/>
  <c r="Q18" i="122"/>
  <c r="Q19" i="122"/>
  <c r="Q20" i="122"/>
  <c r="Q21" i="122"/>
  <c r="Q22" i="122"/>
  <c r="Q23" i="122"/>
  <c r="Q24" i="122"/>
  <c r="Q25" i="122"/>
  <c r="Q26" i="122"/>
  <c r="Q27" i="122"/>
  <c r="Q28" i="122"/>
  <c r="Q29" i="122"/>
  <c r="Q30" i="122"/>
  <c r="Q31" i="122"/>
  <c r="Q32" i="122"/>
  <c r="Q33" i="122"/>
  <c r="Q34" i="122"/>
  <c r="Q35" i="122"/>
  <c r="Q36" i="122"/>
  <c r="Q37" i="122"/>
  <c r="Q38" i="122"/>
  <c r="Q39" i="122"/>
  <c r="Q40" i="122"/>
  <c r="Q41" i="122"/>
  <c r="Q42" i="122"/>
  <c r="Q43" i="122"/>
  <c r="Q44" i="122"/>
  <c r="Q45" i="122"/>
  <c r="Q46" i="122"/>
  <c r="Q47" i="122"/>
  <c r="Q48" i="122"/>
  <c r="Q49" i="122"/>
  <c r="Q50" i="122"/>
  <c r="Q51" i="122"/>
  <c r="Q52" i="122"/>
  <c r="Q53" i="122"/>
  <c r="Q54" i="122"/>
  <c r="Q55" i="122"/>
  <c r="Q56" i="122"/>
  <c r="Q57" i="122"/>
  <c r="Q58" i="122"/>
  <c r="Q59" i="122"/>
  <c r="Q65" i="122"/>
  <c r="Q66" i="122"/>
  <c r="Q67" i="122"/>
  <c r="Q68" i="122"/>
  <c r="Q69" i="122"/>
  <c r="Q70" i="122"/>
  <c r="Q71" i="122"/>
  <c r="Q72" i="122"/>
  <c r="Q73" i="122"/>
  <c r="Q74" i="122"/>
  <c r="Q75" i="122"/>
  <c r="Q76" i="122"/>
  <c r="Q77" i="122"/>
  <c r="Q78" i="122"/>
  <c r="Q79" i="122"/>
  <c r="Q80" i="122"/>
  <c r="Q81" i="122"/>
  <c r="Q82" i="122"/>
  <c r="Q83" i="122"/>
  <c r="Q84" i="122"/>
  <c r="Q85" i="122"/>
  <c r="Q86" i="122"/>
  <c r="Q87" i="122"/>
  <c r="Q88" i="122"/>
  <c r="Q89" i="122"/>
  <c r="Q90" i="122"/>
  <c r="Q91" i="122"/>
  <c r="Q92" i="122"/>
  <c r="Q93" i="122"/>
  <c r="Q94" i="122"/>
  <c r="Q95" i="122"/>
  <c r="Q96" i="122"/>
  <c r="Q97" i="122"/>
  <c r="Q98" i="122"/>
  <c r="Q99" i="122"/>
  <c r="Q100" i="122"/>
  <c r="Q101" i="122"/>
  <c r="Q102" i="122"/>
  <c r="Q103" i="122"/>
  <c r="Q104" i="122"/>
  <c r="Q105" i="122"/>
  <c r="Q106" i="122"/>
  <c r="Q107" i="122"/>
  <c r="Q2" i="122"/>
  <c r="K3" i="52"/>
  <c r="L3" i="52"/>
  <c r="K4" i="52"/>
  <c r="L4" i="52"/>
  <c r="K6" i="52"/>
  <c r="L6" i="52"/>
  <c r="L2" i="52"/>
  <c r="K2" i="52"/>
  <c r="L7" i="54"/>
  <c r="A7" i="54"/>
  <c r="A2" i="120"/>
  <c r="L2" i="120" s="1"/>
  <c r="AH2" i="69"/>
  <c r="F2" i="69" s="1" a="1"/>
  <c r="F2" i="69" s="1"/>
  <c r="AG2" i="69"/>
  <c r="AF2" i="69" s="1"/>
  <c r="M2" i="69" s="1"/>
  <c r="C2" i="119"/>
  <c r="D2" i="117"/>
  <c r="A2" i="116"/>
  <c r="B2" i="116"/>
  <c r="A4" i="116"/>
  <c r="B4" i="116"/>
  <c r="A5" i="116"/>
  <c r="B5" i="116"/>
  <c r="A7" i="116"/>
  <c r="B7" i="116"/>
  <c r="A8" i="116"/>
  <c r="B8" i="116"/>
  <c r="A9" i="116"/>
  <c r="B9" i="116"/>
  <c r="A10" i="116"/>
  <c r="B10" i="116"/>
  <c r="A11" i="116"/>
  <c r="B11" i="116"/>
  <c r="A2" i="59"/>
  <c r="A3" i="59"/>
  <c r="A4" i="59"/>
  <c r="A5" i="59"/>
  <c r="A6" i="59"/>
  <c r="A7" i="59"/>
  <c r="A8" i="59"/>
  <c r="A9" i="59"/>
  <c r="A10" i="59"/>
  <c r="A12" i="59"/>
  <c r="A13" i="59"/>
  <c r="A14" i="59"/>
  <c r="A15" i="59"/>
  <c r="A16" i="59"/>
  <c r="A17" i="59"/>
  <c r="A19" i="59"/>
  <c r="A20" i="59"/>
  <c r="A21" i="59"/>
  <c r="A22" i="59"/>
  <c r="A23" i="59"/>
  <c r="A24" i="59"/>
  <c r="A25" i="59"/>
  <c r="A26" i="59"/>
  <c r="A27" i="59"/>
  <c r="A28" i="59"/>
  <c r="A29" i="59"/>
  <c r="A30" i="59"/>
  <c r="A31" i="59"/>
  <c r="A32" i="59"/>
  <c r="A33" i="59"/>
  <c r="A34" i="59"/>
  <c r="A35" i="59"/>
  <c r="A36" i="59"/>
  <c r="B3" i="59"/>
  <c r="B4" i="59"/>
  <c r="B5" i="59"/>
  <c r="B6" i="59"/>
  <c r="B7" i="59"/>
  <c r="B8" i="59"/>
  <c r="B9" i="59"/>
  <c r="B10" i="59"/>
  <c r="B12" i="59"/>
  <c r="B13" i="59"/>
  <c r="B14" i="59"/>
  <c r="B15" i="59"/>
  <c r="B16" i="59"/>
  <c r="B17" i="59"/>
  <c r="B19" i="59"/>
  <c r="B20" i="59"/>
  <c r="B21" i="59"/>
  <c r="B22" i="59"/>
  <c r="B23" i="59"/>
  <c r="B24" i="59"/>
  <c r="B25" i="59"/>
  <c r="B26" i="59"/>
  <c r="B27" i="59"/>
  <c r="B28" i="59"/>
  <c r="B29" i="59"/>
  <c r="B30" i="59"/>
  <c r="B31" i="59"/>
  <c r="B32" i="59"/>
  <c r="B33" i="59"/>
  <c r="B34" i="59"/>
  <c r="B35" i="59"/>
  <c r="B36" i="59"/>
  <c r="B10" i="101"/>
  <c r="D10" i="101" s="1"/>
  <c r="C2" i="57"/>
  <c r="A2" i="57"/>
  <c r="B19" i="101"/>
  <c r="D19" i="101" s="1"/>
  <c r="L3" i="54"/>
  <c r="L5" i="54"/>
  <c r="L6" i="54"/>
  <c r="L2" i="54"/>
  <c r="B22" i="101"/>
  <c r="D22" i="101" s="1"/>
  <c r="B21" i="101"/>
  <c r="D21" i="101" s="1"/>
  <c r="B16" i="101"/>
  <c r="D16" i="101" s="1"/>
  <c r="B15" i="101"/>
  <c r="D15" i="101" s="1"/>
  <c r="B14" i="101"/>
  <c r="D14" i="101" s="1"/>
  <c r="B13" i="101"/>
  <c r="D13" i="101" s="1"/>
  <c r="B12" i="101"/>
  <c r="D12" i="101" s="1"/>
  <c r="B11" i="101"/>
  <c r="D11" i="101" s="1"/>
  <c r="B8" i="101"/>
  <c r="D8" i="101" s="1"/>
  <c r="B3" i="91"/>
  <c r="B4" i="91"/>
  <c r="B6" i="91"/>
  <c r="A2" i="54"/>
  <c r="A3" i="54"/>
  <c r="A5" i="54"/>
  <c r="A6" i="54"/>
  <c r="J286" i="69" l="1" a="1"/>
  <c r="J286" i="69" s="1"/>
  <c r="Y286" i="69" s="1"/>
  <c r="J137" i="69" a="1"/>
  <c r="J137" i="69" s="1"/>
  <c r="Y137" i="69" s="1"/>
  <c r="J334" i="69" a="1"/>
  <c r="J334" i="69" s="1"/>
  <c r="Y334" i="69" s="1"/>
  <c r="J400" i="69" a="1"/>
  <c r="J400" i="69" s="1"/>
  <c r="Y400" i="69" s="1"/>
  <c r="J377" i="69" a="1"/>
  <c r="J377" i="69" s="1"/>
  <c r="Y377" i="69" s="1"/>
  <c r="J392" i="69" a="1"/>
  <c r="J392" i="69" s="1"/>
  <c r="Y392" i="69" s="1"/>
  <c r="J394" i="69" a="1"/>
  <c r="J394" i="69" s="1"/>
  <c r="Y394" i="69" s="1"/>
  <c r="J388" i="69" a="1"/>
  <c r="J388" i="69" s="1"/>
  <c r="Y388" i="69" s="1"/>
  <c r="J391" i="69" a="1"/>
  <c r="J391" i="69" s="1"/>
  <c r="Y391" i="69" s="1"/>
  <c r="J339" i="69" a="1"/>
  <c r="J339" i="69" s="1"/>
  <c r="Y339" i="69" s="1"/>
  <c r="J329" i="69" a="1"/>
  <c r="J329" i="69" s="1"/>
  <c r="Y329" i="69" s="1"/>
  <c r="J336" i="69" a="1"/>
  <c r="J336" i="69" s="1"/>
  <c r="Y336" i="69" s="1"/>
  <c r="J335" i="69" a="1"/>
  <c r="J335" i="69" s="1"/>
  <c r="Y335" i="69" s="1"/>
  <c r="J303" i="69" a="1"/>
  <c r="J303" i="69" s="1"/>
  <c r="Y303" i="69" s="1"/>
  <c r="J332" i="69" a="1"/>
  <c r="J332" i="69" s="1"/>
  <c r="Y332" i="69" s="1"/>
  <c r="J317" i="69" a="1"/>
  <c r="J317" i="69" s="1"/>
  <c r="Y317" i="69" s="1"/>
  <c r="J342" i="69" a="1"/>
  <c r="J342" i="69" s="1"/>
  <c r="Y342" i="69" s="1"/>
  <c r="J321" i="60" a="1"/>
  <c r="J321" i="60" s="1"/>
  <c r="Y321" i="60" s="1"/>
  <c r="J336" i="60" a="1"/>
  <c r="J336" i="60" s="1"/>
  <c r="Y336" i="60" s="1"/>
  <c r="J278" i="60" a="1"/>
  <c r="J278" i="60" s="1"/>
  <c r="Y278" i="60" s="1"/>
  <c r="J292" i="60" a="1"/>
  <c r="J292" i="60" s="1"/>
  <c r="Y292" i="60" s="1"/>
  <c r="J254" i="60" a="1"/>
  <c r="J254" i="60" s="1"/>
  <c r="Y254" i="60" s="1"/>
  <c r="J253" i="60" a="1"/>
  <c r="J253" i="60" s="1"/>
  <c r="Y253" i="60" s="1"/>
  <c r="J256" i="60" a="1"/>
  <c r="J256" i="60" s="1"/>
  <c r="Y256" i="60" s="1"/>
  <c r="J296" i="69" a="1"/>
  <c r="J296" i="69" s="1"/>
  <c r="Y296" i="69" s="1"/>
  <c r="J280" i="69" a="1"/>
  <c r="J280" i="69" s="1"/>
  <c r="Y280" i="69" s="1"/>
  <c r="J274" i="69" a="1"/>
  <c r="J274" i="69" s="1"/>
  <c r="Y274" i="69" s="1"/>
  <c r="J258" i="69" a="1"/>
  <c r="J258" i="69" s="1"/>
  <c r="Y258" i="69" s="1"/>
  <c r="J242" i="69" a="1"/>
  <c r="J242" i="69" s="1"/>
  <c r="Y242" i="69" s="1"/>
  <c r="J226" i="69" a="1"/>
  <c r="J226" i="69" s="1"/>
  <c r="Y226" i="69" s="1"/>
  <c r="J224" i="69" a="1"/>
  <c r="J224" i="69" s="1"/>
  <c r="Y224" i="69" s="1"/>
  <c r="J208" i="69" a="1"/>
  <c r="J208" i="69" s="1"/>
  <c r="Y208" i="69" s="1"/>
  <c r="J120" i="69" a="1"/>
  <c r="J120" i="69" s="1"/>
  <c r="Y120" i="69" s="1"/>
  <c r="J271" i="69" a="1"/>
  <c r="J271" i="69" s="1"/>
  <c r="Y271" i="69" s="1"/>
  <c r="J255" i="69" a="1"/>
  <c r="J255" i="69" s="1"/>
  <c r="Y255" i="69" s="1"/>
  <c r="J239" i="69" a="1"/>
  <c r="J239" i="69" s="1"/>
  <c r="Y239" i="69" s="1"/>
  <c r="J223" i="69" a="1"/>
  <c r="J223" i="69" s="1"/>
  <c r="Y223" i="69" s="1"/>
  <c r="J278" i="69" a="1"/>
  <c r="J278" i="69" s="1"/>
  <c r="Y278" i="69" s="1"/>
  <c r="J382" i="69" a="1"/>
  <c r="J382" i="69" s="1"/>
  <c r="Y382" i="69" s="1"/>
  <c r="J318" i="69" a="1"/>
  <c r="J318" i="69" s="1"/>
  <c r="Y318" i="69" s="1"/>
  <c r="J397" i="69" a="1"/>
  <c r="J397" i="69" s="1"/>
  <c r="Y397" i="69" s="1"/>
  <c r="J353" i="69" a="1"/>
  <c r="J353" i="69" s="1"/>
  <c r="Y353" i="69" s="1"/>
  <c r="J368" i="69" a="1"/>
  <c r="J368" i="69" s="1"/>
  <c r="Y368" i="69" s="1"/>
  <c r="J381" i="69" a="1"/>
  <c r="J381" i="69" s="1"/>
  <c r="Y381" i="69" s="1"/>
  <c r="J378" i="69" a="1"/>
  <c r="J378" i="69" s="1"/>
  <c r="Y378" i="69" s="1"/>
  <c r="J364" i="69" a="1"/>
  <c r="J364" i="69" s="1"/>
  <c r="Y364" i="69" s="1"/>
  <c r="J375" i="69" a="1"/>
  <c r="J375" i="69" s="1"/>
  <c r="Y375" i="69" s="1"/>
  <c r="J315" i="69" a="1"/>
  <c r="J315" i="69" s="1"/>
  <c r="Y315" i="69" s="1"/>
  <c r="J305" i="69" a="1"/>
  <c r="J305" i="69" s="1"/>
  <c r="Y305" i="69" s="1"/>
  <c r="J348" i="69" a="1"/>
  <c r="J348" i="69" s="1"/>
  <c r="Y348" i="69" s="1"/>
  <c r="J312" i="69" a="1"/>
  <c r="J312" i="69" s="1"/>
  <c r="Y312" i="69" s="1"/>
  <c r="J340" i="69" a="1"/>
  <c r="J340" i="69" s="1"/>
  <c r="Y340" i="69" s="1"/>
  <c r="J326" i="69" a="1"/>
  <c r="J326" i="69" s="1"/>
  <c r="Y326" i="69" s="1"/>
  <c r="J298" i="60" a="1"/>
  <c r="J298" i="60" s="1"/>
  <c r="Y298" i="60" s="1"/>
  <c r="J337" i="60" a="1"/>
  <c r="J337" i="60" s="1"/>
  <c r="Y337" i="60" s="1"/>
  <c r="J314" i="60" a="1"/>
  <c r="J314" i="60" s="1"/>
  <c r="Y314" i="60" s="1"/>
  <c r="J315" i="60" a="1"/>
  <c r="J315" i="60" s="1"/>
  <c r="Y315" i="60" s="1"/>
  <c r="J262" i="60" a="1"/>
  <c r="J262" i="60" s="1"/>
  <c r="Y262" i="60" s="1"/>
  <c r="J301" i="60" a="1"/>
  <c r="J301" i="60" s="1"/>
  <c r="Y301" i="60" s="1"/>
  <c r="J276" i="60" a="1"/>
  <c r="J276" i="60" s="1"/>
  <c r="Y276" i="60" s="1"/>
  <c r="J282" i="69" a="1"/>
  <c r="J282" i="69" s="1"/>
  <c r="Y282" i="69" s="1"/>
  <c r="J292" i="69" a="1"/>
  <c r="J292" i="69" s="1"/>
  <c r="Y292" i="69" s="1"/>
  <c r="J273" i="69" a="1"/>
  <c r="J273" i="69" s="1"/>
  <c r="Y273" i="69" s="1"/>
  <c r="J257" i="69" a="1"/>
  <c r="J257" i="69" s="1"/>
  <c r="Y257" i="69" s="1"/>
  <c r="J121" i="69" a="1"/>
  <c r="J121" i="69" s="1"/>
  <c r="Y121" i="69" s="1"/>
  <c r="J272" i="69" a="1"/>
  <c r="J272" i="69" s="1"/>
  <c r="Y272" i="69" s="1"/>
  <c r="J256" i="69" a="1"/>
  <c r="J256" i="69" s="1"/>
  <c r="Y256" i="69" s="1"/>
  <c r="J152" i="69" a="1"/>
  <c r="J152" i="69" s="1"/>
  <c r="Y152" i="69" s="1"/>
  <c r="J136" i="69" a="1"/>
  <c r="J136" i="69" s="1"/>
  <c r="Y136" i="69" s="1"/>
  <c r="J151" i="69" a="1"/>
  <c r="J151" i="69" s="1"/>
  <c r="Y151" i="69" s="1"/>
  <c r="J270" i="69" a="1"/>
  <c r="J270" i="69" s="1"/>
  <c r="Y270" i="69" s="1"/>
  <c r="J237" i="69" a="1"/>
  <c r="J237" i="69" s="1"/>
  <c r="Y237" i="69" s="1"/>
  <c r="J320" i="60" a="1"/>
  <c r="J320" i="60" s="1"/>
  <c r="Y320" i="60" s="1"/>
  <c r="J398" i="69" a="1"/>
  <c r="J398" i="69" s="1"/>
  <c r="Y398" i="69" s="1"/>
  <c r="J366" i="69" a="1"/>
  <c r="J366" i="69" s="1"/>
  <c r="Y366" i="69" s="1"/>
  <c r="J302" i="69" a="1"/>
  <c r="J302" i="69" s="1"/>
  <c r="Y302" i="69" s="1"/>
  <c r="J402" i="69" a="1"/>
  <c r="J402" i="69" s="1"/>
  <c r="Y402" i="69" s="1"/>
  <c r="J393" i="69" a="1"/>
  <c r="J393" i="69" s="1"/>
  <c r="Y393" i="69" s="1"/>
  <c r="J362" i="69" a="1"/>
  <c r="J362" i="69" s="1"/>
  <c r="Y362" i="69" s="1"/>
  <c r="J359" i="69" a="1"/>
  <c r="J359" i="69" s="1"/>
  <c r="Y359" i="69" s="1"/>
  <c r="J345" i="69" a="1"/>
  <c r="J345" i="69" s="1"/>
  <c r="Y345" i="69" s="1"/>
  <c r="J327" i="69" a="1"/>
  <c r="J327" i="69" s="1"/>
  <c r="Y327" i="69" s="1"/>
  <c r="J333" i="69" a="1"/>
  <c r="J333" i="69" s="1"/>
  <c r="Y333" i="69" s="1"/>
  <c r="J310" i="69" a="1"/>
  <c r="J310" i="69" s="1"/>
  <c r="Y310" i="69" s="1"/>
  <c r="J330" i="60" a="1"/>
  <c r="J330" i="60" s="1"/>
  <c r="Y330" i="60" s="1"/>
  <c r="J313" i="60" a="1"/>
  <c r="J313" i="60" s="1"/>
  <c r="Y313" i="60" s="1"/>
  <c r="J281" i="60" a="1"/>
  <c r="J281" i="60" s="1"/>
  <c r="Y281" i="60" s="1"/>
  <c r="J265" i="60" a="1"/>
  <c r="J265" i="60" s="1"/>
  <c r="Y265" i="60" s="1"/>
  <c r="J291" i="60" a="1"/>
  <c r="J291" i="60" s="1"/>
  <c r="Y291" i="60" s="1"/>
  <c r="J285" i="60" a="1"/>
  <c r="J285" i="60" s="1"/>
  <c r="Y285" i="60" s="1"/>
  <c r="J289" i="69" a="1"/>
  <c r="J289" i="69" s="1"/>
  <c r="Y289" i="69" s="1"/>
  <c r="J295" i="69" a="1"/>
  <c r="J295" i="69" s="1"/>
  <c r="Y295" i="69" s="1"/>
  <c r="J283" i="69" a="1"/>
  <c r="J283" i="69" s="1"/>
  <c r="Y283" i="69" s="1"/>
  <c r="J275" i="69" a="1"/>
  <c r="J275" i="69" s="1"/>
  <c r="Y275" i="69" s="1"/>
  <c r="J200" i="69" a="1"/>
  <c r="J200" i="69" s="1"/>
  <c r="Y200" i="69" s="1"/>
  <c r="J168" i="69" a="1"/>
  <c r="J168" i="69" s="1"/>
  <c r="Y168" i="69" s="1"/>
  <c r="J135" i="69" a="1"/>
  <c r="J135" i="69" s="1"/>
  <c r="Y135" i="69" s="1"/>
  <c r="J119" i="69" a="1"/>
  <c r="J119" i="69" s="1"/>
  <c r="Y119" i="69" s="1"/>
  <c r="J134" i="69" a="1"/>
  <c r="J134" i="69" s="1"/>
  <c r="Y134" i="69" s="1"/>
  <c r="J269" i="69" a="1"/>
  <c r="J269" i="69" s="1"/>
  <c r="Y269" i="69" s="1"/>
  <c r="J205" i="69" a="1"/>
  <c r="J205" i="69" s="1"/>
  <c r="Y205" i="69" s="1"/>
  <c r="J173" i="69" a="1"/>
  <c r="J173" i="69" s="1"/>
  <c r="Y173" i="69" s="1"/>
  <c r="J157" i="69" a="1"/>
  <c r="J157" i="69" s="1"/>
  <c r="Y157" i="69" s="1"/>
  <c r="J99" i="69" a="1"/>
  <c r="J99" i="69" s="1"/>
  <c r="Y99" i="69" s="1"/>
  <c r="J19" i="69" a="1"/>
  <c r="J19" i="69" s="1"/>
  <c r="Y19" i="69" s="1"/>
  <c r="J51" i="69" a="1"/>
  <c r="J51" i="69" s="1"/>
  <c r="Y51" i="69" s="1"/>
  <c r="J27" i="69" a="1"/>
  <c r="J27" i="69" s="1"/>
  <c r="Y27" i="69" s="1"/>
  <c r="J39" i="69" a="1"/>
  <c r="J39" i="69" s="1"/>
  <c r="Y39" i="69" s="1"/>
  <c r="J117" i="69" a="1"/>
  <c r="J117" i="69" s="1"/>
  <c r="Y117" i="69" s="1"/>
  <c r="J101" i="69" a="1"/>
  <c r="J101" i="69" s="1"/>
  <c r="Y101" i="69" s="1"/>
  <c r="J85" i="69" a="1"/>
  <c r="J85" i="69" s="1"/>
  <c r="Y85" i="69" s="1"/>
  <c r="J69" i="69" a="1"/>
  <c r="J69" i="69" s="1"/>
  <c r="Y69" i="69" s="1"/>
  <c r="J18" i="60" a="1"/>
  <c r="J18" i="60" s="1"/>
  <c r="Y18" i="60" s="1"/>
  <c r="J244" i="69" a="1"/>
  <c r="J244" i="69" s="1"/>
  <c r="Y244" i="69" s="1"/>
  <c r="J338" i="69" a="1"/>
  <c r="J338" i="69" s="1"/>
  <c r="Y338" i="69" s="1"/>
  <c r="J332" i="60" a="1"/>
  <c r="J332" i="60" s="1"/>
  <c r="Y332" i="60" s="1"/>
  <c r="J354" i="69" a="1"/>
  <c r="J354" i="69" s="1"/>
  <c r="Y354" i="69" s="1"/>
  <c r="J401" i="69" a="1"/>
  <c r="J401" i="69" s="1"/>
  <c r="Y401" i="69" s="1"/>
  <c r="J371" i="69" a="1"/>
  <c r="J371" i="69" s="1"/>
  <c r="Y371" i="69" s="1"/>
  <c r="J369" i="69" a="1"/>
  <c r="J369" i="69" s="1"/>
  <c r="Y369" i="69" s="1"/>
  <c r="J384" i="69" a="1"/>
  <c r="J384" i="69" s="1"/>
  <c r="Y384" i="69" s="1"/>
  <c r="J373" i="69" a="1"/>
  <c r="J373" i="69" s="1"/>
  <c r="Y373" i="69" s="1"/>
  <c r="J380" i="69" a="1"/>
  <c r="J380" i="69" s="1"/>
  <c r="Y380" i="69" s="1"/>
  <c r="J308" i="69" a="1"/>
  <c r="J308" i="69" s="1"/>
  <c r="Y308" i="69" s="1"/>
  <c r="J331" i="69" a="1"/>
  <c r="J331" i="69" s="1"/>
  <c r="Y331" i="69" s="1"/>
  <c r="J321" i="69" a="1"/>
  <c r="J321" i="69" s="1"/>
  <c r="Y321" i="69" s="1"/>
  <c r="J298" i="69" a="1"/>
  <c r="J298" i="69" s="1"/>
  <c r="Y298" i="69" s="1"/>
  <c r="J328" i="69" a="1"/>
  <c r="J328" i="69" s="1"/>
  <c r="Y328" i="69" s="1"/>
  <c r="J346" i="69" a="1"/>
  <c r="J346" i="69" s="1"/>
  <c r="Y346" i="69" s="1"/>
  <c r="J300" i="69" a="1"/>
  <c r="J300" i="69" s="1"/>
  <c r="Y300" i="69" s="1"/>
  <c r="J309" i="69" a="1"/>
  <c r="J309" i="69" s="1"/>
  <c r="Y309" i="69" s="1"/>
  <c r="J274" i="60" a="1"/>
  <c r="J274" i="60" s="1"/>
  <c r="Y274" i="60" s="1"/>
  <c r="J331" i="60" a="1"/>
  <c r="J331" i="60" s="1"/>
  <c r="Y331" i="60" s="1"/>
  <c r="J297" i="60" a="1"/>
  <c r="J297" i="60" s="1"/>
  <c r="Y297" i="60" s="1"/>
  <c r="J287" i="60" a="1"/>
  <c r="J287" i="60" s="1"/>
  <c r="Y287" i="60" s="1"/>
  <c r="J329" i="60" a="1"/>
  <c r="J329" i="60" s="1"/>
  <c r="Y329" i="60" s="1"/>
  <c r="J275" i="60" a="1"/>
  <c r="J275" i="60" s="1"/>
  <c r="Y275" i="60" s="1"/>
  <c r="J294" i="60" a="1"/>
  <c r="J294" i="60" s="1"/>
  <c r="Y294" i="60" s="1"/>
  <c r="J333" i="60" a="1"/>
  <c r="J333" i="60" s="1"/>
  <c r="Y333" i="60" s="1"/>
  <c r="J317" i="60" a="1"/>
  <c r="J317" i="60" s="1"/>
  <c r="Y317" i="60" s="1"/>
  <c r="J291" i="69" a="1"/>
  <c r="J291" i="69" s="1"/>
  <c r="Y291" i="69" s="1"/>
  <c r="J281" i="69" a="1"/>
  <c r="J281" i="69" s="1"/>
  <c r="Y281" i="69" s="1"/>
  <c r="J259" i="69" a="1"/>
  <c r="J259" i="69" s="1"/>
  <c r="Y259" i="69" s="1"/>
  <c r="J243" i="69" a="1"/>
  <c r="J243" i="69" s="1"/>
  <c r="Y243" i="69" s="1"/>
  <c r="J227" i="69" a="1"/>
  <c r="J227" i="69" s="1"/>
  <c r="Y227" i="69" s="1"/>
  <c r="J211" i="69" a="1"/>
  <c r="J211" i="69" s="1"/>
  <c r="Y211" i="69" s="1"/>
  <c r="J195" i="69" a="1"/>
  <c r="J195" i="69" s="1"/>
  <c r="Y195" i="69" s="1"/>
  <c r="J179" i="69" a="1"/>
  <c r="J179" i="69" s="1"/>
  <c r="Y179" i="69" s="1"/>
  <c r="J163" i="69" a="1"/>
  <c r="J163" i="69" s="1"/>
  <c r="Y163" i="69" s="1"/>
  <c r="J147" i="69" a="1"/>
  <c r="J147" i="69" s="1"/>
  <c r="Y147" i="69" s="1"/>
  <c r="J131" i="69" a="1"/>
  <c r="J131" i="69" s="1"/>
  <c r="Y131" i="69" s="1"/>
  <c r="J10" i="60" a="1"/>
  <c r="J10" i="60" s="1"/>
  <c r="Y10" i="60" s="1"/>
  <c r="J180" i="69" a="1"/>
  <c r="J180" i="69" s="1"/>
  <c r="Y180" i="69" s="1"/>
  <c r="J322" i="69" a="1"/>
  <c r="J322" i="69" s="1"/>
  <c r="Y322" i="69" s="1"/>
  <c r="J334" i="60" a="1"/>
  <c r="J334" i="60" s="1"/>
  <c r="Y334" i="60" s="1"/>
  <c r="J399" i="69" a="1"/>
  <c r="J399" i="69" s="1"/>
  <c r="Y399" i="69" s="1"/>
  <c r="J386" i="69" a="1"/>
  <c r="J386" i="69" s="1"/>
  <c r="Y386" i="69" s="1"/>
  <c r="J360" i="69" a="1"/>
  <c r="J360" i="69" s="1"/>
  <c r="Y360" i="69" s="1"/>
  <c r="J395" i="69" a="1"/>
  <c r="J395" i="69" s="1"/>
  <c r="Y395" i="69" s="1"/>
  <c r="J356" i="69" a="1"/>
  <c r="J356" i="69" s="1"/>
  <c r="Y356" i="69" s="1"/>
  <c r="J307" i="69" a="1"/>
  <c r="J307" i="69" s="1"/>
  <c r="Y307" i="69" s="1"/>
  <c r="J304" i="69" a="1"/>
  <c r="J304" i="69" s="1"/>
  <c r="Y304" i="69" s="1"/>
  <c r="J351" i="69" a="1"/>
  <c r="J351" i="69" s="1"/>
  <c r="Y351" i="69" s="1"/>
  <c r="J319" i="69" a="1"/>
  <c r="J319" i="69" s="1"/>
  <c r="Y319" i="69" s="1"/>
  <c r="J330" i="69" a="1"/>
  <c r="J330" i="69" s="1"/>
  <c r="Y330" i="69" s="1"/>
  <c r="J349" i="69" a="1"/>
  <c r="J349" i="69" s="1"/>
  <c r="Y349" i="69" s="1"/>
  <c r="J255" i="60" a="1"/>
  <c r="J255" i="60" s="1"/>
  <c r="Y255" i="60" s="1"/>
  <c r="J267" i="60" a="1"/>
  <c r="J267" i="60" s="1"/>
  <c r="Y267" i="60" s="1"/>
  <c r="J306" i="60" a="1"/>
  <c r="J306" i="60" s="1"/>
  <c r="Y306" i="60" s="1"/>
  <c r="J273" i="60" a="1"/>
  <c r="J273" i="60" s="1"/>
  <c r="Y273" i="60" s="1"/>
  <c r="J296" i="60" a="1"/>
  <c r="J296" i="60" s="1"/>
  <c r="Y296" i="60" s="1"/>
  <c r="J280" i="60" a="1"/>
  <c r="J280" i="60" s="1"/>
  <c r="Y280" i="60" s="1"/>
  <c r="J264" i="60" a="1"/>
  <c r="J264" i="60" s="1"/>
  <c r="Y264" i="60" s="1"/>
  <c r="J303" i="60" a="1"/>
  <c r="J303" i="60" s="1"/>
  <c r="Y303" i="60" s="1"/>
  <c r="J271" i="60" a="1"/>
  <c r="J271" i="60" s="1"/>
  <c r="Y271" i="60" s="1"/>
  <c r="J311" i="60" a="1"/>
  <c r="J311" i="60" s="1"/>
  <c r="Y311" i="60" s="1"/>
  <c r="J310" i="60" a="1"/>
  <c r="J310" i="60" s="1"/>
  <c r="Y310" i="60" s="1"/>
  <c r="J286" i="60" a="1"/>
  <c r="J286" i="60" s="1"/>
  <c r="Y286" i="60" s="1"/>
  <c r="J270" i="60" a="1"/>
  <c r="J270" i="60" s="1"/>
  <c r="Y270" i="60" s="1"/>
  <c r="J261" i="60" a="1"/>
  <c r="J261" i="60" s="1"/>
  <c r="Y261" i="60" s="1"/>
  <c r="J324" i="60" a="1"/>
  <c r="J324" i="60" s="1"/>
  <c r="Y324" i="60" s="1"/>
  <c r="J308" i="60" a="1"/>
  <c r="J308" i="60" s="1"/>
  <c r="Y308" i="60" s="1"/>
  <c r="J284" i="60" a="1"/>
  <c r="J284" i="60" s="1"/>
  <c r="Y284" i="60" s="1"/>
  <c r="J323" i="60" a="1"/>
  <c r="J323" i="60" s="1"/>
  <c r="Y323" i="60" s="1"/>
  <c r="J17" i="60" a="1"/>
  <c r="J17" i="60" s="1"/>
  <c r="Y17" i="60" s="1"/>
  <c r="J288" i="69" a="1"/>
  <c r="J288" i="69" s="1"/>
  <c r="Y288" i="69" s="1"/>
  <c r="J297" i="69" a="1"/>
  <c r="J297" i="69" s="1"/>
  <c r="Y297" i="69" s="1"/>
  <c r="J250" i="69" a="1"/>
  <c r="J250" i="69" s="1"/>
  <c r="Y250" i="69" s="1"/>
  <c r="J234" i="69" a="1"/>
  <c r="J234" i="69" s="1"/>
  <c r="Y234" i="69" s="1"/>
  <c r="J198" i="69" a="1"/>
  <c r="J198" i="69" s="1"/>
  <c r="Y198" i="69" s="1"/>
  <c r="J306" i="69" a="1"/>
  <c r="J306" i="69" s="1"/>
  <c r="Y306" i="69" s="1"/>
  <c r="J302" i="60" a="1"/>
  <c r="J302" i="60" s="1"/>
  <c r="Y302" i="60" s="1"/>
  <c r="J385" i="69" a="1"/>
  <c r="J385" i="69" s="1"/>
  <c r="Y385" i="69" s="1"/>
  <c r="J370" i="69" a="1"/>
  <c r="J370" i="69" s="1"/>
  <c r="Y370" i="69" s="1"/>
  <c r="J379" i="69" a="1"/>
  <c r="J379" i="69" s="1"/>
  <c r="Y379" i="69" s="1"/>
  <c r="J365" i="69" a="1"/>
  <c r="J365" i="69" s="1"/>
  <c r="Y365" i="69" s="1"/>
  <c r="J396" i="69" a="1"/>
  <c r="J396" i="69" s="1"/>
  <c r="Y396" i="69" s="1"/>
  <c r="J390" i="69" a="1"/>
  <c r="J390" i="69" s="1"/>
  <c r="Y390" i="69" s="1"/>
  <c r="J347" i="69" a="1"/>
  <c r="J347" i="69" s="1"/>
  <c r="Y347" i="69" s="1"/>
  <c r="J337" i="69" a="1"/>
  <c r="J337" i="69" s="1"/>
  <c r="Y337" i="69" s="1"/>
  <c r="J344" i="69" a="1"/>
  <c r="J344" i="69" s="1"/>
  <c r="Y344" i="69" s="1"/>
  <c r="J314" i="69" a="1"/>
  <c r="J314" i="69" s="1"/>
  <c r="Y314" i="69" s="1"/>
  <c r="J325" i="69" a="1"/>
  <c r="J325" i="69" s="1"/>
  <c r="Y325" i="69" s="1"/>
  <c r="J268" i="60" a="1"/>
  <c r="J268" i="60" s="1"/>
  <c r="Y268" i="60" s="1"/>
  <c r="J259" i="60" a="1"/>
  <c r="J259" i="60" s="1"/>
  <c r="Y259" i="60" s="1"/>
  <c r="J290" i="60" a="1"/>
  <c r="J290" i="60" s="1"/>
  <c r="Y290" i="60" s="1"/>
  <c r="J299" i="60" a="1"/>
  <c r="J299" i="60" s="1"/>
  <c r="Y299" i="60" s="1"/>
  <c r="J312" i="60" a="1"/>
  <c r="J312" i="60" s="1"/>
  <c r="Y312" i="60" s="1"/>
  <c r="J319" i="60" a="1"/>
  <c r="J319" i="60" s="1"/>
  <c r="Y319" i="60" s="1"/>
  <c r="J326" i="60" a="1"/>
  <c r="J326" i="60" s="1"/>
  <c r="Y326" i="60" s="1"/>
  <c r="J282" i="60" a="1"/>
  <c r="J282" i="60" s="1"/>
  <c r="Y282" i="60" s="1"/>
  <c r="J9" i="60" a="1"/>
  <c r="J9" i="60" s="1"/>
  <c r="Y9" i="60" s="1"/>
  <c r="J285" i="69" a="1"/>
  <c r="J285" i="69" s="1"/>
  <c r="Y285" i="69" s="1"/>
  <c r="J279" i="69" a="1"/>
  <c r="J279" i="69" s="1"/>
  <c r="Y279" i="69" s="1"/>
  <c r="J293" i="69" a="1"/>
  <c r="J293" i="69" s="1"/>
  <c r="Y293" i="69" s="1"/>
  <c r="J129" i="69" a="1"/>
  <c r="J129" i="69" s="1"/>
  <c r="Y129" i="69" s="1"/>
  <c r="J264" i="69" a="1"/>
  <c r="J264" i="69" s="1"/>
  <c r="Y264" i="69" s="1"/>
  <c r="J248" i="69" a="1"/>
  <c r="J248" i="69" s="1"/>
  <c r="Y248" i="69" s="1"/>
  <c r="J128" i="69" a="1"/>
  <c r="J128" i="69" s="1"/>
  <c r="Y128" i="69" s="1"/>
  <c r="J133" i="69" a="1"/>
  <c r="J133" i="69" s="1"/>
  <c r="Y133" i="69" s="1"/>
  <c r="J159" i="69" a="1"/>
  <c r="J159" i="69" s="1"/>
  <c r="Y159" i="69" s="1"/>
  <c r="J260" i="69" a="1"/>
  <c r="J260" i="69" s="1"/>
  <c r="Y260" i="69" s="1"/>
  <c r="J140" i="69" a="1"/>
  <c r="J140" i="69" s="1"/>
  <c r="Y140" i="69" s="1"/>
  <c r="J11" i="69" a="1"/>
  <c r="J11" i="69" s="1"/>
  <c r="Y11" i="69" s="1"/>
  <c r="J35" i="69" a="1"/>
  <c r="J35" i="69" s="1"/>
  <c r="Y35" i="69" s="1"/>
  <c r="J3" i="69" a="1"/>
  <c r="J3" i="69" s="1"/>
  <c r="Y3" i="69" s="1"/>
  <c r="J114" i="69" a="1"/>
  <c r="J114" i="69" s="1"/>
  <c r="Y114" i="69" s="1"/>
  <c r="J66" i="69" a="1"/>
  <c r="J66" i="69" s="1"/>
  <c r="Y66" i="69" s="1"/>
  <c r="J34" i="69" a="1"/>
  <c r="J34" i="69" s="1"/>
  <c r="Y34" i="69" s="1"/>
  <c r="J113" i="69" a="1"/>
  <c r="J113" i="69" s="1"/>
  <c r="Y113" i="69" s="1"/>
  <c r="J97" i="69" a="1"/>
  <c r="J97" i="69" s="1"/>
  <c r="Y97" i="69" s="1"/>
  <c r="J81" i="69" a="1"/>
  <c r="J81" i="69" s="1"/>
  <c r="Y81" i="69" s="1"/>
  <c r="J252" i="60" a="1"/>
  <c r="J252" i="60" s="1"/>
  <c r="Y252" i="60" s="1"/>
  <c r="J236" i="60" a="1"/>
  <c r="J236" i="60" s="1"/>
  <c r="Y236" i="60" s="1"/>
  <c r="J204" i="60" a="1"/>
  <c r="J204" i="60" s="1"/>
  <c r="Y204" i="60" s="1"/>
  <c r="J188" i="60" a="1"/>
  <c r="J188" i="60" s="1"/>
  <c r="Y188" i="60" s="1"/>
  <c r="J172" i="60" a="1"/>
  <c r="J172" i="60" s="1"/>
  <c r="Y172" i="60" s="1"/>
  <c r="J156" i="60" a="1"/>
  <c r="J156" i="60" s="1"/>
  <c r="Y156" i="60" s="1"/>
  <c r="J124" i="60" a="1"/>
  <c r="J124" i="60" s="1"/>
  <c r="Y124" i="60" s="1"/>
  <c r="J108" i="60" a="1"/>
  <c r="J108" i="60" s="1"/>
  <c r="Y108" i="60" s="1"/>
  <c r="J92" i="60" a="1"/>
  <c r="J92" i="60" s="1"/>
  <c r="Y92" i="60" s="1"/>
  <c r="J76" i="60" a="1"/>
  <c r="J76" i="60" s="1"/>
  <c r="Y76" i="60" s="1"/>
  <c r="J60" i="60" a="1"/>
  <c r="J60" i="60" s="1"/>
  <c r="Y60" i="60" s="1"/>
  <c r="J44" i="60" a="1"/>
  <c r="J44" i="60" s="1"/>
  <c r="Y44" i="60" s="1"/>
  <c r="J28" i="60" a="1"/>
  <c r="J28" i="60" s="1"/>
  <c r="Y28" i="60" s="1"/>
  <c r="J99" i="60" a="1"/>
  <c r="J99" i="60" s="1"/>
  <c r="Y99" i="60" s="1"/>
  <c r="J217" i="60" a="1"/>
  <c r="J217" i="60" s="1"/>
  <c r="Y217" i="60" s="1"/>
  <c r="J201" i="60" a="1"/>
  <c r="J201" i="60" s="1"/>
  <c r="Y201" i="60" s="1"/>
  <c r="J137" i="60" a="1"/>
  <c r="J137" i="60" s="1"/>
  <c r="Y137" i="60" s="1"/>
  <c r="J105" i="60" a="1"/>
  <c r="J105" i="60" s="1"/>
  <c r="Y105" i="60" s="1"/>
  <c r="J73" i="60" a="1"/>
  <c r="J73" i="60" s="1"/>
  <c r="Y73" i="60" s="1"/>
  <c r="J41" i="60" a="1"/>
  <c r="J41" i="60" s="1"/>
  <c r="Y41" i="60" s="1"/>
  <c r="J139" i="60" a="1"/>
  <c r="J139" i="60" s="1"/>
  <c r="Y139" i="60" s="1"/>
  <c r="J143" i="60" a="1"/>
  <c r="J143" i="60" s="1"/>
  <c r="Y143" i="60" s="1"/>
  <c r="J127" i="60" a="1"/>
  <c r="J127" i="60" s="1"/>
  <c r="Y127" i="60" s="1"/>
  <c r="J111" i="60" a="1"/>
  <c r="J111" i="60" s="1"/>
  <c r="Y111" i="60" s="1"/>
  <c r="J95" i="60" a="1"/>
  <c r="J95" i="60" s="1"/>
  <c r="Y95" i="60" s="1"/>
  <c r="J79" i="60" a="1"/>
  <c r="J79" i="60" s="1"/>
  <c r="Y79" i="60" s="1"/>
  <c r="J63" i="60" a="1"/>
  <c r="J63" i="60" s="1"/>
  <c r="Y63" i="60" s="1"/>
  <c r="J338" i="60" a="1"/>
  <c r="J338" i="60" s="1"/>
  <c r="Y338" i="60" s="1"/>
  <c r="J383" i="69" a="1"/>
  <c r="J383" i="69" s="1"/>
  <c r="Y383" i="69" s="1"/>
  <c r="J309" i="60" a="1"/>
  <c r="J309" i="60" s="1"/>
  <c r="Y309" i="60" s="1"/>
  <c r="J355" i="69" a="1"/>
  <c r="J355" i="69" s="1"/>
  <c r="Y355" i="69" s="1"/>
  <c r="J361" i="69" a="1"/>
  <c r="J361" i="69" s="1"/>
  <c r="Y361" i="69" s="1"/>
  <c r="J376" i="69" a="1"/>
  <c r="J376" i="69" s="1"/>
  <c r="Y376" i="69" s="1"/>
  <c r="J363" i="69" a="1"/>
  <c r="J363" i="69" s="1"/>
  <c r="Y363" i="69" s="1"/>
  <c r="J372" i="69" a="1"/>
  <c r="J372" i="69" s="1"/>
  <c r="Y372" i="69" s="1"/>
  <c r="J374" i="69" a="1"/>
  <c r="J374" i="69" s="1"/>
  <c r="Y374" i="69" s="1"/>
  <c r="J323" i="69" a="1"/>
  <c r="J323" i="69" s="1"/>
  <c r="Y323" i="69" s="1"/>
  <c r="J313" i="69" a="1"/>
  <c r="J313" i="69" s="1"/>
  <c r="Y313" i="69" s="1"/>
  <c r="J320" i="69" a="1"/>
  <c r="J320" i="69" s="1"/>
  <c r="Y320" i="69" s="1"/>
  <c r="J343" i="69" a="1"/>
  <c r="J343" i="69" s="1"/>
  <c r="Y343" i="69" s="1"/>
  <c r="J311" i="69" a="1"/>
  <c r="J311" i="69" s="1"/>
  <c r="Y311" i="69" s="1"/>
  <c r="J301" i="69" a="1"/>
  <c r="J301" i="69" s="1"/>
  <c r="Y301" i="69" s="1"/>
  <c r="J300" i="60" a="1"/>
  <c r="J300" i="60" s="1"/>
  <c r="Y300" i="60" s="1"/>
  <c r="J328" i="60" a="1"/>
  <c r="J328" i="60" s="1"/>
  <c r="Y328" i="60" s="1"/>
  <c r="J335" i="60" a="1"/>
  <c r="J335" i="60" s="1"/>
  <c r="Y335" i="60" s="1"/>
  <c r="J295" i="60" a="1"/>
  <c r="J295" i="60" s="1"/>
  <c r="Y295" i="60" s="1"/>
  <c r="J263" i="60" a="1"/>
  <c r="J263" i="60" s="1"/>
  <c r="Y263" i="60" s="1"/>
  <c r="J318" i="60" a="1"/>
  <c r="J318" i="60" s="1"/>
  <c r="Y318" i="60" s="1"/>
  <c r="J293" i="60" a="1"/>
  <c r="J293" i="60" s="1"/>
  <c r="Y293" i="60" s="1"/>
  <c r="J277" i="60" a="1"/>
  <c r="J277" i="60" s="1"/>
  <c r="Y277" i="60" s="1"/>
  <c r="J276" i="69" a="1"/>
  <c r="J276" i="69" s="1"/>
  <c r="Y276" i="69" s="1"/>
  <c r="J287" i="69" a="1"/>
  <c r="J287" i="69" s="1"/>
  <c r="Y287" i="69" s="1"/>
  <c r="J284" i="69" a="1"/>
  <c r="J284" i="69" s="1"/>
  <c r="Y284" i="69" s="1"/>
  <c r="J139" i="69" a="1"/>
  <c r="J139" i="69" s="1"/>
  <c r="Y139" i="69" s="1"/>
  <c r="J265" i="69" a="1"/>
  <c r="J265" i="69" s="1"/>
  <c r="Y265" i="69" s="1"/>
  <c r="J145" i="69" a="1"/>
  <c r="J145" i="69" s="1"/>
  <c r="Y145" i="69" s="1"/>
  <c r="J160" i="69" a="1"/>
  <c r="J160" i="69" s="1"/>
  <c r="Y160" i="69" s="1"/>
  <c r="J144" i="69" a="1"/>
  <c r="J144" i="69" s="1"/>
  <c r="Y144" i="69" s="1"/>
  <c r="J143" i="69" a="1"/>
  <c r="J143" i="69" s="1"/>
  <c r="Y143" i="69" s="1"/>
  <c r="J127" i="69" a="1"/>
  <c r="J127" i="69" s="1"/>
  <c r="Y127" i="69" s="1"/>
  <c r="J262" i="69" a="1"/>
  <c r="J262" i="69" s="1"/>
  <c r="Y262" i="69" s="1"/>
  <c r="J149" i="69" a="1"/>
  <c r="J149" i="69" s="1"/>
  <c r="Y149" i="69" s="1"/>
  <c r="J59" i="69" a="1"/>
  <c r="J59" i="69" s="1"/>
  <c r="Y59" i="69" s="1"/>
  <c r="J62" i="69" a="1"/>
  <c r="J62" i="69" s="1"/>
  <c r="Y62" i="69" s="1"/>
  <c r="J111" i="69" a="1"/>
  <c r="J111" i="69" s="1"/>
  <c r="Y111" i="69" s="1"/>
  <c r="J95" i="69" a="1"/>
  <c r="J95" i="69" s="1"/>
  <c r="Y95" i="69" s="1"/>
  <c r="J79" i="69" a="1"/>
  <c r="J79" i="69" s="1"/>
  <c r="Y79" i="69" s="1"/>
  <c r="J47" i="69" a="1"/>
  <c r="J47" i="69" s="1"/>
  <c r="Y47" i="69" s="1"/>
  <c r="J31" i="69" a="1"/>
  <c r="J31" i="69" s="1"/>
  <c r="Y31" i="69" s="1"/>
  <c r="J15" i="69" a="1"/>
  <c r="J15" i="69" s="1"/>
  <c r="Y15" i="69" s="1"/>
  <c r="J109" i="69" a="1"/>
  <c r="J109" i="69" s="1"/>
  <c r="Y109" i="69" s="1"/>
  <c r="J93" i="69" a="1"/>
  <c r="J93" i="69" s="1"/>
  <c r="Y93" i="69" s="1"/>
  <c r="J77" i="69" a="1"/>
  <c r="J77" i="69" s="1"/>
  <c r="Y77" i="69" s="1"/>
  <c r="J61" i="69" a="1"/>
  <c r="J61" i="69" s="1"/>
  <c r="Y61" i="69" s="1"/>
  <c r="J45" i="69" a="1"/>
  <c r="J45" i="69" s="1"/>
  <c r="Y45" i="69" s="1"/>
  <c r="J29" i="69" a="1"/>
  <c r="J29" i="69" s="1"/>
  <c r="Y29" i="69" s="1"/>
  <c r="J13" i="69" a="1"/>
  <c r="J13" i="69" s="1"/>
  <c r="Y13" i="69" s="1"/>
  <c r="J108" i="69" a="1"/>
  <c r="J108" i="69" s="1"/>
  <c r="Y108" i="69" s="1"/>
  <c r="J92" i="69" a="1"/>
  <c r="J92" i="69" s="1"/>
  <c r="Y92" i="69" s="1"/>
  <c r="J76" i="69" a="1"/>
  <c r="J76" i="69" s="1"/>
  <c r="Y76" i="69" s="1"/>
  <c r="J60" i="69" a="1"/>
  <c r="J60" i="69" s="1"/>
  <c r="Y60" i="69" s="1"/>
  <c r="J44" i="69" a="1"/>
  <c r="J44" i="69" s="1"/>
  <c r="Y44" i="69" s="1"/>
  <c r="J28" i="69" a="1"/>
  <c r="J28" i="69" s="1"/>
  <c r="Y28" i="69" s="1"/>
  <c r="J12" i="69" a="1"/>
  <c r="J12" i="69" s="1"/>
  <c r="Y12" i="69" s="1"/>
  <c r="J26" i="69" a="1"/>
  <c r="J26" i="69" s="1"/>
  <c r="Y26" i="69" s="1"/>
  <c r="J65" i="69" a="1"/>
  <c r="J65" i="69" s="1"/>
  <c r="Y65" i="69" s="1"/>
  <c r="J49" i="69" a="1"/>
  <c r="J49" i="69" s="1"/>
  <c r="Y49" i="69" s="1"/>
  <c r="J33" i="69" a="1"/>
  <c r="J33" i="69" s="1"/>
  <c r="Y33" i="69" s="1"/>
  <c r="J17" i="69" a="1"/>
  <c r="J17" i="69" s="1"/>
  <c r="Y17" i="69" s="1"/>
  <c r="J294" i="69" a="1"/>
  <c r="J294" i="69" s="1"/>
  <c r="Y294" i="69" s="1"/>
  <c r="J367" i="69" a="1"/>
  <c r="J367" i="69" s="1"/>
  <c r="Y367" i="69" s="1"/>
  <c r="J350" i="69" a="1"/>
  <c r="J350" i="69" s="1"/>
  <c r="Y350" i="69" s="1"/>
  <c r="J387" i="69" a="1"/>
  <c r="J387" i="69" s="1"/>
  <c r="Y387" i="69" s="1"/>
  <c r="J352" i="69" a="1"/>
  <c r="J352" i="69" s="1"/>
  <c r="Y352" i="69" s="1"/>
  <c r="J389" i="69" a="1"/>
  <c r="J389" i="69" s="1"/>
  <c r="Y389" i="69" s="1"/>
  <c r="J357" i="69" a="1"/>
  <c r="J357" i="69" s="1"/>
  <c r="Y357" i="69" s="1"/>
  <c r="J358" i="69" a="1"/>
  <c r="J358" i="69" s="1"/>
  <c r="Y358" i="69" s="1"/>
  <c r="J324" i="69" a="1"/>
  <c r="J324" i="69" s="1"/>
  <c r="Y324" i="69" s="1"/>
  <c r="J299" i="69" a="1"/>
  <c r="J299" i="69" s="1"/>
  <c r="Y299" i="69" s="1"/>
  <c r="J316" i="69" a="1"/>
  <c r="J316" i="69" s="1"/>
  <c r="Y316" i="69" s="1"/>
  <c r="J341" i="69" a="1"/>
  <c r="J341" i="69" s="1"/>
  <c r="Y341" i="69" s="1"/>
  <c r="J307" i="60" a="1"/>
  <c r="J307" i="60" s="1"/>
  <c r="Y307" i="60" s="1"/>
  <c r="J322" i="60" a="1"/>
  <c r="J322" i="60" s="1"/>
  <c r="Y322" i="60" s="1"/>
  <c r="J266" i="60" a="1"/>
  <c r="J266" i="60" s="1"/>
  <c r="Y266" i="60" s="1"/>
  <c r="J305" i="60" a="1"/>
  <c r="J305" i="60" s="1"/>
  <c r="Y305" i="60" s="1"/>
  <c r="J289" i="60" a="1"/>
  <c r="J289" i="60" s="1"/>
  <c r="Y289" i="60" s="1"/>
  <c r="J304" i="60" a="1"/>
  <c r="J304" i="60" s="1"/>
  <c r="Y304" i="60" s="1"/>
  <c r="J288" i="60" a="1"/>
  <c r="J288" i="60" s="1"/>
  <c r="Y288" i="60" s="1"/>
  <c r="J272" i="60" a="1"/>
  <c r="J272" i="60" s="1"/>
  <c r="Y272" i="60" s="1"/>
  <c r="J283" i="60" a="1"/>
  <c r="J283" i="60" s="1"/>
  <c r="Y283" i="60" s="1"/>
  <c r="J327" i="60" a="1"/>
  <c r="J327" i="60" s="1"/>
  <c r="Y327" i="60" s="1"/>
  <c r="J279" i="60" a="1"/>
  <c r="J279" i="60" s="1"/>
  <c r="Y279" i="60" s="1"/>
  <c r="J325" i="60" a="1"/>
  <c r="J325" i="60" s="1"/>
  <c r="Y325" i="60" s="1"/>
  <c r="J269" i="60" a="1"/>
  <c r="J269" i="60" s="1"/>
  <c r="Y269" i="60" s="1"/>
  <c r="J316" i="60" a="1"/>
  <c r="J316" i="60" s="1"/>
  <c r="Y316" i="60" s="1"/>
  <c r="J260" i="60" a="1"/>
  <c r="J260" i="60" s="1"/>
  <c r="Y260" i="60" s="1"/>
  <c r="J258" i="60" a="1"/>
  <c r="J258" i="60" s="1"/>
  <c r="Y258" i="60" s="1"/>
  <c r="J257" i="60" a="1"/>
  <c r="J257" i="60" s="1"/>
  <c r="Y257" i="60" s="1"/>
  <c r="J290" i="69" a="1"/>
  <c r="J290" i="69" s="1"/>
  <c r="Y290" i="69" s="1"/>
  <c r="J277" i="69" a="1"/>
  <c r="J277" i="69" s="1"/>
  <c r="Y277" i="69" s="1"/>
  <c r="J267" i="69" a="1"/>
  <c r="J267" i="69" s="1"/>
  <c r="Y267" i="69" s="1"/>
  <c r="J251" i="69" a="1"/>
  <c r="J251" i="69" s="1"/>
  <c r="Y251" i="69" s="1"/>
  <c r="J235" i="69" a="1"/>
  <c r="J235" i="69" s="1"/>
  <c r="Y235" i="69" s="1"/>
  <c r="J219" i="69" a="1"/>
  <c r="J219" i="69" s="1"/>
  <c r="Y219" i="69" s="1"/>
  <c r="J203" i="69" a="1"/>
  <c r="J203" i="69" s="1"/>
  <c r="Y203" i="69" s="1"/>
  <c r="J187" i="69" a="1"/>
  <c r="J187" i="69" s="1"/>
  <c r="Y187" i="69" s="1"/>
  <c r="J171" i="69" a="1"/>
  <c r="J171" i="69" s="1"/>
  <c r="Y171" i="69" s="1"/>
  <c r="J155" i="69" a="1"/>
  <c r="J155" i="69" s="1"/>
  <c r="Y155" i="69" s="1"/>
  <c r="J123" i="69" a="1"/>
  <c r="J123" i="69" s="1"/>
  <c r="Y123" i="69" s="1"/>
  <c r="J210" i="69" a="1"/>
  <c r="J210" i="69" s="1"/>
  <c r="Y210" i="69" s="1"/>
  <c r="J194" i="69" a="1"/>
  <c r="J194" i="69" s="1"/>
  <c r="Y194" i="69" s="1"/>
  <c r="J178" i="69" a="1"/>
  <c r="J178" i="69" s="1"/>
  <c r="Y178" i="69" s="1"/>
  <c r="J162" i="69" a="1"/>
  <c r="J162" i="69" s="1"/>
  <c r="Y162" i="69" s="1"/>
  <c r="J146" i="69" a="1"/>
  <c r="J146" i="69" s="1"/>
  <c r="Y146" i="69" s="1"/>
  <c r="J130" i="69" a="1"/>
  <c r="J130" i="69" s="1"/>
  <c r="Y130" i="69" s="1"/>
  <c r="J241" i="69" a="1"/>
  <c r="J241" i="69" s="1"/>
  <c r="Y241" i="69" s="1"/>
  <c r="J225" i="69" a="1"/>
  <c r="J225" i="69" s="1"/>
  <c r="Y225" i="69" s="1"/>
  <c r="J209" i="69" a="1"/>
  <c r="J209" i="69" s="1"/>
  <c r="Y209" i="69" s="1"/>
  <c r="J193" i="69" a="1"/>
  <c r="J193" i="69" s="1"/>
  <c r="Y193" i="69" s="1"/>
  <c r="J177" i="69" a="1"/>
  <c r="J177" i="69" s="1"/>
  <c r="Y177" i="69" s="1"/>
  <c r="J161" i="69" a="1"/>
  <c r="J161" i="69" s="1"/>
  <c r="Y161" i="69" s="1"/>
  <c r="J192" i="69" a="1"/>
  <c r="J192" i="69" s="1"/>
  <c r="Y192" i="69" s="1"/>
  <c r="J207" i="69" a="1"/>
  <c r="J207" i="69" s="1"/>
  <c r="Y207" i="69" s="1"/>
  <c r="J191" i="69" a="1"/>
  <c r="J191" i="69" s="1"/>
  <c r="Y191" i="69" s="1"/>
  <c r="J175" i="69" a="1"/>
  <c r="J175" i="69" s="1"/>
  <c r="Y175" i="69" s="1"/>
  <c r="J254" i="69" a="1"/>
  <c r="J254" i="69" s="1"/>
  <c r="Y254" i="69" s="1"/>
  <c r="J222" i="69" a="1"/>
  <c r="J222" i="69" s="1"/>
  <c r="Y222" i="69" s="1"/>
  <c r="J190" i="69" a="1"/>
  <c r="J190" i="69" s="1"/>
  <c r="Y190" i="69" s="1"/>
  <c r="J174" i="69" a="1"/>
  <c r="J174" i="69" s="1"/>
  <c r="Y174" i="69" s="1"/>
  <c r="J158" i="69" a="1"/>
  <c r="J158" i="69" s="1"/>
  <c r="Y158" i="69" s="1"/>
  <c r="J142" i="69" a="1"/>
  <c r="J142" i="69" s="1"/>
  <c r="Y142" i="69" s="1"/>
  <c r="J126" i="69" a="1"/>
  <c r="J126" i="69" s="1"/>
  <c r="Y126" i="69" s="1"/>
  <c r="J176" i="69" a="1"/>
  <c r="J176" i="69" s="1"/>
  <c r="Y176" i="69" s="1"/>
  <c r="J261" i="69" a="1"/>
  <c r="J261" i="69" s="1"/>
  <c r="Y261" i="69" s="1"/>
  <c r="J245" i="69" a="1"/>
  <c r="J245" i="69" s="1"/>
  <c r="Y245" i="69" s="1"/>
  <c r="J229" i="69" a="1"/>
  <c r="J229" i="69" s="1"/>
  <c r="Y229" i="69" s="1"/>
  <c r="J182" i="69" a="1"/>
  <c r="J182" i="69" s="1"/>
  <c r="Y182" i="69" s="1"/>
  <c r="J213" i="69" a="1"/>
  <c r="J213" i="69" s="1"/>
  <c r="Y213" i="69" s="1"/>
  <c r="J110" i="69" a="1"/>
  <c r="J110" i="69" s="1"/>
  <c r="Y110" i="69" s="1"/>
  <c r="J94" i="69" a="1"/>
  <c r="J94" i="69" s="1"/>
  <c r="Y94" i="69" s="1"/>
  <c r="J78" i="69" a="1"/>
  <c r="J78" i="69" s="1"/>
  <c r="Y78" i="69" s="1"/>
  <c r="J90" i="69" a="1"/>
  <c r="J90" i="69" s="1"/>
  <c r="Y90" i="69" s="1"/>
  <c r="J112" i="69" a="1"/>
  <c r="J112" i="69" s="1"/>
  <c r="Y112" i="69" s="1"/>
  <c r="J96" i="69" a="1"/>
  <c r="J96" i="69" s="1"/>
  <c r="Y96" i="69" s="1"/>
  <c r="J80" i="69" a="1"/>
  <c r="J80" i="69" s="1"/>
  <c r="Y80" i="69" s="1"/>
  <c r="J23" i="69" a="1"/>
  <c r="J23" i="69" s="1"/>
  <c r="Y23" i="69" s="1"/>
  <c r="J53" i="69" a="1"/>
  <c r="J53" i="69" s="1"/>
  <c r="Y53" i="69" s="1"/>
  <c r="J36" i="69" a="1"/>
  <c r="J36" i="69" s="1"/>
  <c r="Y36" i="69" s="1"/>
  <c r="J180" i="60" a="1"/>
  <c r="J180" i="60" s="1"/>
  <c r="Y180" i="60" s="1"/>
  <c r="J164" i="60" a="1"/>
  <c r="J164" i="60" s="1"/>
  <c r="Y164" i="60" s="1"/>
  <c r="J27" i="60" a="1"/>
  <c r="J27" i="60" s="1"/>
  <c r="Y27" i="60" s="1"/>
  <c r="J241" i="60" a="1"/>
  <c r="J241" i="60" s="1"/>
  <c r="Y241" i="60" s="1"/>
  <c r="J225" i="60" a="1"/>
  <c r="J225" i="60" s="1"/>
  <c r="Y225" i="60" s="1"/>
  <c r="J89" i="60" a="1"/>
  <c r="J89" i="60" s="1"/>
  <c r="Y89" i="60" s="1"/>
  <c r="J231" i="60" a="1"/>
  <c r="J231" i="60" s="1"/>
  <c r="Y231" i="60" s="1"/>
  <c r="J183" i="60" a="1"/>
  <c r="J183" i="60" s="1"/>
  <c r="Y183" i="60" s="1"/>
  <c r="J135" i="60" a="1"/>
  <c r="J135" i="60" s="1"/>
  <c r="Y135" i="60" s="1"/>
  <c r="J246" i="60" a="1"/>
  <c r="J246" i="60" s="1"/>
  <c r="Y246" i="60" s="1"/>
  <c r="J214" i="60" a="1"/>
  <c r="J214" i="60" s="1"/>
  <c r="Y214" i="60" s="1"/>
  <c r="J198" i="60" a="1"/>
  <c r="J198" i="60" s="1"/>
  <c r="Y198" i="60" s="1"/>
  <c r="J182" i="60" a="1"/>
  <c r="J182" i="60" s="1"/>
  <c r="Y182" i="60" s="1"/>
  <c r="J166" i="60" a="1"/>
  <c r="J166" i="60" s="1"/>
  <c r="Y166" i="60" s="1"/>
  <c r="J150" i="60" a="1"/>
  <c r="J150" i="60" s="1"/>
  <c r="Y150" i="60" s="1"/>
  <c r="J134" i="60" a="1"/>
  <c r="J134" i="60" s="1"/>
  <c r="Y134" i="60" s="1"/>
  <c r="J118" i="60" a="1"/>
  <c r="J118" i="60" s="1"/>
  <c r="Y118" i="60" s="1"/>
  <c r="J102" i="60" a="1"/>
  <c r="J102" i="60" s="1"/>
  <c r="Y102" i="60" s="1"/>
  <c r="J86" i="60" a="1"/>
  <c r="J86" i="60" s="1"/>
  <c r="Y86" i="60" s="1"/>
  <c r="J70" i="60" a="1"/>
  <c r="J70" i="60" s="1"/>
  <c r="Y70" i="60" s="1"/>
  <c r="J54" i="60" a="1"/>
  <c r="J54" i="60" s="1"/>
  <c r="Y54" i="60" s="1"/>
  <c r="J38" i="60" a="1"/>
  <c r="J38" i="60" s="1"/>
  <c r="Y38" i="60" s="1"/>
  <c r="J248" i="60" a="1"/>
  <c r="J248" i="60" s="1"/>
  <c r="Y248" i="60" s="1"/>
  <c r="J232" i="60" a="1"/>
  <c r="J232" i="60" s="1"/>
  <c r="Y232" i="60" s="1"/>
  <c r="J218" i="69" a="1"/>
  <c r="J218" i="69" s="1"/>
  <c r="Y218" i="69" s="1"/>
  <c r="J153" i="69" a="1"/>
  <c r="J153" i="69" s="1"/>
  <c r="Y153" i="69" s="1"/>
  <c r="J167" i="69" a="1"/>
  <c r="J167" i="69" s="1"/>
  <c r="Y167" i="69" s="1"/>
  <c r="J188" i="69" a="1"/>
  <c r="J188" i="69" s="1"/>
  <c r="Y188" i="69" s="1"/>
  <c r="J172" i="69" a="1"/>
  <c r="J172" i="69" s="1"/>
  <c r="Y172" i="69" s="1"/>
  <c r="J156" i="69" a="1"/>
  <c r="J156" i="69" s="1"/>
  <c r="Y156" i="69" s="1"/>
  <c r="J132" i="69" a="1"/>
  <c r="J132" i="69" s="1"/>
  <c r="Y132" i="69" s="1"/>
  <c r="J240" i="69" a="1"/>
  <c r="J240" i="69" s="1"/>
  <c r="Y240" i="69" s="1"/>
  <c r="J64" i="69" a="1"/>
  <c r="J64" i="69" s="1"/>
  <c r="Y64" i="69" s="1"/>
  <c r="J48" i="69" a="1"/>
  <c r="J48" i="69" s="1"/>
  <c r="Y48" i="69" s="1"/>
  <c r="J32" i="69" a="1"/>
  <c r="J32" i="69" s="1"/>
  <c r="Y32" i="69" s="1"/>
  <c r="J16" i="69" a="1"/>
  <c r="J16" i="69" s="1"/>
  <c r="Y16" i="69" s="1"/>
  <c r="J63" i="69" a="1"/>
  <c r="J63" i="69" s="1"/>
  <c r="Y63" i="69" s="1"/>
  <c r="J7" i="69" a="1"/>
  <c r="J7" i="69" s="1"/>
  <c r="Y7" i="69" s="1"/>
  <c r="J52" i="69" a="1"/>
  <c r="J52" i="69" s="1"/>
  <c r="Y52" i="69" s="1"/>
  <c r="J57" i="69" a="1"/>
  <c r="J57" i="69" s="1"/>
  <c r="Y57" i="69" s="1"/>
  <c r="J36" i="60" a="1"/>
  <c r="J36" i="60" s="1"/>
  <c r="Y36" i="60" s="1"/>
  <c r="J5" i="60" a="1"/>
  <c r="J5" i="60" s="1"/>
  <c r="Y5" i="60" s="1"/>
  <c r="J82" i="60" a="1"/>
  <c r="J82" i="60" s="1"/>
  <c r="Y82" i="60" s="1"/>
  <c r="J227" i="60" a="1"/>
  <c r="J227" i="60" s="1"/>
  <c r="Y227" i="60" s="1"/>
  <c r="J187" i="60" a="1"/>
  <c r="J187" i="60" s="1"/>
  <c r="Y187" i="60" s="1"/>
  <c r="J147" i="60" a="1"/>
  <c r="J147" i="60" s="1"/>
  <c r="Y147" i="60" s="1"/>
  <c r="J115" i="60" a="1"/>
  <c r="J115" i="60" s="1"/>
  <c r="Y115" i="60" s="1"/>
  <c r="J121" i="60" a="1"/>
  <c r="J121" i="60" s="1"/>
  <c r="Y121" i="60" s="1"/>
  <c r="J123" i="60" a="1"/>
  <c r="J123" i="60" s="1"/>
  <c r="Y123" i="60" s="1"/>
  <c r="J91" i="60" a="1"/>
  <c r="J91" i="60" s="1"/>
  <c r="Y91" i="60" s="1"/>
  <c r="J59" i="60" a="1"/>
  <c r="J59" i="60" s="1"/>
  <c r="Y59" i="60" s="1"/>
  <c r="J247" i="60" a="1"/>
  <c r="J247" i="60" s="1"/>
  <c r="Y247" i="60" s="1"/>
  <c r="J215" i="60" a="1"/>
  <c r="J215" i="60" s="1"/>
  <c r="Y215" i="60" s="1"/>
  <c r="J199" i="60" a="1"/>
  <c r="J199" i="60" s="1"/>
  <c r="Y199" i="60" s="1"/>
  <c r="J167" i="60" a="1"/>
  <c r="J167" i="60" s="1"/>
  <c r="Y167" i="60" s="1"/>
  <c r="J151" i="60" a="1"/>
  <c r="J151" i="60" s="1"/>
  <c r="Y151" i="60" s="1"/>
  <c r="J8" i="60" a="1"/>
  <c r="J8" i="60" s="1"/>
  <c r="Y8" i="60" s="1"/>
  <c r="J22" i="60" a="1"/>
  <c r="J22" i="60" s="1"/>
  <c r="Y22" i="60" s="1"/>
  <c r="J176" i="60" a="1"/>
  <c r="J176" i="60" s="1"/>
  <c r="Y176" i="60" s="1"/>
  <c r="J128" i="60" a="1"/>
  <c r="J128" i="60" s="1"/>
  <c r="Y128" i="60" s="1"/>
  <c r="J4" i="60" a="1"/>
  <c r="J4" i="60" s="1"/>
  <c r="Y4" i="60" s="1"/>
  <c r="J14" i="60" a="1"/>
  <c r="J14" i="60" s="1"/>
  <c r="Y14" i="60" s="1"/>
  <c r="J88" i="69" a="1"/>
  <c r="J88" i="69" s="1"/>
  <c r="Y88" i="69" s="1"/>
  <c r="J56" i="69" a="1"/>
  <c r="J56" i="69" s="1"/>
  <c r="Y56" i="69" s="1"/>
  <c r="J100" i="69" a="1"/>
  <c r="J100" i="69" s="1"/>
  <c r="Y100" i="69" s="1"/>
  <c r="J122" i="69" a="1"/>
  <c r="J122" i="69" s="1"/>
  <c r="Y122" i="69" s="1"/>
  <c r="J232" i="69" a="1"/>
  <c r="J232" i="69" s="1"/>
  <c r="Y232" i="69" s="1"/>
  <c r="J216" i="69" a="1"/>
  <c r="J216" i="69" s="1"/>
  <c r="Y216" i="69" s="1"/>
  <c r="J183" i="69" a="1"/>
  <c r="J183" i="69" s="1"/>
  <c r="Y183" i="69" s="1"/>
  <c r="J214" i="69" a="1"/>
  <c r="J214" i="69" s="1"/>
  <c r="Y214" i="69" s="1"/>
  <c r="J236" i="69" a="1"/>
  <c r="J236" i="69" s="1"/>
  <c r="Y236" i="69" s="1"/>
  <c r="J220" i="69" a="1"/>
  <c r="J220" i="69" s="1"/>
  <c r="Y220" i="69" s="1"/>
  <c r="J204" i="69" a="1"/>
  <c r="J204" i="69" s="1"/>
  <c r="Y204" i="69" s="1"/>
  <c r="J83" i="69" a="1"/>
  <c r="J83" i="69" s="1"/>
  <c r="Y83" i="69" s="1"/>
  <c r="J68" i="69" a="1"/>
  <c r="J68" i="69" s="1"/>
  <c r="Y68" i="69" s="1"/>
  <c r="J89" i="69" a="1"/>
  <c r="J89" i="69" s="1"/>
  <c r="Y89" i="69" s="1"/>
  <c r="J73" i="69" a="1"/>
  <c r="J73" i="69" s="1"/>
  <c r="Y73" i="69" s="1"/>
  <c r="J109" i="60" a="1"/>
  <c r="J109" i="60" s="1"/>
  <c r="Y109" i="60" s="1"/>
  <c r="J77" i="60" a="1"/>
  <c r="J77" i="60" s="1"/>
  <c r="Y77" i="60" s="1"/>
  <c r="J45" i="60" a="1"/>
  <c r="J45" i="60" s="1"/>
  <c r="Y45" i="60" s="1"/>
  <c r="J196" i="60" a="1"/>
  <c r="J196" i="60" s="1"/>
  <c r="Y196" i="60" s="1"/>
  <c r="J140" i="60" a="1"/>
  <c r="J140" i="60" s="1"/>
  <c r="Y140" i="60" s="1"/>
  <c r="J52" i="60" a="1"/>
  <c r="J52" i="60" s="1"/>
  <c r="Y52" i="60" s="1"/>
  <c r="J50" i="60" a="1"/>
  <c r="J50" i="60" s="1"/>
  <c r="Y50" i="60" s="1"/>
  <c r="J67" i="60" a="1"/>
  <c r="J67" i="60" s="1"/>
  <c r="Y67" i="60" s="1"/>
  <c r="J35" i="60" a="1"/>
  <c r="J35" i="60" s="1"/>
  <c r="Y35" i="60" s="1"/>
  <c r="J185" i="60" a="1"/>
  <c r="J185" i="60" s="1"/>
  <c r="Y185" i="60" s="1"/>
  <c r="J169" i="60" a="1"/>
  <c r="J169" i="60" s="1"/>
  <c r="Y169" i="60" s="1"/>
  <c r="J153" i="60" a="1"/>
  <c r="J153" i="60" s="1"/>
  <c r="Y153" i="60" s="1"/>
  <c r="J33" i="60" a="1"/>
  <c r="J33" i="60" s="1"/>
  <c r="Y33" i="60" s="1"/>
  <c r="J251" i="60" a="1"/>
  <c r="J251" i="60" s="1"/>
  <c r="Y251" i="60" s="1"/>
  <c r="J219" i="60" a="1"/>
  <c r="J219" i="60" s="1"/>
  <c r="Y219" i="60" s="1"/>
  <c r="J195" i="60" a="1"/>
  <c r="J195" i="60" s="1"/>
  <c r="Y195" i="60" s="1"/>
  <c r="J155" i="60" a="1"/>
  <c r="J155" i="60" s="1"/>
  <c r="Y155" i="60" s="1"/>
  <c r="J179" i="60" a="1"/>
  <c r="J179" i="60" s="1"/>
  <c r="Y179" i="60" s="1"/>
  <c r="J96" i="60" a="1"/>
  <c r="J96" i="60" s="1"/>
  <c r="Y96" i="60" s="1"/>
  <c r="J23" i="60" a="1"/>
  <c r="J23" i="60" s="1"/>
  <c r="Y23" i="60" s="1"/>
  <c r="J86" i="69" a="1"/>
  <c r="J86" i="69" s="1"/>
  <c r="Y86" i="69" s="1"/>
  <c r="J5" i="69" a="1"/>
  <c r="J5" i="69" s="1"/>
  <c r="Y5" i="69" s="1"/>
  <c r="J13" i="60" a="1"/>
  <c r="J13" i="60" s="1"/>
  <c r="Y13" i="60" s="1"/>
  <c r="J244" i="60" a="1"/>
  <c r="J244" i="60" s="1"/>
  <c r="Y244" i="60" s="1"/>
  <c r="J84" i="60" a="1"/>
  <c r="J84" i="60" s="1"/>
  <c r="Y84" i="60" s="1"/>
  <c r="J233" i="60" a="1"/>
  <c r="J233" i="60" s="1"/>
  <c r="Y233" i="60" s="1"/>
  <c r="J97" i="60" a="1"/>
  <c r="J97" i="60" s="1"/>
  <c r="Y97" i="60" s="1"/>
  <c r="J78" i="60" a="1"/>
  <c r="J78" i="60" s="1"/>
  <c r="Y78" i="60" s="1"/>
  <c r="J46" i="60" a="1"/>
  <c r="J46" i="60" s="1"/>
  <c r="Y46" i="60" s="1"/>
  <c r="J240" i="60" a="1"/>
  <c r="J240" i="60" s="1"/>
  <c r="Y240" i="60" s="1"/>
  <c r="J224" i="60" a="1"/>
  <c r="J224" i="60" s="1"/>
  <c r="Y224" i="60" s="1"/>
  <c r="J216" i="60" a="1"/>
  <c r="J216" i="60" s="1"/>
  <c r="Y216" i="60" s="1"/>
  <c r="J15" i="60" a="1"/>
  <c r="J15" i="60" s="1"/>
  <c r="Y15" i="60" s="1"/>
  <c r="J138" i="69" a="1"/>
  <c r="J138" i="69" s="1"/>
  <c r="Y138" i="69" s="1"/>
  <c r="J185" i="69" a="1"/>
  <c r="J185" i="69" s="1"/>
  <c r="Y185" i="69" s="1"/>
  <c r="J169" i="69" a="1"/>
  <c r="J169" i="69" s="1"/>
  <c r="Y169" i="69" s="1"/>
  <c r="J199" i="69" a="1"/>
  <c r="J199" i="69" s="1"/>
  <c r="Y199" i="69" s="1"/>
  <c r="J246" i="69" a="1"/>
  <c r="J246" i="69" s="1"/>
  <c r="Y246" i="69" s="1"/>
  <c r="J230" i="69" a="1"/>
  <c r="J230" i="69" s="1"/>
  <c r="Y230" i="69" s="1"/>
  <c r="J118" i="69" a="1"/>
  <c r="J118" i="69" s="1"/>
  <c r="Y118" i="69" s="1"/>
  <c r="J189" i="69" a="1"/>
  <c r="J189" i="69" s="1"/>
  <c r="Y189" i="69" s="1"/>
  <c r="J252" i="69" a="1"/>
  <c r="J252" i="69" s="1"/>
  <c r="Y252" i="69" s="1"/>
  <c r="J91" i="69" a="1"/>
  <c r="J91" i="69" s="1"/>
  <c r="Y91" i="69" s="1"/>
  <c r="J115" i="69" a="1"/>
  <c r="J115" i="69" s="1"/>
  <c r="Y115" i="69" s="1"/>
  <c r="J54" i="69" a="1"/>
  <c r="J54" i="69" s="1"/>
  <c r="Y54" i="69" s="1"/>
  <c r="J38" i="69" a="1"/>
  <c r="J38" i="69" s="1"/>
  <c r="Y38" i="69" s="1"/>
  <c r="J22" i="69" a="1"/>
  <c r="J22" i="69" s="1"/>
  <c r="Y22" i="69" s="1"/>
  <c r="J6" i="69" a="1"/>
  <c r="J6" i="69" s="1"/>
  <c r="Y6" i="69" s="1"/>
  <c r="J71" i="69" a="1"/>
  <c r="J71" i="69" s="1"/>
  <c r="Y71" i="69" s="1"/>
  <c r="J55" i="69" a="1"/>
  <c r="J55" i="69" s="1"/>
  <c r="Y55" i="69" s="1"/>
  <c r="J84" i="69" a="1"/>
  <c r="J84" i="69" s="1"/>
  <c r="Y84" i="69" s="1"/>
  <c r="J82" i="69" a="1"/>
  <c r="J82" i="69" s="1"/>
  <c r="Y82" i="69" s="1"/>
  <c r="J74" i="69" a="1"/>
  <c r="J74" i="69" s="1"/>
  <c r="Y74" i="69" s="1"/>
  <c r="J105" i="69" a="1"/>
  <c r="J105" i="69" s="1"/>
  <c r="Y105" i="69" s="1"/>
  <c r="J237" i="60" a="1"/>
  <c r="J237" i="60" s="1"/>
  <c r="Y237" i="60" s="1"/>
  <c r="J221" i="60" a="1"/>
  <c r="J221" i="60" s="1"/>
  <c r="Y221" i="60" s="1"/>
  <c r="J205" i="60" a="1"/>
  <c r="J205" i="60" s="1"/>
  <c r="Y205" i="60" s="1"/>
  <c r="J189" i="60" a="1"/>
  <c r="J189" i="60" s="1"/>
  <c r="Y189" i="60" s="1"/>
  <c r="J173" i="60" a="1"/>
  <c r="J173" i="60" s="1"/>
  <c r="Y173" i="60" s="1"/>
  <c r="J157" i="60" a="1"/>
  <c r="J157" i="60" s="1"/>
  <c r="Y157" i="60" s="1"/>
  <c r="J141" i="60" a="1"/>
  <c r="J141" i="60" s="1"/>
  <c r="Y141" i="60" s="1"/>
  <c r="J125" i="60" a="1"/>
  <c r="J125" i="60" s="1"/>
  <c r="Y125" i="60" s="1"/>
  <c r="J93" i="60" a="1"/>
  <c r="J93" i="60" s="1"/>
  <c r="Y93" i="60" s="1"/>
  <c r="J61" i="60" a="1"/>
  <c r="J61" i="60" s="1"/>
  <c r="Y61" i="60" s="1"/>
  <c r="J29" i="60" a="1"/>
  <c r="J29" i="60" s="1"/>
  <c r="Y29" i="60" s="1"/>
  <c r="J228" i="60" a="1"/>
  <c r="J228" i="60" s="1"/>
  <c r="Y228" i="60" s="1"/>
  <c r="J212" i="60" a="1"/>
  <c r="J212" i="60" s="1"/>
  <c r="Y212" i="60" s="1"/>
  <c r="J68" i="60" a="1"/>
  <c r="J68" i="60" s="1"/>
  <c r="Y68" i="60" s="1"/>
  <c r="J242" i="60" a="1"/>
  <c r="J242" i="60" s="1"/>
  <c r="Y242" i="60" s="1"/>
  <c r="J226" i="60" a="1"/>
  <c r="J226" i="60" s="1"/>
  <c r="Y226" i="60" s="1"/>
  <c r="J210" i="60" a="1"/>
  <c r="J210" i="60" s="1"/>
  <c r="Y210" i="60" s="1"/>
  <c r="J194" i="60" a="1"/>
  <c r="J194" i="60" s="1"/>
  <c r="Y194" i="60" s="1"/>
  <c r="J178" i="60" a="1"/>
  <c r="J178" i="60" s="1"/>
  <c r="Y178" i="60" s="1"/>
  <c r="J162" i="60" a="1"/>
  <c r="J162" i="60" s="1"/>
  <c r="Y162" i="60" s="1"/>
  <c r="J146" i="60" a="1"/>
  <c r="J146" i="60" s="1"/>
  <c r="Y146" i="60" s="1"/>
  <c r="J130" i="60" a="1"/>
  <c r="J130" i="60" s="1"/>
  <c r="Y130" i="60" s="1"/>
  <c r="J114" i="60" a="1"/>
  <c r="J114" i="60" s="1"/>
  <c r="Y114" i="60" s="1"/>
  <c r="J98" i="60" a="1"/>
  <c r="J98" i="60" s="1"/>
  <c r="Y98" i="60" s="1"/>
  <c r="J66" i="60" a="1"/>
  <c r="J66" i="60" s="1"/>
  <c r="Y66" i="60" s="1"/>
  <c r="J34" i="60" a="1"/>
  <c r="J34" i="60" s="1"/>
  <c r="Y34" i="60" s="1"/>
  <c r="J131" i="60" a="1"/>
  <c r="J131" i="60" s="1"/>
  <c r="Y131" i="60" s="1"/>
  <c r="J65" i="60" a="1"/>
  <c r="J65" i="60" s="1"/>
  <c r="Y65" i="60" s="1"/>
  <c r="J49" i="60" a="1"/>
  <c r="J49" i="60" s="1"/>
  <c r="Y49" i="60" s="1"/>
  <c r="J25" i="60" a="1"/>
  <c r="J25" i="60" s="1"/>
  <c r="Y25" i="60" s="1"/>
  <c r="J159" i="60" a="1"/>
  <c r="J159" i="60" s="1"/>
  <c r="Y159" i="60" s="1"/>
  <c r="J55" i="60" a="1"/>
  <c r="J55" i="60" s="1"/>
  <c r="Y55" i="60" s="1"/>
  <c r="J39" i="60" a="1"/>
  <c r="J39" i="60" s="1"/>
  <c r="Y39" i="60" s="1"/>
  <c r="J21" i="60" a="1"/>
  <c r="J21" i="60" s="1"/>
  <c r="Y21" i="60" s="1"/>
  <c r="J238" i="60" a="1"/>
  <c r="J238" i="60" s="1"/>
  <c r="Y238" i="60" s="1"/>
  <c r="J158" i="60" a="1"/>
  <c r="J158" i="60" s="1"/>
  <c r="Y158" i="60" s="1"/>
  <c r="J126" i="60" a="1"/>
  <c r="J126" i="60" s="1"/>
  <c r="Y126" i="60" s="1"/>
  <c r="J94" i="60" a="1"/>
  <c r="J94" i="60" s="1"/>
  <c r="Y94" i="60" s="1"/>
  <c r="J62" i="60" a="1"/>
  <c r="J62" i="60" s="1"/>
  <c r="Y62" i="60" s="1"/>
  <c r="J30" i="60" a="1"/>
  <c r="J30" i="60" s="1"/>
  <c r="Y30" i="60" s="1"/>
  <c r="J208" i="60" a="1"/>
  <c r="J208" i="60" s="1"/>
  <c r="Y208" i="60" s="1"/>
  <c r="J192" i="60" a="1"/>
  <c r="J192" i="60" s="1"/>
  <c r="Y192" i="60" s="1"/>
  <c r="J160" i="60" a="1"/>
  <c r="J160" i="60" s="1"/>
  <c r="Y160" i="60" s="1"/>
  <c r="J144" i="60" a="1"/>
  <c r="J144" i="60" s="1"/>
  <c r="Y144" i="60" s="1"/>
  <c r="J112" i="60" a="1"/>
  <c r="J112" i="60" s="1"/>
  <c r="Y112" i="60" s="1"/>
  <c r="J80" i="60" a="1"/>
  <c r="J80" i="60" s="1"/>
  <c r="Y80" i="60" s="1"/>
  <c r="J64" i="60" a="1"/>
  <c r="J64" i="60" s="1"/>
  <c r="Y64" i="60" s="1"/>
  <c r="J48" i="60" a="1"/>
  <c r="J48" i="60" s="1"/>
  <c r="Y48" i="60" s="1"/>
  <c r="J32" i="60" a="1"/>
  <c r="J32" i="60" s="1"/>
  <c r="Y32" i="60" s="1"/>
  <c r="J19" i="60" a="1"/>
  <c r="J19" i="60" s="1"/>
  <c r="Y19" i="60" s="1"/>
  <c r="J6" i="60" a="1"/>
  <c r="J6" i="60" s="1"/>
  <c r="Y6" i="60" s="1"/>
  <c r="J154" i="69" a="1"/>
  <c r="J154" i="69" s="1"/>
  <c r="Y154" i="69" s="1"/>
  <c r="J215" i="69" a="1"/>
  <c r="J215" i="69" s="1"/>
  <c r="Y215" i="69" s="1"/>
  <c r="J221" i="69" a="1"/>
  <c r="J221" i="69" s="1"/>
  <c r="Y221" i="69" s="1"/>
  <c r="J268" i="69" a="1"/>
  <c r="J268" i="69" s="1"/>
  <c r="Y268" i="69" s="1"/>
  <c r="J102" i="69" a="1"/>
  <c r="J102" i="69" s="1"/>
  <c r="Y102" i="69" s="1"/>
  <c r="J70" i="69" a="1"/>
  <c r="J70" i="69" s="1"/>
  <c r="Y70" i="69" s="1"/>
  <c r="J104" i="69" a="1"/>
  <c r="J104" i="69" s="1"/>
  <c r="Y104" i="69" s="1"/>
  <c r="J72" i="69" a="1"/>
  <c r="J72" i="69" s="1"/>
  <c r="Y72" i="69" s="1"/>
  <c r="J87" i="69" a="1"/>
  <c r="J87" i="69" s="1"/>
  <c r="Y87" i="69" s="1"/>
  <c r="J249" i="60" a="1"/>
  <c r="J249" i="60" s="1"/>
  <c r="Y249" i="60" s="1"/>
  <c r="J81" i="60" a="1"/>
  <c r="J81" i="60" s="1"/>
  <c r="Y81" i="60" s="1"/>
  <c r="J71" i="60" a="1"/>
  <c r="J71" i="60" s="1"/>
  <c r="Y71" i="60" s="1"/>
  <c r="J222" i="60" a="1"/>
  <c r="J222" i="60" s="1"/>
  <c r="Y222" i="60" s="1"/>
  <c r="J206" i="60" a="1"/>
  <c r="J206" i="60" s="1"/>
  <c r="Y206" i="60" s="1"/>
  <c r="J190" i="60" a="1"/>
  <c r="J190" i="60" s="1"/>
  <c r="Y190" i="60" s="1"/>
  <c r="J174" i="60" a="1"/>
  <c r="J174" i="60" s="1"/>
  <c r="Y174" i="60" s="1"/>
  <c r="J142" i="60" a="1"/>
  <c r="J142" i="60" s="1"/>
  <c r="Y142" i="60" s="1"/>
  <c r="J110" i="60" a="1"/>
  <c r="J110" i="60" s="1"/>
  <c r="Y110" i="60" s="1"/>
  <c r="J170" i="69" a="1"/>
  <c r="J170" i="69" s="1"/>
  <c r="Y170" i="69" s="1"/>
  <c r="J217" i="69" a="1"/>
  <c r="J217" i="69" s="1"/>
  <c r="Y217" i="69" s="1"/>
  <c r="J201" i="69" a="1"/>
  <c r="J201" i="69" s="1"/>
  <c r="Y201" i="69" s="1"/>
  <c r="J231" i="69" a="1"/>
  <c r="J231" i="69" s="1"/>
  <c r="Y231" i="69" s="1"/>
  <c r="J266" i="69" a="1"/>
  <c r="J266" i="69" s="1"/>
  <c r="Y266" i="69" s="1"/>
  <c r="J125" i="69" a="1"/>
  <c r="J125" i="69" s="1"/>
  <c r="Y125" i="69" s="1"/>
  <c r="J164" i="69" a="1"/>
  <c r="J164" i="69" s="1"/>
  <c r="Y164" i="69" s="1"/>
  <c r="J148" i="69" a="1"/>
  <c r="J148" i="69" s="1"/>
  <c r="Y148" i="69" s="1"/>
  <c r="J124" i="69" a="1"/>
  <c r="J124" i="69" s="1"/>
  <c r="Y124" i="69" s="1"/>
  <c r="J75" i="69" a="1"/>
  <c r="J75" i="69" s="1"/>
  <c r="Y75" i="69" s="1"/>
  <c r="J40" i="69" a="1"/>
  <c r="J40" i="69" s="1"/>
  <c r="Y40" i="69" s="1"/>
  <c r="J24" i="69" a="1"/>
  <c r="J24" i="69" s="1"/>
  <c r="Y24" i="69" s="1"/>
  <c r="J8" i="69" a="1"/>
  <c r="J8" i="69" s="1"/>
  <c r="Y8" i="69" s="1"/>
  <c r="J103" i="69" a="1"/>
  <c r="J103" i="69" s="1"/>
  <c r="Y103" i="69" s="1"/>
  <c r="J116" i="69" a="1"/>
  <c r="J116" i="69" s="1"/>
  <c r="Y116" i="69" s="1"/>
  <c r="J149" i="60" a="1"/>
  <c r="J149" i="60" s="1"/>
  <c r="Y149" i="60" s="1"/>
  <c r="J100" i="60" a="1"/>
  <c r="J100" i="60" s="1"/>
  <c r="Y100" i="60" s="1"/>
  <c r="J243" i="60" a="1"/>
  <c r="J243" i="60" s="1"/>
  <c r="Y243" i="60" s="1"/>
  <c r="J203" i="60" a="1"/>
  <c r="J203" i="60" s="1"/>
  <c r="Y203" i="60" s="1"/>
  <c r="J163" i="60" a="1"/>
  <c r="J163" i="60" s="1"/>
  <c r="Y163" i="60" s="1"/>
  <c r="J129" i="60" a="1"/>
  <c r="J129" i="60" s="1"/>
  <c r="Y129" i="60" s="1"/>
  <c r="J113" i="60" a="1"/>
  <c r="J113" i="60" s="1"/>
  <c r="Y113" i="60" s="1"/>
  <c r="J107" i="60" a="1"/>
  <c r="J107" i="60" s="1"/>
  <c r="Y107" i="60" s="1"/>
  <c r="J75" i="60" a="1"/>
  <c r="J75" i="60" s="1"/>
  <c r="Y75" i="60" s="1"/>
  <c r="J43" i="60" a="1"/>
  <c r="J43" i="60" s="1"/>
  <c r="Y43" i="60" s="1"/>
  <c r="J239" i="60" a="1"/>
  <c r="J239" i="60" s="1"/>
  <c r="Y239" i="60" s="1"/>
  <c r="J223" i="60" a="1"/>
  <c r="J223" i="60" s="1"/>
  <c r="Y223" i="60" s="1"/>
  <c r="J207" i="60" a="1"/>
  <c r="J207" i="60" s="1"/>
  <c r="Y207" i="60" s="1"/>
  <c r="J191" i="60" a="1"/>
  <c r="J191" i="60" s="1"/>
  <c r="Y191" i="60" s="1"/>
  <c r="J175" i="60" a="1"/>
  <c r="J175" i="60" s="1"/>
  <c r="Y175" i="60" s="1"/>
  <c r="J87" i="60" a="1"/>
  <c r="J87" i="60" s="1"/>
  <c r="Y87" i="60" s="1"/>
  <c r="J24" i="60" a="1"/>
  <c r="J24" i="60" s="1"/>
  <c r="Y24" i="60" s="1"/>
  <c r="J11" i="60" a="1"/>
  <c r="J11" i="60" s="1"/>
  <c r="Y11" i="60" s="1"/>
  <c r="J47" i="60" a="1"/>
  <c r="J47" i="60" s="1"/>
  <c r="Y47" i="60" s="1"/>
  <c r="J31" i="60" a="1"/>
  <c r="J31" i="60" s="1"/>
  <c r="Y31" i="60" s="1"/>
  <c r="J20" i="60" a="1"/>
  <c r="J20" i="60" s="1"/>
  <c r="Y20" i="60" s="1"/>
  <c r="J7" i="60" a="1"/>
  <c r="J7" i="60" s="1"/>
  <c r="Y7" i="60" s="1"/>
  <c r="J2" i="60" a="1"/>
  <c r="J2" i="60" s="1"/>
  <c r="Y2" i="60" s="1"/>
  <c r="J119" i="60" a="1"/>
  <c r="J119" i="60" s="1"/>
  <c r="Y119" i="60" s="1"/>
  <c r="J56" i="60" a="1"/>
  <c r="J56" i="60" s="1"/>
  <c r="Y56" i="60" s="1"/>
  <c r="J186" i="69" a="1"/>
  <c r="J186" i="69" s="1"/>
  <c r="Y186" i="69" s="1"/>
  <c r="J184" i="69" a="1"/>
  <c r="J184" i="69" s="1"/>
  <c r="Y184" i="69" s="1"/>
  <c r="J247" i="69" a="1"/>
  <c r="J247" i="69" s="1"/>
  <c r="Y247" i="69" s="1"/>
  <c r="J206" i="69" a="1"/>
  <c r="J206" i="69" s="1"/>
  <c r="Y206" i="69" s="1"/>
  <c r="J150" i="69" a="1"/>
  <c r="J150" i="69" s="1"/>
  <c r="Y150" i="69" s="1"/>
  <c r="J165" i="69" a="1"/>
  <c r="J165" i="69" s="1"/>
  <c r="Y165" i="69" s="1"/>
  <c r="J141" i="69" a="1"/>
  <c r="J141" i="69" s="1"/>
  <c r="Y141" i="69" s="1"/>
  <c r="J228" i="69" a="1"/>
  <c r="J228" i="69" s="1"/>
  <c r="Y228" i="69" s="1"/>
  <c r="J212" i="69" a="1"/>
  <c r="J212" i="69" s="1"/>
  <c r="Y212" i="69" s="1"/>
  <c r="J196" i="69" a="1"/>
  <c r="J196" i="69" s="1"/>
  <c r="Y196" i="69" s="1"/>
  <c r="J107" i="69" a="1"/>
  <c r="J107" i="69" s="1"/>
  <c r="Y107" i="69" s="1"/>
  <c r="J18" i="69" a="1"/>
  <c r="J18" i="69" s="1"/>
  <c r="Y18" i="69" s="1"/>
  <c r="J37" i="69" a="1"/>
  <c r="J37" i="69" s="1"/>
  <c r="Y37" i="69" s="1"/>
  <c r="J21" i="69" a="1"/>
  <c r="J21" i="69" s="1"/>
  <c r="Y21" i="69" s="1"/>
  <c r="J4" i="69" a="1"/>
  <c r="J4" i="69" s="1"/>
  <c r="Y4" i="69" s="1"/>
  <c r="J10" i="69" a="1"/>
  <c r="J10" i="69" s="1"/>
  <c r="Y10" i="69" s="1"/>
  <c r="J42" i="69" a="1"/>
  <c r="J42" i="69" s="1"/>
  <c r="Y42" i="69" s="1"/>
  <c r="J9" i="69" a="1"/>
  <c r="J9" i="69" s="1"/>
  <c r="Y9" i="69" s="1"/>
  <c r="J165" i="60" a="1"/>
  <c r="J165" i="60" s="1"/>
  <c r="Y165" i="60" s="1"/>
  <c r="J133" i="60" a="1"/>
  <c r="J133" i="60" s="1"/>
  <c r="Y133" i="60" s="1"/>
  <c r="J117" i="60" a="1"/>
  <c r="J117" i="60" s="1"/>
  <c r="Y117" i="60" s="1"/>
  <c r="J101" i="60" a="1"/>
  <c r="J101" i="60" s="1"/>
  <c r="Y101" i="60" s="1"/>
  <c r="J85" i="60" a="1"/>
  <c r="J85" i="60" s="1"/>
  <c r="Y85" i="60" s="1"/>
  <c r="J69" i="60" a="1"/>
  <c r="J69" i="60" s="1"/>
  <c r="Y69" i="60" s="1"/>
  <c r="J53" i="60" a="1"/>
  <c r="J53" i="60" s="1"/>
  <c r="Y53" i="60" s="1"/>
  <c r="J37" i="60" a="1"/>
  <c r="J37" i="60" s="1"/>
  <c r="Y37" i="60" s="1"/>
  <c r="J220" i="60" a="1"/>
  <c r="J220" i="60" s="1"/>
  <c r="Y220" i="60" s="1"/>
  <c r="J116" i="60" a="1"/>
  <c r="J116" i="60" s="1"/>
  <c r="Y116" i="60" s="1"/>
  <c r="J218" i="60" a="1"/>
  <c r="J218" i="60" s="1"/>
  <c r="Y218" i="60" s="1"/>
  <c r="J202" i="60" a="1"/>
  <c r="J202" i="60" s="1"/>
  <c r="Y202" i="60" s="1"/>
  <c r="J138" i="60" a="1"/>
  <c r="J138" i="60" s="1"/>
  <c r="Y138" i="60" s="1"/>
  <c r="J122" i="60" a="1"/>
  <c r="J122" i="60" s="1"/>
  <c r="Y122" i="60" s="1"/>
  <c r="J106" i="60" a="1"/>
  <c r="J106" i="60" s="1"/>
  <c r="Y106" i="60" s="1"/>
  <c r="J90" i="60" a="1"/>
  <c r="J90" i="60" s="1"/>
  <c r="Y90" i="60" s="1"/>
  <c r="J74" i="60" a="1"/>
  <c r="J74" i="60" s="1"/>
  <c r="Y74" i="60" s="1"/>
  <c r="J58" i="60" a="1"/>
  <c r="J58" i="60" s="1"/>
  <c r="Y58" i="60" s="1"/>
  <c r="J42" i="60" a="1"/>
  <c r="J42" i="60" s="1"/>
  <c r="Y42" i="60" s="1"/>
  <c r="J26" i="60" a="1"/>
  <c r="J26" i="60" s="1"/>
  <c r="Y26" i="60" s="1"/>
  <c r="J193" i="60" a="1"/>
  <c r="J193" i="60" s="1"/>
  <c r="Y193" i="60" s="1"/>
  <c r="J177" i="60" a="1"/>
  <c r="J177" i="60" s="1"/>
  <c r="Y177" i="60" s="1"/>
  <c r="J161" i="60" a="1"/>
  <c r="J161" i="60" s="1"/>
  <c r="Y161" i="60" s="1"/>
  <c r="J145" i="60" a="1"/>
  <c r="J145" i="60" s="1"/>
  <c r="Y145" i="60" s="1"/>
  <c r="J235" i="60" a="1"/>
  <c r="J235" i="60" s="1"/>
  <c r="Y235" i="60" s="1"/>
  <c r="J211" i="60" a="1"/>
  <c r="J211" i="60" s="1"/>
  <c r="Y211" i="60" s="1"/>
  <c r="J171" i="60" a="1"/>
  <c r="J171" i="60" s="1"/>
  <c r="Y171" i="60" s="1"/>
  <c r="J103" i="60" a="1"/>
  <c r="J103" i="60" s="1"/>
  <c r="Y103" i="60" s="1"/>
  <c r="J51" i="60" a="1"/>
  <c r="J51" i="60" s="1"/>
  <c r="Y51" i="60" s="1"/>
  <c r="J57" i="60" a="1"/>
  <c r="J57" i="60" s="1"/>
  <c r="Y57" i="60" s="1"/>
  <c r="J230" i="60" a="1"/>
  <c r="J230" i="60" s="1"/>
  <c r="Y230" i="60" s="1"/>
  <c r="J200" i="60" a="1"/>
  <c r="J200" i="60" s="1"/>
  <c r="Y200" i="60" s="1"/>
  <c r="J152" i="60" a="1"/>
  <c r="J152" i="60" s="1"/>
  <c r="Y152" i="60" s="1"/>
  <c r="J120" i="60" a="1"/>
  <c r="J120" i="60" s="1"/>
  <c r="Y120" i="60" s="1"/>
  <c r="J88" i="60" a="1"/>
  <c r="J88" i="60" s="1"/>
  <c r="Y88" i="60" s="1"/>
  <c r="J40" i="60" a="1"/>
  <c r="J40" i="60" s="1"/>
  <c r="Y40" i="60" s="1"/>
  <c r="J16" i="60" a="1"/>
  <c r="J16" i="60" s="1"/>
  <c r="Y16" i="60" s="1"/>
  <c r="J3" i="60" a="1"/>
  <c r="J3" i="60" s="1"/>
  <c r="Y3" i="60" s="1"/>
  <c r="J12" i="60" a="1"/>
  <c r="J12" i="60" s="1"/>
  <c r="Y12" i="60" s="1"/>
  <c r="J249" i="69" a="1"/>
  <c r="J249" i="69" s="1"/>
  <c r="Y249" i="69" s="1"/>
  <c r="J233" i="69" a="1"/>
  <c r="J233" i="69" s="1"/>
  <c r="Y233" i="69" s="1"/>
  <c r="J202" i="69" a="1"/>
  <c r="J202" i="69" s="1"/>
  <c r="Y202" i="69" s="1"/>
  <c r="J263" i="69" a="1"/>
  <c r="J263" i="69" s="1"/>
  <c r="Y263" i="69" s="1"/>
  <c r="J238" i="69" a="1"/>
  <c r="J238" i="69" s="1"/>
  <c r="Y238" i="69" s="1"/>
  <c r="J166" i="69" a="1"/>
  <c r="J166" i="69" s="1"/>
  <c r="Y166" i="69" s="1"/>
  <c r="J253" i="69" a="1"/>
  <c r="J253" i="69" s="1"/>
  <c r="Y253" i="69" s="1"/>
  <c r="J197" i="69" a="1"/>
  <c r="J197" i="69" s="1"/>
  <c r="Y197" i="69" s="1"/>
  <c r="J181" i="69" a="1"/>
  <c r="J181" i="69" s="1"/>
  <c r="Y181" i="69" s="1"/>
  <c r="J43" i="69" a="1"/>
  <c r="J43" i="69" s="1"/>
  <c r="Y43" i="69" s="1"/>
  <c r="J67" i="69" a="1"/>
  <c r="J67" i="69" s="1"/>
  <c r="Y67" i="69" s="1"/>
  <c r="J46" i="69" a="1"/>
  <c r="J46" i="69" s="1"/>
  <c r="Y46" i="69" s="1"/>
  <c r="J30" i="69" a="1"/>
  <c r="J30" i="69" s="1"/>
  <c r="Y30" i="69" s="1"/>
  <c r="J14" i="69" a="1"/>
  <c r="J14" i="69" s="1"/>
  <c r="Y14" i="69" s="1"/>
  <c r="J58" i="69" a="1"/>
  <c r="J58" i="69" s="1"/>
  <c r="Y58" i="69" s="1"/>
  <c r="J20" i="69" a="1"/>
  <c r="J20" i="69" s="1"/>
  <c r="Y20" i="69" s="1"/>
  <c r="J106" i="69" a="1"/>
  <c r="J106" i="69" s="1"/>
  <c r="Y106" i="69" s="1"/>
  <c r="J50" i="69" a="1"/>
  <c r="J50" i="69" s="1"/>
  <c r="Y50" i="69" s="1"/>
  <c r="J98" i="69" a="1"/>
  <c r="J98" i="69" s="1"/>
  <c r="Y98" i="69" s="1"/>
  <c r="J41" i="69" a="1"/>
  <c r="J41" i="69" s="1"/>
  <c r="Y41" i="69" s="1"/>
  <c r="J25" i="69" a="1"/>
  <c r="J25" i="69" s="1"/>
  <c r="Y25" i="69" s="1"/>
  <c r="J245" i="60" a="1"/>
  <c r="J245" i="60" s="1"/>
  <c r="Y245" i="60" s="1"/>
  <c r="J229" i="60" a="1"/>
  <c r="J229" i="60" s="1"/>
  <c r="Y229" i="60" s="1"/>
  <c r="J213" i="60" a="1"/>
  <c r="J213" i="60" s="1"/>
  <c r="Y213" i="60" s="1"/>
  <c r="J197" i="60" a="1"/>
  <c r="J197" i="60" s="1"/>
  <c r="Y197" i="60" s="1"/>
  <c r="J181" i="60" a="1"/>
  <c r="J181" i="60" s="1"/>
  <c r="Y181" i="60" s="1"/>
  <c r="J148" i="60" a="1"/>
  <c r="J148" i="60" s="1"/>
  <c r="Y148" i="60" s="1"/>
  <c r="J132" i="60" a="1"/>
  <c r="J132" i="60" s="1"/>
  <c r="Y132" i="60" s="1"/>
  <c r="J250" i="60" a="1"/>
  <c r="J250" i="60" s="1"/>
  <c r="Y250" i="60" s="1"/>
  <c r="J234" i="60" a="1"/>
  <c r="J234" i="60" s="1"/>
  <c r="Y234" i="60" s="1"/>
  <c r="J186" i="60" a="1"/>
  <c r="J186" i="60" s="1"/>
  <c r="Y186" i="60" s="1"/>
  <c r="J170" i="60" a="1"/>
  <c r="J170" i="60" s="1"/>
  <c r="Y170" i="60" s="1"/>
  <c r="J154" i="60" a="1"/>
  <c r="J154" i="60" s="1"/>
  <c r="Y154" i="60" s="1"/>
  <c r="J83" i="60" a="1"/>
  <c r="J83" i="60" s="1"/>
  <c r="Y83" i="60" s="1"/>
  <c r="J209" i="60" a="1"/>
  <c r="J209" i="60" s="1"/>
  <c r="Y209" i="60" s="1"/>
  <c r="J184" i="60" a="1"/>
  <c r="J184" i="60" s="1"/>
  <c r="Y184" i="60" s="1"/>
  <c r="J168" i="60" a="1"/>
  <c r="J168" i="60" s="1"/>
  <c r="Y168" i="60" s="1"/>
  <c r="J136" i="60" a="1"/>
  <c r="J136" i="60" s="1"/>
  <c r="Y136" i="60" s="1"/>
  <c r="J104" i="60" a="1"/>
  <c r="J104" i="60" s="1"/>
  <c r="Y104" i="60" s="1"/>
  <c r="J72" i="60" a="1"/>
  <c r="J72" i="60" s="1"/>
  <c r="Y72" i="60" s="1"/>
  <c r="B293" i="57"/>
  <c r="M293" i="57" s="1"/>
  <c r="B77" i="57"/>
  <c r="M77" i="57" s="1"/>
  <c r="B475" i="57"/>
  <c r="M475" i="57" s="1"/>
  <c r="B237" i="57"/>
  <c r="M237" i="57" s="1"/>
  <c r="B107" i="57"/>
  <c r="M107" i="57" s="1"/>
  <c r="B717" i="57"/>
  <c r="M717" i="57" s="1"/>
  <c r="B774" i="57"/>
  <c r="M774" i="57" s="1"/>
  <c r="B593" i="57"/>
  <c r="M593" i="57" s="1"/>
  <c r="B471" i="57"/>
  <c r="M471" i="57" s="1"/>
  <c r="B623" i="57"/>
  <c r="M623" i="57" s="1"/>
  <c r="B31" i="57"/>
  <c r="M31" i="57" s="1"/>
  <c r="B78" i="57"/>
  <c r="M78" i="57" s="1"/>
  <c r="B95" i="57"/>
  <c r="M95" i="57" s="1"/>
  <c r="B89" i="57"/>
  <c r="M89" i="57" s="1"/>
  <c r="B694" i="57"/>
  <c r="M694" i="57" s="1"/>
  <c r="B807" i="57"/>
  <c r="M807" i="57" s="1"/>
  <c r="B321" i="57"/>
  <c r="M321" i="57" s="1"/>
  <c r="B778" i="57"/>
  <c r="M778" i="57" s="1"/>
  <c r="B283" i="57"/>
  <c r="M283" i="57" s="1"/>
  <c r="B634" i="57"/>
  <c r="M634" i="57" s="1"/>
  <c r="B491" i="57"/>
  <c r="M491" i="57" s="1"/>
  <c r="B796" i="57"/>
  <c r="M796" i="57" s="1"/>
  <c r="B754" i="57"/>
  <c r="M754" i="57" s="1"/>
  <c r="B596" i="57"/>
  <c r="M596" i="57" s="1"/>
  <c r="B362" i="57"/>
  <c r="M362" i="57" s="1"/>
  <c r="B667" i="57"/>
  <c r="M667" i="57" s="1"/>
  <c r="B330" i="57"/>
  <c r="M330" i="57" s="1"/>
  <c r="B212" i="57"/>
  <c r="M212" i="57" s="1"/>
  <c r="B308" i="57"/>
  <c r="M308" i="57" s="1"/>
  <c r="B551" i="57"/>
  <c r="M551" i="57" s="1"/>
  <c r="B661" i="57"/>
  <c r="M661" i="57" s="1"/>
  <c r="B266" i="57"/>
  <c r="M266" i="57" s="1"/>
  <c r="B567" i="57"/>
  <c r="M567" i="57" s="1"/>
  <c r="B784" i="57"/>
  <c r="M784" i="57" s="1"/>
  <c r="B398" i="57"/>
  <c r="M398" i="57" s="1"/>
  <c r="B782" i="57"/>
  <c r="M782" i="57" s="1"/>
  <c r="B610" i="57"/>
  <c r="M610" i="57" s="1"/>
  <c r="B90" i="57"/>
  <c r="M90" i="57" s="1"/>
  <c r="B579" i="57"/>
  <c r="M579" i="57" s="1"/>
  <c r="B619" i="57"/>
  <c r="M619" i="57" s="1"/>
  <c r="B577" i="57"/>
  <c r="M577" i="57" s="1"/>
  <c r="B32" i="57"/>
  <c r="M32" i="57" s="1"/>
  <c r="B658" i="57"/>
  <c r="M658" i="57" s="1"/>
  <c r="B696" i="57"/>
  <c r="M696" i="57" s="1"/>
  <c r="B192" i="57"/>
  <c r="M192" i="57" s="1"/>
  <c r="B46" i="57"/>
  <c r="M46" i="57" s="1"/>
  <c r="B541" i="57"/>
  <c r="M541" i="57" s="1"/>
  <c r="B707" i="57"/>
  <c r="M707" i="57" s="1"/>
  <c r="B154" i="57"/>
  <c r="M154" i="57" s="1"/>
  <c r="B666" i="57"/>
  <c r="M666" i="57" s="1"/>
  <c r="B84" i="57"/>
  <c r="M84" i="57" s="1"/>
  <c r="B128" i="57"/>
  <c r="M128" i="57" s="1"/>
  <c r="B546" i="57"/>
  <c r="M546" i="57" s="1"/>
  <c r="B674" i="57"/>
  <c r="M674" i="57" s="1"/>
  <c r="B609" i="57"/>
  <c r="M609" i="57" s="1"/>
  <c r="B9" i="57"/>
  <c r="M9" i="57" s="1"/>
  <c r="B510" i="57"/>
  <c r="M510" i="57" s="1"/>
  <c r="B255" i="57"/>
  <c r="M255" i="57" s="1"/>
  <c r="B587" i="57"/>
  <c r="M587" i="57" s="1"/>
  <c r="B278" i="57"/>
  <c r="M278" i="57" s="1"/>
  <c r="B439" i="57"/>
  <c r="M439" i="57" s="1"/>
  <c r="B504" i="57"/>
  <c r="M504" i="57" s="1"/>
  <c r="B639" i="57"/>
  <c r="M639" i="57" s="1"/>
  <c r="B788" i="57"/>
  <c r="M788" i="57" s="1"/>
  <c r="B714" i="57"/>
  <c r="M714" i="57" s="1"/>
  <c r="B672" i="57"/>
  <c r="M672" i="57" s="1"/>
  <c r="B218" i="57"/>
  <c r="M218" i="57" s="1"/>
  <c r="B41" i="57"/>
  <c r="M41" i="57" s="1"/>
  <c r="B795" i="57"/>
  <c r="M795" i="57" s="1"/>
  <c r="B200" i="57"/>
  <c r="M200" i="57" s="1"/>
  <c r="B94" i="57"/>
  <c r="M94" i="57" s="1"/>
  <c r="B808" i="57"/>
  <c r="M808" i="57" s="1"/>
  <c r="B83" i="57"/>
  <c r="M83" i="57" s="1"/>
  <c r="B441" i="57"/>
  <c r="M441" i="57" s="1"/>
  <c r="B632" i="57"/>
  <c r="M632" i="57" s="1"/>
  <c r="B750" i="57"/>
  <c r="M750" i="57" s="1"/>
  <c r="B697" i="57"/>
  <c r="M697" i="57" s="1"/>
  <c r="B502" i="57"/>
  <c r="M502" i="57" s="1"/>
  <c r="B608" i="57"/>
  <c r="M608" i="57" s="1"/>
  <c r="B336" i="57"/>
  <c r="M336" i="57" s="1"/>
  <c r="B350" i="57"/>
  <c r="M350" i="57" s="1"/>
  <c r="B50" i="57"/>
  <c r="M50" i="57" s="1"/>
  <c r="B60" i="57"/>
  <c r="M60" i="57" s="1"/>
  <c r="B140" i="57"/>
  <c r="M140" i="57" s="1"/>
  <c r="B173" i="57"/>
  <c r="M173" i="57" s="1"/>
  <c r="B316" i="57"/>
  <c r="M316" i="57" s="1"/>
  <c r="B135" i="57"/>
  <c r="M135" i="57" s="1"/>
  <c r="B49" i="57"/>
  <c r="M49" i="57" s="1"/>
  <c r="B755" i="57"/>
  <c r="M755" i="57" s="1"/>
  <c r="B693" i="57"/>
  <c r="M693" i="57" s="1"/>
  <c r="B564" i="57"/>
  <c r="M564" i="57" s="1"/>
  <c r="B30" i="57"/>
  <c r="M30" i="57" s="1"/>
  <c r="B114" i="57"/>
  <c r="M114" i="57" s="1"/>
  <c r="B447" i="57"/>
  <c r="M447" i="57" s="1"/>
  <c r="B148" i="57"/>
  <c r="M148" i="57" s="1"/>
  <c r="B801" i="57"/>
  <c r="M801" i="57" s="1"/>
  <c r="B409" i="57"/>
  <c r="M409" i="57" s="1"/>
  <c r="B600" i="57"/>
  <c r="M600" i="57" s="1"/>
  <c r="B708" i="57"/>
  <c r="M708" i="57" s="1"/>
  <c r="B169" i="57"/>
  <c r="M169" i="57" s="1"/>
  <c r="B817" i="57"/>
  <c r="M817" i="57" s="1"/>
  <c r="B768" i="57"/>
  <c r="M768" i="57" s="1"/>
  <c r="B462" i="57"/>
  <c r="M462" i="57" s="1"/>
  <c r="B48" i="57"/>
  <c r="M48" i="57" s="1"/>
  <c r="B359" i="57"/>
  <c r="M359" i="57" s="1"/>
  <c r="B58" i="57"/>
  <c r="M58" i="57" s="1"/>
  <c r="B287" i="57"/>
  <c r="M287" i="57" s="1"/>
  <c r="B496" i="57"/>
  <c r="M496" i="57" s="1"/>
  <c r="B246" i="57"/>
  <c r="M246" i="57" s="1"/>
  <c r="B436" i="57"/>
  <c r="M436" i="57" s="1"/>
  <c r="B319" i="57"/>
  <c r="M319" i="57" s="1"/>
  <c r="B627" i="57"/>
  <c r="M627" i="57" s="1"/>
  <c r="B404" i="57"/>
  <c r="M404" i="57" s="1"/>
  <c r="B172" i="57"/>
  <c r="M172" i="57" s="1"/>
  <c r="B643" i="57"/>
  <c r="M643" i="57" s="1"/>
  <c r="B273" i="57"/>
  <c r="M273" i="57" s="1"/>
  <c r="B819" i="57"/>
  <c r="M819" i="57" s="1"/>
  <c r="B804" i="57"/>
  <c r="M804" i="57" s="1"/>
  <c r="B583" i="57"/>
  <c r="M583" i="57" s="1"/>
  <c r="B419" i="57"/>
  <c r="M419" i="57" s="1"/>
  <c r="B291" i="57"/>
  <c r="M291" i="57" s="1"/>
  <c r="B284" i="57"/>
  <c r="M284" i="57" s="1"/>
  <c r="B421" i="57"/>
  <c r="M421" i="57" s="1"/>
  <c r="B29" i="57"/>
  <c r="M29" i="57" s="1"/>
  <c r="B171" i="57"/>
  <c r="M171" i="57" s="1"/>
  <c r="B823" i="57"/>
  <c r="M823" i="57" s="1"/>
  <c r="B766" i="57"/>
  <c r="M766" i="57" s="1"/>
  <c r="B147" i="57"/>
  <c r="M147" i="57" s="1"/>
  <c r="B101" i="57"/>
  <c r="M101" i="57" s="1"/>
  <c r="B559" i="57"/>
  <c r="M559" i="57" s="1"/>
  <c r="B410" i="57"/>
  <c r="M410" i="57" s="1"/>
  <c r="B253" i="57"/>
  <c r="M253" i="57" s="1"/>
  <c r="B657" i="57"/>
  <c r="M657" i="57" s="1"/>
  <c r="B12" i="57"/>
  <c r="M12" i="57" s="1"/>
  <c r="B28" i="57"/>
  <c r="M28" i="57" s="1"/>
  <c r="B683" i="57"/>
  <c r="M683" i="57" s="1"/>
  <c r="B640" i="57"/>
  <c r="M640" i="57" s="1"/>
  <c r="B753" i="57"/>
  <c r="M753" i="57" s="1"/>
  <c r="B660" i="57"/>
  <c r="M660" i="57" s="1"/>
  <c r="B109" i="57"/>
  <c r="M109" i="57" s="1"/>
  <c r="B384" i="57"/>
  <c r="M384" i="57" s="1"/>
  <c r="B145" i="57"/>
  <c r="M145" i="57" s="1"/>
  <c r="B70" i="57"/>
  <c r="M70" i="57" s="1"/>
  <c r="B153" i="57"/>
  <c r="M153" i="57" s="1"/>
  <c r="B387" i="57"/>
  <c r="M387" i="57" s="1"/>
  <c r="B479" i="57"/>
  <c r="M479" i="57" s="1"/>
  <c r="B299" i="57"/>
  <c r="M299" i="57" s="1"/>
  <c r="B302" i="57"/>
  <c r="M302" i="57" s="1"/>
  <c r="B687" i="57"/>
  <c r="M687" i="57" s="1"/>
  <c r="B812" i="57"/>
  <c r="M812" i="57" s="1"/>
  <c r="B729" i="57"/>
  <c r="M729" i="57" s="1"/>
  <c r="B256" i="57"/>
  <c r="M256" i="57" s="1"/>
  <c r="B217" i="57"/>
  <c r="M217" i="57" s="1"/>
  <c r="B702" i="57"/>
  <c r="M702" i="57" s="1"/>
  <c r="B22" i="57"/>
  <c r="M22" i="57" s="1"/>
  <c r="B706" i="57"/>
  <c r="M706" i="57" s="1"/>
  <c r="B10" i="57"/>
  <c r="M10" i="57" s="1"/>
  <c r="B519" i="57"/>
  <c r="M519" i="57" s="1"/>
  <c r="B382" i="57"/>
  <c r="M382" i="57" s="1"/>
  <c r="B512" i="57"/>
  <c r="M512" i="57" s="1"/>
  <c r="B233" i="57"/>
  <c r="M233" i="57" s="1"/>
  <c r="B532" i="57"/>
  <c r="M532" i="57" s="1"/>
  <c r="B765" i="57"/>
  <c r="M765" i="57" s="1"/>
  <c r="B375" i="57"/>
  <c r="M375" i="57" s="1"/>
  <c r="B816" i="57"/>
  <c r="M816" i="57" s="1"/>
  <c r="B521" i="57"/>
  <c r="M521" i="57" s="1"/>
  <c r="B711" i="57"/>
  <c r="M711" i="57" s="1"/>
  <c r="B285" i="57"/>
  <c r="M285" i="57" s="1"/>
  <c r="B19" i="57"/>
  <c r="M19" i="57" s="1"/>
  <c r="B143" i="57"/>
  <c r="M143" i="57" s="1"/>
  <c r="B79" i="57"/>
  <c r="M79" i="57" s="1"/>
  <c r="B229" i="57"/>
  <c r="M229" i="57" s="1"/>
  <c r="B758" i="57"/>
  <c r="M758" i="57" s="1"/>
  <c r="B827" i="57"/>
  <c r="M827" i="57" s="1"/>
  <c r="B802" i="57"/>
  <c r="M802" i="57" s="1"/>
  <c r="B235" i="57"/>
  <c r="M235" i="57" s="1"/>
  <c r="B794" i="57"/>
  <c r="M794" i="57" s="1"/>
  <c r="B472" i="57"/>
  <c r="M472" i="57" s="1"/>
  <c r="B422" i="57"/>
  <c r="M422" i="57" s="1"/>
  <c r="B352" i="57"/>
  <c r="M352" i="57" s="1"/>
  <c r="B228" i="57"/>
  <c r="M228" i="57" s="1"/>
  <c r="B368" i="57"/>
  <c r="M368" i="57" s="1"/>
  <c r="B36" i="57"/>
  <c r="M36" i="57" s="1"/>
  <c r="B642" i="57"/>
  <c r="M642" i="57" s="1"/>
  <c r="B166" i="57"/>
  <c r="M166" i="57" s="1"/>
  <c r="B718" i="57"/>
  <c r="M718" i="57" s="1"/>
  <c r="B455" i="57"/>
  <c r="M455" i="57" s="1"/>
  <c r="B168" i="57"/>
  <c r="M168" i="57" s="1"/>
  <c r="B739" i="57"/>
  <c r="M739" i="57" s="1"/>
  <c r="B45" i="57"/>
  <c r="M45" i="57" s="1"/>
  <c r="B399" i="57"/>
  <c r="M399" i="57" s="1"/>
  <c r="B378" i="57"/>
  <c r="M378" i="57" s="1"/>
  <c r="B487" i="57"/>
  <c r="M487" i="57" s="1"/>
  <c r="B376" i="57"/>
  <c r="M376" i="57" s="1"/>
  <c r="B214" i="57"/>
  <c r="M214" i="57" s="1"/>
  <c r="B822" i="57"/>
  <c r="M822" i="57" s="1"/>
  <c r="B388" i="57"/>
  <c r="M388" i="57" s="1"/>
  <c r="B700" i="57"/>
  <c r="M700" i="57" s="1"/>
  <c r="B492" i="57"/>
  <c r="M492" i="57" s="1"/>
  <c r="B620" i="57"/>
  <c r="M620" i="57" s="1"/>
  <c r="B13" i="57"/>
  <c r="M13" i="57" s="1"/>
  <c r="B69" i="57"/>
  <c r="M69" i="57" s="1"/>
  <c r="B586" i="57"/>
  <c r="M586" i="57" s="1"/>
  <c r="B494" i="57"/>
  <c r="M494" i="57" s="1"/>
  <c r="B744" i="57"/>
  <c r="M744" i="57" s="1"/>
  <c r="B824" i="57"/>
  <c r="M824" i="57" s="1"/>
  <c r="B499" i="57"/>
  <c r="M499" i="57" s="1"/>
  <c r="B665" i="57"/>
  <c r="M665" i="57" s="1"/>
  <c r="B715" i="57"/>
  <c r="M715" i="57" s="1"/>
  <c r="B307" i="57"/>
  <c r="M307" i="57" s="1"/>
  <c r="B309" i="57"/>
  <c r="M309" i="57" s="1"/>
  <c r="B565" i="57"/>
  <c r="M565" i="57" s="1"/>
  <c r="B451" i="57"/>
  <c r="M451" i="57" s="1"/>
  <c r="B213" i="57"/>
  <c r="M213" i="57" s="1"/>
  <c r="B14" i="57"/>
  <c r="M14" i="57" s="1"/>
  <c r="B165" i="57"/>
  <c r="M165" i="57" s="1"/>
  <c r="B733" i="57"/>
  <c r="M733" i="57" s="1"/>
  <c r="B265" i="57"/>
  <c r="M265" i="57" s="1"/>
  <c r="B545" i="57"/>
  <c r="M545" i="57" s="1"/>
  <c r="B806" i="57"/>
  <c r="M806" i="57" s="1"/>
  <c r="B814" i="57"/>
  <c r="M814" i="57" s="1"/>
  <c r="B792" i="57"/>
  <c r="M792" i="57" s="1"/>
  <c r="B790" i="57"/>
  <c r="M790" i="57" s="1"/>
  <c r="B800" i="57"/>
  <c r="M800" i="57" s="1"/>
  <c r="B828" i="57"/>
  <c r="M828" i="57" s="1"/>
  <c r="B803" i="57"/>
  <c r="M803" i="57" s="1"/>
  <c r="B783" i="57"/>
  <c r="M783" i="57" s="1"/>
  <c r="B811" i="57"/>
  <c r="M811" i="57" s="1"/>
  <c r="B779" i="57"/>
  <c r="M779" i="57" s="1"/>
  <c r="B826" i="57"/>
  <c r="M826" i="57" s="1"/>
  <c r="B815" i="57"/>
  <c r="M815" i="57" s="1"/>
  <c r="B793" i="57"/>
  <c r="M793" i="57" s="1"/>
  <c r="B821" i="57"/>
  <c r="M821" i="57" s="1"/>
  <c r="B798" i="57"/>
  <c r="M798" i="57" s="1"/>
  <c r="B818" i="57"/>
  <c r="M818" i="57" s="1"/>
  <c r="B805" i="57"/>
  <c r="M805" i="57" s="1"/>
  <c r="B785" i="57"/>
  <c r="M785" i="57" s="1"/>
  <c r="B813" i="57"/>
  <c r="M813" i="57" s="1"/>
  <c r="B791" i="57"/>
  <c r="M791" i="57" s="1"/>
  <c r="B830" i="57"/>
  <c r="M830" i="57" s="1"/>
  <c r="B789" i="57"/>
  <c r="M789" i="57" s="1"/>
  <c r="B787" i="57"/>
  <c r="M787" i="57" s="1"/>
  <c r="B799" i="57"/>
  <c r="M799" i="57" s="1"/>
  <c r="B780" i="57"/>
  <c r="M780" i="57" s="1"/>
  <c r="B786" i="57"/>
  <c r="M786" i="57" s="1"/>
  <c r="B825" i="57"/>
  <c r="M825" i="57" s="1"/>
  <c r="B820" i="57"/>
  <c r="M820" i="57" s="1"/>
  <c r="B809" i="57"/>
  <c r="M809" i="57" s="1"/>
  <c r="B829" i="57"/>
  <c r="M829" i="57" s="1"/>
  <c r="B797" i="57"/>
  <c r="M797" i="57" s="1"/>
  <c r="B781" i="57"/>
  <c r="M781" i="57" s="1"/>
  <c r="B810" i="57"/>
  <c r="M810" i="57" s="1"/>
  <c r="B736" i="57"/>
  <c r="M736" i="57" s="1"/>
  <c r="B764" i="57"/>
  <c r="M764" i="57" s="1"/>
  <c r="B756" i="57"/>
  <c r="M756" i="57" s="1"/>
  <c r="B737" i="57"/>
  <c r="M737" i="57" s="1"/>
  <c r="B777" i="57"/>
  <c r="M777" i="57" s="1"/>
  <c r="B767" i="57"/>
  <c r="M767" i="57" s="1"/>
  <c r="B757" i="57"/>
  <c r="M757" i="57" s="1"/>
  <c r="B769" i="57"/>
  <c r="M769" i="57" s="1"/>
  <c r="B776" i="57"/>
  <c r="M776" i="57" s="1"/>
  <c r="B759" i="57"/>
  <c r="M759" i="57" s="1"/>
  <c r="B745" i="57"/>
  <c r="M745" i="57" s="1"/>
  <c r="B746" i="57"/>
  <c r="M746" i="57" s="1"/>
  <c r="B775" i="57"/>
  <c r="M775" i="57" s="1"/>
  <c r="B738" i="57"/>
  <c r="M738" i="57" s="1"/>
  <c r="B761" i="57"/>
  <c r="M761" i="57" s="1"/>
  <c r="B773" i="57"/>
  <c r="M773" i="57" s="1"/>
  <c r="B770" i="57"/>
  <c r="M770" i="57" s="1"/>
  <c r="B771" i="57"/>
  <c r="M771" i="57" s="1"/>
  <c r="B760" i="57"/>
  <c r="M760" i="57" s="1"/>
  <c r="B743" i="57"/>
  <c r="M743" i="57" s="1"/>
  <c r="B740" i="57"/>
  <c r="M740" i="57" s="1"/>
  <c r="B752" i="57"/>
  <c r="M752" i="57" s="1"/>
  <c r="B762" i="57"/>
  <c r="M762" i="57" s="1"/>
  <c r="B749" i="57"/>
  <c r="M749" i="57" s="1"/>
  <c r="B747" i="57"/>
  <c r="M747" i="57" s="1"/>
  <c r="B742" i="57"/>
  <c r="M742" i="57" s="1"/>
  <c r="B748" i="57"/>
  <c r="M748" i="57" s="1"/>
  <c r="B772" i="57"/>
  <c r="M772" i="57" s="1"/>
  <c r="B763" i="57"/>
  <c r="M763" i="57" s="1"/>
  <c r="B741" i="57"/>
  <c r="M741" i="57" s="1"/>
  <c r="B751" i="57"/>
  <c r="M751" i="57" s="1"/>
  <c r="B728" i="57"/>
  <c r="M728" i="57" s="1"/>
  <c r="B732" i="57"/>
  <c r="M732" i="57" s="1"/>
  <c r="B730" i="57"/>
  <c r="M730" i="57" s="1"/>
  <c r="B734" i="57"/>
  <c r="M734" i="57" s="1"/>
  <c r="B735" i="57"/>
  <c r="M735" i="57" s="1"/>
  <c r="B731" i="57"/>
  <c r="M731" i="57" s="1"/>
  <c r="B723" i="57"/>
  <c r="M723" i="57" s="1"/>
  <c r="B722" i="57"/>
  <c r="M722" i="57" s="1"/>
  <c r="B721" i="57"/>
  <c r="M721" i="57" s="1"/>
  <c r="B726" i="57"/>
  <c r="M726" i="57" s="1"/>
  <c r="B720" i="57"/>
  <c r="M720" i="57" s="1"/>
  <c r="B727" i="57"/>
  <c r="M727" i="57" s="1"/>
  <c r="B719" i="57"/>
  <c r="M719" i="57" s="1"/>
  <c r="B724" i="57"/>
  <c r="M724" i="57" s="1"/>
  <c r="B725" i="57"/>
  <c r="M725" i="57" s="1"/>
  <c r="B713" i="57"/>
  <c r="M713" i="57" s="1"/>
  <c r="B716" i="57"/>
  <c r="M716" i="57" s="1"/>
  <c r="B704" i="57"/>
  <c r="M704" i="57" s="1"/>
  <c r="B671" i="57"/>
  <c r="M671" i="57" s="1"/>
  <c r="B689" i="57"/>
  <c r="M689" i="57" s="1"/>
  <c r="B679" i="57"/>
  <c r="M679" i="57" s="1"/>
  <c r="B680" i="57"/>
  <c r="M680" i="57" s="1"/>
  <c r="B701" i="57"/>
  <c r="M701" i="57" s="1"/>
  <c r="B686" i="57"/>
  <c r="M686" i="57" s="1"/>
  <c r="B703" i="57"/>
  <c r="M703" i="57" s="1"/>
  <c r="B688" i="57"/>
  <c r="M688" i="57" s="1"/>
  <c r="B691" i="57"/>
  <c r="M691" i="57" s="1"/>
  <c r="B682" i="57"/>
  <c r="M682" i="57" s="1"/>
  <c r="B705" i="57"/>
  <c r="M705" i="57" s="1"/>
  <c r="B678" i="57"/>
  <c r="M678" i="57" s="1"/>
  <c r="B692" i="57"/>
  <c r="M692" i="57" s="1"/>
  <c r="B673" i="57"/>
  <c r="M673" i="57" s="1"/>
  <c r="B675" i="57"/>
  <c r="M675" i="57" s="1"/>
  <c r="B684" i="57"/>
  <c r="M684" i="57" s="1"/>
  <c r="B698" i="57"/>
  <c r="M698" i="57" s="1"/>
  <c r="B676" i="57"/>
  <c r="M676" i="57" s="1"/>
  <c r="B685" i="57"/>
  <c r="M685" i="57" s="1"/>
  <c r="B681" i="57"/>
  <c r="M681" i="57" s="1"/>
  <c r="B677" i="57"/>
  <c r="M677" i="57" s="1"/>
  <c r="B695" i="57"/>
  <c r="M695" i="57" s="1"/>
  <c r="B699" i="57"/>
  <c r="M699" i="57" s="1"/>
  <c r="B709" i="57"/>
  <c r="M709" i="57" s="1"/>
  <c r="B690" i="57"/>
  <c r="M690" i="57" s="1"/>
  <c r="B710" i="57"/>
  <c r="M710" i="57" s="1"/>
  <c r="B712" i="57"/>
  <c r="M712" i="57" s="1"/>
  <c r="B668" i="57"/>
  <c r="M668" i="57" s="1"/>
  <c r="B653" i="57"/>
  <c r="M653" i="57" s="1"/>
  <c r="B670" i="57"/>
  <c r="M670" i="57" s="1"/>
  <c r="B655" i="57"/>
  <c r="M655" i="57" s="1"/>
  <c r="B647" i="57"/>
  <c r="M647" i="57" s="1"/>
  <c r="B646" i="57"/>
  <c r="M646" i="57" s="1"/>
  <c r="B669" i="57"/>
  <c r="M669" i="57" s="1"/>
  <c r="B654" i="57"/>
  <c r="M654" i="57" s="1"/>
  <c r="B648" i="57"/>
  <c r="M648" i="57" s="1"/>
  <c r="B663" i="57"/>
  <c r="M663" i="57" s="1"/>
  <c r="B650" i="57"/>
  <c r="M650" i="57" s="1"/>
  <c r="B652" i="57"/>
  <c r="M652" i="57" s="1"/>
  <c r="B656" i="57"/>
  <c r="M656" i="57" s="1"/>
  <c r="B662" i="57"/>
  <c r="M662" i="57" s="1"/>
  <c r="B664" i="57"/>
  <c r="M664" i="57" s="1"/>
  <c r="B649" i="57"/>
  <c r="M649" i="57" s="1"/>
  <c r="B659" i="57"/>
  <c r="M659" i="57" s="1"/>
  <c r="B651" i="57"/>
  <c r="M651" i="57" s="1"/>
  <c r="B629" i="57"/>
  <c r="M629" i="57" s="1"/>
  <c r="B611" i="57"/>
  <c r="M611" i="57" s="1"/>
  <c r="B618" i="57"/>
  <c r="M618" i="57" s="1"/>
  <c r="B641" i="57"/>
  <c r="M641" i="57" s="1"/>
  <c r="B644" i="57"/>
  <c r="M644" i="57" s="1"/>
  <c r="B638" i="57"/>
  <c r="M638" i="57" s="1"/>
  <c r="B630" i="57"/>
  <c r="M630" i="57" s="1"/>
  <c r="B628" i="57"/>
  <c r="M628" i="57" s="1"/>
  <c r="B621" i="57"/>
  <c r="M621" i="57" s="1"/>
  <c r="B617" i="57"/>
  <c r="M617" i="57" s="1"/>
  <c r="B613" i="57"/>
  <c r="M613" i="57" s="1"/>
  <c r="B637" i="57"/>
  <c r="M637" i="57" s="1"/>
  <c r="B622" i="57"/>
  <c r="M622" i="57" s="1"/>
  <c r="B645" i="57"/>
  <c r="M645" i="57" s="1"/>
  <c r="B624" i="57"/>
  <c r="M624" i="57" s="1"/>
  <c r="B616" i="57"/>
  <c r="M616" i="57" s="1"/>
  <c r="B635" i="57"/>
  <c r="M635" i="57" s="1"/>
  <c r="B615" i="57"/>
  <c r="M615" i="57" s="1"/>
  <c r="B626" i="57"/>
  <c r="M626" i="57" s="1"/>
  <c r="B625" i="57"/>
  <c r="M625" i="57" s="1"/>
  <c r="B612" i="57"/>
  <c r="M612" i="57" s="1"/>
  <c r="B636" i="57"/>
  <c r="M636" i="57" s="1"/>
  <c r="B631" i="57"/>
  <c r="M631" i="57" s="1"/>
  <c r="B614" i="57"/>
  <c r="M614" i="57" s="1"/>
  <c r="B633" i="57"/>
  <c r="M633" i="57" s="1"/>
  <c r="B607" i="57"/>
  <c r="M607" i="57" s="1"/>
  <c r="B601" i="57"/>
  <c r="M601" i="57" s="1"/>
  <c r="B606" i="57"/>
  <c r="M606" i="57" s="1"/>
  <c r="B599" i="57"/>
  <c r="M599" i="57" s="1"/>
  <c r="B602" i="57"/>
  <c r="M602" i="57" s="1"/>
  <c r="B604" i="57"/>
  <c r="M604" i="57" s="1"/>
  <c r="B603" i="57"/>
  <c r="M603" i="57" s="1"/>
  <c r="B605" i="57"/>
  <c r="M605" i="57" s="1"/>
  <c r="B597" i="57"/>
  <c r="M597" i="57" s="1"/>
  <c r="B585" i="57"/>
  <c r="M585" i="57" s="1"/>
  <c r="B594" i="57"/>
  <c r="M594" i="57" s="1"/>
  <c r="B595" i="57"/>
  <c r="M595" i="57" s="1"/>
  <c r="B584" i="57"/>
  <c r="M584" i="57" s="1"/>
  <c r="B598" i="57"/>
  <c r="M598" i="57" s="1"/>
  <c r="B591" i="57"/>
  <c r="M591" i="57" s="1"/>
  <c r="B589" i="57"/>
  <c r="M589" i="57" s="1"/>
  <c r="B592" i="57"/>
  <c r="M592" i="57" s="1"/>
  <c r="B588" i="57"/>
  <c r="M588" i="57" s="1"/>
  <c r="B590" i="57"/>
  <c r="M590" i="57" s="1"/>
  <c r="B582" i="57"/>
  <c r="M582" i="57" s="1"/>
  <c r="B581" i="57"/>
  <c r="M581" i="57" s="1"/>
  <c r="B573" i="57"/>
  <c r="M573" i="57" s="1"/>
  <c r="B578" i="57"/>
  <c r="M578" i="57" s="1"/>
  <c r="B575" i="57"/>
  <c r="M575" i="57" s="1"/>
  <c r="B574" i="57"/>
  <c r="M574" i="57" s="1"/>
  <c r="B576" i="57"/>
  <c r="M576" i="57" s="1"/>
  <c r="B580" i="57"/>
  <c r="M580" i="57" s="1"/>
  <c r="B556" i="57"/>
  <c r="M556" i="57" s="1"/>
  <c r="B571" i="57"/>
  <c r="M571" i="57" s="1"/>
  <c r="B566" i="57"/>
  <c r="M566" i="57" s="1"/>
  <c r="B560" i="57"/>
  <c r="M560" i="57" s="1"/>
  <c r="B553" i="57"/>
  <c r="M553" i="57" s="1"/>
  <c r="B561" i="57"/>
  <c r="M561" i="57" s="1"/>
  <c r="B568" i="57"/>
  <c r="M568" i="57" s="1"/>
  <c r="B570" i="57"/>
  <c r="M570" i="57" s="1"/>
  <c r="B557" i="57"/>
  <c r="M557" i="57" s="1"/>
  <c r="B569" i="57"/>
  <c r="M569" i="57" s="1"/>
  <c r="B558" i="57"/>
  <c r="M558" i="57" s="1"/>
  <c r="B555" i="57"/>
  <c r="M555" i="57" s="1"/>
  <c r="B563" i="57"/>
  <c r="M563" i="57" s="1"/>
  <c r="B562" i="57"/>
  <c r="M562" i="57" s="1"/>
  <c r="B572" i="57"/>
  <c r="M572" i="57" s="1"/>
  <c r="B554" i="57"/>
  <c r="M554" i="57" s="1"/>
  <c r="B550" i="57"/>
  <c r="M550" i="57" s="1"/>
  <c r="B549" i="57"/>
  <c r="M549" i="57" s="1"/>
  <c r="B548" i="57"/>
  <c r="M548" i="57" s="1"/>
  <c r="B547" i="57"/>
  <c r="M547" i="57" s="1"/>
  <c r="B544" i="57"/>
  <c r="M544" i="57" s="1"/>
  <c r="B543" i="57"/>
  <c r="M543" i="57" s="1"/>
  <c r="B542" i="57"/>
  <c r="M542" i="57" s="1"/>
  <c r="B552" i="57"/>
  <c r="M552" i="57" s="1"/>
  <c r="B529" i="57"/>
  <c r="M529" i="57" s="1"/>
  <c r="B535" i="57"/>
  <c r="M535" i="57" s="1"/>
  <c r="B536" i="57"/>
  <c r="M536" i="57" s="1"/>
  <c r="B539" i="57"/>
  <c r="M539" i="57" s="1"/>
  <c r="B538" i="57"/>
  <c r="M538" i="57" s="1"/>
  <c r="B530" i="57"/>
  <c r="M530" i="57" s="1"/>
  <c r="B540" i="57"/>
  <c r="M540" i="57" s="1"/>
  <c r="B533" i="57"/>
  <c r="M533" i="57" s="1"/>
  <c r="B537" i="57"/>
  <c r="M537" i="57" s="1"/>
  <c r="B531" i="57"/>
  <c r="M531" i="57" s="1"/>
  <c r="B534" i="57"/>
  <c r="M534" i="57" s="1"/>
  <c r="B522" i="57"/>
  <c r="M522" i="57" s="1"/>
  <c r="B514" i="57"/>
  <c r="M514" i="57" s="1"/>
  <c r="B528" i="57"/>
  <c r="M528" i="57" s="1"/>
  <c r="B525" i="57"/>
  <c r="M525" i="57" s="1"/>
  <c r="B523" i="57"/>
  <c r="M523" i="57" s="1"/>
  <c r="B517" i="57"/>
  <c r="M517" i="57" s="1"/>
  <c r="B513" i="57"/>
  <c r="M513" i="57" s="1"/>
  <c r="B527" i="57"/>
  <c r="M527" i="57" s="1"/>
  <c r="B515" i="57"/>
  <c r="M515" i="57" s="1"/>
  <c r="B516" i="57"/>
  <c r="M516" i="57" s="1"/>
  <c r="B518" i="57"/>
  <c r="M518" i="57" s="1"/>
  <c r="B526" i="57"/>
  <c r="M526" i="57" s="1"/>
  <c r="B520" i="57"/>
  <c r="M520" i="57" s="1"/>
  <c r="B524" i="57"/>
  <c r="M524" i="57" s="1"/>
  <c r="B490" i="57"/>
  <c r="M490" i="57" s="1"/>
  <c r="B493" i="57"/>
  <c r="M493" i="57" s="1"/>
  <c r="B506" i="57"/>
  <c r="M506" i="57" s="1"/>
  <c r="B503" i="57"/>
  <c r="M503" i="57" s="1"/>
  <c r="B505" i="57"/>
  <c r="M505" i="57" s="1"/>
  <c r="B508" i="57"/>
  <c r="M508" i="57" s="1"/>
  <c r="B501" i="57"/>
  <c r="M501" i="57" s="1"/>
  <c r="B509" i="57"/>
  <c r="M509" i="57" s="1"/>
  <c r="B511" i="57"/>
  <c r="M511" i="57" s="1"/>
  <c r="B500" i="57"/>
  <c r="M500" i="57" s="1"/>
  <c r="B497" i="57"/>
  <c r="M497" i="57" s="1"/>
  <c r="B507" i="57"/>
  <c r="M507" i="57" s="1"/>
  <c r="B495" i="57"/>
  <c r="M495" i="57" s="1"/>
  <c r="B498" i="57"/>
  <c r="M498" i="57" s="1"/>
  <c r="B452" i="57"/>
  <c r="M452" i="57" s="1"/>
  <c r="B453" i="57"/>
  <c r="M453" i="57" s="1"/>
  <c r="B414" i="57"/>
  <c r="M414" i="57" s="1"/>
  <c r="B488" i="57"/>
  <c r="M488" i="57" s="1"/>
  <c r="B425" i="57"/>
  <c r="M425" i="57" s="1"/>
  <c r="B448" i="57"/>
  <c r="M448" i="57" s="1"/>
  <c r="B434" i="57"/>
  <c r="M434" i="57" s="1"/>
  <c r="B484" i="57"/>
  <c r="M484" i="57" s="1"/>
  <c r="B440" i="57"/>
  <c r="M440" i="57" s="1"/>
  <c r="B461" i="57"/>
  <c r="M461" i="57" s="1"/>
  <c r="B478" i="57"/>
  <c r="M478" i="57" s="1"/>
  <c r="B420" i="57"/>
  <c r="M420" i="57" s="1"/>
  <c r="B468" i="57"/>
  <c r="M468" i="57" s="1"/>
  <c r="B438" i="57"/>
  <c r="M438" i="57" s="1"/>
  <c r="B489" i="57"/>
  <c r="M489" i="57" s="1"/>
  <c r="B426" i="57"/>
  <c r="M426" i="57" s="1"/>
  <c r="B476" i="57"/>
  <c r="M476" i="57" s="1"/>
  <c r="B467" i="57"/>
  <c r="M467" i="57" s="1"/>
  <c r="B407" i="57"/>
  <c r="M407" i="57" s="1"/>
  <c r="B480" i="57"/>
  <c r="M480" i="57" s="1"/>
  <c r="B463" i="57"/>
  <c r="M463" i="57" s="1"/>
  <c r="B458" i="57"/>
  <c r="M458" i="57" s="1"/>
  <c r="B443" i="57"/>
  <c r="M443" i="57" s="1"/>
  <c r="B469" i="57"/>
  <c r="M469" i="57" s="1"/>
  <c r="B408" i="57"/>
  <c r="M408" i="57" s="1"/>
  <c r="B483" i="57"/>
  <c r="M483" i="57" s="1"/>
  <c r="B444" i="57"/>
  <c r="M444" i="57" s="1"/>
  <c r="B454" i="57"/>
  <c r="M454" i="57" s="1"/>
  <c r="B428" i="57"/>
  <c r="M428" i="57" s="1"/>
  <c r="B459" i="57"/>
  <c r="M459" i="57" s="1"/>
  <c r="B466" i="57"/>
  <c r="M466" i="57" s="1"/>
  <c r="B431" i="57"/>
  <c r="M431" i="57" s="1"/>
  <c r="B442" i="57"/>
  <c r="M442" i="57" s="1"/>
  <c r="B446" i="57"/>
  <c r="M446" i="57" s="1"/>
  <c r="B450" i="57"/>
  <c r="M450" i="57" s="1"/>
  <c r="B427" i="57"/>
  <c r="M427" i="57" s="1"/>
  <c r="B477" i="57"/>
  <c r="M477" i="57" s="1"/>
  <c r="B433" i="57"/>
  <c r="M433" i="57" s="1"/>
  <c r="B429" i="57"/>
  <c r="M429" i="57" s="1"/>
  <c r="B435" i="57"/>
  <c r="M435" i="57" s="1"/>
  <c r="B465" i="57"/>
  <c r="M465" i="57" s="1"/>
  <c r="B445" i="57"/>
  <c r="M445" i="57" s="1"/>
  <c r="B482" i="57"/>
  <c r="M482" i="57" s="1"/>
  <c r="B415" i="57"/>
  <c r="M415" i="57" s="1"/>
  <c r="B423" i="57"/>
  <c r="M423" i="57" s="1"/>
  <c r="B437" i="57"/>
  <c r="M437" i="57" s="1"/>
  <c r="B411" i="57"/>
  <c r="M411" i="57" s="1"/>
  <c r="B473" i="57"/>
  <c r="M473" i="57" s="1"/>
  <c r="B430" i="57"/>
  <c r="M430" i="57" s="1"/>
  <c r="B485" i="57"/>
  <c r="M485" i="57" s="1"/>
  <c r="B417" i="57"/>
  <c r="M417" i="57" s="1"/>
  <c r="B470" i="57"/>
  <c r="M470" i="57" s="1"/>
  <c r="B416" i="57"/>
  <c r="M416" i="57" s="1"/>
  <c r="B424" i="57"/>
  <c r="M424" i="57" s="1"/>
  <c r="B486" i="57"/>
  <c r="M486" i="57" s="1"/>
  <c r="B456" i="57"/>
  <c r="M456" i="57" s="1"/>
  <c r="B464" i="57"/>
  <c r="M464" i="57" s="1"/>
  <c r="B449" i="57"/>
  <c r="M449" i="57" s="1"/>
  <c r="B413" i="57"/>
  <c r="M413" i="57" s="1"/>
  <c r="B432" i="57"/>
  <c r="M432" i="57" s="1"/>
  <c r="B418" i="57"/>
  <c r="M418" i="57" s="1"/>
  <c r="B412" i="57"/>
  <c r="M412" i="57" s="1"/>
  <c r="B457" i="57"/>
  <c r="M457" i="57" s="1"/>
  <c r="B460" i="57"/>
  <c r="M460" i="57" s="1"/>
  <c r="B474" i="57"/>
  <c r="M474" i="57" s="1"/>
  <c r="B481" i="57"/>
  <c r="M481" i="57" s="1"/>
  <c r="B405" i="57"/>
  <c r="M405" i="57" s="1"/>
  <c r="B394" i="57"/>
  <c r="M394" i="57" s="1"/>
  <c r="B396" i="57"/>
  <c r="M396" i="57" s="1"/>
  <c r="B403" i="57"/>
  <c r="M403" i="57" s="1"/>
  <c r="B402" i="57"/>
  <c r="M402" i="57" s="1"/>
  <c r="B395" i="57"/>
  <c r="M395" i="57" s="1"/>
  <c r="B400" i="57"/>
  <c r="M400" i="57" s="1"/>
  <c r="B406" i="57"/>
  <c r="M406" i="57" s="1"/>
  <c r="B401" i="57"/>
  <c r="M401" i="57" s="1"/>
  <c r="B397" i="57"/>
  <c r="M397" i="57" s="1"/>
  <c r="B393" i="57"/>
  <c r="M393" i="57" s="1"/>
  <c r="B385" i="57"/>
  <c r="M385" i="57" s="1"/>
  <c r="B383" i="57"/>
  <c r="M383" i="57" s="1"/>
  <c r="B392" i="57"/>
  <c r="M392" i="57" s="1"/>
  <c r="B386" i="57"/>
  <c r="M386" i="57" s="1"/>
  <c r="B389" i="57"/>
  <c r="M389" i="57" s="1"/>
  <c r="B390" i="57"/>
  <c r="M390" i="57" s="1"/>
  <c r="B391" i="57"/>
  <c r="M391" i="57" s="1"/>
  <c r="B381" i="57"/>
  <c r="M381" i="57" s="1"/>
  <c r="B363" i="57"/>
  <c r="M363" i="57" s="1"/>
  <c r="B372" i="57"/>
  <c r="M372" i="57" s="1"/>
  <c r="B380" i="57"/>
  <c r="M380" i="57" s="1"/>
  <c r="B364" i="57"/>
  <c r="M364" i="57" s="1"/>
  <c r="B345" i="57"/>
  <c r="M345" i="57" s="1"/>
  <c r="B371" i="57"/>
  <c r="M371" i="57" s="1"/>
  <c r="B355" i="57"/>
  <c r="M355" i="57" s="1"/>
  <c r="B353" i="57"/>
  <c r="M353" i="57" s="1"/>
  <c r="B346" i="57"/>
  <c r="M346" i="57" s="1"/>
  <c r="B370" i="57"/>
  <c r="M370" i="57" s="1"/>
  <c r="B354" i="57"/>
  <c r="M354" i="57" s="1"/>
  <c r="B361" i="57"/>
  <c r="M361" i="57" s="1"/>
  <c r="B360" i="57"/>
  <c r="M360" i="57" s="1"/>
  <c r="B347" i="57"/>
  <c r="M347" i="57" s="1"/>
  <c r="B348" i="57"/>
  <c r="M348" i="57" s="1"/>
  <c r="B374" i="57"/>
  <c r="M374" i="57" s="1"/>
  <c r="B369" i="57"/>
  <c r="M369" i="57" s="1"/>
  <c r="B367" i="57"/>
  <c r="M367" i="57" s="1"/>
  <c r="B357" i="57"/>
  <c r="M357" i="57" s="1"/>
  <c r="B356" i="57"/>
  <c r="M356" i="57" s="1"/>
  <c r="B351" i="57"/>
  <c r="M351" i="57" s="1"/>
  <c r="B349" i="57"/>
  <c r="M349" i="57" s="1"/>
  <c r="B377" i="57"/>
  <c r="M377" i="57" s="1"/>
  <c r="B379" i="57"/>
  <c r="M379" i="57" s="1"/>
  <c r="B365" i="57"/>
  <c r="M365" i="57" s="1"/>
  <c r="B366" i="57"/>
  <c r="M366" i="57" s="1"/>
  <c r="B373" i="57"/>
  <c r="M373" i="57" s="1"/>
  <c r="B358" i="57"/>
  <c r="M358" i="57" s="1"/>
  <c r="B344" i="57"/>
  <c r="M344" i="57" s="1"/>
  <c r="B335" i="57"/>
  <c r="M335" i="57" s="1"/>
  <c r="B343" i="57"/>
  <c r="M343" i="57" s="1"/>
  <c r="B334" i="57"/>
  <c r="M334" i="57" s="1"/>
  <c r="B342" i="57"/>
  <c r="M342" i="57" s="1"/>
  <c r="B338" i="57"/>
  <c r="M338" i="57" s="1"/>
  <c r="B340" i="57"/>
  <c r="M340" i="57" s="1"/>
  <c r="B339" i="57"/>
  <c r="M339" i="57" s="1"/>
  <c r="B341" i="57"/>
  <c r="M341" i="57" s="1"/>
  <c r="B337" i="57"/>
  <c r="M337" i="57" s="1"/>
  <c r="B322" i="57"/>
  <c r="M322" i="57" s="1"/>
  <c r="B318" i="57"/>
  <c r="M318" i="57" s="1"/>
  <c r="B333" i="57"/>
  <c r="M333" i="57" s="1"/>
  <c r="B317" i="57"/>
  <c r="M317" i="57" s="1"/>
  <c r="B327" i="57"/>
  <c r="M327" i="57" s="1"/>
  <c r="B329" i="57"/>
  <c r="M329" i="57" s="1"/>
  <c r="B326" i="57"/>
  <c r="M326" i="57" s="1"/>
  <c r="B320" i="57"/>
  <c r="M320" i="57" s="1"/>
  <c r="B315" i="57"/>
  <c r="M315" i="57" s="1"/>
  <c r="B325" i="57"/>
  <c r="M325" i="57" s="1"/>
  <c r="B328" i="57"/>
  <c r="M328" i="57" s="1"/>
  <c r="B324" i="57"/>
  <c r="M324" i="57" s="1"/>
  <c r="B332" i="57"/>
  <c r="M332" i="57" s="1"/>
  <c r="B323" i="57"/>
  <c r="M323" i="57" s="1"/>
  <c r="B331" i="57"/>
  <c r="M331" i="57" s="1"/>
  <c r="B313" i="57"/>
  <c r="M313" i="57" s="1"/>
  <c r="B312" i="57"/>
  <c r="M312" i="57" s="1"/>
  <c r="B314" i="57"/>
  <c r="M314" i="57" s="1"/>
  <c r="B311" i="57"/>
  <c r="M311" i="57" s="1"/>
  <c r="B310" i="57"/>
  <c r="M310" i="57" s="1"/>
  <c r="B305" i="57"/>
  <c r="M305" i="57" s="1"/>
  <c r="B304" i="57"/>
  <c r="M304" i="57" s="1"/>
  <c r="B306" i="57"/>
  <c r="M306" i="57" s="1"/>
  <c r="B303" i="57"/>
  <c r="M303" i="57" s="1"/>
  <c r="B301" i="57"/>
  <c r="M301" i="57" s="1"/>
  <c r="B300" i="57"/>
  <c r="M300" i="57" s="1"/>
  <c r="B297" i="57"/>
  <c r="M297" i="57" s="1"/>
  <c r="B298" i="57"/>
  <c r="M298" i="57" s="1"/>
  <c r="B296" i="57"/>
  <c r="M296" i="57" s="1"/>
  <c r="B295" i="57"/>
  <c r="M295" i="57" s="1"/>
  <c r="B277" i="57"/>
  <c r="M277" i="57" s="1"/>
  <c r="B288" i="57"/>
  <c r="M288" i="57" s="1"/>
  <c r="B276" i="57"/>
  <c r="M276" i="57" s="1"/>
  <c r="B286" i="57"/>
  <c r="M286" i="57" s="1"/>
  <c r="B275" i="57"/>
  <c r="M275" i="57" s="1"/>
  <c r="B290" i="57"/>
  <c r="M290" i="57" s="1"/>
  <c r="B289" i="57"/>
  <c r="M289" i="57" s="1"/>
  <c r="B281" i="57"/>
  <c r="M281" i="57" s="1"/>
  <c r="B280" i="57"/>
  <c r="M280" i="57" s="1"/>
  <c r="B292" i="57"/>
  <c r="M292" i="57" s="1"/>
  <c r="B279" i="57"/>
  <c r="M279" i="57" s="1"/>
  <c r="B294" i="57"/>
  <c r="M294" i="57" s="1"/>
  <c r="B282" i="57"/>
  <c r="M282" i="57" s="1"/>
  <c r="B270" i="57"/>
  <c r="M270" i="57" s="1"/>
  <c r="B267" i="57"/>
  <c r="M267" i="57" s="1"/>
  <c r="B268" i="57"/>
  <c r="M268" i="57" s="1"/>
  <c r="B259" i="57"/>
  <c r="M259" i="57" s="1"/>
  <c r="B257" i="57"/>
  <c r="M257" i="57" s="1"/>
  <c r="B269" i="57"/>
  <c r="M269" i="57" s="1"/>
  <c r="B248" i="57"/>
  <c r="M248" i="57" s="1"/>
  <c r="B271" i="57"/>
  <c r="M271" i="57" s="1"/>
  <c r="B258" i="57"/>
  <c r="M258" i="57" s="1"/>
  <c r="B254" i="57"/>
  <c r="M254" i="57" s="1"/>
  <c r="B260" i="57"/>
  <c r="M260" i="57" s="1"/>
  <c r="B249" i="57"/>
  <c r="M249" i="57" s="1"/>
  <c r="B264" i="57"/>
  <c r="M264" i="57" s="1"/>
  <c r="B274" i="57"/>
  <c r="M274" i="57" s="1"/>
  <c r="B251" i="57"/>
  <c r="M251" i="57" s="1"/>
  <c r="B262" i="57"/>
  <c r="M262" i="57" s="1"/>
  <c r="B250" i="57"/>
  <c r="M250" i="57" s="1"/>
  <c r="B252" i="57"/>
  <c r="M252" i="57" s="1"/>
  <c r="B272" i="57"/>
  <c r="M272" i="57" s="1"/>
  <c r="B261" i="57"/>
  <c r="M261" i="57" s="1"/>
  <c r="B263" i="57"/>
  <c r="M263" i="57" s="1"/>
  <c r="B247" i="57"/>
  <c r="M247" i="57" s="1"/>
  <c r="B244" i="57"/>
  <c r="M244" i="57" s="1"/>
  <c r="B245" i="57"/>
  <c r="M245" i="57" s="1"/>
  <c r="B241" i="57"/>
  <c r="M241" i="57" s="1"/>
  <c r="B240" i="57"/>
  <c r="M240" i="57" s="1"/>
  <c r="B243" i="57"/>
  <c r="M243" i="57" s="1"/>
  <c r="B242" i="57"/>
  <c r="M242" i="57" s="1"/>
  <c r="B137" i="57"/>
  <c r="M137" i="57" s="1"/>
  <c r="B191" i="57"/>
  <c r="M191" i="57" s="1"/>
  <c r="B183" i="57"/>
  <c r="M183" i="57" s="1"/>
  <c r="B219" i="57"/>
  <c r="M219" i="57" s="1"/>
  <c r="B162" i="57"/>
  <c r="M162" i="57" s="1"/>
  <c r="B199" i="57"/>
  <c r="M199" i="57" s="1"/>
  <c r="B175" i="57"/>
  <c r="M175" i="57" s="1"/>
  <c r="B232" i="57"/>
  <c r="M232" i="57" s="1"/>
  <c r="B161" i="57"/>
  <c r="M161" i="57" s="1"/>
  <c r="B139" i="57"/>
  <c r="M139" i="57" s="1"/>
  <c r="B231" i="57"/>
  <c r="M231" i="57" s="1"/>
  <c r="B190" i="57"/>
  <c r="M190" i="57" s="1"/>
  <c r="B224" i="57"/>
  <c r="M224" i="57" s="1"/>
  <c r="B151" i="57"/>
  <c r="M151" i="57" s="1"/>
  <c r="B189" i="57"/>
  <c r="M189" i="57" s="1"/>
  <c r="B160" i="57"/>
  <c r="M160" i="57" s="1"/>
  <c r="B216" i="57"/>
  <c r="M216" i="57" s="1"/>
  <c r="B138" i="57"/>
  <c r="M138" i="57" s="1"/>
  <c r="B152" i="57"/>
  <c r="M152" i="57" s="1"/>
  <c r="B234" i="57"/>
  <c r="M234" i="57" s="1"/>
  <c r="B208" i="57"/>
  <c r="M208" i="57" s="1"/>
  <c r="B225" i="57"/>
  <c r="M225" i="57" s="1"/>
  <c r="B207" i="57"/>
  <c r="M207" i="57" s="1"/>
  <c r="B206" i="57"/>
  <c r="M206" i="57" s="1"/>
  <c r="B176" i="57"/>
  <c r="M176" i="57" s="1"/>
  <c r="B198" i="57"/>
  <c r="M198" i="57" s="1"/>
  <c r="B184" i="57"/>
  <c r="M184" i="57" s="1"/>
  <c r="B182" i="57"/>
  <c r="M182" i="57" s="1"/>
  <c r="B223" i="57"/>
  <c r="M223" i="57" s="1"/>
  <c r="B197" i="57"/>
  <c r="M197" i="57" s="1"/>
  <c r="B150" i="57"/>
  <c r="M150" i="57" s="1"/>
  <c r="B193" i="57"/>
  <c r="M193" i="57" s="1"/>
  <c r="B159" i="57"/>
  <c r="M159" i="57" s="1"/>
  <c r="B238" i="57"/>
  <c r="M238" i="57" s="1"/>
  <c r="B187" i="57"/>
  <c r="M187" i="57" s="1"/>
  <c r="B158" i="57"/>
  <c r="M158" i="57" s="1"/>
  <c r="B205" i="57"/>
  <c r="M205" i="57" s="1"/>
  <c r="B201" i="57"/>
  <c r="M201" i="57" s="1"/>
  <c r="B209" i="57"/>
  <c r="M209" i="57" s="1"/>
  <c r="B141" i="57"/>
  <c r="M141" i="57" s="1"/>
  <c r="B155" i="57"/>
  <c r="M155" i="57" s="1"/>
  <c r="B170" i="57"/>
  <c r="M170" i="57" s="1"/>
  <c r="B230" i="57"/>
  <c r="M230" i="57" s="1"/>
  <c r="B185" i="57"/>
  <c r="M185" i="57" s="1"/>
  <c r="B142" i="57"/>
  <c r="M142" i="57" s="1"/>
  <c r="B156" i="57"/>
  <c r="M156" i="57" s="1"/>
  <c r="B220" i="57"/>
  <c r="M220" i="57" s="1"/>
  <c r="B226" i="57"/>
  <c r="M226" i="57" s="1"/>
  <c r="B163" i="57"/>
  <c r="M163" i="57" s="1"/>
  <c r="B210" i="57"/>
  <c r="M210" i="57" s="1"/>
  <c r="B202" i="57"/>
  <c r="M202" i="57" s="1"/>
  <c r="B204" i="57"/>
  <c r="M204" i="57" s="1"/>
  <c r="B221" i="57"/>
  <c r="M221" i="57" s="1"/>
  <c r="B164" i="57"/>
  <c r="M164" i="57" s="1"/>
  <c r="B178" i="57"/>
  <c r="M178" i="57" s="1"/>
  <c r="B236" i="57"/>
  <c r="M236" i="57" s="1"/>
  <c r="B177" i="57"/>
  <c r="M177" i="57" s="1"/>
  <c r="B179" i="57"/>
  <c r="M179" i="57" s="1"/>
  <c r="B180" i="57"/>
  <c r="M180" i="57" s="1"/>
  <c r="B203" i="57"/>
  <c r="M203" i="57" s="1"/>
  <c r="B144" i="57"/>
  <c r="M144" i="57" s="1"/>
  <c r="B186" i="57"/>
  <c r="M186" i="57" s="1"/>
  <c r="B194" i="57"/>
  <c r="M194" i="57" s="1"/>
  <c r="B149" i="57"/>
  <c r="M149" i="57" s="1"/>
  <c r="B174" i="57"/>
  <c r="M174" i="57" s="1"/>
  <c r="B181" i="57"/>
  <c r="M181" i="57" s="1"/>
  <c r="B211" i="57"/>
  <c r="M211" i="57" s="1"/>
  <c r="B222" i="57"/>
  <c r="M222" i="57" s="1"/>
  <c r="B157" i="57"/>
  <c r="M157" i="57" s="1"/>
  <c r="B167" i="57"/>
  <c r="M167" i="57" s="1"/>
  <c r="B239" i="57"/>
  <c r="M239" i="57" s="1"/>
  <c r="B146" i="57"/>
  <c r="M146" i="57" s="1"/>
  <c r="B188" i="57"/>
  <c r="M188" i="57" s="1"/>
  <c r="B196" i="57"/>
  <c r="M196" i="57" s="1"/>
  <c r="B227" i="57"/>
  <c r="M227" i="57" s="1"/>
  <c r="B215" i="57"/>
  <c r="M215" i="57" s="1"/>
  <c r="B195" i="57"/>
  <c r="M195" i="57" s="1"/>
  <c r="B132" i="57"/>
  <c r="M132" i="57" s="1"/>
  <c r="B131" i="57"/>
  <c r="M131" i="57" s="1"/>
  <c r="B130" i="57"/>
  <c r="M130" i="57" s="1"/>
  <c r="B129" i="57"/>
  <c r="M129" i="57" s="1"/>
  <c r="B136" i="57"/>
  <c r="M136" i="57" s="1"/>
  <c r="B127" i="57"/>
  <c r="M127" i="57" s="1"/>
  <c r="B133" i="57"/>
  <c r="M133" i="57" s="1"/>
  <c r="B134" i="57"/>
  <c r="M134" i="57" s="1"/>
  <c r="B122" i="57"/>
  <c r="M122" i="57" s="1"/>
  <c r="B121" i="57"/>
  <c r="M121" i="57" s="1"/>
  <c r="B120" i="57"/>
  <c r="M120" i="57" s="1"/>
  <c r="B126" i="57"/>
  <c r="M126" i="57" s="1"/>
  <c r="B125" i="57"/>
  <c r="M125" i="57" s="1"/>
  <c r="B119" i="57"/>
  <c r="M119" i="57" s="1"/>
  <c r="B123" i="57"/>
  <c r="M123" i="57" s="1"/>
  <c r="B124" i="57"/>
  <c r="M124" i="57" s="1"/>
  <c r="B118" i="57"/>
  <c r="M118" i="57" s="1"/>
  <c r="B105" i="57"/>
  <c r="M105" i="57" s="1"/>
  <c r="B103" i="57"/>
  <c r="M103" i="57" s="1"/>
  <c r="B111" i="57"/>
  <c r="M111" i="57" s="1"/>
  <c r="B115" i="57"/>
  <c r="M115" i="57" s="1"/>
  <c r="B106" i="57"/>
  <c r="M106" i="57" s="1"/>
  <c r="B110" i="57"/>
  <c r="M110" i="57" s="1"/>
  <c r="B104" i="57"/>
  <c r="M104" i="57" s="1"/>
  <c r="B117" i="57"/>
  <c r="M117" i="57" s="1"/>
  <c r="B113" i="57"/>
  <c r="M113" i="57" s="1"/>
  <c r="B108" i="57"/>
  <c r="M108" i="57" s="1"/>
  <c r="B112" i="57"/>
  <c r="M112" i="57" s="1"/>
  <c r="B116" i="57"/>
  <c r="M116" i="57" s="1"/>
  <c r="B102" i="57"/>
  <c r="M102" i="57" s="1"/>
  <c r="B96" i="57"/>
  <c r="M96" i="57" s="1"/>
  <c r="B93" i="57"/>
  <c r="M93" i="57" s="1"/>
  <c r="B92" i="57"/>
  <c r="M92" i="57" s="1"/>
  <c r="B91" i="57"/>
  <c r="M91" i="57" s="1"/>
  <c r="B100" i="57"/>
  <c r="M100" i="57" s="1"/>
  <c r="B99" i="57"/>
  <c r="M99" i="57" s="1"/>
  <c r="B88" i="57"/>
  <c r="M88" i="57" s="1"/>
  <c r="B97" i="57"/>
  <c r="M97" i="57" s="1"/>
  <c r="B98" i="57"/>
  <c r="M98" i="57" s="1"/>
  <c r="B85" i="57"/>
  <c r="M85" i="57" s="1"/>
  <c r="B87" i="57"/>
  <c r="M87" i="57" s="1"/>
  <c r="B86" i="57"/>
  <c r="M86" i="57" s="1"/>
  <c r="B72" i="57"/>
  <c r="M72" i="57" s="1"/>
  <c r="B81" i="57"/>
  <c r="M81" i="57" s="1"/>
  <c r="B76" i="57"/>
  <c r="M76" i="57" s="1"/>
  <c r="B75" i="57"/>
  <c r="M75" i="57" s="1"/>
  <c r="B80" i="57"/>
  <c r="M80" i="57" s="1"/>
  <c r="B74" i="57"/>
  <c r="M74" i="57" s="1"/>
  <c r="B73" i="57"/>
  <c r="M73" i="57" s="1"/>
  <c r="B82" i="57"/>
  <c r="M82" i="57" s="1"/>
  <c r="B66" i="57"/>
  <c r="M66" i="57" s="1"/>
  <c r="B61" i="57"/>
  <c r="M61" i="57" s="1"/>
  <c r="B51" i="57"/>
  <c r="M51" i="57" s="1"/>
  <c r="B57" i="57"/>
  <c r="M57" i="57" s="1"/>
  <c r="B37" i="57"/>
  <c r="M37" i="57" s="1"/>
  <c r="B44" i="57"/>
  <c r="M44" i="57" s="1"/>
  <c r="B34" i="57"/>
  <c r="M34" i="57" s="1"/>
  <c r="B59" i="57"/>
  <c r="M59" i="57" s="1"/>
  <c r="B56" i="57"/>
  <c r="M56" i="57" s="1"/>
  <c r="B38" i="57"/>
  <c r="M38" i="57" s="1"/>
  <c r="B52" i="57"/>
  <c r="M52" i="57" s="1"/>
  <c r="B47" i="57"/>
  <c r="M47" i="57" s="1"/>
  <c r="B43" i="57"/>
  <c r="M43" i="57" s="1"/>
  <c r="B35" i="57"/>
  <c r="M35" i="57" s="1"/>
  <c r="B40" i="57"/>
  <c r="M40" i="57" s="1"/>
  <c r="B39" i="57"/>
  <c r="M39" i="57" s="1"/>
  <c r="B68" i="57"/>
  <c r="M68" i="57" s="1"/>
  <c r="B53" i="57"/>
  <c r="M53" i="57" s="1"/>
  <c r="B65" i="57"/>
  <c r="M65" i="57" s="1"/>
  <c r="B42" i="57"/>
  <c r="M42" i="57" s="1"/>
  <c r="B54" i="57"/>
  <c r="M54" i="57" s="1"/>
  <c r="B63" i="57"/>
  <c r="M63" i="57" s="1"/>
  <c r="B64" i="57"/>
  <c r="M64" i="57" s="1"/>
  <c r="B55" i="57"/>
  <c r="M55" i="57" s="1"/>
  <c r="B62" i="57"/>
  <c r="M62" i="57" s="1"/>
  <c r="B67" i="57"/>
  <c r="M67" i="57" s="1"/>
  <c r="B71" i="57"/>
  <c r="M71" i="57" s="1"/>
  <c r="B24" i="57"/>
  <c r="M24" i="57" s="1"/>
  <c r="B23" i="57"/>
  <c r="M23" i="57" s="1"/>
  <c r="B25" i="57"/>
  <c r="M25" i="57" s="1"/>
  <c r="B33" i="57"/>
  <c r="M33" i="57" s="1"/>
  <c r="B26" i="57"/>
  <c r="M26" i="57" s="1"/>
  <c r="B27" i="57"/>
  <c r="M27" i="57" s="1"/>
  <c r="B3" i="57"/>
  <c r="M3" i="57" s="1"/>
  <c r="B21" i="57"/>
  <c r="M21" i="57" s="1"/>
  <c r="B7" i="57"/>
  <c r="M7" i="57" s="1"/>
  <c r="B20" i="57"/>
  <c r="M20" i="57" s="1"/>
  <c r="B6" i="57"/>
  <c r="M6" i="57" s="1"/>
  <c r="B18" i="57"/>
  <c r="M18" i="57" s="1"/>
  <c r="B17" i="57"/>
  <c r="M17" i="57" s="1"/>
  <c r="B4" i="57"/>
  <c r="M4" i="57" s="1"/>
  <c r="B5" i="57"/>
  <c r="M5" i="57" s="1"/>
  <c r="B11" i="57"/>
  <c r="M11" i="57" s="1"/>
  <c r="B16" i="57"/>
  <c r="M16" i="57" s="1"/>
  <c r="B8" i="57"/>
  <c r="M8" i="57" s="1"/>
  <c r="B15" i="57"/>
  <c r="M15" i="57" s="1"/>
  <c r="C52" i="72"/>
  <c r="E2" i="69" a="1"/>
  <c r="E2" i="69" s="1"/>
  <c r="N2" i="59"/>
  <c r="D3" i="91"/>
  <c r="G2" i="54"/>
  <c r="K2" i="54" s="1"/>
  <c r="D6" i="91"/>
  <c r="D4" i="91"/>
  <c r="N33" i="59"/>
  <c r="N16" i="59"/>
  <c r="N8" i="59"/>
  <c r="G5" i="54"/>
  <c r="K5" i="54" s="1"/>
  <c r="N25" i="59"/>
  <c r="N32" i="59"/>
  <c r="N24" i="59"/>
  <c r="N15" i="59"/>
  <c r="N7" i="59"/>
  <c r="N12" i="59"/>
  <c r="N4" i="59"/>
  <c r="N14" i="59"/>
  <c r="N30" i="59"/>
  <c r="N22" i="59"/>
  <c r="N13" i="59"/>
  <c r="N5" i="59"/>
  <c r="N29" i="59"/>
  <c r="N31" i="59"/>
  <c r="Z11" i="116"/>
  <c r="N21" i="59"/>
  <c r="N28" i="59"/>
  <c r="G3" i="54"/>
  <c r="K3" i="54" s="1"/>
  <c r="N23" i="59"/>
  <c r="Z2" i="116"/>
  <c r="N36" i="59"/>
  <c r="N35" i="59"/>
  <c r="N19" i="59"/>
  <c r="N10" i="59"/>
  <c r="Z9" i="116"/>
  <c r="N6" i="59"/>
  <c r="Z3" i="116"/>
  <c r="N20" i="59"/>
  <c r="N3" i="59"/>
  <c r="N27" i="59"/>
  <c r="N34" i="59"/>
  <c r="N26" i="59"/>
  <c r="N17" i="59"/>
  <c r="N9" i="59"/>
  <c r="G7" i="54"/>
  <c r="K7" i="54" s="1"/>
  <c r="G6" i="54"/>
  <c r="K6" i="54" s="1"/>
  <c r="C7" i="99"/>
  <c r="D3" i="117"/>
  <c r="J2" i="69" a="1"/>
  <c r="J2" i="69" s="1"/>
  <c r="G10" i="116"/>
  <c r="Z10" i="116" s="1"/>
  <c r="G8" i="116"/>
  <c r="Z8" i="116" s="1"/>
  <c r="G7" i="116"/>
  <c r="Z7" i="116" s="1"/>
  <c r="G5" i="116"/>
  <c r="Z5" i="116" s="1"/>
  <c r="G4" i="116"/>
  <c r="Z4" i="116" s="1"/>
  <c r="B2" i="69"/>
  <c r="P2" i="119"/>
  <c r="B2" i="57"/>
  <c r="M2" i="57" s="1"/>
  <c r="C10" i="99"/>
  <c r="I2" i="69" a="1"/>
  <c r="I2" i="69" s="1"/>
  <c r="H2" i="69"/>
  <c r="Y2" i="69" l="1"/>
  <c r="M52" i="72"/>
  <c r="C6" i="99"/>
  <c r="C9" i="99"/>
  <c r="C12" i="99"/>
  <c r="C5" i="99"/>
  <c r="C4" i="99"/>
  <c r="C3" i="99"/>
  <c r="C13" i="99"/>
  <c r="C19" i="99" l="1"/>
  <c r="C16" i="99"/>
  <c r="C18" i="99"/>
  <c r="C15" i="99"/>
  <c r="C14" i="99"/>
  <c r="C8" i="99" l="1"/>
  <c r="E42" i="136" l="1"/>
  <c r="O42" i="136" s="1"/>
  <c r="E91" i="136"/>
  <c r="O91" i="136" s="1"/>
  <c r="E33" i="136"/>
  <c r="O33" i="136" s="1"/>
  <c r="E66" i="136"/>
  <c r="O66" i="136" s="1"/>
  <c r="E75" i="136"/>
  <c r="O75" i="136" s="1"/>
  <c r="E43" i="136"/>
  <c r="O43" i="136" s="1"/>
  <c r="E82" i="136"/>
  <c r="O82" i="136" s="1"/>
  <c r="E35" i="136"/>
  <c r="O35" i="136" s="1"/>
  <c r="E62" i="136"/>
  <c r="O62" i="136" s="1"/>
  <c r="E30" i="136"/>
  <c r="O30" i="136" s="1"/>
  <c r="E37" i="136"/>
  <c r="O37" i="136" s="1"/>
  <c r="E78" i="136"/>
  <c r="O78" i="136" s="1"/>
  <c r="E84" i="136"/>
  <c r="O84" i="136" s="1"/>
  <c r="E85" i="136"/>
  <c r="O85" i="136" s="1"/>
  <c r="E64" i="136"/>
  <c r="O64" i="136" s="1"/>
  <c r="E27" i="136"/>
  <c r="O27" i="136" s="1"/>
  <c r="E28" i="136"/>
  <c r="O28" i="136" s="1"/>
  <c r="E15" i="136"/>
  <c r="O15" i="136" s="1"/>
  <c r="E39" i="136"/>
  <c r="O39" i="136" s="1"/>
  <c r="E20" i="136"/>
  <c r="O20" i="136" s="1"/>
  <c r="E31" i="136"/>
  <c r="O31" i="136" s="1"/>
  <c r="E8" i="136"/>
  <c r="O8" i="136" s="1"/>
  <c r="E45" i="136"/>
  <c r="O45" i="136" s="1"/>
  <c r="E26" i="136"/>
  <c r="O26" i="136" s="1"/>
  <c r="E23" i="136"/>
  <c r="O23" i="136" s="1"/>
  <c r="E7" i="136"/>
  <c r="O7" i="136" s="1"/>
  <c r="E60" i="136"/>
  <c r="O60" i="136" s="1"/>
  <c r="E41" i="136"/>
  <c r="O41" i="136" s="1"/>
  <c r="E80" i="136"/>
  <c r="O80" i="136" s="1"/>
  <c r="E4" i="136"/>
  <c r="O4" i="136" s="1"/>
  <c r="E3" i="136"/>
  <c r="O3" i="136" s="1"/>
  <c r="E49" i="136"/>
  <c r="O49" i="136" s="1"/>
  <c r="E48" i="136"/>
  <c r="O48" i="136" s="1"/>
  <c r="E73" i="136"/>
  <c r="O73" i="136" s="1"/>
  <c r="E59" i="136"/>
  <c r="O59" i="136" s="1"/>
  <c r="E68" i="136"/>
  <c r="O68" i="136" s="1"/>
  <c r="E25" i="136"/>
  <c r="O25" i="136" s="1"/>
  <c r="E32" i="136"/>
  <c r="O32" i="136" s="1"/>
  <c r="E16" i="136"/>
  <c r="O16" i="136" s="1"/>
  <c r="E19" i="136"/>
  <c r="O19" i="136" s="1"/>
  <c r="E63" i="136"/>
  <c r="O63" i="136" s="1"/>
  <c r="E81" i="136"/>
  <c r="O81" i="136" s="1"/>
  <c r="E70" i="136"/>
  <c r="O70" i="136" s="1"/>
  <c r="E55" i="136"/>
  <c r="O55" i="136" s="1"/>
  <c r="E6" i="136"/>
  <c r="O6" i="136" s="1"/>
  <c r="E10" i="136"/>
  <c r="O10" i="136" s="1"/>
  <c r="E94" i="136"/>
  <c r="O94" i="136" s="1"/>
  <c r="E72" i="136"/>
  <c r="O72" i="136" s="1"/>
  <c r="E90" i="136"/>
  <c r="O90" i="136" s="1"/>
  <c r="E40" i="136"/>
  <c r="O40" i="136" s="1"/>
  <c r="E29" i="136"/>
  <c r="O29" i="136" s="1"/>
  <c r="E61" i="136"/>
  <c r="O61" i="136" s="1"/>
  <c r="E50" i="136"/>
  <c r="O50" i="136" s="1"/>
  <c r="E69" i="136"/>
  <c r="O69" i="136" s="1"/>
  <c r="E52" i="136"/>
  <c r="O52" i="136" s="1"/>
  <c r="E18" i="136"/>
  <c r="O18" i="136" s="1"/>
  <c r="E51" i="136"/>
  <c r="O51" i="136" s="1"/>
  <c r="E77" i="136"/>
  <c r="O77" i="136" s="1"/>
  <c r="E96" i="136"/>
  <c r="O96" i="136" s="1"/>
  <c r="E53" i="136"/>
  <c r="O53" i="136" s="1"/>
  <c r="E38" i="136"/>
  <c r="O38" i="136" s="1"/>
  <c r="E17" i="136"/>
  <c r="O17" i="136" s="1"/>
  <c r="E65" i="136"/>
  <c r="O65" i="136" s="1"/>
  <c r="E57" i="136"/>
  <c r="O57" i="136" s="1"/>
  <c r="E93" i="136"/>
  <c r="O93" i="136" s="1"/>
  <c r="E79" i="136"/>
  <c r="O79" i="136" s="1"/>
  <c r="E89" i="136"/>
  <c r="O89" i="136" s="1"/>
  <c r="E56" i="136"/>
  <c r="O56" i="136" s="1"/>
  <c r="E21" i="136"/>
  <c r="O21" i="136" s="1"/>
  <c r="E88" i="136"/>
  <c r="O88" i="136" s="1"/>
  <c r="E74" i="136"/>
  <c r="O74" i="136" s="1"/>
  <c r="E71" i="136"/>
  <c r="O71" i="136" s="1"/>
  <c r="E47" i="136"/>
  <c r="O47" i="136" s="1"/>
  <c r="E14" i="136"/>
  <c r="O14" i="136" s="1"/>
  <c r="E9" i="136"/>
  <c r="O9" i="136" s="1"/>
  <c r="E76" i="136"/>
  <c r="O76" i="136" s="1"/>
  <c r="E36" i="136"/>
  <c r="O36" i="136" s="1"/>
  <c r="E87" i="136"/>
  <c r="O87" i="136" s="1"/>
  <c r="E86" i="136"/>
  <c r="O86" i="136" s="1"/>
  <c r="E22" i="136"/>
  <c r="O22" i="136" s="1"/>
  <c r="E13" i="136"/>
  <c r="O13" i="136" s="1"/>
  <c r="E12" i="136"/>
  <c r="O12" i="136" s="1"/>
  <c r="E5" i="136"/>
  <c r="O5" i="136" s="1"/>
  <c r="E11" i="136"/>
  <c r="O11" i="136" s="1"/>
  <c r="E58" i="136"/>
  <c r="O58" i="136" s="1"/>
  <c r="E24" i="136"/>
  <c r="O24" i="136" s="1"/>
  <c r="E67" i="136"/>
  <c r="O67" i="136" s="1"/>
  <c r="E44" i="136"/>
  <c r="O44" i="136" s="1"/>
  <c r="E92" i="136"/>
  <c r="O92" i="136" s="1"/>
  <c r="E54" i="136"/>
  <c r="O54" i="136" s="1"/>
  <c r="E2" i="136"/>
  <c r="O2" i="136" s="1"/>
  <c r="C22" i="99" l="1"/>
  <c r="C23" i="99" s="1"/>
  <c r="B3" i="10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Kim Smith</author>
  </authors>
  <commentList>
    <comment ref="B1" authorId="0" shapeId="0" xr:uid="{024A1BA2-5576-4C68-9586-23D73C120B70}">
      <text>
        <r>
          <rPr>
            <b/>
            <sz val="9"/>
            <color indexed="81"/>
            <rFont val="Tahoma"/>
            <family val="2"/>
          </rPr>
          <t>Available all schools TRUE/FALSE + School Codes if applicable</t>
        </r>
        <r>
          <rPr>
            <sz val="9"/>
            <color indexed="81"/>
            <rFont val="Tahoma"/>
            <family val="2"/>
          </rPr>
          <t xml:space="preserve">
</t>
        </r>
      </text>
    </comment>
    <comment ref="E1" authorId="0" shapeId="0" xr:uid="{1E73DEB4-357E-4BD1-8BC1-FEC864287BA2}">
      <text>
        <r>
          <rPr>
            <b/>
            <sz val="9"/>
            <color indexed="81"/>
            <rFont val="Tahoma"/>
            <family val="2"/>
          </rPr>
          <t>Pay Scale Code Length &gt;100</t>
        </r>
        <r>
          <rPr>
            <sz val="9"/>
            <color indexed="81"/>
            <rFont val="Tahoma"/>
            <family val="2"/>
          </rPr>
          <t xml:space="preserve">
</t>
        </r>
      </text>
    </comment>
    <comment ref="F1" authorId="0" shapeId="0" xr:uid="{2193A71D-1E5C-4073-A83D-9B0E9C0049AE}">
      <text>
        <r>
          <rPr>
            <b/>
            <sz val="9"/>
            <color indexed="81"/>
            <rFont val="Tahoma"/>
            <family val="2"/>
          </rPr>
          <t>Pay Scale Title Length &gt;100</t>
        </r>
      </text>
    </comment>
    <comment ref="H1" authorId="0" shapeId="0" xr:uid="{0DE2EE76-5987-4CF7-BE5F-31188EC7FDAC}">
      <text>
        <r>
          <rPr>
            <b/>
            <sz val="9"/>
            <color indexed="81"/>
            <rFont val="Tahoma"/>
            <family val="2"/>
          </rPr>
          <t>Space in PayScale Code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B1" authorId="0" shapeId="0" xr:uid="{A963E9AF-8941-4097-9D97-5ED17CDA9FB7}">
      <text>
        <r>
          <rPr>
            <b/>
            <sz val="9"/>
            <color indexed="81"/>
            <rFont val="Tahoma"/>
            <family val="2"/>
          </rPr>
          <t>Scale Point Number out of Sequence</t>
        </r>
        <r>
          <rPr>
            <sz val="9"/>
            <color indexed="81"/>
            <rFont val="Tahoma"/>
            <family val="2"/>
          </rPr>
          <t xml:space="preserve">
</t>
        </r>
      </text>
    </comment>
    <comment ref="D1" authorId="0" shapeId="0" xr:uid="{1A400060-666D-4096-94B7-F86D67C532F4}">
      <text>
        <r>
          <rPr>
            <b/>
            <sz val="9"/>
            <color indexed="81"/>
            <rFont val="Tahoma"/>
            <family val="2"/>
          </rPr>
          <t xml:space="preserve">Duplicate means check date from in each pay scale
</t>
        </r>
      </text>
    </comment>
    <comment ref="E1" authorId="0" shapeId="0" xr:uid="{E239E463-B8E0-4E20-A08F-1291E92386B4}">
      <text>
        <r>
          <rPr>
            <b/>
            <sz val="9"/>
            <color indexed="81"/>
            <rFont val="Tahoma"/>
            <family val="2"/>
          </rPr>
          <t>Pay Scale Month Increase and Rate Start Date Month Don’t Match</t>
        </r>
        <r>
          <rPr>
            <sz val="9"/>
            <color indexed="81"/>
            <rFont val="Tahoma"/>
            <family val="2"/>
          </rPr>
          <t xml:space="preserve">
</t>
        </r>
      </text>
    </comment>
    <comment ref="F1" authorId="0" shapeId="0" xr:uid="{93A6F179-B7BE-4CC1-BE18-65A9C0CFB2D6}">
      <text>
        <r>
          <rPr>
            <b/>
            <sz val="9"/>
            <color indexed="81"/>
            <rFont val="Tahoma"/>
            <family val="2"/>
          </rPr>
          <t>Rate Date To is before Rate Date From</t>
        </r>
        <r>
          <rPr>
            <sz val="9"/>
            <color indexed="81"/>
            <rFont val="Tahoma"/>
            <family val="2"/>
          </rPr>
          <t xml:space="preserve">
</t>
        </r>
      </text>
    </comment>
    <comment ref="G1" authorId="1" shapeId="0" xr:uid="{5BFC88DC-792F-4594-8D89-1B134162C071}">
      <text>
        <r>
          <rPr>
            <sz val="9"/>
            <color indexed="81"/>
            <rFont val="Tahoma"/>
            <family val="2"/>
          </rPr>
          <t xml:space="preserve">Checks that the Date fields are using the correct data type
</t>
        </r>
      </text>
    </comment>
    <comment ref="I1" authorId="0" shapeId="0" xr:uid="{2A2F068D-2668-4152-8C13-F88F7F1EBBD9}">
      <text>
        <r>
          <rPr>
            <b/>
            <sz val="9"/>
            <color indexed="81"/>
            <rFont val="Tahoma"/>
            <family val="2"/>
          </rPr>
          <t>Point Code Length &gt;100</t>
        </r>
        <r>
          <rPr>
            <sz val="9"/>
            <color indexed="81"/>
            <rFont val="Tahoma"/>
            <family val="2"/>
          </rPr>
          <t xml:space="preserve">
</t>
        </r>
      </text>
    </comment>
    <comment ref="J1" authorId="0" shapeId="0" xr:uid="{25DCC2F8-2E2C-434C-AA82-B6315FEFB328}">
      <text>
        <r>
          <rPr>
            <b/>
            <sz val="9"/>
            <color indexed="81"/>
            <rFont val="Tahoma"/>
            <family val="2"/>
          </rPr>
          <t>Point Title Length &gt;100</t>
        </r>
      </text>
    </comment>
    <comment ref="L1" authorId="0" shapeId="0" xr:uid="{B2EE8A67-A60F-49D4-935E-EB26C1069C13}">
      <text>
        <r>
          <rPr>
            <b/>
            <sz val="9"/>
            <color indexed="81"/>
            <rFont val="Tahoma"/>
            <family val="2"/>
          </rPr>
          <t>Space in PayScale Code or PayScalePoint Code</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A1" authorId="0" shapeId="0" xr:uid="{570A2B98-6294-421F-A3AD-9333E8315639}">
      <text>
        <r>
          <rPr>
            <b/>
            <sz val="9"/>
            <color indexed="81"/>
            <rFont val="Tahoma"/>
            <family val="2"/>
          </rPr>
          <t>Pay Scale Code not in Pay Scales</t>
        </r>
      </text>
    </comment>
    <comment ref="C1" authorId="0" shapeId="0" xr:uid="{0308701A-D92B-4CAF-BDFE-CED0172B7A69}">
      <text>
        <r>
          <rPr>
            <b/>
            <sz val="9"/>
            <color indexed="81"/>
            <rFont val="Tahoma"/>
            <family val="2"/>
          </rPr>
          <t>Available all schools TRUE/FALSE + School Codes if applicable</t>
        </r>
        <r>
          <rPr>
            <sz val="9"/>
            <color indexed="81"/>
            <rFont val="Tahoma"/>
            <family val="2"/>
          </rPr>
          <t xml:space="preserve">
</t>
        </r>
      </text>
    </comment>
    <comment ref="D1" authorId="0" shapeId="0" xr:uid="{EE0FEB64-6FCC-4237-A400-04FAC7AA7239}">
      <text>
        <r>
          <rPr>
            <b/>
            <sz val="9"/>
            <color indexed="81"/>
            <rFont val="Tahoma"/>
            <family val="2"/>
          </rPr>
          <t>Scale Point From is greater than Scale Point To</t>
        </r>
        <r>
          <rPr>
            <sz val="9"/>
            <color indexed="81"/>
            <rFont val="Tahoma"/>
            <family val="2"/>
          </rPr>
          <t xml:space="preserve">
</t>
        </r>
      </text>
    </comment>
    <comment ref="E1" authorId="1" shapeId="0" xr:uid="{2D46DDDD-7D09-4EE8-BE72-CE6A8D56FBE4}">
      <text>
        <r>
          <rPr>
            <b/>
            <sz val="9"/>
            <color indexed="81"/>
            <rFont val="Tahoma"/>
            <family val="2"/>
          </rPr>
          <t xml:space="preserve">John Dunridge:
</t>
        </r>
        <r>
          <rPr>
            <sz val="9"/>
            <color indexed="81"/>
            <rFont val="Tahoma"/>
            <family val="2"/>
          </rPr>
          <t>If available to all schools = TRUE then does that match the pay scale. If available to all schools = FALSE do the schools have access to the Payscale.</t>
        </r>
      </text>
    </comment>
    <comment ref="H1" authorId="0" shapeId="0" xr:uid="{5BB354E6-E3D4-46B4-A419-F83B4D746D9D}">
      <text>
        <r>
          <rPr>
            <b/>
            <sz val="9"/>
            <color indexed="81"/>
            <rFont val="Tahoma"/>
            <family val="2"/>
          </rPr>
          <t>Grade Code Length &gt;100</t>
        </r>
        <r>
          <rPr>
            <sz val="9"/>
            <color indexed="81"/>
            <rFont val="Tahoma"/>
            <family val="2"/>
          </rPr>
          <t xml:space="preserve">
</t>
        </r>
      </text>
    </comment>
    <comment ref="I1" authorId="0" shapeId="0" xr:uid="{EFBB2A30-21B0-4F3D-B56B-835274F7533A}">
      <text>
        <r>
          <rPr>
            <b/>
            <sz val="9"/>
            <color indexed="81"/>
            <rFont val="Tahoma"/>
            <family val="2"/>
          </rPr>
          <t>Grade Title Length &gt;100</t>
        </r>
      </text>
    </comment>
    <comment ref="J1" authorId="0" shapeId="0" xr:uid="{33302FE7-8C53-4725-B8CD-B2CE21922A54}">
      <text>
        <r>
          <rPr>
            <b/>
            <sz val="9"/>
            <color indexed="81"/>
            <rFont val="Tahoma"/>
            <family val="2"/>
          </rPr>
          <t>Space in Grade Code</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Kim Smith</author>
  </authors>
  <commentList>
    <comment ref="A1" authorId="0" shapeId="0" xr:uid="{F93FF139-7DEB-4E3D-8103-A6732CFBBE50}">
      <text>
        <r>
          <rPr>
            <b/>
            <sz val="9"/>
            <color indexed="81"/>
            <rFont val="Tahoma"/>
            <family val="2"/>
          </rPr>
          <t>Pay Scale Code not in Pay Scales</t>
        </r>
        <r>
          <rPr>
            <sz val="9"/>
            <color indexed="81"/>
            <rFont val="Tahoma"/>
            <family val="2"/>
          </rPr>
          <t xml:space="preserve">
</t>
        </r>
      </text>
    </comment>
    <comment ref="C1" authorId="0" shapeId="0" xr:uid="{29FA75B4-4F52-4E92-B07B-402B41C77069}">
      <text>
        <r>
          <rPr>
            <b/>
            <sz val="9"/>
            <color indexed="81"/>
            <rFont val="Tahoma"/>
            <family val="2"/>
          </rPr>
          <t>Space in PayScale Code</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Kim Smith</author>
  </authors>
  <commentList>
    <comment ref="A1" authorId="0" shapeId="0" xr:uid="{451E9E8E-2555-4C42-85E0-8BECC7477453}">
      <text>
        <r>
          <rPr>
            <b/>
            <sz val="9"/>
            <color indexed="81"/>
            <rFont val="Tahoma"/>
            <family val="2"/>
          </rPr>
          <t>Available all schools TRUE/FALSE + School Codes if applicable</t>
        </r>
        <r>
          <rPr>
            <sz val="9"/>
            <color indexed="81"/>
            <rFont val="Tahoma"/>
            <family val="2"/>
          </rPr>
          <t xml:space="preserve">
</t>
        </r>
      </text>
    </comment>
    <comment ref="C1" authorId="0" shapeId="0" xr:uid="{BFA25352-F79E-4A37-94AE-715ED1726101}">
      <text>
        <r>
          <rPr>
            <b/>
            <sz val="9"/>
            <color indexed="81"/>
            <rFont val="Tahoma"/>
            <family val="2"/>
          </rPr>
          <t>Type Code Length &gt;100</t>
        </r>
        <r>
          <rPr>
            <sz val="9"/>
            <color indexed="81"/>
            <rFont val="Tahoma"/>
            <family val="2"/>
          </rPr>
          <t xml:space="preserve">
</t>
        </r>
      </text>
    </comment>
    <comment ref="D1" authorId="0" shapeId="0" xr:uid="{C688D715-A7FA-484E-B295-0F00DF22ADEA}">
      <text>
        <r>
          <rPr>
            <b/>
            <sz val="9"/>
            <color indexed="81"/>
            <rFont val="Tahoma"/>
            <family val="2"/>
          </rPr>
          <t>Type Title Length &gt;100</t>
        </r>
      </text>
    </comment>
    <comment ref="F1" authorId="0" shapeId="0" xr:uid="{8F48B330-AB33-465D-A280-4DA3B8306FCF}">
      <text>
        <r>
          <rPr>
            <b/>
            <sz val="9"/>
            <color indexed="81"/>
            <rFont val="Tahoma"/>
            <family val="2"/>
          </rPr>
          <t>Space in EQWP Code</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A1" authorId="0" shapeId="0" xr:uid="{B758EC0F-8705-4A6A-8C1E-822A8586A770}">
      <text>
        <r>
          <rPr>
            <b/>
            <sz val="9"/>
            <color indexed="81"/>
            <rFont val="Tahoma"/>
            <family val="2"/>
          </rPr>
          <t>Allowance Type Code not in Allowance Types</t>
        </r>
        <r>
          <rPr>
            <sz val="9"/>
            <color indexed="81"/>
            <rFont val="Tahoma"/>
            <family val="2"/>
          </rPr>
          <t xml:space="preserve">
</t>
        </r>
      </text>
    </comment>
    <comment ref="B1" authorId="0" shapeId="0" xr:uid="{CF7BEA7A-CAC7-4250-BED7-90B73B0019A4}">
      <text>
        <r>
          <rPr>
            <b/>
            <sz val="9"/>
            <color indexed="81"/>
            <rFont val="Tahoma"/>
            <family val="2"/>
          </rPr>
          <t>Either remove duplicate row or edit code(s) to make unique</t>
        </r>
      </text>
    </comment>
    <comment ref="C1" authorId="0" shapeId="0" xr:uid="{A0CEB724-A1CE-49E5-A836-B72855D042F3}">
      <text>
        <r>
          <rPr>
            <b/>
            <sz val="9"/>
            <color indexed="81"/>
            <rFont val="Tahoma"/>
            <family val="2"/>
          </rPr>
          <t>Available all schools TRUE/FALSE + School Codes if applicable</t>
        </r>
        <r>
          <rPr>
            <sz val="9"/>
            <color indexed="81"/>
            <rFont val="Tahoma"/>
            <family val="2"/>
          </rPr>
          <t xml:space="preserve">
</t>
        </r>
      </text>
    </comment>
    <comment ref="D1" authorId="0" shapeId="0" xr:uid="{DA3860B1-E035-4C4D-8832-96FE9EE4F7B4}">
      <text>
        <r>
          <rPr>
            <b/>
            <sz val="9"/>
            <color indexed="81"/>
            <rFont val="Tahoma"/>
            <family val="2"/>
          </rPr>
          <t>Rate Date To is before Rate Date From</t>
        </r>
        <r>
          <rPr>
            <sz val="9"/>
            <color indexed="81"/>
            <rFont val="Tahoma"/>
            <family val="2"/>
          </rPr>
          <t xml:space="preserve">
</t>
        </r>
      </text>
    </comment>
    <comment ref="E1" authorId="1" shapeId="0" xr:uid="{9B40DCA5-9194-4A96-8FC1-0D0B62CBC389}">
      <text>
        <r>
          <rPr>
            <sz val="9"/>
            <color indexed="81"/>
            <rFont val="Tahoma"/>
            <family val="2"/>
          </rPr>
          <t xml:space="preserve">Checks that the Date fields are using the correct data type
</t>
        </r>
      </text>
    </comment>
    <comment ref="F1" authorId="1" shapeId="0" xr:uid="{2AA114E4-C7DB-4CAD-9885-7A4F693873FF}">
      <text>
        <r>
          <rPr>
            <b/>
            <sz val="9"/>
            <color indexed="81"/>
            <rFont val="Tahoma"/>
            <family val="2"/>
          </rPr>
          <t xml:space="preserve">John Dunridge:
</t>
        </r>
        <r>
          <rPr>
            <sz val="9"/>
            <color indexed="81"/>
            <rFont val="Tahoma"/>
            <family val="2"/>
          </rPr>
          <t xml:space="preserve">If available to all schools = TRUE then does that match the Allowance type. If available to all schools = FALSE do the schools have access to the Allowance type.
</t>
        </r>
      </text>
    </comment>
    <comment ref="H1" authorId="0" shapeId="0" xr:uid="{B2FEC2A4-72FD-4F2B-A000-DB013BBA0098}">
      <text>
        <r>
          <rPr>
            <b/>
            <sz val="9"/>
            <color indexed="81"/>
            <rFont val="Tahoma"/>
            <family val="2"/>
          </rPr>
          <t>Point Code Length &gt;100</t>
        </r>
        <r>
          <rPr>
            <sz val="9"/>
            <color indexed="81"/>
            <rFont val="Tahoma"/>
            <family val="2"/>
          </rPr>
          <t xml:space="preserve">
</t>
        </r>
      </text>
    </comment>
    <comment ref="I1" authorId="0" shapeId="0" xr:uid="{C115BB16-B8C1-4D82-9490-4A93A97FE6C0}">
      <text>
        <r>
          <rPr>
            <b/>
            <sz val="9"/>
            <color indexed="81"/>
            <rFont val="Tahoma"/>
            <family val="2"/>
          </rPr>
          <t>Point Title Length &gt;100</t>
        </r>
      </text>
    </comment>
    <comment ref="K1" authorId="0" shapeId="0" xr:uid="{F128C018-AE1C-4808-8232-4CCB1D81B0FE}">
      <text>
        <r>
          <rPr>
            <b/>
            <sz val="9"/>
            <color indexed="81"/>
            <rFont val="Tahoma"/>
            <family val="2"/>
          </rPr>
          <t>Space in Allowance Point Code</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Kim Smith</author>
  </authors>
  <commentList>
    <comment ref="A1" authorId="0" shapeId="0" xr:uid="{5813965D-F869-4430-9B08-42D93DCE5167}">
      <text>
        <r>
          <rPr>
            <b/>
            <sz val="9"/>
            <color indexed="81"/>
            <rFont val="Tahoma"/>
            <family val="2"/>
          </rPr>
          <t>Allowance Type Code not in Allowance Types</t>
        </r>
        <r>
          <rPr>
            <sz val="9"/>
            <color indexed="81"/>
            <rFont val="Tahoma"/>
            <family val="2"/>
          </rPr>
          <t xml:space="preserve">
</t>
        </r>
      </text>
    </comment>
    <comment ref="B1" authorId="0" shapeId="0" xr:uid="{DA3B80C1-2584-404D-9211-D4406F7DF703}">
      <text>
        <r>
          <rPr>
            <b/>
            <sz val="9"/>
            <color indexed="81"/>
            <rFont val="Tahoma"/>
            <family val="2"/>
          </rPr>
          <t>Allowance Type Code Length &gt;100</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Kim Smith</author>
  </authors>
  <commentList>
    <comment ref="A1" authorId="0" shapeId="0" xr:uid="{B9929BD0-0D0A-4211-94C7-6C2F6FC4F592}">
      <text>
        <r>
          <rPr>
            <b/>
            <sz val="9"/>
            <color indexed="81"/>
            <rFont val="Tahoma"/>
            <family val="2"/>
          </rPr>
          <t>Available all schools TRUE/FALSE + School Codes if applicable</t>
        </r>
        <r>
          <rPr>
            <sz val="9"/>
            <color indexed="81"/>
            <rFont val="Tahoma"/>
            <family val="2"/>
          </rPr>
          <t xml:space="preserve">
</t>
        </r>
      </text>
    </comment>
    <comment ref="B1" authorId="0" shapeId="0" xr:uid="{2FD56573-3281-4BF2-8CEB-BF3A472121E0}">
      <text>
        <r>
          <rPr>
            <b/>
            <sz val="9"/>
            <color indexed="81"/>
            <rFont val="Tahoma"/>
            <family val="2"/>
          </rPr>
          <t>Either remove duplicate row or edit code(s) to make unique</t>
        </r>
      </text>
    </comment>
    <comment ref="E1" authorId="0" shapeId="0" xr:uid="{334869ED-C978-45E9-BD5F-CDF0D8867616}">
      <text>
        <r>
          <rPr>
            <b/>
            <sz val="9"/>
            <color indexed="81"/>
            <rFont val="Tahoma"/>
            <family val="2"/>
          </rPr>
          <t>Adjustment Code Length &gt;100</t>
        </r>
        <r>
          <rPr>
            <sz val="9"/>
            <color indexed="81"/>
            <rFont val="Tahoma"/>
            <family val="2"/>
          </rPr>
          <t xml:space="preserve">
</t>
        </r>
      </text>
    </comment>
    <comment ref="F1" authorId="0" shapeId="0" xr:uid="{C5164238-576C-4E1B-9437-34C396E11337}">
      <text>
        <r>
          <rPr>
            <b/>
            <sz val="9"/>
            <color indexed="81"/>
            <rFont val="Tahoma"/>
            <family val="2"/>
          </rPr>
          <t>Title Length &gt;100</t>
        </r>
      </text>
    </comment>
    <comment ref="G1" authorId="0" shapeId="0" xr:uid="{8003CF62-9F95-4E60-9F0E-8ACBC7D270B9}">
      <text>
        <r>
          <rPr>
            <b/>
            <sz val="9"/>
            <color indexed="81"/>
            <rFont val="Tahoma"/>
            <family val="2"/>
          </rPr>
          <t>Space in Adjustment Type Code</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A1" authorId="0" shapeId="0" xr:uid="{C1DE7960-632D-4E97-9272-701D1E3EF06F}">
      <text>
        <r>
          <rPr>
            <b/>
            <sz val="9"/>
            <color indexed="81"/>
            <rFont val="Tahoma"/>
            <family val="2"/>
          </rPr>
          <t>Available all schools TRUE/FALSE + School Codes if applicable</t>
        </r>
        <r>
          <rPr>
            <sz val="9"/>
            <color indexed="81"/>
            <rFont val="Tahoma"/>
            <family val="2"/>
          </rPr>
          <t xml:space="preserve">
</t>
        </r>
      </text>
    </comment>
    <comment ref="B1" authorId="0" shapeId="0" xr:uid="{A9FA65C1-E0A6-4220-9541-5575FC5DD7F4}">
      <text>
        <r>
          <rPr>
            <b/>
            <sz val="9"/>
            <color indexed="81"/>
            <rFont val="Tahoma"/>
            <family val="2"/>
          </rPr>
          <t>Rate Date To is before Rate Date From</t>
        </r>
        <r>
          <rPr>
            <sz val="9"/>
            <color indexed="81"/>
            <rFont val="Tahoma"/>
            <family val="2"/>
          </rPr>
          <t xml:space="preserve">
</t>
        </r>
      </text>
    </comment>
    <comment ref="C1" authorId="1" shapeId="0" xr:uid="{BCECEF05-4A26-47A4-8CC1-EF83EC813BA0}">
      <text>
        <r>
          <rPr>
            <sz val="9"/>
            <color indexed="81"/>
            <rFont val="Tahoma"/>
            <family val="2"/>
          </rPr>
          <t xml:space="preserve">Checks that the Date fields are using the correct data type
</t>
        </r>
      </text>
    </comment>
    <comment ref="E1" authorId="0" shapeId="0" xr:uid="{1E197680-67B9-4CC2-9295-354E623A6CD7}">
      <text>
        <r>
          <rPr>
            <b/>
            <sz val="9"/>
            <color indexed="81"/>
            <rFont val="Tahoma"/>
            <family val="2"/>
          </rPr>
          <t>Pension Code Length &gt;100</t>
        </r>
        <r>
          <rPr>
            <sz val="9"/>
            <color indexed="81"/>
            <rFont val="Tahoma"/>
            <family val="2"/>
          </rPr>
          <t xml:space="preserve">
</t>
        </r>
      </text>
    </comment>
    <comment ref="F1" authorId="0" shapeId="0" xr:uid="{A888596D-F7A6-4B18-A31C-ADF1B2389D40}">
      <text>
        <r>
          <rPr>
            <b/>
            <sz val="9"/>
            <color indexed="81"/>
            <rFont val="Tahoma"/>
            <family val="2"/>
          </rPr>
          <t>Pension Title Length &gt;100</t>
        </r>
      </text>
    </comment>
    <comment ref="H1" authorId="0" shapeId="0" xr:uid="{18658943-7472-4CBB-9ED1-FD2A92BC8283}">
      <text>
        <r>
          <rPr>
            <b/>
            <sz val="9"/>
            <color indexed="81"/>
            <rFont val="Tahoma"/>
            <family val="2"/>
          </rPr>
          <t>Space in Pension Code</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Kim Smith</author>
  </authors>
  <commentList>
    <comment ref="A1" authorId="0" shapeId="0" xr:uid="{FFE6E521-B749-46A2-83F3-DF66D80F8739}">
      <text>
        <r>
          <rPr>
            <b/>
            <sz val="9"/>
            <color indexed="81"/>
            <rFont val="Tahoma"/>
            <family val="2"/>
          </rPr>
          <t>Available all schools TRUE/FALSE + School Codes if applicable</t>
        </r>
        <r>
          <rPr>
            <sz val="9"/>
            <color indexed="81"/>
            <rFont val="Tahoma"/>
            <family val="2"/>
          </rPr>
          <t xml:space="preserve">
</t>
        </r>
      </text>
    </comment>
    <comment ref="D1" authorId="0" shapeId="0" xr:uid="{A89DEFAB-9B76-4C79-834A-35D911D94E66}">
      <text>
        <r>
          <rPr>
            <b/>
            <sz val="9"/>
            <color indexed="81"/>
            <rFont val="Tahoma"/>
            <family val="2"/>
          </rPr>
          <t>EQW Code Length &gt;100</t>
        </r>
        <r>
          <rPr>
            <sz val="9"/>
            <color indexed="81"/>
            <rFont val="Tahoma"/>
            <family val="2"/>
          </rPr>
          <t xml:space="preserve">
</t>
        </r>
      </text>
    </comment>
    <comment ref="E1" authorId="0" shapeId="0" xr:uid="{143B00DD-DDD1-42DB-A802-DE6EDD5C5274}">
      <text>
        <r>
          <rPr>
            <b/>
            <sz val="9"/>
            <color indexed="81"/>
            <rFont val="Tahoma"/>
            <family val="2"/>
          </rPr>
          <t>EQW Title Length &gt;100</t>
        </r>
      </text>
    </comment>
    <comment ref="F1" authorId="0" shapeId="0" xr:uid="{83562F56-53F3-4A0F-BEF0-85D34F22C79B}">
      <text>
        <r>
          <rPr>
            <b/>
            <sz val="9"/>
            <color indexed="81"/>
            <rFont val="Tahoma"/>
            <family val="2"/>
          </rPr>
          <t>Space in EQWP Code</t>
        </r>
        <r>
          <rPr>
            <sz val="9"/>
            <color indexed="81"/>
            <rFont val="Tahoma"/>
            <family val="2"/>
          </rPr>
          <t xml:space="preserve">
</t>
        </r>
      </text>
    </comment>
    <comment ref="H1" authorId="0" shapeId="0" xr:uid="{D9D880DC-DFCB-43F4-B631-82C28DA7EBE0}">
      <text>
        <r>
          <rPr>
            <b/>
            <sz val="9"/>
            <color indexed="81"/>
            <rFont val="Tahoma"/>
            <family val="2"/>
          </rPr>
          <t>When paid weeks exceed full year. Check with customer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Kim Smith</author>
  </authors>
  <commentList>
    <comment ref="F1" authorId="0" shapeId="0" xr:uid="{50C074B6-D362-4AF6-885F-BBAF6FA830BE}">
      <text>
        <r>
          <rPr>
            <b/>
            <sz val="9"/>
            <color indexed="81"/>
            <rFont val="Tahoma"/>
            <family val="2"/>
          </rPr>
          <t>Gross Salary Finance Code not in Finance Codes</t>
        </r>
        <r>
          <rPr>
            <sz val="9"/>
            <color indexed="81"/>
            <rFont val="Tahoma"/>
            <family val="2"/>
          </rPr>
          <t xml:space="preserve">
</t>
        </r>
      </text>
    </comment>
    <comment ref="G1" authorId="0" shapeId="0" xr:uid="{8BD06A68-C028-40F0-B8E0-97EE87FDB69E}">
      <text>
        <r>
          <rPr>
            <b/>
            <sz val="9"/>
            <color indexed="81"/>
            <rFont val="Tahoma"/>
            <family val="2"/>
          </rPr>
          <t>CRITICAL ERROR - Flag to LC asap, as  import will fail</t>
        </r>
        <r>
          <rPr>
            <sz val="9"/>
            <color indexed="81"/>
            <rFont val="Tahoma"/>
            <family val="2"/>
          </rPr>
          <t xml:space="preserve">
</t>
        </r>
      </text>
    </comment>
    <comment ref="H1" authorId="0" shapeId="0" xr:uid="{18CE87B8-B791-483C-A8B7-2E1FFB8E0B83}">
      <text>
        <r>
          <rPr>
            <b/>
            <sz val="9"/>
            <color indexed="81"/>
            <rFont val="Tahoma"/>
            <family val="2"/>
          </rPr>
          <t>Leave Rebate Finance Code not in Finance Codes</t>
        </r>
        <r>
          <rPr>
            <sz val="9"/>
            <color indexed="81"/>
            <rFont val="Tahoma"/>
            <family val="2"/>
          </rPr>
          <t xml:space="preserve">
</t>
        </r>
      </text>
    </comment>
    <comment ref="I1" authorId="0" shapeId="0" xr:uid="{B60BEFDD-03B1-4A65-A924-F8D32C9AE057}">
      <text>
        <r>
          <rPr>
            <b/>
            <sz val="9"/>
            <color indexed="81"/>
            <rFont val="Tahoma"/>
            <family val="2"/>
          </rPr>
          <t>CRITICAL ERROR - Flag to LC asap, as  import will fail</t>
        </r>
        <r>
          <rPr>
            <sz val="9"/>
            <color indexed="81"/>
            <rFont val="Tahoma"/>
            <family val="2"/>
          </rPr>
          <t xml:space="preserve">
</t>
        </r>
      </text>
    </comment>
    <comment ref="J1" authorId="0" shapeId="0" xr:uid="{C11BE440-B896-4E01-AEF2-29653E3793D4}">
      <text>
        <r>
          <rPr>
            <b/>
            <sz val="9"/>
            <color indexed="81"/>
            <rFont val="Tahoma"/>
            <family val="2"/>
          </rPr>
          <t>Allowances Finance Code not in Finance Codes</t>
        </r>
        <r>
          <rPr>
            <sz val="9"/>
            <color indexed="81"/>
            <rFont val="Tahoma"/>
            <family val="2"/>
          </rPr>
          <t xml:space="preserve">
</t>
        </r>
      </text>
    </comment>
    <comment ref="K1" authorId="0" shapeId="0" xr:uid="{D7D41752-5144-4488-8921-B00F1DDB6E1F}">
      <text>
        <r>
          <rPr>
            <b/>
            <sz val="9"/>
            <color indexed="81"/>
            <rFont val="Tahoma"/>
            <family val="2"/>
          </rPr>
          <t>CRITICAL ERROR - Flag to LC asap, as  import will fail</t>
        </r>
        <r>
          <rPr>
            <sz val="9"/>
            <color indexed="81"/>
            <rFont val="Tahoma"/>
            <family val="2"/>
          </rPr>
          <t xml:space="preserve">
</t>
        </r>
      </text>
    </comment>
    <comment ref="L1" authorId="0" shapeId="0" xr:uid="{CC64B939-0595-4513-BB90-51DC4C02463B}">
      <text>
        <r>
          <rPr>
            <b/>
            <sz val="9"/>
            <color indexed="81"/>
            <rFont val="Tahoma"/>
            <family val="2"/>
          </rPr>
          <t>Adjustment Finance Code not in Finance Codes</t>
        </r>
        <r>
          <rPr>
            <sz val="9"/>
            <color indexed="81"/>
            <rFont val="Tahoma"/>
            <family val="2"/>
          </rPr>
          <t xml:space="preserve">
</t>
        </r>
      </text>
    </comment>
    <comment ref="M1" authorId="0" shapeId="0" xr:uid="{BC6D0DF9-E7CE-42C1-B882-A53F3265604A}">
      <text>
        <r>
          <rPr>
            <b/>
            <sz val="9"/>
            <color indexed="81"/>
            <rFont val="Tahoma"/>
            <family val="2"/>
          </rPr>
          <t>CRITICAL ERROR - Flag to LC asap, as  import will fail</t>
        </r>
        <r>
          <rPr>
            <sz val="9"/>
            <color indexed="81"/>
            <rFont val="Tahoma"/>
            <family val="2"/>
          </rPr>
          <t xml:space="preserve">
</t>
        </r>
      </text>
    </comment>
    <comment ref="N1" authorId="0" shapeId="0" xr:uid="{CBF4D07F-684A-45A0-BF40-9FBE070DE060}">
      <text>
        <r>
          <rPr>
            <b/>
            <sz val="9"/>
            <color indexed="81"/>
            <rFont val="Tahoma"/>
            <family val="2"/>
          </rPr>
          <t>Employers NI Finance Code not in Finance Codes</t>
        </r>
        <r>
          <rPr>
            <sz val="9"/>
            <color indexed="81"/>
            <rFont val="Tahoma"/>
            <family val="2"/>
          </rPr>
          <t xml:space="preserve">
</t>
        </r>
      </text>
    </comment>
    <comment ref="O1" authorId="0" shapeId="0" xr:uid="{737D5CC7-FD7D-4973-8DCB-DD74D9BE0283}">
      <text>
        <r>
          <rPr>
            <b/>
            <sz val="9"/>
            <color indexed="81"/>
            <rFont val="Tahoma"/>
            <family val="2"/>
          </rPr>
          <t>CRITICAL ERROR - Flag to LC asap, as  import will fail</t>
        </r>
        <r>
          <rPr>
            <sz val="9"/>
            <color indexed="81"/>
            <rFont val="Tahoma"/>
            <family val="2"/>
          </rPr>
          <t xml:space="preserve">
</t>
        </r>
      </text>
    </comment>
    <comment ref="P1" authorId="0" shapeId="0" xr:uid="{20331B06-9BED-4FB3-AD50-E248D079F13A}">
      <text>
        <r>
          <rPr>
            <b/>
            <sz val="9"/>
            <color indexed="81"/>
            <rFont val="Tahoma"/>
            <family val="2"/>
          </rPr>
          <t>Pension Finance Code not in Finance Codes</t>
        </r>
        <r>
          <rPr>
            <sz val="9"/>
            <color indexed="81"/>
            <rFont val="Tahoma"/>
            <family val="2"/>
          </rPr>
          <t xml:space="preserve">
</t>
        </r>
      </text>
    </comment>
    <comment ref="Q1" authorId="0" shapeId="0" xr:uid="{5B704397-8D9E-4C2D-8536-15DEBDA74D7E}">
      <text>
        <r>
          <rPr>
            <b/>
            <sz val="9"/>
            <color indexed="81"/>
            <rFont val="Tahoma"/>
            <family val="2"/>
          </rPr>
          <t>CRITICAL ERROR - Flag to LC asap, as  import will fail</t>
        </r>
        <r>
          <rPr>
            <sz val="9"/>
            <color indexed="81"/>
            <rFont val="Tahoma"/>
            <family val="2"/>
          </rPr>
          <t xml:space="preserve">
</t>
        </r>
      </text>
    </comment>
    <comment ref="R1" authorId="0" shapeId="0" xr:uid="{AC6DCE1C-A386-4B59-BFFA-890612F80F6D}">
      <text>
        <r>
          <rPr>
            <b/>
            <sz val="9"/>
            <color indexed="81"/>
            <rFont val="Tahoma"/>
            <family val="2"/>
          </rPr>
          <t>Weekly FTE Finance Code / Ledger Check</t>
        </r>
      </text>
    </comment>
    <comment ref="S1" authorId="0" shapeId="0" xr:uid="{FE82C709-9932-4030-8031-3162F60A03FD}">
      <text>
        <r>
          <rPr>
            <b/>
            <sz val="9"/>
            <color indexed="81"/>
            <rFont val="Tahoma"/>
            <family val="2"/>
          </rPr>
          <t>Annual FTE Finance Code / Ledger Check</t>
        </r>
      </text>
    </comment>
    <comment ref="T1" authorId="0" shapeId="0" xr:uid="{E06F736E-37E7-477B-9350-8F6915EE7FF9}">
      <text>
        <r>
          <rPr>
            <b/>
            <sz val="9"/>
            <color indexed="81"/>
            <rFont val="Tahoma"/>
            <family val="2"/>
          </rPr>
          <t>Weekly FTE Leave Adj Finance Code / Ledger Check</t>
        </r>
        <r>
          <rPr>
            <sz val="9"/>
            <color indexed="81"/>
            <rFont val="Tahoma"/>
            <family val="2"/>
          </rPr>
          <t xml:space="preserve">
</t>
        </r>
      </text>
    </comment>
    <comment ref="U1" authorId="0" shapeId="0" xr:uid="{E1244061-78DF-4ADA-B10C-F282027DD25C}">
      <text>
        <r>
          <rPr>
            <b/>
            <sz val="9"/>
            <color indexed="81"/>
            <rFont val="Tahoma"/>
            <family val="2"/>
          </rPr>
          <t>Annual FTE Leave Adj Finance Code / Ledger Check</t>
        </r>
        <r>
          <rPr>
            <sz val="9"/>
            <color indexed="81"/>
            <rFont val="Tahoma"/>
            <family val="2"/>
          </rPr>
          <t xml:space="preserve">
</t>
        </r>
      </text>
    </comment>
    <comment ref="W1" authorId="0" shapeId="0" xr:uid="{7F21C803-3125-4A87-8930-BC05F603255D}">
      <text>
        <r>
          <rPr>
            <b/>
            <sz val="9"/>
            <color indexed="81"/>
            <rFont val="Tahoma"/>
            <family val="2"/>
          </rPr>
          <t>SRG Code Length &gt;100</t>
        </r>
        <r>
          <rPr>
            <sz val="9"/>
            <color indexed="81"/>
            <rFont val="Tahoma"/>
            <family val="2"/>
          </rPr>
          <t xml:space="preserve">
</t>
        </r>
      </text>
    </comment>
    <comment ref="X1" authorId="0" shapeId="0" xr:uid="{7951B57B-89B7-4D19-AEF8-689F28A0B497}">
      <text>
        <r>
          <rPr>
            <b/>
            <sz val="9"/>
            <color indexed="81"/>
            <rFont val="Tahoma"/>
            <family val="2"/>
          </rPr>
          <t>SRG Title Length &gt;100</t>
        </r>
      </text>
    </comment>
    <comment ref="Y1" authorId="0" shapeId="0" xr:uid="{04DB6D6D-2276-4916-A975-AAA4D5BC8D47}">
      <text>
        <r>
          <rPr>
            <b/>
            <sz val="9"/>
            <color indexed="81"/>
            <rFont val="Tahoma"/>
            <family val="2"/>
          </rPr>
          <t>Space in Staff Role Group Code</t>
        </r>
        <r>
          <rPr>
            <sz val="9"/>
            <color indexed="81"/>
            <rFont val="Tahoma"/>
            <family val="2"/>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C1" authorId="0" shapeId="0" xr:uid="{22F0B266-FB88-4271-9B3A-8047FC04C470}">
      <text>
        <r>
          <rPr>
            <b/>
            <sz val="9"/>
            <color indexed="81"/>
            <rFont val="Tahoma"/>
            <family val="2"/>
          </rPr>
          <t xml:space="preserve">SRG Salary Finance Code not available to School Code
</t>
        </r>
        <r>
          <rPr>
            <sz val="9"/>
            <color indexed="81"/>
            <rFont val="Tahoma"/>
            <family val="2"/>
          </rPr>
          <t xml:space="preserve">
</t>
        </r>
      </text>
    </comment>
    <comment ref="D1" authorId="0" shapeId="0" xr:uid="{E522EDED-F566-4976-BA37-C56695924E59}">
      <text>
        <r>
          <rPr>
            <b/>
            <sz val="9"/>
            <color indexed="81"/>
            <rFont val="Tahoma"/>
            <family val="2"/>
          </rPr>
          <t xml:space="preserve">SRG NI Finance Code not available to School Code
</t>
        </r>
      </text>
    </comment>
    <comment ref="E1" authorId="0" shapeId="0" xr:uid="{C0356A42-DFA4-4D88-A611-88381E7CC8B0}">
      <text>
        <r>
          <rPr>
            <b/>
            <sz val="9"/>
            <color indexed="81"/>
            <rFont val="Tahoma"/>
            <family val="2"/>
          </rPr>
          <t xml:space="preserve">SRG Pension Finance Code not available to School Code
</t>
        </r>
      </text>
    </comment>
    <comment ref="F1" authorId="0" shapeId="0" xr:uid="{44B594A9-30D4-4AAB-9C31-CDF72D201342}">
      <text>
        <r>
          <rPr>
            <b/>
            <sz val="9"/>
            <color indexed="81"/>
            <rFont val="Tahoma"/>
            <family val="2"/>
          </rPr>
          <t>Pay Scale Code not in Pay Scales</t>
        </r>
      </text>
    </comment>
    <comment ref="G1" authorId="1" shapeId="0" xr:uid="{70B63250-D0BE-4184-8857-B42FCB23A5F1}">
      <text>
        <r>
          <rPr>
            <b/>
            <sz val="9"/>
            <color indexed="81"/>
            <rFont val="Tahoma"/>
            <family val="2"/>
          </rPr>
          <t xml:space="preserve">John Dunridge:
</t>
        </r>
        <r>
          <rPr>
            <sz val="9"/>
            <color indexed="81"/>
            <rFont val="Tahoma"/>
            <family val="2"/>
          </rPr>
          <t>If available to all schools = TRUE then does that match the pay scale. If available to all schools = FALSE do the schools have access to the Payscale.</t>
        </r>
      </text>
    </comment>
    <comment ref="H1" authorId="0" shapeId="0" xr:uid="{9CB9400E-4B45-431C-89C4-3294387B0524}">
      <text>
        <r>
          <rPr>
            <b/>
            <sz val="9"/>
            <color indexed="81"/>
            <rFont val="Tahoma"/>
            <family val="2"/>
          </rPr>
          <t>Available all schools TRUE/FALSE + School Codes if applicable</t>
        </r>
        <r>
          <rPr>
            <sz val="9"/>
            <color indexed="81"/>
            <rFont val="Tahoma"/>
            <family val="2"/>
          </rPr>
          <t xml:space="preserve">
</t>
        </r>
      </text>
    </comment>
    <comment ref="J1" authorId="0" shapeId="0" xr:uid="{F2F67B15-1024-4CF2-A107-06DC287B1531}">
      <text>
        <r>
          <rPr>
            <b/>
            <sz val="9"/>
            <color indexed="81"/>
            <rFont val="Tahoma"/>
            <family val="2"/>
          </rPr>
          <t>Role Code Length &gt;100</t>
        </r>
        <r>
          <rPr>
            <sz val="9"/>
            <color indexed="81"/>
            <rFont val="Tahoma"/>
            <family val="2"/>
          </rPr>
          <t xml:space="preserve">
</t>
        </r>
      </text>
    </comment>
    <comment ref="K1" authorId="0" shapeId="0" xr:uid="{9ADAB599-52E2-46F6-AC61-7A072648DCCB}">
      <text>
        <r>
          <rPr>
            <b/>
            <sz val="9"/>
            <color indexed="81"/>
            <rFont val="Tahoma"/>
            <family val="2"/>
          </rPr>
          <t>Role Title Length &gt;100</t>
        </r>
      </text>
    </comment>
    <comment ref="M1" authorId="0" shapeId="0" xr:uid="{013E17E3-BE67-481F-BD3A-A036C1BDFA95}">
      <text>
        <r>
          <rPr>
            <b/>
            <sz val="9"/>
            <color indexed="81"/>
            <rFont val="Tahoma"/>
            <family val="2"/>
          </rPr>
          <t>Space in Staff Role Code</t>
        </r>
        <r>
          <rPr>
            <sz val="9"/>
            <color indexed="81"/>
            <rFont val="Tahoma"/>
            <family val="2"/>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D1" authorId="0" shapeId="0" xr:uid="{FDE96755-58BD-438D-9EE2-4234A8D09C25}">
      <text>
        <r>
          <rPr>
            <b/>
            <sz val="9"/>
            <color indexed="81"/>
            <rFont val="Tahoma"/>
            <family val="2"/>
          </rPr>
          <t>School Code not in Schools</t>
        </r>
        <r>
          <rPr>
            <sz val="9"/>
            <color indexed="81"/>
            <rFont val="Tahoma"/>
            <family val="2"/>
          </rPr>
          <t xml:space="preserve">
</t>
        </r>
      </text>
    </comment>
    <comment ref="E1" authorId="0" shapeId="0" xr:uid="{3F2DAE70-E325-468F-B679-62584625ADCB}">
      <text>
        <r>
          <rPr>
            <b/>
            <sz val="9"/>
            <color indexed="81"/>
            <rFont val="Tahoma"/>
            <family val="2"/>
          </rPr>
          <t>Available all schools TRUE/FALSE + School Codes if applicable</t>
        </r>
        <r>
          <rPr>
            <sz val="9"/>
            <color indexed="81"/>
            <rFont val="Tahoma"/>
            <family val="2"/>
          </rPr>
          <t xml:space="preserve">
</t>
        </r>
      </text>
    </comment>
    <comment ref="F1" authorId="0" shapeId="0" xr:uid="{D3A62B4E-2D8F-4A3D-8AF8-41E00DD2A718}">
      <text>
        <r>
          <rPr>
            <b/>
            <sz val="9"/>
            <color indexed="81"/>
            <rFont val="Tahoma"/>
            <family val="2"/>
          </rPr>
          <t>Service End Date To is before Service Start Date</t>
        </r>
      </text>
    </comment>
    <comment ref="G1" authorId="1" shapeId="0" xr:uid="{C90E1241-B181-445F-A9C4-CDDAB3860C64}">
      <text>
        <r>
          <rPr>
            <sz val="9"/>
            <color indexed="81"/>
            <rFont val="Tahoma"/>
            <family val="2"/>
          </rPr>
          <t xml:space="preserve">Checks that the Date fields are using the correct data type
</t>
        </r>
      </text>
    </comment>
    <comment ref="I1" authorId="0" shapeId="0" xr:uid="{0348DB40-F360-4739-8012-38BBE43CA9BF}">
      <text>
        <r>
          <rPr>
            <b/>
            <sz val="9"/>
            <color indexed="81"/>
            <rFont val="Tahoma"/>
            <family val="2"/>
          </rPr>
          <t>Sraff Member Code Length &gt;100</t>
        </r>
        <r>
          <rPr>
            <sz val="9"/>
            <color indexed="81"/>
            <rFont val="Tahoma"/>
            <family val="2"/>
          </rPr>
          <t xml:space="preserve">
</t>
        </r>
      </text>
    </comment>
    <comment ref="J1" authorId="0" shapeId="0" xr:uid="{7F97EF25-A15E-4504-9C1D-7049CBC73CAF}">
      <text>
        <r>
          <rPr>
            <b/>
            <sz val="9"/>
            <color indexed="81"/>
            <rFont val="Tahoma"/>
            <family val="2"/>
          </rPr>
          <t>Staff Member Title Length &gt;100</t>
        </r>
      </text>
    </comment>
    <comment ref="L1" authorId="0" shapeId="0" xr:uid="{CDA22C53-CB23-4684-970D-33E0B504FF56}">
      <text>
        <r>
          <rPr>
            <b/>
            <sz val="9"/>
            <color indexed="81"/>
            <rFont val="Tahoma"/>
            <family val="2"/>
          </rPr>
          <t xml:space="preserve">if error - Staff Member Code column needs to be formatted as Text (and re-enter data)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B1" authorId="0" shapeId="0" xr:uid="{FAFEAFDF-FF6E-4EB1-AF0C-5A6BABBA51E9}">
      <text>
        <r>
          <rPr>
            <b/>
            <sz val="9"/>
            <color indexed="81"/>
            <rFont val="Tahoma"/>
            <family val="2"/>
          </rPr>
          <t>Contract needs a Reference</t>
        </r>
        <r>
          <rPr>
            <sz val="9"/>
            <color indexed="81"/>
            <rFont val="Tahoma"/>
            <family val="2"/>
          </rPr>
          <t xml:space="preserve">
</t>
        </r>
      </text>
    </comment>
    <comment ref="C1" authorId="0" shapeId="0" xr:uid="{E23C0AC3-81D0-48B5-9C45-7AFA879678B1}">
      <text>
        <r>
          <rPr>
            <b/>
            <sz val="9"/>
            <color indexed="81"/>
            <rFont val="Tahoma"/>
            <family val="2"/>
          </rPr>
          <t>Location not available to Staff Member (in Staff Members)</t>
        </r>
        <r>
          <rPr>
            <sz val="9"/>
            <color indexed="81"/>
            <rFont val="Tahoma"/>
            <family val="2"/>
          </rPr>
          <t xml:space="preserve">
</t>
        </r>
      </text>
    </comment>
    <comment ref="D1" authorId="0" shapeId="0" xr:uid="{B79DD0C6-CA94-4CB8-B0E0-3B2753C413BA}">
      <text>
        <r>
          <rPr>
            <b/>
            <sz val="9"/>
            <color indexed="81"/>
            <rFont val="Tahoma"/>
            <family val="2"/>
          </rPr>
          <t>Role not available to School</t>
        </r>
      </text>
    </comment>
    <comment ref="E1" authorId="0" shapeId="0" xr:uid="{ED9D783C-8C5E-4583-8FF8-1121F9ABC256}">
      <text>
        <r>
          <rPr>
            <b/>
            <sz val="9"/>
            <color indexed="81"/>
            <rFont val="Tahoma"/>
            <family val="2"/>
          </rPr>
          <t>Check Finance Code For SRG</t>
        </r>
        <r>
          <rPr>
            <sz val="9"/>
            <color indexed="81"/>
            <rFont val="Tahoma"/>
            <family val="2"/>
          </rPr>
          <t xml:space="preserve">
</t>
        </r>
      </text>
    </comment>
    <comment ref="F1" authorId="0" shapeId="0" xr:uid="{C9D8CCF8-2FF8-495B-A27F-1A97838A653D}">
      <text>
        <r>
          <rPr>
            <b/>
            <sz val="9"/>
            <color indexed="81"/>
            <rFont val="Tahoma"/>
            <family val="2"/>
          </rPr>
          <t>Pay Scale not available to School</t>
        </r>
      </text>
    </comment>
    <comment ref="G1" authorId="0" shapeId="0" xr:uid="{1E9BD493-F256-4752-970C-E87F7610B68E}">
      <text>
        <r>
          <rPr>
            <b/>
            <sz val="9"/>
            <color indexed="81"/>
            <rFont val="Tahoma"/>
            <family val="2"/>
          </rPr>
          <t>Grade Code not available to School</t>
        </r>
      </text>
    </comment>
    <comment ref="H1" authorId="0" shapeId="0" xr:uid="{277F99FA-740B-4ADB-A132-04C7C8AF18C4}">
      <text>
        <r>
          <rPr>
            <b/>
            <sz val="9"/>
            <color indexed="81"/>
            <rFont val="Tahoma"/>
            <family val="2"/>
          </rPr>
          <t>Grade Code not in Pay Scale Grades</t>
        </r>
        <r>
          <rPr>
            <sz val="9"/>
            <color indexed="81"/>
            <rFont val="Tahoma"/>
            <family val="2"/>
          </rPr>
          <t xml:space="preserve">
</t>
        </r>
      </text>
    </comment>
    <comment ref="I1" authorId="0" shapeId="0" xr:uid="{21307DB7-232B-4892-A616-8EBD57E74D1F}">
      <text>
        <r>
          <rPr>
            <b/>
            <sz val="9"/>
            <color indexed="81"/>
            <rFont val="Tahoma"/>
            <family val="2"/>
          </rPr>
          <t>Scale Point code not in Pay Scale</t>
        </r>
        <r>
          <rPr>
            <sz val="9"/>
            <color indexed="81"/>
            <rFont val="Tahoma"/>
            <family val="2"/>
          </rPr>
          <t xml:space="preserve">
</t>
        </r>
      </text>
    </comment>
    <comment ref="J1" authorId="0" shapeId="0" xr:uid="{AE8B4E51-8E01-45D0-854F-6AE4C446DD5C}">
      <text>
        <r>
          <rPr>
            <b/>
            <sz val="9"/>
            <color indexed="81"/>
            <rFont val="Tahoma"/>
            <family val="2"/>
          </rPr>
          <t>Scale point code not in Grade points range</t>
        </r>
      </text>
    </comment>
    <comment ref="K1" authorId="0" shapeId="0" xr:uid="{43443C2A-F9D4-459E-8F2A-4E792EE530B6}">
      <text>
        <r>
          <rPr>
            <b/>
            <sz val="9"/>
            <color indexed="81"/>
            <rFont val="Tahoma"/>
            <family val="2"/>
          </rPr>
          <t>Scale Point Code is disabled in one or more Pay Scales - check scale for this contract line</t>
        </r>
      </text>
    </comment>
    <comment ref="L1" authorId="0" shapeId="0" xr:uid="{B3C296E0-48DE-4663-9A68-A11CE06D25FA}">
      <text>
        <r>
          <rPr>
            <b/>
            <sz val="9"/>
            <color indexed="81"/>
            <rFont val="Tahoma"/>
            <family val="2"/>
          </rPr>
          <t>Dept not available to School</t>
        </r>
      </text>
    </comment>
    <comment ref="M1" authorId="1" shapeId="0" xr:uid="{363F649C-E0F1-4ECA-8460-751A621CDD64}">
      <text>
        <r>
          <rPr>
            <b/>
            <sz val="9"/>
            <color indexed="81"/>
            <rFont val="Tahoma"/>
            <family val="2"/>
          </rPr>
          <t xml:space="preserve">Are the finance code and the department code on the same ledger?
</t>
        </r>
      </text>
    </comment>
    <comment ref="N1" authorId="0" shapeId="0" xr:uid="{26E707AB-7B4A-4146-9A03-76FA56E86289}">
      <text>
        <r>
          <rPr>
            <b/>
            <sz val="9"/>
            <color indexed="81"/>
            <rFont val="Tahoma"/>
            <family val="2"/>
          </rPr>
          <t>Pension Code not in Pensions</t>
        </r>
      </text>
    </comment>
    <comment ref="O1" authorId="0" shapeId="0" xr:uid="{A70F79D1-6D71-4001-BE31-C0BF551A94EA}">
      <text>
        <r>
          <rPr>
            <b/>
            <sz val="9"/>
            <color indexed="81"/>
            <rFont val="Tahoma"/>
            <family val="2"/>
          </rPr>
          <t>EQWP Code not in EQWP</t>
        </r>
      </text>
    </comment>
    <comment ref="P1" authorId="0" shapeId="0" xr:uid="{217C17DE-314D-4EF1-8087-A3F458584396}">
      <text>
        <r>
          <rPr>
            <b/>
            <sz val="9"/>
            <color indexed="81"/>
            <rFont val="Tahoma"/>
            <family val="2"/>
          </rPr>
          <t>Contract Type code not in Contract Types</t>
        </r>
        <r>
          <rPr>
            <sz val="9"/>
            <color indexed="81"/>
            <rFont val="Tahoma"/>
            <family val="2"/>
          </rPr>
          <t xml:space="preserve">
</t>
        </r>
      </text>
    </comment>
    <comment ref="Q1" authorId="0" shapeId="0" xr:uid="{7A837CFE-9140-4987-9F59-5FAB106E288A}">
      <text>
        <r>
          <rPr>
            <b/>
            <sz val="9"/>
            <color indexed="81"/>
            <rFont val="Tahoma"/>
            <family val="2"/>
          </rPr>
          <t>Contract From Date pre-dates Service Start Date (in Staff Members)</t>
        </r>
      </text>
    </comment>
    <comment ref="R1" authorId="0" shapeId="0" xr:uid="{3544C471-9726-4B05-8BE9-BA6AAA669EB9}">
      <text>
        <r>
          <rPr>
            <b/>
            <sz val="9"/>
            <color indexed="81"/>
            <rFont val="Tahoma"/>
            <family val="2"/>
          </rPr>
          <t>Contract To Date is after Service End Date (in Staff Members)</t>
        </r>
      </text>
    </comment>
    <comment ref="S1" authorId="0" shapeId="0" xr:uid="{572C713A-03B0-4A7A-9139-B7D159964307}">
      <text>
        <r>
          <rPr>
            <b/>
            <sz val="9"/>
            <color indexed="81"/>
            <rFont val="Tahoma"/>
            <family val="2"/>
          </rPr>
          <t>Date To is before Date From</t>
        </r>
      </text>
    </comment>
    <comment ref="T1" authorId="1" shapeId="0" xr:uid="{1920DAC5-CCFC-44E1-B501-718EC0A8F3C8}">
      <text>
        <r>
          <rPr>
            <sz val="9"/>
            <color indexed="81"/>
            <rFont val="Tahoma"/>
            <family val="2"/>
          </rPr>
          <t xml:space="preserve">Checks that the Date fields are using the correct data type
</t>
        </r>
      </text>
    </comment>
    <comment ref="V1" authorId="0" shapeId="0" xr:uid="{A3C23987-6C90-40D2-8267-49E7B958BAEB}">
      <text>
        <r>
          <rPr>
            <b/>
            <sz val="9"/>
            <color indexed="81"/>
            <rFont val="Tahoma"/>
            <family val="2"/>
          </rPr>
          <t>Fund Code not in Fund Codes</t>
        </r>
      </text>
    </comment>
    <comment ref="W1" authorId="0" shapeId="0" xr:uid="{58892ECE-CA1D-4FFA-8A50-EB4B948D0898}">
      <text>
        <r>
          <rPr>
            <b/>
            <sz val="9"/>
            <color indexed="81"/>
            <rFont val="Tahoma"/>
            <family val="2"/>
          </rPr>
          <t>Notes Length &gt;4000</t>
        </r>
        <r>
          <rPr>
            <sz val="9"/>
            <color indexed="81"/>
            <rFont val="Tahoma"/>
            <family val="2"/>
          </rPr>
          <t xml:space="preserve">
</t>
        </r>
      </text>
    </comment>
    <comment ref="X1" authorId="0" shapeId="0" xr:uid="{D950EE24-6797-487A-A838-02DE1716E9E6}">
      <text>
        <r>
          <rPr>
            <b/>
            <sz val="9"/>
            <color indexed="81"/>
            <rFont val="Tahoma"/>
            <family val="2"/>
          </rPr>
          <t>Space in Reference (this is a code)</t>
        </r>
        <r>
          <rPr>
            <sz val="9"/>
            <color indexed="81"/>
            <rFont val="Tahoma"/>
            <family val="2"/>
          </rPr>
          <t xml:space="preserv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B1" authorId="0" shapeId="0" xr:uid="{A2C852DD-AC9F-43C6-B232-4FB5E6B416F2}">
      <text>
        <r>
          <rPr>
            <b/>
            <sz val="9"/>
            <color indexed="81"/>
            <rFont val="Tahoma"/>
            <family val="2"/>
          </rPr>
          <t>Contract needs a Reference</t>
        </r>
        <r>
          <rPr>
            <sz val="9"/>
            <color indexed="81"/>
            <rFont val="Tahoma"/>
            <family val="2"/>
          </rPr>
          <t xml:space="preserve">
</t>
        </r>
      </text>
    </comment>
    <comment ref="C1" authorId="0" shapeId="0" xr:uid="{030286B6-A0F7-4409-A039-921F932516C4}">
      <text>
        <r>
          <rPr>
            <b/>
            <sz val="9"/>
            <color indexed="81"/>
            <rFont val="Tahoma"/>
            <family val="2"/>
          </rPr>
          <t>Location not available to Staff Member (in Staff Members)</t>
        </r>
        <r>
          <rPr>
            <sz val="9"/>
            <color indexed="81"/>
            <rFont val="Tahoma"/>
            <family val="2"/>
          </rPr>
          <t xml:space="preserve">
</t>
        </r>
      </text>
    </comment>
    <comment ref="D1" authorId="0" shapeId="0" xr:uid="{CC8CBAE3-0BC1-4C45-8972-DE8DB8092B19}">
      <text>
        <r>
          <rPr>
            <b/>
            <sz val="9"/>
            <color indexed="81"/>
            <rFont val="Tahoma"/>
            <family val="2"/>
          </rPr>
          <t>Role not available to School</t>
        </r>
      </text>
    </comment>
    <comment ref="E1" authorId="0" shapeId="0" xr:uid="{95144BB3-C8F2-4F3B-AB0F-BB19ABD8F23C}">
      <text>
        <r>
          <rPr>
            <b/>
            <sz val="9"/>
            <color indexed="81"/>
            <rFont val="Tahoma"/>
            <family val="2"/>
          </rPr>
          <t>Check Finance Code For SRG</t>
        </r>
        <r>
          <rPr>
            <sz val="9"/>
            <color indexed="81"/>
            <rFont val="Tahoma"/>
            <family val="2"/>
          </rPr>
          <t xml:space="preserve">
</t>
        </r>
      </text>
    </comment>
    <comment ref="F1" authorId="0" shapeId="0" xr:uid="{A305A578-5918-452A-B3C3-71CAEDB0A953}">
      <text>
        <r>
          <rPr>
            <b/>
            <sz val="9"/>
            <color indexed="81"/>
            <rFont val="Tahoma"/>
            <family val="2"/>
          </rPr>
          <t>Pay Scale not available to School</t>
        </r>
      </text>
    </comment>
    <comment ref="G1" authorId="0" shapeId="0" xr:uid="{DC99C574-EEC5-4FF0-A757-CCC2AABD78C8}">
      <text>
        <r>
          <rPr>
            <b/>
            <sz val="9"/>
            <color indexed="81"/>
            <rFont val="Tahoma"/>
            <family val="2"/>
          </rPr>
          <t>Grade Code not available to School</t>
        </r>
      </text>
    </comment>
    <comment ref="H1" authorId="0" shapeId="0" xr:uid="{15AE5AD5-2357-43EA-85B2-22317EC30056}">
      <text>
        <r>
          <rPr>
            <b/>
            <sz val="9"/>
            <color indexed="81"/>
            <rFont val="Tahoma"/>
            <family val="2"/>
          </rPr>
          <t>Grade Code not in Pay Scale Grades</t>
        </r>
        <r>
          <rPr>
            <sz val="9"/>
            <color indexed="81"/>
            <rFont val="Tahoma"/>
            <family val="2"/>
          </rPr>
          <t xml:space="preserve">
</t>
        </r>
      </text>
    </comment>
    <comment ref="I1" authorId="0" shapeId="0" xr:uid="{2CC9E05A-A776-4FED-9AC4-BEC7D30D3D21}">
      <text>
        <r>
          <rPr>
            <b/>
            <sz val="9"/>
            <color indexed="81"/>
            <rFont val="Tahoma"/>
            <family val="2"/>
          </rPr>
          <t>Scale Point code not in Pay Scale</t>
        </r>
        <r>
          <rPr>
            <sz val="9"/>
            <color indexed="81"/>
            <rFont val="Tahoma"/>
            <family val="2"/>
          </rPr>
          <t xml:space="preserve">
</t>
        </r>
      </text>
    </comment>
    <comment ref="J1" authorId="0" shapeId="0" xr:uid="{B03068B6-D9BF-46E0-8E52-49B70D41A828}">
      <text>
        <r>
          <rPr>
            <b/>
            <sz val="9"/>
            <color indexed="81"/>
            <rFont val="Tahoma"/>
            <family val="2"/>
          </rPr>
          <t>Scale point code not in Grade points range</t>
        </r>
      </text>
    </comment>
    <comment ref="K1" authorId="0" shapeId="0" xr:uid="{5B6F10D4-11B1-400F-9EA7-D799028AA8A6}">
      <text>
        <r>
          <rPr>
            <b/>
            <sz val="9"/>
            <color indexed="81"/>
            <rFont val="Tahoma"/>
            <family val="2"/>
          </rPr>
          <t>Scale Point Code is disabled in one or more Pay Scales - check scale for this contract line</t>
        </r>
      </text>
    </comment>
    <comment ref="L1" authorId="0" shapeId="0" xr:uid="{F28EF990-A65F-41F7-AFB4-55EDB84A4DAF}">
      <text>
        <r>
          <rPr>
            <b/>
            <sz val="9"/>
            <color indexed="81"/>
            <rFont val="Tahoma"/>
            <family val="2"/>
          </rPr>
          <t>Dept not available to School</t>
        </r>
      </text>
    </comment>
    <comment ref="M1" authorId="1" shapeId="0" xr:uid="{054F3716-6B40-463D-B958-513D3777255B}">
      <text>
        <r>
          <rPr>
            <b/>
            <sz val="9"/>
            <color indexed="81"/>
            <rFont val="Tahoma"/>
            <family val="2"/>
          </rPr>
          <t xml:space="preserve">Are the finance code and the department code on the same ledger?
</t>
        </r>
      </text>
    </comment>
    <comment ref="N1" authorId="0" shapeId="0" xr:uid="{AA7B018F-0378-4BB3-A7EC-EA9BBD6C2BCD}">
      <text>
        <r>
          <rPr>
            <b/>
            <sz val="9"/>
            <color indexed="81"/>
            <rFont val="Tahoma"/>
            <family val="2"/>
          </rPr>
          <t>Pension Code not in Pensions</t>
        </r>
      </text>
    </comment>
    <comment ref="O1" authorId="0" shapeId="0" xr:uid="{8E8485E1-7E17-4CB0-83C8-0C2543FC77B8}">
      <text>
        <r>
          <rPr>
            <b/>
            <sz val="9"/>
            <color indexed="81"/>
            <rFont val="Tahoma"/>
            <family val="2"/>
          </rPr>
          <t>EQWP Code not in EQWP</t>
        </r>
      </text>
    </comment>
    <comment ref="P1" authorId="0" shapeId="0" xr:uid="{6D87BBC9-687B-4F1F-A25A-1371C4076D3B}">
      <text>
        <r>
          <rPr>
            <b/>
            <sz val="9"/>
            <color indexed="81"/>
            <rFont val="Tahoma"/>
            <family val="2"/>
          </rPr>
          <t>Contract Type code not in Contract Types</t>
        </r>
        <r>
          <rPr>
            <sz val="9"/>
            <color indexed="81"/>
            <rFont val="Tahoma"/>
            <family val="2"/>
          </rPr>
          <t xml:space="preserve">
</t>
        </r>
      </text>
    </comment>
    <comment ref="Q1" authorId="0" shapeId="0" xr:uid="{2F496226-C425-4F5B-9C5D-D3099000D5C8}">
      <text>
        <r>
          <rPr>
            <b/>
            <sz val="9"/>
            <color indexed="81"/>
            <rFont val="Tahoma"/>
            <family val="2"/>
          </rPr>
          <t>Contract From Date pre-dates Service Start Date (in Staff Members)</t>
        </r>
      </text>
    </comment>
    <comment ref="R1" authorId="0" shapeId="0" xr:uid="{1B95D011-7BB2-475F-A446-5AA5D258C818}">
      <text>
        <r>
          <rPr>
            <b/>
            <sz val="9"/>
            <color indexed="81"/>
            <rFont val="Tahoma"/>
            <family val="2"/>
          </rPr>
          <t>Contract To Date is after Service End Date (in Staff Members)</t>
        </r>
      </text>
    </comment>
    <comment ref="S1" authorId="0" shapeId="0" xr:uid="{925489F5-07B6-4352-8032-41D979154923}">
      <text>
        <r>
          <rPr>
            <b/>
            <sz val="9"/>
            <color indexed="81"/>
            <rFont val="Tahoma"/>
            <family val="2"/>
          </rPr>
          <t>Date To is before Date From</t>
        </r>
      </text>
    </comment>
    <comment ref="T1" authorId="1" shapeId="0" xr:uid="{C471B874-D4FC-42CD-A00D-81C233007026}">
      <text>
        <r>
          <rPr>
            <sz val="9"/>
            <color indexed="81"/>
            <rFont val="Tahoma"/>
            <family val="2"/>
          </rPr>
          <t xml:space="preserve">Checks that the Date fields are using the correct data type
</t>
        </r>
      </text>
    </comment>
    <comment ref="V1" authorId="0" shapeId="0" xr:uid="{30EC63F2-35D2-446C-9C81-7C11BB569B28}">
      <text>
        <r>
          <rPr>
            <b/>
            <sz val="9"/>
            <color indexed="81"/>
            <rFont val="Tahoma"/>
            <family val="2"/>
          </rPr>
          <t>Fund Code not in Fund Codes</t>
        </r>
      </text>
    </comment>
    <comment ref="W1" authorId="0" shapeId="0" xr:uid="{301301EE-2F24-470E-A7F2-82E9BCC7A800}">
      <text>
        <r>
          <rPr>
            <b/>
            <sz val="9"/>
            <color indexed="81"/>
            <rFont val="Tahoma"/>
            <family val="2"/>
          </rPr>
          <t>Notes Length &gt;4000</t>
        </r>
        <r>
          <rPr>
            <sz val="9"/>
            <color indexed="81"/>
            <rFont val="Tahoma"/>
            <family val="2"/>
          </rPr>
          <t xml:space="preserve">
</t>
        </r>
      </text>
    </comment>
    <comment ref="X1" authorId="0" shapeId="0" xr:uid="{5828F310-EEFB-4354-A31E-87485CDA9F79}">
      <text>
        <r>
          <rPr>
            <b/>
            <sz val="9"/>
            <color indexed="81"/>
            <rFont val="Tahoma"/>
            <family val="2"/>
          </rPr>
          <t>Space in Reference Code</t>
        </r>
        <r>
          <rPr>
            <sz val="9"/>
            <color indexed="81"/>
            <rFont val="Tahoma"/>
            <family val="2"/>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C1" authorId="0" shapeId="0" xr:uid="{72E693C3-2186-4195-8379-AA02F520DA7C}">
      <text>
        <r>
          <rPr>
            <b/>
            <sz val="9"/>
            <color indexed="81"/>
            <rFont val="Tahoma"/>
            <family val="2"/>
          </rPr>
          <t>Contract not in Contracts Teach / Contracts Support</t>
        </r>
        <r>
          <rPr>
            <sz val="9"/>
            <color indexed="81"/>
            <rFont val="Tahoma"/>
            <family val="2"/>
          </rPr>
          <t xml:space="preserve">
</t>
        </r>
      </text>
    </comment>
    <comment ref="D1" authorId="0" shapeId="0" xr:uid="{B1327E94-B598-418D-81F6-45801BC95F57}">
      <text>
        <r>
          <rPr>
            <b/>
            <sz val="9"/>
            <color indexed="81"/>
            <rFont val="Tahoma"/>
            <family val="2"/>
          </rPr>
          <t>point code not available to school</t>
        </r>
        <r>
          <rPr>
            <sz val="9"/>
            <color indexed="81"/>
            <rFont val="Tahoma"/>
            <family val="2"/>
          </rPr>
          <t xml:space="preserve">
</t>
        </r>
      </text>
    </comment>
    <comment ref="E1" authorId="0" shapeId="0" xr:uid="{FBA7E218-F850-4DAD-9F84-9203D5E03441}">
      <text>
        <r>
          <rPr>
            <b/>
            <sz val="9"/>
            <color indexed="81"/>
            <rFont val="Tahoma"/>
            <family val="2"/>
          </rPr>
          <t>Dept not available to School</t>
        </r>
      </text>
    </comment>
    <comment ref="F1" authorId="0" shapeId="0" xr:uid="{3AD65771-5EB5-4DF6-B15A-413193F9A266}">
      <text>
        <r>
          <rPr>
            <b/>
            <sz val="9"/>
            <color indexed="81"/>
            <rFont val="Tahoma"/>
            <family val="2"/>
          </rPr>
          <t>Allowance Code is not in Allowance Types</t>
        </r>
        <r>
          <rPr>
            <sz val="9"/>
            <color indexed="81"/>
            <rFont val="Tahoma"/>
            <family val="2"/>
          </rPr>
          <t xml:space="preserve">
</t>
        </r>
      </text>
    </comment>
    <comment ref="G1" authorId="0" shapeId="0" xr:uid="{1655D549-71A7-4FC0-8DE6-8F6788EBE1E2}">
      <text>
        <r>
          <rPr>
            <b/>
            <sz val="9"/>
            <color indexed="81"/>
            <rFont val="Tahoma"/>
            <family val="2"/>
          </rPr>
          <t>Allowance Point Code is not in Allowance Type Points</t>
        </r>
        <r>
          <rPr>
            <sz val="9"/>
            <color indexed="81"/>
            <rFont val="Tahoma"/>
            <family val="2"/>
          </rPr>
          <t xml:space="preserve">
</t>
        </r>
      </text>
    </comment>
    <comment ref="H1" authorId="0" shapeId="0" xr:uid="{BC1C0A69-4496-472F-AAD1-9AED5458589C}">
      <text>
        <r>
          <rPr>
            <b/>
            <sz val="9"/>
            <color indexed="81"/>
            <rFont val="Tahoma"/>
            <family val="2"/>
          </rPr>
          <t>If 2 same allowances is correct for one person, then create a code for second allowance (same type #2) in Allowance Type Point</t>
        </r>
        <r>
          <rPr>
            <sz val="9"/>
            <color indexed="81"/>
            <rFont val="Tahoma"/>
            <family val="2"/>
          </rPr>
          <t xml:space="preserve">
</t>
        </r>
      </text>
    </comment>
    <comment ref="I1" authorId="0" shapeId="0" xr:uid="{B62D6D72-4662-42AB-BE0D-B32DADCEBA05}">
      <text>
        <r>
          <rPr>
            <b/>
            <sz val="9"/>
            <color indexed="81"/>
            <rFont val="Tahoma"/>
            <family val="2"/>
          </rPr>
          <t>Allowance Date From pre-dates Contract Date From</t>
        </r>
        <r>
          <rPr>
            <sz val="9"/>
            <color indexed="81"/>
            <rFont val="Tahoma"/>
            <family val="2"/>
          </rPr>
          <t xml:space="preserve">
</t>
        </r>
      </text>
    </comment>
    <comment ref="J1" authorId="0" shapeId="0" xr:uid="{B67EF39B-9261-499E-B145-285AA7BF44A9}">
      <text>
        <r>
          <rPr>
            <b/>
            <sz val="9"/>
            <color indexed="81"/>
            <rFont val="Tahoma"/>
            <family val="2"/>
          </rPr>
          <t>Contract Date To is before Contract Date From</t>
        </r>
        <r>
          <rPr>
            <sz val="9"/>
            <color indexed="81"/>
            <rFont val="Tahoma"/>
            <family val="2"/>
          </rPr>
          <t xml:space="preserve">
</t>
        </r>
      </text>
    </comment>
    <comment ref="K1" authorId="0" shapeId="0" xr:uid="{9560B233-0B24-411E-9E70-704E73B97151}">
      <text>
        <r>
          <rPr>
            <b/>
            <sz val="9"/>
            <color indexed="81"/>
            <rFont val="Tahoma"/>
            <family val="2"/>
          </rPr>
          <t>Allowance Date To is before Allowance Date From</t>
        </r>
        <r>
          <rPr>
            <sz val="9"/>
            <color indexed="81"/>
            <rFont val="Tahoma"/>
            <family val="2"/>
          </rPr>
          <t xml:space="preserve">
</t>
        </r>
      </text>
    </comment>
    <comment ref="L1" authorId="1" shapeId="0" xr:uid="{79C47186-237D-492C-B27C-6FB483546E57}">
      <text>
        <r>
          <rPr>
            <sz val="9"/>
            <color indexed="81"/>
            <rFont val="Tahoma"/>
            <family val="2"/>
          </rPr>
          <t xml:space="preserve">Checks that the Date fields are using the correct data type
</t>
        </r>
      </text>
    </comment>
    <comment ref="N1" authorId="0" shapeId="0" xr:uid="{B75DE8C8-D74D-47F0-9B12-837CEF212AE6}">
      <text>
        <r>
          <rPr>
            <b/>
            <sz val="9"/>
            <color indexed="81"/>
            <rFont val="Tahoma"/>
            <family val="2"/>
          </rPr>
          <t>Notes Length &gt;4000</t>
        </r>
        <r>
          <rPr>
            <sz val="9"/>
            <color indexed="81"/>
            <rFont val="Tahoma"/>
            <family val="2"/>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C1" authorId="0" shapeId="0" xr:uid="{B658AD3E-79F8-4CC4-AD2C-E7583502CA3C}">
      <text>
        <r>
          <rPr>
            <b/>
            <sz val="9"/>
            <color indexed="81"/>
            <rFont val="Tahoma"/>
            <family val="2"/>
          </rPr>
          <t>Contract not in Contracts Teach / Contracts Support</t>
        </r>
        <r>
          <rPr>
            <sz val="9"/>
            <color indexed="81"/>
            <rFont val="Tahoma"/>
            <family val="2"/>
          </rPr>
          <t xml:space="preserve">
</t>
        </r>
      </text>
    </comment>
    <comment ref="D1" authorId="0" shapeId="0" xr:uid="{BE9CCE36-EDDA-479E-86A4-4B0A3EAFC863}">
      <text>
        <r>
          <rPr>
            <b/>
            <sz val="9"/>
            <color indexed="81"/>
            <rFont val="Tahoma"/>
            <family val="2"/>
          </rPr>
          <t>Dept not available to School</t>
        </r>
      </text>
    </comment>
    <comment ref="E1" authorId="0" shapeId="0" xr:uid="{3B8ABF92-8717-41F0-A87E-BD8271076B07}">
      <text>
        <r>
          <rPr>
            <b/>
            <sz val="9"/>
            <color indexed="81"/>
            <rFont val="Tahoma"/>
            <family val="2"/>
          </rPr>
          <t>Adjustment Code is not in Adjustment Types</t>
        </r>
        <r>
          <rPr>
            <sz val="9"/>
            <color indexed="81"/>
            <rFont val="Tahoma"/>
            <family val="2"/>
          </rPr>
          <t xml:space="preserve">
</t>
        </r>
      </text>
    </comment>
    <comment ref="F1" authorId="0" shapeId="0" xr:uid="{8C5371EC-B65B-4976-83B7-9DC37C9A1B6F}">
      <text>
        <r>
          <rPr>
            <b/>
            <sz val="9"/>
            <color indexed="81"/>
            <rFont val="Tahoma"/>
            <family val="2"/>
          </rPr>
          <t>If 2 same adjustments is correct for one person, then create a code for second adjustment (#2) in Adjustment Types</t>
        </r>
        <r>
          <rPr>
            <sz val="9"/>
            <color indexed="81"/>
            <rFont val="Tahoma"/>
            <family val="2"/>
          </rPr>
          <t xml:space="preserve">
</t>
        </r>
      </text>
    </comment>
    <comment ref="G1" authorId="0" shapeId="0" xr:uid="{1AF0F4D0-4E1F-4CE5-997C-F77425BB7EC9}">
      <text>
        <r>
          <rPr>
            <b/>
            <sz val="9"/>
            <color indexed="81"/>
            <rFont val="Tahoma"/>
            <family val="2"/>
          </rPr>
          <t>Adjustment Date From pre-dates Contract Date From</t>
        </r>
        <r>
          <rPr>
            <sz val="9"/>
            <color indexed="81"/>
            <rFont val="Tahoma"/>
            <family val="2"/>
          </rPr>
          <t xml:space="preserve">
</t>
        </r>
      </text>
    </comment>
    <comment ref="H1" authorId="0" shapeId="0" xr:uid="{F0976C2D-6314-4665-AE7C-E4E9AB9FAF68}">
      <text>
        <r>
          <rPr>
            <b/>
            <sz val="9"/>
            <color indexed="81"/>
            <rFont val="Tahoma"/>
            <family val="2"/>
          </rPr>
          <t>Contract Date To is before Contract Date From</t>
        </r>
        <r>
          <rPr>
            <sz val="9"/>
            <color indexed="81"/>
            <rFont val="Tahoma"/>
            <family val="2"/>
          </rPr>
          <t xml:space="preserve">
</t>
        </r>
      </text>
    </comment>
    <comment ref="I1" authorId="0" shapeId="0" xr:uid="{3FFD8083-4C84-42B8-B158-A4FAE0435503}">
      <text>
        <r>
          <rPr>
            <b/>
            <sz val="9"/>
            <color indexed="81"/>
            <rFont val="Tahoma"/>
            <family val="2"/>
          </rPr>
          <t>Adjustment Date To is before Adjustment Date From</t>
        </r>
        <r>
          <rPr>
            <sz val="9"/>
            <color indexed="81"/>
            <rFont val="Tahoma"/>
            <family val="2"/>
          </rPr>
          <t xml:space="preserve">
</t>
        </r>
      </text>
    </comment>
    <comment ref="J1" authorId="1" shapeId="0" xr:uid="{4D27A440-2A6B-4DAF-BE28-BCF4B1D56D06}">
      <text>
        <r>
          <rPr>
            <sz val="9"/>
            <color indexed="81"/>
            <rFont val="Tahoma"/>
            <family val="2"/>
          </rPr>
          <t xml:space="preserve">Checks that the Date fields are using the correct data type
</t>
        </r>
      </text>
    </comment>
    <comment ref="K1" authorId="0" shapeId="0" xr:uid="{451596EA-C888-4CFF-88B9-BA1BA5139A53}">
      <text>
        <r>
          <rPr>
            <b/>
            <sz val="9"/>
            <color indexed="81"/>
            <rFont val="Tahoma"/>
            <family val="2"/>
          </rPr>
          <t>Notes Length &gt;4000</t>
        </r>
        <r>
          <rPr>
            <sz val="9"/>
            <color indexed="81"/>
            <rFont val="Tahoma"/>
            <family val="2"/>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A1" authorId="0" shapeId="0" xr:uid="{A87B8ACC-44A1-4CEC-9E09-67B0D2E889FD}">
      <text>
        <r>
          <rPr>
            <b/>
            <sz val="9"/>
            <color indexed="81"/>
            <rFont val="Tahoma"/>
            <family val="2"/>
          </rPr>
          <t>Available all schools TRUE/FALSE + School Codes if applicable</t>
        </r>
        <r>
          <rPr>
            <sz val="9"/>
            <color indexed="81"/>
            <rFont val="Tahoma"/>
            <family val="2"/>
          </rPr>
          <t xml:space="preserve">
</t>
        </r>
      </text>
    </comment>
    <comment ref="D1" authorId="0" shapeId="0" xr:uid="{EBB78520-B0CB-43E6-AD1D-CB9CE79764C7}">
      <text>
        <r>
          <rPr>
            <b/>
            <sz val="9"/>
            <color indexed="81"/>
            <rFont val="Tahoma"/>
            <family val="2"/>
          </rPr>
          <t>Leave Type Code Length &gt;100</t>
        </r>
        <r>
          <rPr>
            <sz val="9"/>
            <color indexed="81"/>
            <rFont val="Tahoma"/>
            <family val="2"/>
          </rPr>
          <t xml:space="preserve">
</t>
        </r>
      </text>
    </comment>
    <comment ref="E1" authorId="0" shapeId="0" xr:uid="{F2C6CA3E-3511-4411-9751-A6021E8F0050}">
      <text>
        <r>
          <rPr>
            <b/>
            <sz val="9"/>
            <color indexed="81"/>
            <rFont val="Tahoma"/>
            <family val="2"/>
          </rPr>
          <t>Leave Type Title Length &gt;100</t>
        </r>
      </text>
    </comment>
    <comment ref="F1" authorId="0" shapeId="0" xr:uid="{A5D8486D-13B3-4AF9-8433-7D70240300C3}">
      <text>
        <r>
          <rPr>
            <b/>
            <sz val="9"/>
            <color indexed="81"/>
            <rFont val="Tahoma"/>
            <family val="2"/>
          </rPr>
          <t>Space in Leave Type 
Code</t>
        </r>
        <r>
          <rPr>
            <sz val="9"/>
            <color indexed="81"/>
            <rFont val="Tahoma"/>
            <family val="2"/>
          </rPr>
          <t xml:space="preserve">
</t>
        </r>
      </text>
    </comment>
    <comment ref="G1" authorId="1" shapeId="0" xr:uid="{250D5145-7B97-4EE6-8271-E091D27A480E}">
      <text>
        <r>
          <rPr>
            <b/>
            <sz val="9"/>
            <color indexed="81"/>
            <rFont val="Tahoma"/>
            <family val="2"/>
          </rPr>
          <t>Check if the leave types weeks from and weeks to overlap</t>
        </r>
        <r>
          <rPr>
            <sz val="9"/>
            <color indexed="81"/>
            <rFont val="Tahoma"/>
            <family val="2"/>
          </rPr>
          <t xml:space="preserv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B1" authorId="0" shapeId="0" xr:uid="{D7106004-A573-4312-964B-47F5CE8F04D0}">
      <text>
        <r>
          <rPr>
            <b/>
            <sz val="9"/>
            <color indexed="81"/>
            <rFont val="Tahoma"/>
            <family val="2"/>
          </rPr>
          <t>Staff Member Code not in Staff Members</t>
        </r>
        <r>
          <rPr>
            <sz val="9"/>
            <color indexed="81"/>
            <rFont val="Tahoma"/>
            <family val="2"/>
          </rPr>
          <t xml:space="preserve">
</t>
        </r>
      </text>
    </comment>
    <comment ref="C1" authorId="0" shapeId="0" xr:uid="{4B72F0E3-387C-44B7-8ADF-7B364F44BEA3}">
      <text>
        <r>
          <rPr>
            <b/>
            <sz val="9"/>
            <color indexed="81"/>
            <rFont val="Tahoma"/>
            <family val="2"/>
          </rPr>
          <t>Leave Type code not in Leave Types</t>
        </r>
        <r>
          <rPr>
            <sz val="9"/>
            <color indexed="81"/>
            <rFont val="Tahoma"/>
            <family val="2"/>
          </rPr>
          <t xml:space="preserve">
</t>
        </r>
      </text>
    </comment>
    <comment ref="D1" authorId="0" shapeId="0" xr:uid="{D90D2A63-CC4D-4081-BE32-2AF20420F03E}">
      <text>
        <r>
          <rPr>
            <b/>
            <sz val="9"/>
            <color indexed="81"/>
            <rFont val="Tahoma"/>
            <family val="2"/>
          </rPr>
          <t>Date To is before Date From</t>
        </r>
        <r>
          <rPr>
            <sz val="9"/>
            <color indexed="81"/>
            <rFont val="Tahoma"/>
            <family val="2"/>
          </rPr>
          <t xml:space="preserve">
</t>
        </r>
      </text>
    </comment>
    <comment ref="E1" authorId="1" shapeId="0" xr:uid="{FF4CF436-E35C-420F-A966-2CB826B3F942}">
      <text>
        <r>
          <rPr>
            <sz val="9"/>
            <color indexed="81"/>
            <rFont val="Tahoma"/>
            <family val="2"/>
          </rPr>
          <t xml:space="preserve">Checks that the Date fields are using the correct data type
</t>
        </r>
      </text>
    </comment>
    <comment ref="I1" authorId="0" shapeId="0" xr:uid="{3909A71C-CB53-4EB7-B24B-A294F30CC82C}">
      <text>
        <r>
          <rPr>
            <b/>
            <sz val="9"/>
            <color indexed="81"/>
            <rFont val="Tahoma"/>
            <family val="2"/>
          </rPr>
          <t>Leave Start pre-dates Contract Start (enter Contract Start Date into Date From)</t>
        </r>
        <r>
          <rPr>
            <sz val="9"/>
            <color indexed="81"/>
            <rFont val="Tahoma"/>
            <family val="2"/>
          </rPr>
          <t xml:space="preserve">
</t>
        </r>
      </text>
    </comment>
    <comment ref="M1" authorId="0" shapeId="0" xr:uid="{FA92A748-23B8-4775-B508-CDE38B3ED034}">
      <text>
        <r>
          <rPr>
            <b/>
            <sz val="9"/>
            <color indexed="81"/>
            <rFont val="Tahoma"/>
            <family val="2"/>
          </rPr>
          <t>Enter Actual Leave Start Date</t>
        </r>
        <r>
          <rPr>
            <sz val="9"/>
            <color indexed="81"/>
            <rFont val="Tahoma"/>
            <family val="2"/>
          </rPr>
          <t xml:space="preserve">
</t>
        </r>
      </text>
    </comment>
    <comment ref="N1" authorId="0" shapeId="0" xr:uid="{51B6BC6A-1B2D-47D4-842A-C47E74E21D9F}">
      <text>
        <r>
          <rPr>
            <sz val="9"/>
            <color indexed="81"/>
            <rFont val="Tahoma"/>
            <family val="2"/>
          </rPr>
          <t xml:space="preserve">Enter 'the latest of' Actual Leave Start Date or Contract Start date or build effective date.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582E54-F845-4469-8AF5-DEF9B716689B}" keepAlive="1" name="Query - Activities" description="Connection to the 'Activities' query in the workbook." type="5" refreshedVersion="8" saveData="1">
    <dbPr connection="Provider=Microsoft.Mashup.OleDb.1;Data Source=$Workbook$;Location=Activities;Extended Properties=&quot;&quot;" command="SELECT * FROM [Activities]"/>
    <extLst>
      <ext xmlns:x15="http://schemas.microsoft.com/office/spreadsheetml/2010/11/main" uri="{DE250136-89BD-433C-8126-D09CA5730AF9}">
        <x15:connection id="" excludeFromRefreshAll="1"/>
      </ext>
    </extLst>
  </connection>
  <connection id="2" xr16:uid="{1B6C49DB-A469-4E0B-8FFE-2D171E17BF79}" keepAlive="1" name="Query - CustGrouping" description="Connection to the 'CustGrouping' query in the workbook." type="5" refreshedVersion="8" saveData="1">
    <dbPr connection="Provider=Microsoft.Mashup.OleDb.1;Data Source=$Workbook$;Location=CustGrouping;Extended Properties=&quot;&quot;" command="SELECT * FROM [CustGrouping]"/>
    <extLst>
      <ext xmlns:x15="http://schemas.microsoft.com/office/spreadsheetml/2010/11/main" uri="{DE250136-89BD-433C-8126-D09CA5730AF9}">
        <x15:connection id="" excludeFromRefreshAll="1"/>
      </ext>
    </extLst>
  </connection>
  <connection id="3" xr16:uid="{1D8E59F6-9A2E-4D70-8C29-59023D16DF2A}" keepAlive="1" name="Query - Departments" description="Connection to the 'Departments' query in the workbook." type="5" refreshedVersion="8" saveData="1">
    <dbPr connection="Provider=Microsoft.Mashup.OleDb.1;Data Source=$Workbook$;Location=Departments;Extended Properties=&quot;&quot;" command="SELECT * FROM [Departments]"/>
    <extLst>
      <ext xmlns:x15="http://schemas.microsoft.com/office/spreadsheetml/2010/11/main" uri="{DE250136-89BD-433C-8126-D09CA5730AF9}">
        <x15:connection id="" excludeFromRefreshAll="1"/>
      </ext>
    </extLst>
  </connection>
  <connection id="4" xr16:uid="{5CCC8E74-257E-4BDA-B21E-EB7536CFF79B}" keepAlive="1" name="Query - Finance Codes" description="Connection to the 'Finance Codes' query in the workbook." type="5" refreshedVersion="8" background="1" saveData="1">
    <dbPr connection="Provider=Microsoft.Mashup.OleDb.1;Data Source=$Workbook$;Location=&quot;Finance Codes&quot;;Extended Properties=&quot;&quot;" command="SELECT * FROM [Finance Codes]"/>
    <extLst>
      <ext xmlns:x15="http://schemas.microsoft.com/office/spreadsheetml/2010/11/main" uri="{DE250136-89BD-433C-8126-D09CA5730AF9}">
        <x15:connection id="" excludeFromRefreshAll="1"/>
      </ext>
    </extLst>
  </connection>
  <connection id="5" xr16:uid="{DCA43FBC-74F0-4DEF-BCBD-24F97D5299ED}" keepAlive="1" name="Query - FinanceCodesBudget" description="Connection to the 'FinanceCodesBudget' query in the workbook." type="5" refreshedVersion="8" saveData="1">
    <dbPr connection="Provider=Microsoft.Mashup.OleDb.1;Data Source=$Workbook$;Location=FinanceCodesBudget;Extended Properties=&quot;&quot;" command="SELECT * FROM [FinanceCodesBudget]"/>
    <extLst>
      <ext xmlns:x15="http://schemas.microsoft.com/office/spreadsheetml/2010/11/main" uri="{DE250136-89BD-433C-8126-D09CA5730AF9}">
        <x15:connection id="" excludeFromRefreshAll="1"/>
      </ext>
    </extLst>
  </connection>
  <connection id="6" xr16:uid="{793DE8E4-5318-4FFD-A4DF-E53813DF653D}" keepAlive="1" name="Query - fnGetParameter" description="Connection to the 'fnGetParameter' query in the workbook." type="5" refreshedVersion="0" background="1">
    <dbPr connection="Provider=Microsoft.Mashup.OleDb.1;Data Source=$Workbook$;Location=fnGetParameter;Extended Properties=&quot;&quot;" command="SELECT * FROM [fnGetParameter]"/>
  </connection>
  <connection id="7" xr16:uid="{70394AAA-5E9F-42D6-8EF0-33C9BE5C2FDB}" keepAlive="1" name="Query - Funds" description="Connection to the 'Funds' query in the workbook." type="5" refreshedVersion="8" saveData="1">
    <dbPr connection="Provider=Microsoft.Mashup.OleDb.1;Data Source=$Workbook$;Location=Funds;Extended Properties=&quot;&quot;" command="SELECT * FROM [Funds]"/>
    <extLst>
      <ext xmlns:x15="http://schemas.microsoft.com/office/spreadsheetml/2010/11/main" uri="{DE250136-89BD-433C-8126-D09CA5730AF9}">
        <x15:connection id="" excludeFromRefreshAll="1"/>
      </ext>
    </extLst>
  </connection>
  <connection id="8" xr16:uid="{DED549A5-2405-4EDB-A297-7E5EF516D29D}" keepAlive="1" name="Query - LA" description="Connection to the 'LA' query in the workbook." type="5" refreshedVersion="0" background="1" saveData="1">
    <dbPr connection="Provider=Microsoft.Mashup.OleDb.1;Data Source=$Workbook$;Location=LA;Extended Properties=&quot;&quot;" command="SELECT * FROM [LA]"/>
    <extLst>
      <ext xmlns:x15="http://schemas.microsoft.com/office/spreadsheetml/2010/11/main" uri="{DE250136-89BD-433C-8126-D09CA5730AF9}">
        <x15:connection id="" excludeFromRefreshAll="1"/>
      </ext>
    </extLst>
  </connection>
  <connection id="9" xr16:uid="{B19A3596-9CB4-4FFF-BB7A-71659D674C8A}" keepAlive="1" name="Query - Ledger" description="Connection to the 'Ledger' query in the workbook." type="5" refreshedVersion="8" saveData="1">
    <dbPr connection="Provider=Microsoft.Mashup.OleDb.1;Data Source=$Workbook$;Location=Ledger;Extended Properties=&quot;&quot;" command="SELECT * FROM [Ledger]"/>
    <extLst>
      <ext xmlns:x15="http://schemas.microsoft.com/office/spreadsheetml/2010/11/main" uri="{DE250136-89BD-433C-8126-D09CA5730AF9}">
        <x15:connection id="" excludeFromRefreshAll="1"/>
      </ext>
    </extLst>
  </connection>
  <connection id="10" xr16:uid="{483D2804-9E07-44E7-8424-6C7D26B7AA26}" keepAlive="1" name="Query - LocalAuth" description="Connection to the 'LocalAuth' query in the workbook." type="5" refreshedVersion="8" background="1" saveData="1">
    <dbPr connection="Provider=Microsoft.Mashup.OleDb.1;Data Source=$Workbook$;Location=LocalAuth;Extended Properties=&quot;&quot;" command="SELECT * FROM [LocalAuth]"/>
  </connection>
  <connection id="11" xr16:uid="{4F9AAD7B-DC60-4681-B5A3-5D366F7AD439}" keepAlive="1" name="Query - SchHub" description="Connection to the 'SchHub' query in the workbook." type="5" refreshedVersion="8" saveData="1">
    <dbPr connection="Provider=Microsoft.Mashup.OleDb.1;Data Source=$Workbook$;Location=SchHub;Extended Properties=&quot;&quot;" command="SELECT * FROM [SchHub]"/>
    <extLst>
      <ext xmlns:x15="http://schemas.microsoft.com/office/spreadsheetml/2010/11/main" uri="{DE250136-89BD-433C-8126-D09CA5730AF9}">
        <x15:connection id="" excludeFromRefreshAll="1"/>
      </ext>
    </extLst>
  </connection>
  <connection id="12" xr16:uid="{71EF823E-81DF-4068-A5C6-20560AB0B450}" keepAlive="1" name="Query - SchoolList" description="Connection to the 'SchoolList' query in the workbook." type="5" refreshedVersion="8" background="1" saveData="1">
    <dbPr connection="Provider=Microsoft.Mashup.OleDb.1;Data Source=$Workbook$;Location=SchoolList;Extended Properties=&quot;&quot;" command="SELECT * FROM [SchoolList]"/>
    <extLst>
      <ext xmlns:x15="http://schemas.microsoft.com/office/spreadsheetml/2010/11/main" uri="{DE250136-89BD-433C-8126-D09CA5730AF9}">
        <x15:connection id="" excludeFromRefreshAll="1"/>
      </ext>
    </extLst>
  </connection>
  <connection id="13" xr16:uid="{0F117A54-DE79-4462-A9D2-6F87FD03556B}" keepAlive="1" name="Query - Schools" description="Connection to the 'Schools' query in the workbook." type="5" refreshedVersion="0" background="1" saveData="1">
    <dbPr connection="Provider=Microsoft.Mashup.OleDb.1;Data Source=$Workbook$;Location=Schools;Extended Properties=&quot;&quot;" command="SELECT * FROM [Schools]"/>
    <extLst>
      <ext xmlns:x15="http://schemas.microsoft.com/office/spreadsheetml/2010/11/main" uri="{DE250136-89BD-433C-8126-D09CA5730AF9}">
        <x15:connection id="" excludeFromRefreshAll="1"/>
      </ext>
    </extLst>
  </connection>
  <connection id="14" xr16:uid="{8C1498D9-8DFC-48DC-A5FC-3BC1A9E6EED1}" keepAlive="1" name="Query - SchType" description="Connection to the 'SchType' query in the workbook." type="5" refreshedVersion="8" saveData="1">
    <dbPr connection="Provider=Microsoft.Mashup.OleDb.1;Data Source=$Workbook$;Location=SchType;Extended Properties=&quot;&quot;" command="SELECT * FROM [SchType]"/>
    <extLst>
      <ext xmlns:x15="http://schemas.microsoft.com/office/spreadsheetml/2010/11/main" uri="{DE250136-89BD-433C-8126-D09CA5730AF9}">
        <x15:connection id="" excludeFromRefreshAll="1"/>
      </ext>
    </extLst>
  </connection>
  <connection id="15" xr16:uid="{4667A429-0D7D-4CBA-9F38-05B52E0B4538}" keepAlive="1" name="Query - System Grouping Codes" description="Connection to the 'System Grouping Codes' query in the workbook." type="5" refreshedVersion="8" saveData="1">
    <dbPr connection="Provider=Microsoft.Mashup.OleDb.1;Data Source=$Workbook$;Location=&quot;System Grouping Codes&quot;;Extended Properties=&quot;&quot;" command="SELECT * FROM [System Grouping Codes]"/>
    <extLst>
      <ext xmlns:x15="http://schemas.microsoft.com/office/spreadsheetml/2010/11/main" uri="{DE250136-89BD-433C-8126-D09CA5730AF9}">
        <x15:connection id="" excludeFromRefreshAl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<sst xmlns="http://schemas.openxmlformats.org/spreadsheetml/2006/main" count="21336" uniqueCount="4928">
  <si>
    <t>Parameter</t>
  </si>
  <si>
    <t>Value</t>
  </si>
  <si>
    <t>Link updated?</t>
  </si>
  <si>
    <t>No</t>
  </si>
  <si>
    <t>Token</t>
  </si>
  <si>
    <t>Year From</t>
  </si>
  <si>
    <t>2021/22</t>
  </si>
  <si>
    <t>Api Url Root</t>
  </si>
  <si>
    <t>https://api.impplanner.co.uk</t>
  </si>
  <si>
    <t>Date Last Amended</t>
  </si>
  <si>
    <t>Checklist</t>
  </si>
  <si>
    <t>Task</t>
  </si>
  <si>
    <t>Reviewed by Builder</t>
  </si>
  <si>
    <t>Y/N</t>
  </si>
  <si>
    <t>Reviewed by Lead Consultant</t>
  </si>
  <si>
    <t>Check Allowance Type Issues</t>
  </si>
  <si>
    <t>Check Allowance Point Issues</t>
  </si>
  <si>
    <t>Check Allowance Increase % Issues</t>
  </si>
  <si>
    <t>Check for Pensions Issues</t>
  </si>
  <si>
    <t xml:space="preserve">Check for Staff Members Issues </t>
  </si>
  <si>
    <t>Check for Staff Role Groups Issues</t>
  </si>
  <si>
    <t>Check for Staff Roles Issues</t>
  </si>
  <si>
    <t>Check for Contract Issues (Teacher)</t>
  </si>
  <si>
    <t>Check for Contract Issues (Support)</t>
  </si>
  <si>
    <t>Check Contract Adjustment Issues</t>
  </si>
  <si>
    <t>Check Staff Member Leaves Issues</t>
  </si>
  <si>
    <t>Total Tab Check</t>
  </si>
  <si>
    <t>Number of Rows to Import</t>
  </si>
  <si>
    <t>Number of Rows Imported</t>
  </si>
  <si>
    <t>Import Checked</t>
  </si>
  <si>
    <t>If this is not zero - return to builder</t>
  </si>
  <si>
    <t>Allowance Type</t>
  </si>
  <si>
    <t>Allowance Point</t>
  </si>
  <si>
    <t>Allowance Increase %</t>
  </si>
  <si>
    <t>Payscales</t>
  </si>
  <si>
    <t>Payscale Points</t>
  </si>
  <si>
    <t>Payscale Increase Percentages</t>
  </si>
  <si>
    <t>Payscale Grades</t>
  </si>
  <si>
    <t>Equated Week Patterns</t>
  </si>
  <si>
    <t>Pensions</t>
  </si>
  <si>
    <t xml:space="preserve">Staff Members </t>
  </si>
  <si>
    <t>Staff Role Groups</t>
  </si>
  <si>
    <t>Staff Roles</t>
  </si>
  <si>
    <t>Contract (Teacher)</t>
  </si>
  <si>
    <t>If Values are built as FTE - Check that you have selected FTE!</t>
  </si>
  <si>
    <t>Contract (Support)</t>
  </si>
  <si>
    <t>Leave Types</t>
  </si>
  <si>
    <t>Adjustments</t>
  </si>
  <si>
    <t>Staff Member Leaves</t>
  </si>
  <si>
    <t>Contract Adjustments</t>
  </si>
  <si>
    <t>Contract Allowances</t>
  </si>
  <si>
    <t>MAT</t>
  </si>
  <si>
    <t>title</t>
  </si>
  <si>
    <t>SRG</t>
  </si>
  <si>
    <t>Type</t>
  </si>
  <si>
    <t>Column1</t>
  </si>
  <si>
    <t>Notes</t>
  </si>
  <si>
    <t>Code is Blank</t>
  </si>
  <si>
    <t>Title is Blank</t>
  </si>
  <si>
    <t>Enabled is blank</t>
  </si>
  <si>
    <t>Will import if zero</t>
  </si>
  <si>
    <t>FundCode</t>
  </si>
  <si>
    <t>Title</t>
  </si>
  <si>
    <t>DEFAULT</t>
  </si>
  <si>
    <t>Default (no) Activity</t>
  </si>
  <si>
    <t>ZZZ</t>
  </si>
  <si>
    <t>Code</t>
  </si>
  <si>
    <t>510100</t>
  </si>
  <si>
    <t>IN: DfE Revenue Grants: GAG (not stud supp and trust grants)</t>
  </si>
  <si>
    <t>510110</t>
  </si>
  <si>
    <t>IN: DfE Revenue Grants: GAG (student support)</t>
  </si>
  <si>
    <t>510120</t>
  </si>
  <si>
    <t>IN: DfE Revenue Grants: GAG (start up grants)</t>
  </si>
  <si>
    <t>510130</t>
  </si>
  <si>
    <t>IN: DfE Revenue Grants: Trust level grants</t>
  </si>
  <si>
    <t>510140</t>
  </si>
  <si>
    <t>IN: DfE Revenue Grants: Pupil number adjustment</t>
  </si>
  <si>
    <t>510150</t>
  </si>
  <si>
    <t>IN: DfE Revenue Grants: Rates reclaim</t>
  </si>
  <si>
    <t>510200</t>
  </si>
  <si>
    <t>IN: DfE Revenue Grants: Pupil Premium</t>
  </si>
  <si>
    <t>510250</t>
  </si>
  <si>
    <t>IN: DfE Revenue Grants: Universal Inf Free School Meals</t>
  </si>
  <si>
    <t>510300</t>
  </si>
  <si>
    <t>IN: DfE Revenue Grants: Insurance top up</t>
  </si>
  <si>
    <t>510350</t>
  </si>
  <si>
    <t>IN: DfE Revenue Grants: Sponsor capacity grant</t>
  </si>
  <si>
    <t>510400</t>
  </si>
  <si>
    <t>IN: DfE Revenue Grants: PE &amp; Sports grant</t>
  </si>
  <si>
    <t>510450</t>
  </si>
  <si>
    <t>IN: DfE Revenue Grants: Year 7 catch up</t>
  </si>
  <si>
    <t>510500</t>
  </si>
  <si>
    <t>IN: DfE Revenue Grants: Teachers Pay Grant</t>
  </si>
  <si>
    <t>510510</t>
  </si>
  <si>
    <t>IN: DfE Revenue Grants: Teachers Pension Employer Contribution Grant</t>
  </si>
  <si>
    <t>510550</t>
  </si>
  <si>
    <t>IN: DfE Revenue Grants: Teaching Schools grant</t>
  </si>
  <si>
    <t>510600</t>
  </si>
  <si>
    <t>IN: DfE Revenue Grants: ITT Bursaries Grant</t>
  </si>
  <si>
    <t>510700</t>
  </si>
  <si>
    <t>IN: DfE Revenue Grants: 16 to 19</t>
  </si>
  <si>
    <t>510950</t>
  </si>
  <si>
    <t>IN: DfE Revenue Grants: Other DfE revenue grants</t>
  </si>
  <si>
    <t>515100</t>
  </si>
  <si>
    <t>IN: DfE Group Grants: Standards &amp; Testing Agency</t>
  </si>
  <si>
    <t>515200</t>
  </si>
  <si>
    <t>515250</t>
  </si>
  <si>
    <t>IN: DfE Group Grants: Student Loans Company</t>
  </si>
  <si>
    <t>515300</t>
  </si>
  <si>
    <t>IN: DfE Group Grants: Office for Students</t>
  </si>
  <si>
    <t>515350</t>
  </si>
  <si>
    <t>515400</t>
  </si>
  <si>
    <t>IN: DfE Group Grants: Construction ITB</t>
  </si>
  <si>
    <t>520100</t>
  </si>
  <si>
    <t>IN: Other Grants: LA - SEN</t>
  </si>
  <si>
    <t>520150</t>
  </si>
  <si>
    <t>IN: Other Grants: LA - Early Years</t>
  </si>
  <si>
    <t>520200</t>
  </si>
  <si>
    <t>IN: Other Grants: LA - Other grants</t>
  </si>
  <si>
    <t>520300</t>
  </si>
  <si>
    <t>IN: Other Grants: Government grant - not DfE</t>
  </si>
  <si>
    <t>520350</t>
  </si>
  <si>
    <t>IN: Other Grants: Other revenue grants</t>
  </si>
  <si>
    <t>525100</t>
  </si>
  <si>
    <t>IN: Other Income: Academy trusts</t>
  </si>
  <si>
    <t>525150</t>
  </si>
  <si>
    <t>IN: Other Income: Govt sources - not grant</t>
  </si>
  <si>
    <t>525200</t>
  </si>
  <si>
    <t>IN: Other Income: Non-govt revenue</t>
  </si>
  <si>
    <t>525300</t>
  </si>
  <si>
    <t>IN: Other Income: Catering income from pupils</t>
  </si>
  <si>
    <t>525400</t>
  </si>
  <si>
    <t>IN: Other Income: Educational trips &amp; visits</t>
  </si>
  <si>
    <t>525500</t>
  </si>
  <si>
    <t>IN: Other Income: Apprenticeship levy drawdown</t>
  </si>
  <si>
    <t>525600</t>
  </si>
  <si>
    <t>525750</t>
  </si>
  <si>
    <t>IN: Other Income: Investment income</t>
  </si>
  <si>
    <t>530100</t>
  </si>
  <si>
    <t>IN: Trading Income: Hire of facilities</t>
  </si>
  <si>
    <t>530200</t>
  </si>
  <si>
    <t>IN: Trading Income: Catering inc (visitors &amp; staff)</t>
  </si>
  <si>
    <t>530250</t>
  </si>
  <si>
    <t>IN: Trading Income: Rental Income</t>
  </si>
  <si>
    <t>530300</t>
  </si>
  <si>
    <t>IN: Trading Income: Supply teacher insurance claim</t>
  </si>
  <si>
    <t>530350</t>
  </si>
  <si>
    <t>IN: Trading Income: RPA claims</t>
  </si>
  <si>
    <t>530400</t>
  </si>
  <si>
    <t>IN: Trading Income: Sale of uniforms</t>
  </si>
  <si>
    <t>530500</t>
  </si>
  <si>
    <t>IN: Trading Income: Income from clubs</t>
  </si>
  <si>
    <t>530550</t>
  </si>
  <si>
    <t>IN: Trading Income: Parental income from nursery provision</t>
  </si>
  <si>
    <t>530580</t>
  </si>
  <si>
    <t>IN: Trading Income: Parental income from wraparound provision</t>
  </si>
  <si>
    <t>530600</t>
  </si>
  <si>
    <t>IN: Trading Income: Income from music</t>
  </si>
  <si>
    <t>530650</t>
  </si>
  <si>
    <t>IN: Trading Income: Sale of goods or services</t>
  </si>
  <si>
    <t>530700</t>
  </si>
  <si>
    <t>IN: Trading Income: Other trading income</t>
  </si>
  <si>
    <t>530990</t>
  </si>
  <si>
    <t>IN: Trading Income: Trust contribution from academy</t>
  </si>
  <si>
    <t>550100</t>
  </si>
  <si>
    <t>IN: DfE Capital Grants: Condition Improvement Fund</t>
  </si>
  <si>
    <t>550150</t>
  </si>
  <si>
    <t>IN: DfE Capital Grants: MAT Condition Allowance</t>
  </si>
  <si>
    <t>550200</t>
  </si>
  <si>
    <t>IN: DfE Capital Grants: Priority School Building Prog</t>
  </si>
  <si>
    <t>550250</t>
  </si>
  <si>
    <t>IN: DfE Capital Grants: Devolved Formula Capital</t>
  </si>
  <si>
    <t>550300</t>
  </si>
  <si>
    <t>IN: DfE Capital Grants: DfE Managed Free Schools</t>
  </si>
  <si>
    <t>550350</t>
  </si>
  <si>
    <t>IN: DfE Capital Grants: Building Schools for the Future</t>
  </si>
  <si>
    <t>550400</t>
  </si>
  <si>
    <t>IN: DfE Capital Grants: School Sponsorship Development</t>
  </si>
  <si>
    <t>550450</t>
  </si>
  <si>
    <t>IN: DfE Capital Grants: Other DfE capital grants</t>
  </si>
  <si>
    <t>550500</t>
  </si>
  <si>
    <t>555100</t>
  </si>
  <si>
    <t>IN: DfE Group capital grants: Standards &amp; Testing Agency</t>
  </si>
  <si>
    <t>555200</t>
  </si>
  <si>
    <t>555250</t>
  </si>
  <si>
    <t>IN: DfE Group capital grants: Student Loans Company</t>
  </si>
  <si>
    <t>555300</t>
  </si>
  <si>
    <t>IN: DfE Group capital grants: Office for Students</t>
  </si>
  <si>
    <t>555350</t>
  </si>
  <si>
    <t>555400</t>
  </si>
  <si>
    <t>IN: DfE Group capital grants: Construction ITB</t>
  </si>
  <si>
    <t>560100</t>
  </si>
  <si>
    <t>IN: Other capital income: Local authority capital grants</t>
  </si>
  <si>
    <t>560200</t>
  </si>
  <si>
    <t>IN: Other capital income: Government grant - not DfE</t>
  </si>
  <si>
    <t>560300</t>
  </si>
  <si>
    <t>IN: Other capital income: Non-govt capital grants</t>
  </si>
  <si>
    <t>560400</t>
  </si>
  <si>
    <t>IN: Other capital income: Contributions from revenue</t>
  </si>
  <si>
    <t>570100</t>
  </si>
  <si>
    <t>IN: Boarding Income: Fee Income</t>
  </si>
  <si>
    <t>570200</t>
  </si>
  <si>
    <t>IN: Boarding Income: DfE grants</t>
  </si>
  <si>
    <t>570220</t>
  </si>
  <si>
    <t>IN: Boarding Income: Standards &amp; Testing Agency</t>
  </si>
  <si>
    <t>570240</t>
  </si>
  <si>
    <t>570250</t>
  </si>
  <si>
    <t>IN: Boarding Income: Other government grants</t>
  </si>
  <si>
    <t>570300</t>
  </si>
  <si>
    <t>IN: Boarding Income: Other boarding income</t>
  </si>
  <si>
    <t>580100</t>
  </si>
  <si>
    <t>IN: Donations: Donated FA - DfE</t>
  </si>
  <si>
    <t>580120</t>
  </si>
  <si>
    <t>IN: Donations: Donated FA - LA</t>
  </si>
  <si>
    <t>580150</t>
  </si>
  <si>
    <t>580200</t>
  </si>
  <si>
    <t>580250</t>
  </si>
  <si>
    <t>580300</t>
  </si>
  <si>
    <t>580350</t>
  </si>
  <si>
    <t>580400</t>
  </si>
  <si>
    <t>590100</t>
  </si>
  <si>
    <t>IN: Academy conversions: Local authority capital</t>
  </si>
  <si>
    <t>590200</t>
  </si>
  <si>
    <t>IN: Academy conversions: Local authority revenue -surplus</t>
  </si>
  <si>
    <t>590210</t>
  </si>
  <si>
    <t>IN: Academy conversions: Local authority revenue -deficit</t>
  </si>
  <si>
    <t>590300</t>
  </si>
  <si>
    <t>IN: Academy conversions: Other body capital</t>
  </si>
  <si>
    <t>590350</t>
  </si>
  <si>
    <t>IN: Academy conversions: Other body revenue</t>
  </si>
  <si>
    <t>595100</t>
  </si>
  <si>
    <t>IN: Academy transfer in: Capital transferred in</t>
  </si>
  <si>
    <t>595200</t>
  </si>
  <si>
    <t>IN: Academy transfer in: Revenue transferred in</t>
  </si>
  <si>
    <t>599100</t>
  </si>
  <si>
    <t>IN: Academy transfer out: Capital transferred out</t>
  </si>
  <si>
    <t>599200</t>
  </si>
  <si>
    <t>IN: Academy transfer out: Revenue transferred out</t>
  </si>
  <si>
    <t>610100</t>
  </si>
  <si>
    <t>610200</t>
  </si>
  <si>
    <t>610300</t>
  </si>
  <si>
    <t>612100</t>
  </si>
  <si>
    <t>SF: Teachers: Wages and salaries</t>
  </si>
  <si>
    <t>612150</t>
  </si>
  <si>
    <t>SF: Teachers: Overtime</t>
  </si>
  <si>
    <t>612200</t>
  </si>
  <si>
    <t>SF: Teachers: Employers national insurance</t>
  </si>
  <si>
    <t>612300</t>
  </si>
  <si>
    <t>SF: Teachers: Employers pension contribution</t>
  </si>
  <si>
    <t>615100</t>
  </si>
  <si>
    <t>SF: Teaching Assistants: Wages and salaries</t>
  </si>
  <si>
    <t>615150</t>
  </si>
  <si>
    <t>SF: Teaching Assistants: Overtime</t>
  </si>
  <si>
    <t>615200</t>
  </si>
  <si>
    <t>SF: Teaching Assistants: Employers national insurance</t>
  </si>
  <si>
    <t>615300</t>
  </si>
  <si>
    <t>SF: Teaching Assistants: Employers pension contribution</t>
  </si>
  <si>
    <t>620100</t>
  </si>
  <si>
    <t>SF: Librarians: Wages and salaries</t>
  </si>
  <si>
    <t>620150</t>
  </si>
  <si>
    <t>SF: Librarians: Overtime</t>
  </si>
  <si>
    <t>620200</t>
  </si>
  <si>
    <t>SF: Librarians: Employers national insurance</t>
  </si>
  <si>
    <t>620300</t>
  </si>
  <si>
    <t>SF: Librarians: Employers pension contribution</t>
  </si>
  <si>
    <t>622100</t>
  </si>
  <si>
    <t>SF: Technicians: Wages and salaries</t>
  </si>
  <si>
    <t>622150</t>
  </si>
  <si>
    <t>SF: Technicians: Overtime</t>
  </si>
  <si>
    <t>622200</t>
  </si>
  <si>
    <t>SF: Technicians: Employers national insurance</t>
  </si>
  <si>
    <t>622300</t>
  </si>
  <si>
    <t>SF: Technicians: Employers pension contribution</t>
  </si>
  <si>
    <t>623100</t>
  </si>
  <si>
    <t>SF: Cover supervisors: Wages and salaries</t>
  </si>
  <si>
    <t>623150</t>
  </si>
  <si>
    <t>SF: Cover supervisors: Overtime</t>
  </si>
  <si>
    <t>623200</t>
  </si>
  <si>
    <t>SF: Cover supervisors: Employers national insurance</t>
  </si>
  <si>
    <t>623300</t>
  </si>
  <si>
    <t>SF: Cover supervisors: Employers pension contribution</t>
  </si>
  <si>
    <t>625100</t>
  </si>
  <si>
    <t>SF: Finance and Admin: Wages and salaries</t>
  </si>
  <si>
    <t>625150</t>
  </si>
  <si>
    <t>SF: Finance and Admin: Overtime</t>
  </si>
  <si>
    <t>625200</t>
  </si>
  <si>
    <t>SF: Finance and Admin: Employers national insurance</t>
  </si>
  <si>
    <t>625300</t>
  </si>
  <si>
    <t>SF: Finance and Admin: Employers pension contribution</t>
  </si>
  <si>
    <t>627100</t>
  </si>
  <si>
    <t>SF: Site Staff: Wages and salaries</t>
  </si>
  <si>
    <t>627150</t>
  </si>
  <si>
    <t>SF: Site Staff: Overtime</t>
  </si>
  <si>
    <t>627200</t>
  </si>
  <si>
    <t>SF: Site Staff: Employers national insurance</t>
  </si>
  <si>
    <t>627300</t>
  </si>
  <si>
    <t>SF: Site Staff: Employers pension contribution</t>
  </si>
  <si>
    <t>630100</t>
  </si>
  <si>
    <t>SF: Cleaning Staff: Wages and salaries</t>
  </si>
  <si>
    <t>630150</t>
  </si>
  <si>
    <t>SF: Cleaning Staff: Overtime</t>
  </si>
  <si>
    <t>630200</t>
  </si>
  <si>
    <t>SF: Cleaning Staff: Employers national insurance</t>
  </si>
  <si>
    <t>630300</t>
  </si>
  <si>
    <t>SF: Cleaning Staff: Employers pension contribution</t>
  </si>
  <si>
    <t>632100</t>
  </si>
  <si>
    <t>SF: Catering Staff: Wages and salaries</t>
  </si>
  <si>
    <t>632150</t>
  </si>
  <si>
    <t>SF: Catering Staff: Overtime</t>
  </si>
  <si>
    <t>632200</t>
  </si>
  <si>
    <t>SF: Catering Staff: Employers national insurance</t>
  </si>
  <si>
    <t>632300</t>
  </si>
  <si>
    <t>SF: Catering Staff: Employers pension contribution</t>
  </si>
  <si>
    <t>635100</t>
  </si>
  <si>
    <t>SF: Midday Supervisors: Wages and salaries</t>
  </si>
  <si>
    <t>635150</t>
  </si>
  <si>
    <t>SF: Midday Supervisors: Overtime</t>
  </si>
  <si>
    <t>635200</t>
  </si>
  <si>
    <t>SF: Midday Supervisors: Employers national insurance</t>
  </si>
  <si>
    <t>635300</t>
  </si>
  <si>
    <t>SF: Midday Supervisors: Employers pension contribution</t>
  </si>
  <si>
    <t>637100</t>
  </si>
  <si>
    <t>SF: Nursery Staff: Wages and salaries</t>
  </si>
  <si>
    <t>637150</t>
  </si>
  <si>
    <t>SF: Nursery Staff: Overtime</t>
  </si>
  <si>
    <t>637200</t>
  </si>
  <si>
    <t>SF: Nursery Staff: Employers national insurance</t>
  </si>
  <si>
    <t>637300</t>
  </si>
  <si>
    <t>SF: Nursery Staff: Employers pension contribution</t>
  </si>
  <si>
    <t>640100</t>
  </si>
  <si>
    <t>SF: Family Support Workers: Wages and salaries</t>
  </si>
  <si>
    <t>640150</t>
  </si>
  <si>
    <t>SF: Family Support Workers: Overtime</t>
  </si>
  <si>
    <t>640200</t>
  </si>
  <si>
    <t>SF: Family Support Workers: Employers national insurance</t>
  </si>
  <si>
    <t>640300</t>
  </si>
  <si>
    <t>SF: Family Support Workers: Employers pension contribution</t>
  </si>
  <si>
    <t>642100</t>
  </si>
  <si>
    <t>SF: Exam Invigilators: Wages and salaries</t>
  </si>
  <si>
    <t>642150</t>
  </si>
  <si>
    <t>SF: Exam Invigilators: Overtime</t>
  </si>
  <si>
    <t>642200</t>
  </si>
  <si>
    <t>SF: Exam Invigilators: Employers national insurance</t>
  </si>
  <si>
    <t>642300</t>
  </si>
  <si>
    <t>SF: Exam Invigilators: Employers pension contribution</t>
  </si>
  <si>
    <t>645100</t>
  </si>
  <si>
    <t>SF: Community Facilities Staff: Wages and salaries</t>
  </si>
  <si>
    <t>645150</t>
  </si>
  <si>
    <t>SF: Community Facilities Staff: Overtime</t>
  </si>
  <si>
    <t>645200</t>
  </si>
  <si>
    <t>SF: Community Facilities Staff: Employers national insurance</t>
  </si>
  <si>
    <t>645300</t>
  </si>
  <si>
    <t>SF: Community Facilities Staff: Employers pension contribution</t>
  </si>
  <si>
    <t>647100</t>
  </si>
  <si>
    <t>647150</t>
  </si>
  <si>
    <t>647200</t>
  </si>
  <si>
    <t>647300</t>
  </si>
  <si>
    <t>648100</t>
  </si>
  <si>
    <t>SF: Cost of raising funds: Wages and salaries</t>
  </si>
  <si>
    <t>648150</t>
  </si>
  <si>
    <t>SF: Cost of raising funds: Overtime</t>
  </si>
  <si>
    <t>648200</t>
  </si>
  <si>
    <t>SF: Cost of raising funds: Employers national insurance</t>
  </si>
  <si>
    <t>648300</t>
  </si>
  <si>
    <t>SF: Cost of raising funds: Employers pension contribution</t>
  </si>
  <si>
    <t>649300</t>
  </si>
  <si>
    <t>SF: Pensions: Surplus/deficit on LGPS</t>
  </si>
  <si>
    <t>650400</t>
  </si>
  <si>
    <t>650410</t>
  </si>
  <si>
    <t>650420</t>
  </si>
  <si>
    <t>650450</t>
  </si>
  <si>
    <t>650460</t>
  </si>
  <si>
    <t>650470</t>
  </si>
  <si>
    <t>650500</t>
  </si>
  <si>
    <t>650510</t>
  </si>
  <si>
    <t>650520</t>
  </si>
  <si>
    <t>650550</t>
  </si>
  <si>
    <t>650560</t>
  </si>
  <si>
    <t>650570</t>
  </si>
  <si>
    <t>655100</t>
  </si>
  <si>
    <t>SF: Boarding Staff - direct: Wages and salaries</t>
  </si>
  <si>
    <t>655150</t>
  </si>
  <si>
    <t>SF: Boarding Staff - direct: Overtime</t>
  </si>
  <si>
    <t>655200</t>
  </si>
  <si>
    <t>SF: Boarding Staff - direct: Employers national insurance</t>
  </si>
  <si>
    <t>655300</t>
  </si>
  <si>
    <t>SF: Boarding Staff - direct: Employers pension contribution</t>
  </si>
  <si>
    <t>655500</t>
  </si>
  <si>
    <t>SF: Boarding Staff - direct: Agency staff - direct staff</t>
  </si>
  <si>
    <t>655550</t>
  </si>
  <si>
    <t>SF: Boarding Staff - direct: Compensation - direct staff</t>
  </si>
  <si>
    <t>656100</t>
  </si>
  <si>
    <t>SF: Boarding Staff - indirect: Wages and salaries</t>
  </si>
  <si>
    <t>656150</t>
  </si>
  <si>
    <t>SF: Boarding Staff - indirect: Overtime</t>
  </si>
  <si>
    <t>656200</t>
  </si>
  <si>
    <t>SF: Boarding Staff - indirect: Employers national insurance</t>
  </si>
  <si>
    <t>656300</t>
  </si>
  <si>
    <t>SF: Boarding Staff - indirect: Employers pension contribution</t>
  </si>
  <si>
    <t>656520</t>
  </si>
  <si>
    <t>SF: Boarding Staff - indirect: Agency staff - support</t>
  </si>
  <si>
    <t>656570</t>
  </si>
  <si>
    <t>SF: Boarding Staff - indirect: Compensation - support</t>
  </si>
  <si>
    <t>656600</t>
  </si>
  <si>
    <t>SF: Boarding Staff - indirect: Staff Welfare</t>
  </si>
  <si>
    <t>656620</t>
  </si>
  <si>
    <t>SF: Boarding Staff - indirect: Staff Development</t>
  </si>
  <si>
    <t>656650</t>
  </si>
  <si>
    <t>SF: Boarding Staff - indirect: Staff training</t>
  </si>
  <si>
    <t>656700</t>
  </si>
  <si>
    <t>SF: Boarding Staff - indirect: Staff insurance</t>
  </si>
  <si>
    <t>675100</t>
  </si>
  <si>
    <t>675150</t>
  </si>
  <si>
    <t>675170</t>
  </si>
  <si>
    <t>675200</t>
  </si>
  <si>
    <t>675220</t>
  </si>
  <si>
    <t>SF: Ind Emp Exp: Redundancy - support staff</t>
  </si>
  <si>
    <t>675250</t>
  </si>
  <si>
    <t>675270</t>
  </si>
  <si>
    <t>675300</t>
  </si>
  <si>
    <t>675320</t>
  </si>
  <si>
    <t>675400</t>
  </si>
  <si>
    <t>SF: Ind Emp Exp: Staff travel</t>
  </si>
  <si>
    <t>675410</t>
  </si>
  <si>
    <t>SF: Ind Emp Exp: Staff subsistence</t>
  </si>
  <si>
    <t>675420</t>
  </si>
  <si>
    <t>SF: Ind Emp Exp: Interview expenses</t>
  </si>
  <si>
    <t>675430</t>
  </si>
  <si>
    <t>SF: Ind Emp Exp: Staff uniforms</t>
  </si>
  <si>
    <t>675440</t>
  </si>
  <si>
    <t>675450</t>
  </si>
  <si>
    <t>SF: Ind Emp Exp: Staff medical fees</t>
  </si>
  <si>
    <t>675460</t>
  </si>
  <si>
    <t>SF: Ind Emp Exp: Duty meals</t>
  </si>
  <si>
    <t>675500</t>
  </si>
  <si>
    <t>675510</t>
  </si>
  <si>
    <t>SF: Ind Emp Exp: Recruitment - support staff</t>
  </si>
  <si>
    <t>675520</t>
  </si>
  <si>
    <t>SF: Ind Emp Exp: Recruitment - leadership</t>
  </si>
  <si>
    <t>675550</t>
  </si>
  <si>
    <t>675560</t>
  </si>
  <si>
    <t>675570</t>
  </si>
  <si>
    <t>675600</t>
  </si>
  <si>
    <t>675620</t>
  </si>
  <si>
    <t>SF: Ind Emp Exp: DBS checks - support staff</t>
  </si>
  <si>
    <t>675650</t>
  </si>
  <si>
    <t>675670</t>
  </si>
  <si>
    <t>SF: Ind Emp Exp: Staff training - support staff</t>
  </si>
  <si>
    <t>675690</t>
  </si>
  <si>
    <t>SF: Ind Emp Exp: Notional Apprenticeship levy exp</t>
  </si>
  <si>
    <t>675700</t>
  </si>
  <si>
    <t>675720</t>
  </si>
  <si>
    <t>675750</t>
  </si>
  <si>
    <t>675770</t>
  </si>
  <si>
    <t>675780</t>
  </si>
  <si>
    <t>SF: Ind Emp Exp: Employers liability insurance</t>
  </si>
  <si>
    <t>675800</t>
  </si>
  <si>
    <t>710100</t>
  </si>
  <si>
    <t>PR: R&amp;M: Building Repair and Maintenance</t>
  </si>
  <si>
    <t>710200</t>
  </si>
  <si>
    <t>PR: R&amp;M: Building Improvements</t>
  </si>
  <si>
    <t>715100</t>
  </si>
  <si>
    <t>PR: Rates: Rates</t>
  </si>
  <si>
    <t>720100</t>
  </si>
  <si>
    <t>PR: Energy: Gas</t>
  </si>
  <si>
    <t>720200</t>
  </si>
  <si>
    <t>PR: Energy: Oil</t>
  </si>
  <si>
    <t>720300</t>
  </si>
  <si>
    <t>PR: Energy: Electricity</t>
  </si>
  <si>
    <t>725100</t>
  </si>
  <si>
    <t>PR: Insurance: Risk Protection Arrangement</t>
  </si>
  <si>
    <t>725200</t>
  </si>
  <si>
    <t>PR: Insurance: Premises Insurance (not RPA)</t>
  </si>
  <si>
    <t>725300</t>
  </si>
  <si>
    <t>PR: Insurance: Boarding Insurance</t>
  </si>
  <si>
    <t>725400</t>
  </si>
  <si>
    <t>PR: Insurance: Vehicle Insurance</t>
  </si>
  <si>
    <t>730100</t>
  </si>
  <si>
    <t>PR: Cleaning &amp; Caretaking: Cleaning contracts</t>
  </si>
  <si>
    <t>730200</t>
  </si>
  <si>
    <t>PR: Cleaning &amp; Caretaking: Cleaning equipment and materials</t>
  </si>
  <si>
    <t>730300</t>
  </si>
  <si>
    <t>PR: Cleaning &amp; Caretaking: Window Cleaning</t>
  </si>
  <si>
    <t>730400</t>
  </si>
  <si>
    <t>PR: Cleaning &amp; Caretaking: Caretaking Supplies and Equip</t>
  </si>
  <si>
    <t>735100</t>
  </si>
  <si>
    <t>735200</t>
  </si>
  <si>
    <t>PR: Operating leases: Photocopiers</t>
  </si>
  <si>
    <t>735300</t>
  </si>
  <si>
    <t>735400</t>
  </si>
  <si>
    <t>PR: Operating leases: Other equipment</t>
  </si>
  <si>
    <t>740100</t>
  </si>
  <si>
    <t>PR: Security: Security Alarms / CCTV Services</t>
  </si>
  <si>
    <t>740200</t>
  </si>
  <si>
    <t>PR: Security: Security Patrols</t>
  </si>
  <si>
    <t>750100</t>
  </si>
  <si>
    <t>PR: Special Facilities: Swimming pool equipment/material</t>
  </si>
  <si>
    <t>750150</t>
  </si>
  <si>
    <t>PR: Special Facilities: Sports centre equipment/materials</t>
  </si>
  <si>
    <t>750200</t>
  </si>
  <si>
    <t>PR: Special Facilities: Before and After School clubs</t>
  </si>
  <si>
    <t>750250</t>
  </si>
  <si>
    <t>PR: Special Facilities: Farm and Rural Studies</t>
  </si>
  <si>
    <t>750300</t>
  </si>
  <si>
    <t>PR: Special Facilities: External cluster funding contrib</t>
  </si>
  <si>
    <t>750350</t>
  </si>
  <si>
    <t>PR: Special Facilities: Pupil travel across the trust</t>
  </si>
  <si>
    <t>750400</t>
  </si>
  <si>
    <t>PR: Special Facilities: Home to school transport</t>
  </si>
  <si>
    <t>760100</t>
  </si>
  <si>
    <t>PR: Other Premises: Grounds Maintenance</t>
  </si>
  <si>
    <t>760150</t>
  </si>
  <si>
    <t>PR: Other Premises: Water and Sewerage</t>
  </si>
  <si>
    <t>760200</t>
  </si>
  <si>
    <t>PR: Other Premises: Septic Tanks</t>
  </si>
  <si>
    <t>760250</t>
  </si>
  <si>
    <t>PR: Other Premises: Refuse Removal</t>
  </si>
  <si>
    <t>760300</t>
  </si>
  <si>
    <t>PR: Other Premises: Hygiene Supplies &amp; Services</t>
  </si>
  <si>
    <t>760350</t>
  </si>
  <si>
    <t>PR: Other Premises: Health &amp; Safety</t>
  </si>
  <si>
    <t>760400</t>
  </si>
  <si>
    <t>PR: Other Premises: Electrical Service Contract</t>
  </si>
  <si>
    <t>760450</t>
  </si>
  <si>
    <t>PR: Other Premises: Mechanical Service Contract</t>
  </si>
  <si>
    <t>760500</t>
  </si>
  <si>
    <t>PR: Other Premises: Appliance Testing</t>
  </si>
  <si>
    <t>760550</t>
  </si>
  <si>
    <t>PR: Other Premises: Fire Alarm and Extinguisher Serv</t>
  </si>
  <si>
    <t>760600</t>
  </si>
  <si>
    <t>PR: Other Premises: Heating and Air Conditioning</t>
  </si>
  <si>
    <t>760650</t>
  </si>
  <si>
    <t>PR: Other Premises: Pest Control</t>
  </si>
  <si>
    <t>760700</t>
  </si>
  <si>
    <t>PR: Other Premises: Other Occupancy</t>
  </si>
  <si>
    <t>760710</t>
  </si>
  <si>
    <t>780100</t>
  </si>
  <si>
    <t>PR: Boarding - premises: Rates</t>
  </si>
  <si>
    <t>780150</t>
  </si>
  <si>
    <t>PR: Boarding - premises: Water rates</t>
  </si>
  <si>
    <t>780200</t>
  </si>
  <si>
    <t>PR: Boarding - premises: Electricity</t>
  </si>
  <si>
    <t>780250</t>
  </si>
  <si>
    <t>PR: Boarding - premises: Gas</t>
  </si>
  <si>
    <t>780300</t>
  </si>
  <si>
    <t>PR: Boarding - premises: Heating oil</t>
  </si>
  <si>
    <t>780350</t>
  </si>
  <si>
    <t>PR: Boarding - premises: Operating lease - Land and build</t>
  </si>
  <si>
    <t>780400</t>
  </si>
  <si>
    <t>PR: Boarding - premises: Operating lease - Photocopiers</t>
  </si>
  <si>
    <t>780450</t>
  </si>
  <si>
    <t>PR: Boarding - premises: Operating lease - Telephones</t>
  </si>
  <si>
    <t>780500</t>
  </si>
  <si>
    <t>PR: Boarding - premises: Operating lease - Other equip</t>
  </si>
  <si>
    <t>780600</t>
  </si>
  <si>
    <t>PR: Boarding - premises: Insurance - Commercial provider</t>
  </si>
  <si>
    <t>780700</t>
  </si>
  <si>
    <t>PR: Boarding - premises: Reps &amp; renewals - Property</t>
  </si>
  <si>
    <t>780720</t>
  </si>
  <si>
    <t>PR: Boarding - premises: Reps &amp; renewals - Grounds</t>
  </si>
  <si>
    <t>780750</t>
  </si>
  <si>
    <t>PR: Boarding - premises: Reps &amp; renewals - Motor vehicles</t>
  </si>
  <si>
    <t>780770</t>
  </si>
  <si>
    <t>PR: Boarding - premises: Reps &amp; renewals - Equipment</t>
  </si>
  <si>
    <t>780800</t>
  </si>
  <si>
    <t>PR: Boarding - premises: Boarding - Security</t>
  </si>
  <si>
    <t>780850</t>
  </si>
  <si>
    <t>PR: Boarding - premises: Boarding - Other premises costs</t>
  </si>
  <si>
    <t>810100</t>
  </si>
  <si>
    <t>SP: Educ Supplies: Books</t>
  </si>
  <si>
    <t>810150</t>
  </si>
  <si>
    <t>SP: Educ Supplies: Library Services</t>
  </si>
  <si>
    <t>810200</t>
  </si>
  <si>
    <t>SP: Educ Supplies: Curriculum Materials</t>
  </si>
  <si>
    <t>810250</t>
  </si>
  <si>
    <t>SP: Educ Supplies: Education Equipment (not IT)</t>
  </si>
  <si>
    <t>810300</t>
  </si>
  <si>
    <t>SP: Educ Supplies: Education Eqpmt repairs (not IT)</t>
  </si>
  <si>
    <t>810350</t>
  </si>
  <si>
    <t>SP: Educ Supplies: Educ Furniture</t>
  </si>
  <si>
    <t>810400</t>
  </si>
  <si>
    <t>SP: Educ Supplies: Audio Visual</t>
  </si>
  <si>
    <t>810450</t>
  </si>
  <si>
    <t>SP: Educ Supplies: Repair of PE/Musical Equipment</t>
  </si>
  <si>
    <t>810500</t>
  </si>
  <si>
    <t>SP: Educ Supplies: External education providers</t>
  </si>
  <si>
    <t>810550</t>
  </si>
  <si>
    <t>SP: Educ Supplies: Primary school PIP exam fees</t>
  </si>
  <si>
    <t>815100</t>
  </si>
  <si>
    <t>SP: Examination Fees: Examination Fees</t>
  </si>
  <si>
    <t>815200</t>
  </si>
  <si>
    <t>SP: Examination Fees: Examination Resources</t>
  </si>
  <si>
    <t>820100</t>
  </si>
  <si>
    <t>820150</t>
  </si>
  <si>
    <t>SP: Technology Costs: Educational software &amp; licences</t>
  </si>
  <si>
    <t>820300</t>
  </si>
  <si>
    <t>SP: Technology Costs: ICT Support contract</t>
  </si>
  <si>
    <t>820320</t>
  </si>
  <si>
    <t>820350</t>
  </si>
  <si>
    <t>820370</t>
  </si>
  <si>
    <t>820400</t>
  </si>
  <si>
    <t>820420</t>
  </si>
  <si>
    <t>820450</t>
  </si>
  <si>
    <t>820470</t>
  </si>
  <si>
    <t>SP: Technology Costs: Printer Consumables</t>
  </si>
  <si>
    <t>820500</t>
  </si>
  <si>
    <t>SP: Technology Costs: ICT Annual Maintenance</t>
  </si>
  <si>
    <t>820520</t>
  </si>
  <si>
    <t>SP: Technology Costs: ICT Consultancy</t>
  </si>
  <si>
    <t>820550</t>
  </si>
  <si>
    <t>SP: Technology Costs: ICT Hosting Fees</t>
  </si>
  <si>
    <t>820570</t>
  </si>
  <si>
    <t>SP: Technology Costs: ICT Other</t>
  </si>
  <si>
    <t>825100</t>
  </si>
  <si>
    <t>SP: Educ Consultancy: External sports coaches</t>
  </si>
  <si>
    <t>825150</t>
  </si>
  <si>
    <t>SP: Educ Consultancy: Peripatetic music teachers</t>
  </si>
  <si>
    <t>825200</t>
  </si>
  <si>
    <t>SP: Educ Consultancy: Exam Invigilation costs</t>
  </si>
  <si>
    <t>825250</t>
  </si>
  <si>
    <t>SP: Educ Consultancy: Courses - external providers</t>
  </si>
  <si>
    <t>825300</t>
  </si>
  <si>
    <t>SP: Educ Consultancy: Behaviour support services</t>
  </si>
  <si>
    <t>825350</t>
  </si>
  <si>
    <t>SP: Educ Consultancy: Library &amp; museum services</t>
  </si>
  <si>
    <t>825400</t>
  </si>
  <si>
    <t>SP: Educ Consultancy: Other Educ consultancy</t>
  </si>
  <si>
    <t>830100</t>
  </si>
  <si>
    <t>SP: School Trips: School Trips - Travel costs</t>
  </si>
  <si>
    <t>830150</t>
  </si>
  <si>
    <t>SP: School Trips: School Trips - Accom/Entrance</t>
  </si>
  <si>
    <t>830200</t>
  </si>
  <si>
    <t>830250</t>
  </si>
  <si>
    <t>SP: School Trips: School Trips - Sundry</t>
  </si>
  <si>
    <t>830300</t>
  </si>
  <si>
    <t>SP: School Trips: School Trips - Insurance</t>
  </si>
  <si>
    <t>835100</t>
  </si>
  <si>
    <t>835120</t>
  </si>
  <si>
    <t>SP: Administration: TV licences</t>
  </si>
  <si>
    <t>835150</t>
  </si>
  <si>
    <t>SP: Administration: Non-ICT licences</t>
  </si>
  <si>
    <t>835170</t>
  </si>
  <si>
    <t>SP: Administration: Contribs from academies to trust</t>
  </si>
  <si>
    <t>835200</t>
  </si>
  <si>
    <t>SP: Administration: Admin Supplies &amp; Stationery</t>
  </si>
  <si>
    <t>835220</t>
  </si>
  <si>
    <t>SP: Administration: Admin Photocopying</t>
  </si>
  <si>
    <t>835250</t>
  </si>
  <si>
    <t>SP: Administration: Printing</t>
  </si>
  <si>
    <t>835270</t>
  </si>
  <si>
    <t>835300</t>
  </si>
  <si>
    <t>SP: Administration: Advertising</t>
  </si>
  <si>
    <t>835320</t>
  </si>
  <si>
    <t>SP: Administration: Postage and Carriage</t>
  </si>
  <si>
    <t>835350</t>
  </si>
  <si>
    <t>SP: Administration: Telephone Costs</t>
  </si>
  <si>
    <t>835370</t>
  </si>
  <si>
    <t>SP: Administration: Mobile Phones</t>
  </si>
  <si>
    <t>835400</t>
  </si>
  <si>
    <t>SP: Administration: Admin Furniture</t>
  </si>
  <si>
    <t>835420</t>
  </si>
  <si>
    <t>SP: Administration: Admin Equipment</t>
  </si>
  <si>
    <t>835470</t>
  </si>
  <si>
    <t>SP: Administration: Admin Equipment repairs</t>
  </si>
  <si>
    <t>835500</t>
  </si>
  <si>
    <t>SP: Administration: Medical</t>
  </si>
  <si>
    <t>835520</t>
  </si>
  <si>
    <t>SP: Administration: Laundry</t>
  </si>
  <si>
    <t>835550</t>
  </si>
  <si>
    <t>835570</t>
  </si>
  <si>
    <t>SP: Administration: Bank charges</t>
  </si>
  <si>
    <t>840100</t>
  </si>
  <si>
    <t>840200</t>
  </si>
  <si>
    <t>SP: Transport: Vehicle Hire</t>
  </si>
  <si>
    <t>845100</t>
  </si>
  <si>
    <t>845150</t>
  </si>
  <si>
    <t>845200</t>
  </si>
  <si>
    <t>SP: Bought in supply cover: Agency teaching assistants</t>
  </si>
  <si>
    <t>850100</t>
  </si>
  <si>
    <t>SP: Catering: Catering contract</t>
  </si>
  <si>
    <t>850150</t>
  </si>
  <si>
    <t>SP: Catering: Catering - Food &amp; Drink</t>
  </si>
  <si>
    <t>850200</t>
  </si>
  <si>
    <t>SP: Catering: Catering - Consumables</t>
  </si>
  <si>
    <t>850250</t>
  </si>
  <si>
    <t>SP: Catering: Catering - Equipment</t>
  </si>
  <si>
    <t>850300</t>
  </si>
  <si>
    <t>SP: Catering: Catering - Maint. and Repairs</t>
  </si>
  <si>
    <t>850350</t>
  </si>
  <si>
    <t>SP: Catering: Vending Machines</t>
  </si>
  <si>
    <t>855100</t>
  </si>
  <si>
    <t>SP: Non-educ contracts: Consultancy Fees</t>
  </si>
  <si>
    <t>855120</t>
  </si>
  <si>
    <t>SP: Non-educ contracts: Counsellors</t>
  </si>
  <si>
    <t>855150</t>
  </si>
  <si>
    <t>SP: Non-educ contracts: Financial</t>
  </si>
  <si>
    <t>855170</t>
  </si>
  <si>
    <t>855180</t>
  </si>
  <si>
    <t>SP: Non-educ contracts: Legal - Conversion</t>
  </si>
  <si>
    <t>855200</t>
  </si>
  <si>
    <t>SP: Non-educ contracts: Personnel/HR</t>
  </si>
  <si>
    <t>855220</t>
  </si>
  <si>
    <t>SP: Non-educ contracts: Payroll</t>
  </si>
  <si>
    <t>855250</t>
  </si>
  <si>
    <t>SP: Non-educ contracts: Clerking board/governor meetings</t>
  </si>
  <si>
    <t>855300</t>
  </si>
  <si>
    <t>SP: Non-educ contracts: Property Management Services</t>
  </si>
  <si>
    <t>855320</t>
  </si>
  <si>
    <t>SP: Non-educ contracts: Energy Management Services</t>
  </si>
  <si>
    <t>855350</t>
  </si>
  <si>
    <t>SP: Non-educ contracts: Free School Meals - pupil checks</t>
  </si>
  <si>
    <t>855370</t>
  </si>
  <si>
    <t>SP: Non-educ contracts: Admissions service</t>
  </si>
  <si>
    <t>855400</t>
  </si>
  <si>
    <t>855420</t>
  </si>
  <si>
    <t>855450</t>
  </si>
  <si>
    <t>855470</t>
  </si>
  <si>
    <t>SP: Non-educ contracts: Cash Collection services</t>
  </si>
  <si>
    <t>855500</t>
  </si>
  <si>
    <t>SP: Non-educ contracts: PFI contract management services</t>
  </si>
  <si>
    <t>860100</t>
  </si>
  <si>
    <t>SP: Audit: Statutory audit fees</t>
  </si>
  <si>
    <t>860200</t>
  </si>
  <si>
    <t>SP: Audit: Internal audit &amp; other fees</t>
  </si>
  <si>
    <t>860300</t>
  </si>
  <si>
    <t>SP: Audit: Accounts return</t>
  </si>
  <si>
    <t>865100</t>
  </si>
  <si>
    <t>SP: Governance: Academy governor - travel</t>
  </si>
  <si>
    <t>865150</t>
  </si>
  <si>
    <t>SP: Governance: Academy governor - subsistence</t>
  </si>
  <si>
    <t>865200</t>
  </si>
  <si>
    <t>SP: Governance: Academy governor - other reimb.</t>
  </si>
  <si>
    <t>865300</t>
  </si>
  <si>
    <t>865350</t>
  </si>
  <si>
    <t>865400</t>
  </si>
  <si>
    <t>865410</t>
  </si>
  <si>
    <t>870200</t>
  </si>
  <si>
    <t>SP: Cost of raising funds: Cost of raising funds - premises</t>
  </si>
  <si>
    <t>870220</t>
  </si>
  <si>
    <t>SP: Cost of raising funds: Cost of raising funds - Depr'n</t>
  </si>
  <si>
    <t>870240</t>
  </si>
  <si>
    <t>SP: Cost of raising funds: Cost of raising funds - amortisation</t>
  </si>
  <si>
    <t>870260</t>
  </si>
  <si>
    <t>SP: Cost of raising funds: Cost of raising funds - Impair't</t>
  </si>
  <si>
    <t>870300</t>
  </si>
  <si>
    <t>SP: Cost of raising funds: Cost of raising funds - teaching/learning</t>
  </si>
  <si>
    <t>870350</t>
  </si>
  <si>
    <t>SP: Cost of raising funds: Cost of raising funds - technology</t>
  </si>
  <si>
    <t>870400</t>
  </si>
  <si>
    <t>SP: Cost of raising funds: Cost of raising funds - governance</t>
  </si>
  <si>
    <t>870500</t>
  </si>
  <si>
    <t>SP: Cost of raising funds: Cost of raising funds - other</t>
  </si>
  <si>
    <t>880100</t>
  </si>
  <si>
    <t>SP: Other supplies &amp; services: Pupil gifts and prizes</t>
  </si>
  <si>
    <t>880150</t>
  </si>
  <si>
    <t>SP: Other supplies &amp; services: Student bursary expenditure</t>
  </si>
  <si>
    <t>880200</t>
  </si>
  <si>
    <t>SP: Other supplies &amp; services: Increase in provisions</t>
  </si>
  <si>
    <t>880220</t>
  </si>
  <si>
    <t>SP: Other supplies &amp; services: Release of provisions</t>
  </si>
  <si>
    <t>880250</t>
  </si>
  <si>
    <t>SP: Other supplies &amp; services: Bad Debt written off</t>
  </si>
  <si>
    <t>880300</t>
  </si>
  <si>
    <t>SP: Other supplies &amp; services: Excluded pupils</t>
  </si>
  <si>
    <t>880350</t>
  </si>
  <si>
    <t>SP: Other supplies &amp; services: Academy performances</t>
  </si>
  <si>
    <t>880400</t>
  </si>
  <si>
    <t>SP: Other supplies &amp; services: Parent evenings/meetings</t>
  </si>
  <si>
    <t>880450</t>
  </si>
  <si>
    <t>SP: Other supplies &amp; services: Room Hire</t>
  </si>
  <si>
    <t>880500</t>
  </si>
  <si>
    <t>880550</t>
  </si>
  <si>
    <t>SP: Other supplies &amp; services: School uniforms (cost)</t>
  </si>
  <si>
    <t>890100</t>
  </si>
  <si>
    <t xml:space="preserve">SP: Financing costs: PFI Specialist concession acct </t>
  </si>
  <si>
    <t>890150</t>
  </si>
  <si>
    <t>SP: Financing costs: PFI payment to LA</t>
  </si>
  <si>
    <t>890200</t>
  </si>
  <si>
    <t>SP: Financing costs: Loan Interest paid - DfE Group</t>
  </si>
  <si>
    <t>890300</t>
  </si>
  <si>
    <t>SP: Financing costs: Loan Interest paid - other</t>
  </si>
  <si>
    <t>890400</t>
  </si>
  <si>
    <t>SP: Financing costs: Finance lease interest</t>
  </si>
  <si>
    <t>892100</t>
  </si>
  <si>
    <t>SP: Asset financing: Depr'n - direct costs - buildings</t>
  </si>
  <si>
    <t>892110</t>
  </si>
  <si>
    <t>SP: Asset financing: Depr'n - direct costs - other assets</t>
  </si>
  <si>
    <t>892150</t>
  </si>
  <si>
    <t>SP: Asset financing: Depr'n - indirect costs - buildings</t>
  </si>
  <si>
    <t>892160</t>
  </si>
  <si>
    <t>SP: Asset financing: Depr'n - indirect costs - other assets</t>
  </si>
  <si>
    <t>892200</t>
  </si>
  <si>
    <t>SP: Asset financing: Amortisation - direct costs</t>
  </si>
  <si>
    <t>892250</t>
  </si>
  <si>
    <t>SP: Asset financing: Amortisation - indirect costs</t>
  </si>
  <si>
    <t>892300</t>
  </si>
  <si>
    <t>SP: Asset financing: Impair't - direct costs</t>
  </si>
  <si>
    <t>892350</t>
  </si>
  <si>
    <t>SP: Asset financing: Impair't - indirect costs</t>
  </si>
  <si>
    <t>892500</t>
  </si>
  <si>
    <t>SP: Asset financing: (Gain)/loss on disp of tang FA</t>
  </si>
  <si>
    <t>892600</t>
  </si>
  <si>
    <t>SP: Asset financing: (Gain)/loss on disp of Intang FA</t>
  </si>
  <si>
    <t>892700</t>
  </si>
  <si>
    <t>SP: Asset financing: (Gain)/loss on disp of invest's</t>
  </si>
  <si>
    <t>892800</t>
  </si>
  <si>
    <t>SP: Asset financing: Revenue contributions to capital</t>
  </si>
  <si>
    <t>893100</t>
  </si>
  <si>
    <t>SP: Other recognised gains/losses: Actuarial gain/loss pension fund</t>
  </si>
  <si>
    <t>893200</t>
  </si>
  <si>
    <t>SP: Other recognised gains/losses: Valuation of FA</t>
  </si>
  <si>
    <t>893300</t>
  </si>
  <si>
    <t>SP: Other recognised gains/losses: Valuation of investments</t>
  </si>
  <si>
    <t>895100</t>
  </si>
  <si>
    <t>SP: Boarding - supplies: Direct Goods &amp; services</t>
  </si>
  <si>
    <t>895150</t>
  </si>
  <si>
    <t>SP: Boarding - supplies: Direct Travel</t>
  </si>
  <si>
    <t>895200</t>
  </si>
  <si>
    <t>SP: Boarding - supplies: Direct subsistence</t>
  </si>
  <si>
    <t>895250</t>
  </si>
  <si>
    <t>SP: Boarding - supplies: Catering</t>
  </si>
  <si>
    <t>895300</t>
  </si>
  <si>
    <t>895350</t>
  </si>
  <si>
    <t>SP: Boarding - supplies: Bad debt expense</t>
  </si>
  <si>
    <t>895400</t>
  </si>
  <si>
    <t>SP: Boarding - supplies: Travel</t>
  </si>
  <si>
    <t>895450</t>
  </si>
  <si>
    <t>SP: Boarding - supplies: Subsistence</t>
  </si>
  <si>
    <t>895500</t>
  </si>
  <si>
    <t>SP: Boarding - supplies: Other support cost</t>
  </si>
  <si>
    <t>895550</t>
  </si>
  <si>
    <t>SP: Boarding - supplies: Other support cost Academy Trusts</t>
  </si>
  <si>
    <t>895600</t>
  </si>
  <si>
    <t>SP: Boarding - supplies: (Gain)/loss on disp of tang FA</t>
  </si>
  <si>
    <t>895650</t>
  </si>
  <si>
    <t>SP: Boarding - supplies: (Gain)/loss on disp of Intang FA</t>
  </si>
  <si>
    <t>895700</t>
  </si>
  <si>
    <t>SP: Boarding - supplies: (Gain)/loss on disp of invest's</t>
  </si>
  <si>
    <t>895750</t>
  </si>
  <si>
    <t>SP: Boarding - supplies: Depr'n - boarding - buildings</t>
  </si>
  <si>
    <t>895760</t>
  </si>
  <si>
    <t>SP: Boarding - supplies: Depr'n - boarding - other assets</t>
  </si>
  <si>
    <t>895800</t>
  </si>
  <si>
    <t>SP: Boarding - supplies: Amortisation - boarding</t>
  </si>
  <si>
    <t>895850</t>
  </si>
  <si>
    <t>SP: Boarding - supplies: Impair't - boarding</t>
  </si>
  <si>
    <t>Other Staff</t>
  </si>
  <si>
    <t>UNMAPPED</t>
  </si>
  <si>
    <t>Unmapped</t>
  </si>
  <si>
    <t>W0</t>
  </si>
  <si>
    <t>Capital Income</t>
  </si>
  <si>
    <t>W1</t>
  </si>
  <si>
    <t>Capital Expenditure</t>
  </si>
  <si>
    <t>Z01</t>
  </si>
  <si>
    <t>No Longer In Use - Fund Opening Balances</t>
  </si>
  <si>
    <t>Z02</t>
  </si>
  <si>
    <t>Teaching Weekly FTE</t>
  </si>
  <si>
    <t>Z03</t>
  </si>
  <si>
    <t>Other Weekly FTE</t>
  </si>
  <si>
    <t>Z04</t>
  </si>
  <si>
    <t>Teaching Annual FTE</t>
  </si>
  <si>
    <t>Z05</t>
  </si>
  <si>
    <t>Other Annual FTE</t>
  </si>
  <si>
    <t>Z06</t>
  </si>
  <si>
    <t>Fixed Brought Forward Balances</t>
  </si>
  <si>
    <t>Z10</t>
  </si>
  <si>
    <t>Z11</t>
  </si>
  <si>
    <t>Free School Meals Pupil Numbers</t>
  </si>
  <si>
    <t>Z12</t>
  </si>
  <si>
    <t>Pupil Premium Pupil Numbers</t>
  </si>
  <si>
    <t>Not Applicable</t>
  </si>
  <si>
    <t>LedgerCode</t>
  </si>
  <si>
    <t>Default (no) Ledger</t>
  </si>
  <si>
    <t>CENTRAL</t>
  </si>
  <si>
    <t>PRIMARY</t>
  </si>
  <si>
    <t>Primary</t>
  </si>
  <si>
    <t>SECONDARY</t>
  </si>
  <si>
    <t>Secondary</t>
  </si>
  <si>
    <t>ALLTHROUGH</t>
  </si>
  <si>
    <t>Special</t>
  </si>
  <si>
    <t>OTHER</t>
  </si>
  <si>
    <t>Other</t>
  </si>
  <si>
    <t>LA</t>
  </si>
  <si>
    <t>HubIssues</t>
  </si>
  <si>
    <t>SchTypeIssue</t>
  </si>
  <si>
    <t>Blank Data</t>
  </si>
  <si>
    <t>Will Import if 0</t>
  </si>
  <si>
    <t>London Weighting Type</t>
  </si>
  <si>
    <t>School Type</t>
  </si>
  <si>
    <t>SchoolLocalAuthority</t>
  </si>
  <si>
    <t>SchoolCode</t>
  </si>
  <si>
    <t>SchoolHub</t>
  </si>
  <si>
    <t>SchoolType</t>
  </si>
  <si>
    <t>LondonWeighting</t>
  </si>
  <si>
    <t>UniqueReferenceNumber</t>
  </si>
  <si>
    <t>TeachingHours</t>
  </si>
  <si>
    <t>SchoolEnabled</t>
  </si>
  <si>
    <t>England &amp; Wales</t>
  </si>
  <si>
    <t>All</t>
  </si>
  <si>
    <t>Central</t>
  </si>
  <si>
    <t>FundIssue</t>
  </si>
  <si>
    <t>ActivityIssue</t>
  </si>
  <si>
    <t>LedgerIssue</t>
  </si>
  <si>
    <t>DepartmentCode</t>
  </si>
  <si>
    <t>AvailableToAllSchools</t>
  </si>
  <si>
    <t>SchoolCodes</t>
  </si>
  <si>
    <t>CustGrIssue</t>
  </si>
  <si>
    <t>SchCodeIssue</t>
  </si>
  <si>
    <t>DupCode</t>
  </si>
  <si>
    <t>DupDesc</t>
  </si>
  <si>
    <t>FCTypeIss</t>
  </si>
  <si>
    <t>London Weighting</t>
  </si>
  <si>
    <t>FinanceCode</t>
  </si>
  <si>
    <t>FinanceCodeTypeCode</t>
  </si>
  <si>
    <t>GroupingCode2</t>
  </si>
  <si>
    <t>CustomGrouping</t>
  </si>
  <si>
    <t>FinanceCodeEnabled</t>
  </si>
  <si>
    <t>FUNDING</t>
  </si>
  <si>
    <t>Primary &amp; Special</t>
  </si>
  <si>
    <t>Secondary &amp; Special</t>
  </si>
  <si>
    <t>PUPILNUMBERS</t>
  </si>
  <si>
    <t>A_FTE_ADM</t>
  </si>
  <si>
    <t>Finance Admin Annual FTE</t>
  </si>
  <si>
    <t>STATISTICS</t>
  </si>
  <si>
    <t>A_FTE_CAT</t>
  </si>
  <si>
    <t>Catering Annual FTE</t>
  </si>
  <si>
    <t>A_FTE_CLE</t>
  </si>
  <si>
    <t>Cleaning Annual FTE</t>
  </si>
  <si>
    <t>A_FTE_COV</t>
  </si>
  <si>
    <t>Cover Annual FTE</t>
  </si>
  <si>
    <t>A_FTE_EXT</t>
  </si>
  <si>
    <t>Extended Schools Annual FTE</t>
  </si>
  <si>
    <t>A_FTE_FLA</t>
  </si>
  <si>
    <t>FLA Annual FTE</t>
  </si>
  <si>
    <t>A_FTE_FSW</t>
  </si>
  <si>
    <t>Family Support Annual FTE</t>
  </si>
  <si>
    <t>A_FTE_INV</t>
  </si>
  <si>
    <t>Invigilator Annual FTE</t>
  </si>
  <si>
    <t>A_FTE_LIB</t>
  </si>
  <si>
    <t>Librarian Annual FTE</t>
  </si>
  <si>
    <t>A_FTE_LST</t>
  </si>
  <si>
    <t>Leadership Teaching Annual FTE</t>
  </si>
  <si>
    <t>A_FTE_LSN</t>
  </si>
  <si>
    <t>Leadership Non-Teaching Annual FTE</t>
  </si>
  <si>
    <t>A_FTE_MDS</t>
  </si>
  <si>
    <t>Mid Day Supervisors Annual FTE</t>
  </si>
  <si>
    <t>A_FTE_NUR</t>
  </si>
  <si>
    <t>Nursery Annual FTE</t>
  </si>
  <si>
    <t>A_FTE_OTH</t>
  </si>
  <si>
    <t>Other Staff Annual FTE</t>
  </si>
  <si>
    <t>A_FTE_PAS</t>
  </si>
  <si>
    <t>Pastoral Annual FTE</t>
  </si>
  <si>
    <t>A_FTE_PRE</t>
  </si>
  <si>
    <t>Premises Annual FTE</t>
  </si>
  <si>
    <t>A_FTE_TA</t>
  </si>
  <si>
    <t>Teaching Assistants Annual FTE</t>
  </si>
  <si>
    <t>A_FTE_TEA</t>
  </si>
  <si>
    <t>A_FTE_TEC</t>
  </si>
  <si>
    <t>Technicians Annual FTE</t>
  </si>
  <si>
    <t>LIVWAGE</t>
  </si>
  <si>
    <t>Living Wage Topup</t>
  </si>
  <si>
    <t>MINWAGE</t>
  </si>
  <si>
    <t>Minimum Wage Top Up</t>
  </si>
  <si>
    <t>Fringe</t>
  </si>
  <si>
    <t>Inner</t>
  </si>
  <si>
    <t>Outer</t>
  </si>
  <si>
    <t>PENS</t>
  </si>
  <si>
    <t>Opted Out Pension Costs</t>
  </si>
  <si>
    <t>WK_FTE_ADM</t>
  </si>
  <si>
    <t>Finance Admin Weekly FTE</t>
  </si>
  <si>
    <t>WK_FTE_CAT</t>
  </si>
  <si>
    <t>Catering Weekly FTE</t>
  </si>
  <si>
    <t>WK_FTE_CLE</t>
  </si>
  <si>
    <t>Cleaning Weekly FTE</t>
  </si>
  <si>
    <t>WK_FTE_COV</t>
  </si>
  <si>
    <t>Cover Weekly FTE</t>
  </si>
  <si>
    <t>WK_FTE_EXT</t>
  </si>
  <si>
    <t>Extended Schools Weekly FTE</t>
  </si>
  <si>
    <t>WK_FTE_FLA</t>
  </si>
  <si>
    <t>FLA Weekly  FTE</t>
  </si>
  <si>
    <t>WK_FTE_FSW</t>
  </si>
  <si>
    <t>Family Support Weekly  FTE</t>
  </si>
  <si>
    <t>WK_FTE_INV</t>
  </si>
  <si>
    <t>Invigilator Weekly  FTE</t>
  </si>
  <si>
    <t>WK_FTE_LIB</t>
  </si>
  <si>
    <t>Librarian Weekly FTE</t>
  </si>
  <si>
    <t>WK_FTE_LST</t>
  </si>
  <si>
    <t>Leadership Teaching Weekly FTE</t>
  </si>
  <si>
    <t>WK_FTE_LSN</t>
  </si>
  <si>
    <t>Leadership Non-Teaching Weekly FTE</t>
  </si>
  <si>
    <t>WK_FTE_MDS</t>
  </si>
  <si>
    <t>Mid Day Supervisors Weekly FTE</t>
  </si>
  <si>
    <t>WK_FTE_NUR</t>
  </si>
  <si>
    <t>Nursery Weekly FTE</t>
  </si>
  <si>
    <t>WK_FTE_OTH</t>
  </si>
  <si>
    <t>Other Staff Weekly FTE</t>
  </si>
  <si>
    <t>WK_FTE_PAS</t>
  </si>
  <si>
    <t>Pastoral Weekly FTE</t>
  </si>
  <si>
    <t>WK_FTE_PRE</t>
  </si>
  <si>
    <t>Premises Weekly FTE</t>
  </si>
  <si>
    <t>WK_FTE_TA</t>
  </si>
  <si>
    <t>Teaching Assistants Weekly FTE</t>
  </si>
  <si>
    <t>WK_FTE_TEA</t>
  </si>
  <si>
    <t>WK_FTE_TEC</t>
  </si>
  <si>
    <t>Technicians Weekly FTE</t>
  </si>
  <si>
    <t>CAPITALFUND</t>
  </si>
  <si>
    <t>REVENUEFUND</t>
  </si>
  <si>
    <t>01.SEPT</t>
  </si>
  <si>
    <t>September</t>
  </si>
  <si>
    <t>02.OCT</t>
  </si>
  <si>
    <t>October</t>
  </si>
  <si>
    <t>03.NOV</t>
  </si>
  <si>
    <t>November</t>
  </si>
  <si>
    <t>04.DEC</t>
  </si>
  <si>
    <t>December</t>
  </si>
  <si>
    <t>05.JAN</t>
  </si>
  <si>
    <t>January</t>
  </si>
  <si>
    <t>06.FEB</t>
  </si>
  <si>
    <t>February</t>
  </si>
  <si>
    <t>07.MAR</t>
  </si>
  <si>
    <t>March</t>
  </si>
  <si>
    <t>08.APR</t>
  </si>
  <si>
    <t>April</t>
  </si>
  <si>
    <t>09.MAY</t>
  </si>
  <si>
    <t>May</t>
  </si>
  <si>
    <t>10.JUN</t>
  </si>
  <si>
    <t>June</t>
  </si>
  <si>
    <t>11.JUL</t>
  </si>
  <si>
    <t>July</t>
  </si>
  <si>
    <t>12.AUG</t>
  </si>
  <si>
    <t>August</t>
  </si>
  <si>
    <t>M05_APR-AUG</t>
  </si>
  <si>
    <t>April to August</t>
  </si>
  <si>
    <t>M07_SEP-MAR</t>
  </si>
  <si>
    <t>September to March</t>
  </si>
  <si>
    <t>M11_SEP-JUL</t>
  </si>
  <si>
    <t>September to July</t>
  </si>
  <si>
    <t>MONTHLY</t>
  </si>
  <si>
    <t>Monthly</t>
  </si>
  <si>
    <t>QTRLY.01-SEPT</t>
  </si>
  <si>
    <t>Quarterly From September</t>
  </si>
  <si>
    <t>QTRLY.02-OCT</t>
  </si>
  <si>
    <t>Quarterly From October</t>
  </si>
  <si>
    <t>QTRLY.03-NOV</t>
  </si>
  <si>
    <t>Quarterly From November</t>
  </si>
  <si>
    <t>TERMLY</t>
  </si>
  <si>
    <t>Termly</t>
  </si>
  <si>
    <t>Will import if 0</t>
  </si>
  <si>
    <t>IncreaseDate</t>
  </si>
  <si>
    <t>ScenarioCode</t>
  </si>
  <si>
    <t>PayScaleCode</t>
  </si>
  <si>
    <t>PayScaleTitle</t>
  </si>
  <si>
    <t>ServiceIncrementDateEnabled</t>
  </si>
  <si>
    <t>IncreasePercentage</t>
  </si>
  <si>
    <t>PayScaleEnabled</t>
  </si>
  <si>
    <t>Leadership Group</t>
  </si>
  <si>
    <t>PayScalePointCode</t>
  </si>
  <si>
    <t>PayScalePointTitle</t>
  </si>
  <si>
    <t>ScalePointNumber</t>
  </si>
  <si>
    <t>Hourly</t>
  </si>
  <si>
    <t>PayScalePointEnabled</t>
  </si>
  <si>
    <t>RateDateFrom</t>
  </si>
  <si>
    <t>RateDateTo</t>
  </si>
  <si>
    <t>PayScaleRate</t>
  </si>
  <si>
    <t>M1</t>
  </si>
  <si>
    <t>M2</t>
  </si>
  <si>
    <t>M3</t>
  </si>
  <si>
    <t>M4</t>
  </si>
  <si>
    <t>M5</t>
  </si>
  <si>
    <t>UQ1</t>
  </si>
  <si>
    <t>UQ2</t>
  </si>
  <si>
    <t>UQ3</t>
  </si>
  <si>
    <t>UQ4</t>
  </si>
  <si>
    <t>UQ5</t>
  </si>
  <si>
    <t>UQ6</t>
  </si>
  <si>
    <t>L01</t>
  </si>
  <si>
    <t>L02</t>
  </si>
  <si>
    <t>L03</t>
  </si>
  <si>
    <t>L04</t>
  </si>
  <si>
    <t>L05</t>
  </si>
  <si>
    <t>L06</t>
  </si>
  <si>
    <t>L07</t>
  </si>
  <si>
    <t>L08</t>
  </si>
  <si>
    <t>L09</t>
  </si>
  <si>
    <t>L10</t>
  </si>
  <si>
    <t>L11</t>
  </si>
  <si>
    <t>L12</t>
  </si>
  <si>
    <t>L13</t>
  </si>
  <si>
    <t>L14</t>
  </si>
  <si>
    <t>L15</t>
  </si>
  <si>
    <t>L16</t>
  </si>
  <si>
    <t>L17</t>
  </si>
  <si>
    <t>L18</t>
  </si>
  <si>
    <t>L19</t>
  </si>
  <si>
    <t>L20</t>
  </si>
  <si>
    <t>L21</t>
  </si>
  <si>
    <t>L22</t>
  </si>
  <si>
    <t>L23</t>
  </si>
  <si>
    <t>L24</t>
  </si>
  <si>
    <t>L25</t>
  </si>
  <si>
    <t>L26</t>
  </si>
  <si>
    <t>L27</t>
  </si>
  <si>
    <t>L28</t>
  </si>
  <si>
    <t>L29</t>
  </si>
  <si>
    <t>L30</t>
  </si>
  <si>
    <t>L31</t>
  </si>
  <si>
    <t>L32</t>
  </si>
  <si>
    <t>L33</t>
  </si>
  <si>
    <t>L34</t>
  </si>
  <si>
    <t>L35</t>
  </si>
  <si>
    <t>L36</t>
  </si>
  <si>
    <t>L37</t>
  </si>
  <si>
    <t>L38</t>
  </si>
  <si>
    <t>L39</t>
  </si>
  <si>
    <t>L40</t>
  </si>
  <si>
    <t>L41</t>
  </si>
  <si>
    <t>L42</t>
  </si>
  <si>
    <t>L43</t>
  </si>
  <si>
    <t>FinancialYearsCode</t>
  </si>
  <si>
    <t>2022/23</t>
  </si>
  <si>
    <t>PayScaleGradeCode</t>
  </si>
  <si>
    <t>Point From (Check)</t>
  </si>
  <si>
    <t>Point To (Check)</t>
  </si>
  <si>
    <t>ScalePointNumberFrom</t>
  </si>
  <si>
    <t>ScalePointNumberTo</t>
  </si>
  <si>
    <t>PayScaleGradeEnabled</t>
  </si>
  <si>
    <t>MAIN_UPS</t>
  </si>
  <si>
    <t>MAIN</t>
  </si>
  <si>
    <t>Teacher Unqualified</t>
  </si>
  <si>
    <t>NMW &lt;18</t>
  </si>
  <si>
    <t>NMW 18-20</t>
  </si>
  <si>
    <t>AllowanceTypeCode</t>
  </si>
  <si>
    <t>AllowanceTypeTitle</t>
  </si>
  <si>
    <t>ExcludePension</t>
  </si>
  <si>
    <t>ExcludeNI</t>
  </si>
  <si>
    <t>AllowanceTypeEnabled</t>
  </si>
  <si>
    <t>TLR</t>
  </si>
  <si>
    <t>Teaching and Learning Responsibilities</t>
  </si>
  <si>
    <t>SEN</t>
  </si>
  <si>
    <t>Special Educational Needs</t>
  </si>
  <si>
    <t>AllowancePointCode</t>
  </si>
  <si>
    <t>AllowancePointTitle</t>
  </si>
  <si>
    <t>AnnualRate</t>
  </si>
  <si>
    <t>AllowancePointEnabled</t>
  </si>
  <si>
    <t>PensionCode</t>
  </si>
  <si>
    <t>PensionEnabled</t>
  </si>
  <si>
    <t>PensionPercentage</t>
  </si>
  <si>
    <t>TPS</t>
  </si>
  <si>
    <t>Teachers Pension Scheme</t>
  </si>
  <si>
    <t>OPTOUT</t>
  </si>
  <si>
    <t>Opted Out 0%</t>
  </si>
  <si>
    <t>EquatedWeekPatternCode</t>
  </si>
  <si>
    <t>EquatedWeekPatternTitle</t>
  </si>
  <si>
    <t>ServiceYearsFrom</t>
  </si>
  <si>
    <t>ServiceYearsTo</t>
  </si>
  <si>
    <t>EquatedWeeks</t>
  </si>
  <si>
    <t>FullTimeWeeks</t>
  </si>
  <si>
    <t>EquatedWeekPatternEnabled</t>
  </si>
  <si>
    <t>StaffRoleGroupCode</t>
  </si>
  <si>
    <t>GrossSalaryFinanceCode</t>
  </si>
  <si>
    <t>LeaveRebateFinanceCode</t>
  </si>
  <si>
    <t>AllowanceTypesFinanceCode</t>
  </si>
  <si>
    <t>AdjustmentsFinanceCode</t>
  </si>
  <si>
    <t>MinimumWageTopupFinanceCode</t>
  </si>
  <si>
    <t>LivingWageTopupFinanceCode</t>
  </si>
  <si>
    <t>EmployersNiFinanceCode</t>
  </si>
  <si>
    <t>PensionFinanceCode</t>
  </si>
  <si>
    <t>OptOutPensionFinanceCode</t>
  </si>
  <si>
    <t>OtherSalaryCostsFinanceCode</t>
  </si>
  <si>
    <t>WeeklyFteFinanceCode</t>
  </si>
  <si>
    <t>AnnualFteFinanceCode</t>
  </si>
  <si>
    <t>TeachingRoleGroup</t>
  </si>
  <si>
    <t>StaffRoleGroupEnabled</t>
  </si>
  <si>
    <t>IncrementCount</t>
  </si>
  <si>
    <t>LST</t>
  </si>
  <si>
    <t>Staff Costs - Leadership Teaching-Wages and salaries</t>
  </si>
  <si>
    <t>LSN</t>
  </si>
  <si>
    <t>Staff Costs - Leadership Non-Teaching-Wages and salaries</t>
  </si>
  <si>
    <t>TEA</t>
  </si>
  <si>
    <t>Staff Costs - Teachers-Wages and salaries</t>
  </si>
  <si>
    <t>TA</t>
  </si>
  <si>
    <t>Staff Costs - Teaching Assistants-Wages and salaries</t>
  </si>
  <si>
    <t>LIB</t>
  </si>
  <si>
    <t>Staff Costs - Librarians-Wages and salaries</t>
  </si>
  <si>
    <t>TEC</t>
  </si>
  <si>
    <t>Staff Costs - Technicians-Wages and salaries</t>
  </si>
  <si>
    <t>ADM</t>
  </si>
  <si>
    <t>Staff Costs - Finance and Admin-Wages and salaries</t>
  </si>
  <si>
    <t>PRE</t>
  </si>
  <si>
    <t>Staff Costs - Site Staff-Wages and salaries</t>
  </si>
  <si>
    <t>CLE</t>
  </si>
  <si>
    <t>Staff Costs - Cleaning Staff-Wages and salaries</t>
  </si>
  <si>
    <t>MDS</t>
  </si>
  <si>
    <t>Staff Costs - Midday Supervisors-Wages and salaries</t>
  </si>
  <si>
    <t>OTH</t>
  </si>
  <si>
    <t>AdjustmentTypeCode</t>
  </si>
  <si>
    <t>AnniversaryDate</t>
  </si>
  <si>
    <t>AdjustmentTypeEnabled</t>
  </si>
  <si>
    <t>NameServiceStart</t>
  </si>
  <si>
    <t>StaffMemberCode</t>
  </si>
  <si>
    <t>ServiceStartDate</t>
  </si>
  <si>
    <t>DateOfBirth</t>
  </si>
  <si>
    <t>Apprenticeship</t>
  </si>
  <si>
    <t>PensionOptOut</t>
  </si>
  <si>
    <t>StaffMemberEnabled</t>
  </si>
  <si>
    <t>PayrollLocation</t>
  </si>
  <si>
    <t>Casual</t>
  </si>
  <si>
    <t>Reference</t>
  </si>
  <si>
    <t>StaffRoleCode</t>
  </si>
  <si>
    <t>SRG Gross</t>
  </si>
  <si>
    <t>DateFrom</t>
  </si>
  <si>
    <t>DateTo</t>
  </si>
  <si>
    <t>MatEditOnly</t>
  </si>
  <si>
    <t>NoIncrement</t>
  </si>
  <si>
    <t>FullTimeHoursPerWeek</t>
  </si>
  <si>
    <t>MonthsServiceBeforeIncrement</t>
  </si>
  <si>
    <t>DaysServiceBeforeIncrement</t>
  </si>
  <si>
    <t>StaffRoleEnabled</t>
  </si>
  <si>
    <t>Deputy Headteacher</t>
  </si>
  <si>
    <t>Assistant Headteacher</t>
  </si>
  <si>
    <t>CEO</t>
  </si>
  <si>
    <t>CFO</t>
  </si>
  <si>
    <t>Teacher</t>
  </si>
  <si>
    <t>Teaching Assistant</t>
  </si>
  <si>
    <t>HLTA</t>
  </si>
  <si>
    <t>Librarian</t>
  </si>
  <si>
    <t>Cleaner</t>
  </si>
  <si>
    <t>2023/24</t>
  </si>
  <si>
    <t>ContractReference</t>
  </si>
  <si>
    <t>Staff Member Name</t>
  </si>
  <si>
    <t>ContractDateFrom</t>
  </si>
  <si>
    <t>ContractDateTo</t>
  </si>
  <si>
    <t>AdjustmentDateFrom</t>
  </si>
  <si>
    <t>AdjustmentDateTo</t>
  </si>
  <si>
    <t>AllowanceCode</t>
  </si>
  <si>
    <t>AllowanceDateFrom</t>
  </si>
  <si>
    <t>AllowanceDateTo</t>
  </si>
  <si>
    <t>IgnoreFte</t>
  </si>
  <si>
    <t>LeaveTypeCode</t>
  </si>
  <si>
    <t>LeaveTypeTitle</t>
  </si>
  <si>
    <t>RebatePercentage</t>
  </si>
  <si>
    <t>LeaveTypeEnabled</t>
  </si>
  <si>
    <t>WeeksFrom</t>
  </si>
  <si>
    <t>WeeksTo</t>
  </si>
  <si>
    <t>StatutoryPayPercentage</t>
  </si>
  <si>
    <t>OtherPayPercentage</t>
  </si>
  <si>
    <t>MinimumStatutoryWeeklyValue</t>
  </si>
  <si>
    <t>MaximumStatutoryWeeklyValue</t>
  </si>
  <si>
    <t>TopUpToPercentage</t>
  </si>
  <si>
    <t>MAT_STAT</t>
  </si>
  <si>
    <t>Statutory Maternity /Adoption</t>
  </si>
  <si>
    <t>MAT_SUP_&lt;26W</t>
  </si>
  <si>
    <t>Support - Less than 26 wks service</t>
  </si>
  <si>
    <t>MAT_SUP_&gt;1YR</t>
  </si>
  <si>
    <t>Support - At Least 1 yr service</t>
  </si>
  <si>
    <t>MAT_SUP_&gt;26W_&lt;1YR</t>
  </si>
  <si>
    <t>Support - At Least 26 wks and less than 1 yr service</t>
  </si>
  <si>
    <t>MAT_TEA_&lt;26W</t>
  </si>
  <si>
    <t>Teacher - Less than 26 wks service</t>
  </si>
  <si>
    <t>MAT_TEA_&gt;1YR</t>
  </si>
  <si>
    <t>Teacher - At Least 1 yr service</t>
  </si>
  <si>
    <t>MAT_TEA_&gt;26W_&lt;1YR</t>
  </si>
  <si>
    <t>Teacher - At Least 26 wks and less than 1 yr service</t>
  </si>
  <si>
    <t>PAT_STAT</t>
  </si>
  <si>
    <t>Paternity - SPP only</t>
  </si>
  <si>
    <t>PAT_50</t>
  </si>
  <si>
    <t>Paternity - 50% salary</t>
  </si>
  <si>
    <t>PAT_100</t>
  </si>
  <si>
    <t>Paternity - 100% salary</t>
  </si>
  <si>
    <t>SICK_0</t>
  </si>
  <si>
    <t>Sickness - unpaid</t>
  </si>
  <si>
    <t>SICK_50</t>
  </si>
  <si>
    <t>Sickness - 50% salary</t>
  </si>
  <si>
    <t>SICK_100</t>
  </si>
  <si>
    <t>Sickness - 100% salary</t>
  </si>
  <si>
    <t>BaseWeeklyEarnings</t>
  </si>
  <si>
    <t>2024/25</t>
  </si>
  <si>
    <t>Tab Name</t>
  </si>
  <si>
    <t>Export</t>
  </si>
  <si>
    <t>Ready for Import</t>
  </si>
  <si>
    <t>1 = Yes 0 = No</t>
  </si>
  <si>
    <t>0 = Yes 1 = No</t>
  </si>
  <si>
    <t>AllowanceTypes</t>
  </si>
  <si>
    <t>AllowanceTypePoint</t>
  </si>
  <si>
    <t>AllowanceIncreasePercen</t>
  </si>
  <si>
    <t>PayScales</t>
  </si>
  <si>
    <t>PayScalePoints</t>
  </si>
  <si>
    <t>PayScaleGrades</t>
  </si>
  <si>
    <t>PayScaleIncreasePercen</t>
  </si>
  <si>
    <t>EQWPatterns</t>
  </si>
  <si>
    <t>StaffMembers</t>
  </si>
  <si>
    <t>StfRoleGroup</t>
  </si>
  <si>
    <t>StfRole</t>
  </si>
  <si>
    <t>ContractsTeachFTE</t>
  </si>
  <si>
    <t>ContractsSupportHours</t>
  </si>
  <si>
    <t>LeaveTypes</t>
  </si>
  <si>
    <t>AdjustmentTypes</t>
  </si>
  <si>
    <t>StaffMemberLeaves</t>
  </si>
  <si>
    <t>ContractAdjustments</t>
  </si>
  <si>
    <t>ContractAllowances</t>
  </si>
  <si>
    <t>BUDGET</t>
  </si>
  <si>
    <t>SP: Non-educ contracts: Legal - Other</t>
  </si>
  <si>
    <t>Finance Code Types</t>
  </si>
  <si>
    <t>Checklist:</t>
  </si>
  <si>
    <t>Yes/no:</t>
  </si>
  <si>
    <t>Years</t>
  </si>
  <si>
    <t>Not Started</t>
  </si>
  <si>
    <t>Yes</t>
  </si>
  <si>
    <t>RED</t>
  </si>
  <si>
    <t>Now</t>
  </si>
  <si>
    <t>In Progress</t>
  </si>
  <si>
    <t>AMBER</t>
  </si>
  <si>
    <t>Later</t>
  </si>
  <si>
    <t>Import Ready</t>
  </si>
  <si>
    <t>GREEN</t>
  </si>
  <si>
    <t>Completed</t>
  </si>
  <si>
    <t>Awaiting Customer</t>
  </si>
  <si>
    <t>2025/26</t>
  </si>
  <si>
    <t>Awaiting Sales</t>
  </si>
  <si>
    <t>2026/27</t>
  </si>
  <si>
    <t>N/A</t>
  </si>
  <si>
    <t>LA0</t>
  </si>
  <si>
    <t>AllThrough</t>
  </si>
  <si>
    <t>Leave Before contract start date</t>
  </si>
  <si>
    <t>SEN_MIN</t>
  </si>
  <si>
    <t>SEN_MAX</t>
  </si>
  <si>
    <t>SEN Minimum</t>
  </si>
  <si>
    <t>SEN Maximum</t>
  </si>
  <si>
    <t>GenderCode</t>
  </si>
  <si>
    <t>Female</t>
  </si>
  <si>
    <t>Male</t>
  </si>
  <si>
    <t>Not Selected</t>
  </si>
  <si>
    <t>ZERO</t>
  </si>
  <si>
    <t>Vacancy</t>
  </si>
  <si>
    <t>Maternity Cover</t>
  </si>
  <si>
    <t>Zero Hours</t>
  </si>
  <si>
    <t>ContractTypeCode</t>
  </si>
  <si>
    <t>Permanent</t>
  </si>
  <si>
    <t>GroupingCodeIssue</t>
  </si>
  <si>
    <t>Actual Leave Start</t>
  </si>
  <si>
    <t>Imports - Maternity Start must not pre-date contract start. Import as-is for base weekly pay to calc, then manually backdate the Mat From date in Planner if needed.</t>
  </si>
  <si>
    <t>SPL_0</t>
  </si>
  <si>
    <t>Shared Parental  - unpaid leave</t>
  </si>
  <si>
    <t>SPL_90</t>
  </si>
  <si>
    <t>SPL_90/STAT</t>
  </si>
  <si>
    <t>SPL_90/STAT+50</t>
  </si>
  <si>
    <t>SPL_100</t>
  </si>
  <si>
    <t xml:space="preserve">Shared Parental  - 90% salary </t>
  </si>
  <si>
    <t>Shared Parental  - 100% salary</t>
  </si>
  <si>
    <t>Shared Parental  - (lower of) 90% salary /Statutory</t>
  </si>
  <si>
    <t>Shared Parental  - (lower of) 90% salary /Statutory + 50% salary</t>
  </si>
  <si>
    <t>Element</t>
  </si>
  <si>
    <t>CALCULATIONS</t>
  </si>
  <si>
    <t>SIMPLE</t>
  </si>
  <si>
    <t>Did we build contracts for all locations?</t>
  </si>
  <si>
    <t>Have all pension rates been supplied?</t>
  </si>
  <si>
    <t>Check for PayScale Issues</t>
  </si>
  <si>
    <t>Check for PayScale Point Issues</t>
  </si>
  <si>
    <t>Check for PayScale Increase % Issues</t>
  </si>
  <si>
    <t>Check for PayScale Grades Issues</t>
  </si>
  <si>
    <t>TLR1A</t>
  </si>
  <si>
    <t>TLR1B</t>
  </si>
  <si>
    <t>TLR1C</t>
  </si>
  <si>
    <t>TLR2A</t>
  </si>
  <si>
    <t>TLR2B</t>
  </si>
  <si>
    <t>TLR2C</t>
  </si>
  <si>
    <t>Teachers Main through UPS</t>
  </si>
  <si>
    <t>Code length Check</t>
  </si>
  <si>
    <t>Title length check</t>
  </si>
  <si>
    <t>Have we built all the PayScales provided?</t>
  </si>
  <si>
    <t>Builder Import Notes</t>
  </si>
  <si>
    <t>Importer Notes/Issues</t>
  </si>
  <si>
    <t>LC Import Notes</t>
  </si>
  <si>
    <t>A_FTE_EDS</t>
  </si>
  <si>
    <t>Education Support Annual FTE</t>
  </si>
  <si>
    <t>WK_FTE_EDS</t>
  </si>
  <si>
    <t>Education Support Weekly FTE</t>
  </si>
  <si>
    <t>GroupingCode</t>
  </si>
  <si>
    <t>ExcludeNationalInsurance</t>
  </si>
  <si>
    <t>VERSION</t>
  </si>
  <si>
    <t>Key stage</t>
  </si>
  <si>
    <t>groupingCodeCode</t>
  </si>
  <si>
    <t>groupingCodeTypeCode</t>
  </si>
  <si>
    <t>A</t>
  </si>
  <si>
    <t>510970</t>
  </si>
  <si>
    <t>510980</t>
  </si>
  <si>
    <t>510990</t>
  </si>
  <si>
    <t>520400</t>
  </si>
  <si>
    <t>IN: Other Grants: Temporary other Government revenue grants - not DfE (for DfE use)</t>
  </si>
  <si>
    <t>550600</t>
  </si>
  <si>
    <t>SF: Leadership - Teaching: Wages and salaries</t>
  </si>
  <si>
    <t>B</t>
  </si>
  <si>
    <t>610150</t>
  </si>
  <si>
    <t>SF: Leadership - Teaching: Overtime</t>
  </si>
  <si>
    <t>SF: Leadership - Teaching: Employers national insurance</t>
  </si>
  <si>
    <t>SF: Leadership - Teaching: Employers pension contribution</t>
  </si>
  <si>
    <t>611100</t>
  </si>
  <si>
    <t>SF: Leadership - Non-teaching: Wages and salaries</t>
  </si>
  <si>
    <t>611150</t>
  </si>
  <si>
    <t>SF: Leadership - Non-teaching: Overtime</t>
  </si>
  <si>
    <t>611200</t>
  </si>
  <si>
    <t>SF: Leadership - Non-teaching: Employers national insurance</t>
  </si>
  <si>
    <t>611300</t>
  </si>
  <si>
    <t>SF: Leadership - Non-teaching: Employers pension contribution</t>
  </si>
  <si>
    <t>649350</t>
  </si>
  <si>
    <t>SF: Ind Emp Exp: Staff Advertising - leadership</t>
  </si>
  <si>
    <t>C</t>
  </si>
  <si>
    <t>825330</t>
  </si>
  <si>
    <t>SP: Educ Consultancy: Education welfare and attendance services</t>
  </si>
  <si>
    <t>845260</t>
  </si>
  <si>
    <t>SP: Bought in supply cover: Agency support staff - cleaning and caretaking</t>
  </si>
  <si>
    <t>845270</t>
  </si>
  <si>
    <t>SP: Bought in supply cover: Agency support staff - grounds maintenance</t>
  </si>
  <si>
    <t>845280</t>
  </si>
  <si>
    <t>SP: Bought in supply cover: Agency support staff - other occupational costs</t>
  </si>
  <si>
    <t>845290</t>
  </si>
  <si>
    <t>SP: Bought in supply cover: Agency support staff - special facilities</t>
  </si>
  <si>
    <t>845300</t>
  </si>
  <si>
    <t>SP: Bought in supply cover: Agency support staff - catering</t>
  </si>
  <si>
    <t>845310</t>
  </si>
  <si>
    <t>855600</t>
  </si>
  <si>
    <t>SP: Non-educ contracts: Other non-educational contracts</t>
  </si>
  <si>
    <t>880170</t>
  </si>
  <si>
    <t>SP: Other supplies &amp; services: Welfare payments to pupils/students</t>
  </si>
  <si>
    <t>880530</t>
  </si>
  <si>
    <t>SP: Other supplies &amp; services: Donations to charities</t>
  </si>
  <si>
    <t>SP: Boarding - supplies: Other direct cost</t>
  </si>
  <si>
    <t>Pupil Numbers - Lagged Funding</t>
  </si>
  <si>
    <t>Z13</t>
  </si>
  <si>
    <t>Pupil Numbers - In Year Funding</t>
  </si>
  <si>
    <t>CalculatorTypeCode</t>
  </si>
  <si>
    <t>BalanceToScenario</t>
  </si>
  <si>
    <t>Balance to Scenario Blank</t>
  </si>
  <si>
    <t>Finance Assistant</t>
  </si>
  <si>
    <t>SRG NI School Issue</t>
  </si>
  <si>
    <t>A_FTE_LEAVE_ADJ_ADM</t>
  </si>
  <si>
    <t>Finance Admin Annual FTE Leave Adjustment</t>
  </si>
  <si>
    <t>Z17</t>
  </si>
  <si>
    <t>A_FTE_LEAVE_ADJ_CAT</t>
  </si>
  <si>
    <t>Catering Annual FTE Leave Adjustment</t>
  </si>
  <si>
    <t>A_FTE_LEAVE_ADJ_CLE</t>
  </si>
  <si>
    <t>Cleaning Annual FTE Leave Adjustment</t>
  </si>
  <si>
    <t>A_FTE_LEAVE_ADJ_COV</t>
  </si>
  <si>
    <t>Cover Annual FTE Leave Adjustment</t>
  </si>
  <si>
    <t>A_FTE_LEAVE_ADJ_EDS</t>
  </si>
  <si>
    <t>Education Support Annual FTE Leave Adjustment</t>
  </si>
  <si>
    <t>A_FTE_LEAVE_ADJ_EXT</t>
  </si>
  <si>
    <t>Extended Schools Annual FTE Leave Adjustment</t>
  </si>
  <si>
    <t>A_FTE_LEAVE_ADJ_FLA</t>
  </si>
  <si>
    <t>FLA Annual FTE Leave Adjustment</t>
  </si>
  <si>
    <t>A_FTE_LEAVE_ADJ_FSW</t>
  </si>
  <si>
    <t>Family Support Annual FTE Leave Adjustment</t>
  </si>
  <si>
    <t>A_FTE_LEAVE_ADJ_INV</t>
  </si>
  <si>
    <t>Invigilator Annual FTE Leave Adjustment</t>
  </si>
  <si>
    <t>A_FTE_LEAVE_ADJ_LIB</t>
  </si>
  <si>
    <t>Librarian Annual FTE Leave Adjustment</t>
  </si>
  <si>
    <t>A_FTE_LEAVE_ADJ_LSN</t>
  </si>
  <si>
    <t>Leadership Non-Teaching Annual FTE Leave Adjustment</t>
  </si>
  <si>
    <t>A_FTE_LEAVE_ADJ_LST</t>
  </si>
  <si>
    <t>Leadership Teaching Annual FTE Leave Adjustment</t>
  </si>
  <si>
    <t>Z16</t>
  </si>
  <si>
    <t>A_FTE_LEAVE_ADJ_MDS</t>
  </si>
  <si>
    <t>Mid Day Supervisors Annual FTE Leave Adjustment</t>
  </si>
  <si>
    <t>A_FTE_LEAVE_ADJ_NUR</t>
  </si>
  <si>
    <t>Nursery Annual FTE Leave Adjustment</t>
  </si>
  <si>
    <t>A_FTE_LEAVE_ADJ_OTH</t>
  </si>
  <si>
    <t>Other Staff Annual FTE Leave Adjustment</t>
  </si>
  <si>
    <t>A_FTE_LEAVE_ADJ_PAS</t>
  </si>
  <si>
    <t>Pastoral Annual FTE Leave Adjustment</t>
  </si>
  <si>
    <t>A_FTE_LEAVE_ADJ_PRE</t>
  </si>
  <si>
    <t>Premises Annual FTE Leave Adjustment</t>
  </si>
  <si>
    <t>A_FTE_LEAVE_ADJ_TA</t>
  </si>
  <si>
    <t>Teaching Assistants Annual FTE Leave Adjustment</t>
  </si>
  <si>
    <t>A_FTE_LEAVE_ADJ_TEA</t>
  </si>
  <si>
    <t>Teaching Annual FTE Leave Adjustment</t>
  </si>
  <si>
    <t>A_FTE_LEAVE_ADJ_TEC</t>
  </si>
  <si>
    <t>Technicians Annual FTE Leave Adjustment</t>
  </si>
  <si>
    <t>WK_FTE_LEAVE_ADJ_ADM</t>
  </si>
  <si>
    <t>Finance Admin Weekly FTE Leave Adjustment</t>
  </si>
  <si>
    <t>Z15</t>
  </si>
  <si>
    <t>WK_FTE_LEAVE_ADJ_CAT</t>
  </si>
  <si>
    <t>Catering Weekly FTE Leave Adjustment</t>
  </si>
  <si>
    <t>WK_FTE_LEAVE_ADJ_CLE</t>
  </si>
  <si>
    <t>Cleaning Weekly FTE Leave Adjustment</t>
  </si>
  <si>
    <t>WK_FTE_LEAVE_ADJ_COV</t>
  </si>
  <si>
    <t>Cover Weekly FTE Leave Adjustment</t>
  </si>
  <si>
    <t>WK_FTE_LEAVE_ADJ_EDS</t>
  </si>
  <si>
    <t>Education Support Weekly FTE Leave Adjustment</t>
  </si>
  <si>
    <t>WK_FTE_LEAVE_ADJ_EXT</t>
  </si>
  <si>
    <t>Extended Schools Weekly FTE Leave Adjustment</t>
  </si>
  <si>
    <t>WK_FTE_LEAVE_ADJ_FLA</t>
  </si>
  <si>
    <t>FLA Weekly  FTE Leave Adjustment</t>
  </si>
  <si>
    <t>WK_FTE_LEAVE_ADJ_FSW</t>
  </si>
  <si>
    <t>Family Support Weekly  FTE Leave Adjustment</t>
  </si>
  <si>
    <t>WK_FTE_LEAVE_ADJ_INV</t>
  </si>
  <si>
    <t>Invigilator Weekly  FTE Leave Adjustment</t>
  </si>
  <si>
    <t>WK_FTE_LEAVE_ADJ_LIB</t>
  </si>
  <si>
    <t>Librarian Weekly FTE Leave Adjustment</t>
  </si>
  <si>
    <t>WK_FTE_LEAVE_ADJ_LSN</t>
  </si>
  <si>
    <t>Leadership Non-Teaching Weekly FTE Leave Adjustment</t>
  </si>
  <si>
    <t>WK_FTE_LEAVE_ADJ_LST</t>
  </si>
  <si>
    <t>Leadership Teaching Weekly FTE Leave Adjustment</t>
  </si>
  <si>
    <t>Z14</t>
  </si>
  <si>
    <t>WK_FTE_LEAVE_ADJ_MDS</t>
  </si>
  <si>
    <t>Mid Day Supervisors Weekly FTE Leave Adjustment</t>
  </si>
  <si>
    <t>WK_FTE_LEAVE_ADJ_NUR</t>
  </si>
  <si>
    <t>Nursery Weekly FTE Leave Adjustment</t>
  </si>
  <si>
    <t>WK_FTE_LEAVE_ADJ_OTH</t>
  </si>
  <si>
    <t>Other Staff Weekly FTE Leave Adjustment</t>
  </si>
  <si>
    <t>WK_FTE_LEAVE_ADJ_PAS</t>
  </si>
  <si>
    <t>Pastoral Weekly FTE Leave Adjustment</t>
  </si>
  <si>
    <t>WK_FTE_LEAVE_ADJ_PRE</t>
  </si>
  <si>
    <t>Premises Weekly FTE Leave Adjustment</t>
  </si>
  <si>
    <t>WK_FTE_LEAVE_ADJ_TA</t>
  </si>
  <si>
    <t>Teaching Assistants Weekly FTE Leave Adjustment</t>
  </si>
  <si>
    <t>WK_FTE_LEAVE_ADJ_TEA</t>
  </si>
  <si>
    <t>Teaching Weekly FTE Leave Adjustment</t>
  </si>
  <si>
    <t>WK_FTE_LEAVE_ADJ_TEC</t>
  </si>
  <si>
    <t>Technicians Weekly FTE Leave Adjustment</t>
  </si>
  <si>
    <t>WeeklyFteLeaveAdjustmentFinanceCode</t>
  </si>
  <si>
    <t>AnnualFteLeaveAdjustmentFinanceCode</t>
  </si>
  <si>
    <t>Other Weekly FTE Leave Adjustment</t>
  </si>
  <si>
    <t>Other Annual FTE Leave Adjustment</t>
  </si>
  <si>
    <t>UseGrossValueForPension</t>
  </si>
  <si>
    <t>Community Facilities Annual FTE</t>
  </si>
  <si>
    <t>Community Facilities Annual FTE Leave Adjustment</t>
  </si>
  <si>
    <t>Community Facilities Weekly FTE</t>
  </si>
  <si>
    <t>Community Facilities Weekly FTE Leave Adjustment</t>
  </si>
  <si>
    <t>A_FTE_COM</t>
  </si>
  <si>
    <t>A_FTE_LEAVE_ADJ_COM</t>
  </si>
  <si>
    <t>WK_FTE_COM</t>
  </si>
  <si>
    <t>WK_FTE_LEAVE_ADJ_COM</t>
  </si>
  <si>
    <t>COSTCTR</t>
  </si>
  <si>
    <t>A0</t>
  </si>
  <si>
    <t>Finance Codes S2</t>
  </si>
  <si>
    <t>Genders</t>
  </si>
  <si>
    <t>ContractTypes</t>
  </si>
  <si>
    <t>Process Notes</t>
  </si>
  <si>
    <t>Updating API</t>
  </si>
  <si>
    <t>Step</t>
  </si>
  <si>
    <t>Add API code to parameter tab</t>
  </si>
  <si>
    <t>Navigate to the queries and connections in Data tab</t>
  </si>
  <si>
    <t>This will bring up a side menu</t>
  </si>
  <si>
    <t>Right click on the API folder and click "Refresh"</t>
  </si>
  <si>
    <t>Finance codes S2</t>
  </si>
  <si>
    <t>LA2</t>
  </si>
  <si>
    <t>M6</t>
  </si>
  <si>
    <t>Teachers Main Scale only</t>
  </si>
  <si>
    <t>NUR</t>
  </si>
  <si>
    <t>Staff Costs - Nursery Staff-Wages and salaries</t>
  </si>
  <si>
    <t>FSW</t>
  </si>
  <si>
    <t>Staff Costs - Family Support Workers-Wages and salaries</t>
  </si>
  <si>
    <t>Staff Costs - Other Staff-Wages and salaries</t>
  </si>
  <si>
    <t>HT</t>
  </si>
  <si>
    <t>Headteacher</t>
  </si>
  <si>
    <t>Chief Executive Officer</t>
  </si>
  <si>
    <t>Chief Financial Officer</t>
  </si>
  <si>
    <t>Unqualified Teacher</t>
  </si>
  <si>
    <t>Higher Level Teaching Assistant</t>
  </si>
  <si>
    <t>SBM</t>
  </si>
  <si>
    <t>School Business Manager</t>
  </si>
  <si>
    <t>HR Manager</t>
  </si>
  <si>
    <t>Admin Assistant</t>
  </si>
  <si>
    <t>REC</t>
  </si>
  <si>
    <t>Receptionist</t>
  </si>
  <si>
    <t>CT</t>
  </si>
  <si>
    <t>Caretaker</t>
  </si>
  <si>
    <t>Assistant Caretaker</t>
  </si>
  <si>
    <t>Exam Invigilators</t>
  </si>
  <si>
    <t>ServiceEndDate</t>
  </si>
  <si>
    <t>API - Do not edit</t>
  </si>
  <si>
    <t>F</t>
  </si>
  <si>
    <t>M</t>
  </si>
  <si>
    <t>FXT</t>
  </si>
  <si>
    <t>PERM</t>
  </si>
  <si>
    <t>TEMP</t>
  </si>
  <si>
    <t>Temporary</t>
  </si>
  <si>
    <t>VAC</t>
  </si>
  <si>
    <t>If the below pop-up appears please tick the "Ignore Privacy Levels" box and then click the "Save" button.</t>
  </si>
  <si>
    <t>This grey section can be edited</t>
  </si>
  <si>
    <t>If the below pop-up appears please click the "Don't Update" button.</t>
  </si>
  <si>
    <t>FundEnabled</t>
  </si>
  <si>
    <t>ActivityCode</t>
  </si>
  <si>
    <t>ActivityEnabled</t>
  </si>
  <si>
    <t>LedgerEnabled</t>
  </si>
  <si>
    <t>CustomGroupingCode</t>
  </si>
  <si>
    <t>CustomGroupingEnabled</t>
  </si>
  <si>
    <t>SchoolHubCode</t>
  </si>
  <si>
    <t>SchoolHubEnabled</t>
  </si>
  <si>
    <t>SchoolTypeCode</t>
  </si>
  <si>
    <t>SchoolTypeEnabled</t>
  </si>
  <si>
    <t>DefaultFinanceCode</t>
  </si>
  <si>
    <t>DepartmentEnabled</t>
  </si>
  <si>
    <t>SchoolLocalAuthorityCode</t>
  </si>
  <si>
    <t>SchoolLocalAuthorityEnabled</t>
  </si>
  <si>
    <t>Schools</t>
  </si>
  <si>
    <t>London Weighting Type needs to be updated with the correct type from the drop down. This is based on the Local authority, whose weighting can be found in column "Teachers IL/OL/FRI" of the "Local Authorities - standard codes" document.</t>
  </si>
  <si>
    <t>UPS</t>
  </si>
  <si>
    <t>Teachers Upper Scale only</t>
  </si>
  <si>
    <t>NMW_Y1</t>
  </si>
  <si>
    <t>NMW_&lt;18</t>
  </si>
  <si>
    <t>NMW_18-20</t>
  </si>
  <si>
    <t>Apprentice / NMW Scale</t>
  </si>
  <si>
    <t>Y1</t>
  </si>
  <si>
    <t>&lt;18</t>
  </si>
  <si>
    <t>18-20</t>
  </si>
  <si>
    <t>Apprentice Y1</t>
  </si>
  <si>
    <t>TRUE/FALSE Check</t>
  </si>
  <si>
    <t>Duplicate Title</t>
  </si>
  <si>
    <t>SRG Gross Salary School Issue</t>
  </si>
  <si>
    <t>SRG Pension School Issue</t>
  </si>
  <si>
    <t>Duplicate Employee</t>
  </si>
  <si>
    <t>DHT</t>
  </si>
  <si>
    <t>AHT</t>
  </si>
  <si>
    <t>UQT</t>
  </si>
  <si>
    <t>FIN_AST</t>
  </si>
  <si>
    <t>HR_MGR</t>
  </si>
  <si>
    <t>ADM_AST</t>
  </si>
  <si>
    <t>Duplicate Staff Member Code</t>
  </si>
  <si>
    <t>Duplicate Contract</t>
  </si>
  <si>
    <t>&gt;21</t>
  </si>
  <si>
    <t>NMW_&gt;21</t>
  </si>
  <si>
    <t>NLW &gt;21</t>
  </si>
  <si>
    <t>Duplicate Grade Code</t>
  </si>
  <si>
    <t>Check Contract Allowance Issues</t>
  </si>
  <si>
    <t>Check Adjustment Type Issues</t>
  </si>
  <si>
    <t>Check for EQWP Issues</t>
  </si>
  <si>
    <t>Check Leave Types Issues</t>
  </si>
  <si>
    <t>Increment Date</t>
  </si>
  <si>
    <t>Increase Date</t>
  </si>
  <si>
    <t>Pay Scale Code Issue</t>
  </si>
  <si>
    <t>Schools Check</t>
  </si>
  <si>
    <t>Duplicate Scale Code</t>
  </si>
  <si>
    <t>Duplicate Role Code</t>
  </si>
  <si>
    <t>Pay Scale issue</t>
  </si>
  <si>
    <t>Scale Point Issue</t>
  </si>
  <si>
    <t>Duplicate SRG Code</t>
  </si>
  <si>
    <t xml:space="preserve">Unique Contract </t>
  </si>
  <si>
    <t>Title Length</t>
  </si>
  <si>
    <t>Code Length</t>
  </si>
  <si>
    <t>Notes Length</t>
  </si>
  <si>
    <t>Dates From/To Issue</t>
  </si>
  <si>
    <t>Allowance Type Issue</t>
  </si>
  <si>
    <t>Allowance Issue</t>
  </si>
  <si>
    <t>Duplicate NameService Start</t>
  </si>
  <si>
    <t>Pension Issue</t>
  </si>
  <si>
    <t>EQWP Issue</t>
  </si>
  <si>
    <t>Scale Point Disabled</t>
  </si>
  <si>
    <t>SRG FC Issue</t>
  </si>
  <si>
    <t>Contract Type Issue</t>
  </si>
  <si>
    <t>Location Issue</t>
  </si>
  <si>
    <t>Unique Contract</t>
  </si>
  <si>
    <t>Contract Issue</t>
  </si>
  <si>
    <t>Contract Dates From/To Issue</t>
  </si>
  <si>
    <t>Adj Code Issue</t>
  </si>
  <si>
    <t>Adj Type Duplicate</t>
  </si>
  <si>
    <t>Adj Dates From/To Issue</t>
  </si>
  <si>
    <t>Leave Type Code Issue</t>
  </si>
  <si>
    <t>Staff Member Code Issue</t>
  </si>
  <si>
    <t>TRUE /FALSE Typo</t>
  </si>
  <si>
    <t>Space in Code</t>
  </si>
  <si>
    <t>Blank in column</t>
  </si>
  <si>
    <t>Adj Date From issue</t>
  </si>
  <si>
    <t>Contract Date From Issue</t>
  </si>
  <si>
    <t>Contract Date To Issue</t>
  </si>
  <si>
    <t>School Code Exists</t>
  </si>
  <si>
    <t>Rate Date From Issue</t>
  </si>
  <si>
    <t>Minimum Wage Ledger Issue</t>
  </si>
  <si>
    <t>Living Wage Ledger Issue</t>
  </si>
  <si>
    <t>Opt Out Pens Ledger Issue</t>
  </si>
  <si>
    <t>Gross Salary FC Issue</t>
  </si>
  <si>
    <t>Gross Salary FC &gt;1</t>
  </si>
  <si>
    <t>Leave Rebate FC Issue</t>
  </si>
  <si>
    <t>Leave Rebate FC &gt;1</t>
  </si>
  <si>
    <t>Allowance FC &gt;1</t>
  </si>
  <si>
    <t>Allowance FC Issue</t>
  </si>
  <si>
    <t>Adj FC Issue</t>
  </si>
  <si>
    <t>Adj FC &gt;1</t>
  </si>
  <si>
    <t>NI FC Issue</t>
  </si>
  <si>
    <t>NI FC &gt;1</t>
  </si>
  <si>
    <t>Pension FC Issue</t>
  </si>
  <si>
    <t>Pension FC &gt;1</t>
  </si>
  <si>
    <t>Weekly FTE Issue</t>
  </si>
  <si>
    <t>Annual FTE Issue</t>
  </si>
  <si>
    <t>Weekly FTE Leave Adj Issue</t>
  </si>
  <si>
    <t>Annual FTE Leave Adj Issue</t>
  </si>
  <si>
    <t>Payroll Location</t>
  </si>
  <si>
    <t>Grade / Pay Scale Issue</t>
  </si>
  <si>
    <t>Grade / School Issue</t>
  </si>
  <si>
    <t>Dept / School Issue</t>
  </si>
  <si>
    <t>Point / Grade Issue</t>
  </si>
  <si>
    <t>Point / Pay Scale Issue</t>
  </si>
  <si>
    <t>Role / School Issue</t>
  </si>
  <si>
    <t>Pay Scale / School Issue</t>
  </si>
  <si>
    <t>Allw Code Issue</t>
  </si>
  <si>
    <t>Allw Point Issue</t>
  </si>
  <si>
    <t>Allw Date From issue</t>
  </si>
  <si>
    <t>Allw Point Duplicate</t>
  </si>
  <si>
    <t>Allw Dates From/To Issue</t>
  </si>
  <si>
    <t>Type Code Duplicate</t>
  </si>
  <si>
    <t>Point Code Duplicate</t>
  </si>
  <si>
    <t>Scale Point Number From/To Issue</t>
  </si>
  <si>
    <t>AYR</t>
  </si>
  <si>
    <r>
      <t>WeeklyFte</t>
    </r>
    <r>
      <rPr>
        <sz val="8"/>
        <color theme="0"/>
        <rFont val="Calibri"/>
        <family val="2"/>
        <scheme val="minor"/>
      </rPr>
      <t>OrHpw</t>
    </r>
  </si>
  <si>
    <r>
      <rPr>
        <sz val="8"/>
        <color theme="0"/>
        <rFont val="Calibri"/>
        <family val="2"/>
        <scheme val="minor"/>
      </rPr>
      <t>WeeklyFteOr</t>
    </r>
    <r>
      <rPr>
        <sz val="11"/>
        <color theme="0"/>
        <rFont val="Calibri"/>
        <family val="2"/>
        <scheme val="minor"/>
      </rPr>
      <t>Hpw</t>
    </r>
  </si>
  <si>
    <t>Error Check</t>
  </si>
  <si>
    <r>
      <t xml:space="preserve">Are notes added to Import Checklist (and against task row, this tab) to explain </t>
    </r>
    <r>
      <rPr>
        <b/>
        <sz val="11"/>
        <color theme="1"/>
        <rFont val="Calibri"/>
        <family val="2"/>
        <scheme val="minor"/>
      </rPr>
      <t>all 'non-errors'</t>
    </r>
    <r>
      <rPr>
        <sz val="11"/>
        <color theme="1"/>
        <rFont val="Calibri"/>
        <family val="2"/>
        <scheme val="minor"/>
      </rPr>
      <t xml:space="preserve">  with an Error Check score (Col C)?</t>
    </r>
  </si>
  <si>
    <t>IncrementDate</t>
  </si>
  <si>
    <t>FirstName</t>
  </si>
  <si>
    <t>LastName</t>
  </si>
  <si>
    <t>A_FTE_ESTF</t>
  </si>
  <si>
    <t>External Staff Annual FTE</t>
  </si>
  <si>
    <t>A_FTE_LEAVE_ADJ_ESTF</t>
  </si>
  <si>
    <t>External Staff Annual FTE Leave Adjustment</t>
  </si>
  <si>
    <t>WK_FTE_ESTF</t>
  </si>
  <si>
    <t>External Staff Weekly FTE</t>
  </si>
  <si>
    <t>WK_FTE_LEAVE_ADJ_ESTF</t>
  </si>
  <si>
    <t>External Staff Weekly FTE Leave Adjustment</t>
  </si>
  <si>
    <t>AnnualValuePreAnnualFte</t>
  </si>
  <si>
    <t>AnnualValuePostAnnualFte</t>
  </si>
  <si>
    <t>Shared Parental  - 100% salary (NO REBATE)</t>
  </si>
  <si>
    <t>SPL_100_NR</t>
  </si>
  <si>
    <t>NAME</t>
  </si>
  <si>
    <t>Duplicate Scale Check</t>
  </si>
  <si>
    <t>Point Code / School isue</t>
  </si>
  <si>
    <t>Space in code</t>
  </si>
  <si>
    <t>Date Format Issue</t>
  </si>
  <si>
    <t>All Year Round</t>
  </si>
  <si>
    <t>Check Finance Codes S2 Issues (Ledger needed?)</t>
  </si>
  <si>
    <t>Pay Scale String</t>
  </si>
  <si>
    <t>Pay Scale String Duplicates</t>
  </si>
  <si>
    <t>SICK_SSP</t>
  </si>
  <si>
    <t>Sickness - SSP only</t>
  </si>
  <si>
    <t>there is no SSP rebate</t>
  </si>
  <si>
    <t>EQW Total Check</t>
  </si>
  <si>
    <r>
      <t xml:space="preserve">Are there any SRG </t>
    </r>
    <r>
      <rPr>
        <b/>
        <sz val="11"/>
        <color theme="1"/>
        <rFont val="Calibri"/>
        <family val="2"/>
        <scheme val="minor"/>
      </rPr>
      <t>Critical Errors</t>
    </r>
    <r>
      <rPr>
        <sz val="11"/>
        <color theme="1"/>
        <rFont val="Calibri"/>
        <family val="2"/>
        <scheme val="minor"/>
      </rPr>
      <t xml:space="preserve"> which will prevent successful Import? - </t>
    </r>
    <r>
      <rPr>
        <b/>
        <sz val="11"/>
        <color theme="1"/>
        <rFont val="Calibri"/>
        <family val="2"/>
        <scheme val="minor"/>
      </rPr>
      <t>if YES - alert LC</t>
    </r>
    <r>
      <rPr>
        <sz val="11"/>
        <color theme="1"/>
        <rFont val="Calibri"/>
        <family val="2"/>
        <scheme val="minor"/>
      </rPr>
      <t xml:space="preserve"> to issue</t>
    </r>
  </si>
  <si>
    <r>
      <rPr>
        <b/>
        <sz val="11"/>
        <color theme="1"/>
        <rFont val="Calibri"/>
        <family val="2"/>
        <scheme val="minor"/>
      </rPr>
      <t>Review</t>
    </r>
    <r>
      <rPr>
        <sz val="11"/>
        <color theme="1"/>
        <rFont val="Calibri"/>
        <family val="2"/>
        <scheme val="minor"/>
      </rPr>
      <t xml:space="preserve"> purposes - If Salaries in data YES, is this part of your Staff Contract Build Reconciliation? If not, please alert LC to any issue</t>
    </r>
  </si>
  <si>
    <t>Do funds need to be assigned at Scenario Row Level? (See Scope Document info)</t>
  </si>
  <si>
    <t>If not standard, did we receive and check Statutory leave types?</t>
  </si>
  <si>
    <t>Are full time hours - for roles/locations - in line with Scope Document info?</t>
  </si>
  <si>
    <t>Have the Scope Document info / Email Responses been reviewed?</t>
  </si>
  <si>
    <t>Do contract effective dates match the dates provided in the Scope Document?</t>
  </si>
  <si>
    <t>Do PayScales increment and increase in line with Scope Document info?</t>
  </si>
  <si>
    <t>Non-Contract staffing data - Has any data been sent to Strand 3 Builder? (Check with Kim if unsure)</t>
  </si>
  <si>
    <t>APP_NMW</t>
  </si>
  <si>
    <t>U3</t>
  </si>
  <si>
    <t>£7.55  / hour*37*52.143</t>
  </si>
  <si>
    <t>£10.00  / hour*37*52.143</t>
  </si>
  <si>
    <t>£12.21  / hour*37*52.143</t>
  </si>
  <si>
    <t>UQ</t>
  </si>
  <si>
    <t>LS</t>
  </si>
  <si>
    <t>Person+AllowancePoint+ContractRef+SchoolCode</t>
  </si>
  <si>
    <t>Person+Adj Type Point+Contract Ref+SchoolCode</t>
  </si>
  <si>
    <t>PayScaleGrade and PayScaleCode Available to School</t>
  </si>
  <si>
    <t>PayScaleCode Available to School</t>
  </si>
  <si>
    <t>Allowance Type Code Available to School</t>
  </si>
  <si>
    <r>
      <rPr>
        <b/>
        <sz val="11"/>
        <color theme="1"/>
        <rFont val="Calibri"/>
        <family val="2"/>
        <scheme val="minor"/>
      </rPr>
      <t>Review</t>
    </r>
    <r>
      <rPr>
        <sz val="11"/>
        <color theme="1"/>
        <rFont val="Calibri"/>
        <family val="2"/>
        <scheme val="minor"/>
      </rPr>
      <t xml:space="preserve"> purposes - is (as at) Annual Full-Time Salary provided in the original staffing data?</t>
    </r>
  </si>
  <si>
    <r>
      <rPr>
        <b/>
        <sz val="11"/>
        <color theme="1"/>
        <rFont val="Calibri"/>
        <family val="2"/>
        <scheme val="minor"/>
      </rPr>
      <t>Review</t>
    </r>
    <r>
      <rPr>
        <sz val="11"/>
        <color theme="1"/>
        <rFont val="Calibri"/>
        <family val="2"/>
        <scheme val="minor"/>
      </rPr>
      <t xml:space="preserve"> purposes - is (as at) Actual Calculated Salary provided in the original staffing data?</t>
    </r>
  </si>
  <si>
    <r>
      <rPr>
        <b/>
        <sz val="11"/>
        <color theme="1"/>
        <rFont val="Calibri"/>
        <family val="2"/>
        <scheme val="minor"/>
      </rPr>
      <t>Review</t>
    </r>
    <r>
      <rPr>
        <sz val="11"/>
        <color theme="1"/>
        <rFont val="Calibri"/>
        <family val="2"/>
        <scheme val="minor"/>
      </rPr>
      <t xml:space="preserve"> purposes - if either (or both) Salaries in data NO, is the customer / LC already aware?</t>
    </r>
  </si>
  <si>
    <t>IsFinanceRole</t>
  </si>
  <si>
    <r>
      <rPr>
        <b/>
        <sz val="11"/>
        <color theme="1"/>
        <rFont val="Calibri"/>
        <family val="2"/>
        <scheme val="minor"/>
      </rPr>
      <t>Excluded</t>
    </r>
    <r>
      <rPr>
        <sz val="11"/>
        <color theme="1"/>
        <rFont val="Calibri"/>
        <family val="2"/>
        <scheme val="minor"/>
      </rPr>
      <t xml:space="preserve"> contracts/ allowances - Do any excluded lines have budgetary impact (ie. data lines show salary / allowance cost)?</t>
    </r>
  </si>
  <si>
    <t>Fund Code Issue</t>
  </si>
  <si>
    <t>Blank Title Check</t>
  </si>
  <si>
    <t>Blank Code Check</t>
  </si>
  <si>
    <t>GAG</t>
  </si>
  <si>
    <t>Dept/FC Ledger Issue</t>
  </si>
  <si>
    <t>Leave Types Overlap</t>
  </si>
  <si>
    <t>IsBalanceSheet</t>
  </si>
  <si>
    <t>Fixed Term</t>
  </si>
  <si>
    <t>Jordan</t>
  </si>
  <si>
    <t>update to today date (shortcut is CTRL + ;)</t>
  </si>
  <si>
    <t>eyJhbGciOiJIUzI1NiIsInR5cCI6IkpXVCJ9.eyJodHRwOi8vc2NoZW1hcy54bWxzb2FwLm9yZy93cy8yMDA1LzA1L2lkZW50aXR5L2NsYWltcy9uYW1laWRlbnRpZmllciI6IjQ1ZDA5ZmY3LWE2NjEtNDUyMy1iMmEyLTIxYWU3OGZhMjZhMSIsImh0dHA6Ly9zY2hlbWFzLnhtbHNvYXAub3JnL3dzLzIwMDUvMDUvaWRlbnRpdHkvY2xhaW1zL25hbWUiOiJDT1IwMDRAaW1wc29mdHdhcmUuY28udWsiLCJhdF9oYXNoIjoiYzg3NzNlODQtOGVjMC00ZDI4LWEzYzUtNzY1M2Y5OGY1OGNjIn0.wg1yILUA9FhHArhosCaiVtXyClwannHe7t7loxLrOCM</t>
  </si>
  <si>
    <t>IN: DfE Revenue Grants: Core schools budget grant</t>
  </si>
  <si>
    <t>IN: DfE Revenue Grants: Temporary DfE grants 2 (for DfE use)</t>
  </si>
  <si>
    <t>IN: DfE Revenue Grants: Temporary DfE grants 3 (for DfE use)</t>
  </si>
  <si>
    <t>IN: DfE Group Grants: Office of Children's Commissioner</t>
  </si>
  <si>
    <t>IN: DfE Group Grants: Engineering Construction ITB</t>
  </si>
  <si>
    <t>525210</t>
  </si>
  <si>
    <t>IN: Other Income: Feed in Tariff and RHI income</t>
  </si>
  <si>
    <t>525450</t>
  </si>
  <si>
    <t>IN: Other Income: Other reimbursement income from parents and staff</t>
  </si>
  <si>
    <t>IN: Other Income: Teaching School hub other income</t>
  </si>
  <si>
    <t>530660</t>
  </si>
  <si>
    <t>IN: Trading Income: Electric vehicle charge point income</t>
  </si>
  <si>
    <t>IN: DfE Capital Grants: Teaching School Hub capital grants</t>
  </si>
  <si>
    <t>IN: DfE Capital Grants: Temporary DfE capital grants (for DfE use)</t>
  </si>
  <si>
    <t>IN: DfE Group capital grants: Office of Children's Commissioner</t>
  </si>
  <si>
    <t>IN: DfE Group capital grants: Engineering Construction ITB</t>
  </si>
  <si>
    <t>IN: Boarding Income: Office of Children's Commissioner</t>
  </si>
  <si>
    <t>IN: Donations: Donated FA - other (Restricted)</t>
  </si>
  <si>
    <t>580160</t>
  </si>
  <si>
    <t>IN: Donations: Donated FA - other (Unrestricted)</t>
  </si>
  <si>
    <t>IN: Donations: Donated intangible assets (Restricted)</t>
  </si>
  <si>
    <t>580210</t>
  </si>
  <si>
    <t>IN: Donations: Donated intangible assets (Unrestricted)</t>
  </si>
  <si>
    <t>IN: Donations: Other capital donations (Restricted)</t>
  </si>
  <si>
    <t>580260</t>
  </si>
  <si>
    <t>IN: Donations: Other capital donations (Unrestricted)</t>
  </si>
  <si>
    <t>IN: Donations: Revenue donations - general (Restricted)</t>
  </si>
  <si>
    <t>580310</t>
  </si>
  <si>
    <t>IN: Donations: Revenue donations - general (Unrestricted)</t>
  </si>
  <si>
    <t>IN: Donations: Revenue donations - charity (Restricted)</t>
  </si>
  <si>
    <t>580360</t>
  </si>
  <si>
    <t>IN: Donations: Revenue donations - charity (Unrestricted)</t>
  </si>
  <si>
    <t>IN: Donations: Revenue donations - gift aid (Restricted)</t>
  </si>
  <si>
    <t>580410</t>
  </si>
  <si>
    <t>IN: Donations: Revenue donations - gift aid (Unrestricted)</t>
  </si>
  <si>
    <t>624100</t>
  </si>
  <si>
    <t>SF: Other direct staff costs: Wages and salaries</t>
  </si>
  <si>
    <t>624150</t>
  </si>
  <si>
    <t>SF: Other direct staff costs: Overtime</t>
  </si>
  <si>
    <t>624200</t>
  </si>
  <si>
    <t>SF: Other direct staff costs: Employers national insurance</t>
  </si>
  <si>
    <t>624300</t>
  </si>
  <si>
    <t>SF: Other direct staff costs: Employers pension contribution</t>
  </si>
  <si>
    <t>SF: Other Staff - Support costs: Wages and salaries</t>
  </si>
  <si>
    <t>SF: Other Staff - Support costs: Overtime</t>
  </si>
  <si>
    <t>SF: Other Staff - Support costs: Employers national insurance</t>
  </si>
  <si>
    <t>SF: Other Staff - Support costs: Employers pension contribution</t>
  </si>
  <si>
    <t>SF: Pensions: LGPS cash contribution to pension deficit</t>
  </si>
  <si>
    <t>SF: Supply Staff: Teachers - long term cover: Wages and salaries</t>
  </si>
  <si>
    <t>SF: Supply Staff: Teachers - long term cover: Employers national insurance</t>
  </si>
  <si>
    <t>SF: Supply Staff: Teachers - long term cover: Employers pension</t>
  </si>
  <si>
    <t>SF: Supply Staff: Teachers - short term cover: Wages and salaries</t>
  </si>
  <si>
    <t>SF: Supply Staff: Teachers - short term cover: Employers national insurance</t>
  </si>
  <si>
    <t>SF: Supply Staff: Teachers - short term cover: Employers pension</t>
  </si>
  <si>
    <t>SF: Supply Staff: Teaching assistants: Wages and salaries</t>
  </si>
  <si>
    <t>SF: Supply Staff: Teaching assistants: Employers national insurance</t>
  </si>
  <si>
    <t>SF: Supply Staff: Teaching assistants: Employers pension</t>
  </si>
  <si>
    <t>SF: Supply Staff: Support staff: Wages and salaries</t>
  </si>
  <si>
    <t>SF: Supply Staff: Support staff: Employers national insurance</t>
  </si>
  <si>
    <t>SF: Supply Staff: Support staff: Employers pension</t>
  </si>
  <si>
    <t>SF: Ind Emp Exp: Apprenticeship levy - teachers and educational support stff</t>
  </si>
  <si>
    <t>675110</t>
  </si>
  <si>
    <t>SF: Ind Emp Exp: Apprenticeship levy - support staff</t>
  </si>
  <si>
    <t>SF: Ind Emp Exp: Ex-gratia/severance - teaching and educational support staff</t>
  </si>
  <si>
    <t>SF: Ind Emp Exp: Ex-gratia/severance - support staff</t>
  </si>
  <si>
    <t>SF: Ind Emp Exp: Redundancy - teaching and educational support staff</t>
  </si>
  <si>
    <t>SF: Ind Emp Exp: Other restructuring - teaching and educational support staff</t>
  </si>
  <si>
    <t>SF: Ind Emp Exp: Other restructuring - support staff</t>
  </si>
  <si>
    <t>SF: Ind Emp Exp: Secondment income - teaching and educational support staff</t>
  </si>
  <si>
    <t>SF: Ind Emp Exp: Secondment income - support staff</t>
  </si>
  <si>
    <t>SF: Ind Emp Exp: Childcare vouchers and other salary sacrifice scheme costs</t>
  </si>
  <si>
    <t>675480</t>
  </si>
  <si>
    <t>SF: Ind Emp Exp: Occupational health</t>
  </si>
  <si>
    <t>SF: Ind Emp Exp: Recruitment - teaching and educational support staff</t>
  </si>
  <si>
    <t>SF: Ind Emp Exp: Staff Advertising - teaching and educational support staff</t>
  </si>
  <si>
    <t>SF: Ind Emp Exp: Staff Advertising - support staff</t>
  </si>
  <si>
    <t>SF: Ind Emp Exp: DBS checks - teaching and educational support staff</t>
  </si>
  <si>
    <t>SF: Ind Emp Exp: Staff training - teaching and educational support staff</t>
  </si>
  <si>
    <t>SF: Ind Emp Exp: Other Ind Emp Expense - teaching and educational support staff</t>
  </si>
  <si>
    <t>SF: Ind Emp Exp: Other Ind Emp Expense - support staff</t>
  </si>
  <si>
    <t>SF: Ind Emp Exp: Supply insurance - teaching and educational support staff</t>
  </si>
  <si>
    <t>SF: Ind Emp Exp: Supply insurance - support staff</t>
  </si>
  <si>
    <t>SF: Ind Emp Exp: Refreshments and hospitality costs for staff</t>
  </si>
  <si>
    <t>675810</t>
  </si>
  <si>
    <t>SF: Ind Emp Exp: Professional subscriptions - teaching and educational support staff</t>
  </si>
  <si>
    <t>675820</t>
  </si>
  <si>
    <t>SF: Ind Emp Exp: Professional subscriptions - support staff</t>
  </si>
  <si>
    <t>720500</t>
  </si>
  <si>
    <t>PR: Energy: Biomass fuel &amp; other renewable energy costs</t>
  </si>
  <si>
    <t>PR: Operating leases: Land and building rent payable</t>
  </si>
  <si>
    <t>PR: Operating leases: Telephony &amp; connectivity</t>
  </si>
  <si>
    <t>735310</t>
  </si>
  <si>
    <t>PR: Operating leases: On-site servers</t>
  </si>
  <si>
    <t>735320</t>
  </si>
  <si>
    <t>PR: Operating leases: Laptops, desktop computers and tablets</t>
  </si>
  <si>
    <t>735410</t>
  </si>
  <si>
    <t>PR: Operating leases: Solar panels</t>
  </si>
  <si>
    <t>735500</t>
  </si>
  <si>
    <t>PR: Operating leases: Vehicles</t>
  </si>
  <si>
    <t>760680</t>
  </si>
  <si>
    <t>PR: Other Premises: Accommodation service charge</t>
  </si>
  <si>
    <t>PR: Other premises: Revenue expenditure from capital funding (Premises)</t>
  </si>
  <si>
    <t>810220</t>
  </si>
  <si>
    <t>SP: Educ Supplies: Curriculum printing &amp; photocopying</t>
  </si>
  <si>
    <t>810510</t>
  </si>
  <si>
    <t>SP: Educ Supplies: Alternative provision costs</t>
  </si>
  <si>
    <t>SP: Technology Costs: Educational IT Hardware</t>
  </si>
  <si>
    <t>820110</t>
  </si>
  <si>
    <t xml:space="preserve">SP: Technology Costs: Educational laptop/desktop bundles </t>
  </si>
  <si>
    <t>820160</t>
  </si>
  <si>
    <t>SP: Technology Costs: Educational telephony, connectivity and broadband costs</t>
  </si>
  <si>
    <t>820170</t>
  </si>
  <si>
    <t>SP: Technology Costs: Educational server costs</t>
  </si>
  <si>
    <t>820180</t>
  </si>
  <si>
    <t>SP: Technology Costs: Educational IT repairs</t>
  </si>
  <si>
    <t>820190</t>
  </si>
  <si>
    <t>SP: Technology Costs: Educational IT support contracts</t>
  </si>
  <si>
    <t>820310</t>
  </si>
  <si>
    <t>SP: Technology Costs: ICT Admin laptops, desktop, tablets and peripherals</t>
  </si>
  <si>
    <t>SP: Technology Costs: ICT Admin Hardware (not capital)</t>
  </si>
  <si>
    <t>820330</t>
  </si>
  <si>
    <t>SP: Technology Costs: ICT Admin server costs (not leased or capital)</t>
  </si>
  <si>
    <t>SP: Technology Costs: ICT Admin Repairs</t>
  </si>
  <si>
    <t>SP: Technology Costs: ICT Admin Software (not capital)</t>
  </si>
  <si>
    <t>SP: Technology Costs: ICT Admin Licences</t>
  </si>
  <si>
    <t>SP: Technology Costs: ICT Admin Broadband</t>
  </si>
  <si>
    <t>SP: Technology Costs: ICT Admin Consumable</t>
  </si>
  <si>
    <t>830170</t>
  </si>
  <si>
    <t>SP: School Trips: School Trips - Swimming</t>
  </si>
  <si>
    <t>SP: School Trips: School Trips - Food &amp; Drink</t>
  </si>
  <si>
    <t>830400</t>
  </si>
  <si>
    <t>SP: School Trips: Student placement costs</t>
  </si>
  <si>
    <t>SP: Administration: Subscriptions - Curriculum</t>
  </si>
  <si>
    <t>SP: Administration: Marketing and PR</t>
  </si>
  <si>
    <t>SP: Administration: Refreshments and hospitality - non-staff</t>
  </si>
  <si>
    <t>835590</t>
  </si>
  <si>
    <t>SP: Administration: Administration - Other non curriculum costs</t>
  </si>
  <si>
    <t>SP: Transport: Vehicle costs - other</t>
  </si>
  <si>
    <t>840110</t>
  </si>
  <si>
    <t>SP: Transport: Vehicle fuel Costs</t>
  </si>
  <si>
    <t>840120</t>
  </si>
  <si>
    <t>SP: Transport: Vehicle service/maintenance costs</t>
  </si>
  <si>
    <t>840130</t>
  </si>
  <si>
    <t>SP: Transport: Taxes, tolls and congestion charges</t>
  </si>
  <si>
    <t>SP: Bought in supply cover: Agency teachers long term</t>
  </si>
  <si>
    <t>SP: Bought in supply cover: Agency teachers short term</t>
  </si>
  <si>
    <t xml:space="preserve">SP: Bought in supply cover: Agency support staff - professional service - non-curriculum </t>
  </si>
  <si>
    <t>SP: Non-educ contracts: Educ Psychologist consultancy (External strategic)</t>
  </si>
  <si>
    <t>SP: Non-educ contracts: Speech &amp; Language consultancy (External strategic)</t>
  </si>
  <si>
    <t>SP: Non-educ contracts: SEN consultancy (External strategic)</t>
  </si>
  <si>
    <t>SP: Governance: Trustees/Trust Director - travel</t>
  </si>
  <si>
    <t>SP: Governance: Trustees/Trust Director - subsistence</t>
  </si>
  <si>
    <t>SP: Governance: Trustees/Trust Director - other reimb.</t>
  </si>
  <si>
    <t>SP: Administration-support costs: Revenue expenditure from capital funding (Supp's &amp; serv's)</t>
  </si>
  <si>
    <t>SP: Other supplies &amp; services: Other not attributable expend.</t>
  </si>
  <si>
    <t>W3</t>
  </si>
  <si>
    <t>Voluntary Income</t>
  </si>
  <si>
    <t>W4</t>
  </si>
  <si>
    <t>Voluntary Expenditure</t>
  </si>
  <si>
    <t>ACT</t>
  </si>
  <si>
    <t>Alsager Community Trust</t>
  </si>
  <si>
    <t>COV19</t>
  </si>
  <si>
    <t>Covid Catch Up Fund</t>
  </si>
  <si>
    <t>Default (no) Fund</t>
  </si>
  <si>
    <t>DESF</t>
  </si>
  <si>
    <t>Designated Funds</t>
  </si>
  <si>
    <t>General Annual Grant</t>
  </si>
  <si>
    <t>HUB</t>
  </si>
  <si>
    <t>Maths HUB</t>
  </si>
  <si>
    <t>OTHINC</t>
  </si>
  <si>
    <t>Other Income</t>
  </si>
  <si>
    <t>PPREM</t>
  </si>
  <si>
    <t>Pupil Premium</t>
  </si>
  <si>
    <t>REST</t>
  </si>
  <si>
    <t>Restricted Fund</t>
  </si>
  <si>
    <t>RESTFA</t>
  </si>
  <si>
    <t>Restricted Fixed Asset</t>
  </si>
  <si>
    <t>UNRF</t>
  </si>
  <si>
    <t>Unrestricted Fund</t>
  </si>
  <si>
    <t>COMM</t>
  </si>
  <si>
    <t>Community</t>
  </si>
  <si>
    <t>EXTENDED</t>
  </si>
  <si>
    <t>Extended</t>
  </si>
  <si>
    <t>LETTINGS</t>
  </si>
  <si>
    <t>Lettings</t>
  </si>
  <si>
    <t>MATHS</t>
  </si>
  <si>
    <t>Maths Hub</t>
  </si>
  <si>
    <t>NURSERY</t>
  </si>
  <si>
    <t>Nursery</t>
  </si>
  <si>
    <t>SCHFUND</t>
  </si>
  <si>
    <t>School Fund</t>
  </si>
  <si>
    <t>SCHOOL</t>
  </si>
  <si>
    <t>School</t>
  </si>
  <si>
    <t>CAPITAL</t>
  </si>
  <si>
    <t>COSTCENTRES</t>
  </si>
  <si>
    <t>SALARY</t>
  </si>
  <si>
    <t>TRIPS</t>
  </si>
  <si>
    <t>GAG funding</t>
  </si>
  <si>
    <t>A1</t>
  </si>
  <si>
    <t>Other DfE Grants - Standards Funds</t>
  </si>
  <si>
    <t>A2</t>
  </si>
  <si>
    <t>Other Govt Grants</t>
  </si>
  <si>
    <t>A3</t>
  </si>
  <si>
    <t>Private Sector Funding</t>
  </si>
  <si>
    <t>A4</t>
  </si>
  <si>
    <t>B0</t>
  </si>
  <si>
    <t>Teaching Staff</t>
  </si>
  <si>
    <t>B1</t>
  </si>
  <si>
    <t>Educational Support Staff</t>
  </si>
  <si>
    <t>B2</t>
  </si>
  <si>
    <t>Premises Staffing</t>
  </si>
  <si>
    <t>B3</t>
  </si>
  <si>
    <t>Admin Staffing</t>
  </si>
  <si>
    <t>B4</t>
  </si>
  <si>
    <t>B5</t>
  </si>
  <si>
    <t>Agency Staff</t>
  </si>
  <si>
    <t>B6</t>
  </si>
  <si>
    <t>SLT Staff Costs</t>
  </si>
  <si>
    <t>B7</t>
  </si>
  <si>
    <t>Catering Staff</t>
  </si>
  <si>
    <t>C0</t>
  </si>
  <si>
    <t>Maintenance of Premises</t>
  </si>
  <si>
    <t>C1</t>
  </si>
  <si>
    <t>Other Occupational Costs</t>
  </si>
  <si>
    <t>D0</t>
  </si>
  <si>
    <t>Educational Supplies and Services</t>
  </si>
  <si>
    <t>E0</t>
  </si>
  <si>
    <t>Other Supplies and Services</t>
  </si>
  <si>
    <t>F0</t>
  </si>
  <si>
    <t>ICT Costs (Non Capital)</t>
  </si>
  <si>
    <t>G0</t>
  </si>
  <si>
    <t>Staff Development</t>
  </si>
  <si>
    <t>G1</t>
  </si>
  <si>
    <t>Indirect Employees Expenses</t>
  </si>
  <si>
    <t>H0</t>
  </si>
  <si>
    <t>Other GAG Expenses</t>
  </si>
  <si>
    <t>I0</t>
  </si>
  <si>
    <t>Depreciation</t>
  </si>
  <si>
    <t>L0</t>
  </si>
  <si>
    <t>Direct Revenue Financing</t>
  </si>
  <si>
    <t>ZB900</t>
  </si>
  <si>
    <t>Land &amp; Buildings</t>
  </si>
  <si>
    <t>ZB901</t>
  </si>
  <si>
    <t>Plant &amp; Machinery</t>
  </si>
  <si>
    <t>ZB902</t>
  </si>
  <si>
    <t>Asset Under Construction</t>
  </si>
  <si>
    <t>ZB904</t>
  </si>
  <si>
    <t>IT Equipment</t>
  </si>
  <si>
    <t>ZB905</t>
  </si>
  <si>
    <t>Other Tangibles</t>
  </si>
  <si>
    <t>ZB906</t>
  </si>
  <si>
    <t>Furniture and Equipment</t>
  </si>
  <si>
    <t>ZB907</t>
  </si>
  <si>
    <t>Investments</t>
  </si>
  <si>
    <t>ZB908</t>
  </si>
  <si>
    <t>Motor Vehicle</t>
  </si>
  <si>
    <t>ZB920</t>
  </si>
  <si>
    <t>Stock</t>
  </si>
  <si>
    <t>ZB922</t>
  </si>
  <si>
    <t>Debtors</t>
  </si>
  <si>
    <t>ZB923</t>
  </si>
  <si>
    <t>VAT</t>
  </si>
  <si>
    <t>ZB924</t>
  </si>
  <si>
    <t>Cash at Bank and in Hand</t>
  </si>
  <si>
    <t>ZB926</t>
  </si>
  <si>
    <t>Prepayment</t>
  </si>
  <si>
    <t>ZB930</t>
  </si>
  <si>
    <t>Trip Balances</t>
  </si>
  <si>
    <t>ZB950</t>
  </si>
  <si>
    <t>Creditors</t>
  </si>
  <si>
    <t>ZB952</t>
  </si>
  <si>
    <t>Salary Control</t>
  </si>
  <si>
    <t>ZB954</t>
  </si>
  <si>
    <t>PAYE / NI Control</t>
  </si>
  <si>
    <t>ZB956</t>
  </si>
  <si>
    <t>Expenses Control Account</t>
  </si>
  <si>
    <t>ZB958</t>
  </si>
  <si>
    <t>Accruals</t>
  </si>
  <si>
    <t>ZB960</t>
  </si>
  <si>
    <t>Long Term Liabilities</t>
  </si>
  <si>
    <t>ZB965</t>
  </si>
  <si>
    <t>Pension Scheme Liability</t>
  </si>
  <si>
    <t>ZB968</t>
  </si>
  <si>
    <t>Intra Company balances</t>
  </si>
  <si>
    <t>ZB970</t>
  </si>
  <si>
    <t>Restricted Fixed Asset Fund</t>
  </si>
  <si>
    <t>ZB972</t>
  </si>
  <si>
    <t>Restricted General Fund</t>
  </si>
  <si>
    <t>ZB974</t>
  </si>
  <si>
    <t>Current Year Income &amp; Expenditure</t>
  </si>
  <si>
    <t>ZB980</t>
  </si>
  <si>
    <t>Unrestricted General Fund</t>
  </si>
  <si>
    <t>ZB982</t>
  </si>
  <si>
    <t>Unrestricted Pension Reserve</t>
  </si>
  <si>
    <t>Central Hub</t>
  </si>
  <si>
    <t>Default (no) Hub</t>
  </si>
  <si>
    <t>EAST</t>
  </si>
  <si>
    <t>East Hub</t>
  </si>
  <si>
    <t>NORTH</t>
  </si>
  <si>
    <t>North Hub</t>
  </si>
  <si>
    <t>SOUTH</t>
  </si>
  <si>
    <t>South Hub</t>
  </si>
  <si>
    <t>WEST</t>
  </si>
  <si>
    <t>West Hub</t>
  </si>
  <si>
    <t>All Through School</t>
  </si>
  <si>
    <t>Default (no) Type</t>
  </si>
  <si>
    <t>Primary School</t>
  </si>
  <si>
    <t>Secondary School</t>
  </si>
  <si>
    <t>ACHIEVE</t>
  </si>
  <si>
    <t>Keep on Track / Achievement</t>
  </si>
  <si>
    <t>ALS</t>
  </si>
  <si>
    <t>ADMIN</t>
  </si>
  <si>
    <t>Administration</t>
  </si>
  <si>
    <t>ADMINSER</t>
  </si>
  <si>
    <t>MAT contribution</t>
  </si>
  <si>
    <t>ADSER</t>
  </si>
  <si>
    <t>Admin Services</t>
  </si>
  <si>
    <t>AUD</t>
  </si>
  <si>
    <t>ALTPROV</t>
  </si>
  <si>
    <t>Alternative Provision/ Exclusions</t>
  </si>
  <si>
    <t>BFL</t>
  </si>
  <si>
    <t>Behaviour for Learning</t>
  </si>
  <si>
    <t>BLS</t>
  </si>
  <si>
    <t>C6EPQ</t>
  </si>
  <si>
    <t>BL6 EPQ</t>
  </si>
  <si>
    <t>CAPCUBE1</t>
  </si>
  <si>
    <t>Capital Cube 1</t>
  </si>
  <si>
    <t>CAPCUBE2</t>
  </si>
  <si>
    <t>Capital Cube 2</t>
  </si>
  <si>
    <t>CAPCUBE3</t>
  </si>
  <si>
    <t>Capital Cube 3</t>
  </si>
  <si>
    <t>CAPCUBE4</t>
  </si>
  <si>
    <t>Capital Cube 4</t>
  </si>
  <si>
    <t>CAPCUBE5</t>
  </si>
  <si>
    <t>Capital Cube 5</t>
  </si>
  <si>
    <t>CAPDBLOCK</t>
  </si>
  <si>
    <t>Capital CE LA</t>
  </si>
  <si>
    <t>Capital</t>
  </si>
  <si>
    <t>CART</t>
  </si>
  <si>
    <t>Art</t>
  </si>
  <si>
    <t>CATER</t>
  </si>
  <si>
    <t>Catering</t>
  </si>
  <si>
    <t>CBUS</t>
  </si>
  <si>
    <t>Business Studies</t>
  </si>
  <si>
    <t>CBUSIT</t>
  </si>
  <si>
    <t>Business IT</t>
  </si>
  <si>
    <t>CCAREERS</t>
  </si>
  <si>
    <t>Careers</t>
  </si>
  <si>
    <t>CCDT</t>
  </si>
  <si>
    <t>CDT</t>
  </si>
  <si>
    <t>CCOLL</t>
  </si>
  <si>
    <t>College Managers</t>
  </si>
  <si>
    <t>CCOLL3</t>
  </si>
  <si>
    <t>Pastoral Key Stage 3</t>
  </si>
  <si>
    <t>MLB</t>
  </si>
  <si>
    <t>CCOLL4</t>
  </si>
  <si>
    <t>Pastoral Key Stage 4</t>
  </si>
  <si>
    <t>CCOLL5</t>
  </si>
  <si>
    <t>Pastoral Key Stage 5</t>
  </si>
  <si>
    <t>CCOMPSCI</t>
  </si>
  <si>
    <t>Computer Science</t>
  </si>
  <si>
    <t>CCONN</t>
  </si>
  <si>
    <t>Be Inspired</t>
  </si>
  <si>
    <t>Connections</t>
  </si>
  <si>
    <t>CCRIM</t>
  </si>
  <si>
    <t>Criminology</t>
  </si>
  <si>
    <t>CCURRICDEV</t>
  </si>
  <si>
    <t>Curriculum Development</t>
  </si>
  <si>
    <t>CDAN</t>
  </si>
  <si>
    <t>Dance</t>
  </si>
  <si>
    <t>CDEVCARE</t>
  </si>
  <si>
    <t>Child Dev H&amp;S Care</t>
  </si>
  <si>
    <t>Health and Social Care</t>
  </si>
  <si>
    <t>CDISPLAY</t>
  </si>
  <si>
    <t>Curriculum Display</t>
  </si>
  <si>
    <t>CDRA</t>
  </si>
  <si>
    <t>Dance and Drama</t>
  </si>
  <si>
    <t>Drama</t>
  </si>
  <si>
    <t>CDUKE.OF.ED</t>
  </si>
  <si>
    <t>Duke of Edinburgh</t>
  </si>
  <si>
    <t>CEAL</t>
  </si>
  <si>
    <t>English Additional Language (EAL)</t>
  </si>
  <si>
    <t>CEDSUPPLIES</t>
  </si>
  <si>
    <t>Educational Supplies</t>
  </si>
  <si>
    <t>CENG</t>
  </si>
  <si>
    <t>English</t>
  </si>
  <si>
    <t>CENGLANGLIT</t>
  </si>
  <si>
    <t>English Language/Literature</t>
  </si>
  <si>
    <t>CENTERPRISE</t>
  </si>
  <si>
    <t>Enterprise</t>
  </si>
  <si>
    <t>CEVENING</t>
  </si>
  <si>
    <t>Evening Classes</t>
  </si>
  <si>
    <t>CEXCLUSION</t>
  </si>
  <si>
    <t>Reflection Room</t>
  </si>
  <si>
    <t>CFOOD</t>
  </si>
  <si>
    <t>Food and Technology</t>
  </si>
  <si>
    <t>CGEO</t>
  </si>
  <si>
    <t>Geography</t>
  </si>
  <si>
    <t>CHAL</t>
  </si>
  <si>
    <t>Higher Ability Learners</t>
  </si>
  <si>
    <t>CHEADS</t>
  </si>
  <si>
    <t>Heads Capitation Contingency</t>
  </si>
  <si>
    <t>CHIST</t>
  </si>
  <si>
    <t>History</t>
  </si>
  <si>
    <t>CIMEDIA</t>
  </si>
  <si>
    <t>Imedia</t>
  </si>
  <si>
    <t>CIT</t>
  </si>
  <si>
    <t>Curriculum IT</t>
  </si>
  <si>
    <t>CKS5</t>
  </si>
  <si>
    <t>KS5 Achievement</t>
  </si>
  <si>
    <t>CLAW</t>
  </si>
  <si>
    <t>Law</t>
  </si>
  <si>
    <t>CLEARN</t>
  </si>
  <si>
    <t>Learning Support</t>
  </si>
  <si>
    <t>Learning Support / Connect</t>
  </si>
  <si>
    <t>Student Services</t>
  </si>
  <si>
    <t>CLIBRARY</t>
  </si>
  <si>
    <t>Library</t>
  </si>
  <si>
    <t>CLIFE</t>
  </si>
  <si>
    <t>Lifeskills</t>
  </si>
  <si>
    <t>CLITERACY</t>
  </si>
  <si>
    <t>Literacy</t>
  </si>
  <si>
    <t>CLOVELL</t>
  </si>
  <si>
    <t>Lovell</t>
  </si>
  <si>
    <t>CLRC</t>
  </si>
  <si>
    <t>Learning Resource Centre</t>
  </si>
  <si>
    <t>CLUBS</t>
  </si>
  <si>
    <t>Activity Clubs</t>
  </si>
  <si>
    <t>SBL</t>
  </si>
  <si>
    <t>CMATHS</t>
  </si>
  <si>
    <t>Mathematics</t>
  </si>
  <si>
    <t>CMEDIA</t>
  </si>
  <si>
    <t>Media</t>
  </si>
  <si>
    <t>CMFL</t>
  </si>
  <si>
    <t>Modern Foreign Languages</t>
  </si>
  <si>
    <t>CMUS</t>
  </si>
  <si>
    <t>Music</t>
  </si>
  <si>
    <t>CNUMERACY</t>
  </si>
  <si>
    <t>Numeracy</t>
  </si>
  <si>
    <t>Communications</t>
  </si>
  <si>
    <t>COMPUTER</t>
  </si>
  <si>
    <t>Technology Costs</t>
  </si>
  <si>
    <t>CONVERSION</t>
  </si>
  <si>
    <t>Balances on conversion</t>
  </si>
  <si>
    <t>CPE</t>
  </si>
  <si>
    <t>Physical Education</t>
  </si>
  <si>
    <t>CPHOTO</t>
  </si>
  <si>
    <t>Photography</t>
  </si>
  <si>
    <t>CPRIMARY</t>
  </si>
  <si>
    <t>Primary IT Support</t>
  </si>
  <si>
    <t>CPRIZES</t>
  </si>
  <si>
    <t>Prize Giving</t>
  </si>
  <si>
    <t>CPSCA</t>
  </si>
  <si>
    <t>PSCA Holding Account</t>
  </si>
  <si>
    <t>CPSCHE</t>
  </si>
  <si>
    <t>PSCHE</t>
  </si>
  <si>
    <t>CPSYCH</t>
  </si>
  <si>
    <t>Psychology</t>
  </si>
  <si>
    <t>CRE</t>
  </si>
  <si>
    <t>Religious Education</t>
  </si>
  <si>
    <t>CREPRO</t>
  </si>
  <si>
    <t>Reprographics</t>
  </si>
  <si>
    <t>CRES</t>
  </si>
  <si>
    <t>Curriculum Resources</t>
  </si>
  <si>
    <t>Resources</t>
  </si>
  <si>
    <t>CRESERVES</t>
  </si>
  <si>
    <t>Curriculum Reserves</t>
  </si>
  <si>
    <t>CRESIDEN</t>
  </si>
  <si>
    <t>Residential Trips</t>
  </si>
  <si>
    <t>CSCHOOLSHOW</t>
  </si>
  <si>
    <t>School show</t>
  </si>
  <si>
    <t>CSCIEN</t>
  </si>
  <si>
    <t>Science</t>
  </si>
  <si>
    <t>CSEN</t>
  </si>
  <si>
    <t>SEN / EHCP</t>
  </si>
  <si>
    <t>SEN/EHCP</t>
  </si>
  <si>
    <t>CSFUND</t>
  </si>
  <si>
    <t>School Fund Holding Account</t>
  </si>
  <si>
    <t>CSIXTH</t>
  </si>
  <si>
    <t>Sixth Form</t>
  </si>
  <si>
    <t>CSOCIOLOGY</t>
  </si>
  <si>
    <t>Social Sciences</t>
  </si>
  <si>
    <t>CSPIRIT</t>
  </si>
  <si>
    <t>SPIRIT Learning Resources</t>
  </si>
  <si>
    <t>CSWIM</t>
  </si>
  <si>
    <t>Swimming Lessons</t>
  </si>
  <si>
    <t>CTEXTILES</t>
  </si>
  <si>
    <t>Textiles</t>
  </si>
  <si>
    <t>CTHINK</t>
  </si>
  <si>
    <t>Think Reading</t>
  </si>
  <si>
    <t>CWARWICK</t>
  </si>
  <si>
    <t>Warwick</t>
  </si>
  <si>
    <t>Default (no) Department</t>
  </si>
  <si>
    <t>DEP</t>
  </si>
  <si>
    <t>HIG</t>
  </si>
  <si>
    <t>EXAGSS</t>
  </si>
  <si>
    <t>Agency Supply Staff</t>
  </si>
  <si>
    <t>EXAM</t>
  </si>
  <si>
    <t>Examinations</t>
  </si>
  <si>
    <t>EXASTRO</t>
  </si>
  <si>
    <t>Astro Turf</t>
  </si>
  <si>
    <t>EXCAPCIF19</t>
  </si>
  <si>
    <t>CIF 2019/20</t>
  </si>
  <si>
    <t>WVP</t>
  </si>
  <si>
    <t>EXCAPCIF20</t>
  </si>
  <si>
    <t>CIF 2020/21</t>
  </si>
  <si>
    <t>ALS,WVP</t>
  </si>
  <si>
    <t>EXCAPCIF22</t>
  </si>
  <si>
    <t>CIF 22/23 Safeguarding</t>
  </si>
  <si>
    <t>EXCAPCIF7</t>
  </si>
  <si>
    <t>CIF 2017/18</t>
  </si>
  <si>
    <t>EXCAPCIF8</t>
  </si>
  <si>
    <t>CIF 2018/19</t>
  </si>
  <si>
    <t>EXCAPCIF9</t>
  </si>
  <si>
    <t>EXCAPD1</t>
  </si>
  <si>
    <t>D1 Classroom conversion</t>
  </si>
  <si>
    <t>EXCAPLA</t>
  </si>
  <si>
    <t>Site Expansion</t>
  </si>
  <si>
    <t>EXCIF2122-1</t>
  </si>
  <si>
    <t>CIF 21/22 Defective roof</t>
  </si>
  <si>
    <t>EXCIF2122-2</t>
  </si>
  <si>
    <t>CIF 21/22 Fire Safety</t>
  </si>
  <si>
    <t>EXDFC</t>
  </si>
  <si>
    <t>DFC / REVENUE</t>
  </si>
  <si>
    <t>DFC / Revenue Expenditure</t>
  </si>
  <si>
    <t>DFC Expenditure</t>
  </si>
  <si>
    <t>Expenditure DFC</t>
  </si>
  <si>
    <t>PTP</t>
  </si>
  <si>
    <t>EXGOVERN</t>
  </si>
  <si>
    <t>Governance</t>
  </si>
  <si>
    <t>EXIND</t>
  </si>
  <si>
    <t>Indirect Employee Expenses</t>
  </si>
  <si>
    <t>EXLIFT</t>
  </si>
  <si>
    <t>Lift</t>
  </si>
  <si>
    <t>EXMAT</t>
  </si>
  <si>
    <t>Maternity and Rehab</t>
  </si>
  <si>
    <t>EXREC</t>
  </si>
  <si>
    <t>Recruitment &amp; Interview Costs</t>
  </si>
  <si>
    <t>EXREVENUE</t>
  </si>
  <si>
    <t>Revenue to Capital Expediture</t>
  </si>
  <si>
    <t>EXTFUN</t>
  </si>
  <si>
    <t>Externally funded</t>
  </si>
  <si>
    <t>EXTRAIN</t>
  </si>
  <si>
    <t>Staff Training</t>
  </si>
  <si>
    <t>FAA</t>
  </si>
  <si>
    <t>FAA School use of Leisure Facilities</t>
  </si>
  <si>
    <t>FAAINC</t>
  </si>
  <si>
    <t>FAA Reimbursable Expenditure</t>
  </si>
  <si>
    <t>GRANT</t>
  </si>
  <si>
    <t>Grant Expenditures</t>
  </si>
  <si>
    <t>GRANT2</t>
  </si>
  <si>
    <t>Grant Expenditure 2</t>
  </si>
  <si>
    <t>Grants to monitor</t>
  </si>
  <si>
    <t>Summer School</t>
  </si>
  <si>
    <t>Summer School / HAF</t>
  </si>
  <si>
    <t>GRANT3</t>
  </si>
  <si>
    <t>Forest School</t>
  </si>
  <si>
    <t>ALS,BLS,MLB</t>
  </si>
  <si>
    <t>HIRED</t>
  </si>
  <si>
    <t>Hired and contracted</t>
  </si>
  <si>
    <t>HOLDINGACCT</t>
  </si>
  <si>
    <t>Holding account with bank queries</t>
  </si>
  <si>
    <t>HUB05</t>
  </si>
  <si>
    <t>HUB PD lead Programmes</t>
  </si>
  <si>
    <t>HUB06</t>
  </si>
  <si>
    <t>HUB SLE Improvement</t>
  </si>
  <si>
    <t>HUB07</t>
  </si>
  <si>
    <t>HUB LLME Communities</t>
  </si>
  <si>
    <t>HUB08</t>
  </si>
  <si>
    <t>HUB Early Years</t>
  </si>
  <si>
    <t>HUB09A</t>
  </si>
  <si>
    <t>HUB Primary TFM - Andy</t>
  </si>
  <si>
    <t>HUB09B</t>
  </si>
  <si>
    <t>HUB Primary TFM - Rebecca</t>
  </si>
  <si>
    <t>HUB09C</t>
  </si>
  <si>
    <t>HUB Primary TFM - Hannah</t>
  </si>
  <si>
    <t>HUB09D</t>
  </si>
  <si>
    <t>HUB Primary TFM - Louise</t>
  </si>
  <si>
    <t>HUB09E</t>
  </si>
  <si>
    <t>HUB Primary TFM - Maria</t>
  </si>
  <si>
    <t>HUB09F</t>
  </si>
  <si>
    <t>HUB Primary TFM - Rosie</t>
  </si>
  <si>
    <t>HUB09G</t>
  </si>
  <si>
    <t>HUB Primary TFM - Emma</t>
  </si>
  <si>
    <t>HUB09H</t>
  </si>
  <si>
    <t>HUB Primary TFM - Rachel</t>
  </si>
  <si>
    <t>HUB09I</t>
  </si>
  <si>
    <t>HUB Primary TFM - central delivery</t>
  </si>
  <si>
    <t>HUB10</t>
  </si>
  <si>
    <t>HUB Primary TFM Embedding</t>
  </si>
  <si>
    <t>HUB11</t>
  </si>
  <si>
    <t>HUB Mastery Readiness</t>
  </si>
  <si>
    <t>HUB11A</t>
  </si>
  <si>
    <t>HUB Mastery Readiness 20/21</t>
  </si>
  <si>
    <t>HUB12</t>
  </si>
  <si>
    <t>HUB N/A Primary TFM Lesson Design</t>
  </si>
  <si>
    <t>HUB13</t>
  </si>
  <si>
    <t>HUB N/A Primary TFM Intervention</t>
  </si>
  <si>
    <t>HUB14</t>
  </si>
  <si>
    <t>HUB Primary TFM Mixed Age</t>
  </si>
  <si>
    <t>HUB15</t>
  </si>
  <si>
    <t>HUB Sec TFM</t>
  </si>
  <si>
    <t>HUB16</t>
  </si>
  <si>
    <t>HUB Sec TFM Embedding</t>
  </si>
  <si>
    <t>HUB17</t>
  </si>
  <si>
    <t>HUB GCSE Mathematical Thinking</t>
  </si>
  <si>
    <t>HUB18</t>
  </si>
  <si>
    <t>HUB Y5-Y8 Continuity</t>
  </si>
  <si>
    <t>HUB19</t>
  </si>
  <si>
    <t>HUB GCSE Challenging Topics</t>
  </si>
  <si>
    <t>HUB20</t>
  </si>
  <si>
    <t>HUB Post 16 GCSE resit</t>
  </si>
  <si>
    <t>HUB21</t>
  </si>
  <si>
    <t>HUB Post 16 Core</t>
  </si>
  <si>
    <t>HUB22</t>
  </si>
  <si>
    <t>HUB Post 16 Embedding</t>
  </si>
  <si>
    <t>HUB23</t>
  </si>
  <si>
    <t>HUB N/A Post 16 Pedagogy</t>
  </si>
  <si>
    <t>HUB24</t>
  </si>
  <si>
    <t>HUB SKTM - TA Programme</t>
  </si>
  <si>
    <t>HUB25</t>
  </si>
  <si>
    <t>HUB ITT Partnership</t>
  </si>
  <si>
    <t>HUBADMIN</t>
  </si>
  <si>
    <t>HUB Administration</t>
  </si>
  <si>
    <t>HUBAMHL</t>
  </si>
  <si>
    <t>HUB AMHL</t>
  </si>
  <si>
    <t>HUBCHINA</t>
  </si>
  <si>
    <t>HUB China Exchange</t>
  </si>
  <si>
    <t>HUBENG</t>
  </si>
  <si>
    <t>HUB Engagement and Communication</t>
  </si>
  <si>
    <t>HUBINN</t>
  </si>
  <si>
    <t>HUB Innov - Secondary Mastery Readiness</t>
  </si>
  <si>
    <t>HUBINNB</t>
  </si>
  <si>
    <t>HUB Innovation - Mindset</t>
  </si>
  <si>
    <t>HUBLMT</t>
  </si>
  <si>
    <t>HUB Leadership and Management Team</t>
  </si>
  <si>
    <t>HUBNF</t>
  </si>
  <si>
    <t>HUB Network Fund</t>
  </si>
  <si>
    <t>HUBTEXT</t>
  </si>
  <si>
    <t>HUB Textbook Grant</t>
  </si>
  <si>
    <t>HUBTRAVEL</t>
  </si>
  <si>
    <t>HUB Travel funded by NCETM</t>
  </si>
  <si>
    <t>HUBVIRE</t>
  </si>
  <si>
    <t>Maths Hub Virement</t>
  </si>
  <si>
    <t>ICAPDFE</t>
  </si>
  <si>
    <t>DFC Capital Grant</t>
  </si>
  <si>
    <t>DFC Capital Grants</t>
  </si>
  <si>
    <t>DFC Income</t>
  </si>
  <si>
    <t>DFE Capital Grants</t>
  </si>
  <si>
    <t>ICAPLA</t>
  </si>
  <si>
    <t>Local Authority Capital Grant</t>
  </si>
  <si>
    <t>ICAPOTH</t>
  </si>
  <si>
    <t>Capital Donation Income</t>
  </si>
  <si>
    <t>IDFE</t>
  </si>
  <si>
    <t>DfE Revenue Grants</t>
  </si>
  <si>
    <t>IDON</t>
  </si>
  <si>
    <t>Donations Income</t>
  </si>
  <si>
    <t>IGAG</t>
  </si>
  <si>
    <t>GAG Income</t>
  </si>
  <si>
    <t>ILA</t>
  </si>
  <si>
    <t>LA Grants</t>
  </si>
  <si>
    <t>ILAC</t>
  </si>
  <si>
    <t>LAC Pupil Premium Plus</t>
  </si>
  <si>
    <t>LAC Pupil Premium Plus Income</t>
  </si>
  <si>
    <t>IMAT</t>
  </si>
  <si>
    <t>MAT Income</t>
  </si>
  <si>
    <t>IOTH</t>
  </si>
  <si>
    <t>ISTAF</t>
  </si>
  <si>
    <t>Staff Secondment / Placement</t>
  </si>
  <si>
    <t>ITRADE</t>
  </si>
  <si>
    <t>Trading Activity Income</t>
  </si>
  <si>
    <t>LACPP</t>
  </si>
  <si>
    <t>Lettings (External)</t>
  </si>
  <si>
    <t>MARKET</t>
  </si>
  <si>
    <t>Marketing</t>
  </si>
  <si>
    <t>MATCON</t>
  </si>
  <si>
    <t>MAT Conversion (TCT)</t>
  </si>
  <si>
    <t>HIG,SBL</t>
  </si>
  <si>
    <t>OSC</t>
  </si>
  <si>
    <t>Out of School Club DO NOT USE</t>
  </si>
  <si>
    <t>PCLEAN</t>
  </si>
  <si>
    <t>Cleaning</t>
  </si>
  <si>
    <t>PERI</t>
  </si>
  <si>
    <t>Music Tuition</t>
  </si>
  <si>
    <t>PFIX</t>
  </si>
  <si>
    <t>Fixtures and Fittings</t>
  </si>
  <si>
    <t>PINS</t>
  </si>
  <si>
    <t>Insurance Policies</t>
  </si>
  <si>
    <t>PMAIN</t>
  </si>
  <si>
    <t>Site Repairs and Maintenance</t>
  </si>
  <si>
    <t>POTHER</t>
  </si>
  <si>
    <t>Other Premises costs</t>
  </si>
  <si>
    <t>PRAT</t>
  </si>
  <si>
    <t>Rates</t>
  </si>
  <si>
    <t>PROFF</t>
  </si>
  <si>
    <t>Professional Services</t>
  </si>
  <si>
    <t>PUTIL</t>
  </si>
  <si>
    <t>Utilities</t>
  </si>
  <si>
    <t>S&amp;SOTHER</t>
  </si>
  <si>
    <t>SCA2022</t>
  </si>
  <si>
    <t>School Condition Allowance 2022 (FY23/24</t>
  </si>
  <si>
    <t>SCA2023</t>
  </si>
  <si>
    <t>School Condition Allowance 2023 (FY24/25</t>
  </si>
  <si>
    <t>SCA2024</t>
  </si>
  <si>
    <t>School Condition Allowance 2024 (FY25/26</t>
  </si>
  <si>
    <t>SCA2025</t>
  </si>
  <si>
    <t>School Condition Allowance 2025 (FY26/27</t>
  </si>
  <si>
    <t>SDSS</t>
  </si>
  <si>
    <t>Direct Supply Staff</t>
  </si>
  <si>
    <t>SEINV</t>
  </si>
  <si>
    <t>SESS</t>
  </si>
  <si>
    <t>SFIN</t>
  </si>
  <si>
    <t>Finance and Admin</t>
  </si>
  <si>
    <t>SHLTA</t>
  </si>
  <si>
    <t>SIXTH</t>
  </si>
  <si>
    <t>Sixth Form Bursary</t>
  </si>
  <si>
    <t>SMID</t>
  </si>
  <si>
    <t>Midday Assistants</t>
  </si>
  <si>
    <t>SOSC</t>
  </si>
  <si>
    <t>OSC Staff &amp; General Expenditure</t>
  </si>
  <si>
    <t>Out of School Club staff</t>
  </si>
  <si>
    <t>SPIRIT</t>
  </si>
  <si>
    <t>SPIRIT Week</t>
  </si>
  <si>
    <t>SPREM</t>
  </si>
  <si>
    <t>Premises Staff</t>
  </si>
  <si>
    <t>STA</t>
  </si>
  <si>
    <t>Teaching Assistants</t>
  </si>
  <si>
    <t>STCH</t>
  </si>
  <si>
    <t>Teachers</t>
  </si>
  <si>
    <t>STECH</t>
  </si>
  <si>
    <t>Technicians</t>
  </si>
  <si>
    <t>TCT_CS</t>
  </si>
  <si>
    <t>TCT Shared Services</t>
  </si>
  <si>
    <t>THIRE</t>
  </si>
  <si>
    <t>Transport Hire</t>
  </si>
  <si>
    <t>TMINI</t>
  </si>
  <si>
    <t>Minibus</t>
  </si>
  <si>
    <t>TRANS</t>
  </si>
  <si>
    <t>Transition</t>
  </si>
  <si>
    <t>TRANS02</t>
  </si>
  <si>
    <t>DO NOT USE</t>
  </si>
  <si>
    <t>Transport College</t>
  </si>
  <si>
    <t>TRAVEL</t>
  </si>
  <si>
    <t>Travel Expenses</t>
  </si>
  <si>
    <t>Trips &amp; Educational Visits</t>
  </si>
  <si>
    <t>TUTORING</t>
  </si>
  <si>
    <t>National School Tutoring Programme</t>
  </si>
  <si>
    <t>UNIT4ERP</t>
  </si>
  <si>
    <t>Payroll Discrepancies</t>
  </si>
  <si>
    <t>ALS,AUD,BLS,HIG,MLB,PTP,SBL,WVP</t>
  </si>
  <si>
    <t>WORK</t>
  </si>
  <si>
    <t>Careers and Work Placements</t>
  </si>
  <si>
    <t>Core Enrichment</t>
  </si>
  <si>
    <t>DfE Rev Grnts-GAG-not stud supp &amp; trst</t>
  </si>
  <si>
    <t>ALS,AUD,BLS,HIG,MAT,MLB,PTP,SBL,WVP</t>
  </si>
  <si>
    <t>DfE Rev Grnts-GAG-student support</t>
  </si>
  <si>
    <t>DfE Rev Grnts-GAG-start up grants</t>
  </si>
  <si>
    <t>DfE Rev Grnts-Trust level grants</t>
  </si>
  <si>
    <t>DfE Rev Grnts-Pupil number adjustment</t>
  </si>
  <si>
    <t>DfE Rev Grnts-Rates reclaim</t>
  </si>
  <si>
    <t>DfE Rev Grnts-Pupil Premium</t>
  </si>
  <si>
    <t>DfE Rev Grnts-Univ'l Inf Free Schl Meals</t>
  </si>
  <si>
    <t>DfE Rev Grnts-Insurance top up</t>
  </si>
  <si>
    <t>DfE Rev Grnts-Sponsor capacity grant</t>
  </si>
  <si>
    <t>DfE Rev Grnts-PE &amp; Sports grant</t>
  </si>
  <si>
    <t>DfE Rev Grnts-Year 7 catch up</t>
  </si>
  <si>
    <t>DfE Rev Grnts-Teachers Pay Grant</t>
  </si>
  <si>
    <t>DfE Rev Grnts-Teacher Pens Emp Cont Grnt</t>
  </si>
  <si>
    <t>DfE Rev Grnts-Teaching Schools grant</t>
  </si>
  <si>
    <t>DfE Rev Grnts-ITT Bursaries Grant</t>
  </si>
  <si>
    <t>DfE Revenue Grants: 16 to 19</t>
  </si>
  <si>
    <t>DfE Rev Grnts-Other DfE revenue grants</t>
  </si>
  <si>
    <t>Core schools budget grant</t>
  </si>
  <si>
    <t>DfE Rev Grts Temp DfE NI GRANT</t>
  </si>
  <si>
    <t>DfE Rev Grts Temp DfE / ESFA grants 3</t>
  </si>
  <si>
    <t>Maths Hub Grant</t>
  </si>
  <si>
    <t>DfE Grp Grnts-Standards &amp; Testing Agency</t>
  </si>
  <si>
    <t>DfE Grp Grnts-Off of Chldrns Commiss'ner</t>
  </si>
  <si>
    <t>DfE Grp Grnts-Student Loans Company</t>
  </si>
  <si>
    <t>DfE Grp Grnts-Office for Students</t>
  </si>
  <si>
    <t>DfE Grp Grnts-Engineer' Contruction ITB</t>
  </si>
  <si>
    <t>DfE Grp Grnts-Construction ITB</t>
  </si>
  <si>
    <t>Other Grnts-LA-SEN</t>
  </si>
  <si>
    <t>Other Grnts-LA-Early Years</t>
  </si>
  <si>
    <t>Other Grnts-LA-Other grants</t>
  </si>
  <si>
    <t>Other Grnts-Government grant-not DfE</t>
  </si>
  <si>
    <t>Other Grnts-Other revenue grants</t>
  </si>
  <si>
    <t>Oth Grts Temp oth Govt rev grts not DfE</t>
  </si>
  <si>
    <t>Oth Inc-Acad trusts</t>
  </si>
  <si>
    <t>ACT - Income</t>
  </si>
  <si>
    <t>Oth Inc-Govt sources-not grant</t>
  </si>
  <si>
    <t>Oth Inc-Non-govt revenue</t>
  </si>
  <si>
    <t>Feed in Tariffs and RHI income</t>
  </si>
  <si>
    <t>Oth Inc-Catering income from pupils</t>
  </si>
  <si>
    <t>Oth Inc-Edu trips &amp; visits</t>
  </si>
  <si>
    <t>Oth reimbursement inc from parents/staff</t>
  </si>
  <si>
    <t>Oth Inc-Apprenticeship levy drawdown</t>
  </si>
  <si>
    <t>Oth Inc-Teaching School oth income</t>
  </si>
  <si>
    <t>Out of School Club payroll reimbursement</t>
  </si>
  <si>
    <t>Oth Inc-Investment income</t>
  </si>
  <si>
    <t>Oth Inc-Bank Interest</t>
  </si>
  <si>
    <t>Trad Inc-Hire of facilities</t>
  </si>
  <si>
    <t>Trad Inc-Catering inc (visitors &amp; staf)</t>
  </si>
  <si>
    <t>Trad Inc-Rental Income</t>
  </si>
  <si>
    <t>Trad Inc-Supply teacher insurance claim</t>
  </si>
  <si>
    <t>Trad Inc-RPA claims</t>
  </si>
  <si>
    <t>Trad Inc-Sale of uniforms</t>
  </si>
  <si>
    <t>Trad Inc-Income from clubs</t>
  </si>
  <si>
    <t>Parental income from nursery provision</t>
  </si>
  <si>
    <t>Parental inc from wraparound provision</t>
  </si>
  <si>
    <t>Trad Inc-Income from music</t>
  </si>
  <si>
    <t>Trad Inc-Sale of goods or services</t>
  </si>
  <si>
    <t>Income from placement/training</t>
  </si>
  <si>
    <t>Electric vehicle charge point income</t>
  </si>
  <si>
    <t>Trad Inc-Other trading income</t>
  </si>
  <si>
    <t>Trad Inc-Trust contribution from acad</t>
  </si>
  <si>
    <t>DfE Cap Grnts-Condition Improvement Fund</t>
  </si>
  <si>
    <t>DfE Cap Grnts-MAT Condition Allowance</t>
  </si>
  <si>
    <t>DfE Cap Grnts-Priority Schl B'ding Prog</t>
  </si>
  <si>
    <t>DfE Cap Grnts-Devolved Formula Cap</t>
  </si>
  <si>
    <t>DfE Cap Grnts-DfE M'ged Free Schools</t>
  </si>
  <si>
    <t>DfE Cap Grnts-B'ding Schls fr the Future</t>
  </si>
  <si>
    <t>DfE Cap Grnts-Schl Sponsorship Dev'ment</t>
  </si>
  <si>
    <t>DfE Cap Grnts-Other DfE cap grants</t>
  </si>
  <si>
    <t>DfE Cap Grnts-Teaching School cap grants</t>
  </si>
  <si>
    <t>DfE Cap Grts Temp DfE/ESFA cap grts</t>
  </si>
  <si>
    <t>DfE Grp Cap Grnts-Stndrds &amp; Tstng Agency</t>
  </si>
  <si>
    <t>DfE Grp Cap Grnts-Off of Chldrns Comm</t>
  </si>
  <si>
    <t>DfE Grp Cap Grnts-Student Loans Company</t>
  </si>
  <si>
    <t>DfE Grp Cap Grnts-Office for Students</t>
  </si>
  <si>
    <t>DfE Grp Cap Grnts-Engi' Construction ITB</t>
  </si>
  <si>
    <t>DfE Grp Cap Grnts-Construction ITB</t>
  </si>
  <si>
    <t>Other cap inc-Local authority cap grants</t>
  </si>
  <si>
    <t>Other cap inc-Government grant-not DfE</t>
  </si>
  <si>
    <t>Other cap inc-Non-govt cap grants</t>
  </si>
  <si>
    <t>Other cap inc-Contributions from revenue</t>
  </si>
  <si>
    <t>B'ding Inc-Fee Income</t>
  </si>
  <si>
    <t>B'ding Inc-DfE grants</t>
  </si>
  <si>
    <t>B'ding Inc-Standards &amp; Testing Agency</t>
  </si>
  <si>
    <t>B'ding Inc-Equalit's &amp; Human Rights Comm</t>
  </si>
  <si>
    <t>B'ding Inc-Office of Childrens Commiss'r</t>
  </si>
  <si>
    <t>B'ding Inc-Other government grants</t>
  </si>
  <si>
    <t>B'ding Inc-Other b'ding income</t>
  </si>
  <si>
    <t>Donations-Donated FA-DfE</t>
  </si>
  <si>
    <t>Donations-Donated FA-LA</t>
  </si>
  <si>
    <t>Donations-Donated FA-oth</t>
  </si>
  <si>
    <t>Donations-Donated FA - other Unres</t>
  </si>
  <si>
    <t>Donations-Donated intanible assets</t>
  </si>
  <si>
    <t>Donations-Donated intanible assets Unres</t>
  </si>
  <si>
    <t>Donations-Other cap donations</t>
  </si>
  <si>
    <t>Donations-Other capital donations Unres</t>
  </si>
  <si>
    <t>Donations-Revenue donations-general</t>
  </si>
  <si>
    <t>Donations-Rev donations-general Unres</t>
  </si>
  <si>
    <t>Donations-Revenue donations-charity</t>
  </si>
  <si>
    <t>Donations-Rev donations-charity Unres</t>
  </si>
  <si>
    <t>Donations-Revenue donations-gift aid</t>
  </si>
  <si>
    <t>Donations-Rev donations-gift aid Unres</t>
  </si>
  <si>
    <t>Acad conver'ns-Local authority cap</t>
  </si>
  <si>
    <t>Acad conver'ns-Local authority rev-surpl</t>
  </si>
  <si>
    <t>Acad conver'ns-Local authority rev-defic</t>
  </si>
  <si>
    <t>Acad conver'ns-Other body cap</t>
  </si>
  <si>
    <t>Acad conver'ns-Other body revenue</t>
  </si>
  <si>
    <t>Acad tran in-Cap trans in</t>
  </si>
  <si>
    <t>Acad tran in-Revenue trans in</t>
  </si>
  <si>
    <t>Acad tran out-Cap trans out</t>
  </si>
  <si>
    <t>Acad tran out-Revenue trans out</t>
  </si>
  <si>
    <t>Leadership-Wages and salaries</t>
  </si>
  <si>
    <t>Leadership Teaching - Overtime</t>
  </si>
  <si>
    <t>Leadership-Employers NI</t>
  </si>
  <si>
    <t>Leadership-Employers pen cont</t>
  </si>
  <si>
    <t>Leadership non-teach- Wages and Salaries</t>
  </si>
  <si>
    <t>Leadership non-teach - Overtime</t>
  </si>
  <si>
    <t>Leadership non-teach- Employer NI</t>
  </si>
  <si>
    <t>Leadership non-teach- Employer pen cont</t>
  </si>
  <si>
    <t>Teachers-Wages and salaries</t>
  </si>
  <si>
    <t>Teachers: Overtime</t>
  </si>
  <si>
    <t>Teachers-Employers NI</t>
  </si>
  <si>
    <t>Teachers-Employers pen cont</t>
  </si>
  <si>
    <t>Teaching Assistants-Wages and salaries</t>
  </si>
  <si>
    <t>Teaching Assistants-Overtime</t>
  </si>
  <si>
    <t>Teaching Assistants-Employers NI</t>
  </si>
  <si>
    <t>Teaching Assistants-Employers pen cont</t>
  </si>
  <si>
    <t>Educational Support - Wages and salaries</t>
  </si>
  <si>
    <t>Educational Support - Overtime</t>
  </si>
  <si>
    <t>AUD,BLS,HIG,MAT,MLB,PTP,SBL,WVP</t>
  </si>
  <si>
    <t>Educational Support - Employers NI</t>
  </si>
  <si>
    <t>Educational Support - Employers pen cont</t>
  </si>
  <si>
    <t>Librarians-Wages and salaries</t>
  </si>
  <si>
    <t>Librarians-Overtime</t>
  </si>
  <si>
    <t>Librarians-Employers NI</t>
  </si>
  <si>
    <t>Librarians-Employers pen cont</t>
  </si>
  <si>
    <t>Technicians-Wages and salaries</t>
  </si>
  <si>
    <t>Technicians-Overtime</t>
  </si>
  <si>
    <t>Technicians-Employers NI</t>
  </si>
  <si>
    <t>Technicians-Employers pen cont</t>
  </si>
  <si>
    <t>Cover Supervisors - Wages and salaries</t>
  </si>
  <si>
    <t>Cover Supervisors - Overtime</t>
  </si>
  <si>
    <t>Cover Supervisors - Employers NI</t>
  </si>
  <si>
    <t>Cover Supervisors - Employers pen cont</t>
  </si>
  <si>
    <t>Oth Staff - Wages and salaries</t>
  </si>
  <si>
    <t>Oth Staff - Overtime</t>
  </si>
  <si>
    <t>Oth Staff - Employers national insurance</t>
  </si>
  <si>
    <t>Oth Staff - Employers pension contribut</t>
  </si>
  <si>
    <t>Finance and Admin-Wages and salaries</t>
  </si>
  <si>
    <t>Finance and Admin-Overtime</t>
  </si>
  <si>
    <t>Finance and Admin-Employers NI</t>
  </si>
  <si>
    <t>Finance and Admin-Employers pen cont</t>
  </si>
  <si>
    <t>Site Staff-Wages and salaries</t>
  </si>
  <si>
    <t>Site Staff-Overtime</t>
  </si>
  <si>
    <t>Site Staff-Employers NI</t>
  </si>
  <si>
    <t>Site Staff-Employers pen cont</t>
  </si>
  <si>
    <t>Cleaning Staff-Wages and salaries</t>
  </si>
  <si>
    <t>Cleaning Staff-Overtime</t>
  </si>
  <si>
    <t>Cleaning Staff-Employers NI</t>
  </si>
  <si>
    <t>Cleaning Staff-Employers pen cont</t>
  </si>
  <si>
    <t>Catering Staff-Wages and salaries</t>
  </si>
  <si>
    <t>Catering Staff-Overtime</t>
  </si>
  <si>
    <t>Catering Staff-Employers NI</t>
  </si>
  <si>
    <t>Catering Staff-Employers pen cont</t>
  </si>
  <si>
    <t>Midday Supervisors-Wages and salaries</t>
  </si>
  <si>
    <t>Midday Supervisors-Overtime</t>
  </si>
  <si>
    <t>Midday Supervisors-Employers NI</t>
  </si>
  <si>
    <t>Midday Supervisors-Employers pen cont</t>
  </si>
  <si>
    <t>Nursery Staff-Wages and salaries</t>
  </si>
  <si>
    <t>Nursery Staff-Overtime</t>
  </si>
  <si>
    <t>Nursery Staff-Employers NI</t>
  </si>
  <si>
    <t>Nursery Staff-Employers pen cont</t>
  </si>
  <si>
    <t>Family Support Workers-Wages and sals</t>
  </si>
  <si>
    <t>Family Support Workers-Overtime</t>
  </si>
  <si>
    <t>Family Support Workers-Employers NI</t>
  </si>
  <si>
    <t>Family Support Workers-Emps pen cont</t>
  </si>
  <si>
    <t>Exam Invigilators-Wages and salaries</t>
  </si>
  <si>
    <t>Exam Invigilators-Overtime</t>
  </si>
  <si>
    <t>Exam Invigilators-Employers NI</t>
  </si>
  <si>
    <t>Exam Invigilators-Employers pen cont</t>
  </si>
  <si>
    <t>Community Facilities Staff-Wages &amp; sals</t>
  </si>
  <si>
    <t>Community Facilities Staff-Overtime</t>
  </si>
  <si>
    <t>Community Facilities Staff-Employers NI</t>
  </si>
  <si>
    <t>Community Facilities Staff-Emps pen cont</t>
  </si>
  <si>
    <t>Other Staff-Wages and salaries</t>
  </si>
  <si>
    <t>Other Staff-Overtime</t>
  </si>
  <si>
    <t>OSC salaries unrestricted</t>
  </si>
  <si>
    <t>Other Staff-Employers NI</t>
  </si>
  <si>
    <t>Other Staff-Employers pen cont</t>
  </si>
  <si>
    <t>Cost of raising funds: Wage and salaries</t>
  </si>
  <si>
    <t>Cost of raising funds: Overtime</t>
  </si>
  <si>
    <t>Cost of raising funds: Employers ni</t>
  </si>
  <si>
    <t>Cost of raising funds: Employ pens contr</t>
  </si>
  <si>
    <t>Pensions: Suplus/deficit on LGPS</t>
  </si>
  <si>
    <t>LGPS cash contribution to pension defici</t>
  </si>
  <si>
    <t>Supp Staff-Teach-lng trm cver-Wges &amp; sls</t>
  </si>
  <si>
    <t>Supp Staff-Teach-lng term cover-Emp NI</t>
  </si>
  <si>
    <t>Supp Staff-Teach-lng term cover-Emp pens</t>
  </si>
  <si>
    <t>Supp Staff-Teach-shrt trm cver-Wag &amp; sal</t>
  </si>
  <si>
    <t>Supp Staff-Teach-shrt term cover-Emp NI</t>
  </si>
  <si>
    <t>Supp Staff-Teach-shrt term cover-Emp pen</t>
  </si>
  <si>
    <t>Supp Staff-Teach assist-Wages &amp; salaries</t>
  </si>
  <si>
    <t>Supp Staff-Teach assist-Emp NI</t>
  </si>
  <si>
    <t>Supp Staff-Teach assist-Emp pens</t>
  </si>
  <si>
    <t>Supp Staff-Support staff-Wages &amp; sals</t>
  </si>
  <si>
    <t>Supp Staff-Support staff-Emp NI</t>
  </si>
  <si>
    <t>Supp Staff-Support staff-Emp pens</t>
  </si>
  <si>
    <t>Boarding Staff-direct-Wages &amp; sals</t>
  </si>
  <si>
    <t>ALS,AUD,BLS,HIG,MAT,MLB,PTP,SBL</t>
  </si>
  <si>
    <t>B'ding Staff-direct-Overtime</t>
  </si>
  <si>
    <t>B'ding Staff-direct-Employers NI</t>
  </si>
  <si>
    <t>B'ding Staff-direct-Employers pen cont</t>
  </si>
  <si>
    <t>B'ding Staff-direct-Agency stff-dir stff</t>
  </si>
  <si>
    <t>B'ding Staff-direct-Compensa'n-dir staff</t>
  </si>
  <si>
    <t>B'ding Staff-indirect-Wages and salaries</t>
  </si>
  <si>
    <t>B'ding Staff-indirect-Overtime</t>
  </si>
  <si>
    <t>B'ding Staff-indirect-Employers NI</t>
  </si>
  <si>
    <t>B'ding Staff-indirect-Employers pen cont</t>
  </si>
  <si>
    <t>B'ding Staff-indirect-Agency staff-supp</t>
  </si>
  <si>
    <t>B'ding Staff-indirect-Compensation-supp</t>
  </si>
  <si>
    <t>B'ding Staff-indirect-Staff Welfare</t>
  </si>
  <si>
    <t>B'ding Staff-indirect-Staff Development</t>
  </si>
  <si>
    <t>B'ding Staff-indirect-Staff training</t>
  </si>
  <si>
    <t>B'ding Staff-indirect-Staff insurance</t>
  </si>
  <si>
    <t>Ind Emp Exp-Apprenticeship levy</t>
  </si>
  <si>
    <t>Apprenticeship levy - support staff</t>
  </si>
  <si>
    <t>Ind Emp Exp-Ex-gratia/severance-teachers</t>
  </si>
  <si>
    <t>Ind Emp Exp-Ex-gratia/severance-support</t>
  </si>
  <si>
    <t>Ind Emp Exp-Redundancy-teachers</t>
  </si>
  <si>
    <t>Ind Emp Exp-Redundancy-support staff</t>
  </si>
  <si>
    <t>Ind Emp Exp-Other restructuring-teachers</t>
  </si>
  <si>
    <t>Ind Emp Exp-Other restructuring-support</t>
  </si>
  <si>
    <t>Ind Emp Exp-Secondment income-teachers</t>
  </si>
  <si>
    <t>Ind Emp Exp-Secondment income-support</t>
  </si>
  <si>
    <t>Ind Emp Exp-Staff travel</t>
  </si>
  <si>
    <t>Ind Emp Exp-Staff subsistence</t>
  </si>
  <si>
    <t>Ind Emp Exp-Interview expenses</t>
  </si>
  <si>
    <t>Ind Emp Exp-Staff uniforms</t>
  </si>
  <si>
    <t>Childcare voucher &amp; Oth Salary Sacrifice</t>
  </si>
  <si>
    <t>Ind Emp Exp-Staff medical fees</t>
  </si>
  <si>
    <t>Ind Emp Exp-Duty meals</t>
  </si>
  <si>
    <t>Occupational Health</t>
  </si>
  <si>
    <t>Ind Emp Exp-Recruitment-teachers</t>
  </si>
  <si>
    <t>Ind Emp Exp-Recruitment-support staff</t>
  </si>
  <si>
    <t>Ind Emp Exp-Recruitment-leadership</t>
  </si>
  <si>
    <t>Ind Emp Exp-Staff Advertising-teachers</t>
  </si>
  <si>
    <t>Ind Emp Exp-Staff Advertising-support</t>
  </si>
  <si>
    <t>Ind Emp Exp-Staff Advertising-leadership</t>
  </si>
  <si>
    <t>Ind Emp Exp-DBS checks-teachers</t>
  </si>
  <si>
    <t>Ind Emp Exp-DBS checks-support staff</t>
  </si>
  <si>
    <t>Ind Emp Exp-Staff training-teachers</t>
  </si>
  <si>
    <t>Ind Emp Exp-Staff training-support staff</t>
  </si>
  <si>
    <t>Ind Emp Exp-Notional Apprent'p levy exp</t>
  </si>
  <si>
    <t>Ind Emp Exp-Other Ind Emp Expense-teach</t>
  </si>
  <si>
    <t>Ind Emp Exp-Other Ind Emp Expense-supp</t>
  </si>
  <si>
    <t>Salary adjustment third party</t>
  </si>
  <si>
    <t>Ind Emp Exp-Supply insurance-teachers</t>
  </si>
  <si>
    <t>Ind Emp Exp-Supply insurance-support</t>
  </si>
  <si>
    <t>Ind Emp Exp-Employers liability ins</t>
  </si>
  <si>
    <t>Ill Health Liability Insurance</t>
  </si>
  <si>
    <t>Refreshment &amp; hospitality costs staff</t>
  </si>
  <si>
    <t>Professional subscriptions - teachers</t>
  </si>
  <si>
    <t>Profess subscriptions - non teach staff</t>
  </si>
  <si>
    <t>R&amp;M-Building Repair and Maintenance</t>
  </si>
  <si>
    <t>R&amp;M-Building Improvements</t>
  </si>
  <si>
    <t>Rates-Rates</t>
  </si>
  <si>
    <t>Energy-Gas</t>
  </si>
  <si>
    <t>Energy-Oil</t>
  </si>
  <si>
    <t>Energy-Electricity</t>
  </si>
  <si>
    <t>Biomass &amp; other renewable energy costs</t>
  </si>
  <si>
    <t>Insurance-Risk Protection Arrangement</t>
  </si>
  <si>
    <t>Insurance-Premises Insurance (not RPA)</t>
  </si>
  <si>
    <t>Insurance-B'ding Insurance</t>
  </si>
  <si>
    <t>Insurance-Motor Vehicle Insurance</t>
  </si>
  <si>
    <t>Cleaning &amp; C'taking-Cleaning contracts</t>
  </si>
  <si>
    <t>Cleaning &amp; C'taking-Cleaning equip &amp; mat</t>
  </si>
  <si>
    <t>Cleaning &amp; C'taking-Window Cleaning</t>
  </si>
  <si>
    <t>Cleaning &amp; C'taking-C'taking Sup &amp; Equip</t>
  </si>
  <si>
    <t>Land and building rent payable</t>
  </si>
  <si>
    <t>Operating leases-Photocopiers</t>
  </si>
  <si>
    <t>Telephony &amp; connectivity</t>
  </si>
  <si>
    <t>On-site servers</t>
  </si>
  <si>
    <t>Laptops, desktop computers and tablets</t>
  </si>
  <si>
    <t>Operating leases-Other equip</t>
  </si>
  <si>
    <t>Solar panels</t>
  </si>
  <si>
    <t>Vehicles</t>
  </si>
  <si>
    <t>Security-Security Alarms / CCTV Services</t>
  </si>
  <si>
    <t>Security-Security Patrols</t>
  </si>
  <si>
    <t>Spec Fac's-Swimming pool equip/material</t>
  </si>
  <si>
    <t>Spec Fac's-Sports centre equip/materials</t>
  </si>
  <si>
    <t>Spec Fac's-Before &amp; After School clubs</t>
  </si>
  <si>
    <t>Spec Fac's-Farm &amp; Rural Studies</t>
  </si>
  <si>
    <t>Spec Fac's-External cluster funding cont</t>
  </si>
  <si>
    <t>Spec Fac's-Pupil travel across the trust</t>
  </si>
  <si>
    <t>Spec Fac's-Home to school transport</t>
  </si>
  <si>
    <t>Oth Prem-Grounds Maintenance</t>
  </si>
  <si>
    <t>Oth Prem-Water &amp; Sewerage</t>
  </si>
  <si>
    <t>Oth Prem-Septic Tanks</t>
  </si>
  <si>
    <t>Oth Prem-Refuse Removal</t>
  </si>
  <si>
    <t>Oth Prem-Hygiene Supps &amp; Services</t>
  </si>
  <si>
    <t>Oth Prem-Health &amp; Safety</t>
  </si>
  <si>
    <t>Oth Prem-Electrical Service Contract</t>
  </si>
  <si>
    <t>Oth Prem-Mechanical Service Contract</t>
  </si>
  <si>
    <t>Oth Prem-Appliance Testing</t>
  </si>
  <si>
    <t>Oth Prem-Fire Alarm &amp; Extinguisher Serv</t>
  </si>
  <si>
    <t>Oth Prem-Heating &amp; Air Conditioning</t>
  </si>
  <si>
    <t>Oth Prem-Pest Control</t>
  </si>
  <si>
    <t>Annual Safety Inspections (equipment)</t>
  </si>
  <si>
    <t>Accommodation service charge</t>
  </si>
  <si>
    <t>Oth Prem-Other Occupancy</t>
  </si>
  <si>
    <t>Other Prem-Rev exp from cap funding</t>
  </si>
  <si>
    <t>Capital expenditure from CIF Cap Fund</t>
  </si>
  <si>
    <t>Capital expenditure from LA Cap Fund</t>
  </si>
  <si>
    <t>Capital expenditure from DFC Funding</t>
  </si>
  <si>
    <t>Capital expenditure from other funding</t>
  </si>
  <si>
    <t>Capital Expenditure from Donation</t>
  </si>
  <si>
    <t>ALS,MLB</t>
  </si>
  <si>
    <t>School Condition Allowance expenditure</t>
  </si>
  <si>
    <t>B'ding-Prem-Rates</t>
  </si>
  <si>
    <t>ALS,BLS,MAT,MLB</t>
  </si>
  <si>
    <t>B'ding-Prem-Water rates</t>
  </si>
  <si>
    <t>B'ding-Prem-Electricity</t>
  </si>
  <si>
    <t>B'ding-Prem-Gas</t>
  </si>
  <si>
    <t>B'ding-Prem-Heating oil</t>
  </si>
  <si>
    <t>B'ding-Prem-Operating lease-Land &amp; build</t>
  </si>
  <si>
    <t>B'ding-Prem-Operating lease-Photocopiers</t>
  </si>
  <si>
    <t>B'ding-Prem-Operating lease-Telephones</t>
  </si>
  <si>
    <t>B'ding-Prem-Operating lease-Other equip</t>
  </si>
  <si>
    <t>B'ding-Prem-Ins-Commercial provider</t>
  </si>
  <si>
    <t>B'ding-Prem-Reps &amp; renewals-Property</t>
  </si>
  <si>
    <t>B'ding-Prem-Reps &amp; renewals-Grounds</t>
  </si>
  <si>
    <t>B'ding-Prem-Reps &amp; renewals-Motor veh</t>
  </si>
  <si>
    <t>B'ding-Prem-Reps &amp; renewals-Equip</t>
  </si>
  <si>
    <t>B'ding-Prem-B'ding-Security</t>
  </si>
  <si>
    <t>Boarding - Other premises costs</t>
  </si>
  <si>
    <t>Educ Supps-Books</t>
  </si>
  <si>
    <t>Educ Supps-Library Services</t>
  </si>
  <si>
    <t>Educ Supps-Curriculum Materials</t>
  </si>
  <si>
    <t>Curriculum printing &amp; photocopying</t>
  </si>
  <si>
    <t>Educ Supps-Education Equip-nt IT</t>
  </si>
  <si>
    <t>Educ Supps-Education Eqpmt repairs-nt IT</t>
  </si>
  <si>
    <t>Educ Supps-Educ Furn</t>
  </si>
  <si>
    <t>Educ Supps-Audio Visual</t>
  </si>
  <si>
    <t>Educ Supps-Repair of PE/Musical Equip</t>
  </si>
  <si>
    <t>Ext Edu Providers (Excl Alter Provision)</t>
  </si>
  <si>
    <t>Alternative provision costs</t>
  </si>
  <si>
    <t>Educ Supps-Primary school PIP exam fees</t>
  </si>
  <si>
    <t>Examination Fees-Examination Fees</t>
  </si>
  <si>
    <t>Examination Fees-Examination Resources</t>
  </si>
  <si>
    <t>Tech Costs-Edu IT Equip</t>
  </si>
  <si>
    <t>Educational laptop/desktop bundles</t>
  </si>
  <si>
    <t>Tech Costs-Edu software &amp; licences</t>
  </si>
  <si>
    <t>Edu telephony and connectivity costs</t>
  </si>
  <si>
    <t>Educational server costs</t>
  </si>
  <si>
    <t>Educational IT repairs</t>
  </si>
  <si>
    <t>Educational IT support contracts</t>
  </si>
  <si>
    <t>Tech Costs-ICT Support contract</t>
  </si>
  <si>
    <t>ICT Admin lapts desktp tablet/periphes</t>
  </si>
  <si>
    <t>ICT Admin Hardware (not capital)</t>
  </si>
  <si>
    <t>ICT Admin server costs (not lease/capi)</t>
  </si>
  <si>
    <t>ICT Admin Repairs</t>
  </si>
  <si>
    <t>ICT Admin Software (not cap)</t>
  </si>
  <si>
    <t>ICT Admin Licences</t>
  </si>
  <si>
    <t>ICT Adm Broadband connective &amp; telephony</t>
  </si>
  <si>
    <t>ICT Consumables</t>
  </si>
  <si>
    <t>ICT costs - other hardware</t>
  </si>
  <si>
    <t>Tech Costs-ICT Annual Maintenance</t>
  </si>
  <si>
    <t>Tech Costs-ICT Consultancy</t>
  </si>
  <si>
    <t>Tech Costs-ICT Hosting Fees</t>
  </si>
  <si>
    <t>Tech Costs-ICT Other</t>
  </si>
  <si>
    <t>Educ Cons-External sports coaches</t>
  </si>
  <si>
    <t>Educ Cons-Peripatetic music teachers</t>
  </si>
  <si>
    <t>Educ Cons-Exam Invigilation costs</t>
  </si>
  <si>
    <t>Educ Cons-Courses-external providers</t>
  </si>
  <si>
    <t>Educ Cons-Behaviour support services</t>
  </si>
  <si>
    <t>Educ Cons - Welfare and Attendance Serv</t>
  </si>
  <si>
    <t>Educ Cons-Library &amp; museum services</t>
  </si>
  <si>
    <t>Educ Cons-Other Educ consultancy</t>
  </si>
  <si>
    <t>School Trips-Travel costs</t>
  </si>
  <si>
    <t>School Trips-Accom/Entrance</t>
  </si>
  <si>
    <t>AUD,HIG,MAT,PTP</t>
  </si>
  <si>
    <t>ALS,BLS,MLB,SBL,WVP</t>
  </si>
  <si>
    <t>School Trips - Swimming</t>
  </si>
  <si>
    <t>School Trips- Food &amp; Drink</t>
  </si>
  <si>
    <t>School Trips-Sundry</t>
  </si>
  <si>
    <t>School Trips-Insurance</t>
  </si>
  <si>
    <t>Student placement costs</t>
  </si>
  <si>
    <t>Subscriptions - Curriculum</t>
  </si>
  <si>
    <t>Admin-TV licences</t>
  </si>
  <si>
    <t>Admin-Non-ICT licences</t>
  </si>
  <si>
    <t>Admin-Contribs from academies to trust</t>
  </si>
  <si>
    <t>Admin-Admin Supps &amp; Stationery</t>
  </si>
  <si>
    <t>Admin-Admin Photocopying</t>
  </si>
  <si>
    <t>Admin-Printing</t>
  </si>
  <si>
    <t>Marketing and PR</t>
  </si>
  <si>
    <t>Admin-Advertising</t>
  </si>
  <si>
    <t>Admin-Postage &amp; Carriage</t>
  </si>
  <si>
    <t>Admin-Telephone Costs</t>
  </si>
  <si>
    <t>Admin-Mobile Phones</t>
  </si>
  <si>
    <t>Admin-Admin Furn</t>
  </si>
  <si>
    <t>Admin-Admin Equip</t>
  </si>
  <si>
    <t>Admin-Admin ICT</t>
  </si>
  <si>
    <t>Admin-Admin Equip repairs</t>
  </si>
  <si>
    <t>Admin-Medical</t>
  </si>
  <si>
    <t>Admin-Laundry</t>
  </si>
  <si>
    <t>Refreshments &amp; hospitality - non-staff</t>
  </si>
  <si>
    <t>Admin-Bank charges</t>
  </si>
  <si>
    <t>Admin - Other non curriculum costs</t>
  </si>
  <si>
    <t>Vehicle costs - other</t>
  </si>
  <si>
    <t>Vehicle fuel costs</t>
  </si>
  <si>
    <t>Vehicle service/maintenance costs</t>
  </si>
  <si>
    <t>Taxes, tolls and congestion/ULEZ charges</t>
  </si>
  <si>
    <t>Transport-Motor Vehicle Hire</t>
  </si>
  <si>
    <t>Supply Cover-Agency teach staff lng term</t>
  </si>
  <si>
    <t>Supply Cover-Agency teach staff sht term</t>
  </si>
  <si>
    <t>Supply Cover-Agency teaching assistants</t>
  </si>
  <si>
    <t>Supply Cover-Agency support staff</t>
  </si>
  <si>
    <t>Agency - Sup Staff Clean and Caretaking</t>
  </si>
  <si>
    <t>Agency - Sup Staff Grounds Maintenance</t>
  </si>
  <si>
    <t>Agency - Sup Staff Other Occupational</t>
  </si>
  <si>
    <t>Agency - Sup Staff Special Facilities</t>
  </si>
  <si>
    <t>Agency - Sup Staff Catering</t>
  </si>
  <si>
    <t>Agency - Sup Staff Prof Serv Non Curric</t>
  </si>
  <si>
    <t>Catering-Catering contract</t>
  </si>
  <si>
    <t>Catering-Catering-Food &amp; Drink</t>
  </si>
  <si>
    <t>Catering-Catering-Consumables</t>
  </si>
  <si>
    <t>Catering-Catering-Equip</t>
  </si>
  <si>
    <t>Catering-Catering-Maint. &amp; Repairs</t>
  </si>
  <si>
    <t>Catering-Vending Machines</t>
  </si>
  <si>
    <t>Free School Meals</t>
  </si>
  <si>
    <t>Non-edu C'tracs-Consultancy Fees</t>
  </si>
  <si>
    <t>Non-edu C'tracs-Counsellors</t>
  </si>
  <si>
    <t>Non-edu C'tracs-Financial</t>
  </si>
  <si>
    <t>Non-edu C'tracs-Legal (Other)</t>
  </si>
  <si>
    <t>Non-edu C'tracs-Legal (Conversion)</t>
  </si>
  <si>
    <t>Non-edu C'tracs-Personnel/HR</t>
  </si>
  <si>
    <t>Non-edu C'tracs-Payroll</t>
  </si>
  <si>
    <t>Non-edu C'tracs-Clerking brd/gov meeting</t>
  </si>
  <si>
    <t>Non-edu C'tracs-Property M'ment Services</t>
  </si>
  <si>
    <t>AUD,BLS,HIG,MAT,PTP,SBL,WVP</t>
  </si>
  <si>
    <t>Non-edu C'tracs-Energy M'ment Services</t>
  </si>
  <si>
    <t>Non-edu C'tracs-FSM-Pupil checks</t>
  </si>
  <si>
    <t>Non-edu C'tracs-Admissions service</t>
  </si>
  <si>
    <t>Edu Psych. consultancy (Ext strategic)</t>
  </si>
  <si>
    <t>Speech &amp; Lang Consultancy, Ext strategic</t>
  </si>
  <si>
    <t>SEN consultancy (External strategic)</t>
  </si>
  <si>
    <t>Non-edu C'tracs-Cash Collection services</t>
  </si>
  <si>
    <t>Service Level Agreement (LA)</t>
  </si>
  <si>
    <t>Service Level Agreement (Other)</t>
  </si>
  <si>
    <t>Non-edu C'tracs-PFI c'tract man't serv's</t>
  </si>
  <si>
    <t>Non-edu C'tracs - Other non-educ contrac</t>
  </si>
  <si>
    <t>Audit-Statutory audit fees</t>
  </si>
  <si>
    <t>Audit-Internal audit &amp; oth fees</t>
  </si>
  <si>
    <t>Audit-Accounts return</t>
  </si>
  <si>
    <t>Governance-Acad governor-travel</t>
  </si>
  <si>
    <t>Governance-Acad governor-subsistence</t>
  </si>
  <si>
    <t>Governance-Acad governor-oth reimb.</t>
  </si>
  <si>
    <t>Trustees/Trust Director - travel</t>
  </si>
  <si>
    <t>Trustees/Trust Director - subsistence</t>
  </si>
  <si>
    <t>Trustees/Trust Director - other reimb.</t>
  </si>
  <si>
    <t>Admin-supp costs-Rev exp frm cap funding</t>
  </si>
  <si>
    <t>Cost of raising funds-pay</t>
  </si>
  <si>
    <t>Cost of raising funds-premises</t>
  </si>
  <si>
    <t>Cost of raising funds-Depn</t>
  </si>
  <si>
    <t>Cost of raising funds-amortisation</t>
  </si>
  <si>
    <t>Cost of raising funds-Impair't</t>
  </si>
  <si>
    <t>Cost of raising funds-teaching/learning</t>
  </si>
  <si>
    <t>Cost of raising funds-technology</t>
  </si>
  <si>
    <t>Cost of raising funds-governance</t>
  </si>
  <si>
    <t>Cost of raising funds-oth</t>
  </si>
  <si>
    <t>Teaching School-Staff costs-direct</t>
  </si>
  <si>
    <t>Teaching School-Staff Development</t>
  </si>
  <si>
    <t>Teaching School-Other Direct costs</t>
  </si>
  <si>
    <t>Teaching School-Staff costs-support</t>
  </si>
  <si>
    <t>Teaching School-Depn</t>
  </si>
  <si>
    <t>Teaching School-Technology costs</t>
  </si>
  <si>
    <t>Teaching School-Recruitment &amp; support</t>
  </si>
  <si>
    <t>Teaching School-Security &amp; support</t>
  </si>
  <si>
    <t>Teaching School-Governance costs</t>
  </si>
  <si>
    <t>Teaching School-Other support costs</t>
  </si>
  <si>
    <t>Oth Supps &amp; Servs-Pupil gifts &amp; prizes</t>
  </si>
  <si>
    <t>Oth Supps &amp; Servs-Student bursary expend</t>
  </si>
  <si>
    <t>Oth Supps &amp; Servs- Welfare payments</t>
  </si>
  <si>
    <t>Oth Supps &amp; Servs-Increase in provisions</t>
  </si>
  <si>
    <t>Oth Supps &amp; Servs-Release of provisions</t>
  </si>
  <si>
    <t>Oth Supps &amp; Servs-Bad Debt written off</t>
  </si>
  <si>
    <t>Oth Supps &amp; Servs-Excluded pupils</t>
  </si>
  <si>
    <t>Oth Supps &amp; Servs-Acad performances</t>
  </si>
  <si>
    <t>Oth Supps &amp; Servs-Parent ev'ngs/meetings</t>
  </si>
  <si>
    <t>Oth Supps &amp; Servs-Room Hire</t>
  </si>
  <si>
    <t>Oth Supps &amp; Servs-Oth not attri'ble exp</t>
  </si>
  <si>
    <t>Oth Supps &amp; Servs- Donations to charity</t>
  </si>
  <si>
    <t>Oth Supps &amp; Servs-School uniforms-cost</t>
  </si>
  <si>
    <t>Maths Hub Expenditure</t>
  </si>
  <si>
    <t>ACT expenditure</t>
  </si>
  <si>
    <t>Fin Costs-PFI Specialist concess'n acct</t>
  </si>
  <si>
    <t>Fin Costs-PFI payment to LA</t>
  </si>
  <si>
    <t>Fin Costs-Loan Interest paid-DfE Group</t>
  </si>
  <si>
    <t>Fin Costs-Loan Interest paid-oth</t>
  </si>
  <si>
    <t>Fin Costs-Finance lease interest</t>
  </si>
  <si>
    <t>Asset Fin-Depn-direct costs-b'dings</t>
  </si>
  <si>
    <t>Asset Fin-Depn-direct costs-oth assets</t>
  </si>
  <si>
    <t>Asset Fin-Depn-indirect costs-b'dings</t>
  </si>
  <si>
    <t>Asset Fin-Depn-indirect costs-oth assets</t>
  </si>
  <si>
    <t>Asset Fin-Amortisation-direct costs</t>
  </si>
  <si>
    <t>Asset Fin-Amortisation-indirect costs</t>
  </si>
  <si>
    <t>Asset Fin-Impair't-direct costs</t>
  </si>
  <si>
    <t>Asset Fin-Impair't-indirect costs</t>
  </si>
  <si>
    <t>Asset Fin-Gain/loss on disp of tan FA</t>
  </si>
  <si>
    <t>Asset Fin-Gain/loss on disp of intan FA</t>
  </si>
  <si>
    <t>Asset Fin-Gain/loss on disp of invest's</t>
  </si>
  <si>
    <t>Asset Fin-Revenue contributions to cap</t>
  </si>
  <si>
    <t>Oth Rec Gains/Losses-Actuarial pen fnd</t>
  </si>
  <si>
    <t>Oth Rec Gains/Losses-Valuation of FA</t>
  </si>
  <si>
    <t>Oth Rec Gains/Losses-Val'n of investm's</t>
  </si>
  <si>
    <t>B'ding Supps-Direct Goods &amp; services</t>
  </si>
  <si>
    <t>B'ding Supps-Direct Travel</t>
  </si>
  <si>
    <t>B'ding Supps-Direct subsistence</t>
  </si>
  <si>
    <t>B'ding Supps-Catering</t>
  </si>
  <si>
    <t>B'ding Supps-Direct cost</t>
  </si>
  <si>
    <t>B'ding Supps-Bad debt expense</t>
  </si>
  <si>
    <t>B'ding Supps-Travel</t>
  </si>
  <si>
    <t>B'ding Supps-Subsistence</t>
  </si>
  <si>
    <t>B'ding Supps-Other support cost</t>
  </si>
  <si>
    <t>B'ding Supps-Other supp cost Acad Trusts</t>
  </si>
  <si>
    <t>B'ding Supps-G/L on disp of tan FA</t>
  </si>
  <si>
    <t>B'ding Supps-G/L on disp of intan FA</t>
  </si>
  <si>
    <t>B'ding Supps-G/L on disp of invest's</t>
  </si>
  <si>
    <t>B'ding Supps-Depn-b'ding-b'dings</t>
  </si>
  <si>
    <t>B'ding Supps-Depn-b'ding-oth assets</t>
  </si>
  <si>
    <t>B'ding Supps-Amortisation-b'ding</t>
  </si>
  <si>
    <t>B'ding Supps-Impair't-b'ding</t>
  </si>
  <si>
    <t>CHE</t>
  </si>
  <si>
    <t>Cheshire East</t>
  </si>
  <si>
    <t>Default (no) Local Authority</t>
  </si>
  <si>
    <t>Alsager School</t>
  </si>
  <si>
    <t>Audlem St James' CofE Primary</t>
  </si>
  <si>
    <t>Brine Leas School</t>
  </si>
  <si>
    <t>Alsager Highfields Primary School</t>
  </si>
  <si>
    <t>The Cornovii Trust</t>
  </si>
  <si>
    <t>Malbank School and Sixth Form College</t>
  </si>
  <si>
    <t>Pear Tree Primary School</t>
  </si>
  <si>
    <t>Stapeley Broad Lane CofE Primary School</t>
  </si>
  <si>
    <t>Weston Village Primary School</t>
  </si>
  <si>
    <t>Teachers Main</t>
  </si>
  <si>
    <t>Teachers Unqualified</t>
  </si>
  <si>
    <t>U1</t>
  </si>
  <si>
    <t>U2</t>
  </si>
  <si>
    <t>CEO Scale</t>
  </si>
  <si>
    <t>TLR1D</t>
  </si>
  <si>
    <t>TLR3A</t>
  </si>
  <si>
    <t>TLR3B</t>
  </si>
  <si>
    <t>TLR3D</t>
  </si>
  <si>
    <t>TLR3</t>
  </si>
  <si>
    <t>L32-L36</t>
  </si>
  <si>
    <t>L12-L16</t>
  </si>
  <si>
    <t>L15-L19</t>
  </si>
  <si>
    <t>L13-L19</t>
  </si>
  <si>
    <t>L13-L17</t>
  </si>
  <si>
    <t>L18-L22</t>
  </si>
  <si>
    <t>L06-L10</t>
  </si>
  <si>
    <t>L05-L09</t>
  </si>
  <si>
    <t>L11-L18</t>
  </si>
  <si>
    <t>L02-L06</t>
  </si>
  <si>
    <t>L03-L07</t>
  </si>
  <si>
    <t>L04-L08</t>
  </si>
  <si>
    <t>L01-L43</t>
  </si>
  <si>
    <t>Leadership scp L01-L43</t>
  </si>
  <si>
    <t>Leadership scp L02-L06</t>
  </si>
  <si>
    <t>Leadership scp L03-L07</t>
  </si>
  <si>
    <t>Leadership scp L04-L08</t>
  </si>
  <si>
    <t>Leadership scp L05-L09</t>
  </si>
  <si>
    <t>Leadership scp L06-L10</t>
  </si>
  <si>
    <t>Leadership scp L11-L18</t>
  </si>
  <si>
    <t>Leadership scp L12-L16</t>
  </si>
  <si>
    <t>Leadership scp L13-L17</t>
  </si>
  <si>
    <t>Leadership scp L13-L19</t>
  </si>
  <si>
    <t>Leadership scp L15-L19</t>
  </si>
  <si>
    <t>Leadership scp L18-L22</t>
  </si>
  <si>
    <t>Leadership scp L32-L36</t>
  </si>
  <si>
    <t>NJC_CHE</t>
  </si>
  <si>
    <t>NJC - Cheshire East</t>
  </si>
  <si>
    <t>Cheshire East - Grade 02</t>
  </si>
  <si>
    <t>Cheshire East - Grade 03</t>
  </si>
  <si>
    <t>Cheshire East - Grade 04</t>
  </si>
  <si>
    <t>Cheshire East - Grade 05</t>
  </si>
  <si>
    <t>Cheshire East - Grade 06</t>
  </si>
  <si>
    <t>Cheshire East - Grade 07</t>
  </si>
  <si>
    <t>Cheshire East - Grade 08</t>
  </si>
  <si>
    <t>Cheshire East - Grade 09</t>
  </si>
  <si>
    <t>Cheshire East - Grade 10</t>
  </si>
  <si>
    <t>Cheshire East - Grade 11</t>
  </si>
  <si>
    <t>Cheshire East - Grade 12</t>
  </si>
  <si>
    <t>CHE_02</t>
  </si>
  <si>
    <t>CHE_03</t>
  </si>
  <si>
    <t>CHE_04</t>
  </si>
  <si>
    <t>CHE_05</t>
  </si>
  <si>
    <t>CHE_06</t>
  </si>
  <si>
    <t>CHE_07</t>
  </si>
  <si>
    <t>CHE_08</t>
  </si>
  <si>
    <t>CHE_09</t>
  </si>
  <si>
    <t>CHE_10</t>
  </si>
  <si>
    <t>CHE_11</t>
  </si>
  <si>
    <t>CHE_12</t>
  </si>
  <si>
    <t>LGPS - Cheshire East</t>
  </si>
  <si>
    <t>LGPS_CHE</t>
  </si>
  <si>
    <t>38.0 Weeks Worked - Cheshire East</t>
  </si>
  <si>
    <t>CHE_38.0W</t>
  </si>
  <si>
    <t>CHE_39.0W</t>
  </si>
  <si>
    <t>39.0 Weeks Worked - Cheshire East</t>
  </si>
  <si>
    <t>CHE_40.0W</t>
  </si>
  <si>
    <t>40.0 Weeks Worked - Cheshire East</t>
  </si>
  <si>
    <t>CHE_41.0W</t>
  </si>
  <si>
    <t>41.0 Weeks Worked - Cheshire East</t>
  </si>
  <si>
    <t>CHE_42.0W</t>
  </si>
  <si>
    <t>42.0 Weeks Worked - Cheshire East</t>
  </si>
  <si>
    <t>CHE_43.0W</t>
  </si>
  <si>
    <t>43.0 Weeks Worked - Cheshire East</t>
  </si>
  <si>
    <t>CHE_44.0W</t>
  </si>
  <si>
    <t>44.0 Weeks Worked - Cheshire East</t>
  </si>
  <si>
    <t>First Aid</t>
  </si>
  <si>
    <t>FA</t>
  </si>
  <si>
    <t>RES</t>
  </si>
  <si>
    <t>Responsibility Allowance</t>
  </si>
  <si>
    <t>RR</t>
  </si>
  <si>
    <t>Recruitment &amp; Retention</t>
  </si>
  <si>
    <t>SFT</t>
  </si>
  <si>
    <t>Shift Allowance</t>
  </si>
  <si>
    <t>Phone Allowance</t>
  </si>
  <si>
    <t>PA</t>
  </si>
  <si>
    <t>JOB</t>
  </si>
  <si>
    <t>Job Allowance</t>
  </si>
  <si>
    <t>ZZ_51.097</t>
  </si>
  <si>
    <t>51.097 Weeks Paid Unmapped</t>
  </si>
  <si>
    <t>EDS</t>
  </si>
  <si>
    <t>Staff Costs - Educational Support-Wages and salaries</t>
  </si>
  <si>
    <t>Abi</t>
  </si>
  <si>
    <t>Abigail</t>
  </si>
  <si>
    <t>Adam</t>
  </si>
  <si>
    <t>Adele</t>
  </si>
  <si>
    <t>Alexander</t>
  </si>
  <si>
    <t>Alexandra</t>
  </si>
  <si>
    <t>Alfie</t>
  </si>
  <si>
    <t>Alfredo</t>
  </si>
  <si>
    <t>Alicia</t>
  </si>
  <si>
    <t>Alison</t>
  </si>
  <si>
    <t>Alistair</t>
  </si>
  <si>
    <t>Amelie</t>
  </si>
  <si>
    <t>Amy</t>
  </si>
  <si>
    <t>Andrea</t>
  </si>
  <si>
    <t>Andrew</t>
  </si>
  <si>
    <t>Angela</t>
  </si>
  <si>
    <t>Anika</t>
  </si>
  <si>
    <t>Anita</t>
  </si>
  <si>
    <t>Ann</t>
  </si>
  <si>
    <t>Annabelle</t>
  </si>
  <si>
    <t>Anne-Marie</t>
  </si>
  <si>
    <t>Anthea</t>
  </si>
  <si>
    <t>Anya</t>
  </si>
  <si>
    <t>Arlene</t>
  </si>
  <si>
    <t>Arthur</t>
  </si>
  <si>
    <t>Ashleigh</t>
  </si>
  <si>
    <t>Ashley</t>
  </si>
  <si>
    <t>Asma</t>
  </si>
  <si>
    <t>Audrey</t>
  </si>
  <si>
    <t>Ayla</t>
  </si>
  <si>
    <t>Barbara</t>
  </si>
  <si>
    <t>Barrie</t>
  </si>
  <si>
    <t>Benjamin</t>
  </si>
  <si>
    <t>Bethany</t>
  </si>
  <si>
    <t>Bridie</t>
  </si>
  <si>
    <t>Bronwen</t>
  </si>
  <si>
    <t>Cally</t>
  </si>
  <si>
    <t>Cara</t>
  </si>
  <si>
    <t>Carly</t>
  </si>
  <si>
    <t>Carol</t>
  </si>
  <si>
    <t>Caroline</t>
  </si>
  <si>
    <t>Carolynne</t>
  </si>
  <si>
    <t>Carrie-Ann</t>
  </si>
  <si>
    <t>Caryn</t>
  </si>
  <si>
    <t>Catherine</t>
  </si>
  <si>
    <t>Cathy</t>
  </si>
  <si>
    <t>Ceri</t>
  </si>
  <si>
    <t>Ceridwen</t>
  </si>
  <si>
    <t>Cerys</t>
  </si>
  <si>
    <t>Cesar</t>
  </si>
  <si>
    <t>Charlotte</t>
  </si>
  <si>
    <t>Cheryl Ann</t>
  </si>
  <si>
    <t>Chi Ming</t>
  </si>
  <si>
    <t>Chloe</t>
  </si>
  <si>
    <t>Christian</t>
  </si>
  <si>
    <t>Christina</t>
  </si>
  <si>
    <t>Christine</t>
  </si>
  <si>
    <t>Christopher</t>
  </si>
  <si>
    <t>Claire</t>
  </si>
  <si>
    <t>Clara</t>
  </si>
  <si>
    <t>Clare</t>
  </si>
  <si>
    <t>Claude</t>
  </si>
  <si>
    <t>Colette</t>
  </si>
  <si>
    <t>Constance</t>
  </si>
  <si>
    <t>Cory</t>
  </si>
  <si>
    <t>Craig</t>
  </si>
  <si>
    <t>Daniel</t>
  </si>
  <si>
    <t>Daniela</t>
  </si>
  <si>
    <t>Daniella</t>
  </si>
  <si>
    <t>Danielle</t>
  </si>
  <si>
    <t>Danilo</t>
  </si>
  <si>
    <t>Darren</t>
  </si>
  <si>
    <t>David</t>
  </si>
  <si>
    <t>Dawn</t>
  </si>
  <si>
    <t>Dean</t>
  </si>
  <si>
    <t>Deboarah</t>
  </si>
  <si>
    <t>Debora</t>
  </si>
  <si>
    <t>Deborah</t>
  </si>
  <si>
    <t>Debra</t>
  </si>
  <si>
    <t>Declan</t>
  </si>
  <si>
    <t>Deeanna</t>
  </si>
  <si>
    <t>Denise</t>
  </si>
  <si>
    <t>Derek</t>
  </si>
  <si>
    <t>Diana</t>
  </si>
  <si>
    <t>Donna</t>
  </si>
  <si>
    <t>Edward</t>
  </si>
  <si>
    <t>Elaine</t>
  </si>
  <si>
    <t>Eleanor</t>
  </si>
  <si>
    <t>Elise</t>
  </si>
  <si>
    <t>Elizabeth</t>
  </si>
  <si>
    <t>Ella</t>
  </si>
  <si>
    <t>Ellen</t>
  </si>
  <si>
    <t>Ellie</t>
  </si>
  <si>
    <t>Emily</t>
  </si>
  <si>
    <t>Emma</t>
  </si>
  <si>
    <t>Erica</t>
  </si>
  <si>
    <t>Euan</t>
  </si>
  <si>
    <t>Evie</t>
  </si>
  <si>
    <t>Finlay</t>
  </si>
  <si>
    <t>Finn</t>
  </si>
  <si>
    <t>Finty</t>
  </si>
  <si>
    <t>Fiona</t>
  </si>
  <si>
    <t>Francis</t>
  </si>
  <si>
    <t>Frederick</t>
  </si>
  <si>
    <t>Gavin</t>
  </si>
  <si>
    <t>Geertruida</t>
  </si>
  <si>
    <t>Gemma</t>
  </si>
  <si>
    <t>Georgina</t>
  </si>
  <si>
    <t>Geraldine</t>
  </si>
  <si>
    <t>Gillian</t>
  </si>
  <si>
    <t>Gordon</t>
  </si>
  <si>
    <t>Grace</t>
  </si>
  <si>
    <t>Hannah</t>
  </si>
  <si>
    <t>Harriette</t>
  </si>
  <si>
    <t>Harrison</t>
  </si>
  <si>
    <t>Hayley</t>
  </si>
  <si>
    <t>Heather</t>
  </si>
  <si>
    <t>Helen</t>
  </si>
  <si>
    <t>Holly</t>
  </si>
  <si>
    <t>Ian</t>
  </si>
  <si>
    <t>Imogen</t>
  </si>
  <si>
    <t>Isabel</t>
  </si>
  <si>
    <t>Isabella</t>
  </si>
  <si>
    <t>Isabelle</t>
  </si>
  <si>
    <t>Jack</t>
  </si>
  <si>
    <t>Jacob</t>
  </si>
  <si>
    <t>Jacqueline</t>
  </si>
  <si>
    <t>Jamie</t>
  </si>
  <si>
    <t>Jane</t>
  </si>
  <si>
    <t>Janette</t>
  </si>
  <si>
    <t>Janine</t>
  </si>
  <si>
    <t>Jay</t>
  </si>
  <si>
    <t>Jayde</t>
  </si>
  <si>
    <t>Jayne</t>
  </si>
  <si>
    <t>Jemma</t>
  </si>
  <si>
    <t>Jenney</t>
  </si>
  <si>
    <t>Jennifer</t>
  </si>
  <si>
    <t>Jenny</t>
  </si>
  <si>
    <t>Jessica</t>
  </si>
  <si>
    <t>Jill</t>
  </si>
  <si>
    <t>Joanna</t>
  </si>
  <si>
    <t>Joanne</t>
  </si>
  <si>
    <t>Jodie</t>
  </si>
  <si>
    <t>John</t>
  </si>
  <si>
    <t>Johnathan</t>
  </si>
  <si>
    <t>Jonathan</t>
  </si>
  <si>
    <t>Josephine</t>
  </si>
  <si>
    <t>Joyce</t>
  </si>
  <si>
    <t>Judith</t>
  </si>
  <si>
    <t>Julia</t>
  </si>
  <si>
    <t>Julie</t>
  </si>
  <si>
    <t>Karen</t>
  </si>
  <si>
    <t>Kate</t>
  </si>
  <si>
    <t>Katharine</t>
  </si>
  <si>
    <t>Katherine</t>
  </si>
  <si>
    <t>Kathleen</t>
  </si>
  <si>
    <t>Kathryn</t>
  </si>
  <si>
    <t>Kathy</t>
  </si>
  <si>
    <t>Katie</t>
  </si>
  <si>
    <t>Katy</t>
  </si>
  <si>
    <t>Kayleigh</t>
  </si>
  <si>
    <t>Keira</t>
  </si>
  <si>
    <t>Kelly</t>
  </si>
  <si>
    <t>Kelsey</t>
  </si>
  <si>
    <t>Kerry</t>
  </si>
  <si>
    <t>Kirsty</t>
  </si>
  <si>
    <t>Kyra</t>
  </si>
  <si>
    <t>Laura</t>
  </si>
  <si>
    <t>Lauren</t>
  </si>
  <si>
    <t>Lea</t>
  </si>
  <si>
    <t>Leanie</t>
  </si>
  <si>
    <t>Leanne</t>
  </si>
  <si>
    <t>Leonard</t>
  </si>
  <si>
    <t>Lewis</t>
  </si>
  <si>
    <t>Liam</t>
  </si>
  <si>
    <t>Liana</t>
  </si>
  <si>
    <t>Liane</t>
  </si>
  <si>
    <t>Lianne</t>
  </si>
  <si>
    <t>Linda</t>
  </si>
  <si>
    <t>Lindsey</t>
  </si>
  <si>
    <t>Lisa</t>
  </si>
  <si>
    <t>Liza</t>
  </si>
  <si>
    <t>Lorraine</t>
  </si>
  <si>
    <t>Louise</t>
  </si>
  <si>
    <t>Luke</t>
  </si>
  <si>
    <t>Lyn</t>
  </si>
  <si>
    <t>Lynn</t>
  </si>
  <si>
    <t>Lynsey</t>
  </si>
  <si>
    <t>Madeleine</t>
  </si>
  <si>
    <t>Margaret</t>
  </si>
  <si>
    <t>Maria</t>
  </si>
  <si>
    <t>Marianne</t>
  </si>
  <si>
    <t>Mark</t>
  </si>
  <si>
    <t>Martin</t>
  </si>
  <si>
    <t>Martyn</t>
  </si>
  <si>
    <t>Maryam</t>
  </si>
  <si>
    <t>Matthew</t>
  </si>
  <si>
    <t>Megan</t>
  </si>
  <si>
    <t>Melanie</t>
  </si>
  <si>
    <t>Melissa</t>
  </si>
  <si>
    <t>Mia</t>
  </si>
  <si>
    <t>Michael</t>
  </si>
  <si>
    <t>Michaela</t>
  </si>
  <si>
    <t>Ming</t>
  </si>
  <si>
    <t>Mitchel</t>
  </si>
  <si>
    <t>Moira</t>
  </si>
  <si>
    <t>Mollie</t>
  </si>
  <si>
    <t>Monica</t>
  </si>
  <si>
    <t>Myles</t>
  </si>
  <si>
    <t>Nadine</t>
  </si>
  <si>
    <t>Nadiye</t>
  </si>
  <si>
    <t>Naomi</t>
  </si>
  <si>
    <t>Natalie</t>
  </si>
  <si>
    <t>Natasha</t>
  </si>
  <si>
    <t>Natercia</t>
  </si>
  <si>
    <t>Neil</t>
  </si>
  <si>
    <t>Nia</t>
  </si>
  <si>
    <t>Nicholas</t>
  </si>
  <si>
    <t>Nicola</t>
  </si>
  <si>
    <t>Nikki</t>
  </si>
  <si>
    <t>Nitu</t>
  </si>
  <si>
    <t>Olivia</t>
  </si>
  <si>
    <t>Owen</t>
  </si>
  <si>
    <t>Paige</t>
  </si>
  <si>
    <t>Pamela</t>
  </si>
  <si>
    <t>Patricia</t>
  </si>
  <si>
    <t>Paul</t>
  </si>
  <si>
    <t>Paula</t>
  </si>
  <si>
    <t>Pauline</t>
  </si>
  <si>
    <t>Penelope</t>
  </si>
  <si>
    <t>Philippa</t>
  </si>
  <si>
    <t>Philippe</t>
  </si>
  <si>
    <t>Phillip</t>
  </si>
  <si>
    <t>Pierce</t>
  </si>
  <si>
    <t>Polly</t>
  </si>
  <si>
    <t>Rachael</t>
  </si>
  <si>
    <t>Rachel</t>
  </si>
  <si>
    <t>Raina</t>
  </si>
  <si>
    <t>Raymond</t>
  </si>
  <si>
    <t>Rebecca</t>
  </si>
  <si>
    <t>Rhian</t>
  </si>
  <si>
    <t>Rhiannon</t>
  </si>
  <si>
    <t>Richard</t>
  </si>
  <si>
    <t>Robert</t>
  </si>
  <si>
    <t>Rowena</t>
  </si>
  <si>
    <t>Ruth</t>
  </si>
  <si>
    <t>Sally</t>
  </si>
  <si>
    <t>Sallyann</t>
  </si>
  <si>
    <t>Sally-Ann</t>
  </si>
  <si>
    <t>Samantha</t>
  </si>
  <si>
    <t>Samudrika</t>
  </si>
  <si>
    <t>Samuel</t>
  </si>
  <si>
    <t>Sandra</t>
  </si>
  <si>
    <t>Sarah</t>
  </si>
  <si>
    <t>Sarah Jane</t>
  </si>
  <si>
    <t>Sara-Jayne</t>
  </si>
  <si>
    <t>Seydou</t>
  </si>
  <si>
    <t>Sharon</t>
  </si>
  <si>
    <t>Sheila</t>
  </si>
  <si>
    <t>Sian</t>
  </si>
  <si>
    <t>Simon</t>
  </si>
  <si>
    <t>Siobhan</t>
  </si>
  <si>
    <t>Sonia</t>
  </si>
  <si>
    <t>Sonja</t>
  </si>
  <si>
    <t>Sophie</t>
  </si>
  <si>
    <t>Stephanie</t>
  </si>
  <si>
    <t>Stephen</t>
  </si>
  <si>
    <t>Steven</t>
  </si>
  <si>
    <t>Susan</t>
  </si>
  <si>
    <t>Susanne</t>
  </si>
  <si>
    <t>Suzanne</t>
  </si>
  <si>
    <t>Tammy</t>
  </si>
  <si>
    <t>Tara</t>
  </si>
  <si>
    <t>Taylor</t>
  </si>
  <si>
    <t>Teresa</t>
  </si>
  <si>
    <t>Terri</t>
  </si>
  <si>
    <t>Theodora</t>
  </si>
  <si>
    <t>Thomas</t>
  </si>
  <si>
    <t>Timothy</t>
  </si>
  <si>
    <t>Tina</t>
  </si>
  <si>
    <t>Toby</t>
  </si>
  <si>
    <t>Toni</t>
  </si>
  <si>
    <t>Tracey</t>
  </si>
  <si>
    <t>Tracy</t>
  </si>
  <si>
    <t>Valerie</t>
  </si>
  <si>
    <t>Vanessa</t>
  </si>
  <si>
    <t>Vicki</t>
  </si>
  <si>
    <t>Vicky</t>
  </si>
  <si>
    <t>Victoria</t>
  </si>
  <si>
    <t>Vivienne</t>
  </si>
  <si>
    <t>Warinda</t>
  </si>
  <si>
    <t>William</t>
  </si>
  <si>
    <t>Zac</t>
  </si>
  <si>
    <t>Zach</t>
  </si>
  <si>
    <t>Zoe</t>
  </si>
  <si>
    <t>Zoeanne</t>
  </si>
  <si>
    <t>Hackett</t>
  </si>
  <si>
    <t>Cruise</t>
  </si>
  <si>
    <t>Somers</t>
  </si>
  <si>
    <t>Wilcox</t>
  </si>
  <si>
    <t>Bailey</t>
  </si>
  <si>
    <t>Bakewell</t>
  </si>
  <si>
    <t>Durber</t>
  </si>
  <si>
    <t>Carter</t>
  </si>
  <si>
    <t>McCulloch</t>
  </si>
  <si>
    <t>Heath</t>
  </si>
  <si>
    <t>Hill</t>
  </si>
  <si>
    <t>Solano</t>
  </si>
  <si>
    <t>James</t>
  </si>
  <si>
    <t>Webster</t>
  </si>
  <si>
    <t>Jones</t>
  </si>
  <si>
    <t>Sutch</t>
  </si>
  <si>
    <t>Wootton</t>
  </si>
  <si>
    <t>Granville</t>
  </si>
  <si>
    <t>McLaren</t>
  </si>
  <si>
    <t>Bennett</t>
  </si>
  <si>
    <t>Eastwood</t>
  </si>
  <si>
    <t>Katterloher</t>
  </si>
  <si>
    <t>Chatterley</t>
  </si>
  <si>
    <t>Flanders</t>
  </si>
  <si>
    <t>O'Neill</t>
  </si>
  <si>
    <t>Sanders</t>
  </si>
  <si>
    <t>Evans</t>
  </si>
  <si>
    <t>Perry</t>
  </si>
  <si>
    <t>Rayner</t>
  </si>
  <si>
    <t>Beecher</t>
  </si>
  <si>
    <t>Painter</t>
  </si>
  <si>
    <t>Platt</t>
  </si>
  <si>
    <t>Allen</t>
  </si>
  <si>
    <t>Howell</t>
  </si>
  <si>
    <t>Ansell</t>
  </si>
  <si>
    <t>Broady</t>
  </si>
  <si>
    <t>Harthern</t>
  </si>
  <si>
    <t>Nash</t>
  </si>
  <si>
    <t>Hughes</t>
  </si>
  <si>
    <t>Collins</t>
  </si>
  <si>
    <t>Preston</t>
  </si>
  <si>
    <t>Elson</t>
  </si>
  <si>
    <t>Shearer-Davies</t>
  </si>
  <si>
    <t>Shah</t>
  </si>
  <si>
    <t>Machin</t>
  </si>
  <si>
    <t>Freeman</t>
  </si>
  <si>
    <t>Pitt</t>
  </si>
  <si>
    <t>Sumner</t>
  </si>
  <si>
    <t>Elliot</t>
  </si>
  <si>
    <t>Pratt</t>
  </si>
  <si>
    <t>Brittain</t>
  </si>
  <si>
    <t>Goodwin</t>
  </si>
  <si>
    <t>Lockett</t>
  </si>
  <si>
    <t>Bonner</t>
  </si>
  <si>
    <t>Quarterman</t>
  </si>
  <si>
    <t>Roberts</t>
  </si>
  <si>
    <t>Logan</t>
  </si>
  <si>
    <t>Smith</t>
  </si>
  <si>
    <t>Cooper</t>
  </si>
  <si>
    <t>Vernon</t>
  </si>
  <si>
    <t>Robinson</t>
  </si>
  <si>
    <t>Morris</t>
  </si>
  <si>
    <t>Appleyard</t>
  </si>
  <si>
    <t>Biddulph</t>
  </si>
  <si>
    <t>Hewitson</t>
  </si>
  <si>
    <t>Richardson</t>
  </si>
  <si>
    <t>Whitehead</t>
  </si>
  <si>
    <t>Lally</t>
  </si>
  <si>
    <t>Cepeda Medianero</t>
  </si>
  <si>
    <t>Armitt</t>
  </si>
  <si>
    <t>Gibbs</t>
  </si>
  <si>
    <t>Hilditch</t>
  </si>
  <si>
    <t>Lean</t>
  </si>
  <si>
    <t>Neilson</t>
  </si>
  <si>
    <t>Kay</t>
  </si>
  <si>
    <t>Choi</t>
  </si>
  <si>
    <t>Fitton</t>
  </si>
  <si>
    <t>Marper</t>
  </si>
  <si>
    <t>Barrow</t>
  </si>
  <si>
    <t>Dennel</t>
  </si>
  <si>
    <t>Marsh</t>
  </si>
  <si>
    <t>Morrison</t>
  </si>
  <si>
    <t>Watts</t>
  </si>
  <si>
    <t>Barker</t>
  </si>
  <si>
    <t>Cooney</t>
  </si>
  <si>
    <t>Pollard</t>
  </si>
  <si>
    <t>Young</t>
  </si>
  <si>
    <t>Butler</t>
  </si>
  <si>
    <t>Casewell</t>
  </si>
  <si>
    <t>Clarke</t>
  </si>
  <si>
    <t>Ellis</t>
  </si>
  <si>
    <t>Holdcroft</t>
  </si>
  <si>
    <t>Perks</t>
  </si>
  <si>
    <t>Radcliffe</t>
  </si>
  <si>
    <t>Terry</t>
  </si>
  <si>
    <t>Thompson</t>
  </si>
  <si>
    <t>Kemp</t>
  </si>
  <si>
    <t>Lyons</t>
  </si>
  <si>
    <t>Mitchell</t>
  </si>
  <si>
    <t>Chimhandamba</t>
  </si>
  <si>
    <t>Seiler</t>
  </si>
  <si>
    <t>Gibson</t>
  </si>
  <si>
    <t>Rooney</t>
  </si>
  <si>
    <t>Whitehouse</t>
  </si>
  <si>
    <t>Nicklin</t>
  </si>
  <si>
    <t>Baskerville</t>
  </si>
  <si>
    <t>Brindley</t>
  </si>
  <si>
    <t>Brookes</t>
  </si>
  <si>
    <t>Oliynik</t>
  </si>
  <si>
    <t>Hodgkinson</t>
  </si>
  <si>
    <t>Olivant</t>
  </si>
  <si>
    <t>Slinn</t>
  </si>
  <si>
    <t>Hancock</t>
  </si>
  <si>
    <t>Richards</t>
  </si>
  <si>
    <t>Stonier</t>
  </si>
  <si>
    <t>Coxon</t>
  </si>
  <si>
    <t>Fowler</t>
  </si>
  <si>
    <t>Hankey</t>
  </si>
  <si>
    <t>Robson</t>
  </si>
  <si>
    <t>Swallow</t>
  </si>
  <si>
    <t>Bracegirdle</t>
  </si>
  <si>
    <t>Bayman</t>
  </si>
  <si>
    <t>Nyland</t>
  </si>
  <si>
    <t>Reynolds</t>
  </si>
  <si>
    <t>Sheppard</t>
  </si>
  <si>
    <t>Passmore</t>
  </si>
  <si>
    <t>Abbott</t>
  </si>
  <si>
    <t>Fenech</t>
  </si>
  <si>
    <t>Mason</t>
  </si>
  <si>
    <t>Tatham</t>
  </si>
  <si>
    <t>Emberson</t>
  </si>
  <si>
    <t>Hampson</t>
  </si>
  <si>
    <t>Brazier</t>
  </si>
  <si>
    <t>Riding</t>
  </si>
  <si>
    <t>Hampshire</t>
  </si>
  <si>
    <t>Holden</t>
  </si>
  <si>
    <t>Craven</t>
  </si>
  <si>
    <t>Claughton</t>
  </si>
  <si>
    <t>Shephard</t>
  </si>
  <si>
    <t>Dunning</t>
  </si>
  <si>
    <t>Flanagan</t>
  </si>
  <si>
    <t>Foster</t>
  </si>
  <si>
    <t>Grindley</t>
  </si>
  <si>
    <t>Horsfield</t>
  </si>
  <si>
    <t>Latham</t>
  </si>
  <si>
    <t>Loveland</t>
  </si>
  <si>
    <t>Parkes</t>
  </si>
  <si>
    <t>Shilton</t>
  </si>
  <si>
    <t>Small</t>
  </si>
  <si>
    <t>White</t>
  </si>
  <si>
    <t>Eagles</t>
  </si>
  <si>
    <t>Howse</t>
  </si>
  <si>
    <t>Wear</t>
  </si>
  <si>
    <t>Wetton</t>
  </si>
  <si>
    <t>Boughey</t>
  </si>
  <si>
    <t>Askew</t>
  </si>
  <si>
    <t>Ibbotson</t>
  </si>
  <si>
    <t>Walker</t>
  </si>
  <si>
    <t>Hammond</t>
  </si>
  <si>
    <t>Hargreaves</t>
  </si>
  <si>
    <t>Langsdale</t>
  </si>
  <si>
    <t>Parry</t>
  </si>
  <si>
    <t>Sheehan</t>
  </si>
  <si>
    <t>Wilson</t>
  </si>
  <si>
    <t>Walsh</t>
  </si>
  <si>
    <t>Billington</t>
  </si>
  <si>
    <t>Potts</t>
  </si>
  <si>
    <t>Shearer</t>
  </si>
  <si>
    <t>Ball</t>
  </si>
  <si>
    <t>Bethwaite</t>
  </si>
  <si>
    <t>Woby</t>
  </si>
  <si>
    <t>Instrell</t>
  </si>
  <si>
    <t>Burke</t>
  </si>
  <si>
    <t>Cleverley</t>
  </si>
  <si>
    <t>Rowe</t>
  </si>
  <si>
    <t>Horton</t>
  </si>
  <si>
    <t>Nicholson</t>
  </si>
  <si>
    <t>Robertson</t>
  </si>
  <si>
    <t>Clark</t>
  </si>
  <si>
    <t>Salt</t>
  </si>
  <si>
    <t>Dodd</t>
  </si>
  <si>
    <t>Astles</t>
  </si>
  <si>
    <t>Cundy</t>
  </si>
  <si>
    <t>Podmore</t>
  </si>
  <si>
    <t>Ford</t>
  </si>
  <si>
    <t>Powell</t>
  </si>
  <si>
    <t>Shanks</t>
  </si>
  <si>
    <t>Lambert</t>
  </si>
  <si>
    <t>Lamprell</t>
  </si>
  <si>
    <t>Lloyd</t>
  </si>
  <si>
    <t>Wheeler</t>
  </si>
  <si>
    <t>Whittaker</t>
  </si>
  <si>
    <t>Ramsay</t>
  </si>
  <si>
    <t>Bird</t>
  </si>
  <si>
    <t>Eden</t>
  </si>
  <si>
    <t>Nixon</t>
  </si>
  <si>
    <t>Tucker</t>
  </si>
  <si>
    <t>Arrowsmith</t>
  </si>
  <si>
    <t>Howard</t>
  </si>
  <si>
    <t>Greaves</t>
  </si>
  <si>
    <t>Holland</t>
  </si>
  <si>
    <t>Boffey</t>
  </si>
  <si>
    <t>Harry</t>
  </si>
  <si>
    <t>McEwan</t>
  </si>
  <si>
    <t>Benn</t>
  </si>
  <si>
    <t>Bourne</t>
  </si>
  <si>
    <t>Broad</t>
  </si>
  <si>
    <t>Getty</t>
  </si>
  <si>
    <t>Kennerley</t>
  </si>
  <si>
    <t>Mooney</t>
  </si>
  <si>
    <t>Sisca</t>
  </si>
  <si>
    <t>Spragg</t>
  </si>
  <si>
    <t>Wright</t>
  </si>
  <si>
    <t>Buckley</t>
  </si>
  <si>
    <t>Cornes</t>
  </si>
  <si>
    <t>Doran</t>
  </si>
  <si>
    <t>Sykes</t>
  </si>
  <si>
    <t>Baggaley</t>
  </si>
  <si>
    <t>Edwards</t>
  </si>
  <si>
    <t>Hunt</t>
  </si>
  <si>
    <t>Clowes</t>
  </si>
  <si>
    <t>Madeley</t>
  </si>
  <si>
    <t>Catterall</t>
  </si>
  <si>
    <t>Green</t>
  </si>
  <si>
    <t>Marler</t>
  </si>
  <si>
    <t>Quinn</t>
  </si>
  <si>
    <t>Riley</t>
  </si>
  <si>
    <t>Baker</t>
  </si>
  <si>
    <t>Burgess</t>
  </si>
  <si>
    <t>Lee</t>
  </si>
  <si>
    <t>Sargeant</t>
  </si>
  <si>
    <t>Collett</t>
  </si>
  <si>
    <t>Minshull</t>
  </si>
  <si>
    <t>Mottram</t>
  </si>
  <si>
    <t>Andersen</t>
  </si>
  <si>
    <t>Halsall</t>
  </si>
  <si>
    <t>Barwick</t>
  </si>
  <si>
    <t>Hillage</t>
  </si>
  <si>
    <t>Mathers</t>
  </si>
  <si>
    <t>Williams</t>
  </si>
  <si>
    <t>Wiggins</t>
  </si>
  <si>
    <t>Atkinson</t>
  </si>
  <si>
    <t>Balden</t>
  </si>
  <si>
    <t>Button</t>
  </si>
  <si>
    <t>Guy</t>
  </si>
  <si>
    <t>Ingram</t>
  </si>
  <si>
    <t>Kenny</t>
  </si>
  <si>
    <t>Morgan-Wynne</t>
  </si>
  <si>
    <t>Barber</t>
  </si>
  <si>
    <t>Malkin</t>
  </si>
  <si>
    <t>Thorne</t>
  </si>
  <si>
    <t>Campbell</t>
  </si>
  <si>
    <t>Meacock</t>
  </si>
  <si>
    <t>Sealey</t>
  </si>
  <si>
    <t>Woolliscroft</t>
  </si>
  <si>
    <t>Baddeley</t>
  </si>
  <si>
    <t>Cheetham</t>
  </si>
  <si>
    <t>Greenwood</t>
  </si>
  <si>
    <t>Hey</t>
  </si>
  <si>
    <t>Inskip</t>
  </si>
  <si>
    <t>Lindblad</t>
  </si>
  <si>
    <t>Tate</t>
  </si>
  <si>
    <t>Harris</t>
  </si>
  <si>
    <t>Maclellan</t>
  </si>
  <si>
    <t>Andrews</t>
  </si>
  <si>
    <t>Birchall</t>
  </si>
  <si>
    <t>D'Angelo</t>
  </si>
  <si>
    <t>Lancaster</t>
  </si>
  <si>
    <t>Brown</t>
  </si>
  <si>
    <t>Golding</t>
  </si>
  <si>
    <t>Lomas</t>
  </si>
  <si>
    <t>Stubbs</t>
  </si>
  <si>
    <t>Clough</t>
  </si>
  <si>
    <t>Hulson</t>
  </si>
  <si>
    <t>Moore</t>
  </si>
  <si>
    <t>Beeston</t>
  </si>
  <si>
    <t>Hickman</t>
  </si>
  <si>
    <t>Lister</t>
  </si>
  <si>
    <t>MacGregor</t>
  </si>
  <si>
    <t>Phillips</t>
  </si>
  <si>
    <t>Paine</t>
  </si>
  <si>
    <t>Carney-Cox</t>
  </si>
  <si>
    <t>Carrigg</t>
  </si>
  <si>
    <t>Jolley</t>
  </si>
  <si>
    <t>Linde</t>
  </si>
  <si>
    <t>Maddocks</t>
  </si>
  <si>
    <t>Nolan</t>
  </si>
  <si>
    <t>Parr</t>
  </si>
  <si>
    <t>Whitewalker</t>
  </si>
  <si>
    <t>Duenas</t>
  </si>
  <si>
    <t>O'Connor</t>
  </si>
  <si>
    <t>Herbert-Jackson</t>
  </si>
  <si>
    <t>Peters</t>
  </si>
  <si>
    <t>Welsh</t>
  </si>
  <si>
    <t>Simm</t>
  </si>
  <si>
    <t>Mulhern</t>
  </si>
  <si>
    <t>Becking</t>
  </si>
  <si>
    <t>Jardine</t>
  </si>
  <si>
    <t>Rendall</t>
  </si>
  <si>
    <t>Shepherd</t>
  </si>
  <si>
    <t>Durkin</t>
  </si>
  <si>
    <t>Cliff</t>
  </si>
  <si>
    <t>Donathy</t>
  </si>
  <si>
    <t>Lacy</t>
  </si>
  <si>
    <t>Thorley</t>
  </si>
  <si>
    <t>Ryde</t>
  </si>
  <si>
    <t>Donovan</t>
  </si>
  <si>
    <t>Ashton</t>
  </si>
  <si>
    <t>Doyle</t>
  </si>
  <si>
    <t>Keenan</t>
  </si>
  <si>
    <t>Monks</t>
  </si>
  <si>
    <t>Read</t>
  </si>
  <si>
    <t>Wilmore</t>
  </si>
  <si>
    <t>Blount</t>
  </si>
  <si>
    <t>Peacock</t>
  </si>
  <si>
    <t>Neaum</t>
  </si>
  <si>
    <t>Burndred</t>
  </si>
  <si>
    <t>Spafford</t>
  </si>
  <si>
    <t>Woods</t>
  </si>
  <si>
    <t>McKenzie</t>
  </si>
  <si>
    <t>Millar</t>
  </si>
  <si>
    <t>Dyde</t>
  </si>
  <si>
    <t>Bundy</t>
  </si>
  <si>
    <t>Price</t>
  </si>
  <si>
    <t>Blythe</t>
  </si>
  <si>
    <t>Leveridge</t>
  </si>
  <si>
    <t>Saido</t>
  </si>
  <si>
    <t>Hayhurst</t>
  </si>
  <si>
    <t>Hemmings</t>
  </si>
  <si>
    <t>Toft</t>
  </si>
  <si>
    <t>Lawton</t>
  </si>
  <si>
    <t>Lang</t>
  </si>
  <si>
    <t>Allen-Gurr</t>
  </si>
  <si>
    <t>Meyler</t>
  </si>
  <si>
    <t>Buckle</t>
  </si>
  <si>
    <t>Waring</t>
  </si>
  <si>
    <t>Huang</t>
  </si>
  <si>
    <t>Pattison</t>
  </si>
  <si>
    <t>Moller</t>
  </si>
  <si>
    <t>Addis</t>
  </si>
  <si>
    <t>McCluskey</t>
  </si>
  <si>
    <t>Hocknell</t>
  </si>
  <si>
    <t>Darley</t>
  </si>
  <si>
    <t>Caglar</t>
  </si>
  <si>
    <t>Forman</t>
  </si>
  <si>
    <t>Waters</t>
  </si>
  <si>
    <t>Daniels</t>
  </si>
  <si>
    <t>Newson</t>
  </si>
  <si>
    <t>Zatrakova</t>
  </si>
  <si>
    <t>Griffiths</t>
  </si>
  <si>
    <t>Dos Santos Marques</t>
  </si>
  <si>
    <t>Langton-Miller</t>
  </si>
  <si>
    <t>Cover</t>
  </si>
  <si>
    <t>Pridmore</t>
  </si>
  <si>
    <t>Trude</t>
  </si>
  <si>
    <t>Blackburn</t>
  </si>
  <si>
    <t>Brookfield</t>
  </si>
  <si>
    <t>Casey</t>
  </si>
  <si>
    <t>Stocks-Moore</t>
  </si>
  <si>
    <t>Marathe</t>
  </si>
  <si>
    <t>Fealey</t>
  </si>
  <si>
    <t>Barley</t>
  </si>
  <si>
    <t>Prawl</t>
  </si>
  <si>
    <t>Lockley</t>
  </si>
  <si>
    <t>Gray</t>
  </si>
  <si>
    <t>Haigh</t>
  </si>
  <si>
    <t>King</t>
  </si>
  <si>
    <t>Davis</t>
  </si>
  <si>
    <t>Clive</t>
  </si>
  <si>
    <t>Maginess</t>
  </si>
  <si>
    <t>Wilkinson</t>
  </si>
  <si>
    <t>Rowley</t>
  </si>
  <si>
    <t>Spencer</t>
  </si>
  <si>
    <t>Haydn-Lee</t>
  </si>
  <si>
    <t>Dembski</t>
  </si>
  <si>
    <t>Dutton</t>
  </si>
  <si>
    <t>Blenkiron</t>
  </si>
  <si>
    <t>Johnson</t>
  </si>
  <si>
    <t>Asher</t>
  </si>
  <si>
    <t>Millichap</t>
  </si>
  <si>
    <t>Payne</t>
  </si>
  <si>
    <t>Woollam</t>
  </si>
  <si>
    <t>Muggeridge</t>
  </si>
  <si>
    <t>Butcher</t>
  </si>
  <si>
    <t>Butterworth</t>
  </si>
  <si>
    <t>Clay</t>
  </si>
  <si>
    <t>Dawson</t>
  </si>
  <si>
    <t>Howlett</t>
  </si>
  <si>
    <t>Livesey</t>
  </si>
  <si>
    <t>Markham</t>
  </si>
  <si>
    <t>Tyrrell</t>
  </si>
  <si>
    <t>Bentley</t>
  </si>
  <si>
    <t>Middlebrook</t>
  </si>
  <si>
    <t>Pepper</t>
  </si>
  <si>
    <t>Steed</t>
  </si>
  <si>
    <t>Almond</t>
  </si>
  <si>
    <t>Hardy</t>
  </si>
  <si>
    <t>Parris</t>
  </si>
  <si>
    <t>Pearce</t>
  </si>
  <si>
    <t>Tweets</t>
  </si>
  <si>
    <t>Clayton</t>
  </si>
  <si>
    <t>Bugeja</t>
  </si>
  <si>
    <t>Lucas</t>
  </si>
  <si>
    <t>McKeown</t>
  </si>
  <si>
    <t>Spooner</t>
  </si>
  <si>
    <t>Davies</t>
  </si>
  <si>
    <t>Heaton</t>
  </si>
  <si>
    <t>Hornby</t>
  </si>
  <si>
    <t>Ryles</t>
  </si>
  <si>
    <t>Ward</t>
  </si>
  <si>
    <t>Whittingham</t>
  </si>
  <si>
    <t>Costa</t>
  </si>
  <si>
    <t>Priddis</t>
  </si>
  <si>
    <t>Yeomans</t>
  </si>
  <si>
    <t>Ailsby</t>
  </si>
  <si>
    <t>Carr</t>
  </si>
  <si>
    <t>Durose</t>
  </si>
  <si>
    <t>Fone</t>
  </si>
  <si>
    <t>Franks</t>
  </si>
  <si>
    <t>Meredith</t>
  </si>
  <si>
    <t>Peel</t>
  </si>
  <si>
    <t>Sears-Black</t>
  </si>
  <si>
    <t>Skingle</t>
  </si>
  <si>
    <t>Ayers</t>
  </si>
  <si>
    <t>Bamba</t>
  </si>
  <si>
    <t>Houghton</t>
  </si>
  <si>
    <t>Meadows</t>
  </si>
  <si>
    <t>Vickerman</t>
  </si>
  <si>
    <t>Moloney</t>
  </si>
  <si>
    <t>Willington</t>
  </si>
  <si>
    <t>Gresty</t>
  </si>
  <si>
    <t>McKnight</t>
  </si>
  <si>
    <t>Hollins-Wright</t>
  </si>
  <si>
    <t>Bronze</t>
  </si>
  <si>
    <t>Sproston</t>
  </si>
  <si>
    <t>Willett</t>
  </si>
  <si>
    <t>Willis</t>
  </si>
  <si>
    <t>Cunningham</t>
  </si>
  <si>
    <t>Davidson</t>
  </si>
  <si>
    <t>Fielding</t>
  </si>
  <si>
    <t>Fletcher</t>
  </si>
  <si>
    <t>Hinchcliffe</t>
  </si>
  <si>
    <t>Procter</t>
  </si>
  <si>
    <t>Shaw</t>
  </si>
  <si>
    <t>Wise</t>
  </si>
  <si>
    <t>Bloor</t>
  </si>
  <si>
    <t>Marshall</t>
  </si>
  <si>
    <t>McVicar</t>
  </si>
  <si>
    <t>Harbour</t>
  </si>
  <si>
    <t>Rubin</t>
  </si>
  <si>
    <t>Blackshaw</t>
  </si>
  <si>
    <t>Brownbill</t>
  </si>
  <si>
    <t>Ndagire</t>
  </si>
  <si>
    <t>Reissing</t>
  </si>
  <si>
    <t>Curry</t>
  </si>
  <si>
    <t>Cliffe</t>
  </si>
  <si>
    <t>Fawcett</t>
  </si>
  <si>
    <t>Cheshire</t>
  </si>
  <si>
    <t>Sanchez</t>
  </si>
  <si>
    <t>Visagie</t>
  </si>
  <si>
    <t>Hassall</t>
  </si>
  <si>
    <t>Disveld</t>
  </si>
  <si>
    <t>Cassidy</t>
  </si>
  <si>
    <t>Cutts</t>
  </si>
  <si>
    <t>Gale</t>
  </si>
  <si>
    <t>Pyle</t>
  </si>
  <si>
    <t>Sims</t>
  </si>
  <si>
    <t>Ralph</t>
  </si>
  <si>
    <t>Brookshaw</t>
  </si>
  <si>
    <t>Atkins</t>
  </si>
  <si>
    <t>Sketchley</t>
  </si>
  <si>
    <t>Stoneley</t>
  </si>
  <si>
    <t>Cushing</t>
  </si>
  <si>
    <t>Stoker</t>
  </si>
  <si>
    <t>Wynne</t>
  </si>
  <si>
    <t>Edmondson</t>
  </si>
  <si>
    <t>Monaghan</t>
  </si>
  <si>
    <t>Ryan</t>
  </si>
  <si>
    <t>Skelding</t>
  </si>
  <si>
    <t>Ruscoe</t>
  </si>
  <si>
    <t>Pullinger</t>
  </si>
  <si>
    <t>Keech</t>
  </si>
  <si>
    <t>Rogerson</t>
  </si>
  <si>
    <t>Martinez</t>
  </si>
  <si>
    <t>Sample</t>
  </si>
  <si>
    <t>ZZ_TBC_02</t>
  </si>
  <si>
    <t>ZZ_TBC_01</t>
  </si>
  <si>
    <t>Aedin</t>
  </si>
  <si>
    <t>Alan</t>
  </si>
  <si>
    <t>Alice</t>
  </si>
  <si>
    <t>Amanda</t>
  </si>
  <si>
    <t>Amelia</t>
  </si>
  <si>
    <t>Aneta</t>
  </si>
  <si>
    <t>Annelies</t>
  </si>
  <si>
    <t>Annette</t>
  </si>
  <si>
    <t>Ava</t>
  </si>
  <si>
    <t>Avarni</t>
  </si>
  <si>
    <t>Bernadette</t>
  </si>
  <si>
    <t>Bethan</t>
  </si>
  <si>
    <t>Bobbie</t>
  </si>
  <si>
    <t>Bradley</t>
  </si>
  <si>
    <t>Carla</t>
  </si>
  <si>
    <t>Charlie</t>
  </si>
  <si>
    <t>Clodagh</t>
  </si>
  <si>
    <t>Codie</t>
  </si>
  <si>
    <t>Cristina</t>
  </si>
  <si>
    <t>Elena</t>
  </si>
  <si>
    <t>Emmie</t>
  </si>
  <si>
    <t>Esme</t>
  </si>
  <si>
    <t>Eve</t>
  </si>
  <si>
    <t>Francois</t>
  </si>
  <si>
    <t>Geoffrey</t>
  </si>
  <si>
    <t>George</t>
  </si>
  <si>
    <t>Graham</t>
  </si>
  <si>
    <t>Gwendal</t>
  </si>
  <si>
    <t>Henry</t>
  </si>
  <si>
    <t>Hollie</t>
  </si>
  <si>
    <t>Iozsef-Laszlo</t>
  </si>
  <si>
    <t>Janet</t>
  </si>
  <si>
    <t>Jasmine</t>
  </si>
  <si>
    <t>Jordanne</t>
  </si>
  <si>
    <t>Joseph</t>
  </si>
  <si>
    <t>Josie</t>
  </si>
  <si>
    <t>Karl</t>
  </si>
  <si>
    <t>Lesley</t>
  </si>
  <si>
    <t>Levi</t>
  </si>
  <si>
    <t>Lillie</t>
  </si>
  <si>
    <t>Louisa</t>
  </si>
  <si>
    <t>Lucy</t>
  </si>
  <si>
    <t>Macie-Rose</t>
  </si>
  <si>
    <t>Malcolm</t>
  </si>
  <si>
    <t>Mariana</t>
  </si>
  <si>
    <t>Mariona</t>
  </si>
  <si>
    <t>Michelle</t>
  </si>
  <si>
    <t>Molly</t>
  </si>
  <si>
    <t>Nathan</t>
  </si>
  <si>
    <t>Neal</t>
  </si>
  <si>
    <t>Nethmini</t>
  </si>
  <si>
    <t>Nikhil</t>
  </si>
  <si>
    <t>Oliver</t>
  </si>
  <si>
    <t>Peter</t>
  </si>
  <si>
    <t>Philip</t>
  </si>
  <si>
    <t>Robin</t>
  </si>
  <si>
    <t>Roger</t>
  </si>
  <si>
    <t>Ruby</t>
  </si>
  <si>
    <t>Sadie</t>
  </si>
  <si>
    <t>Sara</t>
  </si>
  <si>
    <t>Shaun</t>
  </si>
  <si>
    <t>Shirley</t>
  </si>
  <si>
    <t>Stacey</t>
  </si>
  <si>
    <t>Stewart</t>
  </si>
  <si>
    <t>Sze</t>
  </si>
  <si>
    <t>Tanya</t>
  </si>
  <si>
    <t>Tony</t>
  </si>
  <si>
    <t>Travis</t>
  </si>
  <si>
    <t>Tricia</t>
  </si>
  <si>
    <t>Valentina</t>
  </si>
  <si>
    <t>Wayne</t>
  </si>
  <si>
    <t>Xinyi</t>
  </si>
  <si>
    <t>Zander</t>
  </si>
  <si>
    <t>Hunter</t>
  </si>
  <si>
    <t>Bartlett</t>
  </si>
  <si>
    <t>Killalee</t>
  </si>
  <si>
    <t>Reed</t>
  </si>
  <si>
    <t>Arnold</t>
  </si>
  <si>
    <t>Downing</t>
  </si>
  <si>
    <t>Bargery</t>
  </si>
  <si>
    <t>Brownsword</t>
  </si>
  <si>
    <t>Talbot</t>
  </si>
  <si>
    <t>Huxley</t>
  </si>
  <si>
    <t>Murton</t>
  </si>
  <si>
    <t>Jakobs</t>
  </si>
  <si>
    <t>Garrett</t>
  </si>
  <si>
    <t>Bassi</t>
  </si>
  <si>
    <t>McCallum</t>
  </si>
  <si>
    <t>Blackman</t>
  </si>
  <si>
    <t>Hollinshead</t>
  </si>
  <si>
    <t>Brizell</t>
  </si>
  <si>
    <t>Scott</t>
  </si>
  <si>
    <t>Hodnett</t>
  </si>
  <si>
    <t>Lambden</t>
  </si>
  <si>
    <t>Wyatt</t>
  </si>
  <si>
    <t>Frost</t>
  </si>
  <si>
    <t>Smallwood</t>
  </si>
  <si>
    <t>Yew</t>
  </si>
  <si>
    <t>Knight</t>
  </si>
  <si>
    <t>Shufflebotham</t>
  </si>
  <si>
    <t>Hulse</t>
  </si>
  <si>
    <t>Storer</t>
  </si>
  <si>
    <t>Fisher</t>
  </si>
  <si>
    <t>Douglas</t>
  </si>
  <si>
    <t>Iancu</t>
  </si>
  <si>
    <t>Woodcock</t>
  </si>
  <si>
    <t>Doherty</t>
  </si>
  <si>
    <t>Farmer</t>
  </si>
  <si>
    <t>Addy</t>
  </si>
  <si>
    <t>Austin</t>
  </si>
  <si>
    <t>Pemberton</t>
  </si>
  <si>
    <t>Gabbatiss</t>
  </si>
  <si>
    <t>Brayford</t>
  </si>
  <si>
    <t>Heaword</t>
  </si>
  <si>
    <t>Castelain-Mazingarbe</t>
  </si>
  <si>
    <t>Springhall</t>
  </si>
  <si>
    <t>Szczadylo</t>
  </si>
  <si>
    <t>Guichoux</t>
  </si>
  <si>
    <t>Dickinson</t>
  </si>
  <si>
    <t>Boatman</t>
  </si>
  <si>
    <t>Jeffs</t>
  </si>
  <si>
    <t>Ambrus</t>
  </si>
  <si>
    <t>Clarkson</t>
  </si>
  <si>
    <t>Condliffe</t>
  </si>
  <si>
    <t>Hawkins</t>
  </si>
  <si>
    <t>Erlam</t>
  </si>
  <si>
    <t>Hope</t>
  </si>
  <si>
    <t>Aspinall</t>
  </si>
  <si>
    <t>Harding</t>
  </si>
  <si>
    <t>Oakes</t>
  </si>
  <si>
    <t>Tuplin</t>
  </si>
  <si>
    <t>Edmonds</t>
  </si>
  <si>
    <t>Selby</t>
  </si>
  <si>
    <t>Teasdale</t>
  </si>
  <si>
    <t>Stockton</t>
  </si>
  <si>
    <t>Hoey</t>
  </si>
  <si>
    <t>Farrington</t>
  </si>
  <si>
    <t>Batty</t>
  </si>
  <si>
    <t>Southerton</t>
  </si>
  <si>
    <t>Highfield</t>
  </si>
  <si>
    <t>Simcock</t>
  </si>
  <si>
    <t>Elston</t>
  </si>
  <si>
    <t>Beniston</t>
  </si>
  <si>
    <t>Kirk-Bradshaw</t>
  </si>
  <si>
    <t>Frayling</t>
  </si>
  <si>
    <t>Rhodes-McKenzie</t>
  </si>
  <si>
    <t>Bebbington</t>
  </si>
  <si>
    <t>Murrell</t>
  </si>
  <si>
    <t>Murphy</t>
  </si>
  <si>
    <t>Woodbine</t>
  </si>
  <si>
    <t>Cracknell</t>
  </si>
  <si>
    <t>Jennings</t>
  </si>
  <si>
    <t>Ratcliffe</t>
  </si>
  <si>
    <t>Rhodes</t>
  </si>
  <si>
    <t>Kennedy-Chalk</t>
  </si>
  <si>
    <t>Sinclair</t>
  </si>
  <si>
    <t>Edge</t>
  </si>
  <si>
    <t>Morera-Ivern</t>
  </si>
  <si>
    <t>Snape</t>
  </si>
  <si>
    <t>Ollier</t>
  </si>
  <si>
    <t>Wood</t>
  </si>
  <si>
    <t>Elkin</t>
  </si>
  <si>
    <t>Watson</t>
  </si>
  <si>
    <t>Denipitiya</t>
  </si>
  <si>
    <t>Cleary</t>
  </si>
  <si>
    <t>Dixon</t>
  </si>
  <si>
    <t>Sides</t>
  </si>
  <si>
    <t>Adams</t>
  </si>
  <si>
    <t>Sweetman</t>
  </si>
  <si>
    <t>Coney</t>
  </si>
  <si>
    <t>Cotton-Jones</t>
  </si>
  <si>
    <t>Sinden</t>
  </si>
  <si>
    <t>Catchpole</t>
  </si>
  <si>
    <t>Mellor</t>
  </si>
  <si>
    <t>Swire</t>
  </si>
  <si>
    <t>Willmott</t>
  </si>
  <si>
    <t>Handley</t>
  </si>
  <si>
    <t>Astill</t>
  </si>
  <si>
    <t>Coppenhall</t>
  </si>
  <si>
    <t>Russell</t>
  </si>
  <si>
    <t>Ludlow</t>
  </si>
  <si>
    <t>Haynes</t>
  </si>
  <si>
    <t>Parker</t>
  </si>
  <si>
    <t>Vaughan</t>
  </si>
  <si>
    <t>Capewell</t>
  </si>
  <si>
    <t>Pickford</t>
  </si>
  <si>
    <t>Crosbie</t>
  </si>
  <si>
    <t>Hooper</t>
  </si>
  <si>
    <t>Leese</t>
  </si>
  <si>
    <t>Palin</t>
  </si>
  <si>
    <t>Cope</t>
  </si>
  <si>
    <t>Jackson</t>
  </si>
  <si>
    <t>Treasure</t>
  </si>
  <si>
    <t>Sung</t>
  </si>
  <si>
    <t>Allcroft</t>
  </si>
  <si>
    <t>Higinbotham</t>
  </si>
  <si>
    <t>West</t>
  </si>
  <si>
    <t>Leigh</t>
  </si>
  <si>
    <t>Cooke</t>
  </si>
  <si>
    <t>Kelleher</t>
  </si>
  <si>
    <t>Broster</t>
  </si>
  <si>
    <t>Denny</t>
  </si>
  <si>
    <t>Pickering</t>
  </si>
  <si>
    <t>Newton</t>
  </si>
  <si>
    <t>Rigden</t>
  </si>
  <si>
    <t>Smithson</t>
  </si>
  <si>
    <t>Yao</t>
  </si>
  <si>
    <t>AUD,PTP</t>
  </si>
  <si>
    <t>McCulloch-Robinson</t>
  </si>
  <si>
    <t>BLS,MLB</t>
  </si>
  <si>
    <t>Leadership scp L13-L18</t>
  </si>
  <si>
    <t>L13-L18</t>
  </si>
  <si>
    <t>L21-L25</t>
  </si>
  <si>
    <t>L34-L39</t>
  </si>
  <si>
    <t>Leadership scp L21-L25</t>
  </si>
  <si>
    <t>Leadership scp L34-L39</t>
  </si>
  <si>
    <t>APP</t>
  </si>
  <si>
    <t>Apprentice</t>
  </si>
  <si>
    <t>HOS</t>
  </si>
  <si>
    <t>Head of School</t>
  </si>
  <si>
    <t>Leadership Teacher</t>
  </si>
  <si>
    <t>AHT_MAIN</t>
  </si>
  <si>
    <t>Assistant Headteacher - Main Scale</t>
  </si>
  <si>
    <t>BLM</t>
  </si>
  <si>
    <t>Behaviour Learning Mentor</t>
  </si>
  <si>
    <t>INC_OFF</t>
  </si>
  <si>
    <t>Inclusion Officer</t>
  </si>
  <si>
    <t>LSA</t>
  </si>
  <si>
    <t>Learning Support Assistant</t>
  </si>
  <si>
    <t>SPO_CO</t>
  </si>
  <si>
    <t>Sports Coordinator</t>
  </si>
  <si>
    <t>ATT_MGR</t>
  </si>
  <si>
    <t>Attendance Manager</t>
  </si>
  <si>
    <t>COU</t>
  </si>
  <si>
    <t>Counsellor</t>
  </si>
  <si>
    <t>COV_MGR</t>
  </si>
  <si>
    <t>Cover Manager</t>
  </si>
  <si>
    <t>COV_SUP</t>
  </si>
  <si>
    <t>Cover Supervisor</t>
  </si>
  <si>
    <t>DDSL</t>
  </si>
  <si>
    <t>Deputy Designated Safeguarding Lead</t>
  </si>
  <si>
    <t>EXA_MGR</t>
  </si>
  <si>
    <t>Exams Manager</t>
  </si>
  <si>
    <t>HO_SS</t>
  </si>
  <si>
    <t>Head of Student Services</t>
  </si>
  <si>
    <t>INC_UNIT_MGR</t>
  </si>
  <si>
    <t>Inclusion Unit Manager</t>
  </si>
  <si>
    <t>KS_ADM</t>
  </si>
  <si>
    <t>Key Stage Administrator</t>
  </si>
  <si>
    <t>KS_LM</t>
  </si>
  <si>
    <t>Key Stage Learning Manager</t>
  </si>
  <si>
    <t>LAC_LD</t>
  </si>
  <si>
    <t>Lead for Looked After Children</t>
  </si>
  <si>
    <t>LEA_MEN</t>
  </si>
  <si>
    <t>Learning Mentor</t>
  </si>
  <si>
    <t>Modern Apprentice</t>
  </si>
  <si>
    <t>PAS_MGR</t>
  </si>
  <si>
    <t>Pastoral Manager</t>
  </si>
  <si>
    <t>ROOM_SUP</t>
  </si>
  <si>
    <t>Seclusion Room Supervisor</t>
  </si>
  <si>
    <t>SEN_OP_LD</t>
  </si>
  <si>
    <t>SEN Operational Lead</t>
  </si>
  <si>
    <t>SEC_SNR</t>
  </si>
  <si>
    <t>Senior Secretary</t>
  </si>
  <si>
    <t>YR_LDR</t>
  </si>
  <si>
    <t>Year Leader</t>
  </si>
  <si>
    <t>FLO</t>
  </si>
  <si>
    <t>Family Liaison Officer</t>
  </si>
  <si>
    <t>ADM_OFF</t>
  </si>
  <si>
    <t>Admin Officer</t>
  </si>
  <si>
    <t>ADM_TL</t>
  </si>
  <si>
    <t>Admin Team Leader</t>
  </si>
  <si>
    <t>Administrator</t>
  </si>
  <si>
    <t>ATT_OFF</t>
  </si>
  <si>
    <t>Attendance Officer</t>
  </si>
  <si>
    <t>BUR</t>
  </si>
  <si>
    <t>Bursar</t>
  </si>
  <si>
    <t>BM</t>
  </si>
  <si>
    <t>Business Manager</t>
  </si>
  <si>
    <t>CLER_AST</t>
  </si>
  <si>
    <t>Clerical Assistant</t>
  </si>
  <si>
    <t>CLER_OFF</t>
  </si>
  <si>
    <t>Clerical Officer</t>
  </si>
  <si>
    <t>CLER_GOV</t>
  </si>
  <si>
    <t>Clerk to Governors</t>
  </si>
  <si>
    <t>COV_OFF</t>
  </si>
  <si>
    <t>Cover Officer</t>
  </si>
  <si>
    <t>CUR_SUP_MGR</t>
  </si>
  <si>
    <t>Curriculum Support Manager</t>
  </si>
  <si>
    <t>DATA_MGR</t>
  </si>
  <si>
    <t>Data Manager</t>
  </si>
  <si>
    <t>MAR_CO</t>
  </si>
  <si>
    <t>Events &amp; Marketing Coordinator</t>
  </si>
  <si>
    <t>EXA_OFF</t>
  </si>
  <si>
    <t>Exams Officer</t>
  </si>
  <si>
    <t>FIN_OP_ADM</t>
  </si>
  <si>
    <t>Finance &amp; Operations Administrator</t>
  </si>
  <si>
    <t>FIN_LD</t>
  </si>
  <si>
    <t>Finance Lead</t>
  </si>
  <si>
    <t>FIN_OFF</t>
  </si>
  <si>
    <t>Finance Officer</t>
  </si>
  <si>
    <t>GOV_COM_PRO</t>
  </si>
  <si>
    <t>Governance Compliance &amp; Risk Professional</t>
  </si>
  <si>
    <t>HO_ADM</t>
  </si>
  <si>
    <t>Head of Administration</t>
  </si>
  <si>
    <t>HR_ADM</t>
  </si>
  <si>
    <t>HR Administrator</t>
  </si>
  <si>
    <t>HR_LD</t>
  </si>
  <si>
    <t>HR Lead</t>
  </si>
  <si>
    <t>SYS_DEV_MGR</t>
  </si>
  <si>
    <t>ICT Systems Development Manager</t>
  </si>
  <si>
    <t>OFF_AST</t>
  </si>
  <si>
    <t>Office Assistant</t>
  </si>
  <si>
    <t>OFF_MGR</t>
  </si>
  <si>
    <t>Office Manager</t>
  </si>
  <si>
    <t>OFF_SUP</t>
  </si>
  <si>
    <t>Office Supervisor</t>
  </si>
  <si>
    <t>PAY_OFF</t>
  </si>
  <si>
    <t>Payroll Officer</t>
  </si>
  <si>
    <t>REP_OFF</t>
  </si>
  <si>
    <t>Reprographics Officer</t>
  </si>
  <si>
    <t>SEC_SNR_TUT</t>
  </si>
  <si>
    <t>Secretary to Senior Tutors &amp; Year Heads</t>
  </si>
  <si>
    <t>FIN_OFF_SNR</t>
  </si>
  <si>
    <t>Senior Finance Officer</t>
  </si>
  <si>
    <t>SYS_ENG_SNR</t>
  </si>
  <si>
    <t>Senior Systems Engineer</t>
  </si>
  <si>
    <t>SIMS_OFF</t>
  </si>
  <si>
    <t>SIMS Info Systems Officer</t>
  </si>
  <si>
    <t>SOFT_DEV_TEC</t>
  </si>
  <si>
    <t>Software Development Technician</t>
  </si>
  <si>
    <t>LIB_AST</t>
  </si>
  <si>
    <t>Library Assistant</t>
  </si>
  <si>
    <t>LRC_OFF</t>
  </si>
  <si>
    <t>LRC Officer</t>
  </si>
  <si>
    <t>HLTA_NUR</t>
  </si>
  <si>
    <t>Nursery HLTA</t>
  </si>
  <si>
    <t>MDA_NUR</t>
  </si>
  <si>
    <t>Nursery Midday Assistant</t>
  </si>
  <si>
    <t>TA_NUR</t>
  </si>
  <si>
    <t>Nursery Teaching Assistant</t>
  </si>
  <si>
    <t>TEC_SNR</t>
  </si>
  <si>
    <t>Senior Technician</t>
  </si>
  <si>
    <t>SYS_ADM</t>
  </si>
  <si>
    <t>Systems Administrator</t>
  </si>
  <si>
    <t>Technician</t>
  </si>
  <si>
    <t>CT_AST</t>
  </si>
  <si>
    <t>EST_LD_DEP</t>
  </si>
  <si>
    <t>Deputy Estates Lead</t>
  </si>
  <si>
    <t>EST_LD</t>
  </si>
  <si>
    <t>Estates Lead</t>
  </si>
  <si>
    <t>PRE_MGR</t>
  </si>
  <si>
    <t>Premises Manager</t>
  </si>
  <si>
    <t>SITE_OFF</t>
  </si>
  <si>
    <t>Site Maintenance Officer</t>
  </si>
  <si>
    <t>SITE_SUP</t>
  </si>
  <si>
    <t>Site Maintenance Supervisor</t>
  </si>
  <si>
    <t>SITE_STF</t>
  </si>
  <si>
    <t>Site Staff</t>
  </si>
  <si>
    <t>CLE_SUP</t>
  </si>
  <si>
    <t>Cleaning Supervisor</t>
  </si>
  <si>
    <t>MDA</t>
  </si>
  <si>
    <t>Midday Assistant</t>
  </si>
  <si>
    <t>Midday Supervisor</t>
  </si>
  <si>
    <t>HIVE_ADM_AST</t>
  </si>
  <si>
    <t>HIVE Administration Assistant</t>
  </si>
  <si>
    <t>OOSC_DEP</t>
  </si>
  <si>
    <t>Out of School Club Deputy</t>
  </si>
  <si>
    <t>OOSC_MGR</t>
  </si>
  <si>
    <t>Out of School Club Manager</t>
  </si>
  <si>
    <t>OOSC_PW</t>
  </si>
  <si>
    <t>Out of School Club Playworker</t>
  </si>
  <si>
    <t>OOSC_SUP</t>
  </si>
  <si>
    <t>Out of School Club Supervisor</t>
  </si>
  <si>
    <t>PLAY_AST</t>
  </si>
  <si>
    <t>Play Group Assistant</t>
  </si>
  <si>
    <t>PW</t>
  </si>
  <si>
    <t>Playworker</t>
  </si>
  <si>
    <t>TLR_OTH</t>
  </si>
  <si>
    <t>TLR (other value)</t>
  </si>
  <si>
    <t>AUD,BLS,MLB,PTP</t>
  </si>
  <si>
    <t>ALS,WVP,HIG,SBL</t>
  </si>
  <si>
    <t>WVP,HIG,AUD,BLS,MLB,PTP,SBL</t>
  </si>
  <si>
    <t>WVP,HIG,SBL</t>
  </si>
  <si>
    <t>ALS,BLS</t>
  </si>
  <si>
    <t>MLB,PTP,SBL</t>
  </si>
  <si>
    <t>ALS,AUD,PTP</t>
  </si>
  <si>
    <t>ALS,WVP,MLB,MAT</t>
  </si>
  <si>
    <t>HIG,AUD,BLS,PTP,SBL</t>
  </si>
  <si>
    <t>DFC/ REVENUE expenditure</t>
  </si>
  <si>
    <t>WVP,HIG,MLB</t>
  </si>
  <si>
    <t>ALS,WVP,HIG,AUD,BLS,PTP,SBL</t>
  </si>
  <si>
    <t>ALS,WVP,AUD</t>
  </si>
  <si>
    <t>ALS,WVP,HIG,AUD,PTP</t>
  </si>
  <si>
    <t>WVP,HIG</t>
  </si>
  <si>
    <t>ALS,WVP,HIG</t>
  </si>
  <si>
    <t>AUD,MLB,PTP</t>
  </si>
  <si>
    <t>ALS,WVP,HIG,BLS,SBL</t>
  </si>
  <si>
    <t>ALS,WVP,HIG,AUD,BLS,MLB,PTP,SBL</t>
  </si>
  <si>
    <t>PE</t>
  </si>
  <si>
    <t>Maths</t>
  </si>
  <si>
    <t>SENCO</t>
  </si>
  <si>
    <t>Biology</t>
  </si>
  <si>
    <t>91850028A</t>
  </si>
  <si>
    <t>91850028B</t>
  </si>
  <si>
    <t>91073642A</t>
  </si>
  <si>
    <t>91073451A</t>
  </si>
  <si>
    <t>91073484A</t>
  </si>
  <si>
    <t>91073703A</t>
  </si>
  <si>
    <t>91073468A</t>
  </si>
  <si>
    <t>91073414A</t>
  </si>
  <si>
    <t>91073694A</t>
  </si>
  <si>
    <t>91073883A</t>
  </si>
  <si>
    <t>91073771A</t>
  </si>
  <si>
    <t>91073696A</t>
  </si>
  <si>
    <t>91073737A</t>
  </si>
  <si>
    <t>91073402A</t>
  </si>
  <si>
    <t>91073907A</t>
  </si>
  <si>
    <t>91073650B</t>
  </si>
  <si>
    <t>91073707A</t>
  </si>
  <si>
    <t>91075775A</t>
  </si>
  <si>
    <t>91073506A</t>
  </si>
  <si>
    <t>91073697A</t>
  </si>
  <si>
    <t>91073643A</t>
  </si>
  <si>
    <t>91075743A</t>
  </si>
  <si>
    <t>91850037A</t>
  </si>
  <si>
    <t>91073452A</t>
  </si>
  <si>
    <t>91073890A</t>
  </si>
  <si>
    <t>91073399A</t>
  </si>
  <si>
    <t>91073472A</t>
  </si>
  <si>
    <t>91073466A</t>
  </si>
  <si>
    <t>91073503A</t>
  </si>
  <si>
    <t>91073478A</t>
  </si>
  <si>
    <t>91073486A</t>
  </si>
  <si>
    <t>91073525A</t>
  </si>
  <si>
    <t>91073540A</t>
  </si>
  <si>
    <t>91073565A</t>
  </si>
  <si>
    <t>91073454A</t>
  </si>
  <si>
    <t>91073490A</t>
  </si>
  <si>
    <t>91073536A</t>
  </si>
  <si>
    <t>91073465A</t>
  </si>
  <si>
    <t>91073457A</t>
  </si>
  <si>
    <t>91073897A</t>
  </si>
  <si>
    <t>91073612A</t>
  </si>
  <si>
    <t>91323687A</t>
  </si>
  <si>
    <t>91073844A</t>
  </si>
  <si>
    <t>91073729A</t>
  </si>
  <si>
    <t>91073702A</t>
  </si>
  <si>
    <t>91073684A</t>
  </si>
  <si>
    <t>91073810A</t>
  </si>
  <si>
    <t>91073741A</t>
  </si>
  <si>
    <t>91073743A</t>
  </si>
  <si>
    <t>91073717A</t>
  </si>
  <si>
    <t>91073811A</t>
  </si>
  <si>
    <t>91073713A</t>
  </si>
  <si>
    <t>91073575A</t>
  </si>
  <si>
    <t>91073524A</t>
  </si>
  <si>
    <t>91073572A</t>
  </si>
  <si>
    <t>91073450A</t>
  </si>
  <si>
    <t>91073530A</t>
  </si>
  <si>
    <t>91073784A</t>
  </si>
  <si>
    <t>91073548A</t>
  </si>
  <si>
    <t>91073449A</t>
  </si>
  <si>
    <t>91073559A</t>
  </si>
  <si>
    <t>91073772A</t>
  </si>
  <si>
    <t>91073488A</t>
  </si>
  <si>
    <t>91073436A</t>
  </si>
  <si>
    <t>91073817A</t>
  </si>
  <si>
    <t>91073848A</t>
  </si>
  <si>
    <t>91073740A</t>
  </si>
  <si>
    <t>91073555A</t>
  </si>
  <si>
    <t>91073551A</t>
  </si>
  <si>
    <t>91073584A</t>
  </si>
  <si>
    <t>91073441A</t>
  </si>
  <si>
    <t>91073546A</t>
  </si>
  <si>
    <t>91075753A</t>
  </si>
  <si>
    <t>91073573A</t>
  </si>
  <si>
    <t>91073580A</t>
  </si>
  <si>
    <t>91073688A</t>
  </si>
  <si>
    <t>91073689A</t>
  </si>
  <si>
    <t>91073700A</t>
  </si>
  <si>
    <t>91073687A</t>
  </si>
  <si>
    <t>91073726A</t>
  </si>
  <si>
    <t>91073748A</t>
  </si>
  <si>
    <t>91073664A</t>
  </si>
  <si>
    <t>91073739A</t>
  </si>
  <si>
    <t>91073720A</t>
  </si>
  <si>
    <t>91073692A</t>
  </si>
  <si>
    <t>91073443A</t>
  </si>
  <si>
    <t>91324081A</t>
  </si>
  <si>
    <t>91073759A</t>
  </si>
  <si>
    <t>91073474A</t>
  </si>
  <si>
    <t>91073666A</t>
  </si>
  <si>
    <t>91073751A</t>
  </si>
  <si>
    <t>91073693A</t>
  </si>
  <si>
    <t>91073763A</t>
  </si>
  <si>
    <t>91073672A</t>
  </si>
  <si>
    <t>91073686A</t>
  </si>
  <si>
    <t>91073758A</t>
  </si>
  <si>
    <t>91324609A</t>
  </si>
  <si>
    <t>91073773A</t>
  </si>
  <si>
    <t>91073683A</t>
  </si>
  <si>
    <t>91073535A</t>
  </si>
  <si>
    <t>91073570A</t>
  </si>
  <si>
    <t>91073501A</t>
  </si>
  <si>
    <t>91073464A</t>
  </si>
  <si>
    <t>91073481A</t>
  </si>
  <si>
    <t>91073581A</t>
  </si>
  <si>
    <t>91073459A</t>
  </si>
  <si>
    <t>91073444A</t>
  </si>
  <si>
    <t>91073467A</t>
  </si>
  <si>
    <t>91073507A</t>
  </si>
  <si>
    <t>91073571A</t>
  </si>
  <si>
    <t>91073487A</t>
  </si>
  <si>
    <t>91323704A</t>
  </si>
  <si>
    <t>91073553A</t>
  </si>
  <si>
    <t>91073517A</t>
  </si>
  <si>
    <t>91073480A</t>
  </si>
  <si>
    <t>91073477A</t>
  </si>
  <si>
    <t>91073950A</t>
  </si>
  <si>
    <t>91850042A</t>
  </si>
  <si>
    <t>91850031A</t>
  </si>
  <si>
    <t>91850032A</t>
  </si>
  <si>
    <t>91073867A</t>
  </si>
  <si>
    <t>91850024A</t>
  </si>
  <si>
    <t>91073577A</t>
  </si>
  <si>
    <t>91073825A</t>
  </si>
  <si>
    <t>91073547A</t>
  </si>
  <si>
    <t>91073562A</t>
  </si>
  <si>
    <t>91073851A</t>
  </si>
  <si>
    <t>91329637A</t>
  </si>
  <si>
    <t>91073609A</t>
  </si>
  <si>
    <t>91073760A</t>
  </si>
  <si>
    <t>91075762A</t>
  </si>
  <si>
    <t>91073406A</t>
  </si>
  <si>
    <t>91073842A</t>
  </si>
  <si>
    <t>91323689A</t>
  </si>
  <si>
    <t>91073785A</t>
  </si>
  <si>
    <t>91073647A</t>
  </si>
  <si>
    <t>91073682A</t>
  </si>
  <si>
    <t>91073673A</t>
  </si>
  <si>
    <t>91073847A</t>
  </si>
  <si>
    <t>91850025A</t>
  </si>
  <si>
    <t>91850017A</t>
  </si>
  <si>
    <t>91073807A</t>
  </si>
  <si>
    <t>91073608A</t>
  </si>
  <si>
    <t>91075777A</t>
  </si>
  <si>
    <t>91073828A</t>
  </si>
  <si>
    <t>91073931A</t>
  </si>
  <si>
    <t>91075751A</t>
  </si>
  <si>
    <t>91850019A</t>
  </si>
  <si>
    <t>91324760A</t>
  </si>
  <si>
    <t>91850035A</t>
  </si>
  <si>
    <t>91073485A</t>
  </si>
  <si>
    <t>91073653A</t>
  </si>
  <si>
    <t>91073783A</t>
  </si>
  <si>
    <t>91073614A</t>
  </si>
  <si>
    <t>91073438A</t>
  </si>
  <si>
    <t>91073542A</t>
  </si>
  <si>
    <t>91073519A</t>
  </si>
  <si>
    <t>91323684A</t>
  </si>
  <si>
    <t>91073849A</t>
  </si>
  <si>
    <t>91073756A</t>
  </si>
  <si>
    <t>91073816A</t>
  </si>
  <si>
    <t>91073838A</t>
  </si>
  <si>
    <t>91073791A</t>
  </si>
  <si>
    <t>91850039A</t>
  </si>
  <si>
    <t>91323705A</t>
  </si>
  <si>
    <t>91850022A</t>
  </si>
  <si>
    <t>91073698A</t>
  </si>
  <si>
    <t>91073841A</t>
  </si>
  <si>
    <t>91073520A</t>
  </si>
  <si>
    <t>91073412A</t>
  </si>
  <si>
    <t>91073753A</t>
  </si>
  <si>
    <t>91073885A</t>
  </si>
  <si>
    <t>91073442A</t>
  </si>
  <si>
    <t>91073775A</t>
  </si>
  <si>
    <t>91073437A</t>
  </si>
  <si>
    <t>91073774A</t>
  </si>
  <si>
    <t>91073716A</t>
  </si>
  <si>
    <t>91073408A</t>
  </si>
  <si>
    <t>91073407A</t>
  </si>
  <si>
    <t>91073731A</t>
  </si>
  <si>
    <t>91073654A</t>
  </si>
  <si>
    <t>91073610A</t>
  </si>
  <si>
    <t>91073646A</t>
  </si>
  <si>
    <t>91073582A</t>
  </si>
  <si>
    <t>91073899A</t>
  </si>
  <si>
    <t>91073440A</t>
  </si>
  <si>
    <t>91073755A</t>
  </si>
  <si>
    <t>91073767A</t>
  </si>
  <si>
    <t>91073882A</t>
  </si>
  <si>
    <t>91073603A</t>
  </si>
  <si>
    <t>91073839A</t>
  </si>
  <si>
    <t>91850040A</t>
  </si>
  <si>
    <t>91073812A</t>
  </si>
  <si>
    <t>91073898A</t>
  </si>
  <si>
    <t>91073733A</t>
  </si>
  <si>
    <t>91073730A</t>
  </si>
  <si>
    <t>91073815A</t>
  </si>
  <si>
    <t>91073761A</t>
  </si>
  <si>
    <t>91073738A</t>
  </si>
  <si>
    <t>91073935A</t>
  </si>
  <si>
    <t>91075774A</t>
  </si>
  <si>
    <t>91073843A</t>
  </si>
  <si>
    <t>91073769A</t>
  </si>
  <si>
    <t>91073808A</t>
  </si>
  <si>
    <t>91073401A</t>
  </si>
  <si>
    <t>91073482A</t>
  </si>
  <si>
    <t>91075770A</t>
  </si>
  <si>
    <t>91073850A</t>
  </si>
  <si>
    <t>91073800A</t>
  </si>
  <si>
    <t>91073728A</t>
  </si>
  <si>
    <t>91073725A</t>
  </si>
  <si>
    <t>91850030B</t>
  </si>
  <si>
    <t>91073852A</t>
  </si>
  <si>
    <t>91073846A</t>
  </si>
  <si>
    <t>91075769A</t>
  </si>
  <si>
    <t>91324672A</t>
  </si>
  <si>
    <t>91073420A</t>
  </si>
  <si>
    <t>91324753A</t>
  </si>
  <si>
    <t>91073660B</t>
  </si>
  <si>
    <t>91073638A</t>
  </si>
  <si>
    <t>91850055A</t>
  </si>
  <si>
    <t>91073718A</t>
  </si>
  <si>
    <t>91073523A</t>
  </si>
  <si>
    <t>91073840A</t>
  </si>
  <si>
    <t>91073649A</t>
  </si>
  <si>
    <t>91073818A</t>
  </si>
  <si>
    <t>91073757A</t>
  </si>
  <si>
    <t>91073878A</t>
  </si>
  <si>
    <t>91075750B</t>
  </si>
  <si>
    <t>91075776A</t>
  </si>
  <si>
    <t>91073428B</t>
  </si>
  <si>
    <t>91073665A</t>
  </si>
  <si>
    <t>91073411A</t>
  </si>
  <si>
    <t>91073690A</t>
  </si>
  <si>
    <t>91073714A</t>
  </si>
  <si>
    <t>91073845A</t>
  </si>
  <si>
    <t>91850036A</t>
  </si>
  <si>
    <t>91075780B</t>
  </si>
  <si>
    <t>91073662A</t>
  </si>
  <si>
    <t>91073863A</t>
  </si>
  <si>
    <t>91073699A</t>
  </si>
  <si>
    <t>91073674A</t>
  </si>
  <si>
    <t>91073494A</t>
  </si>
  <si>
    <t>91850018A</t>
  </si>
  <si>
    <t>91850013A</t>
  </si>
  <si>
    <t>91073814A</t>
  </si>
  <si>
    <t>91073619A</t>
  </si>
  <si>
    <t>91324617A</t>
  </si>
  <si>
    <t>91073563A</t>
  </si>
  <si>
    <t>91073770A</t>
  </si>
  <si>
    <t>91850021A</t>
  </si>
  <si>
    <t>91850034A</t>
  </si>
  <si>
    <t>91073456A</t>
  </si>
  <si>
    <t>91328133A</t>
  </si>
  <si>
    <t>91850052A</t>
  </si>
  <si>
    <t>91075766A</t>
  </si>
  <si>
    <t>91073476A</t>
  </si>
  <si>
    <t>91073924A</t>
  </si>
  <si>
    <t>91073793A</t>
  </si>
  <si>
    <t>91073578A</t>
  </si>
  <si>
    <t>91073880A</t>
  </si>
  <si>
    <t>91073651A</t>
  </si>
  <si>
    <t>91073651B</t>
  </si>
  <si>
    <t>91073900A</t>
  </si>
  <si>
    <t>91073941A</t>
  </si>
  <si>
    <t>91073939A</t>
  </si>
  <si>
    <t>91073939B</t>
  </si>
  <si>
    <t>91073659A</t>
  </si>
  <si>
    <t>91073910A</t>
  </si>
  <si>
    <t>91073491A</t>
  </si>
  <si>
    <t>91073704A</t>
  </si>
  <si>
    <t>91330551B</t>
  </si>
  <si>
    <t>91073533A</t>
  </si>
  <si>
    <t>91073455A</t>
  </si>
  <si>
    <t>91850071A</t>
  </si>
  <si>
    <t>91073832A</t>
  </si>
  <si>
    <t>91073434A</t>
  </si>
  <si>
    <t>91073479A</t>
  </si>
  <si>
    <t>91073903A</t>
  </si>
  <si>
    <t>91073744A</t>
  </si>
  <si>
    <t>91073910B</t>
  </si>
  <si>
    <t>91850072A</t>
  </si>
  <si>
    <t>91850047A</t>
  </si>
  <si>
    <t>91073904B</t>
  </si>
  <si>
    <t>91073908A</t>
  </si>
  <si>
    <t>91073830B</t>
  </si>
  <si>
    <t>91073521B</t>
  </si>
  <si>
    <t>91329558A</t>
  </si>
  <si>
    <t>91850014A</t>
  </si>
  <si>
    <t>91073579A</t>
  </si>
  <si>
    <t>91850008A</t>
  </si>
  <si>
    <t>91324723A</t>
  </si>
  <si>
    <t>91073537A</t>
  </si>
  <si>
    <t>91073409A</t>
  </si>
  <si>
    <t>91075763A</t>
  </si>
  <si>
    <t>91073564A</t>
  </si>
  <si>
    <t>91073911A</t>
  </si>
  <si>
    <t>91073500A</t>
  </si>
  <si>
    <t>91850026A</t>
  </si>
  <si>
    <t>91073862B</t>
  </si>
  <si>
    <t>91073913A</t>
  </si>
  <si>
    <t>91073912B</t>
  </si>
  <si>
    <t>91073541A</t>
  </si>
  <si>
    <t>91850046A</t>
  </si>
  <si>
    <t>91850004A</t>
  </si>
  <si>
    <t>91328100A</t>
  </si>
  <si>
    <t>91073765A</t>
  </si>
  <si>
    <t>91073788A</t>
  </si>
  <si>
    <t>91073502A</t>
  </si>
  <si>
    <t>91073505A</t>
  </si>
  <si>
    <t>91850027A</t>
  </si>
  <si>
    <t>91073831A</t>
  </si>
  <si>
    <t>91073515A</t>
  </si>
  <si>
    <t>91073628A</t>
  </si>
  <si>
    <t>91073736B</t>
  </si>
  <si>
    <t>91073894A</t>
  </si>
  <si>
    <t>91323887A</t>
  </si>
  <si>
    <t>91850049A</t>
  </si>
  <si>
    <t>91073607A</t>
  </si>
  <si>
    <t>91073531A</t>
  </si>
  <si>
    <t>91850006B</t>
  </si>
  <si>
    <t>91073416B</t>
  </si>
  <si>
    <t>91073499A</t>
  </si>
  <si>
    <t>91850002A</t>
  </si>
  <si>
    <t>91850051A</t>
  </si>
  <si>
    <t>91850012A</t>
  </si>
  <si>
    <t>91073497A</t>
  </si>
  <si>
    <t>91073544A</t>
  </si>
  <si>
    <t>91073432A</t>
  </si>
  <si>
    <t>91073504A</t>
  </si>
  <si>
    <t>91073618A</t>
  </si>
  <si>
    <t>91324774A</t>
  </si>
  <si>
    <t>91073794A</t>
  </si>
  <si>
    <t>91850015A</t>
  </si>
  <si>
    <t>91073591A</t>
  </si>
  <si>
    <t>91073869A</t>
  </si>
  <si>
    <t>91073723A</t>
  </si>
  <si>
    <t>91073837A</t>
  </si>
  <si>
    <t>91073469A</t>
  </si>
  <si>
    <t>91073522A</t>
  </si>
  <si>
    <t>91073854A</t>
  </si>
  <si>
    <t>91330410B</t>
  </si>
  <si>
    <t>91073745C</t>
  </si>
  <si>
    <t>91073861A</t>
  </si>
  <si>
    <t>91328392A</t>
  </si>
  <si>
    <t>91850038A</t>
  </si>
  <si>
    <t>91073801A</t>
  </si>
  <si>
    <t>91073671C</t>
  </si>
  <si>
    <t>91073670A</t>
  </si>
  <si>
    <t>91073705A</t>
  </si>
  <si>
    <t>91073587A</t>
  </si>
  <si>
    <t>91073586A</t>
  </si>
  <si>
    <t>91073592A</t>
  </si>
  <si>
    <t>91073554A</t>
  </si>
  <si>
    <t>91073677A</t>
  </si>
  <si>
    <t>91073732A</t>
  </si>
  <si>
    <t>91073722A</t>
  </si>
  <si>
    <t>91850054A</t>
  </si>
  <si>
    <t>91073446A</t>
  </si>
  <si>
    <t>91073856A</t>
  </si>
  <si>
    <t>91073516A</t>
  </si>
  <si>
    <t>91850067A</t>
  </si>
  <si>
    <t>91324769A</t>
  </si>
  <si>
    <t>91073448A</t>
  </si>
  <si>
    <t>91073909A</t>
  </si>
  <si>
    <t>91075778A</t>
  </si>
  <si>
    <t>91073429A</t>
  </si>
  <si>
    <t>91073403A</t>
  </si>
  <si>
    <t>91330327A</t>
  </si>
  <si>
    <t>91073888A</t>
  </si>
  <si>
    <t>91073656A</t>
  </si>
  <si>
    <t>91328872A</t>
  </si>
  <si>
    <t>91073585A</t>
  </si>
  <si>
    <t>91073891A</t>
  </si>
  <si>
    <t>91073404A</t>
  </si>
  <si>
    <t>91073645A</t>
  </si>
  <si>
    <t>91075746A</t>
  </si>
  <si>
    <t>91073424A</t>
  </si>
  <si>
    <t>91073483A</t>
  </si>
  <si>
    <t>91073569A</t>
  </si>
  <si>
    <t>91075767B</t>
  </si>
  <si>
    <t>91075768B</t>
  </si>
  <si>
    <t>91075748B</t>
  </si>
  <si>
    <t>91073433A</t>
  </si>
  <si>
    <t>91073948B</t>
  </si>
  <si>
    <t>91073877A</t>
  </si>
  <si>
    <t>91073413A</t>
  </si>
  <si>
    <t>91075756B</t>
  </si>
  <si>
    <t>91073889A</t>
  </si>
  <si>
    <t>91075752A</t>
  </si>
  <si>
    <t>91075754C</t>
  </si>
  <si>
    <t>91073927B</t>
  </si>
  <si>
    <t>91073884B</t>
  </si>
  <si>
    <t>91075773A</t>
  </si>
  <si>
    <t>91073895A</t>
  </si>
  <si>
    <t>91075761A</t>
  </si>
  <si>
    <t>91073434B</t>
  </si>
  <si>
    <t>91075772B</t>
  </si>
  <si>
    <t>91073936B</t>
  </si>
  <si>
    <t>91073936A</t>
  </si>
  <si>
    <t>91075757A</t>
  </si>
  <si>
    <t>91075755B</t>
  </si>
  <si>
    <t>91073886B</t>
  </si>
  <si>
    <t>91075772C</t>
  </si>
  <si>
    <t>91075764B</t>
  </si>
  <si>
    <t>91073404B</t>
  </si>
  <si>
    <t>91073398C</t>
  </si>
  <si>
    <t>91075779A</t>
  </si>
  <si>
    <t>91073940A</t>
  </si>
  <si>
    <t>91073929B</t>
  </si>
  <si>
    <t>91073415C</t>
  </si>
  <si>
    <t>91073404F</t>
  </si>
  <si>
    <t>91073418A</t>
  </si>
  <si>
    <t>91850000A</t>
  </si>
  <si>
    <t>91323554A</t>
  </si>
  <si>
    <t>91073543A</t>
  </si>
  <si>
    <t>91073906A</t>
  </si>
  <si>
    <t>91073905A</t>
  </si>
  <si>
    <t>91073917A</t>
  </si>
  <si>
    <t>91850053A</t>
  </si>
  <si>
    <t>91324204A</t>
  </si>
  <si>
    <t>91073634A</t>
  </si>
  <si>
    <t>91073915A</t>
  </si>
  <si>
    <t>91850050A</t>
  </si>
  <si>
    <t>91073588A</t>
  </si>
  <si>
    <t>91073509A</t>
  </si>
  <si>
    <t>91073676A</t>
  </si>
  <si>
    <t>91073695A</t>
  </si>
  <si>
    <t>91075742A</t>
  </si>
  <si>
    <t>91073875A</t>
  </si>
  <si>
    <t>91073410B</t>
  </si>
  <si>
    <t>91073400B</t>
  </si>
  <si>
    <t>91075754B</t>
  </si>
  <si>
    <t>91073648B</t>
  </si>
  <si>
    <t>91073922A</t>
  </si>
  <si>
    <t>91075752B</t>
  </si>
  <si>
    <t>91073806A</t>
  </si>
  <si>
    <t>91073782B</t>
  </si>
  <si>
    <t>91073902B</t>
  </si>
  <si>
    <t>91850045A</t>
  </si>
  <si>
    <t>91323714A</t>
  </si>
  <si>
    <t>91073876A</t>
  </si>
  <si>
    <t>91073764A</t>
  </si>
  <si>
    <t>91073418C</t>
  </si>
  <si>
    <t>91073652A</t>
  </si>
  <si>
    <t>91073942A</t>
  </si>
  <si>
    <t>91073874A</t>
  </si>
  <si>
    <t>91073859A</t>
  </si>
  <si>
    <t>91850010A</t>
  </si>
  <si>
    <t>91328014A</t>
  </si>
  <si>
    <t>91075772A</t>
  </si>
  <si>
    <t>91850064A</t>
  </si>
  <si>
    <t>91073893A</t>
  </si>
  <si>
    <t>91850007A</t>
  </si>
  <si>
    <t>91850063A</t>
  </si>
  <si>
    <t>91073410A</t>
  </si>
  <si>
    <t>91073594A</t>
  </si>
  <si>
    <t>91073936C</t>
  </si>
  <si>
    <t>91328087A</t>
  </si>
  <si>
    <t>91073415A</t>
  </si>
  <si>
    <t>91073423A</t>
  </si>
  <si>
    <t>91073532A</t>
  </si>
  <si>
    <t>91073901B</t>
  </si>
  <si>
    <t>91073462A</t>
  </si>
  <si>
    <t>91073712A</t>
  </si>
  <si>
    <t>91073404E</t>
  </si>
  <si>
    <t>91073661A</t>
  </si>
  <si>
    <t>91073858A</t>
  </si>
  <si>
    <t>91075744A</t>
  </si>
  <si>
    <t>91073425A</t>
  </si>
  <si>
    <t>91073427A</t>
  </si>
  <si>
    <t>91073826A</t>
  </si>
  <si>
    <t>91073923A</t>
  </si>
  <si>
    <t>91075767A</t>
  </si>
  <si>
    <t>91075768A</t>
  </si>
  <si>
    <t>91075748A</t>
  </si>
  <si>
    <t>91073398A</t>
  </si>
  <si>
    <t>91324404A</t>
  </si>
  <si>
    <t>91073945A</t>
  </si>
  <si>
    <t>91328406A</t>
  </si>
  <si>
    <t>91075745B</t>
  </si>
  <si>
    <t>91075745C</t>
  </si>
  <si>
    <t>91073724A</t>
  </si>
  <si>
    <t>91073496A</t>
  </si>
  <si>
    <t>91073948A</t>
  </si>
  <si>
    <t>91850029A</t>
  </si>
  <si>
    <t>91073400A</t>
  </si>
  <si>
    <t>91073567A</t>
  </si>
  <si>
    <t>91075754A</t>
  </si>
  <si>
    <t>91850041A</t>
  </si>
  <si>
    <t>91073560A</t>
  </si>
  <si>
    <t>91073928A</t>
  </si>
  <si>
    <t>91850065A</t>
  </si>
  <si>
    <t>91850065B</t>
  </si>
  <si>
    <t>91073860A</t>
  </si>
  <si>
    <t>91850070A</t>
  </si>
  <si>
    <t>91073881A</t>
  </si>
  <si>
    <t>91073539A</t>
  </si>
  <si>
    <t>91073943A</t>
  </si>
  <si>
    <t>91325006A</t>
  </si>
  <si>
    <t>91850005A</t>
  </si>
  <si>
    <t>91073431A</t>
  </si>
  <si>
    <t>91073902A</t>
  </si>
  <si>
    <t>91073458A</t>
  </si>
  <si>
    <t>91073489A</t>
  </si>
  <si>
    <t>91075756A</t>
  </si>
  <si>
    <t>91323681A</t>
  </si>
  <si>
    <t>91073463A</t>
  </si>
  <si>
    <t>91073589A</t>
  </si>
  <si>
    <t>91073632A</t>
  </si>
  <si>
    <t>91073655A</t>
  </si>
  <si>
    <t>91073648A</t>
  </si>
  <si>
    <t>91073512A</t>
  </si>
  <si>
    <t>91073925A</t>
  </si>
  <si>
    <t>91073926A</t>
  </si>
  <si>
    <t>91073658A</t>
  </si>
  <si>
    <t>91073663A</t>
  </si>
  <si>
    <t>91073435A</t>
  </si>
  <si>
    <t>91075755C</t>
  </si>
  <si>
    <t>91073927A</t>
  </si>
  <si>
    <t>91073929A</t>
  </si>
  <si>
    <t>91073619C</t>
  </si>
  <si>
    <t>91850043A</t>
  </si>
  <si>
    <t>91850056A</t>
  </si>
  <si>
    <t>91073681A</t>
  </si>
  <si>
    <t>91073460A</t>
  </si>
  <si>
    <t>91073715A</t>
  </si>
  <si>
    <t>91073527A</t>
  </si>
  <si>
    <t>91073680A</t>
  </si>
  <si>
    <t>91073471A</t>
  </si>
  <si>
    <t>91073779A</t>
  </si>
  <si>
    <t>91073679A</t>
  </si>
  <si>
    <t>91850044A</t>
  </si>
  <si>
    <t>91073569B</t>
  </si>
  <si>
    <t>91073447A</t>
  </si>
  <si>
    <t>91327758A</t>
  </si>
  <si>
    <t>91073780A</t>
  </si>
  <si>
    <t>91073766A</t>
  </si>
  <si>
    <t>91073622A</t>
  </si>
  <si>
    <t>91073754A</t>
  </si>
  <si>
    <t>91073821A</t>
  </si>
  <si>
    <t>91073627A</t>
  </si>
  <si>
    <t>91329169A</t>
  </si>
  <si>
    <t>91073545A</t>
  </si>
  <si>
    <t>91073590A</t>
  </si>
  <si>
    <t>91073685A</t>
  </si>
  <si>
    <t>TLR1</t>
  </si>
  <si>
    <t>TLR2</t>
  </si>
  <si>
    <t>Holly Salt</t>
  </si>
  <si>
    <t>Lauren Whitewalker</t>
  </si>
  <si>
    <t>Jennifer Bourne</t>
  </si>
  <si>
    <t>Philippa Dembski</t>
  </si>
  <si>
    <t xml:space="preserve">Mollie Addis </t>
  </si>
  <si>
    <t>Laura Parr</t>
  </si>
  <si>
    <t xml:space="preserve">Natalie Zatrakova </t>
  </si>
  <si>
    <t>Kirsty MacGregor</t>
  </si>
  <si>
    <t>Ella Robinson</t>
  </si>
  <si>
    <t xml:space="preserve">Danielle Brindley </t>
  </si>
  <si>
    <t>Support increment on Anniversary Date</t>
  </si>
  <si>
    <t>NA</t>
  </si>
  <si>
    <t>Except for MLB</t>
  </si>
  <si>
    <t>Alex C - 13/01/2026</t>
  </si>
  <si>
    <t>TEA_SS</t>
  </si>
  <si>
    <t>Staff Costs - Teaching Supply Staff-Wages and salaries</t>
  </si>
  <si>
    <t>WK_FTE_TEA_SS</t>
  </si>
  <si>
    <t>A_FTE_TEA_SS</t>
  </si>
  <si>
    <t>WK_FTE_LEAVE_ADJ_TEA_SS</t>
  </si>
  <si>
    <t>A_FTE_LEAVE_ADJ_TEA_SS</t>
  </si>
  <si>
    <t>Supply Teaching Annual FTE Leave Adjustment</t>
  </si>
  <si>
    <t>Supply Teaching Annual FTE</t>
  </si>
  <si>
    <t>Supply Teaching Weekly FTE Leave Adjustment</t>
  </si>
  <si>
    <t>Supply Teaching Weekly FTE</t>
  </si>
  <si>
    <t>TEA_SUP</t>
  </si>
  <si>
    <t>Supply Teacher</t>
  </si>
  <si>
    <t>NURSERYMAT</t>
  </si>
  <si>
    <t>SESSMAT</t>
  </si>
  <si>
    <t>SFINMAT</t>
  </si>
  <si>
    <t>SMIDMAT</t>
  </si>
  <si>
    <t>SPREMMAT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</si>
</sst>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dd/mm"/>
    <numFmt numFmtId="166" formatCode="0.000"/>
  </numFmts>
  <fonts count="23" x14ac:knownFonts="1">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sz val="11"/>
      <color theme="0"/>
      <name val="Calibri"/>
      <family val="2"/>
      <scheme val="minor"/>
    </font>
    <font>
      <u/>
      <sz val="11"/>
      <color theme="10"/>
      <name val="Calibri"/>
      <family val="2"/>
      <scheme val="minor"/>
    </font>
    <font>
      <sz val="11"/>
      <color rgb="FFFFFFFF"/>
      <name val="Calibri"/>
      <family val="2"/>
      <scheme val="minor"/>
    </font>
    <font>
      <sz val="11"/>
      <color theme="5"/>
      <name val="Calibri"/>
      <family val="2"/>
      <scheme val="minor"/>
    </font>
    <font>
      <sz val="11"/>
      <color theme="9" tint="-0.499984740745262"/>
      <name val="Calibri"/>
      <family val="2"/>
      <scheme val="minor"/>
    </font>
    <font>
      <sz val="10"/>
      <name val="Arial"/>
      <family val="2"/>
    </font>
    <font>
      <sz val="11"/>
      <color rgb="FF1F497D"/>
      <name val="Calibri"/>
      <family val="2"/>
    </font>
    <font>
      <u/>
      <sz val="11"/>
      <color theme="0"/>
      <name val="Calibri"/>
      <family val="2"/>
      <scheme val="minor"/>
    </font>
    <font>
      <b/>
      <u/>
      <sz val="12"/>
      <color theme="0"/>
      <name val="Calibri"/>
      <family val="2"/>
      <scheme val="minor"/>
    </font>
    <font>
      <b/>
      <sz val="11"/>
      <color theme="0"/>
      <name val="Calibri"/>
      <family val="2"/>
      <scheme val="minor"/>
    </font>
    <font>
      <b/>
      <sz val="11"/>
      <name val="Calibri"/>
      <family val="2"/>
      <scheme val="minor"/>
    </font>
    <font>
      <b/>
      <sz val="11"/>
      <color rgb="FFFF0000"/>
      <name val="Calibri"/>
      <family val="2"/>
      <scheme val="minor"/>
    </font>
    <font>
      <b/>
      <sz val="18"/>
      <color theme="0"/>
      <name val="Calibri"/>
      <family val="2"/>
      <scheme val="minor"/>
    </font>
    <font>
      <b/>
      <sz val="22"/>
      <color theme="1"/>
      <name val="Calibri"/>
      <family val="2"/>
      <scheme val="minor"/>
    </font>
    <font>
      <sz val="9"/>
      <color indexed="81"/>
      <name val="Tahoma"/>
      <family val="2"/>
    </font>
    <font>
      <b/>
      <sz val="9"/>
      <color indexed="81"/>
      <name val="Tahoma"/>
      <family val="2"/>
    </font>
    <font>
      <sz val="11"/>
      <color theme="0" tint="-0.34998626667073579"/>
      <name val="Calibri"/>
      <family val="2"/>
      <scheme val="minor"/>
    </font>
    <font>
      <sz val="8"/>
      <color theme="0"/>
      <name val="Calibri"/>
      <family val="2"/>
      <scheme val="minor"/>
    </font>
  </fonts>
  <fills count="23">
    <fill>
      <patternFill patternType="none"/>
    </fill>
    <fill>
      <patternFill patternType="gray125"/>
    </fill>
    <fill>
      <patternFill patternType="solid">
        <fgColor rgb="FFAC8DBF"/>
        <bgColor indexed="64"/>
      </patternFill>
    </fill>
    <fill>
      <patternFill patternType="solid">
        <fgColor rgb="FFAC6689"/>
        <bgColor indexed="64"/>
      </patternFill>
    </fill>
    <fill>
      <patternFill patternType="solid">
        <fgColor theme="0" tint="-0.249977111117893"/>
        <bgColor rgb="FFFFFFFF"/>
      </patternFill>
    </fill>
    <fill>
      <patternFill patternType="solid">
        <fgColor theme="6"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1"/>
        <bgColor indexed="64"/>
      </patternFill>
    </fill>
    <fill>
      <patternFill patternType="solid">
        <fgColor rgb="FFA093DB"/>
        <bgColor indexed="64"/>
      </patternFill>
    </fill>
    <fill>
      <patternFill patternType="solid">
        <fgColor rgb="FF6A0F8E"/>
        <bgColor indexed="64"/>
      </patternFill>
    </fill>
    <fill>
      <patternFill patternType="solid">
        <fgColor rgb="FFE5E5E5"/>
        <bgColor indexed="64"/>
      </patternFill>
    </fill>
    <fill>
      <patternFill patternType="solid">
        <fgColor rgb="FF261342"/>
        <bgColor indexed="64"/>
      </patternFill>
    </fill>
    <fill>
      <patternFill patternType="solid">
        <fgColor rgb="FFE5E5E5"/>
        <bgColor theme="4"/>
      </patternFill>
    </fill>
    <fill>
      <patternFill patternType="solid">
        <fgColor rgb="FFE5E5E5"/>
        <bgColor rgb="FFFFFFFF"/>
      </patternFill>
    </fill>
    <fill>
      <patternFill patternType="solid">
        <fgColor theme="0" tint="-0.14999847407452621"/>
        <bgColor indexed="64"/>
      </patternFill>
    </fill>
    <fill>
      <patternFill patternType="solid">
        <fgColor theme="2"/>
        <bgColor indexed="64"/>
      </patternFill>
    </fill>
    <fill>
      <patternFill patternType="solid">
        <fgColor theme="0" tint="-4.9989318521683403E-2"/>
        <bgColor indexed="64"/>
      </patternFill>
    </fill>
    <fill>
      <patternFill patternType="solid">
        <fgColor rgb="FF7030A0"/>
        <bgColor indexed="64"/>
      </patternFill>
    </fill>
    <fill>
      <patternFill patternType="solid">
        <fgColor theme="6" tint="0.39997558519241921"/>
        <bgColor indexed="64"/>
      </patternFill>
    </fill>
    <fill>
      <patternFill patternType="solid">
        <fgColor rgb="FFE5E5E5"/>
        <bgColor rgb="FF000000"/>
      </patternFill>
    </fill>
  </fills>
  <borders count="16">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hair">
        <color theme="0" tint="-0.34998626667073579"/>
      </top>
      <bottom style="hair">
        <color theme="0" tint="-0.34998626667073579"/>
      </bottom>
      <diagonal/>
    </border>
    <border>
      <left/>
      <right/>
      <top style="hair">
        <color theme="0" tint="-0.499984740745262"/>
      </top>
      <bottom/>
      <diagonal/>
    </border>
    <border>
      <left style="thin">
        <color theme="4" tint="0.39997558519241921"/>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bottom/>
      <diagonal/>
    </border>
    <border>
      <left/>
      <right/>
      <top style="hair">
        <color theme="0" tint="-0.499984740745262"/>
      </top>
      <bottom style="hair">
        <color theme="0" tint="-0.499984740745262"/>
      </bottom>
      <diagonal/>
    </border>
    <border>
      <left/>
      <right style="thin">
        <color indexed="64"/>
      </right>
      <top/>
      <bottom/>
      <diagonal/>
    </border>
  </borders>
  <cellStyleXfs count="3">
    <xf numFmtId="0" fontId="0" fillId="0" borderId="0"/>
    <xf numFmtId="0" fontId="6" fillId="0" borderId="0" applyNumberFormat="0" applyFill="0" applyBorder="0" applyAlignment="0" applyProtection="0"/>
    <xf numFmtId="0" fontId="10" fillId="0" borderId="0"/>
  </cellStyleXfs>
  <cellXfs count="172">
    <xf numFmtId="0" fontId="0" fillId="0" borderId="0" xfId="0"/>
    <xf numFmtId="0" fontId="3" fillId="0" borderId="0" xfId="0" applyFont="1"/>
    <xf numFmtId="0" fontId="0" fillId="2" borderId="0" xfId="0" applyFill="1"/>
    <xf numFmtId="0" fontId="7" fillId="3" borderId="0" xfId="0" applyFont="1" applyFill="1"/>
    <xf numFmtId="0" fontId="1" fillId="0" borderId="0" xfId="0" applyFont="1"/>
    <xf numFmtId="49" fontId="0" fillId="0" borderId="0" xfId="0" applyNumberFormat="1"/>
    <xf numFmtId="0" fontId="8" fillId="0" borderId="0" xfId="0" applyFont="1"/>
    <xf numFmtId="0" fontId="9" fillId="0" borderId="0" xfId="0" applyFont="1"/>
    <xf numFmtId="49" fontId="7" fillId="3" borderId="0" xfId="0" applyNumberFormat="1" applyFont="1" applyFill="1"/>
    <xf numFmtId="0" fontId="0" fillId="2" borderId="0" xfId="0" applyFill="1" applyAlignment="1">
      <alignment horizontal="left"/>
    </xf>
    <xf numFmtId="0" fontId="4" fillId="0" borderId="0" xfId="0" applyFont="1"/>
    <xf numFmtId="0" fontId="0" fillId="0" borderId="0" xfId="0" applyAlignment="1">
      <alignment horizontal="right"/>
    </xf>
    <xf numFmtId="0" fontId="0" fillId="0" borderId="0" xfId="0" applyAlignment="1">
      <alignment horizontal="left"/>
    </xf>
    <xf numFmtId="14" fontId="0" fillId="0" borderId="0" xfId="0" applyNumberFormat="1" applyAlignment="1">
      <alignment horizontal="left"/>
    </xf>
    <xf numFmtId="2" fontId="0" fillId="0" borderId="0" xfId="0" applyNumberFormat="1" applyAlignment="1">
      <alignment horizontal="left"/>
    </xf>
    <xf numFmtId="49" fontId="0" fillId="0" borderId="0" xfId="0" applyNumberFormat="1" applyAlignment="1">
      <alignment horizontal="left"/>
    </xf>
    <xf numFmtId="1" fontId="0" fillId="0" borderId="0" xfId="0" applyNumberFormat="1" applyAlignment="1">
      <alignment horizontal="left"/>
    </xf>
    <xf numFmtId="0" fontId="7" fillId="4" borderId="0" xfId="0" applyFont="1" applyFill="1"/>
    <xf numFmtId="0" fontId="0" fillId="5" borderId="0" xfId="0" applyFill="1"/>
    <xf numFmtId="0" fontId="0" fillId="6" borderId="0" xfId="0" applyFill="1"/>
    <xf numFmtId="164" fontId="0" fillId="0" borderId="0" xfId="0" applyNumberFormat="1" applyAlignment="1">
      <alignment horizontal="left"/>
    </xf>
    <xf numFmtId="164" fontId="0" fillId="0" borderId="0" xfId="0" applyNumberFormat="1"/>
    <xf numFmtId="0" fontId="0" fillId="7" borderId="0" xfId="0" applyFill="1"/>
    <xf numFmtId="0" fontId="0" fillId="0" borderId="0" xfId="0" applyAlignment="1">
      <alignment vertical="center"/>
    </xf>
    <xf numFmtId="0" fontId="0" fillId="0" borderId="0" xfId="0" applyAlignment="1">
      <alignment horizontal="left" vertical="center" wrapText="1"/>
    </xf>
    <xf numFmtId="0" fontId="5" fillId="0" borderId="0" xfId="0" applyFont="1" applyAlignment="1">
      <alignment horizontal="left" vertical="center" wrapText="1"/>
    </xf>
    <xf numFmtId="0" fontId="0" fillId="6" borderId="0" xfId="0" applyFill="1" applyAlignment="1">
      <alignment horizontal="left"/>
    </xf>
    <xf numFmtId="0" fontId="0" fillId="9" borderId="0" xfId="0" applyFill="1"/>
    <xf numFmtId="0" fontId="0" fillId="0" borderId="0" xfId="0" applyAlignment="1">
      <alignment vertical="center" wrapText="1"/>
    </xf>
    <xf numFmtId="0" fontId="16" fillId="0" borderId="0" xfId="0" applyFont="1" applyAlignment="1">
      <alignment vertical="center"/>
    </xf>
    <xf numFmtId="0" fontId="14" fillId="0" borderId="2" xfId="0" applyFont="1" applyBorder="1"/>
    <xf numFmtId="0" fontId="0" fillId="0" borderId="1" xfId="0" applyBorder="1" applyAlignment="1">
      <alignment vertical="top"/>
    </xf>
    <xf numFmtId="0" fontId="0" fillId="0" borderId="1" xfId="0" applyBorder="1"/>
    <xf numFmtId="0" fontId="0" fillId="0" borderId="3" xfId="0" applyBorder="1"/>
    <xf numFmtId="0" fontId="6" fillId="0" borderId="3" xfId="1" applyFill="1" applyBorder="1"/>
    <xf numFmtId="0" fontId="0" fillId="13" borderId="0" xfId="0" applyFill="1"/>
    <xf numFmtId="0" fontId="13" fillId="0" borderId="0" xfId="0" applyFont="1"/>
    <xf numFmtId="0" fontId="13" fillId="12" borderId="0" xfId="0" applyFont="1" applyFill="1" applyAlignment="1">
      <alignment vertical="center" wrapText="1"/>
    </xf>
    <xf numFmtId="0" fontId="13" fillId="12" borderId="0" xfId="0" applyFont="1" applyFill="1" applyAlignment="1">
      <alignment vertical="center"/>
    </xf>
    <xf numFmtId="2" fontId="13" fillId="12" borderId="0" xfId="0" applyNumberFormat="1" applyFont="1" applyFill="1" applyAlignment="1">
      <alignment vertical="center"/>
    </xf>
    <xf numFmtId="0" fontId="0" fillId="11" borderId="6" xfId="0" applyFill="1" applyBorder="1" applyAlignment="1">
      <alignment vertical="center"/>
    </xf>
    <xf numFmtId="0" fontId="0" fillId="11" borderId="6" xfId="0" applyFill="1" applyBorder="1" applyAlignment="1">
      <alignment vertical="center" wrapText="1"/>
    </xf>
    <xf numFmtId="14" fontId="0" fillId="11" borderId="6" xfId="0" applyNumberFormat="1" applyFill="1" applyBorder="1" applyAlignment="1">
      <alignment vertical="center"/>
    </xf>
    <xf numFmtId="0" fontId="4" fillId="13" borderId="0" xfId="0" applyFont="1" applyFill="1"/>
    <xf numFmtId="0" fontId="15" fillId="15" borderId="0" xfId="0" applyFont="1" applyFill="1"/>
    <xf numFmtId="0" fontId="15" fillId="13" borderId="1" xfId="0" applyFont="1" applyFill="1" applyBorder="1"/>
    <xf numFmtId="0" fontId="15" fillId="13" borderId="0" xfId="0" applyFont="1" applyFill="1"/>
    <xf numFmtId="0" fontId="15" fillId="13" borderId="4" xfId="0" applyFont="1" applyFill="1" applyBorder="1"/>
    <xf numFmtId="0" fontId="4" fillId="13" borderId="1" xfId="0" applyFont="1" applyFill="1" applyBorder="1"/>
    <xf numFmtId="2" fontId="5" fillId="0" borderId="0" xfId="0" applyNumberFormat="1" applyFont="1" applyAlignment="1">
      <alignment horizontal="left" vertical="center" wrapText="1"/>
    </xf>
    <xf numFmtId="49" fontId="5" fillId="0" borderId="0" xfId="0" applyNumberFormat="1" applyFont="1" applyAlignment="1">
      <alignment horizontal="left" vertical="center" wrapText="1"/>
    </xf>
    <xf numFmtId="165" fontId="0" fillId="0" borderId="0" xfId="0" applyNumberFormat="1" applyAlignment="1">
      <alignment horizontal="left"/>
    </xf>
    <xf numFmtId="0" fontId="0" fillId="13" borderId="0" xfId="0" applyFill="1" applyAlignment="1">
      <alignment horizontal="left"/>
    </xf>
    <xf numFmtId="2" fontId="4" fillId="13" borderId="0" xfId="0" applyNumberFormat="1" applyFont="1" applyFill="1" applyAlignment="1">
      <alignment horizontal="left" vertical="center" wrapText="1"/>
    </xf>
    <xf numFmtId="0" fontId="4" fillId="16" borderId="0" xfId="0" applyFont="1" applyFill="1" applyAlignment="1">
      <alignment horizontal="left" vertical="center" wrapText="1"/>
    </xf>
    <xf numFmtId="164" fontId="4" fillId="13" borderId="0" xfId="0" applyNumberFormat="1" applyFont="1" applyFill="1" applyAlignment="1">
      <alignment horizontal="left" vertical="center" wrapText="1"/>
    </xf>
    <xf numFmtId="164" fontId="4" fillId="13" borderId="0" xfId="0" applyNumberFormat="1" applyFont="1" applyFill="1" applyAlignment="1">
      <alignment vertical="center" wrapText="1"/>
    </xf>
    <xf numFmtId="0" fontId="4" fillId="13" borderId="0" xfId="0" applyFont="1" applyFill="1" applyAlignment="1">
      <alignment horizontal="left"/>
    </xf>
    <xf numFmtId="164" fontId="5" fillId="0" borderId="0" xfId="0" applyNumberFormat="1" applyFont="1" applyAlignment="1">
      <alignment horizontal="left" vertical="center" wrapText="1"/>
    </xf>
    <xf numFmtId="0" fontId="4" fillId="13" borderId="0" xfId="0" applyFont="1" applyFill="1" applyAlignment="1">
      <alignment horizontal="left" vertical="center" wrapText="1"/>
    </xf>
    <xf numFmtId="0" fontId="7" fillId="0" borderId="0" xfId="0" applyFont="1" applyAlignment="1">
      <alignment horizontal="left" vertical="center" wrapText="1"/>
    </xf>
    <xf numFmtId="164" fontId="5" fillId="0" borderId="0" xfId="0" applyNumberFormat="1" applyFont="1" applyAlignment="1">
      <alignment vertical="center" wrapText="1"/>
    </xf>
    <xf numFmtId="164" fontId="7" fillId="0" borderId="0" xfId="0" applyNumberFormat="1" applyFont="1" applyAlignment="1">
      <alignment horizontal="left" vertical="center" wrapText="1"/>
    </xf>
    <xf numFmtId="0" fontId="4" fillId="0" borderId="0" xfId="0" applyFont="1" applyAlignment="1">
      <alignment horizontal="left"/>
    </xf>
    <xf numFmtId="0" fontId="4" fillId="0" borderId="0" xfId="0" applyFont="1" applyAlignment="1">
      <alignment horizontal="left" wrapText="1"/>
    </xf>
    <xf numFmtId="14" fontId="4" fillId="13" borderId="0" xfId="0" applyNumberFormat="1" applyFont="1" applyFill="1" applyAlignment="1">
      <alignment horizontal="left" vertical="center" wrapText="1"/>
    </xf>
    <xf numFmtId="0" fontId="4" fillId="13" borderId="0" xfId="0" quotePrefix="1" applyFont="1" applyFill="1" applyAlignment="1">
      <alignment horizontal="left"/>
    </xf>
    <xf numFmtId="14" fontId="5" fillId="0" borderId="0" xfId="0" applyNumberFormat="1" applyFont="1" applyAlignment="1">
      <alignment horizontal="left" vertical="center" wrapText="1"/>
    </xf>
    <xf numFmtId="10" fontId="0" fillId="0" borderId="0" xfId="0" applyNumberFormat="1" applyAlignment="1">
      <alignment horizontal="left"/>
    </xf>
    <xf numFmtId="0" fontId="5" fillId="0" borderId="0" xfId="0" applyFont="1" applyAlignment="1">
      <alignment vertical="center" wrapText="1"/>
    </xf>
    <xf numFmtId="49" fontId="5" fillId="0" borderId="0" xfId="0" applyNumberFormat="1" applyFont="1" applyAlignment="1">
      <alignment horizontal="center" vertical="center" wrapText="1"/>
    </xf>
    <xf numFmtId="49" fontId="5" fillId="0" borderId="0" xfId="0" applyNumberFormat="1" applyFont="1" applyAlignment="1">
      <alignment vertical="center" wrapText="1"/>
    </xf>
    <xf numFmtId="1" fontId="5" fillId="0" borderId="0" xfId="0" applyNumberFormat="1" applyFont="1" applyAlignment="1">
      <alignment horizontal="left" vertical="center" wrapText="1"/>
    </xf>
    <xf numFmtId="14" fontId="14" fillId="0" borderId="2" xfId="0" applyNumberFormat="1" applyFont="1" applyBorder="1" applyAlignment="1">
      <alignment horizontal="left" vertical="center" wrapText="1"/>
    </xf>
    <xf numFmtId="0" fontId="0" fillId="0" borderId="1" xfId="0" applyBorder="1" applyAlignment="1">
      <alignment horizontal="left"/>
    </xf>
    <xf numFmtId="0" fontId="0" fillId="0" borderId="3" xfId="0" applyBorder="1" applyAlignment="1">
      <alignment horizontal="left"/>
    </xf>
    <xf numFmtId="14" fontId="5" fillId="0" borderId="0" xfId="0" applyNumberFormat="1" applyFont="1" applyAlignment="1">
      <alignment vertical="center" wrapText="1"/>
    </xf>
    <xf numFmtId="14" fontId="4" fillId="13" borderId="0" xfId="0" applyNumberFormat="1" applyFont="1" applyFill="1"/>
    <xf numFmtId="164" fontId="4" fillId="13" borderId="0" xfId="0" applyNumberFormat="1" applyFont="1" applyFill="1"/>
    <xf numFmtId="0" fontId="4" fillId="13" borderId="2" xfId="0" applyFont="1" applyFill="1" applyBorder="1"/>
    <xf numFmtId="0" fontId="4" fillId="13" borderId="3" xfId="0" applyFont="1" applyFill="1" applyBorder="1"/>
    <xf numFmtId="0" fontId="5" fillId="14" borderId="0" xfId="0" applyFont="1" applyFill="1"/>
    <xf numFmtId="0" fontId="12" fillId="14" borderId="0" xfId="1" applyFont="1" applyFill="1"/>
    <xf numFmtId="0" fontId="14" fillId="12" borderId="0" xfId="0" applyFont="1" applyFill="1" applyAlignment="1">
      <alignment horizontal="center" vertical="center"/>
    </xf>
    <xf numFmtId="166" fontId="14" fillId="12" borderId="0" xfId="0" applyNumberFormat="1" applyFont="1" applyFill="1" applyAlignment="1">
      <alignment horizontal="center" vertical="center"/>
    </xf>
    <xf numFmtId="0" fontId="0" fillId="13" borderId="7" xfId="0" applyFill="1" applyBorder="1"/>
    <xf numFmtId="0" fontId="4" fillId="13" borderId="7" xfId="0" applyFont="1" applyFill="1" applyBorder="1"/>
    <xf numFmtId="0" fontId="15" fillId="15" borderId="3" xfId="0" applyFont="1" applyFill="1" applyBorder="1"/>
    <xf numFmtId="0" fontId="15" fillId="13" borderId="3" xfId="0" applyFont="1" applyFill="1" applyBorder="1"/>
    <xf numFmtId="0" fontId="15" fillId="15" borderId="5" xfId="0" applyFont="1" applyFill="1" applyBorder="1"/>
    <xf numFmtId="0" fontId="15" fillId="13" borderId="7" xfId="0" applyFont="1" applyFill="1" applyBorder="1"/>
    <xf numFmtId="0" fontId="15" fillId="13" borderId="5" xfId="0" applyFont="1" applyFill="1" applyBorder="1"/>
    <xf numFmtId="0" fontId="4" fillId="13" borderId="4" xfId="0" applyFont="1" applyFill="1" applyBorder="1"/>
    <xf numFmtId="0" fontId="0" fillId="8" borderId="1" xfId="0" applyFill="1" applyBorder="1" applyAlignment="1">
      <alignment wrapText="1"/>
    </xf>
    <xf numFmtId="0" fontId="1" fillId="0" borderId="0" xfId="0" applyFont="1" applyAlignment="1">
      <alignment horizontal="center" vertical="center"/>
    </xf>
    <xf numFmtId="0" fontId="15" fillId="15" borderId="7" xfId="0" applyFont="1" applyFill="1" applyBorder="1"/>
    <xf numFmtId="0" fontId="16" fillId="0" borderId="0" xfId="0" applyFont="1"/>
    <xf numFmtId="49" fontId="15" fillId="13" borderId="0" xfId="0" applyNumberFormat="1" applyFont="1" applyFill="1"/>
    <xf numFmtId="0" fontId="15" fillId="16" borderId="0" xfId="0" applyFont="1" applyFill="1"/>
    <xf numFmtId="49" fontId="4" fillId="13" borderId="7" xfId="0" applyNumberFormat="1" applyFont="1" applyFill="1" applyBorder="1"/>
    <xf numFmtId="14" fontId="0" fillId="8" borderId="3" xfId="0" applyNumberFormat="1" applyFill="1" applyBorder="1"/>
    <xf numFmtId="0" fontId="16" fillId="13" borderId="0" xfId="0" applyFont="1" applyFill="1"/>
    <xf numFmtId="49" fontId="4" fillId="13" borderId="0" xfId="0" applyNumberFormat="1" applyFont="1" applyFill="1"/>
    <xf numFmtId="49" fontId="16" fillId="13" borderId="0" xfId="0" applyNumberFormat="1" applyFont="1" applyFill="1" applyAlignment="1">
      <alignment horizontal="center" vertical="center" wrapText="1"/>
    </xf>
    <xf numFmtId="1" fontId="0" fillId="17" borderId="0" xfId="0" applyNumberFormat="1" applyFill="1" applyAlignment="1">
      <alignment horizontal="left"/>
    </xf>
    <xf numFmtId="0" fontId="4" fillId="13" borderId="0" xfId="0" applyFont="1" applyFill="1" applyAlignment="1">
      <alignment vertical="center"/>
    </xf>
    <xf numFmtId="0" fontId="11" fillId="9" borderId="0" xfId="0" applyFont="1" applyFill="1" applyAlignment="1">
      <alignment vertical="center"/>
    </xf>
    <xf numFmtId="14" fontId="4" fillId="13" borderId="0" xfId="0" applyNumberFormat="1" applyFont="1" applyFill="1" applyAlignment="1">
      <alignment vertical="center" wrapText="1"/>
    </xf>
    <xf numFmtId="14" fontId="5" fillId="10" borderId="0" xfId="0" applyNumberFormat="1" applyFont="1" applyFill="1" applyAlignment="1">
      <alignment vertical="center" wrapText="1"/>
    </xf>
    <xf numFmtId="165" fontId="4" fillId="13" borderId="0" xfId="0" applyNumberFormat="1" applyFont="1" applyFill="1" applyAlignment="1">
      <alignment horizontal="left"/>
    </xf>
    <xf numFmtId="0" fontId="0" fillId="18" borderId="0" xfId="0" applyFill="1"/>
    <xf numFmtId="0" fontId="0" fillId="19" borderId="0" xfId="0" applyFill="1"/>
    <xf numFmtId="1" fontId="4" fillId="13" borderId="0" xfId="0" applyNumberFormat="1" applyFont="1" applyFill="1" applyAlignment="1">
      <alignment horizontal="left"/>
    </xf>
    <xf numFmtId="14" fontId="4" fillId="18" borderId="0" xfId="0" applyNumberFormat="1" applyFont="1" applyFill="1" applyAlignment="1">
      <alignment horizontal="left" vertical="center" wrapText="1"/>
    </xf>
    <xf numFmtId="14" fontId="5" fillId="20" borderId="0" xfId="0" applyNumberFormat="1" applyFont="1" applyFill="1" applyAlignment="1">
      <alignment horizontal="left" vertical="center" wrapText="1"/>
    </xf>
    <xf numFmtId="0" fontId="0" fillId="0" borderId="0" xfId="0" applyAlignment="1">
      <alignment wrapText="1"/>
    </xf>
    <xf numFmtId="0" fontId="13" fillId="0" borderId="12" xfId="0" applyFont="1" applyBorder="1"/>
    <xf numFmtId="2" fontId="0" fillId="0" borderId="12" xfId="0" applyNumberFormat="1" applyBorder="1"/>
    <xf numFmtId="14" fontId="4" fillId="18" borderId="0" xfId="0" applyNumberFormat="1" applyFont="1" applyFill="1" applyAlignment="1">
      <alignment vertical="center" wrapText="1"/>
    </xf>
    <xf numFmtId="0" fontId="11" fillId="18" borderId="0" xfId="0" applyFont="1" applyFill="1" applyAlignment="1">
      <alignment vertical="center"/>
    </xf>
    <xf numFmtId="14" fontId="5" fillId="20" borderId="0" xfId="0" applyNumberFormat="1" applyFont="1" applyFill="1" applyAlignment="1">
      <alignment vertical="center" wrapText="1"/>
    </xf>
    <xf numFmtId="164" fontId="5" fillId="20" borderId="0" xfId="0" applyNumberFormat="1" applyFont="1" applyFill="1" applyAlignment="1">
      <alignment vertical="center" wrapText="1"/>
    </xf>
    <xf numFmtId="0" fontId="4" fillId="18" borderId="0" xfId="0" applyFont="1" applyFill="1" applyAlignment="1">
      <alignment horizontal="left" vertical="center" wrapText="1"/>
    </xf>
    <xf numFmtId="2" fontId="4" fillId="18" borderId="0" xfId="0" applyNumberFormat="1" applyFont="1" applyFill="1" applyAlignment="1">
      <alignment horizontal="left" vertical="center" wrapText="1"/>
    </xf>
    <xf numFmtId="2" fontId="0" fillId="6" borderId="12" xfId="0" applyNumberFormat="1" applyFill="1" applyBorder="1"/>
    <xf numFmtId="2" fontId="0" fillId="0" borderId="0" xfId="0" applyNumberFormat="1"/>
    <xf numFmtId="0" fontId="0" fillId="0" borderId="13" xfId="0" applyBorder="1" applyAlignment="1">
      <alignment vertical="center" wrapText="1"/>
    </xf>
    <xf numFmtId="0" fontId="0" fillId="0" borderId="12" xfId="0" applyBorder="1" applyAlignment="1">
      <alignment vertical="center" wrapText="1"/>
    </xf>
    <xf numFmtId="0" fontId="0" fillId="0" borderId="12" xfId="0" applyBorder="1" applyAlignment="1">
      <alignment horizontal="left" vertical="center" wrapText="1"/>
    </xf>
    <xf numFmtId="14" fontId="0" fillId="0" borderId="0" xfId="0" applyNumberFormat="1" applyAlignment="1">
      <alignment vertical="center"/>
    </xf>
    <xf numFmtId="2" fontId="21" fillId="13" borderId="0" xfId="0" applyNumberFormat="1" applyFont="1" applyFill="1" applyAlignment="1">
      <alignment horizontal="left" vertical="center" wrapText="1"/>
    </xf>
    <xf numFmtId="14" fontId="4" fillId="13" borderId="0" xfId="0" applyNumberFormat="1" applyFont="1" applyFill="1" applyAlignment="1">
      <alignment horizontal="right" vertical="center" wrapText="1"/>
    </xf>
    <xf numFmtId="14" fontId="4" fillId="17" borderId="0" xfId="0" applyNumberFormat="1" applyFont="1" applyFill="1" applyAlignment="1">
      <alignment horizontal="left" vertical="center" wrapText="1"/>
    </xf>
    <xf numFmtId="0" fontId="0" fillId="17" borderId="0" xfId="0" applyFill="1" applyAlignment="1">
      <alignment horizontal="left"/>
    </xf>
    <xf numFmtId="0" fontId="0" fillId="18" borderId="0" xfId="0" applyFill="1" applyAlignment="1">
      <alignment horizontal="left"/>
    </xf>
    <xf numFmtId="0" fontId="0" fillId="0" borderId="15" xfId="0" applyBorder="1" applyAlignment="1">
      <alignment vertical="center" wrapText="1"/>
    </xf>
    <xf numFmtId="0" fontId="21" fillId="0" borderId="0" xfId="0" applyFont="1" applyAlignment="1">
      <alignment horizontal="left"/>
    </xf>
    <xf numFmtId="14" fontId="5" fillId="21" borderId="0" xfId="0" applyNumberFormat="1" applyFont="1" applyFill="1" applyAlignment="1">
      <alignment vertical="center" wrapText="1"/>
    </xf>
    <xf numFmtId="14" fontId="0" fillId="0" borderId="0" xfId="0" applyNumberFormat="1"/>
    <xf numFmtId="0" fontId="0" fillId="11" borderId="0" xfId="0" applyFill="1"/>
    <xf numFmtId="0" fontId="0" fillId="22" borderId="0" xfId="0" applyFill="1" applyAlignment="1">
      <alignment horizontal="left"/>
    </xf>
    <xf numFmtId="164" fontId="5" fillId="10" borderId="0" xfId="0" applyNumberFormat="1" applyFont="1" applyFill="1" applyAlignment="1">
      <alignment vertical="center" wrapText="1"/>
    </xf>
    <xf numFmtId="164" fontId="0" fillId="9" borderId="0" xfId="0" applyNumberFormat="1" applyFill="1"/>
    <xf numFmtId="0" fontId="4" fillId="5" borderId="0" xfId="0" applyFont="1" applyFill="1"/>
    <xf numFmtId="0" fontId="16" fillId="13" borderId="0" xfId="0" applyFont="1" applyFill="1" applyAlignment="1">
      <alignment horizontal="left" vertical="center" wrapText="1"/>
    </xf>
    <xf numFmtId="0" fontId="4" fillId="13" borderId="0" xfId="0" applyFont="1" applyFill="1" applyAlignment="1">
      <alignment horizontal="left" vertical="top" wrapText="1"/>
    </xf>
    <xf numFmtId="0" fontId="5" fillId="12" borderId="0" xfId="0" applyFont="1" applyFill="1" applyAlignment="1">
      <alignment horizontal="left" vertical="center" wrapText="1"/>
    </xf>
    <xf numFmtId="0" fontId="4" fillId="13" borderId="8" xfId="0" applyFont="1" applyFill="1" applyBorder="1"/>
    <xf numFmtId="49" fontId="0" fillId="6" borderId="0" xfId="0" applyNumberFormat="1" applyFill="1"/>
    <xf numFmtId="0" fontId="4" fillId="9" borderId="0" xfId="0" applyFont="1" applyFill="1"/>
    <xf numFmtId="164" fontId="4" fillId="13" borderId="0" xfId="0" applyNumberFormat="1" applyFont="1" applyFill="1" applyAlignment="1">
      <alignment horizontal="left"/>
    </xf>
    <xf numFmtId="0" fontId="1" fillId="0" borderId="0" xfId="0" applyFont="1" applyAlignment="1">
      <alignment horizontal="left"/>
    </xf>
    <xf numFmtId="0" fontId="0" fillId="11" borderId="14" xfId="0" applyFill="1" applyBorder="1" applyAlignment="1">
      <alignment horizontal="left"/>
    </xf>
    <xf numFmtId="0" fontId="0" fillId="11" borderId="7" xfId="0" applyFill="1" applyBorder="1" applyAlignment="1">
      <alignment horizontal="left"/>
    </xf>
    <xf numFmtId="0" fontId="0" fillId="5" borderId="0" xfId="0" applyFill="1" applyAlignment="1">
      <alignment horizontal="left"/>
    </xf>
    <xf numFmtId="0" fontId="0" fillId="17" borderId="0" xfId="0" applyFill="1"/>
    <xf numFmtId="1" fontId="5" fillId="0" borderId="0" xfId="0" applyNumberFormat="1" applyFont="1" applyAlignment="1">
      <alignment vertical="center" wrapText="1"/>
    </xf>
    <xf numFmtId="1" fontId="0" fillId="0" borderId="0" xfId="0" applyNumberFormat="1"/>
    <xf numFmtId="164" fontId="3" fillId="9" borderId="0" xfId="0" applyNumberFormat="1" applyFont="1" applyFill="1"/>
    <xf numFmtId="49" fontId="0" fillId="6" borderId="0" xfId="0" applyNumberFormat="1" applyFill="1" applyAlignment="1">
      <alignment horizontal="left"/>
    </xf>
    <xf numFmtId="0" fontId="1" fillId="13" borderId="9" xfId="0" applyFont="1" applyFill="1" applyBorder="1" applyAlignment="1">
      <alignment horizontal="left"/>
    </xf>
    <xf numFmtId="0" fontId="1" fillId="13" borderId="10" xfId="0" applyFont="1" applyFill="1" applyBorder="1" applyAlignment="1">
      <alignment horizontal="left"/>
    </xf>
    <xf numFmtId="0" fontId="1" fillId="13" borderId="11" xfId="0" applyFont="1" applyFill="1" applyBorder="1" applyAlignment="1">
      <alignment horizontal="left"/>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xf>
    <xf numFmtId="0" fontId="18" fillId="13" borderId="9" xfId="0" applyFont="1" applyFill="1" applyBorder="1" applyAlignment="1">
      <alignment horizontal="center"/>
    </xf>
    <xf numFmtId="0" fontId="18" fillId="13" borderId="10" xfId="0" applyFont="1" applyFill="1" applyBorder="1" applyAlignment="1">
      <alignment horizontal="center"/>
    </xf>
    <xf numFmtId="0" fontId="18" fillId="13" borderId="11" xfId="0" applyFont="1" applyFill="1" applyBorder="1" applyAlignment="1">
      <alignment horizontal="center"/>
    </xf>
    <xf numFmtId="0" fontId="17" fillId="14" borderId="0" xfId="0" applyFont="1" applyFill="1" applyAlignment="1">
      <alignment horizontal="center"/>
    </xf>
    <xf numFmtId="0" fontId="16" fillId="0" borderId="0" xfId="0" applyFont="1" applyAlignment="1">
      <alignment horizontal="center"/>
    </xf>
    <xf numFmtId="0" fontId="16" fillId="11" borderId="0" xfId="0" applyFont="1" applyFill="1" applyAlignment="1">
      <alignment horizontal="center"/>
    </xf>
  </cellXfs>
  <cellStyles count="3">
    <cellStyle name="Hyperlink" xfId="1" builtinId="8"/>
    <cellStyle name="Normal" xfId="0" builtinId="0"/>
    <cellStyle name="Normal 2" xfId="2" xr:uid="{364D0991-BCFB-46D1-BC05-3E383CD10499}"/>
  </cellStyles>
  <dxfs count="7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5" tint="0.59996337778862885"/>
        </patternFill>
      </fill>
    </dxf>
    <dxf>
      <font>
        <color rgb="FF9C0006"/>
      </font>
      <fill>
        <patternFill>
          <bgColor rgb="FFFFC7CE"/>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dxf>
    <dxf>
      <numFmt numFmtId="0" formatCode="General"/>
      <fill>
        <patternFill patternType="solid">
          <fgColor indexed="64"/>
          <bgColor theme="6" tint="0.59999389629810485"/>
        </patternFill>
      </fill>
    </dxf>
    <dxf>
      <font>
        <strike val="0"/>
        <outline val="0"/>
        <shadow val="0"/>
        <u val="none"/>
        <vertAlign val="baseline"/>
        <sz val="11"/>
        <color auto="1"/>
        <name val="Calibri"/>
        <family val="2"/>
        <scheme val="minor"/>
      </font>
      <fill>
        <patternFill patternType="solid">
          <fgColor indexed="64"/>
          <bgColor rgb="FFE5E5E5"/>
        </patternFill>
      </fill>
    </dxf>
    <dxf>
      <font>
        <strike val="0"/>
        <outline val="0"/>
        <shadow val="0"/>
        <u val="none"/>
        <vertAlign val="baseline"/>
        <sz val="11"/>
        <color auto="1"/>
        <name val="Calibri"/>
        <family val="2"/>
        <scheme val="minor"/>
      </font>
      <fill>
        <patternFill patternType="solid">
          <fgColor indexed="64"/>
          <bgColor rgb="FFE5E5E5"/>
        </patternFill>
      </fill>
    </dxf>
    <dxf>
      <font>
        <strike val="0"/>
        <outline val="0"/>
        <shadow val="0"/>
        <u val="none"/>
        <vertAlign val="baseline"/>
        <sz val="11"/>
        <color auto="1"/>
        <name val="Calibri"/>
        <family val="2"/>
        <scheme val="minor"/>
      </font>
      <numFmt numFmtId="164" formatCode="dd/mm/yyyy;@"/>
      <fill>
        <patternFill patternType="solid">
          <fgColor indexed="64"/>
          <bgColor rgb="FFE5E5E5"/>
        </patternFill>
      </fill>
    </dxf>
    <dxf>
      <font>
        <strike val="0"/>
        <outline val="0"/>
        <shadow val="0"/>
        <u val="none"/>
        <vertAlign val="baseline"/>
        <sz val="11"/>
        <color auto="1"/>
        <name val="Calibri"/>
        <family val="2"/>
        <scheme val="minor"/>
      </font>
      <numFmt numFmtId="164" formatCode="dd/mm/yyyy;@"/>
      <fill>
        <patternFill patternType="solid">
          <fgColor indexed="64"/>
          <bgColor rgb="FFE5E5E5"/>
        </patternFill>
      </fill>
    </dxf>
    <dxf>
      <numFmt numFmtId="164" formatCode="dd/mm/yyyy;@"/>
      <fill>
        <patternFill patternType="solid">
          <fgColor indexed="64"/>
          <bgColor theme="7" tint="0.59999389629810485"/>
        </patternFill>
      </fill>
    </dxf>
    <dxf>
      <font>
        <strike val="0"/>
        <outline val="0"/>
        <shadow val="0"/>
        <u val="none"/>
        <vertAlign val="baseline"/>
        <sz val="11"/>
        <color auto="1"/>
        <name val="Calibri"/>
        <family val="2"/>
        <scheme val="minor"/>
      </font>
      <numFmt numFmtId="19" formatCode="dd/mm/yyyy"/>
      <fill>
        <patternFill patternType="solid">
          <fgColor indexed="64"/>
          <bgColor rgb="FFE5E5E5"/>
        </patternFill>
      </fill>
    </dxf>
    <dxf>
      <font>
        <strike val="0"/>
        <outline val="0"/>
        <shadow val="0"/>
        <u val="none"/>
        <vertAlign val="baseline"/>
        <sz val="11"/>
        <color auto="1"/>
        <name val="Calibri"/>
        <family val="2"/>
        <scheme val="minor"/>
      </font>
      <fill>
        <patternFill patternType="solid">
          <fgColor indexed="64"/>
          <bgColor rgb="FFE5E5E5"/>
        </patternFill>
      </fill>
    </dxf>
    <dxf>
      <font>
        <strike val="0"/>
        <outline val="0"/>
        <shadow val="0"/>
        <u val="none"/>
        <vertAlign val="baseline"/>
        <sz val="11"/>
        <color auto="1"/>
        <name val="Calibri"/>
        <family val="2"/>
        <scheme val="minor"/>
      </font>
      <fill>
        <patternFill patternType="solid">
          <fgColor indexed="64"/>
          <bgColor rgb="FFE5E5E5"/>
        </patternFill>
      </fill>
    </dxf>
    <dxf>
      <numFmt numFmtId="0" formatCode="General"/>
      <fill>
        <patternFill patternType="solid">
          <fgColor indexed="64"/>
          <bgColor theme="7" tint="0.5999938962981048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dxf>
    <dxf>
      <numFmt numFmtId="0" formatCode="General"/>
    </dxf>
    <dxf>
      <numFmt numFmtId="0" formatCode="General"/>
      <alignment horizontal="right" textRotation="0" wrapText="0" indent="0" justifyLastLine="0" shrinkToFit="0" readingOrder="0"/>
    </dxf>
    <dxf>
      <numFmt numFmtId="0" formatCode="General"/>
    </dxf>
    <dxf>
      <numFmt numFmtId="0" formatCode="General"/>
      <alignment horizontal="right" textRotation="0" indent="0" justifyLastLine="0" shrinkToFit="0" readingOrder="0"/>
    </dxf>
    <dxf>
      <numFmt numFmtId="0" formatCode="General"/>
      <fill>
        <patternFill patternType="solid">
          <fgColor indexed="64"/>
          <bgColor theme="2"/>
        </patternFill>
      </fill>
    </dxf>
    <dxf>
      <fill>
        <patternFill patternType="solid">
          <fgColor indexed="64"/>
          <bgColor theme="2"/>
        </patternFill>
      </fill>
    </dxf>
    <dxf>
      <fill>
        <patternFill patternType="solid">
          <fgColor indexed="64"/>
          <bgColor theme="6" tint="0.59999389629810485"/>
        </patternFill>
      </fill>
    </dxf>
    <dxf>
      <font>
        <b val="0"/>
        <i val="0"/>
        <strike val="0"/>
        <condense val="0"/>
        <extend val="0"/>
        <outline val="0"/>
        <shadow val="0"/>
        <u val="none"/>
        <vertAlign val="baseline"/>
        <sz val="11"/>
        <color theme="0"/>
        <name val="Calibri"/>
        <family val="2"/>
        <scheme val="minor"/>
      </font>
      <numFmt numFmtId="19" formatCode="dd/mm/yyyy"/>
      <fill>
        <patternFill patternType="solid">
          <fgColor indexed="64"/>
          <bgColor theme="6" tint="0.39997558519241921"/>
        </patternFill>
      </fill>
      <alignment horizontal="general"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solid">
          <fgColor indexed="64"/>
          <bgColor theme="2"/>
        </patternFill>
      </fill>
      <alignment horizontal="left" vertical="bottom" textRotation="0" wrapText="0" indent="0" justifyLastLine="0" shrinkToFit="0" readingOrder="0"/>
    </dxf>
    <dxf>
      <numFmt numFmtId="0" formatCode="General"/>
      <fill>
        <patternFill patternType="solid">
          <fgColor indexed="64"/>
          <bgColor theme="2"/>
        </patternFill>
      </fill>
      <alignment horizontal="left" vertical="bottom" textRotation="0" wrapText="0" indent="0" justifyLastLine="0" shrinkToFit="0" readingOrder="0"/>
    </dxf>
    <dxf>
      <numFmt numFmtId="0" formatCode="General"/>
      <fill>
        <patternFill patternType="solid">
          <fgColor indexed="64"/>
          <bgColor theme="2"/>
        </patternFill>
      </fill>
      <alignment horizontal="left" vertical="bottom" textRotation="0" wrapText="0" indent="0" justifyLastLine="0" shrinkToFit="0" readingOrder="0"/>
    </dxf>
    <dxf>
      <numFmt numFmtId="0" formatCode="General"/>
      <fill>
        <patternFill patternType="solid">
          <fgColor indexed="64"/>
          <bgColor theme="2"/>
        </patternFill>
      </fill>
      <alignment horizontal="left" vertical="bottom" textRotation="0" wrapText="0" indent="0" justifyLastLine="0" shrinkToFit="0" readingOrder="0"/>
    </dxf>
    <dxf>
      <numFmt numFmtId="0" formatCode="General"/>
      <fill>
        <patternFill patternType="solid">
          <fgColor indexed="64"/>
          <bgColor theme="2"/>
        </patternFill>
      </fill>
      <alignment horizontal="left" vertical="bottom" textRotation="0" wrapText="0" indent="0" justifyLastLine="0" shrinkToFit="0" readingOrder="0"/>
    </dxf>
    <dxf>
      <numFmt numFmtId="0" formatCode="General"/>
      <fill>
        <patternFill patternType="solid">
          <fgColor indexed="64"/>
          <bgColor theme="2"/>
        </patternFill>
      </fill>
      <alignment horizontal="left" vertical="bottom" textRotation="0" wrapText="0" indent="0" justifyLastLine="0" shrinkToFit="0" readingOrder="0"/>
    </dxf>
    <dxf>
      <numFmt numFmtId="0" formatCode="General"/>
      <fill>
        <patternFill patternType="solid">
          <fgColor indexed="64"/>
          <bgColor theme="2"/>
        </patternFill>
      </fill>
      <alignment horizontal="left" vertical="bottom" textRotation="0" wrapText="0" indent="0" justifyLastLine="0" shrinkToFit="0" readingOrder="0"/>
    </dxf>
    <dxf>
      <numFmt numFmtId="0" formatCode="General"/>
      <fill>
        <patternFill patternType="solid">
          <fgColor indexed="64"/>
          <bgColor theme="2"/>
        </patternFill>
      </fill>
      <alignment horizontal="left" vertical="bottom" textRotation="0" wrapText="0" indent="0" justifyLastLine="0" shrinkToFit="0" readingOrder="0"/>
    </dxf>
    <dxf>
      <numFmt numFmtId="19" formatCode="dd/mm/yyyy"/>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19" formatCode="dd/mm/yyyy"/>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2" formatCode="0.00"/>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general" vertical="bottom" textRotation="0" wrapText="0" indent="0" justifyLastLine="0" shrinkToFit="0" readingOrder="0"/>
    </dxf>
    <dxf>
      <numFmt numFmtId="164" formatCode="dd/mm/yyyy;@"/>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general" vertical="bottom" textRotation="0" wrapText="0" indent="0" justifyLastLine="0" shrinkToFit="0" readingOrder="0"/>
    </dxf>
    <dxf>
      <numFmt numFmtId="164" formatCode="dd/mm/yyyy;@"/>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19" formatCode="dd/mm/yyyy"/>
      <fill>
        <patternFill patternType="solid">
          <fgColor indexed="64"/>
          <bgColor rgb="FFAC6689"/>
        </patternFill>
      </fill>
      <alignment horizontal="left" vertical="center" textRotation="0" wrapText="1"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 formatCode="0"/>
      <fill>
        <patternFill patternType="none">
          <fgColor indexed="64"/>
          <bgColor auto="1"/>
        </patternFill>
      </fill>
      <alignment horizontal="general" vertical="bottom" textRotation="0" wrapText="0" indent="0" justifyLastLine="0" shrinkToFit="0" readingOrder="0"/>
    </dxf>
    <dxf>
      <numFmt numFmtId="164" formatCode="dd/mm/yyyy;@"/>
      <fill>
        <patternFill patternType="none">
          <fgColor indexed="64"/>
          <bgColor auto="1"/>
        </patternFill>
      </fill>
      <alignment horizontal="general" vertical="bottom" textRotation="0" wrapText="0" indent="0" justifyLastLine="0" shrinkToFit="0" readingOrder="0"/>
    </dxf>
    <dxf>
      <numFmt numFmtId="164" formatCode="dd/mm/yyyy;@"/>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general" vertical="bottom" textRotation="0" wrapText="0" indent="0" justifyLastLine="0" shrinkToFit="0" readingOrder="0"/>
    </dxf>
    <dxf>
      <numFmt numFmtId="164" formatCode="dd/mm/yyyy;@"/>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rgb="FF000000"/>
          <bgColor rgb="FFAC8DBF"/>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19" formatCode="dd/mm/yyyy"/>
      <fill>
        <patternFill patternType="solid">
          <fgColor indexed="64"/>
          <bgColor rgb="FFAC6689"/>
        </patternFill>
      </fill>
      <alignment horizontal="left" vertical="center" textRotation="0" wrapText="1"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general" vertical="bottom" textRotation="0" wrapText="0" indent="0" justifyLastLine="0" shrinkToFit="0" readingOrder="0"/>
    </dxf>
    <dxf>
      <numFmt numFmtId="164" formatCode="dd/mm/yyyy;@"/>
      <fill>
        <patternFill patternType="none">
          <fgColor indexed="64"/>
          <bgColor auto="1"/>
        </patternFill>
      </fill>
      <alignment horizontal="general"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numFmt numFmtId="14" formatCode="0.00%"/>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ill>
        <patternFill patternType="solid">
          <fgColor indexed="64"/>
          <bgColor theme="6"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19" formatCode="dd/mm/yyyy"/>
      <fill>
        <patternFill patternType="solid">
          <fgColor indexed="64"/>
          <bgColor theme="6" tint="0.39997558519241921"/>
        </patternFill>
      </fill>
      <alignment horizontal="left" vertical="center" textRotation="0" wrapText="1"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general" vertical="bottom" textRotation="0" wrapText="0" indent="0" justifyLastLine="0" shrinkToFit="0" readingOrder="0"/>
    </dxf>
    <dxf>
      <numFmt numFmtId="164" formatCode="dd/mm/yyyy;@"/>
      <fill>
        <patternFill patternType="none">
          <fgColor indexed="64"/>
          <bgColor auto="1"/>
        </patternFill>
      </fill>
      <alignment horizontal="general" vertical="bottom" textRotation="0" wrapText="0" indent="0" justifyLastLine="0" shrinkToFit="0" readingOrder="0"/>
    </dxf>
    <dxf>
      <numFmt numFmtId="19" formatCode="dd/mm/yyyy"/>
      <fill>
        <patternFill patternType="none">
          <fgColor indexed="64"/>
          <bgColor auto="1"/>
        </patternFill>
      </fill>
      <alignment horizontal="left" vertical="bottom" textRotation="0" wrapText="0" indent="0" justifyLastLine="0" shrinkToFit="0" readingOrder="0"/>
    </dxf>
    <dxf>
      <numFmt numFmtId="14" formatCode="0.00%"/>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30" formatCode="@"/>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ill>
        <patternFill patternType="solid">
          <fgColor indexed="64"/>
          <bgColor theme="6"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19" formatCode="dd/mm/yyyy"/>
      <fill>
        <patternFill patternType="solid">
          <fgColor indexed="64"/>
          <bgColor theme="6" tint="0.39997558519241921"/>
        </patternFill>
      </fill>
      <alignment horizontal="left" vertical="center" textRotation="0" wrapText="1"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164" formatCode="dd/mm/yyyy;@"/>
      <fill>
        <patternFill patternType="none">
          <fgColor indexed="64"/>
          <bgColor auto="1"/>
        </patternFill>
      </fill>
      <alignment horizontal="general" vertical="bottom" textRotation="0" wrapText="0" indent="0" justifyLastLine="0" shrinkToFit="0" readingOrder="0"/>
    </dxf>
    <dxf>
      <numFmt numFmtId="164" formatCode="dd/mm/yyyy;@"/>
      <alignment horizontal="general" vertical="bottom" textRotation="0" wrapText="0" indent="0" justifyLastLine="0" shrinkToFit="0" readingOrder="0"/>
    </dxf>
    <dxf>
      <numFmt numFmtId="164" formatCode="dd/mm/yyyy;@"/>
      <fill>
        <patternFill patternType="none">
          <fgColor indexed="64"/>
          <bgColor auto="1"/>
        </patternFill>
      </fill>
      <alignment horizontal="general" vertical="bottom" textRotation="0" wrapText="0" indent="0" justifyLastLine="0" shrinkToFit="0" readingOrder="0"/>
    </dxf>
    <dxf>
      <numFmt numFmtId="0" formatCode="General"/>
      <fill>
        <patternFill patternType="solid">
          <fgColor indexed="64"/>
          <bgColor theme="0" tint="-0.14999847407452621"/>
        </patternFill>
      </fill>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19" formatCode="dd/mm/yyyy"/>
      <fill>
        <patternFill patternType="solid">
          <fgColor indexed="64"/>
          <bgColor rgb="FFAC6689"/>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rgb="FF8EA9DB"/>
        </top>
      </border>
    </dxf>
    <dxf>
      <border outline="0">
        <top style="thin">
          <color rgb="FF8EA9DB"/>
        </top>
        <bottom style="thin">
          <color rgb="FF8EA9DB"/>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border outline="0">
        <bottom style="thin">
          <color rgb="FF8EA9DB"/>
        </bottom>
      </border>
    </dxf>
    <dxf>
      <font>
        <b/>
        <i val="0"/>
        <strike val="0"/>
        <condense val="0"/>
        <extend val="0"/>
        <outline val="0"/>
        <shadow val="0"/>
        <u val="none"/>
        <vertAlign val="baseline"/>
        <sz val="11"/>
        <color theme="0"/>
        <name val="Calibri"/>
        <family val="2"/>
        <scheme val="minor"/>
      </font>
      <numFmt numFmtId="19" formatCode="dd/mm/yyyy"/>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auto="1"/>
        </patternFill>
      </fill>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numFmt numFmtId="19" formatCode="dd/mm/yyyy"/>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theme="1"/>
        <name val="Calibri"/>
        <family val="2"/>
        <scheme val="minor"/>
      </font>
      <numFmt numFmtId="0" formatCode="General"/>
      <fill>
        <patternFill patternType="solid">
          <fgColor indexed="64"/>
          <bgColor theme="6" tint="0.59999389629810485"/>
        </patternFill>
      </fill>
      <alignment horizontal="left" vertical="bottom" textRotation="0" wrapText="0" indent="0" justifyLastLine="0" shrinkToFit="0" readingOrder="0"/>
    </dxf>
    <dxf>
      <fill>
        <patternFill patternType="solid">
          <fgColor indexed="64"/>
          <bgColor theme="0" tint="-0.1499984740745262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30" formatCode="@"/>
      <fill>
        <patternFill patternType="solid">
          <fgColor indexed="64"/>
          <bgColor rgb="FFAC6689"/>
        </patternFill>
      </fill>
      <alignment horizontal="left" vertical="center" textRotation="0" wrapText="1"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30" formatCode="@"/>
      <fill>
        <patternFill patternType="none">
          <fgColor indexed="64"/>
          <bgColor auto="1"/>
        </patternFill>
      </fill>
      <alignment horizontal="left" vertical="bottom" textRotation="0" wrapText="0" indent="0" justifyLastLine="0" shrinkToFit="0" readingOrder="0"/>
    </dxf>
    <dxf>
      <numFmt numFmtId="30" formatCode="@"/>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 formatCode="0"/>
      <fill>
        <patternFill patternType="solid">
          <fgColor indexed="64"/>
          <bgColor theme="0" tint="-0.1499984740745262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 formatCode="0"/>
      <fill>
        <patternFill patternType="none">
          <fgColor indexed="64"/>
          <bgColor auto="1"/>
        </patternFill>
      </fill>
      <alignment horizontal="left" vertical="bottom" textRotation="0" wrapText="0" indent="0" justifyLastLine="0" shrinkToFit="0" readingOrder="0"/>
    </dxf>
    <dxf>
      <numFmt numFmtId="1" formatCode="0"/>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 formatCode="0"/>
      <fill>
        <patternFill patternType="solid">
          <fgColor indexed="64"/>
          <bgColor theme="0" tint="-0.14999847407452621"/>
        </patternFill>
      </fill>
      <alignment horizontal="left" vertical="bottom" textRotation="0" wrapText="0" indent="0" justifyLastLine="0" shrinkToFit="0" readingOrder="0"/>
    </dxf>
    <dxf>
      <numFmt numFmtId="1" formatCode="0"/>
      <fill>
        <patternFill patternType="solid">
          <fgColor indexed="64"/>
          <bgColor theme="0" tint="-0.14999847407452621"/>
        </patternFill>
      </fill>
      <alignment horizontal="left" vertical="bottom" textRotation="0" wrapText="0" indent="0" justifyLastLine="0" shrinkToFit="0" readingOrder="0"/>
    </dxf>
    <dxf>
      <numFmt numFmtId="1" formatCode="0"/>
      <fill>
        <patternFill patternType="solid">
          <fgColor indexed="64"/>
          <bgColor theme="0" tint="-0.14999847407452621"/>
        </patternFill>
      </fill>
      <alignment horizontal="left" vertical="bottom" textRotation="0" wrapText="0" indent="0" justifyLastLine="0" shrinkToFit="0" readingOrder="0"/>
    </dxf>
    <dxf>
      <numFmt numFmtId="1" formatCode="0"/>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solid">
          <fgColor indexed="64"/>
          <bgColor theme="6"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19" formatCode="dd/mm/yyyy"/>
      <fill>
        <patternFill patternType="solid">
          <fgColor indexed="64"/>
          <bgColor theme="0" tint="-0.249977111117893"/>
        </patternFill>
      </fill>
      <alignment horizontal="left"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color auto="1"/>
      </font>
      <fill>
        <patternFill patternType="solid">
          <fgColor indexed="64"/>
          <bgColor rgb="FFE5E5E5"/>
        </patternFill>
      </fill>
      <alignment horizontal="left" vertical="bottom" textRotation="0" wrapText="0" indent="0" justifyLastLine="0" shrinkToFit="0" readingOrder="0"/>
    </dxf>
    <dxf>
      <fill>
        <patternFill patternType="solid">
          <fgColor indexed="64"/>
          <bgColor theme="2"/>
        </patternFill>
      </fill>
      <alignment horizontal="left" vertical="bottom" textRotation="0" wrapText="0" indent="0" justifyLastLine="0" shrinkToFit="0" readingOrder="0"/>
    </dxf>
    <dxf>
      <font>
        <color auto="1"/>
      </font>
      <fill>
        <patternFill patternType="solid">
          <fgColor indexed="64"/>
          <bgColor rgb="FFE5E5E5"/>
        </patternFill>
      </fill>
      <alignment horizontal="left" vertical="bottom" textRotation="0" wrapText="0" indent="0" justifyLastLine="0" shrinkToFit="0" readingOrder="0"/>
    </dxf>
    <dxf>
      <font>
        <color auto="1"/>
      </font>
      <fill>
        <patternFill patternType="solid">
          <fgColor indexed="64"/>
          <bgColor rgb="FFE5E5E5"/>
        </patternFill>
      </fill>
      <alignment horizontal="left" vertical="bottom" textRotation="0" wrapText="0" indent="0" justifyLastLine="0" shrinkToFit="0" readingOrder="0"/>
    </dxf>
    <dxf>
      <font>
        <color auto="1"/>
      </font>
      <fill>
        <patternFill patternType="solid">
          <fgColor indexed="64"/>
          <bgColor rgb="FFE5E5E5"/>
        </patternFill>
      </fill>
      <alignment horizontal="left" vertical="bottom" textRotation="0" wrapText="0" indent="0" justifyLastLine="0" shrinkToFit="0" readingOrder="0"/>
    </dxf>
    <dxf>
      <numFmt numFmtId="0" formatCode="General"/>
      <fill>
        <patternFill patternType="solid">
          <fgColor indexed="64"/>
          <bgColor theme="2"/>
        </patternFill>
      </fill>
      <alignment horizontal="left" vertical="bottom" textRotation="0" wrapText="0" indent="0" justifyLastLine="0" shrinkToFit="0" readingOrder="0"/>
    </dxf>
    <dxf>
      <font>
        <color auto="1"/>
      </font>
      <fill>
        <patternFill patternType="solid">
          <fgColor indexed="64"/>
          <bgColor rgb="FFE5E5E5"/>
        </patternFill>
      </fill>
      <alignment horizontal="left" vertical="bottom" textRotation="0" wrapText="0" indent="0" justifyLastLine="0" shrinkToFit="0" readingOrder="0"/>
    </dxf>
    <dxf>
      <fill>
        <patternFill patternType="solid">
          <fgColor indexed="64"/>
          <bgColor theme="2"/>
        </patternFill>
      </fill>
      <alignment horizontal="left"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fill>
        <patternFill patternType="solid">
          <fgColor indexed="64"/>
          <bgColor rgb="FFE5E5E5"/>
        </patternFill>
      </fill>
      <alignment horizontal="left" vertical="bottom" textRotation="0" wrapText="0" indent="0" justifyLastLine="0" shrinkToFit="0" readingOrder="0"/>
    </dxf>
    <dxf>
      <fill>
        <patternFill patternType="solid">
          <fgColor indexed="64"/>
          <bgColor rgb="FFE5E5E5"/>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ont>
        <b val="0"/>
        <i val="0"/>
        <strike val="0"/>
        <condense val="0"/>
        <extend val="0"/>
        <outline val="0"/>
        <shadow val="0"/>
        <u val="none"/>
        <vertAlign val="baseline"/>
        <sz val="11"/>
        <color rgb="FFFFFFFF"/>
        <name val="Calibri"/>
        <family val="2"/>
        <scheme val="minor"/>
      </font>
      <fill>
        <patternFill patternType="solid">
          <fgColor indexed="64"/>
          <bgColor rgb="FFAC6689"/>
        </patternFill>
      </fill>
      <alignment horizontal="left" vertical="center" textRotation="0" wrapText="1"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numFmt numFmtId="165" formatCode="dd/mm"/>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solid">
          <fgColor rgb="FF000000"/>
          <bgColor rgb="FFC8B3D5"/>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rgb="FFAC6689"/>
        </patternFill>
      </fill>
      <alignment horizontal="left" vertical="center" textRotation="0" wrapText="1" indent="0" justifyLastLine="0" shrinkToFit="0" readingOrder="0"/>
    </dxf>
    <dxf>
      <numFmt numFmtId="0" formatCode="General"/>
      <fill>
        <patternFill patternType="solid">
          <fgColor indexed="64"/>
          <bgColor theme="9" tint="0.79998168889431442"/>
        </patternFill>
      </fill>
    </dxf>
    <dxf>
      <fill>
        <patternFill patternType="solid">
          <fgColor indexed="64"/>
          <bgColor theme="9" tint="0.79998168889431442"/>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solid">
          <fgColor rgb="FF000000"/>
          <bgColor rgb="FFAC8DBF"/>
        </patternFill>
      </fill>
    </dxf>
    <dxf>
      <font>
        <b val="0"/>
        <i val="0"/>
        <strike val="0"/>
        <condense val="0"/>
        <extend val="0"/>
        <outline val="0"/>
        <shadow val="0"/>
        <u val="none"/>
        <vertAlign val="baseline"/>
        <sz val="11"/>
        <color theme="0"/>
        <name val="Calibri"/>
        <family val="2"/>
        <scheme val="minor"/>
      </font>
      <fill>
        <patternFill patternType="solid">
          <fgColor indexed="64"/>
          <bgColor rgb="FFAC6689"/>
        </patternFill>
      </fill>
      <alignment vertical="center" textRotation="0" wrapText="1"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9" formatCode="dd/mm/yyyy"/>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164" formatCode="dd/mm/yyyy;@"/>
      <fill>
        <patternFill patternType="solid">
          <fgColor indexed="64"/>
          <bgColor rgb="FFE5E5E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ill>
        <patternFill patternType="solid">
          <fgColor rgb="FF000000"/>
          <bgColor rgb="FFC8B3D5"/>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rgb="FFAC6689"/>
        </patternFill>
      </fill>
      <alignment horizontal="left" vertical="center" textRotation="0" wrapText="1"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numFmt numFmtId="165" formatCode="dd/mm"/>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solid">
          <fgColor indexed="64"/>
          <bgColor rgb="FFC8B3D5"/>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rgb="FFAC6689"/>
        </patternFill>
      </fill>
      <alignment horizontal="left" vertical="center" textRotation="0" wrapText="1" indent="0" justifyLastLine="0" shrinkToFit="0" readingOrder="0"/>
    </dxf>
    <dxf>
      <numFmt numFmtId="0" formatCode="General"/>
      <fill>
        <patternFill patternType="solid">
          <fgColor indexed="64"/>
          <bgColor theme="9" tint="0.79998168889431442"/>
        </patternFill>
      </fill>
    </dxf>
    <dxf>
      <fill>
        <patternFill patternType="solid">
          <fgColor indexed="64"/>
          <bgColor theme="9" tint="0.79998168889431442"/>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solid">
          <fgColor indexed="64"/>
          <bgColor rgb="FFAC8DBF"/>
        </patternFill>
      </fill>
    </dxf>
    <dxf>
      <font>
        <b val="0"/>
        <i val="0"/>
        <strike val="0"/>
        <condense val="0"/>
        <extend val="0"/>
        <outline val="0"/>
        <shadow val="0"/>
        <u val="none"/>
        <vertAlign val="baseline"/>
        <sz val="11"/>
        <color theme="0"/>
        <name val="Calibri"/>
        <family val="2"/>
        <scheme val="minor"/>
      </font>
      <fill>
        <patternFill patternType="solid">
          <fgColor indexed="64"/>
          <bgColor rgb="FFAC6689"/>
        </patternFill>
      </fill>
      <alignment vertical="center" textRotation="0" wrapText="1"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ont>
        <b val="0"/>
        <i val="0"/>
        <strike val="0"/>
        <condense val="0"/>
        <extend val="0"/>
        <outline val="0"/>
        <shadow val="0"/>
        <u val="none"/>
        <vertAlign val="baseline"/>
        <sz val="11"/>
        <color rgb="FFFFFFFF"/>
        <name val="Calibri"/>
        <family val="2"/>
        <scheme val="minor"/>
      </font>
      <fill>
        <patternFill patternType="solid">
          <fgColor indexed="64"/>
          <bgColor rgb="FFAC6689"/>
        </patternFill>
      </fill>
      <alignment horizontal="left" vertical="center" textRotation="0" wrapText="1" indent="0" justifyLastLine="0" shrinkToFit="0" readingOrder="0"/>
    </dxf>
    <dxf>
      <numFmt numFmtId="2" formatCode="0.00"/>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numFmt numFmtId="30" formatCode="@"/>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fill>
        <patternFill patternType="solid">
          <fgColor rgb="FF000000"/>
          <bgColor rgb="FFE5E5E5"/>
        </patternFill>
      </fill>
      <alignment horizontal="left" vertical="bottom" textRotation="0" wrapText="0" indent="0" justifyLastLine="0" shrinkToFit="0" readingOrder="0"/>
    </dxf>
    <dxf>
      <fill>
        <patternFill patternType="solid">
          <fgColor rgb="FF000000"/>
          <bgColor rgb="FFAC8DBF"/>
        </patternFill>
      </fill>
      <alignment horizontal="left" vertical="bottom" textRotation="0" wrapText="0" indent="0" justifyLastLine="0" shrinkToFit="0" readingOrder="0"/>
    </dxf>
    <dxf>
      <alignment horizontal="left" vertical="center" textRotation="0" wrapText="1" indent="0" justifyLastLine="0" shrinkToFit="0" readingOrder="0"/>
    </dxf>
    <dxf>
      <fill>
        <patternFill patternType="solid">
          <fgColor indexed="64"/>
          <bgColor rgb="FFAC8DBF"/>
        </patternFill>
      </fill>
      <alignment horizontal="general" vertical="bottom" textRotation="0" wrapText="0" indent="0" justifyLastLine="0" shrinkToFit="0" readingOrder="0"/>
    </dxf>
    <dxf>
      <fill>
        <patternFill patternType="solid">
          <fgColor indexed="64"/>
          <bgColor rgb="FFAC8DBF"/>
        </patternFill>
      </fill>
      <alignment horizontal="general" vertical="bottom" textRotation="0" wrapText="0" indent="0" justifyLastLine="0" shrinkToFit="0" readingOrder="0"/>
    </dxf>
    <dxf>
      <numFmt numFmtId="30" formatCode="@"/>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numFmt numFmtId="165" formatCode="dd/mm"/>
      <fill>
        <patternFill patternType="none">
          <fgColor indexed="64"/>
          <bgColor auto="1"/>
        </patternFill>
      </fill>
      <alignment horizontal="left" vertical="bottom" textRotation="0" wrapText="0" indent="0" justifyLastLine="0" shrinkToFit="0" readingOrder="0"/>
    </dxf>
    <dxf>
      <numFmt numFmtId="165" formatCode="dd/mm"/>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165" formatCode="dd/mm"/>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165" formatCode="dd/mm"/>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alignment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border diagonalUp="0" diagonalDown="0">
        <left style="thin">
          <color theme="4" tint="0.39997558519241921"/>
        </left>
        <right/>
        <top/>
        <bottom/>
        <vertical/>
        <horizontal/>
      </border>
    </dxf>
    <dxf>
      <numFmt numFmtId="0" formatCode="General"/>
    </dxf>
    <dxf>
      <fill>
        <patternFill patternType="solid">
          <fgColor indexed="64"/>
          <bgColor theme="0" tint="-4.9989318521683403E-2"/>
        </patternFill>
      </fill>
    </dxf>
    <dxf>
      <numFmt numFmtId="0" formatCode="General"/>
    </dxf>
    <dxf>
      <numFmt numFmtId="0" formatCode="General"/>
      <fill>
        <patternFill patternType="none">
          <fgColor indexed="64"/>
          <bgColor indexed="65"/>
        </patternFill>
      </fill>
    </dxf>
    <dxf>
      <numFmt numFmtId="0" formatCode="General"/>
    </dxf>
    <dxf>
      <numFmt numFmtId="0" formatCode="General"/>
      <fill>
        <patternFill patternType="none">
          <fgColor indexed="64"/>
          <bgColor indexed="65"/>
        </patternFill>
      </fill>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fill>
        <patternFill patternType="solid">
          <fgColor indexed="64"/>
          <bgColor rgb="FFE5E5E5"/>
        </patternFill>
      </fil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ont>
        <b val="0"/>
        <i val="0"/>
        <strike val="0"/>
        <condense val="0"/>
        <extend val="0"/>
        <outline val="0"/>
        <shadow val="0"/>
        <u val="none"/>
        <vertAlign val="baseline"/>
        <sz val="11"/>
        <color rgb="FFFFFFFF"/>
        <name val="Calibri"/>
        <family val="2"/>
        <scheme val="minor"/>
      </font>
      <fill>
        <patternFill patternType="solid">
          <fgColor indexed="64"/>
          <bgColor theme="0" tint="-0.249977111117893"/>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hair">
          <color theme="0" tint="-0.499984740745262"/>
        </top>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hair">
          <color theme="0" tint="-0.499984740745262"/>
        </top>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hair">
          <color theme="0" tint="-0.499984740745262"/>
        </top>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hair">
          <color theme="0" tint="-0.499984740745262"/>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hair">
          <color theme="0" tint="-0.499984740745262"/>
        </top>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hair">
          <color theme="0" tint="-0.499984740745262"/>
        </top>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hair">
          <color theme="0" tint="-0.499984740745262"/>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ill>
        <patternFill patternType="solid">
          <fgColor indexed="64"/>
          <bgColor rgb="FFE5E5E5"/>
        </patternFill>
      </fill>
    </dxf>
    <dxf>
      <fill>
        <patternFill patternType="solid">
          <fgColor indexed="64"/>
          <bgColor rgb="FFE5E5E5"/>
        </patternFill>
      </fill>
    </dxf>
    <dxf>
      <fill>
        <patternFill patternType="solid">
          <fgColor indexed="64"/>
          <bgColor rgb="FFE5E5E5"/>
        </patternFill>
      </fill>
    </dxf>
    <dxf>
      <fill>
        <patternFill patternType="solid">
          <fgColor indexed="64"/>
          <bgColor rgb="FFE5E5E5"/>
        </patternFill>
      </fill>
    </dxf>
    <dxf>
      <fill>
        <patternFill patternType="solid">
          <fgColor indexed="64"/>
          <bgColor rgb="FFE5E5E5"/>
        </patternFill>
      </fill>
    </dxf>
    <dxf>
      <fill>
        <patternFill patternType="solid">
          <fgColor indexed="64"/>
          <bgColor rgb="FFE5E5E5"/>
        </patternFill>
      </fill>
    </dxf>
    <dxf>
      <numFmt numFmtId="2" formatCode="0.00"/>
      <fill>
        <patternFill patternType="none">
          <fgColor indexed="64"/>
          <bgColor auto="1"/>
        </patternFill>
      </fill>
      <border diagonalUp="0" diagonalDown="0">
        <left style="thin">
          <color indexed="64"/>
        </left>
        <right/>
        <top/>
        <bottom/>
        <vertical/>
        <horizontal/>
      </border>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horizontal="general" vertical="center" textRotation="0" indent="0" justifyLastLine="0" shrinkToFit="0" readingOrder="0"/>
      <border outline="0">
        <right style="thin">
          <color indexed="64"/>
        </right>
      </border>
    </dxf>
    <dxf>
      <fill>
        <patternFill patternType="none">
          <fgColor indexed="64"/>
          <bgColor auto="1"/>
        </patternFill>
      </fill>
    </dxf>
    <dxf>
      <font>
        <b/>
        <i val="0"/>
        <strike val="0"/>
        <condense val="0"/>
        <extend val="0"/>
        <outline val="0"/>
        <shadow val="0"/>
        <u/>
        <vertAlign val="baseline"/>
        <sz val="12"/>
        <color theme="0"/>
        <name val="Calibri"/>
        <family val="2"/>
        <scheme val="minor"/>
      </font>
      <fill>
        <patternFill patternType="none">
          <fgColor indexed="64"/>
          <bgColor auto="1"/>
        </patternFill>
      </fill>
    </dxf>
    <dxf>
      <fill>
        <patternFill patternType="solid">
          <fgColor indexed="64"/>
          <bgColor rgb="FFE5E5E5"/>
        </patternFill>
      </fill>
    </dxf>
    <dxf>
      <fill>
        <patternFill patternType="none">
          <fgColor indexed="64"/>
          <bgColor auto="1"/>
        </patternFill>
      </fill>
      <border diagonalUp="0" diagonalDown="0" outline="0">
        <left/>
        <right/>
        <top style="thin">
          <color theme="4" tint="0.39997558519241921"/>
        </top>
        <bottom style="thin">
          <color theme="4" tint="0.39997558519241921"/>
        </bottom>
      </border>
    </dxf>
    <dxf>
      <fill>
        <patternFill patternType="none">
          <fgColor indexed="64"/>
          <bgColor auto="1"/>
        </patternFill>
      </fill>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i val="0"/>
        <color theme="0"/>
      </font>
      <fill>
        <patternFill>
          <bgColor rgb="FF6A0F8E"/>
        </patternFill>
      </fill>
    </dxf>
    <dxf>
      <fill>
        <patternFill>
          <bgColor rgb="FFA093DB"/>
        </patternFill>
      </fill>
      <border>
        <horizontal style="hair">
          <color theme="0" tint="-0.499984740745262"/>
        </horizontal>
      </border>
    </dxf>
    <dxf>
      <font>
        <b/>
        <i val="0"/>
        <color theme="0"/>
      </font>
      <fill>
        <patternFill>
          <bgColor rgb="FFAC6689"/>
        </patternFill>
      </fill>
    </dxf>
    <dxf>
      <fill>
        <patternFill>
          <bgColor rgb="FFAC8DBF"/>
        </patternFill>
      </fill>
      <border>
        <horizontal style="hair">
          <color rgb="FFDAF6FA"/>
        </horizontal>
      </border>
    </dxf>
  </dxfs>
  <tableStyles count="2" defaultTableStyle="IMP Colours" defaultPivotStyle="PivotStyleLight16">
    <tableStyle name="IMP" pivot="0" count="2" xr9:uid="{40171677-745F-4D80-A854-43A1D0969914}">
      <tableStyleElement type="wholeTable" dxfId="711"/>
      <tableStyleElement type="headerRow" dxfId="710"/>
    </tableStyle>
    <tableStyle name="IMP Colours" pivot="0" count="2" xr9:uid="{9DAC662F-0F69-49D0-B4DF-8805A762DB2D}">
      <tableStyleElement type="wholeTable" dxfId="709"/>
      <tableStyleElement type="headerRow" dxfId="708"/>
    </tableStyle>
  </tableStyles>
  <colors>
    <mruColors>
      <color rgb="FF6A0F8E"/>
      <color rgb="FFA093DB"/>
      <color rgb="FFE5E5E5"/>
      <color rgb="FFFF4747"/>
      <color rgb="FF261342"/>
      <color rgb="FFB2B2B2"/>
      <color rgb="FFDCCEE4"/>
      <color rgb="FFC8B3D5"/>
      <color rgb="FFAAEBF4"/>
      <color rgb="FFAC8D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microsoft.com/office/2022/10/relationships/richValueRel" Target="richData/richValueRel.xml"/><Relationship Id="rId50" Type="http://schemas.microsoft.com/office/2017/06/relationships/rdRichValueTypes" Target="richData/rdRichValueTypes.xml"/><Relationship Id="rId55"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onnections" Target="connections.xml"/><Relationship Id="rId48" Type="http://schemas.microsoft.com/office/2017/06/relationships/rdRichValue" Target="richData/rdrichvalue.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1</xdr:colOff>
      <xdr:row>7</xdr:row>
      <xdr:rowOff>0</xdr:rowOff>
    </xdr:from>
    <xdr:to>
      <xdr:col>16</xdr:col>
      <xdr:colOff>552451</xdr:colOff>
      <xdr:row>25</xdr:row>
      <xdr:rowOff>84731</xdr:rowOff>
    </xdr:to>
    <xdr:pic>
      <xdr:nvPicPr>
        <xdr:cNvPr id="2" name="Picture 1" descr="A screenshot of a computer&#10;&#10;Description automatically generated">
          <a:extLst>
            <a:ext uri="{FF2B5EF4-FFF2-40B4-BE49-F238E27FC236}">
              <a16:creationId xmlns:a16="http://schemas.microsoft.com/office/drawing/2014/main" id="{77A06FEF-1D07-4557-B7FA-BED4BF410AA1}"/>
            </a:ext>
          </a:extLst>
        </xdr:cNvPr>
        <xdr:cNvPicPr>
          <a:picLocks noChangeAspect="1"/>
        </xdr:cNvPicPr>
      </xdr:nvPicPr>
      <xdr:blipFill>
        <a:blip xmlns:r="http://schemas.openxmlformats.org/officeDocument/2006/relationships" r:embed="rId1"/>
        <a:stretch>
          <a:fillRect/>
        </a:stretch>
      </xdr:blipFill>
      <xdr:spPr>
        <a:xfrm>
          <a:off x="1" y="1343025"/>
          <a:ext cx="10306050" cy="0"/>
        </a:xfrm>
        <a:prstGeom prst="rect">
          <a:avLst/>
        </a:prstGeom>
      </xdr:spPr>
    </xdr:pic>
    <xdr:clientData/>
  </xdr:twoCellAnchor>
  <xdr:twoCellAnchor>
    <xdr:from>
      <xdr:col>0</xdr:col>
      <xdr:colOff>0</xdr:colOff>
      <xdr:row>29</xdr:row>
      <xdr:rowOff>0</xdr:rowOff>
    </xdr:from>
    <xdr:to>
      <xdr:col>24</xdr:col>
      <xdr:colOff>68726</xdr:colOff>
      <xdr:row>48</xdr:row>
      <xdr:rowOff>86242</xdr:rowOff>
    </xdr:to>
    <xdr:pic>
      <xdr:nvPicPr>
        <xdr:cNvPr id="3" name="Picture 2" descr="A screenshot of a computer&#10;&#10;Description automatically generated">
          <a:extLst>
            <a:ext uri="{FF2B5EF4-FFF2-40B4-BE49-F238E27FC236}">
              <a16:creationId xmlns:a16="http://schemas.microsoft.com/office/drawing/2014/main" id="{B3F973AB-BAD1-47D6-AA98-FE23FAB602F0}"/>
            </a:ext>
          </a:extLst>
        </xdr:cNvPr>
        <xdr:cNvPicPr>
          <a:picLocks noChangeAspect="1"/>
        </xdr:cNvPicPr>
      </xdr:nvPicPr>
      <xdr:blipFill>
        <a:blip xmlns:r="http://schemas.openxmlformats.org/officeDocument/2006/relationships" r:embed="rId2"/>
        <a:stretch>
          <a:fillRect/>
        </a:stretch>
      </xdr:blipFill>
      <xdr:spPr>
        <a:xfrm>
          <a:off x="0" y="1724025"/>
          <a:ext cx="14699126" cy="0"/>
        </a:xfrm>
        <a:prstGeom prst="rect">
          <a:avLst/>
        </a:prstGeom>
      </xdr:spPr>
    </xdr:pic>
    <xdr:clientData/>
  </xdr:twoCellAnchor>
  <xdr:twoCellAnchor>
    <xdr:from>
      <xdr:col>0</xdr:col>
      <xdr:colOff>0</xdr:colOff>
      <xdr:row>52</xdr:row>
      <xdr:rowOff>0</xdr:rowOff>
    </xdr:from>
    <xdr:to>
      <xdr:col>24</xdr:col>
      <xdr:colOff>49674</xdr:colOff>
      <xdr:row>101</xdr:row>
      <xdr:rowOff>106092</xdr:rowOff>
    </xdr:to>
    <xdr:pic>
      <xdr:nvPicPr>
        <xdr:cNvPr id="4" name="Picture 3" descr="A screenshot of a computer&#10;&#10;Description automatically generated">
          <a:extLst>
            <a:ext uri="{FF2B5EF4-FFF2-40B4-BE49-F238E27FC236}">
              <a16:creationId xmlns:a16="http://schemas.microsoft.com/office/drawing/2014/main" id="{2827B55D-5DEE-4540-8A2F-A735D1D17ECA}"/>
            </a:ext>
          </a:extLst>
        </xdr:cNvPr>
        <xdr:cNvPicPr>
          <a:picLocks noChangeAspect="1"/>
        </xdr:cNvPicPr>
      </xdr:nvPicPr>
      <xdr:blipFill>
        <a:blip xmlns:r="http://schemas.openxmlformats.org/officeDocument/2006/relationships" r:embed="rId3"/>
        <a:stretch>
          <a:fillRect/>
        </a:stretch>
      </xdr:blipFill>
      <xdr:spPr>
        <a:xfrm>
          <a:off x="0" y="2105025"/>
          <a:ext cx="14680074" cy="0"/>
        </a:xfrm>
        <a:prstGeom prst="rect">
          <a:avLst/>
        </a:prstGeom>
      </xdr:spPr>
    </xdr:pic>
    <xdr:clientData/>
  </xdr:twoCellAnchor>
  <xdr:twoCellAnchor>
    <xdr:from>
      <xdr:col>0</xdr:col>
      <xdr:colOff>0</xdr:colOff>
      <xdr:row>105</xdr:row>
      <xdr:rowOff>0</xdr:rowOff>
    </xdr:from>
    <xdr:to>
      <xdr:col>5</xdr:col>
      <xdr:colOff>495795</xdr:colOff>
      <xdr:row>144</xdr:row>
      <xdr:rowOff>67721</xdr:rowOff>
    </xdr:to>
    <xdr:pic>
      <xdr:nvPicPr>
        <xdr:cNvPr id="5" name="Picture 4" descr="A screenshot of a computer&#10;&#10;Description automatically generated">
          <a:extLst>
            <a:ext uri="{FF2B5EF4-FFF2-40B4-BE49-F238E27FC236}">
              <a16:creationId xmlns:a16="http://schemas.microsoft.com/office/drawing/2014/main" id="{AAC5CA30-FEAE-4EFB-8DFD-0ABF71FAAC6C}"/>
            </a:ext>
          </a:extLst>
        </xdr:cNvPr>
        <xdr:cNvPicPr>
          <a:picLocks noChangeAspect="1"/>
        </xdr:cNvPicPr>
      </xdr:nvPicPr>
      <xdr:blipFill>
        <a:blip xmlns:r="http://schemas.openxmlformats.org/officeDocument/2006/relationships" r:embed="rId4"/>
        <a:stretch>
          <a:fillRect/>
        </a:stretch>
      </xdr:blipFill>
      <xdr:spPr>
        <a:xfrm>
          <a:off x="0" y="2486025"/>
          <a:ext cx="3543795" cy="0"/>
        </a:xfrm>
        <a:prstGeom prst="rect">
          <a:avLst/>
        </a:prstGeom>
      </xdr:spPr>
    </xdr:pic>
    <xdr:clientData/>
  </xdr:twoCellAnchor>
  <xdr:twoCellAnchor>
    <xdr:from>
      <xdr:col>0</xdr:col>
      <xdr:colOff>0</xdr:colOff>
      <xdr:row>148</xdr:row>
      <xdr:rowOff>0</xdr:rowOff>
    </xdr:from>
    <xdr:to>
      <xdr:col>8</xdr:col>
      <xdr:colOff>168077</xdr:colOff>
      <xdr:row>161</xdr:row>
      <xdr:rowOff>7835</xdr:rowOff>
    </xdr:to>
    <xdr:pic>
      <xdr:nvPicPr>
        <xdr:cNvPr id="6" name="Picture 5" descr="A screenshot of a computer error&#10;&#10;Description automatically generated">
          <a:extLst>
            <a:ext uri="{FF2B5EF4-FFF2-40B4-BE49-F238E27FC236}">
              <a16:creationId xmlns:a16="http://schemas.microsoft.com/office/drawing/2014/main" id="{0A07BDD8-B186-4B57-C66D-9444AF9BD9D0}"/>
            </a:ext>
          </a:extLst>
        </xdr:cNvPr>
        <xdr:cNvPicPr>
          <a:picLocks noChangeAspect="1"/>
        </xdr:cNvPicPr>
      </xdr:nvPicPr>
      <xdr:blipFill>
        <a:blip xmlns:r="http://schemas.openxmlformats.org/officeDocument/2006/relationships" r:embed="rId5"/>
        <a:stretch>
          <a:fillRect/>
        </a:stretch>
      </xdr:blipFill>
      <xdr:spPr>
        <a:xfrm>
          <a:off x="0" y="28394025"/>
          <a:ext cx="5044877" cy="2484335"/>
        </a:xfrm>
        <a:prstGeom prst="rect">
          <a:avLst/>
        </a:prstGeom>
      </xdr:spPr>
    </xdr:pic>
    <xdr:clientData/>
  </xdr:twoCellAnchor>
  <xdr:twoCellAnchor>
    <xdr:from>
      <xdr:col>0</xdr:col>
      <xdr:colOff>0</xdr:colOff>
      <xdr:row>164</xdr:row>
      <xdr:rowOff>0</xdr:rowOff>
    </xdr:from>
    <xdr:to>
      <xdr:col>9</xdr:col>
      <xdr:colOff>251957</xdr:colOff>
      <xdr:row>170</xdr:row>
      <xdr:rowOff>53444</xdr:rowOff>
    </xdr:to>
    <xdr:pic>
      <xdr:nvPicPr>
        <xdr:cNvPr id="7" name="Picture 6">
          <a:extLst>
            <a:ext uri="{FF2B5EF4-FFF2-40B4-BE49-F238E27FC236}">
              <a16:creationId xmlns:a16="http://schemas.microsoft.com/office/drawing/2014/main" id="{FA55EA7A-2599-DE6D-D6EF-B6FA7DCB17EB}"/>
            </a:ext>
          </a:extLst>
        </xdr:cNvPr>
        <xdr:cNvPicPr>
          <a:picLocks noChangeAspect="1"/>
        </xdr:cNvPicPr>
      </xdr:nvPicPr>
      <xdr:blipFill>
        <a:blip xmlns:r="http://schemas.openxmlformats.org/officeDocument/2006/relationships" r:embed="rId6"/>
        <a:stretch>
          <a:fillRect/>
        </a:stretch>
      </xdr:blipFill>
      <xdr:spPr>
        <a:xfrm>
          <a:off x="0" y="31775400"/>
          <a:ext cx="5738357" cy="1196444"/>
        </a:xfrm>
        <a:prstGeom prst="rect">
          <a:avLst/>
        </a:prstGeom>
      </xdr:spPr>
    </xdr:pic>
    <xdr:clientData/>
  </xdr:twoCellAnchor>
  <xdr:twoCellAnchor>
    <xdr:from>
      <xdr:col>0</xdr:col>
      <xdr:colOff>66675</xdr:colOff>
      <xdr:row>177</xdr:row>
      <xdr:rowOff>47625</xdr:rowOff>
    </xdr:from>
    <xdr:to>
      <xdr:col>25</xdr:col>
      <xdr:colOff>402224</xdr:colOff>
      <xdr:row>185</xdr:row>
      <xdr:rowOff>85943</xdr:rowOff>
    </xdr:to>
    <xdr:pic>
      <xdr:nvPicPr>
        <xdr:cNvPr id="8" name="Picture 7">
          <a:extLst>
            <a:ext uri="{FF2B5EF4-FFF2-40B4-BE49-F238E27FC236}">
              <a16:creationId xmlns:a16="http://schemas.microsoft.com/office/drawing/2014/main" id="{467879F8-3BBC-401E-8FC3-4D728B810F12}"/>
            </a:ext>
          </a:extLst>
        </xdr:cNvPr>
        <xdr:cNvPicPr>
          <a:picLocks noChangeAspect="1"/>
        </xdr:cNvPicPr>
      </xdr:nvPicPr>
      <xdr:blipFill>
        <a:blip xmlns:r="http://schemas.openxmlformats.org/officeDocument/2006/relationships" r:embed="rId7"/>
        <a:stretch>
          <a:fillRect/>
        </a:stretch>
      </xdr:blipFill>
      <xdr:spPr>
        <a:xfrm>
          <a:off x="68580" y="5623560"/>
          <a:ext cx="15577454" cy="1562318"/>
        </a:xfrm>
        <a:prstGeom prst="rect">
          <a:avLst/>
        </a:prstGeom>
      </xdr:spPr>
    </xdr:pic>
    <xdr:clientData/>
  </xdr:twoCellAnchor>
  <xdr:twoCellAnchor>
    <xdr:from>
      <xdr:col>0</xdr:col>
      <xdr:colOff>342900</xdr:colOff>
      <xdr:row>185</xdr:row>
      <xdr:rowOff>19050</xdr:rowOff>
    </xdr:from>
    <xdr:to>
      <xdr:col>3</xdr:col>
      <xdr:colOff>533682</xdr:colOff>
      <xdr:row>191</xdr:row>
      <xdr:rowOff>28736</xdr:rowOff>
    </xdr:to>
    <xdr:pic>
      <xdr:nvPicPr>
        <xdr:cNvPr id="9" name="Picture 8">
          <a:extLst>
            <a:ext uri="{FF2B5EF4-FFF2-40B4-BE49-F238E27FC236}">
              <a16:creationId xmlns:a16="http://schemas.microsoft.com/office/drawing/2014/main" id="{D4BE082F-C9C7-47D3-B87A-D046D1591C27}"/>
            </a:ext>
          </a:extLst>
        </xdr:cNvPr>
        <xdr:cNvPicPr>
          <a:picLocks noChangeAspect="1"/>
        </xdr:cNvPicPr>
      </xdr:nvPicPr>
      <xdr:blipFill>
        <a:blip xmlns:r="http://schemas.openxmlformats.org/officeDocument/2006/relationships" r:embed="rId8"/>
        <a:stretch>
          <a:fillRect/>
        </a:stretch>
      </xdr:blipFill>
      <xdr:spPr>
        <a:xfrm>
          <a:off x="342900" y="7124700"/>
          <a:ext cx="2019582" cy="1150781"/>
        </a:xfrm>
        <a:prstGeom prst="rect">
          <a:avLst/>
        </a:prstGeom>
      </xdr:spPr>
    </xdr:pic>
    <xdr:clientData/>
  </xdr:twoCellAnchor>
  <xdr:twoCellAnchor>
    <xdr:from>
      <xdr:col>0</xdr:col>
      <xdr:colOff>0</xdr:colOff>
      <xdr:row>192</xdr:row>
      <xdr:rowOff>0</xdr:rowOff>
    </xdr:from>
    <xdr:to>
      <xdr:col>15</xdr:col>
      <xdr:colOff>382329</xdr:colOff>
      <xdr:row>212</xdr:row>
      <xdr:rowOff>181532</xdr:rowOff>
    </xdr:to>
    <xdr:pic>
      <xdr:nvPicPr>
        <xdr:cNvPr id="10" name="Picture 9">
          <a:extLst>
            <a:ext uri="{FF2B5EF4-FFF2-40B4-BE49-F238E27FC236}">
              <a16:creationId xmlns:a16="http://schemas.microsoft.com/office/drawing/2014/main" id="{FB101245-205D-46A9-BF66-81DB8CBDA070}"/>
            </a:ext>
          </a:extLst>
        </xdr:cNvPr>
        <xdr:cNvPicPr>
          <a:picLocks noChangeAspect="1"/>
        </xdr:cNvPicPr>
      </xdr:nvPicPr>
      <xdr:blipFill>
        <a:blip xmlns:r="http://schemas.openxmlformats.org/officeDocument/2006/relationships" r:embed="rId9"/>
        <a:stretch>
          <a:fillRect/>
        </a:stretch>
      </xdr:blipFill>
      <xdr:spPr>
        <a:xfrm>
          <a:off x="0" y="8435340"/>
          <a:ext cx="9526329" cy="3993437"/>
        </a:xfrm>
        <a:prstGeom prst="rect">
          <a:avLst/>
        </a:prstGeom>
      </xdr:spPr>
    </xdr:pic>
    <xdr:clientData/>
  </xdr:twoCellAnchor>
  <xdr:twoCellAnchor>
    <xdr:from>
      <xdr:col>0</xdr:col>
      <xdr:colOff>0</xdr:colOff>
      <xdr:row>213</xdr:row>
      <xdr:rowOff>85725</xdr:rowOff>
    </xdr:from>
    <xdr:to>
      <xdr:col>15</xdr:col>
      <xdr:colOff>429961</xdr:colOff>
      <xdr:row>233</xdr:row>
      <xdr:rowOff>143415</xdr:rowOff>
    </xdr:to>
    <xdr:pic>
      <xdr:nvPicPr>
        <xdr:cNvPr id="11" name="Picture 10">
          <a:extLst>
            <a:ext uri="{FF2B5EF4-FFF2-40B4-BE49-F238E27FC236}">
              <a16:creationId xmlns:a16="http://schemas.microsoft.com/office/drawing/2014/main" id="{AA08D121-A198-4657-A00C-C593048EF11C}"/>
            </a:ext>
          </a:extLst>
        </xdr:cNvPr>
        <xdr:cNvPicPr>
          <a:picLocks noChangeAspect="1"/>
        </xdr:cNvPicPr>
      </xdr:nvPicPr>
      <xdr:blipFill>
        <a:blip xmlns:r="http://schemas.openxmlformats.org/officeDocument/2006/relationships" r:embed="rId10"/>
        <a:stretch>
          <a:fillRect/>
        </a:stretch>
      </xdr:blipFill>
      <xdr:spPr>
        <a:xfrm>
          <a:off x="0" y="12519660"/>
          <a:ext cx="9572056" cy="3871500"/>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5" xr16:uid="{5A67F31B-3FA4-4D04-8714-79909F1E691F}" autoFormatId="16" applyNumberFormats="0" applyBorderFormats="0" applyFontFormats="0" applyPatternFormats="0" applyAlignmentFormats="0" applyWidthHeightFormats="0">
  <queryTableRefresh nextId="4">
    <queryTableFields count="3">
      <queryTableField id="1" name="groupingCodeCode" tableColumnId="1"/>
      <queryTableField id="2" name="title" tableColumnId="2"/>
      <queryTableField id="3" name="groupingCodeTypeCod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358C2949-1A7C-4064-B819-962F68AAA8B6}" autoFormatId="16" applyNumberFormats="0" applyBorderFormats="0" applyFontFormats="0" applyPatternFormats="0" applyAlignmentFormats="0" applyWidthHeightFormats="0">
  <queryTableRefresh nextId="10" unboundColumnsLeft="6">
    <queryTableFields count="9">
      <queryTableField id="9" dataBound="0" tableColumnId="4"/>
      <queryTableField id="8" dataBound="0" tableColumnId="5"/>
      <queryTableField id="7" dataBound="0" tableColumnId="6"/>
      <queryTableField id="6" dataBound="0" tableColumnId="7"/>
      <queryTableField id="5" dataBound="0" tableColumnId="8"/>
      <queryTableField id="4" dataBound="0" tableColumnId="9"/>
      <queryTableField id="1" name="fundCode" tableColumnId="1"/>
      <queryTableField id="2" name="title" tableColumnId="2"/>
      <queryTableField id="3" name="fundEnabled"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20E120E0-7357-44FE-A062-7A08CCB1978E}" autoFormatId="16" applyNumberFormats="0" applyBorderFormats="0" applyFontFormats="0" applyPatternFormats="0" applyAlignmentFormats="0" applyWidthHeightFormats="0">
  <queryTableRefresh nextId="10" unboundColumnsLeft="6">
    <queryTableFields count="9">
      <queryTableField id="9" dataBound="0" tableColumnId="4"/>
      <queryTableField id="8" dataBound="0" tableColumnId="5"/>
      <queryTableField id="7" dataBound="0" tableColumnId="6"/>
      <queryTableField id="6" dataBound="0" tableColumnId="7"/>
      <queryTableField id="5" dataBound="0" tableColumnId="8"/>
      <queryTableField id="4" dataBound="0" tableColumnId="9"/>
      <queryTableField id="1" name="activityCode" tableColumnId="1"/>
      <queryTableField id="2" name="title" tableColumnId="2"/>
      <queryTableField id="3" name="activityEnabled"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9" xr16:uid="{BF57AE7D-0061-49D9-B617-E1DC20480C3F}" autoFormatId="16" applyNumberFormats="0" applyBorderFormats="0" applyFontFormats="0" applyPatternFormats="0" applyAlignmentFormats="0" applyWidthHeightFormats="0">
  <queryTableRefresh nextId="10" unboundColumnsLeft="6">
    <queryTableFields count="9">
      <queryTableField id="9" dataBound="0" tableColumnId="4"/>
      <queryTableField id="8" dataBound="0" tableColumnId="5"/>
      <queryTableField id="7" dataBound="0" tableColumnId="6"/>
      <queryTableField id="6" dataBound="0" tableColumnId="7"/>
      <queryTableField id="5" dataBound="0" tableColumnId="8"/>
      <queryTableField id="4" dataBound="0" tableColumnId="9"/>
      <queryTableField id="1" name="ledgerCode" tableColumnId="1"/>
      <queryTableField id="2" name="title" tableColumnId="2"/>
      <queryTableField id="3" name="ledgerEnabled"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458CB6D5-8D2B-42A5-B916-8E305E8C0FFB}" autoFormatId="16" applyNumberFormats="0" applyBorderFormats="0" applyFontFormats="0" applyPatternFormats="0" applyAlignmentFormats="0" applyWidthHeightFormats="0">
  <queryTableRefresh nextId="10" unboundColumnsLeft="6">
    <queryTableFields count="9">
      <queryTableField id="9" dataBound="0" tableColumnId="4"/>
      <queryTableField id="8" dataBound="0" tableColumnId="5"/>
      <queryTableField id="7" dataBound="0" tableColumnId="6"/>
      <queryTableField id="6" dataBound="0" tableColumnId="7"/>
      <queryTableField id="5" dataBound="0" tableColumnId="8"/>
      <queryTableField id="4" dataBound="0" tableColumnId="9"/>
      <queryTableField id="1" name="customGroupingCode" tableColumnId="1"/>
      <queryTableField id="2" name="title" tableColumnId="2"/>
      <queryTableField id="3" name="customGroupingEnabled"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11" xr16:uid="{0DEB6278-6B37-461B-9279-CD439926FA7A}" autoFormatId="16" applyNumberFormats="0" applyBorderFormats="0" applyFontFormats="0" applyPatternFormats="0" applyAlignmentFormats="0" applyWidthHeightFormats="0">
  <queryTableRefresh nextId="10" unboundColumnsLeft="6">
    <queryTableFields count="9">
      <queryTableField id="9" dataBound="0" tableColumnId="4"/>
      <queryTableField id="8" dataBound="0" tableColumnId="5"/>
      <queryTableField id="7" dataBound="0" tableColumnId="6"/>
      <queryTableField id="6" dataBound="0" tableColumnId="7"/>
      <queryTableField id="5" dataBound="0" tableColumnId="8"/>
      <queryTableField id="4" dataBound="0" tableColumnId="9"/>
      <queryTableField id="1" name="schoolHubCode" tableColumnId="1"/>
      <queryTableField id="2" name="title" tableColumnId="2"/>
      <queryTableField id="3" name="schoolHubEnabled"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14" xr16:uid="{111DCAA7-61E1-4E88-B1BF-15163FB3B509}" autoFormatId="16" applyNumberFormats="0" applyBorderFormats="0" applyFontFormats="0" applyPatternFormats="0" applyAlignmentFormats="0" applyWidthHeightFormats="0">
  <queryTableRefresh nextId="10" unboundColumnsLeft="6">
    <queryTableFields count="9">
      <queryTableField id="9" dataBound="0" tableColumnId="4"/>
      <queryTableField id="8" dataBound="0" tableColumnId="5"/>
      <queryTableField id="7" dataBound="0" tableColumnId="6"/>
      <queryTableField id="6" dataBound="0" tableColumnId="7"/>
      <queryTableField id="5" dataBound="0" tableColumnId="8"/>
      <queryTableField id="4" dataBound="0" tableColumnId="9"/>
      <queryTableField id="1" name="schoolTypeCode" tableColumnId="1"/>
      <queryTableField id="2" name="title" tableColumnId="2"/>
      <queryTableField id="3" name="schoolTypeEnabled"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0" xr16:uid="{B6F4F04F-1E90-493C-BCC2-6AEB2771F8C0}" autoFormatId="16" applyNumberFormats="0" applyBorderFormats="0" applyFontFormats="0" applyPatternFormats="0" applyAlignmentFormats="0" applyWidthHeightFormats="0">
  <queryTableRefresh nextId="11" unboundColumnsLeft="7">
    <queryTableFields count="10">
      <queryTableField id="10" dataBound="0" tableColumnId="4"/>
      <queryTableField id="9" dataBound="0" tableColumnId="5"/>
      <queryTableField id="8" dataBound="0" tableColumnId="6"/>
      <queryTableField id="7" dataBound="0" tableColumnId="7"/>
      <queryTableField id="6" dataBound="0" tableColumnId="8"/>
      <queryTableField id="5" dataBound="0" tableColumnId="9"/>
      <queryTableField id="4" dataBound="0" tableColumnId="10"/>
      <queryTableField id="1" name="schoolLocalAuthorityCode" tableColumnId="1"/>
      <queryTableField id="2" name="title" tableColumnId="2"/>
      <queryTableField id="3" name="schoolLocalAuthorityEnabled"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2" xr16:uid="{CCAA427B-123A-4934-9323-BB6220483456}" autoFormatId="16" applyNumberFormats="0" applyBorderFormats="0" applyFontFormats="0" applyPatternFormats="0" applyAlignmentFormats="0" applyWidthHeightFormats="0">
  <queryTableRefresh nextId="22" unboundColumnsLeft="9">
    <queryTableFields count="18">
      <queryTableField id="19" dataBound="0" tableColumnId="11"/>
      <queryTableField id="18" dataBound="0" tableColumnId="12"/>
      <queryTableField id="17" dataBound="0" tableColumnId="13"/>
      <queryTableField id="16" dataBound="0" tableColumnId="14"/>
      <queryTableField id="15" dataBound="0" tableColumnId="15"/>
      <queryTableField id="14" dataBound="0" tableColumnId="16"/>
      <queryTableField id="13" dataBound="0" tableColumnId="17"/>
      <queryTableField id="12" dataBound="0" tableColumnId="18"/>
      <queryTableField id="11" dataBound="0" tableColumnId="19"/>
      <queryTableField id="1" name="schoolLocalAuthority" tableColumnId="1"/>
      <queryTableField id="2" name="schoolCode" tableColumnId="2"/>
      <queryTableField id="3" name="schoolHub" tableColumnId="3"/>
      <queryTableField id="4" name="schoolType" tableColumnId="4"/>
      <queryTableField id="5" name="title" tableColumnId="5"/>
      <queryTableField id="6" name="londonWeighting" tableColumnId="6"/>
      <queryTableField id="7" name="uniqueReferenceNumber" tableColumnId="7"/>
      <queryTableField id="8" name="teachingHours" tableColumnId="8"/>
      <queryTableField id="9" name="schoolEnabled" tableColumnId="9"/>
    </queryTableFields>
    <queryTableDeletedFields count="1">
      <deletedField name="SchLookup"/>
    </queryTableDeleted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D8F8E28C-EF25-4AFE-B6FE-875F016D4850}" autoFormatId="16" applyNumberFormats="0" applyBorderFormats="0" applyFontFormats="0" applyPatternFormats="0" applyAlignmentFormats="0" applyWidthHeightFormats="0">
  <queryTableRefresh nextId="21" unboundColumnsLeft="6">
    <queryTableFields count="15">
      <queryTableField id="14" dataBound="0" tableColumnId="9"/>
      <queryTableField id="13" dataBound="0" tableColumnId="10"/>
      <queryTableField id="12" dataBound="0" tableColumnId="11"/>
      <queryTableField id="11" dataBound="0" tableColumnId="12"/>
      <queryTableField id="10" dataBound="0" tableColumnId="13"/>
      <queryTableField id="9" dataBound="0" tableColumnId="14"/>
      <queryTableField id="1" name="departmentCode" tableColumnId="1"/>
      <queryTableField id="2" name="title" tableColumnId="2"/>
      <queryTableField id="3" name="availableToAllSchools" tableColumnId="3"/>
      <queryTableField id="4" name="schoolCodes" tableColumnId="4"/>
      <queryTableField id="15" name="activityCode" tableColumnId="15"/>
      <queryTableField id="5" name="fundCode" tableColumnId="5"/>
      <queryTableField id="6" name="ledgerCode" tableColumnId="6"/>
      <queryTableField id="7" name="defaultFinanceCode" tableColumnId="7"/>
      <queryTableField id="8" name="departmentEnabled" tableColumn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2" connectionId="4" xr16:uid="{CB0F5D26-E6CE-4ED3-9E58-424627398FA5}" autoFormatId="16" applyNumberFormats="0" applyBorderFormats="0" applyFontFormats="0" applyPatternFormats="0" applyAlignmentFormats="0" applyWidthHeightFormats="0">
  <queryTableRefresh nextId="42" unboundColumnsLeft="15" unboundColumnsRight="1">
    <queryTableFields count="26">
      <queryTableField id="27" dataBound="0" tableColumnId="21"/>
      <queryTableField id="26" dataBound="0" tableColumnId="22"/>
      <queryTableField id="25" dataBound="0" tableColumnId="23"/>
      <queryTableField id="24" dataBound="0" tableColumnId="24"/>
      <queryTableField id="23" dataBound="0" tableColumnId="25"/>
      <queryTableField id="22" dataBound="0" tableColumnId="26"/>
      <queryTableField id="21" dataBound="0" tableColumnId="27"/>
      <queryTableField id="37" dataBound="0" tableColumnId="6"/>
      <queryTableField id="32" dataBound="0" tableColumnId="1"/>
      <queryTableField id="39" dataBound="0" tableColumnId="8"/>
      <queryTableField id="40" dataBound="0" tableColumnId="9"/>
      <queryTableField id="31" dataBound="0" tableColumnId="2"/>
      <queryTableField id="36" dataBound="0" tableColumnId="5"/>
      <queryTableField id="38" dataBound="0" tableColumnId="7"/>
      <queryTableField id="28" dataBound="0" tableColumnId="28"/>
      <queryTableField id="10" name="FinanceCode" tableColumnId="10"/>
      <queryTableField id="11" name="Title" tableColumnId="11"/>
      <queryTableField id="12" name="FinanceCodeTypeCode" tableColumnId="12"/>
      <queryTableField id="33" name="GroupingCode" tableColumnId="3"/>
      <queryTableField id="14" name="CustomGrouping" tableColumnId="14"/>
      <queryTableField id="15" name="LedgerCode" tableColumnId="15"/>
      <queryTableField id="16" name="AvailableToAllSchools" tableColumnId="16"/>
      <queryTableField id="17" name="SchoolCodes" tableColumnId="17"/>
      <queryTableField id="18" name="FinanceCodeEnabled" tableColumnId="18"/>
      <queryTableField id="35" name="BalanceToScenario" tableColumnId="4"/>
      <queryTableField id="41" dataBound="0" tableColumnId="13"/>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E7B2AC49-E0DC-4092-8850-7F274687A270}" autoFormatId="16" applyNumberFormats="0" applyBorderFormats="0" applyFontFormats="0" applyPatternFormats="0" applyAlignmentFormats="0" applyWidthHeightFormats="0">
  <queryTableRefresh nextId="25" unboundColumnsLeft="13">
    <queryTableFields count="23">
      <queryTableField id="20" dataBound="0" tableColumnId="10"/>
      <queryTableField id="19" dataBound="0" tableColumnId="11"/>
      <queryTableField id="18" dataBound="0" tableColumnId="12"/>
      <queryTableField id="17" dataBound="0" tableColumnId="13"/>
      <queryTableField id="16" dataBound="0" tableColumnId="14"/>
      <queryTableField id="15" dataBound="0" tableColumnId="15"/>
      <queryTableField id="14" dataBound="0" tableColumnId="16"/>
      <queryTableField id="24" dataBound="0" tableColumnId="21"/>
      <queryTableField id="23" dataBound="0" tableColumnId="23"/>
      <queryTableField id="13" dataBound="0" tableColumnId="17"/>
      <queryTableField id="12" dataBound="0" tableColumnId="18"/>
      <queryTableField id="11" dataBound="0" tableColumnId="19"/>
      <queryTableField id="10" dataBound="0" tableColumnId="20"/>
      <queryTableField id="1" name="financeCode" tableColumnId="1"/>
      <queryTableField id="2" name="title" tableColumnId="2"/>
      <queryTableField id="3" name="groupingCode" tableColumnId="3"/>
      <queryTableField id="4" name="customGrouping" tableColumnId="4"/>
      <queryTableField id="5" name="availableToAllSchools" tableColumnId="5"/>
      <queryTableField id="6" name="schoolCodes" tableColumnId="6"/>
      <queryTableField id="7" name="financeCodeTypeCode" tableColumnId="7"/>
      <queryTableField id="8" name="ledgerCode" tableColumnId="8"/>
      <queryTableField id="9" name="financeCodeEnabled" tableColumnId="9"/>
      <queryTableField id="22" name="BalanceToScenario" tableColumnId="22"/>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F47053-6C01-4B92-A575-AF956E45C248}" name="Parameters" displayName="Parameters" ref="A3:B7" totalsRowShown="0" headerRowDxfId="707" dataDxfId="705" headerRowBorderDxfId="706" tableBorderDxfId="704" totalsRowBorderDxfId="703">
  <autoFilter ref="A3:B7" xr:uid="{FF707411-DA8B-47BB-B300-C95A49C58187}"/>
  <tableColumns count="2">
    <tableColumn id="1" xr3:uid="{960B41EB-C810-4B07-A40C-FF149CB5EAF9}" name="Parameter" dataDxfId="702"/>
    <tableColumn id="2" xr3:uid="{B2510555-4901-4AE3-9C63-5DE1F9D5E624}" name="Value" dataDxfId="701"/>
  </tableColumns>
  <tableStyleInfo name="IMP Colours"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AE62A323-7133-42EE-B614-D7D5C9FC0E16}" name="CALC_METHOD" displayName="CALC_METHOD" ref="A9:B10" totalsRowShown="0">
  <autoFilter ref="A9:B10" xr:uid="{AE62A323-7133-42EE-B614-D7D5C9FC0E16}"/>
  <tableColumns count="2">
    <tableColumn id="1" xr3:uid="{BD1F1E05-C5E9-4188-8565-24B82A09574B}" name="Element"/>
    <tableColumn id="2" xr3:uid="{AF77AC22-FCE3-430D-A756-66817115C6C1}" name="Type" dataDxfId="700"/>
  </tableColumns>
  <tableStyleInfo name="IMP Colours"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E84E159-4407-4EAB-B036-8FD225310AE1}" name="S2_CHECKLIST" displayName="S2_CHECKLIST" ref="A2:C40" totalsRowShown="0" headerRowDxfId="699" dataDxfId="698">
  <autoFilter ref="A2:C40" xr:uid="{EE84E159-4407-4EAB-B036-8FD225310AE1}"/>
  <tableColumns count="3">
    <tableColumn id="1" xr3:uid="{1CC86E43-7848-4D50-874A-8D5FD0472086}" name="Task" dataDxfId="697"/>
    <tableColumn id="2" xr3:uid="{78ACA9AC-AF37-47CF-B1B2-62CDA7BF701F}" name="Notes" dataDxfId="696"/>
    <tableColumn id="3" xr3:uid="{FA969F37-D8B5-4B2F-A149-0AEEC849F759}" name="Error Check" dataDxfId="695"/>
  </tableColumns>
  <tableStyleInfo name="IMP Colours"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412151A4-276A-4AB5-A1FA-1A7E8DD3661B}" name="Table_System_Grouping_Codes" displayName="Table_System_Grouping_Codes" ref="A1:C509" tableType="queryTable" totalsRowShown="0">
  <autoFilter ref="A1:C509" xr:uid="{412151A4-276A-4AB5-A1FA-1A7E8DD3661B}"/>
  <sortState xmlns:xlrd2="http://schemas.microsoft.com/office/spreadsheetml/2017/richdata2" ref="A2:C509">
    <sortCondition ref="A1:A509"/>
  </sortState>
  <tableColumns count="3">
    <tableColumn id="1" xr3:uid="{35E2E077-5462-401E-88A5-F2C8893EE22C}" uniqueName="1" name="groupingCodeCode" queryTableFieldId="1"/>
    <tableColumn id="2" xr3:uid="{86D6DBF6-2928-4B7B-8FE4-954F7E030524}" uniqueName="2" name="title" queryTableFieldId="2"/>
    <tableColumn id="3" xr3:uid="{A277FF64-DB00-4C25-89D3-44E54802D69B}" uniqueName="3" name="groupingCodeTypeCode" queryTableFieldId="3"/>
  </tableColumns>
  <tableStyleInfo name="IMP Colours"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628A74DB-5F1F-4E60-9573-98A7EE325AB1}" name="FUNDS" displayName="FUNDS" ref="A2:I13" tableType="queryTable" totalsRowShown="0">
  <autoFilter ref="A2:I13" xr:uid="{628A74DB-5F1F-4E60-9573-98A7EE325AB1}"/>
  <tableColumns count="9">
    <tableColumn id="4" xr3:uid="{647F978B-BE36-4061-A030-B103E2685958}" uniqueName="4" name="Code is Blank" queryTableFieldId="9" dataDxfId="694">
      <calculatedColumnFormula>ISBLANK(FUNDS[[#This Row],[FundCode]])</calculatedColumnFormula>
    </tableColumn>
    <tableColumn id="5" xr3:uid="{5D0E8387-01D7-49A7-84D8-6AF09536DEF1}" uniqueName="5" name="Title is Blank" queryTableFieldId="8" dataDxfId="693">
      <calculatedColumnFormula>ISBLANK(FUNDS[[#This Row],[Title]])</calculatedColumnFormula>
    </tableColumn>
    <tableColumn id="6" xr3:uid="{F983AB0A-FD27-4D65-B8E3-D42548D18A42}" uniqueName="6" name="Enabled is blank" queryTableFieldId="7" dataDxfId="692">
      <calculatedColumnFormula>ISBLANK(FUNDS[[#This Row],[FundEnabled]])</calculatedColumnFormula>
    </tableColumn>
    <tableColumn id="7" xr3:uid="{30642E4E-19DB-47DB-9C9B-01757BA2C06F}" uniqueName="7" name="Code length Check" queryTableFieldId="6" dataDxfId="691">
      <calculatedColumnFormula>IF(LEN(FUNDS[[#This Row],[FundCode]])&lt;100,FALSE,TRUE)</calculatedColumnFormula>
    </tableColumn>
    <tableColumn id="8" xr3:uid="{E47D063C-1C03-4C6C-98D0-B9439374892B}" uniqueName="8" name="Title length check" queryTableFieldId="5" dataDxfId="690">
      <calculatedColumnFormula>IF(LEN(FUNDS[[#This Row],[Title]])&lt;100,FALSE,TRUE)</calculatedColumnFormula>
    </tableColumn>
    <tableColumn id="9" xr3:uid="{AFC46404-DA30-4501-8434-064A520BC077}" uniqueName="9" name="Will import if zero" queryTableFieldId="4" dataDxfId="689">
      <calculatedColumnFormula>COUNTIF(FUNDS[[#This Row],[Code is Blank]:[Title length check]],"TRUE")</calculatedColumnFormula>
    </tableColumn>
    <tableColumn id="1" xr3:uid="{E156D2D5-1052-4B5F-846C-B445CC2184B6}" uniqueName="1" name="FundCode" queryTableFieldId="1"/>
    <tableColumn id="2" xr3:uid="{CB11BC76-922D-492F-BA89-3543291A47C7}" uniqueName="2" name="Title" queryTableFieldId="2"/>
    <tableColumn id="3" xr3:uid="{AF400F7D-A0D4-48C4-A222-8E7457F12ABF}" uniqueName="3" name="FundEnabled" queryTableFieldId="3"/>
  </tableColumns>
  <tableStyleInfo name="IMP Colours"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25837ED4-9BBD-448F-8389-6F2C0EB1A8A5}" name="ACTIVITIES" displayName="ACTIVITIES" ref="A2:I10" tableType="queryTable" totalsRowShown="0">
  <autoFilter ref="A2:I10" xr:uid="{25837ED4-9BBD-448F-8389-6F2C0EB1A8A5}"/>
  <tableColumns count="9">
    <tableColumn id="4" xr3:uid="{7CDD8B48-B434-474E-879B-516E284A8B2E}" uniqueName="4" name="Code is Blank" queryTableFieldId="9" dataDxfId="688">
      <calculatedColumnFormula>ISBLANK(ACTIVITIES[[#This Row],[ActivityCode]])</calculatedColumnFormula>
    </tableColumn>
    <tableColumn id="5" xr3:uid="{BD61AED6-FC41-4685-A7C3-DB3ABC03C856}" uniqueName="5" name="Title is Blank" queryTableFieldId="8" dataDxfId="687">
      <calculatedColumnFormula>ISBLANK(ACTIVITIES[[#This Row],[Title]])</calculatedColumnFormula>
    </tableColumn>
    <tableColumn id="6" xr3:uid="{B60F7B7C-2CA0-4C3B-B2DF-B3273DC7F6AF}" uniqueName="6" name="Code length Check" queryTableFieldId="7" dataDxfId="686">
      <calculatedColumnFormula>IF(LEN(ACTIVITIES[[#This Row],[ActivityCode]])&lt;100,FALSE,TRUE)</calculatedColumnFormula>
    </tableColumn>
    <tableColumn id="7" xr3:uid="{55E4BDBA-6619-4F7B-AF41-46689D83B4DD}" uniqueName="7" name="Title length check" queryTableFieldId="6" dataDxfId="685">
      <calculatedColumnFormula>IF(LEN(ACTIVITIES[[#This Row],[Title]])&lt;100,FALSE,TRUE)</calculatedColumnFormula>
    </tableColumn>
    <tableColumn id="8" xr3:uid="{0B6CE84D-9F69-4BFC-B3CA-A6F9261AD649}" uniqueName="8" name="Enabled is blank" queryTableFieldId="5" dataDxfId="684">
      <calculatedColumnFormula>ISBLANK(ACTIVITIES[[#This Row],[ActivityEnabled]])</calculatedColumnFormula>
    </tableColumn>
    <tableColumn id="9" xr3:uid="{062053E7-3660-4E04-95A2-21EA06B90805}" uniqueName="9" name="Will import if zero" queryTableFieldId="4" dataDxfId="683">
      <calculatedColumnFormula>COUNTIF(ACTIVITIES[[#This Row],[Code is Blank]:[Enabled is blank]],"TRUE")</calculatedColumnFormula>
    </tableColumn>
    <tableColumn id="1" xr3:uid="{7C73D07C-1D13-4F75-A5CF-135A9854B0B7}" uniqueName="1" name="ActivityCode" queryTableFieldId="1"/>
    <tableColumn id="2" xr3:uid="{1AA29A2C-BB7A-4DC8-8A20-39AFF66C2919}" uniqueName="2" name="Title" queryTableFieldId="2"/>
    <tableColumn id="3" xr3:uid="{9883E666-4643-479B-8A31-2D66EB67792B}" uniqueName="3" name="ActivityEnabled" queryTableFieldId="3"/>
  </tableColumns>
  <tableStyleInfo name="IMP Colours"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EF902390-CCF2-4FC5-859A-F225440DAF7D}" name="LEDGER" displayName="LEDGER" ref="A2:I8" tableType="queryTable" totalsRowShown="0">
  <autoFilter ref="A2:I8" xr:uid="{EF902390-CCF2-4FC5-859A-F225440DAF7D}"/>
  <tableColumns count="9">
    <tableColumn id="4" xr3:uid="{C10F86A7-9CE2-4F8B-863D-A534EFDCEE84}" uniqueName="4" name="Code is Blank" queryTableFieldId="9" dataDxfId="682">
      <calculatedColumnFormula>ISBLANK(LEDGER[[#This Row],[LedgerCode]])</calculatedColumnFormula>
    </tableColumn>
    <tableColumn id="5" xr3:uid="{D94E4388-71D3-4CC5-9BC9-F032A05A388A}" uniqueName="5" name="Title is Blank" queryTableFieldId="8" dataDxfId="681">
      <calculatedColumnFormula>ISBLANK(LEDGER[[#This Row],[Title]])</calculatedColumnFormula>
    </tableColumn>
    <tableColumn id="6" xr3:uid="{00F26016-1ED8-4D0C-8C47-E3BB03CC2277}" uniqueName="6" name="Enabled is blank" queryTableFieldId="7" dataDxfId="680">
      <calculatedColumnFormula>ISBLANK(LEDGER[[#This Row],[LedgerEnabled]])</calculatedColumnFormula>
    </tableColumn>
    <tableColumn id="7" xr3:uid="{35ECD76D-4E61-4C67-BC8D-CC178483A3B1}" uniqueName="7" name="Code length Check" queryTableFieldId="6" dataDxfId="679">
      <calculatedColumnFormula>IF(LEN(LEDGER[[#This Row],[LedgerCode]])&lt;100,FALSE,TRUE)</calculatedColumnFormula>
    </tableColumn>
    <tableColumn id="8" xr3:uid="{70CCF9B5-E5C5-474A-BAB0-075E564EACD2}" uniqueName="8" name="Title length check" queryTableFieldId="5" dataDxfId="678">
      <calculatedColumnFormula>IF(LEN(LEDGER[[#This Row],[Title]])&lt;100,FALSE,TRUE)</calculatedColumnFormula>
    </tableColumn>
    <tableColumn id="9" xr3:uid="{B6C18D03-1643-4C5F-BAF7-D3D3E9D22C87}" uniqueName="9" name="Will import if zero" queryTableFieldId="4" dataDxfId="677">
      <calculatedColumnFormula>COUNTIF(LEDGER[[#This Row],[Code is Blank]:[Title length check]],"TRUE")</calculatedColumnFormula>
    </tableColumn>
    <tableColumn id="1" xr3:uid="{518B2D95-8D38-4545-A30F-6AEF038A81BA}" uniqueName="1" name="LedgerCode" queryTableFieldId="1"/>
    <tableColumn id="2" xr3:uid="{DEEC53FF-C771-49CB-8D74-05A656797458}" uniqueName="2" name="Title" queryTableFieldId="2"/>
    <tableColumn id="3" xr3:uid="{0760B237-AAD2-448D-8A26-518869C21DAF}" uniqueName="3" name="LedgerEnabled" queryTableFieldId="3"/>
  </tableColumns>
  <tableStyleInfo name="IMP Colours"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A8457A34-A884-4953-8AA7-40579E5582A2}" name="CUSTGROUP" displayName="CUSTGROUP" ref="A2:I55" tableType="queryTable" totalsRowShown="0">
  <autoFilter ref="A2:I55" xr:uid="{A8457A34-A884-4953-8AA7-40579E5582A2}"/>
  <tableColumns count="9">
    <tableColumn id="4" xr3:uid="{12C317C9-6E03-4CF5-AFA7-0D02001D7944}" uniqueName="4" name="Code is Blank" queryTableFieldId="9" dataDxfId="676">
      <calculatedColumnFormula>ISBLANK(CUSTGROUP[[#This Row],[CustomGroupingCode]])</calculatedColumnFormula>
    </tableColumn>
    <tableColumn id="5" xr3:uid="{AEDB652A-DB8F-4A23-A4DF-0C65420D8BF6}" uniqueName="5" name="Title is Blank" queryTableFieldId="8" dataDxfId="675">
      <calculatedColumnFormula>ISBLANK(CUSTGROUP[[#This Row],[Title]])</calculatedColumnFormula>
    </tableColumn>
    <tableColumn id="6" xr3:uid="{2C1AC003-83E5-4398-98A0-26CF3F165F35}" uniqueName="6" name="Code length Check" queryTableFieldId="7" dataDxfId="674">
      <calculatedColumnFormula>IF(LEN(CUSTGROUP[[#This Row],[CustomGroupingCode]])&lt;100,FALSE,TRUE)</calculatedColumnFormula>
    </tableColumn>
    <tableColumn id="7" xr3:uid="{18AD517B-E758-4337-9D22-ACBA9AC17522}" uniqueName="7" name="Title length check" queryTableFieldId="6" dataDxfId="673">
      <calculatedColumnFormula>IF(LEN(CUSTGROUP[[#This Row],[Title]])&lt;100,FALSE,TRUE)</calculatedColumnFormula>
    </tableColumn>
    <tableColumn id="8" xr3:uid="{BE3D45A9-C0CE-48DB-B1F5-5AA11C310951}" uniqueName="8" name="Enabled is blank" queryTableFieldId="5" dataDxfId="672">
      <calculatedColumnFormula>ISBLANK(CUSTGROUP[[#This Row],[CustomGroupingEnabled]])</calculatedColumnFormula>
    </tableColumn>
    <tableColumn id="9" xr3:uid="{D5B4E649-D7A4-45EB-A8C7-6CD91591FFEF}" uniqueName="9" name="Will import if zero" queryTableFieldId="4" dataDxfId="671">
      <calculatedColumnFormula>COUNTIF(CUSTGROUP[[#This Row],[Code is Blank]:[Enabled is blank]],"TRUE")</calculatedColumnFormula>
    </tableColumn>
    <tableColumn id="1" xr3:uid="{14275754-FAAE-4DE6-92A6-BF507984C28A}" uniqueName="1" name="CustomGroupingCode" queryTableFieldId="1"/>
    <tableColumn id="2" xr3:uid="{6390F261-4E8E-4541-9749-ED0A888B9D84}" uniqueName="2" name="Title" queryTableFieldId="2"/>
    <tableColumn id="3" xr3:uid="{74566CF9-868B-4E5D-BD49-AC9B629E005C}" uniqueName="3" name="CustomGroupingEnabled" queryTableFieldId="3"/>
  </tableColumns>
  <tableStyleInfo name="IMP Colours"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5002DEF9-E9B4-4163-B362-24E4DB4CD841}" name="SCHHUB" displayName="SCHHUB" ref="A2:I8" tableType="queryTable" totalsRowShown="0">
  <autoFilter ref="A2:I8" xr:uid="{5002DEF9-E9B4-4163-B362-24E4DB4CD841}"/>
  <tableColumns count="9">
    <tableColumn id="4" xr3:uid="{02F65753-DABD-4D58-87E6-B5D18BEA3476}" uniqueName="4" name="Code is Blank" queryTableFieldId="9" dataDxfId="670">
      <calculatedColumnFormula>ISBLANK(SCHHUB[[#This Row],[SchoolHubCode]])</calculatedColumnFormula>
    </tableColumn>
    <tableColumn id="5" xr3:uid="{3B9E484B-1D29-4EA7-8190-FD80B439522B}" uniqueName="5" name="Title is Blank" queryTableFieldId="8" dataDxfId="669">
      <calculatedColumnFormula>ISBLANK(SCHHUB[[#This Row],[Title]])</calculatedColumnFormula>
    </tableColumn>
    <tableColumn id="6" xr3:uid="{8C27303F-6ADF-47C2-B743-E0FDE499BC43}" uniqueName="6" name="Enabled is blank" queryTableFieldId="7" dataDxfId="668">
      <calculatedColumnFormula>ISBLANK(SCHHUB[[#This Row],[SchoolHubEnabled]])</calculatedColumnFormula>
    </tableColumn>
    <tableColumn id="7" xr3:uid="{B8158E2E-B416-4FB8-9B95-A0378916903A}" uniqueName="7" name="Code length Check" queryTableFieldId="6" dataDxfId="667">
      <calculatedColumnFormula>IF(LEN(SCHHUB[[#This Row],[SchoolHubCode]])&lt;100,FALSE,TRUE)</calculatedColumnFormula>
    </tableColumn>
    <tableColumn id="8" xr3:uid="{77414025-9772-468D-AB17-B79D47951E19}" uniqueName="8" name="Title length check" queryTableFieldId="5" dataDxfId="666">
      <calculatedColumnFormula>IF(LEN(SCHHUB[[#This Row],[Title]])&lt;100,FALSE,TRUE)</calculatedColumnFormula>
    </tableColumn>
    <tableColumn id="9" xr3:uid="{66B4917E-B133-4D9E-BE12-9C9E6C24E257}" uniqueName="9" name="Will import if zero" queryTableFieldId="4" dataDxfId="665">
      <calculatedColumnFormula>COUNTIF(SCHHUB[[#This Row],[Code is Blank]:[Title length check]],"TRUE")</calculatedColumnFormula>
    </tableColumn>
    <tableColumn id="1" xr3:uid="{8B1F8CD9-4A53-4721-965F-7EE364DD1394}" uniqueName="1" name="SchoolHubCode" queryTableFieldId="1"/>
    <tableColumn id="2" xr3:uid="{5D7BC313-9C75-4355-932A-22C2906DBAB4}" uniqueName="2" name="Title" queryTableFieldId="2"/>
    <tableColumn id="3" xr3:uid="{AD5FC7CC-0DD6-4005-8CD9-A5A78B130130}" uniqueName="3" name="SchoolHubEnabled" queryTableFieldId="3"/>
  </tableColumns>
  <tableStyleInfo name="IMP Colours"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1556302A-49CB-47FF-A632-0F55B919CDFB}" name="SCHTYPE" displayName="SCHTYPE" ref="A2:I8" tableType="queryTable" totalsRowShown="0">
  <autoFilter ref="A2:I8" xr:uid="{1556302A-49CB-47FF-A632-0F55B919CDFB}"/>
  <tableColumns count="9">
    <tableColumn id="4" xr3:uid="{6A488160-C17A-4D43-B8EA-C0C408825DE3}" uniqueName="4" name="Code is Blank" queryTableFieldId="9" dataDxfId="664">
      <calculatedColumnFormula>ISBLANK(SCHTYPE[[#This Row],[SchoolTypeCode]])</calculatedColumnFormula>
    </tableColumn>
    <tableColumn id="5" xr3:uid="{7B92682D-AF3F-4CD0-AE97-8C283BC91F8F}" uniqueName="5" name="Title is Blank" queryTableFieldId="8" dataDxfId="663">
      <calculatedColumnFormula>ISBLANK(SCHTYPE[[#This Row],[Title]])</calculatedColumnFormula>
    </tableColumn>
    <tableColumn id="6" xr3:uid="{A84C6580-5776-4A44-8438-A67A2DA53780}" uniqueName="6" name="Enabled is blank" queryTableFieldId="7" dataDxfId="662">
      <calculatedColumnFormula>ISBLANK(SCHTYPE[[#This Row],[SchoolTypeEnabled]])</calculatedColumnFormula>
    </tableColumn>
    <tableColumn id="7" xr3:uid="{1056107B-D0B7-4812-AFB7-EB79F2D1498B}" uniqueName="7" name="Code length Check" queryTableFieldId="6" dataDxfId="661">
      <calculatedColumnFormula>IF(LEN(SCHTYPE[[#This Row],[SchoolTypeCode]])&lt;100,FALSE,TRUE)</calculatedColumnFormula>
    </tableColumn>
    <tableColumn id="8" xr3:uid="{425ABFA5-3A59-48D5-BB79-548460D3FD56}" uniqueName="8" name="Title length check" queryTableFieldId="5" dataDxfId="660">
      <calculatedColumnFormula>IF(LEN(SCHTYPE[[#This Row],[Title]])&lt;100,FALSE,TRUE)</calculatedColumnFormula>
    </tableColumn>
    <tableColumn id="9" xr3:uid="{D34AE081-97ED-412C-A22C-7AFB28710FAB}" uniqueName="9" name="Will import if zero" queryTableFieldId="4" dataDxfId="659">
      <calculatedColumnFormula>COUNTIF(SCHTYPE[[#This Row],[Code is Blank]:[Title length check]],"TRUE")</calculatedColumnFormula>
    </tableColumn>
    <tableColumn id="1" xr3:uid="{7842E380-E131-4B7F-8170-271BCCC24EB8}" uniqueName="1" name="SchoolTypeCode" queryTableFieldId="1"/>
    <tableColumn id="2" xr3:uid="{AA7F1AA8-7130-498D-BE9F-0CF9D0D41923}" uniqueName="2" name="Title" queryTableFieldId="2"/>
    <tableColumn id="3" xr3:uid="{6A57B9A4-F04F-4A9C-9AEE-5C8A98B20DE2}" uniqueName="3" name="SchoolTypeEnabled" queryTableFieldId="3"/>
  </tableColumns>
  <tableStyleInfo name="IMP Colours"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B24FE1-E78D-4303-88C3-1A3E39B41EF3}" name="LocalAuth" displayName="LocalAuth" ref="A2:J4" tableType="queryTable" totalsRowShown="0">
  <autoFilter ref="A2:J4" xr:uid="{FEB24FE1-E78D-4303-88C3-1A3E39B41EF3}"/>
  <tableColumns count="10">
    <tableColumn id="4" xr3:uid="{82F17E64-346D-4B25-A492-D34593325C98}" uniqueName="4" name="Code is Blank" queryTableFieldId="10" dataDxfId="658">
      <calculatedColumnFormula>ISBLANK(LocalAuth[[#This Row],[SchoolLocalAuthorityCode]])</calculatedColumnFormula>
    </tableColumn>
    <tableColumn id="5" xr3:uid="{A3F50F4A-15BB-42D8-BEEC-2C843CECB3F2}" uniqueName="5" name="Title is Blank" queryTableFieldId="9" dataDxfId="657">
      <calculatedColumnFormula>ISBLANK(LocalAuth[[#This Row],[Title]])</calculatedColumnFormula>
    </tableColumn>
    <tableColumn id="6" xr3:uid="{B3DAF2C0-E00F-47AA-90AB-DFB2C794BFB6}" uniqueName="6" name="Enabled is blank" queryTableFieldId="8" dataDxfId="656">
      <calculatedColumnFormula>ISBLANK(LocalAuth[[#This Row],[SchoolLocalAuthorityEnabled]])</calculatedColumnFormula>
    </tableColumn>
    <tableColumn id="7" xr3:uid="{1E4F9AF6-080B-4908-B23B-D4301F80A75C}" uniqueName="7" name="Code length Check" queryTableFieldId="7" dataDxfId="655">
      <calculatedColumnFormula>IF(LEN(LocalAuth[[#This Row],[SchoolLocalAuthorityCode]])&lt;100,FALSE,TRUE)</calculatedColumnFormula>
    </tableColumn>
    <tableColumn id="8" xr3:uid="{2B625200-3B33-4A77-988A-1381BDDA3FAD}" uniqueName="8" name="Title length check" queryTableFieldId="6" dataDxfId="654">
      <calculatedColumnFormula>IF(LEN(LocalAuth[[#This Row],[Title]])&lt;100,FALSE,TRUE)</calculatedColumnFormula>
    </tableColumn>
    <tableColumn id="9" xr3:uid="{5A6D170E-8968-4535-98B9-0914E3D93023}" uniqueName="9" name="Will import if zero" queryTableFieldId="5" dataDxfId="653">
      <calculatedColumnFormula>COUNTIF(LocalAuth[[#This Row],[Code is Blank]:[Title length check]],"TRUE")</calculatedColumnFormula>
    </tableColumn>
    <tableColumn id="10" xr3:uid="{B33191EE-ECB0-4CA7-9686-AD932DB4C555}" uniqueName="10" name="LA" queryTableFieldId="4" dataDxfId="652"/>
    <tableColumn id="1" xr3:uid="{0102931A-21AC-453A-B108-644F5FAF06A2}" uniqueName="1" name="SchoolLocalAuthorityCode" queryTableFieldId="1"/>
    <tableColumn id="2" xr3:uid="{7C217395-551F-4D89-A077-A64FA4AA6BBD}" uniqueName="2" name="Title" queryTableFieldId="2"/>
    <tableColumn id="3" xr3:uid="{0B3FD4FA-9F2D-48D1-8FC9-2BDD25F31232}" uniqueName="3" name="SchoolLocalAuthorityEnabled" queryTableFieldId="3"/>
  </tableColumns>
  <tableStyleInfo name="IMP Colours"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09898D-DC7A-4066-83A0-725F93401BAC}" name="SCHOOLS" displayName="SCHOOLS" ref="A2:R12" tableType="queryTable" totalsRowShown="0" dataDxfId="651">
  <autoFilter ref="A2:R12" xr:uid="{6609898D-DC7A-4066-83A0-725F93401BAC}"/>
  <tableColumns count="18">
    <tableColumn id="11" xr3:uid="{F695CDF6-62BF-4FE0-93A1-A002D514B19E}" uniqueName="11" name="HubIssues" queryTableFieldId="19" dataDxfId="650">
      <calculatedColumnFormula>IF(COUNTIF(SCHHUB[SchoolHubCode],SCHOOLS[[#This Row],[SchoolHub]])&gt;0,0,1)</calculatedColumnFormula>
    </tableColumn>
    <tableColumn id="12" xr3:uid="{AD2A9AF6-70FE-4492-9A38-C05B4482AE54}" uniqueName="12" name="SchTypeIssue" queryTableFieldId="18" dataDxfId="649">
      <calculatedColumnFormula>IF(COUNTIF(SCHTYPE[SchoolTypeCode],SCHOOLS[[#This Row],[SchoolType]])&gt;0,0,1)</calculatedColumnFormula>
    </tableColumn>
    <tableColumn id="13" xr3:uid="{9074C987-5AE1-4B54-BF6F-9696801C3E9E}" uniqueName="13" name="Blank Data" queryTableFieldId="17" dataDxfId="648">
      <calculatedColumnFormula>COUNTBLANK(SCHOOLS[[#This Row],[SchoolLocalAuthority]:[SchoolEnabled]])</calculatedColumnFormula>
    </tableColumn>
    <tableColumn id="14" xr3:uid="{F7ADAFBB-ED93-42B9-A123-02966C7B9106}" uniqueName="14" name="Code length Check" queryTableFieldId="16" dataDxfId="647">
      <calculatedColumnFormula>IF(LEN(SCHOOLS[[#This Row],[SchoolCode]])&lt;100,0,1)</calculatedColumnFormula>
    </tableColumn>
    <tableColumn id="15" xr3:uid="{49397B86-3B75-4927-8D12-525A5EBB1043}" uniqueName="15" name="Title length check" queryTableFieldId="15" dataDxfId="646">
      <calculatedColumnFormula>IF(LEN(SCHOOLS[[#This Row],[Title]])&lt;100,0,1)</calculatedColumnFormula>
    </tableColumn>
    <tableColumn id="16" xr3:uid="{CE5ED98C-098D-4A2D-9AD3-6D57955F735E}" uniqueName="16" name="Will Import if 0" queryTableFieldId="14" dataDxfId="645">
      <calculatedColumnFormula>SUM(SCHOOLS[[#This Row],[HubIssues]:[Title length check]])</calculatedColumnFormula>
    </tableColumn>
    <tableColumn id="17" xr3:uid="{110BC74D-32D7-4A2D-9DA4-C4868B929393}" uniqueName="17" name="London Weighting Type" queryTableFieldId="13" dataDxfId="644"/>
    <tableColumn id="18" xr3:uid="{504C0EBA-7F8E-4498-8A24-A5AA0EC9E674}" uniqueName="18" name="LA" queryTableFieldId="12" dataDxfId="643">
      <calculatedColumnFormula>_xlfn.XLOOKUP(SCHOOLS[[#This Row],[SchoolLocalAuthority]],LocalAuth[SchoolLocalAuthorityCode],LocalAuth[LA])</calculatedColumnFormula>
    </tableColumn>
    <tableColumn id="19" xr3:uid="{825C62B6-E807-4B77-B19A-1099CA73E282}" uniqueName="19" name="School Type" queryTableFieldId="11" dataDxfId="642"/>
    <tableColumn id="1" xr3:uid="{4805681B-88D2-4EB4-8507-4A442FFA5A79}" uniqueName="1" name="SchoolLocalAuthority" queryTableFieldId="1" dataDxfId="641"/>
    <tableColumn id="2" xr3:uid="{2C523347-A591-4343-8DAA-DFB274670165}" uniqueName="2" name="SchoolCode" queryTableFieldId="2" dataDxfId="640"/>
    <tableColumn id="3" xr3:uid="{5A61107F-5FF5-463C-AD19-FA3B69413537}" uniqueName="3" name="SchoolHub" queryTableFieldId="3" dataDxfId="639"/>
    <tableColumn id="4" xr3:uid="{1631D98C-D9A0-4547-9F25-40844AFBE7A6}" uniqueName="4" name="SchoolType" queryTableFieldId="4" dataDxfId="638"/>
    <tableColumn id="5" xr3:uid="{245CA4FC-58A9-4E44-8B8B-C17919CAF862}" uniqueName="5" name="Title" queryTableFieldId="5" dataDxfId="637"/>
    <tableColumn id="6" xr3:uid="{62B5E04D-6234-49F7-893D-C00D299E20D5}" uniqueName="6" name="LondonWeighting" queryTableFieldId="6" dataDxfId="636"/>
    <tableColumn id="7" xr3:uid="{CB826444-6822-441A-879C-2A5542B17A3F}" uniqueName="7" name="UniqueReferenceNumber" queryTableFieldId="7" dataDxfId="635"/>
    <tableColumn id="8" xr3:uid="{63F203B5-FDFD-407F-A012-BD14389F8E85}" uniqueName="8" name="TeachingHours" queryTableFieldId="8" dataDxfId="634"/>
    <tableColumn id="9" xr3:uid="{A22A2E92-55CE-43A1-B508-D67692FCDE13}" uniqueName="9" name="SchoolEnabled" queryTableFieldId="9" dataDxfId="633"/>
  </tableColumns>
  <tableStyleInfo name="IMP Colours"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D09D5FF4-DBBC-467A-8456-D9FBA836DE96}" name="DEPTS" displayName="DEPTS" ref="A2:O454" tableType="queryTable" totalsRowShown="0">
  <autoFilter ref="A2:O454" xr:uid="{D09D5FF4-DBBC-467A-8456-D9FBA836DE96}"/>
  <tableColumns count="15">
    <tableColumn id="9" xr3:uid="{DFE458CE-568A-45EC-B15D-6C7068B42AB6}" uniqueName="9" name="FundIssue" queryTableFieldId="14" dataDxfId="632">
      <calculatedColumnFormula>IF(COUNTIF(FUNDS[FundCode],DEPTS[[#This Row],[FundCode]])&gt;0,0,1)</calculatedColumnFormula>
    </tableColumn>
    <tableColumn id="10" xr3:uid="{B45DD6AB-1F37-4C6C-AB49-DB646B64808D}" uniqueName="10" name="ActivityIssue" queryTableFieldId="13" dataDxfId="631">
      <calculatedColumnFormula>IF(COUNTIF(ACTIVITIES[ActivityCode],DEPTS[[#This Row],[ActivityCode]])&gt;0,0,1)</calculatedColumnFormula>
    </tableColumn>
    <tableColumn id="11" xr3:uid="{6FC28A5F-ACDB-4951-8190-F25B98F6C77A}" uniqueName="11" name="LedgerIssue" queryTableFieldId="12" dataDxfId="630">
      <calculatedColumnFormula>IF(COUNTIF(LEDGER[LedgerCode],DEPTS[[#This Row],[LedgerCode]])&gt;0,0,1)</calculatedColumnFormula>
    </tableColumn>
    <tableColumn id="12" xr3:uid="{DA72281A-94D6-4F05-A0E6-AA8DAD73E856}" uniqueName="12" name="Code length Check" queryTableFieldId="11" dataDxfId="629">
      <calculatedColumnFormula>IF(LEN(DEPTS[[#This Row],[DepartmentCode]])&lt;100,0,1)</calculatedColumnFormula>
    </tableColumn>
    <tableColumn id="13" xr3:uid="{0F57334E-8239-4F3C-99AC-B567FF1D4799}" uniqueName="13" name="Title length check" queryTableFieldId="10" dataDxfId="628">
      <calculatedColumnFormula>IF(LEN(DEPTS[[#This Row],[Title]])&lt;100,0,1)</calculatedColumnFormula>
    </tableColumn>
    <tableColumn id="14" xr3:uid="{C8EDC873-C5F9-45F6-8CDD-E640BE094B3E}" uniqueName="14" name="Will Import if 0" queryTableFieldId="9" dataDxfId="627">
      <calculatedColumnFormula>SUM(DEPTS[[#This Row],[FundIssue]:[Title length check]])</calculatedColumnFormula>
    </tableColumn>
    <tableColumn id="1" xr3:uid="{B6B165DA-4971-4E44-98A4-4B659B522007}" uniqueName="1" name="DepartmentCode" queryTableFieldId="1"/>
    <tableColumn id="2" xr3:uid="{2951C894-F671-4804-959D-D98D617FADF5}" uniqueName="2" name="Title" queryTableFieldId="2"/>
    <tableColumn id="3" xr3:uid="{BCAB7A2B-B2E4-4CFD-9707-B9A02631EDB9}" uniqueName="3" name="AvailableToAllSchools" queryTableFieldId="3"/>
    <tableColumn id="4" xr3:uid="{D9C002A7-80FC-401E-B62F-90DD5471CDCC}" uniqueName="4" name="SchoolCodes" queryTableFieldId="4"/>
    <tableColumn id="15" xr3:uid="{90019D96-4E56-4B9A-AF8F-02F55C74FDA3}" uniqueName="15" name="ActivityCode" queryTableFieldId="15"/>
    <tableColumn id="5" xr3:uid="{E0A5B7BC-C3C4-45DA-9BED-5871A2AE0C25}" uniqueName="5" name="FundCode" queryTableFieldId="5"/>
    <tableColumn id="6" xr3:uid="{5812642E-4C27-4F1C-B041-7852DD128697}" uniqueName="6" name="LedgerCode" queryTableFieldId="6"/>
    <tableColumn id="7" xr3:uid="{CBB8BF7D-EFBD-425C-807C-612ACC7CFAD6}" uniqueName="7" name="DefaultFinanceCode" queryTableFieldId="7"/>
    <tableColumn id="8" xr3:uid="{6AAC0BC2-32A6-4ED4-B029-CAD84872FBA9}" uniqueName="8" name="DepartmentEnabled" queryTableFieldId="8"/>
  </tableColumns>
  <tableStyleInfo name="IMP Colours"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3A7D6F9-2D09-44F8-8DFE-8480BE3FDF45}" name="FC" displayName="FC" ref="A1:N92" totalsRowShown="0" headerRowDxfId="626">
  <autoFilter ref="A1:N92" xr:uid="{741E6E31-0837-4BFD-B681-C1236F866D53}"/>
  <sortState xmlns:xlrd2="http://schemas.microsoft.com/office/spreadsheetml/2017/richdata2" ref="A2:N92">
    <sortCondition ref="E1:E92"/>
  </sortState>
  <tableColumns count="14">
    <tableColumn id="1" xr3:uid="{8854AE89-FB10-4D4D-AEB5-9174AB35B2A6}" name="School Type" dataDxfId="625"/>
    <tableColumn id="12" xr3:uid="{845DEE48-A977-4CFA-8849-5D6B26EE9983}" name="LA" dataDxfId="624"/>
    <tableColumn id="2" xr3:uid="{9DFA0C68-DFA5-4C65-9713-E17EE1196993}" name="London Weighting" dataDxfId="623"/>
    <tableColumn id="14" xr3:uid="{CCE5D13B-6CA7-4402-9054-83BB7F48C4C0}" name="Key stage" dataDxfId="622"/>
    <tableColumn id="3" xr3:uid="{3574C077-F902-49F8-9FA2-11704F23A8E7}" name="FinanceCode" dataDxfId="621"/>
    <tableColumn id="4" xr3:uid="{B482A557-E150-42A8-ABB9-8C6D6099D9D9}" name="Title" dataDxfId="620"/>
    <tableColumn id="5" xr3:uid="{D4AA4FCB-F789-4A66-9C82-853F32854274}" name="FinanceCodeTypeCode" dataDxfId="619"/>
    <tableColumn id="6" xr3:uid="{318443AD-3189-4CF1-BD43-288EB7F766E9}" name="GroupingCode2" dataDxfId="618"/>
    <tableColumn id="7" xr3:uid="{BC4F4DA7-0C8F-467A-9791-FFEFBBBBC6E8}" name="CustomGrouping" dataDxfId="617"/>
    <tableColumn id="8" xr3:uid="{A1897454-CCC4-48CF-B9E9-F384A8FE16E3}" name="LedgerCode" dataDxfId="616"/>
    <tableColumn id="9" xr3:uid="{4A9DD5B6-A19E-4BDA-88B6-ACCB944AE22B}" name="AvailableToAllSchools" dataDxfId="615"/>
    <tableColumn id="10" xr3:uid="{3C8E0225-6194-4FDB-BA8D-25096879C2AA}" name="SchoolCodes" dataDxfId="614"/>
    <tableColumn id="11" xr3:uid="{8571C8C1-FD71-466E-B0E0-919EB01A2452}" name="FinanceCodeEnabled" dataDxfId="613"/>
    <tableColumn id="15" xr3:uid="{1EE9EC0D-44E0-40DD-8E1D-C125F8681999}" name="BalanceToScenario" dataDxfId="61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5EA4D66C-4324-423A-9DFC-142E16EB7A64}" name="FC_import" displayName="FC_import" ref="A1:Z96" tableType="queryTable" totalsRowShown="0">
  <autoFilter ref="A1:Z96" xr:uid="{5EA4D66C-4324-423A-9DFC-142E16EB7A64}"/>
  <tableColumns count="26">
    <tableColumn id="21" xr3:uid="{C5707904-D1E1-4E49-AB2F-08B0C5CB8454}" uniqueName="21" name="LedgerIssue" queryTableFieldId="27" dataDxfId="611" totalsRowDxfId="610">
      <calculatedColumnFormula>IF(COUNTIF(LEDGER[LedgerCode],FC_import[[#This Row],[LedgerCode]])&gt;0,0,1)</calculatedColumnFormula>
    </tableColumn>
    <tableColumn id="22" xr3:uid="{896083E5-7E7B-459A-8470-4712D2B591AD}" uniqueName="22" name="GroupingCodeIssue" queryTableFieldId="26" dataDxfId="609" totalsRowDxfId="608">
      <calculatedColumnFormula>IF(COUNTIF(Table_System_Grouping_Codes[groupingCodeCode],FC_import[[#This Row],[GroupingCode]])&gt;0,0,1)</calculatedColumnFormula>
    </tableColumn>
    <tableColumn id="23" xr3:uid="{C1D22611-82E8-421C-857B-573AC2BC6DBA}" uniqueName="23" name="CustGrIssue" queryTableFieldId="25" dataDxfId="607" totalsRowDxfId="606">
      <calculatedColumnFormula>IF(COUNTIF(CUSTGROUP[CustomGroupingCode],FC_import[[#This Row],[CustomGrouping]])&gt;0,0,1)</calculatedColumnFormula>
    </tableColumn>
    <tableColumn id="24" xr3:uid="{9781541E-8551-4C97-9B05-A7E525481784}" uniqueName="24" name="SchCodeIssue" queryTableFieldId="24" dataDxfId="605" totalsRowDxfId="604">
      <calculatedColumnFormula array="1">IF(FC_import[[#This Row],[AvailableToAllSchools]]=TRUE,0,COUNTA(_xlfn.TEXTSPLIT(FC_import[[#This Row],[SchoolCodes]],",",,TRUE))-SUM(COUNTIF(SCHOOLS[SchoolCode],_xlfn.TEXTSPLIT(FC_import[[#This Row],[SchoolCodes]],",",,TRUE))))</calculatedColumnFormula>
    </tableColumn>
    <tableColumn id="25" xr3:uid="{849392A8-FB91-4A3B-808E-14B4F7AA7B17}" uniqueName="25" name="DupCode" queryTableFieldId="23" dataDxfId="603" totalsRowDxfId="602">
      <calculatedColumnFormula>IF(FC_import[[#This Row],[FinanceCodeTypeCode]]="BUDGET",0,COUNTIF(P:P,P2)-1)</calculatedColumnFormula>
    </tableColumn>
    <tableColumn id="26" xr3:uid="{571AC8CF-811C-48C7-9975-38D24DDDBA17}" uniqueName="26" name="DupDesc" queryTableFieldId="22" dataDxfId="601" totalsRowDxfId="600">
      <calculatedColumnFormula>IF(FC_import[[#This Row],[FinanceCodeTypeCode]]="BUDGET",0,COUNTIF(Q:Q,Q2)-1)</calculatedColumnFormula>
    </tableColumn>
    <tableColumn id="27" xr3:uid="{AD4EC197-9895-4E1A-8DC9-502C0D67BF3B}" uniqueName="27" name="FCTypeIss" queryTableFieldId="21" dataDxfId="599" totalsRowDxfId="598">
      <calculatedColumnFormula>COUNTIF(Lookup!$A$2:$A$7,R2)-1</calculatedColumnFormula>
    </tableColumn>
    <tableColumn id="6" xr3:uid="{036DA036-8F2B-4CA8-8429-FBEADA547AC6}" uniqueName="6" name="TRUE/FALSE Check" queryTableFieldId="37" dataDxfId="597" totalsRowDxfId="596">
      <calculatedColumnFormula>IF(OR(FC_import[[#This Row],[FinanceCodeEnabled]]=TRUE,FC_import[[#This Row],[FinanceCodeEnabled]]=FALSE),0,1)</calculatedColumnFormula>
    </tableColumn>
    <tableColumn id="1" xr3:uid="{28B7A64A-7397-4010-A2D7-D0FA18E4AB4B}" uniqueName="1" name="Code length Check" queryTableFieldId="32" dataDxfId="595" totalsRowDxfId="594">
      <calculatedColumnFormula>IF(LEN(FC_import[[#This Row],[FinanceCode]])&lt;100,0,1)</calculatedColumnFormula>
    </tableColumn>
    <tableColumn id="8" xr3:uid="{2158ADAF-424B-43BF-B0E6-5B5B505CF4D3}" uniqueName="8" name="Blank Title Check" queryTableFieldId="39" dataDxfId="593" totalsRowDxfId="592">
      <calculatedColumnFormula>IF(TRIM(FC_import[[#This Row],[Title]])="",1,0)</calculatedColumnFormula>
    </tableColumn>
    <tableColumn id="9" xr3:uid="{EEA00C83-2746-4C21-B533-98749E76671D}" uniqueName="9" name="Blank Code Check" queryTableFieldId="40" dataDxfId="591" totalsRowDxfId="590">
      <calculatedColumnFormula>IF(TRIM(FC_import[[#This Row],[FinanceCode]])="",1,0)</calculatedColumnFormula>
    </tableColumn>
    <tableColumn id="2" xr3:uid="{BE1FB2D1-2EFC-45B3-8B6B-3527E2424C71}" uniqueName="2" name="Title length check" queryTableFieldId="31" dataDxfId="589" totalsRowDxfId="588">
      <calculatedColumnFormula>IF(LEN(FC_import[[#This Row],[Title]])&lt;100,0,1)</calculatedColumnFormula>
    </tableColumn>
    <tableColumn id="5" xr3:uid="{A011DD98-6B82-404A-B647-BCE8674C5232}" uniqueName="5" name="Balance to Scenario Blank" queryTableFieldId="36" dataDxfId="587" totalsRowDxfId="586">
      <calculatedColumnFormula>IF(ISBLANK(FC_import[[#This Row],[BalanceToScenario]]),1,0)</calculatedColumnFormula>
    </tableColumn>
    <tableColumn id="7" xr3:uid="{80052425-5DFB-49E6-AF38-8728A9FDD5DF}" uniqueName="7" name="Space in code" queryTableFieldId="38" dataDxfId="585" totalsRowDxfId="584">
      <calculatedColumnFormula>IF(SUBSTITUTE(TEXT(FC_import[[#This Row],[FinanceCode]],10)," ","")=TEXT(FC_import[[#This Row],[FinanceCode]],10),0,1)</calculatedColumnFormula>
    </tableColumn>
    <tableColumn id="28" xr3:uid="{B59172EB-8A86-42ED-8898-B5731E0CA760}" uniqueName="28" name="Will Import if 0" queryTableFieldId="28" dataDxfId="583" totalsRowDxfId="582">
      <calculatedColumnFormula>SUM(A2:C2,E2:N2)</calculatedColumnFormula>
    </tableColumn>
    <tableColumn id="10" xr3:uid="{604576A9-ADEE-4A45-9551-1FCD43FF2093}" uniqueName="10" name="FinanceCode" queryTableFieldId="10" dataDxfId="581" totalsRowDxfId="580"/>
    <tableColumn id="11" xr3:uid="{60E576A9-13DD-4C6F-8375-364C77FB858C}" uniqueName="11" name="Title" queryTableFieldId="11" dataDxfId="579" totalsRowDxfId="578"/>
    <tableColumn id="12" xr3:uid="{53595452-B315-456E-A326-2D025B8E7E4D}" uniqueName="12" name="FinanceCodeTypeCode" queryTableFieldId="12"/>
    <tableColumn id="3" xr3:uid="{12D9A24D-34E5-469A-96E9-FCC519D2C80C}" uniqueName="3" name="GroupingCode" queryTableFieldId="33"/>
    <tableColumn id="14" xr3:uid="{2754AD65-F567-4F8E-B75A-0211DEBE173C}" uniqueName="14" name="CustomGrouping" queryTableFieldId="14"/>
    <tableColumn id="15" xr3:uid="{543F87E6-38A8-4361-AE11-AB0A492E20F6}" uniqueName="15" name="LedgerCode" queryTableFieldId="15" dataDxfId="577"/>
    <tableColumn id="16" xr3:uid="{695218EB-45DA-4AFF-8875-C647C48F2DBB}" uniqueName="16" name="AvailableToAllSchools" queryTableFieldId="16"/>
    <tableColumn id="17" xr3:uid="{B6E5FA43-530B-4171-84C8-A9B1F7C8AE14}" uniqueName="17" name="SchoolCodes" queryTableFieldId="17"/>
    <tableColumn id="18" xr3:uid="{F4DADB91-C0F7-4D55-860B-7EFD376636A0}" uniqueName="18" name="FinanceCodeEnabled" queryTableFieldId="18"/>
    <tableColumn id="4" xr3:uid="{8E4DF5B6-7717-4213-8C0D-6686678FB766}" uniqueName="4" name="BalanceToScenario" queryTableFieldId="35"/>
    <tableColumn id="13" xr3:uid="{5D0666F4-72EC-43A9-A717-E8C656E53D94}" uniqueName="13" name="IsBalanceSheet" queryTableFieldId="41" dataDxfId="576">
      <calculatedColumnFormula>FALSE</calculatedColumnFormula>
    </tableColumn>
  </tableColumns>
  <tableStyleInfo name="IMP Colours"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D6B2A659-78D0-4096-9837-1A71A9D178CC}" name="FinanceCodesBudget" displayName="FinanceCodesBudget" ref="A2:W536" tableType="queryTable" totalsRowShown="0">
  <autoFilter ref="A2:W536" xr:uid="{D6B2A659-78D0-4096-9837-1A71A9D178CC}"/>
  <tableColumns count="23">
    <tableColumn id="10" xr3:uid="{CDA9AD6C-036B-4F36-9DD7-F4F1F341B5AD}" uniqueName="10" name="LedgerIssue" queryTableFieldId="20" dataDxfId="575">
      <calculatedColumnFormula>IF(COUNTIF(LEDGER[LedgerCode],FinanceCodesBudget[[#This Row],[LedgerCode]])&gt;0,0,1)</calculatedColumnFormula>
    </tableColumn>
    <tableColumn id="11" xr3:uid="{D33D702C-BFC1-4F5F-9BAF-F642C437E26E}" uniqueName="11" name="GroupingCodeIssue" queryTableFieldId="19" dataDxfId="574">
      <calculatedColumnFormula>IF(COUNTIF(Table_System_Grouping_Codes[groupingCodeCode],FinanceCodesBudget[[#This Row],[GroupingCode]])&gt;0,0,1)</calculatedColumnFormula>
    </tableColumn>
    <tableColumn id="12" xr3:uid="{1557BCCB-7A1B-428D-9E3F-3A49BB60AE86}" uniqueName="12" name="CustGrIssue" queryTableFieldId="18" dataDxfId="573">
      <calculatedColumnFormula>IF(COUNTIF(CUSTGROUP[CustomGroupingCode],FinanceCodesBudget[[#This Row],[CustomGrouping]])&gt;0,0,1)</calculatedColumnFormula>
    </tableColumn>
    <tableColumn id="13" xr3:uid="{7AE22DFC-0727-4C7B-85C5-3AA72EAF619D}" uniqueName="13" name="SchCodeIssue" queryTableFieldId="17" dataDxfId="572">
      <calculatedColumnFormula array="1">IF(FinanceCodesBudget[[#This Row],[AvailableToAllSchools]]=TRUE,0,COUNTA(_xlfn.TEXTSPLIT(FinanceCodesBudget[[#This Row],[SchoolCodes]],",",,TRUE))-SUM(COUNTIF(SCHOOLS[SchoolCode],_xlfn.TEXTSPLIT(FinanceCodesBudget[[#This Row],[SchoolCodes]],",",,TRUE))))</calculatedColumnFormula>
    </tableColumn>
    <tableColumn id="14" xr3:uid="{39E65482-1CC4-49B2-9F1D-ECF729FE0B25}" uniqueName="14" name="DupCode" queryTableFieldId="16" dataDxfId="571">
      <calculatedColumnFormula>IF(FinanceCodesBudget[[#This Row],[FinanceCodeTypeCode]]="BUDGET",0,COUNTIF(FinanceCodesBudget[FinanceCode],FinanceCodesBudget[[#This Row],[FinanceCode]])-1)</calculatedColumnFormula>
    </tableColumn>
    <tableColumn id="15" xr3:uid="{9D2E531F-3CE1-4B35-B50F-598CD46D32C6}" uniqueName="15" name="DupDesc" queryTableFieldId="15" dataDxfId="570">
      <calculatedColumnFormula>IF(FinanceCodesBudget[[#This Row],[FinanceCodeTypeCode]]="BUDGET",0,COUNTIF(FinanceCodesBudget[Title],FinanceCodesBudget[[#This Row],[Title]])-1)</calculatedColumnFormula>
    </tableColumn>
    <tableColumn id="16" xr3:uid="{43EE3FCB-77E3-4A76-9BC6-982E972BB021}" uniqueName="16" name="FCTypeIss" queryTableFieldId="14" dataDxfId="569">
      <calculatedColumnFormula>COUNTIF(Lookup!$A$2:$A$7,FinanceCodesBudget[[#This Row],[FinanceCodeTypeCode]])-1</calculatedColumnFormula>
    </tableColumn>
    <tableColumn id="21" xr3:uid="{1B7FC7F4-E2ED-4520-BE30-47D83AFA7034}" uniqueName="21" name="Blank Title Check" queryTableFieldId="24" dataDxfId="568">
      <calculatedColumnFormula>IF(TRIM(FinanceCodesBudget[[#This Row],[Title]])="",1,0)</calculatedColumnFormula>
    </tableColumn>
    <tableColumn id="23" xr3:uid="{8E412BF8-4728-4E6E-9D0F-5C22ED115C31}" uniqueName="23" name="Blank Code Check" queryTableFieldId="23" dataDxfId="567">
      <calculatedColumnFormula>IF(TRIM(FinanceCodesBudget[[#This Row],[FinanceCode]])="",1,0)</calculatedColumnFormula>
    </tableColumn>
    <tableColumn id="17" xr3:uid="{506FB20D-33DA-4FD6-99A4-47D5DBAB02C6}" uniqueName="17" name="Code length Check" queryTableFieldId="13" dataDxfId="566">
      <calculatedColumnFormula>IF(LEN(FinanceCodesBudget[[#This Row],[FinanceCode]])&lt;100,0,1)</calculatedColumnFormula>
    </tableColumn>
    <tableColumn id="18" xr3:uid="{2CDC9D89-8BB4-44F7-80BA-A1A39CD5CAF2}" uniqueName="18" name="Title length check" queryTableFieldId="12" dataDxfId="565">
      <calculatedColumnFormula>IF(LEN(FinanceCodesBudget[[#This Row],[Title]])&lt;100,0,1)</calculatedColumnFormula>
    </tableColumn>
    <tableColumn id="19" xr3:uid="{3E73B000-6EF7-41ED-A062-22805F12D857}" uniqueName="19" name="Balance to Scenario Blank" queryTableFieldId="11" dataDxfId="564">
      <calculatedColumnFormula>IF(ISBLANK(FinanceCodesBudget[[#This Row],[BalanceToScenario]]),1,0)</calculatedColumnFormula>
    </tableColumn>
    <tableColumn id="20" xr3:uid="{C7DC1C77-208F-4CEE-8DDC-BE0A3817223D}" uniqueName="20" name="Will Import if 0" queryTableFieldId="10" dataDxfId="563">
      <calculatedColumnFormula>SUM(FinanceCodesBudget[[#This Row],[LedgerIssue]:[CustGrIssue]],FinanceCodesBudget[[#This Row],[DupCode]:[Balance to Scenario Blank]])</calculatedColumnFormula>
    </tableColumn>
    <tableColumn id="1" xr3:uid="{31C7ADA0-CCE6-4530-9E9B-ACC55AB8663F}" uniqueName="1" name="FinanceCode" queryTableFieldId="1"/>
    <tableColumn id="2" xr3:uid="{3A72B9F9-FD57-43D9-948F-E6BC4B74967B}" uniqueName="2" name="Title" queryTableFieldId="2" dataDxfId="562"/>
    <tableColumn id="3" xr3:uid="{A7A01D9E-3E73-42B9-86AE-8F5FFFB2FF37}" uniqueName="3" name="GroupingCode" queryTableFieldId="3" dataDxfId="561"/>
    <tableColumn id="4" xr3:uid="{81BF9725-73C0-471E-812D-902D9826937F}" uniqueName="4" name="CustomGrouping" queryTableFieldId="4" dataDxfId="560"/>
    <tableColumn id="5" xr3:uid="{767AC536-0DD9-44D5-9692-F489CAB35D3C}" uniqueName="5" name="AvailableToAllSchools" queryTableFieldId="5"/>
    <tableColumn id="6" xr3:uid="{D3541680-7121-42E5-9C51-616B6B9220FF}" uniqueName="6" name="SchoolCodes" queryTableFieldId="6" dataDxfId="559"/>
    <tableColumn id="7" xr3:uid="{C4F31748-474E-455C-BD48-6284C73115C8}" uniqueName="7" name="FinanceCodeTypeCode" queryTableFieldId="7" dataDxfId="558"/>
    <tableColumn id="8" xr3:uid="{FBE34298-1482-4903-A38F-C3046F16D3F8}" uniqueName="8" name="LedgerCode" queryTableFieldId="8" dataDxfId="557"/>
    <tableColumn id="9" xr3:uid="{28674020-9AEC-41F3-81E7-DC608C0B4931}" uniqueName="9" name="FinanceCodeEnabled" queryTableFieldId="9"/>
    <tableColumn id="22" xr3:uid="{864163E3-ECB7-49F8-88BD-55AFAEC7D16E}" uniqueName="22" name="BalanceToScenario" queryTableFieldId="22" dataDxfId="556"/>
  </tableColumns>
  <tableStyleInfo name="IMP Colours"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2A6C62E-1726-4C24-9D4C-59D88AFBB353}" name="PAYSCALES" displayName="PAYSCALES" ref="A1:X7" totalsRowShown="0" headerRowDxfId="555" dataDxfId="554">
  <autoFilter ref="A1:X7" xr:uid="{A2A6C62E-1726-4C24-9D4C-59D88AFBB353}"/>
  <tableColumns count="24">
    <tableColumn id="22" xr3:uid="{E59435C0-9240-4662-B92F-1464F6438BBF}" name="Duplicate Scale Code" dataDxfId="553">
      <calculatedColumnFormula>COUNTIF(PAYSCALES[PayScaleCode],PAYSCALES[[#This Row],[PayScaleCode]])-1</calculatedColumnFormula>
    </tableColumn>
    <tableColumn id="24" xr3:uid="{5E9446DF-8932-45BB-A412-FC38D4BE77FC}" name="Schools Check" dataDxfId="552">
      <calculatedColumnFormula>IF(PAYSCALES[[#This Row],[AvailableToAllSchools]]=FALSE,IF(ISBLANK(PAYSCALES[[#This Row],[SchoolCodes]]),1,0),IF(PAYSCALES[[#This Row],[AvailableToAllSchools]]=TRUE,IF(ISBLANK(PAYSCALES[[#This Row],[SchoolCodes]]),0,1)))</calculatedColumnFormula>
    </tableColumn>
    <tableColumn id="18" xr3:uid="{352FDCFD-3363-44AC-AD41-A88314A749A1}" name="School Code Exists" dataDxfId="551">
      <calculatedColumnFormula array="1">IF(PAYSCALES[[#This Row],[AvailableToAllSchools]]=TRUE,0,COUNTA(_xlfn.TEXTSPLIT(PAYSCALES[[#This Row],[SchoolCodes]],",",,TRUE))-SUM(COUNTIF(SCHOOLS[SchoolCode],_xlfn.TEXTSPLIT(PAYSCALES[[#This Row],[SchoolCodes]],",",,TRUE))))</calculatedColumnFormula>
    </tableColumn>
    <tableColumn id="29" xr3:uid="{6108FB49-AB11-4FD9-B385-84A56568161C}" name="TRUE /FALSE Typo" dataDxfId="550">
      <calculatedColumnFormula>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calculatedColumnFormula>
    </tableColumn>
    <tableColumn id="28" xr3:uid="{1EFA2ADC-697F-4AB9-B9C4-71384BFF83B4}" name="Code Length" dataDxfId="549">
      <calculatedColumnFormula>IF(LEN(PAYSCALES[[#This Row],[PayScaleCode]])&lt;100,0,1)</calculatedColumnFormula>
    </tableColumn>
    <tableColumn id="27" xr3:uid="{59FBB51D-8893-4357-9C5B-172C7112B67D}" name="Title Length" dataDxfId="548">
      <calculatedColumnFormula>IF(LEN(PAYSCALES[[#This Row],[PayScaleTitle]])&lt;100,0,1)</calculatedColumnFormula>
    </tableColumn>
    <tableColumn id="26" xr3:uid="{FB2F49C1-2EE8-47AD-9AEA-7A02946662DF}" name="Blank in column" dataDxfId="547">
      <calculatedColumnFormula>COUNTBLANK(PAYSCALES[[#This Row],[PayScaleCode]:[AvailableToAllSchools]])+COUNTBLANK(PAYSCALES[[#This Row],[PayScaleEnabled]:[ExcludePension]])</calculatedColumnFormula>
    </tableColumn>
    <tableColumn id="25" xr3:uid="{59265A17-6779-4060-84C4-87AEFD6A8F0A}" name="Space in Code" dataDxfId="546">
      <calculatedColumnFormula>IF(SUBSTITUTE(TEXT(PAYSCALES[[#This Row],[PayScaleCode]],10)," ","")=TEXT(PAYSCALES[[#This Row],[PayScaleCode]],10),0,1)</calculatedColumnFormula>
    </tableColumn>
    <tableColumn id="21" xr3:uid="{ADDEC1D7-E9BD-4F4A-A7B4-7F52369EFE28}" name="Will Import if 0" dataDxfId="545">
      <calculatedColumnFormula>SUM(PAYSCALES[[#This Row],[Duplicate Scale Code]:[Space in Code]])</calculatedColumnFormula>
    </tableColumn>
    <tableColumn id="3" xr3:uid="{C2D22089-4A75-4313-AD31-A91A9A6E7652}" name="London Weighting" dataDxfId="544"/>
    <tableColumn id="7" xr3:uid="{0E23EEE2-601A-4EB3-BF10-D78CDD52EAF7}" name="Increment Date" dataDxfId="543">
      <calculatedColumnFormula>PAYSCALES[[#This Row],[IncrementDate]]</calculatedColumnFormula>
    </tableColumn>
    <tableColumn id="8" xr3:uid="{2F8E1BA7-1A55-44F3-8C5F-DBCAC64D56B0}" name="Increase Date" dataDxfId="542">
      <calculatedColumnFormula>PAYSCALES[[#This Row],[IncreaseDate]]</calculatedColumnFormula>
    </tableColumn>
    <tableColumn id="4" xr3:uid="{06CC12EF-9CAE-4CC4-8F69-B9AABC2BF7AB}" name="ScenarioCode" dataDxfId="541"/>
    <tableColumn id="5" xr3:uid="{355201B3-B240-413A-B96A-430B54BE6276}" name="PayScaleCode" dataDxfId="540"/>
    <tableColumn id="6" xr3:uid="{39521FD4-93B1-4B4C-A066-DEDA3DEC5A35}" name="PayScaleTitle" dataDxfId="539"/>
    <tableColumn id="2" xr3:uid="{94E81AD1-3352-4874-B3A3-F4D24F30452D}" name="ServiceIncrementDateEnabled" dataDxfId="538"/>
    <tableColumn id="1" xr3:uid="{2835B0F1-B033-42C3-9063-B95CBFCE738C}" name="IncrementDate" dataDxfId="537"/>
    <tableColumn id="13" xr3:uid="{A184C8E5-C93A-4BFB-8C5A-FDA77DEA604C}" name="IncreaseDate" dataDxfId="536"/>
    <tableColumn id="9" xr3:uid="{75094A92-3894-4E3B-87C2-56EF1268AD49}" name="IncreasePercentage" dataDxfId="535"/>
    <tableColumn id="10" xr3:uid="{9B4F19E2-7CC5-40E9-95D3-37FB509A31B4}" name="AvailableToAllSchools" dataDxfId="534"/>
    <tableColumn id="11" xr3:uid="{7448DC89-5507-4AFC-A969-0DFF9CED5B57}" name="SchoolCodes" dataDxfId="533"/>
    <tableColumn id="12" xr3:uid="{9E9D57C7-65A8-4076-8EE5-E5B868C57DDB}" name="PayScaleEnabled" dataDxfId="532"/>
    <tableColumn id="16" xr3:uid="{6A5549CC-2CF5-4E53-AB35-C62F8E871BAE}" name="ExcludeNationalInsurance" dataDxfId="531"/>
    <tableColumn id="17" xr3:uid="{85BA5D97-A765-43EC-A0CD-F37543903BC9}" name="ExcludePension" dataDxfId="530"/>
  </tableColumns>
  <tableStyleInfo name="IMP Colours"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A64A06DA-F458-4374-9453-99B4CE8ADC23}" name="PSPOINTS" displayName="PSPOINTS" ref="A1:Y113" totalsRowShown="0" headerRowDxfId="529" dataDxfId="528">
  <autoFilter ref="A1:Y113" xr:uid="{A2A6C62E-1726-4C24-9D4C-59D88AFBB353}"/>
  <tableColumns count="25">
    <tableColumn id="25" xr3:uid="{FCBD480E-66D7-4C78-9649-05535BAF9E81}" name="Pay Scale String" dataDxfId="527">
      <calculatedColumnFormula>PSPOINTS[[#This Row],[PayScaleCode]]&amp;PSPOINTS[[#This Row],[RateDateFrom]]</calculatedColumnFormula>
    </tableColumn>
    <tableColumn id="1" xr3:uid="{A7C970B4-1B26-460D-B71C-87C95799A1DF}" name="Scale Point Issue" dataDxfId="526">
      <calculatedColumnFormula>IF(A2=A1,SUM(T2-T1)-1,T2-1)</calculatedColumnFormula>
    </tableColumn>
    <tableColumn id="12" xr3:uid="{70F8BD00-DC3E-44FB-AB03-897DAC8E700E}" name="Pay Scale String Duplicates" dataDxfId="525">
      <calculatedColumnFormula>PSPOINTS[[#This Row],[PayScaleCode]]&amp;PSPOINTS[[#This Row],[PayScalePointCode]]&amp;PSPOINTS[[#This Row],[RateDateFrom]]</calculatedColumnFormula>
    </tableColumn>
    <tableColumn id="23" xr3:uid="{7BC8DD94-6B81-4F13-AA9E-8016484DFF67}" name="Duplicate Scale Check" dataDxfId="524">
      <calculatedColumnFormula>COUNTIF(PSPOINTS[Pay Scale String Duplicates],PSPOINTS[[#This Row],[Pay Scale String Duplicates]])-1</calculatedColumnFormula>
    </tableColumn>
    <tableColumn id="22" xr3:uid="{F247A36A-4152-456D-AB91-9E8C568D2125}" name="Rate Date From Issue" dataDxfId="523">
      <calculatedColumnFormula>IF((MONTH(_xlfn.XLOOKUP(PSPOINTS[[#This Row],[PayScaleCode]],PayScales!N:N,PayScales!R:R)))=MONTH(PSPOINTS[[#This Row],[RateDateFrom]]),0,1)</calculatedColumnFormula>
    </tableColumn>
    <tableColumn id="7" xr3:uid="{A5D3EA76-0806-4DAC-BFBF-B3C4461DCC5C}" name="Dates From/To Issue" dataDxfId="522">
      <calculatedColumnFormula>IF(ISBLANK(PSPOINTS[[#This Row],[RateDateTo]]),0,IF(PSPOINTS[[#This Row],[RateDateFrom]]&lt;PSPOINTS[[#This Row],[RateDateTo]],0,1))</calculatedColumnFormula>
    </tableColumn>
    <tableColumn id="24" xr3:uid="{E7EF1643-D4B3-481F-9665-16E82D3FD502}" name="Date Format Issue" dataDxfId="521">
      <calculatedColumnFormula array="1">IF(CELL("format",PSPOINTS[[#This Row],[RateDateFrom]])="D1",0,1)+IF(CELL("format",PSPOINTS[[#This Row],[RateDateTo]])="D1",0,1)</calculatedColumnFormula>
    </tableColumn>
    <tableColumn id="11" xr3:uid="{9E5FDC5E-30D9-4B4C-BC36-1349A6B3F831}" name="TRUE /FALSE Typo" dataDxfId="520">
      <calculatedColumnFormula>IF(OR(PSPOINTS[[#This Row],[Hourly]]=TRUE,PSPOINTS[[#This Row],[Hourly]]=FALSE),IF(OR(PSPOINTS[[#This Row],[PayScalePointEnabled]]=TRUE,PSPOINTS[[#This Row],[PayScalePointEnabled]]=FALSE),0,1),1)</calculatedColumnFormula>
    </tableColumn>
    <tableColumn id="8" xr3:uid="{6BC63E70-40B4-4264-9E29-076D055326C3}" name="Code Length" dataDxfId="519">
      <calculatedColumnFormula>IF(LEN(PSPOINTS[[#This Row],[PayScalePointCode]])&lt;100,0,1)</calculatedColumnFormula>
    </tableColumn>
    <tableColumn id="2" xr3:uid="{39B51BF0-7F7B-4FD3-AF00-3E5E8B381A32}" name="Title Length" dataDxfId="518">
      <calculatedColumnFormula>IF(LEN(PSPOINTS[[#This Row],[PayScalePointTitle]])&lt;100,0,1)</calculatedColumnFormula>
    </tableColumn>
    <tableColumn id="10" xr3:uid="{E77D9CF6-7F08-4D33-82CF-BC2324FBAF9D}" name="Blank in column" dataDxfId="517">
      <calculatedColumnFormula>(COUNTBLANK(PSPOINTS[[#This Row],[PayScalePointCode]:[RateDateFrom]])+COUNTBLANK(PSPOINTS[[#This Row],[PayScaleRate]]))</calculatedColumnFormula>
    </tableColumn>
    <tableColumn id="9" xr3:uid="{7B340F01-03C3-49E7-8544-9BE753BAEA74}" name="Space in Code" dataDxfId="516">
      <calculatedColumnFormula>IF(SUBSTITUTE(TEXT(PSPOINTS[[#This Row],[PayScaleCode]],10)," ","")=TEXT(PSPOINTS[[#This Row],[PayScaleCode]],10),0,1)+IF(SUBSTITUTE(TEXT(PSPOINTS[[#This Row],[PayScalePointCode]],10)," ","")=TEXT(PSPOINTS[[#This Row],[PayScalePointCode]],10),0,1)</calculatedColumnFormula>
    </tableColumn>
    <tableColumn id="21" xr3:uid="{CB8BEF50-65EA-49B3-B1D4-D9119AB82298}" name="Will Import if 0" dataDxfId="515">
      <calculatedColumnFormula>SUM(PSPOINTS[[#This Row],[Scale Point Issue]:[Space in Code]])</calculatedColumnFormula>
    </tableColumn>
    <tableColumn id="3" xr3:uid="{6096BF65-1E86-49E6-AB78-F6B7BEB3F1B2}" name="London Weighting" dataDxfId="514"/>
    <tableColumn id="4" xr3:uid="{7346793A-89E7-4F7C-9ADA-7651E0EEA002}" name="ScenarioCode" dataDxfId="513"/>
    <tableColumn id="5" xr3:uid="{3B81C3D3-D6D5-4A6C-B6F2-F8ED47E212C6}" name="PayScaleCode" dataDxfId="512"/>
    <tableColumn id="6" xr3:uid="{EA160913-39D2-4067-B36D-48E99C1A1D02}" name="PayScaleTitle" dataDxfId="511">
      <calculatedColumnFormula>_xlfn.XLOOKUP(PSPOINTS[[#This Row],[PayScaleCode]],PayScales!N:N,PayScales!O:O)</calculatedColumnFormula>
    </tableColumn>
    <tableColumn id="13" xr3:uid="{277C2273-7E80-4DBA-89CA-9FC59C62DE9E}" name="PayScalePointCode" dataDxfId="510"/>
    <tableColumn id="14" xr3:uid="{9FF28234-ECFB-47AE-9684-D5678A91C653}" name="PayScalePointTitle" dataDxfId="509"/>
    <tableColumn id="15" xr3:uid="{F1E13C7B-1F11-4839-89CF-076F000FEE29}" name="ScalePointNumber" dataDxfId="508"/>
    <tableColumn id="16" xr3:uid="{3EE74BA2-8E01-448A-A1A6-5E99E27F9644}" name="Hourly" dataDxfId="507"/>
    <tableColumn id="17" xr3:uid="{3F26F297-5588-4A6D-BAB8-4E3B8F311BE9}" name="PayScalePointEnabled" dataDxfId="506"/>
    <tableColumn id="18" xr3:uid="{17E24663-9AC0-4A96-BD36-F4E199E5482A}" name="RateDateFrom" dataDxfId="505"/>
    <tableColumn id="19" xr3:uid="{4DD268BF-AFC6-46A6-9173-E2DED659EB12}" name="RateDateTo" dataDxfId="504"/>
    <tableColumn id="20" xr3:uid="{22A13691-08F8-4016-8684-8CB7FC02E351}" name="PayScaleRate" dataDxfId="503"/>
  </tableColumns>
  <tableStyleInfo name="IMP Colours"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E80EE81-AD01-4E29-95B9-8325D2D56C4E}" name="GRADES" displayName="GRADES" ref="A1:W37" totalsRowShown="0" headerRowDxfId="502" dataDxfId="501">
  <autoFilter ref="A1:W37" xr:uid="{EE80EE81-AD01-4E29-95B9-8325D2D56C4E}"/>
  <tableColumns count="23">
    <tableColumn id="1" xr3:uid="{D194B363-70A8-47B2-8816-1DC09B2309DB}" name="Pay Scale issue" dataDxfId="500">
      <calculatedColumnFormula>IF(COUNTIF(PayScales!N:N,PayScaleGrades!P2)&gt;0,"0","1")</calculatedColumnFormula>
    </tableColumn>
    <tableColumn id="17" xr3:uid="{489E147F-58FB-475A-8CC6-F71EB95990C4}" name="Duplicate Grade Code" dataDxfId="499">
      <calculatedColumnFormula>COUNTIF(GRADES[PayScaleGradeCode],GRADES[[#This Row],[PayScaleGradeCode]])-1</calculatedColumnFormula>
    </tableColumn>
    <tableColumn id="16" xr3:uid="{FCF1CCDF-B1C8-4C2E-84B3-277775117079}" name="Schools Check" dataDxfId="498">
      <calculatedColumnFormula array="1">IF(GRADES[[#This Row],[AvailableToAllSchools]]=FALSE,IF(ISBLANK(GRADES[[#This Row],[SchoolCodes]]),1,IF(AND(COUNTIF(SCHOOLS[SchoolCode],_xlfn.TEXTSPLIT(GRADES[[#This Row],[SchoolCodes]],","))),0,1)),IF(GRADES[[#This Row],[AvailableToAllSchools]]=TRUE,IF(ISBLANK(GRADES[[#This Row],[SchoolCodes]]),0,1)))</calculatedColumnFormula>
    </tableColumn>
    <tableColumn id="18" xr3:uid="{15E74163-D597-43D6-BEB3-5BF8B3D6F752}" name="Scale Point Number From/To Issue" dataDxfId="497"/>
    <tableColumn id="14" xr3:uid="{1B2F30B2-BBA5-4FA6-B5AD-97B43ACCFDA0}" name="PayScaleGrade and PayScaleCode Available to School" dataDxfId="496">
      <calculatedColumnFormula array="1">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calculatedColumnFormula>
    </tableColumn>
    <tableColumn id="23" xr3:uid="{F028318C-DF27-48FF-BCE5-8D4166B5E95D}" name="TRUE /FALSE Typo" dataDxfId="495">
      <calculatedColumnFormula>IF(OR(GRADES[[#This Row],[AvailableToAllSchools]]=TRUE,GRADES[[#This Row],[AvailableToAllSchools]]=FALSE),IF(OR(GRADES[[#This Row],[PayScaleGradeEnabled]]=TRUE,GRADES[[#This Row],[PayScaleGradeEnabled]]=FALSE),0,1),1)</calculatedColumnFormula>
    </tableColumn>
    <tableColumn id="22" xr3:uid="{D36F6B49-EE4B-4A2B-8FCC-9076930FBA32}" name="Blank in column" dataDxfId="494">
      <calculatedColumnFormula>(COUNTBLANK(GRADES[[#This Row],[PayScaleGradeCode]:[AvailableToAllSchools]])+COUNTBLANK(GRADES[[#This Row],[PayScaleGradeEnabled]]))</calculatedColumnFormula>
    </tableColumn>
    <tableColumn id="20" xr3:uid="{5AAE2869-A5A1-42A1-94E9-DF3191B69E9F}" name="Code Length" dataDxfId="493">
      <calculatedColumnFormula>IF(LEN(GRADES[[#This Row],[PayScaleGradeCode]])&lt;100,0,1)</calculatedColumnFormula>
    </tableColumn>
    <tableColumn id="19" xr3:uid="{AF7482B5-0AF9-4C2F-884E-CDF472C696BC}" name="Title Length" dataDxfId="492">
      <calculatedColumnFormula>IF(LEN(GRADES[[#This Row],[Title]])&lt;100,0,1)</calculatedColumnFormula>
    </tableColumn>
    <tableColumn id="21" xr3:uid="{B2CE97B8-75EB-4DDF-A823-DC2771FE3EF2}" name="Space in Code" dataDxfId="491">
      <calculatedColumnFormula>IF(SUBSTITUTE(TEXT(GRADES[[#This Row],[PayScaleGradeCode]],10)," ","")=TEXT(GRADES[[#This Row],[PayScaleGradeCode]],10),0,1)</calculatedColumnFormula>
    </tableColumn>
    <tableColumn id="15" xr3:uid="{487A6052-27AF-4B61-A577-CC2C5CB1D866}" name="Will Import if 0" dataDxfId="490">
      <calculatedColumnFormula>SUM(GRADES[[#This Row],[Pay Scale issue]:[Schools Check]],GRADES[[#This Row],[TRUE /FALSE Typo]:[Space in Code]])</calculatedColumnFormula>
    </tableColumn>
    <tableColumn id="11" xr3:uid="{E1CF51C9-C576-45B6-9DF1-534EC830F526}" name="London Weighting" dataDxfId="489">
      <calculatedColumnFormula>_xlfn.XLOOKUP(GRADES[[#This Row],[PayScaleCode]],PAYSCALES[PayScaleCode],PAYSCALES[London Weighting])</calculatedColumnFormula>
    </tableColumn>
    <tableColumn id="10" xr3:uid="{255C7DE1-C18D-40A4-A1BB-657E645F1F55}" name="ScenarioCode" dataDxfId="488"/>
    <tableColumn id="2" xr3:uid="{9906132B-2BDD-409C-9012-67756B91D549}" name="PayScaleGradeCode" dataDxfId="487"/>
    <tableColumn id="3" xr3:uid="{98A85B4A-7811-4CE1-BF80-3106108007A0}" name="Title" dataDxfId="486"/>
    <tableColumn id="4" xr3:uid="{0C3DAAF9-F4BF-4153-9310-38AF474290F0}" name="PayScaleCode" dataDxfId="485"/>
    <tableColumn id="12" xr3:uid="{1ADBCCE1-40DE-4F2B-9F38-D8323EB04A95}" name="Point From (Check)" dataDxfId="484"/>
    <tableColumn id="13" xr3:uid="{EBB8E359-FAE3-4DB6-BB69-22FA863463F2}" name="Point To (Check)" dataDxfId="483"/>
    <tableColumn id="5" xr3:uid="{9987CBC7-05DD-4387-9BEB-AFB26AA285A3}" name="ScalePointNumberFrom" dataDxfId="482">
      <calculatedColumnFormula array="1">LOOKUP(2,1/(PSPOINTS[PayScaleCode]=GRADES[[#This Row],[PayScaleCode]])/(PSPOINTS[PayScalePointCode]=GRADES[[#This Row],[Point From (Check)]]),(PSPOINTS[ScalePointNumber]))</calculatedColumnFormula>
    </tableColumn>
    <tableColumn id="6" xr3:uid="{83AD724E-75D2-4112-A6CF-1164C809415C}" name="ScalePointNumberTo" dataDxfId="481">
      <calculatedColumnFormula array="1">LOOKUP(2,1/(PSPOINTS[PayScaleCode]=GRADES[[#This Row],[PayScaleCode]])/(PSPOINTS[PayScalePointCode]=GRADES[[#This Row],[Point To (Check)]]),(PSPOINTS[ScalePointNumber]))</calculatedColumnFormula>
    </tableColumn>
    <tableColumn id="7" xr3:uid="{D878277F-0C81-4CF7-BFD6-5C7B9761F435}" name="AvailableToAllSchools" dataDxfId="480"/>
    <tableColumn id="8" xr3:uid="{72B251AD-B6C6-4883-989C-238175CE8951}" name="SchoolCodes" dataDxfId="479"/>
    <tableColumn id="9" xr3:uid="{97395966-3E56-40B6-9C4A-CF9EB216F908}" name="PayScaleGradeEnabled" dataDxfId="478"/>
  </tableColumns>
  <tableStyleInfo name="IMP Colours"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C336EFD-D63B-4AC1-AD41-6C554ADE80C2}" name="PS_INCPERC" displayName="PS_INCPERC" ref="A1:H6" totalsRowShown="0" headerRowDxfId="477" dataDxfId="476">
  <autoFilter ref="A1:H6" xr:uid="{EC336EFD-D63B-4AC1-AD41-6C554ADE80C2}"/>
  <tableColumns count="8">
    <tableColumn id="1" xr3:uid="{435ED31F-B88D-4A69-B272-4D43EA4952A2}" name="Pay Scale Code Issue" dataDxfId="475">
      <calculatedColumnFormula>IF(COUNTIF(PayScales!N:N,F2)&gt;0,0,1)</calculatedColumnFormula>
    </tableColumn>
    <tableColumn id="2" xr3:uid="{EE5E0F8E-782C-43B4-818E-6A195D1C574D}" name="Blank in column" dataDxfId="474">
      <calculatedColumnFormula>COUNTBLANK(PS_INCPERC[[#This Row],[PayScaleCode]:[IncreasePercentage]])</calculatedColumnFormula>
    </tableColumn>
    <tableColumn id="8" xr3:uid="{C37A586F-A7D1-4BA8-9727-28A0872EF189}" name="Space in Code" dataDxfId="473">
      <calculatedColumnFormula>IF(SUBSTITUTE(TEXT(PS_INCPERC[[#This Row],[PayScaleCode]],10)," ","")=TEXT(PS_INCPERC[[#This Row],[PayScaleCode]],10),0,1)</calculatedColumnFormula>
    </tableColumn>
    <tableColumn id="7" xr3:uid="{D0679EDE-3A53-4141-B64A-53C33121F6EF}" name="Will Import if 0" dataDxfId="472">
      <calculatedColumnFormula>SUM(PS_INCPERC[[#This Row],[Pay Scale Code Issue]:[Space in Code]])</calculatedColumnFormula>
    </tableColumn>
    <tableColumn id="3" xr3:uid="{FF274002-7BBE-41C2-B4F3-23B55762E849}" name="ScenarioCode" dataDxfId="471"/>
    <tableColumn id="4" xr3:uid="{113CB928-574E-4F94-BF40-274BD5524E50}" name="PayScaleCode" dataDxfId="470"/>
    <tableColumn id="5" xr3:uid="{44B7B596-52A9-41A7-AE1C-0B9CBA04058D}" name="FinancialYearsCode" dataDxfId="469"/>
    <tableColumn id="6" xr3:uid="{A77507EB-1DAC-4F8F-A760-119CA1E145D3}" name="IncreasePercentage" dataDxfId="468"/>
  </tableColumns>
  <tableStyleInfo name="IMP Colours"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803D98F8-86BF-4A82-849E-33F981D70D6B}" name="ALLWCTYPE" displayName="ALLWCTYPE" ref="A1:Q3" totalsRowShown="0" headerRowDxfId="467" dataDxfId="466">
  <autoFilter ref="A1:Q3" xr:uid="{803D98F8-86BF-4A82-849E-33F981D70D6B}"/>
  <tableColumns count="17">
    <tableColumn id="15" xr3:uid="{B4F8B5CE-84C8-4805-9BF2-5033F5567D71}" name="Schools Check" dataDxfId="465">
      <calculatedColumnFormula>IF(ALLWCTYPE[[#This Row],[AvailableToAllSchools]]=FALSE,IF(ISBLANK(ALLWCTYPE[[#This Row],[SchoolCodes]]),1,0),IF(ALLWCTYPE[[#This Row],[AvailableToAllSchools]]=TRUE,IF(ISBLANK(ALLWCTYPE[[#This Row],[SchoolCodes]]),0,1)))</calculatedColumnFormula>
    </tableColumn>
    <tableColumn id="19" xr3:uid="{324CBF01-F691-4865-ACA1-B8E443859458}" name="TRUE /FALSE Typo" dataDxfId="464">
      <calculatedColumnFormula>IF(OR(ALLWCTYPE[[#This Row],[ExcludePension]]=TRUE,ALLWCTYPE[[#This Row],[ExcludePension]]=FALSE),IF(OR(ALLWCTYPE[[#This Row],[AvailableToAllSchools]]=TRUE,ALLWCTYPE[[#This Row],[AvailableToAllSchools]]=FALSE),IF(OR(ALLWCTYPE[[#This Row],[ExcludeNI]]=TRUE,ALLWCTYPE[[#This Row],[ExcludeNI]]=FALSE),IF(OR(ALLWCTYPE[[#This Row],[AllowanceTypeEnabled]]=TRUE,ALLWCTYPE[[#This Row],[AllowanceTypeEnabled]]=FALSE),0,1),1),1),1)</calculatedColumnFormula>
    </tableColumn>
    <tableColumn id="18" xr3:uid="{16A2F211-1FD9-4E20-9B9F-A7CE4048A2A8}" name="Code Length" dataDxfId="463">
      <calculatedColumnFormula>IF(LEN(ALLWCTYPE[[#This Row],[AllowanceTypeCode]])&lt;100,0,1)</calculatedColumnFormula>
    </tableColumn>
    <tableColumn id="17" xr3:uid="{6F6E8C35-0C36-4C1B-918B-7593D738596A}" name="Title Length" dataDxfId="462">
      <calculatedColumnFormula>IF(LEN(ALLWCTYPE[[#This Row],[AllowanceTypeTitle]])&lt;100,0,1)</calculatedColumnFormula>
    </tableColumn>
    <tableColumn id="1" xr3:uid="{1D51D607-7EB0-4C15-8764-CD6C77D4748C}" name="Blank in column" dataDxfId="461">
      <calculatedColumnFormula>COUNTBLANK(ALLWCTYPE[[#This Row],[AllowanceTypeCode]:[AvailableToAllSchools]])+COUNTBLANK(ALLWCTYPE[[#This Row],[ExcludePension]]:ALLWCTYPE[[#This Row],[ExcludeNI]]:ALLWCTYPE[[#This Row],[AllowanceTypeEnabled]])</calculatedColumnFormula>
    </tableColumn>
    <tableColumn id="12" xr3:uid="{12D9A38E-9CF2-4241-AC86-ABB59D314921}" name="Space in Code" dataDxfId="460">
      <calculatedColumnFormula>IF(SUBSTITUTE(TEXT(ALLWCTYPE[[#This Row],[AllowanceTypeCode]],10)," ","")=TEXT(ALLWCTYPE[[#This Row],[AllowanceTypeCode]],10),0,1)</calculatedColumnFormula>
    </tableColumn>
    <tableColumn id="14" xr3:uid="{53EB043B-ABF8-46D1-9874-C3544FD28F41}" name="Will Import if 0" dataDxfId="459">
      <calculatedColumnFormula>SUM(ALLWCTYPE[[#This Row],[Schools Check]:[Blank in column]])</calculatedColumnFormula>
    </tableColumn>
    <tableColumn id="2" xr3:uid="{ABD0E833-D211-4850-8D74-97436571DAE7}" name="ScenarioCode" dataDxfId="458"/>
    <tableColumn id="3" xr3:uid="{2195F783-4225-40F2-8465-533107A7A9A8}" name="AllowanceTypeCode" dataDxfId="457"/>
    <tableColumn id="4" xr3:uid="{F6F30562-8EC4-4634-AB3A-A62485089327}" name="AllowanceTypeTitle" dataDxfId="456"/>
    <tableColumn id="6" xr3:uid="{75C23533-C3FD-404A-991A-C668FDC955E0}" name="IncreaseDate" dataDxfId="455"/>
    <tableColumn id="7" xr3:uid="{F77B70B3-1EE3-4BB4-B0CA-01620F44E855}" name="IncreasePercentage" dataDxfId="454"/>
    <tableColumn id="8" xr3:uid="{3FE0FEDD-3A09-4F31-B151-3559D335DF6D}" name="AvailableToAllSchools" dataDxfId="453"/>
    <tableColumn id="10" xr3:uid="{9A9158DC-7B4B-4162-A8BA-7D5DF0B87CFB}" name="SchoolCodes" dataDxfId="452"/>
    <tableColumn id="5" xr3:uid="{1B32FD1E-C136-42A6-BE3A-A786002FE67D}" name="ExcludePension" dataDxfId="451"/>
    <tableColumn id="9" xr3:uid="{07B228AA-9EF9-453E-B4A7-27768475CAAD}" name="ExcludeNI" dataDxfId="450"/>
    <tableColumn id="11" xr3:uid="{DCDC8806-C3B4-487A-B5AD-5200F2950D0A}" name="AllowanceTypeEnabled" dataDxfId="449"/>
  </tableColumns>
  <tableStyleInfo name="IMP Colours"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E89A723-B83E-4E78-A8BC-1DEE53BBA935}" name="ALLWCPTS" displayName="ALLWCPTS" ref="A1:W14" totalsRowShown="0" headerRowDxfId="448" dataDxfId="447">
  <autoFilter ref="A1:W14" xr:uid="{803D98F8-86BF-4A82-849E-33F981D70D6B}"/>
  <tableColumns count="23">
    <tableColumn id="1" xr3:uid="{43F4A519-6D82-4184-BA58-0C154687ACB3}" name="Allowance Type Issue" dataDxfId="446">
      <calculatedColumnFormula>IF(COUNTIF(ALLWCTYPE[AllowanceTypeCode],ALLWCPTS[[#This Row],[AllowanceTypeCode]])&gt;0,0,1)</calculatedColumnFormula>
    </tableColumn>
    <tableColumn id="5" xr3:uid="{6BD20B10-E75D-4D9A-B2BD-9C109B9500CF}" name="Point Code Duplicate" dataDxfId="445">
      <calculatedColumnFormula>COUNTIF(ALLWCPTS[AllowancePointCode],ALLWCPTS[[#This Row],[AllowancePointCode]])-1</calculatedColumnFormula>
    </tableColumn>
    <tableColumn id="6" xr3:uid="{E2E18E9D-BD1B-4112-8812-FE3AC73B8372}" name="Schools Check" dataDxfId="444">
      <calculatedColumnFormula>IF(ALLWCPTS[[#This Row],[AvailableToAllSchools]]=FALSE,IF(ISBLANK(ALLWCPTS[[#This Row],[SchoolCodes]]),1,0),IF(ALLWCPTS[[#This Row],[AvailableToAllSchools]]=TRUE,IF(ISBLANK(ALLWCPTS[[#This Row],[SchoolCodes]]),0,1)))</calculatedColumnFormula>
    </tableColumn>
    <tableColumn id="22" xr3:uid="{271272A9-F193-42BB-9D5F-068F99B4DA07}" name="Dates From/To Issue" dataDxfId="443">
      <calculatedColumnFormula>IF(ISBLANK(ALLWCPTS[[#This Row],[RateDateTo]]),0,IF(ALLWCPTS[[#This Row],[RateDateFrom]]&lt;ALLWCPTS[[#This Row],[RateDateTo]],0,1))</calculatedColumnFormula>
    </tableColumn>
    <tableColumn id="14" xr3:uid="{77CF27A5-AD09-4AAC-A067-DBB9E9CDAFED}" name="Date Format Issue" dataDxfId="442">
      <calculatedColumnFormula array="1">IF(CELL("format",ALLWCPTS[[#This Row],[RateDateFrom]])="D1",0,1)+IF(CELL("format",ALLWCPTS[[#This Row],[RateDateTo]])="D1",0,1)</calculatedColumnFormula>
    </tableColumn>
    <tableColumn id="24" xr3:uid="{A1A68B22-7F41-46F9-BDDF-66155DAFB6C1}" name="Allowance Type Code Available to School" dataDxfId="441">
      <calculatedColumnFormula array="1">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calculatedColumnFormula>
    </tableColumn>
    <tableColumn id="21" xr3:uid="{69E3DA54-C304-4C0D-A9C8-620A4366CC84}" name="TRUE /FALSE Typo" dataDxfId="440">
      <calculatedColumnFormula>IF(OR(ALLWCPTS[[#This Row],[AllowancePointEnabled]]=TRUE,ALLWCPTS[[#This Row],[AllowancePointEnabled]]=FALSE),IF(OR(ALLWCPTS[[#This Row],[AvailableToAllSchools]]=TRUE,ALLWCPTS[[#This Row],[AvailableToAllSchools]]=FALSE),0,1),1)</calculatedColumnFormula>
    </tableColumn>
    <tableColumn id="11" xr3:uid="{B662C051-A32F-46CA-8981-B3FB95999A3A}" name="Code Length" dataDxfId="439">
      <calculatedColumnFormula>IF(LEN(ALLWCPTS[[#This Row],[AllowancePointCode]])&lt;100,0,1)</calculatedColumnFormula>
    </tableColumn>
    <tableColumn id="7" xr3:uid="{23254311-6A96-4274-AD22-61EC80D2BF0F}" name="Title Length" dataDxfId="438">
      <calculatedColumnFormula>IF(LEN(ALLWCPTS[[#This Row],[AllowancePointTitle]])&lt;100,0,1)</calculatedColumnFormula>
    </tableColumn>
    <tableColumn id="20" xr3:uid="{9DC6F3AB-2C22-4F77-B224-F057CA4D1FAC}" name="Blank in column" dataDxfId="437">
      <calculatedColumnFormula>COUNTBLANK(ALLWCPTS[[#This Row],[AllowanceTypeCode]:[AvailableToAllSchools]])+COUNTBLANK(ALLWCPTS[[#This Row],[AnnualRate]]:ALLWCPTS[[#This Row],[AllowancePointEnabled]])</calculatedColumnFormula>
    </tableColumn>
    <tableColumn id="15" xr3:uid="{CC73507A-E1FE-4A00-B323-4CEAFCFC8598}" name="Space in Code" dataDxfId="436">
      <calculatedColumnFormula>IF(SUBSTITUTE(TEXT(ALLWCPTS[[#This Row],[AllowancePointCode]],10)," ","")=TEXT(ALLWCPTS[[#This Row],[AllowancePointCode]],10),0,1)</calculatedColumnFormula>
    </tableColumn>
    <tableColumn id="9" xr3:uid="{E74D1F13-FCE5-46D7-84FB-199E96793E85}" name="Will import if 0" dataDxfId="435">
      <calculatedColumnFormula>SUM(ALLWCPTS[[#This Row],[Allowance Type Issue]:[Space in Code]])</calculatedColumnFormula>
    </tableColumn>
    <tableColumn id="2" xr3:uid="{29A8EAFA-4973-4E86-82DC-948750D80553}" name="ScenarioCode" dataDxfId="434"/>
    <tableColumn id="3" xr3:uid="{44ED73C8-3D6C-4637-A8E9-EC5376F8EFEC}" name="AllowanceTypeCode" dataDxfId="433"/>
    <tableColumn id="4" xr3:uid="{11376567-E77D-4ED1-8C56-DF4700FA18D8}" name="AllowanceTypeTitle" dataDxfId="432">
      <calculatedColumnFormula>_xlfn.XLOOKUP(ALLWCPTS[[#This Row],[AllowanceTypeCode]],ALLWCTYPE[AllowanceTypeCode],ALLWCTYPE[AllowanceTypeTitle])</calculatedColumnFormula>
    </tableColumn>
    <tableColumn id="12" xr3:uid="{BAD317EF-9308-49E5-8F7A-D22B5C22CEDE}" name="AllowancePointCode" dataDxfId="431"/>
    <tableColumn id="13" xr3:uid="{7415A5E2-37AF-4379-B185-4DD8CB4357E6}" name="AllowancePointTitle" dataDxfId="430"/>
    <tableColumn id="8" xr3:uid="{7A3DF043-9014-4E69-9D57-699B655ADFB9}" name="AvailableToAllSchools" dataDxfId="429"/>
    <tableColumn id="10" xr3:uid="{36FF1A74-41A3-4BDC-9A89-C042DF0806A9}" name="SchoolCodes" dataDxfId="428"/>
    <tableColumn id="17" xr3:uid="{38B89BD4-6BD2-42A2-908F-51AAD0222D5D}" name="RateDateFrom" dataDxfId="427"/>
    <tableColumn id="18" xr3:uid="{55A6626E-94B1-486D-BA05-967751663BDB}" name="RateDateTo" dataDxfId="426"/>
    <tableColumn id="19" xr3:uid="{9BF6EFF3-76C6-4FF1-B114-167E4EC1E614}" name="AnnualRate" dataDxfId="425"/>
    <tableColumn id="16" xr3:uid="{E200BACD-5A71-4FE9-A107-D4B5FC5BAFAB}" name="AllowancePointEnabled" dataDxfId="424"/>
  </tableColumns>
  <tableStyleInfo name="IMP Colours"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8126DD9-1B8C-4941-9405-F5B887B9DDB2}" name="AL_INCPERC" displayName="AL_INCPERC" ref="A1:H3" totalsRowShown="0" headerRowDxfId="423" dataDxfId="422">
  <autoFilter ref="A1:H3" xr:uid="{EC336EFD-D63B-4AC1-AD41-6C554ADE80C2}"/>
  <tableColumns count="8">
    <tableColumn id="1" xr3:uid="{F01843B5-7CAF-4A82-BA52-C6659C17CA6F}" name="Allowance Issue" dataDxfId="421">
      <calculatedColumnFormula>IF(COUNTIF(ALLWCTYPE[AllowanceTypeCode],F2)&gt;0,0,1)</calculatedColumnFormula>
    </tableColumn>
    <tableColumn id="8" xr3:uid="{D633C6FA-4D70-4B70-A10D-9C7A9EF40575}" name="Code Length" dataDxfId="420">
      <calculatedColumnFormula>IF(LEN(AL_INCPERC[[#This Row],[AllowanceTypeCode]])&lt;100,0,1)</calculatedColumnFormula>
    </tableColumn>
    <tableColumn id="2" xr3:uid="{6C82DEB0-9DB8-4DB0-ADFF-87366098D0BC}" name="Blank in column" dataDxfId="419">
      <calculatedColumnFormula>COUNTBLANK(AL_INCPERC[[#This Row],[AllowanceTypeCode]:[IncreasePercentage]])</calculatedColumnFormula>
    </tableColumn>
    <tableColumn id="7" xr3:uid="{292B1C1A-E725-4593-8080-7EB20FF82FC5}" name="Will Import if 0" dataDxfId="418">
      <calculatedColumnFormula>SUM(AL_INCPERC[[#This Row],[Allowance Issue]:[Blank in column]])</calculatedColumnFormula>
    </tableColumn>
    <tableColumn id="3" xr3:uid="{2D250A2C-C1EB-446D-B177-4546F4239E31}" name="ScenarioCode" dataDxfId="417"/>
    <tableColumn id="4" xr3:uid="{5D85FCDA-BD0B-4567-898C-7B1FF31EE220}" name="AllowanceTypeCode" dataDxfId="416"/>
    <tableColumn id="5" xr3:uid="{7920656B-20D9-4F7A-840A-0D42C1206839}" name="FinancialYearsCode" dataDxfId="415"/>
    <tableColumn id="6" xr3:uid="{F0A390C0-6C01-4D70-9AE3-CD511060FCD2}" name="IncreasePercentage" dataDxfId="414"/>
  </tableColumns>
  <tableStyleInfo name="IMP Colours"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849F569A-AF78-4352-BA60-ADC4A9D20C58}" name="ADJTYPE" displayName="ADJTYPE" ref="A1:R9" totalsRowShown="0" headerRowDxfId="413" dataDxfId="412">
  <autoFilter ref="A1:R9" xr:uid="{803D98F8-86BF-4A82-849E-33F981D70D6B}"/>
  <tableColumns count="18">
    <tableColumn id="12" xr3:uid="{94FF41A3-7998-47F9-BF36-4C15A0B0CF00}" name="Schools Check" dataDxfId="411">
      <calculatedColumnFormula>IF(ADJTYPE[[#This Row],[AvailableToAllSchools]]=FALSE,IF(ISBLANK(ADJTYPE[[#This Row],[SchoolCodes]]),1,0),IF(ADJTYPE[[#This Row],[AvailableToAllSchools]]=TRUE,IF(ISBLANK(ADJTYPE[[#This Row],[SchoolCodes]]),0,1)))</calculatedColumnFormula>
    </tableColumn>
    <tableColumn id="1" xr3:uid="{1D32EA68-B826-476E-89F1-CF16E02472FE}" name="Type Code Duplicate" dataDxfId="410">
      <calculatedColumnFormula>COUNTIF(ADJTYPE[AdjustmentTypeCode],ADJTYPE[[#This Row],[AdjustmentTypeCode]])-1</calculatedColumnFormula>
    </tableColumn>
    <tableColumn id="18" xr3:uid="{7744BC09-7BE4-4676-AF8C-07D141127D55}" name="TRUE /FALSE Typo" dataDxfId="409">
      <calculatedColumnFormula>IF(OR(ADJTYPE[[#This Row],[ExcludePension]]=TRUE,ADJTYPE[[#This Row],[ExcludePension]]=FALSE),IF(OR(ADJTYPE[[#This Row],[AvailableToAllSchools]]=TRUE,ADJTYPE[[#This Row],[AvailableToAllSchools]]=FALSE),IF(OR(ADJTYPE[[#This Row],[ExcludeNI]]=TRUE,ADJTYPE[[#This Row],[ExcludeNI]]=FALSE),IF(OR(ADJTYPE[[#This Row],[AdjustmentTypeEnabled]]=TRUE,ADJTYPE[[#This Row],[AdjustmentTypeEnabled]]=FALSE),0,1),1),1),1)</calculatedColumnFormula>
    </tableColumn>
    <tableColumn id="17" xr3:uid="{C7606DBB-9CA3-478E-B40F-8EFB3C227F58}" name="Blank in column" dataDxfId="408">
      <calculatedColumnFormula>COUNTBLANK(ADJTYPE[[#This Row],[AdjustmentTypeCode]:[AvailableToAllSchools]])+COUNTBLANK(ADJTYPE[[#This Row],[ExcludePension]]:ADJTYPE[[#This Row],[AdjustmentTypeEnabled]])</calculatedColumnFormula>
    </tableColumn>
    <tableColumn id="15" xr3:uid="{EBA90CBD-D2DA-4B4B-A0A8-80CF1799E45F}" name="Code Length" dataDxfId="407">
      <calculatedColumnFormula>IF(LEN(ADJTYPE[[#This Row],[AdjustmentTypeCode]])&lt;100,0,1)</calculatedColumnFormula>
    </tableColumn>
    <tableColumn id="13" xr3:uid="{7CB3C396-F116-47F3-831E-F209A324967E}" name="Title Length" dataDxfId="406">
      <calculatedColumnFormula>IF(LEN(ADJTYPE[[#This Row],[Title]])&lt;100,0,1)</calculatedColumnFormula>
    </tableColumn>
    <tableColumn id="16" xr3:uid="{E50AB610-BF25-473C-889B-1F3E8012C6D4}" name="Space in Code" dataDxfId="405">
      <calculatedColumnFormula>IF(SUBSTITUTE(TEXT(ADJTYPE[[#This Row],[AdjustmentTypeCode]],10)," ","")=TEXT(ADJTYPE[[#This Row],[AdjustmentTypeCode]],10),0,1)</calculatedColumnFormula>
    </tableColumn>
    <tableColumn id="14" xr3:uid="{7D3CB0B4-F205-46F2-AA98-8BE6E89FFB12}" name="Will import if 0" dataDxfId="404">
      <calculatedColumnFormula>SUM(ADJTYPE[[#This Row],[Schools Check]:[Space in Code]])</calculatedColumnFormula>
    </tableColumn>
    <tableColumn id="2" xr3:uid="{8B1A0C4F-81CF-46DF-95AE-563C497B165B}" name="ScenarioCode" dataDxfId="403"/>
    <tableColumn id="3" xr3:uid="{9DCFFC8D-4782-47E5-95C9-B19CA036F87C}" name="AdjustmentTypeCode" dataDxfId="402"/>
    <tableColumn id="4" xr3:uid="{1A9A266C-1EDF-4469-BA97-81B0AD80414A}" name="Title" dataDxfId="401"/>
    <tableColumn id="6" xr3:uid="{8416714E-3CD0-47F3-81AC-D6E14359BBB9}" name="AnniversaryDate" dataDxfId="400"/>
    <tableColumn id="7" xr3:uid="{82753DE3-325A-4901-B833-22C27B1FA0BB}" name="IncreasePercentage" dataDxfId="399"/>
    <tableColumn id="8" xr3:uid="{498C76F2-2CDA-420A-B930-384C2F34CC9F}" name="AvailableToAllSchools" dataDxfId="398"/>
    <tableColumn id="10" xr3:uid="{C9A43689-801A-4F92-9F83-5050BBDD5AFD}" name="SchoolCodes" dataDxfId="397"/>
    <tableColumn id="5" xr3:uid="{63A26F99-D87C-4048-8763-92CF32693FFB}" name="ExcludePension" dataDxfId="396"/>
    <tableColumn id="9" xr3:uid="{7765410D-8B96-4B92-B456-F4D49A4B325F}" name="ExcludeNI" dataDxfId="395"/>
    <tableColumn id="11" xr3:uid="{E7B52102-E261-4818-8D33-871FA6F7EB33}" name="AdjustmentTypeEnabled" dataDxfId="394"/>
  </tableColumns>
  <tableStyleInfo name="IMP Colours"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AE468DD-160F-481C-A13B-02F6F5627FBD}" name="PENS" displayName="PENS" ref="A1:R4" totalsRowShown="0" headerRowDxfId="393" dataDxfId="392">
  <autoFilter ref="A1:R4" xr:uid="{5AE468DD-160F-481C-A13B-02F6F5627FBD}"/>
  <tableColumns count="18">
    <tableColumn id="14" xr3:uid="{B8777899-EF1C-45D4-86D5-63B69D8AD21B}" name="Schools Check" dataDxfId="391">
      <calculatedColumnFormula>IF(PENS[[#This Row],[AvailableToAllSchools]]=FALSE,IF(ISBLANK(PENS[[#This Row],[SchoolCodes]]),1,0),IF(PENS[[#This Row],[AvailableToAllSchools]]=TRUE,IF(ISBLANK(PENS[[#This Row],[SchoolCodes]]),0,1)))</calculatedColumnFormula>
    </tableColumn>
    <tableColumn id="13" xr3:uid="{181176BC-49ED-49A4-A97B-44A4047EF529}" name="Dates From/To Issue" dataDxfId="390">
      <calculatedColumnFormula>IF(ISBLANK(PENS[[#This Row],[RateDateTo]]),0,IF(PENS[[#This Row],[RateDateFrom]]&lt;PENS[[#This Row],[RateDateTo]],0,1))</calculatedColumnFormula>
    </tableColumn>
    <tableColumn id="17" xr3:uid="{180C1656-8632-4A8D-A00B-3A94066CBBD8}" name="Date Format Issue" dataDxfId="389">
      <calculatedColumnFormula array="1">IF(CELL("format",PENS[[#This Row],[RateDateFrom]])="D1",0,1)+IF(CELL("format",PENS[[#This Row],[RateDateTo]])="D1",0,1)</calculatedColumnFormula>
    </tableColumn>
    <tableColumn id="12" xr3:uid="{080AF819-BCD3-435A-93B5-AF4180878242}" name="TRUE /FALSE Typo" dataDxfId="388">
      <calculatedColumnFormula>IF(OR(PENS[[#This Row],[PensionEnabled]]=TRUE,PENS[[#This Row],[PensionEnabled]]=FALSE),IF(OR(PENS[[#This Row],[AvailableToAllSchools]]=TRUE,PENS[[#This Row],[AvailableToAllSchools]]=FALSE),0,1),1)</calculatedColumnFormula>
    </tableColumn>
    <tableColumn id="16" xr3:uid="{63F64EC5-BF1A-40AC-9E3B-8913C2C52EE5}" name="Code Length" dataDxfId="387">
      <calculatedColumnFormula>IF(LEN(PENS[[#This Row],[PensionCode]])&lt;100,0,1)</calculatedColumnFormula>
    </tableColumn>
    <tableColumn id="15" xr3:uid="{04AEF54D-96B1-4B43-9CBF-6204D5FDCC09}" name="Title Length" dataDxfId="386">
      <calculatedColumnFormula>IF(LEN(PENS[[#This Row],[Title]])&lt;100,0,1)</calculatedColumnFormula>
    </tableColumn>
    <tableColumn id="18" xr3:uid="{9EE74257-8BA0-4ECC-90AC-A4140E3B8C8E}" name="Blank in column" dataDxfId="385">
      <calculatedColumnFormula>COUNTBLANK(PENS[[#This Row],[PensionPercentage]])+COUNTBLANK(PENS[[#This Row],[PensionEnabled]:[RateDateFrom]])+COUNTBLANK(PENS[[#This Row],[PensionCode]:[AvailableToAllSchools]])</calculatedColumnFormula>
    </tableColumn>
    <tableColumn id="11" xr3:uid="{DD3FE5C1-688B-4454-8D99-465992F50255}" name="Space in Code" dataDxfId="384">
      <calculatedColumnFormula>IF(SUBSTITUTE(TEXT(PENS[[#This Row],[PensionCode]],10)," ","")=TEXT(PENS[[#This Row],[PensionCode]],10),0,1)</calculatedColumnFormula>
    </tableColumn>
    <tableColumn id="10" xr3:uid="{E68466BA-D9BF-4169-BFA2-E1F138FE7FCC}" name="Will import if 0" dataDxfId="383">
      <calculatedColumnFormula>SUM(PENS[[#This Row],[Schools Check]:[Space in Code]])</calculatedColumnFormula>
    </tableColumn>
    <tableColumn id="1" xr3:uid="{7A6B0710-3ECF-4DBF-8C6A-F201FFE3DBA5}" name="ScenarioCode" dataDxfId="382"/>
    <tableColumn id="2" xr3:uid="{0DA35B86-2248-4844-8F5E-13B00D89A17C}" name="PensionCode" dataDxfId="381"/>
    <tableColumn id="3" xr3:uid="{6EF62367-A1D0-481B-8257-4FA1F2AFB730}" name="Title" dataDxfId="380"/>
    <tableColumn id="4" xr3:uid="{0AFC9758-0EE1-410A-A70A-740BA8FC43D2}" name="AvailableToAllSchools" dataDxfId="379"/>
    <tableColumn id="5" xr3:uid="{319A9B6B-E7D0-4913-B456-FD083CC035C8}" name="SchoolCodes" dataDxfId="378"/>
    <tableColumn id="6" xr3:uid="{98235929-0735-400E-A3C1-302BD41439E6}" name="PensionEnabled" dataDxfId="377"/>
    <tableColumn id="7" xr3:uid="{25D347D6-4257-412D-8409-ADA096B7FDB9}" name="RateDateFrom" dataDxfId="376"/>
    <tableColumn id="8" xr3:uid="{10214DA7-3BFB-4924-A579-85CE841759CB}" name="RateDateTo" dataDxfId="375"/>
    <tableColumn id="9" xr3:uid="{FFA74162-A660-495A-BD1C-CD8A6D97F9AD}" name="PensionPercentage" dataDxfId="374"/>
  </tableColumns>
  <tableStyleInfo name="IMP Colours"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C939066-E020-43E7-AB5C-3AEC8C4A11D3}" name="EQW" displayName="EQW" ref="A1:R17" totalsRowShown="0" headerRowDxfId="373" dataDxfId="372">
  <autoFilter ref="A1:R17" xr:uid="{0F89FD1F-7CCF-4C10-B55B-04ECAB3EE30E}"/>
  <tableColumns count="18">
    <tableColumn id="1" xr3:uid="{054C4B87-2DD3-4CB1-921B-5950CFA9B7B2}" name="Schools Check" dataDxfId="371">
      <calculatedColumnFormula>IF(EQW[[#This Row],[AvailableToAllSchools]]=FALSE,IF(ISBLANK(EQW[[#This Row],[SchoolCodes]]),1,0),IF(EQW[[#This Row],[AvailableToAllSchools]]=TRUE,IF(ISBLANK(EQW[[#This Row],[SchoolCodes]]),0,1)))</calculatedColumnFormula>
    </tableColumn>
    <tableColumn id="17" xr3:uid="{4CC09058-7BAD-4313-9461-4C6C6A91BF5D}" name="TRUE /FALSE Typo" dataDxfId="370">
      <calculatedColumnFormula>IF(OR(EQW[[#This Row],[EquatedWeekPatternEnabled]]=TRUE,EQW[[#This Row],[EquatedWeekPatternEnabled]]=FALSE),IF(OR(EQW[[#This Row],[AvailableToAllSchools]]=TRUE,EQW[[#This Row],[AvailableToAllSchools]]=FALSE),0,1),1)</calculatedColumnFormula>
    </tableColumn>
    <tableColumn id="12" xr3:uid="{931066AF-08D7-4ADB-8F19-D9E3B9F5DAB7}" name="Blank in column" dataDxfId="369">
      <calculatedColumnFormula>COUNTBLANK(EQW[[#This Row],[EquatedWeekPatternCode]:[AvailableToAllSchools]])+COUNTBLANK(EQW[[#This Row],[ServiceYearsFrom]:[EquatedWeekPatternEnabled]])</calculatedColumnFormula>
    </tableColumn>
    <tableColumn id="14" xr3:uid="{2DA67733-C4A0-400C-A238-DAE31E12AC54}" name="Code Length" dataDxfId="368">
      <calculatedColumnFormula>IF(LEN(EQW[[#This Row],[EquatedWeekPatternCode]])&lt;100,0,1)</calculatedColumnFormula>
    </tableColumn>
    <tableColumn id="13" xr3:uid="{C68A5AA7-A98D-4148-BD1D-D02DD496D4AC}" name="Title Length" dataDxfId="367">
      <calculatedColumnFormula>IF(LEN(EQW[[#This Row],[EquatedWeekPatternTitle]])&lt;100,0,1)</calculatedColumnFormula>
    </tableColumn>
    <tableColumn id="16" xr3:uid="{C89B4BCF-EE90-4FAA-8FFB-3DA57953937B}" name="Space in Code" dataDxfId="366">
      <calculatedColumnFormula>IF(SUBSTITUTE(TEXT(EQW[[#This Row],[EquatedWeekPatternCode]],10)," ","")=TEXT(EQW[[#This Row],[EquatedWeekPatternCode]],10),0,1)</calculatedColumnFormula>
    </tableColumn>
    <tableColumn id="15" xr3:uid="{9790DE6D-55A4-4339-85A6-59A6E7C3E3A7}" name="Will import if 0" dataDxfId="365">
      <calculatedColumnFormula>SUM(EQW[[#This Row],[Schools Check]:[Space in Code]])</calculatedColumnFormula>
    </tableColumn>
    <tableColumn id="19" xr3:uid="{295A1332-F195-485D-8ADF-13707A01BFE0}" name="EQW Total Check" dataDxfId="364">
      <calculatedColumnFormula>IF(EQW[[#This Row],[EquatedWeeks]]&lt;=EQW[[#This Row],[FullTimeWeeks]],0,1)</calculatedColumnFormula>
    </tableColumn>
    <tableColumn id="11" xr3:uid="{054C6C6D-3399-4A0E-A9AC-ECDD3F4A7597}" name="ScenarioCode"/>
    <tableColumn id="2" xr3:uid="{14FF6358-98FD-4441-9E12-FED737ED40C9}" name="EquatedWeekPatternCode" dataDxfId="363"/>
    <tableColumn id="3" xr3:uid="{74214F02-4F0A-41D0-A3A7-9F71BB45F258}" name="EquatedWeekPatternTitle" dataDxfId="362"/>
    <tableColumn id="4" xr3:uid="{FB0C71AD-05BF-4505-9FC7-00E976BC848B}" name="AvailableToAllSchools" dataDxfId="361"/>
    <tableColumn id="5" xr3:uid="{CC9C875D-0012-4962-A540-065C05ED8946}" name="SchoolCodes" dataDxfId="360"/>
    <tableColumn id="6" xr3:uid="{0CDCBD83-FA86-4184-A8C3-9080A73EBA3F}" name="ServiceYearsFrom" dataDxfId="359"/>
    <tableColumn id="7" xr3:uid="{EA1661AB-F06F-4D78-867C-222464C96612}" name="ServiceYearsTo" dataDxfId="358"/>
    <tableColumn id="8" xr3:uid="{0AC41663-9A05-467D-BB57-9C587CD42ACB}" name="EquatedWeeks" dataDxfId="357"/>
    <tableColumn id="9" xr3:uid="{2A332B1C-4E21-4EA9-AC8D-F6BE59E77317}" name="FullTimeWeeks" dataDxfId="356"/>
    <tableColumn id="10" xr3:uid="{136BBE74-50CD-40CC-B846-EF2B532B38C0}" name="EquatedWeekPatternEnabled" dataDxfId="355"/>
  </tableColumns>
  <tableStyleInfo name="IMP Colours"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5D7597C-E2B7-472B-BC74-0B21E45E578D}" name="SRG" displayName="SRG" ref="A1:AT16" totalsRowShown="0" headerRowDxfId="354" dataDxfId="353">
  <autoFilter ref="A1:AT16" xr:uid="{0581573B-A618-4FEF-9CF9-A850BA76383D}"/>
  <tableColumns count="46">
    <tableColumn id="18" xr3:uid="{034E8002-A249-4806-99AD-80017472F988}" name="Duplicate SRG Code" dataDxfId="352">
      <calculatedColumnFormula>COUNTIF(SRG[StaffRoleGroupCode],SRG[[#This Row],[StaffRoleGroupCode]])-1</calculatedColumnFormula>
    </tableColumn>
    <tableColumn id="19" xr3:uid="{B75066A7-6ECA-4094-8BA8-625906F7A526}" name="Duplicate Title" dataDxfId="351">
      <calculatedColumnFormula>COUNTIF(SRG[Title],SRG[[#This Row],[Title]])-1</calculatedColumnFormula>
    </tableColumn>
    <tableColumn id="23" xr3:uid="{D4D54CB2-1A1D-4399-89AD-9EAEFA9C7E28}" name="Minimum Wage Ledger Issue" dataDxfId="350">
      <calculatedColumnFormula>IFERROR(IF(_xlfn.XLOOKUP(SRG[[#This Row],[MinimumWageTopupFinanceCode]],FC_import[FinanceCode],FC_import[LedgerCode])=_xlfn.XLOOKUP(SRG[[#This Row],[GrossSalaryFinanceCode]],FinanceCodesBudget[FinanceCode],FinanceCodesBudget[LedgerCode]),0,1),1)</calculatedColumnFormula>
    </tableColumn>
    <tableColumn id="24" xr3:uid="{50221C58-C98E-49E8-89E4-4AD8D37893B9}" name="Living Wage Ledger Issue" dataDxfId="349">
      <calculatedColumnFormula>IFERROR(IF(_xlfn.XLOOKUP(SRG[[#This Row],[LivingWageTopupFinanceCode]],FC_import[FinanceCode],FC_import[LedgerCode])=_xlfn.XLOOKUP(SRG[[#This Row],[GrossSalaryFinanceCode]],FinanceCodesBudget[FinanceCode],FinanceCodesBudget[LedgerCode]),0,1),1)</calculatedColumnFormula>
    </tableColumn>
    <tableColumn id="25" xr3:uid="{C86B1ED4-7BBD-47AF-A46C-D5E78A8F4154}" name="Opt Out Pens Ledger Issue" dataDxfId="348">
      <calculatedColumnFormula>IFERROR(IF(_xlfn.XLOOKUP(SRG[[#This Row],[OptOutPensionFinanceCode]],FC_import[FinanceCode],FC_import[LedgerCode])=_xlfn.XLOOKUP(SRG[[#This Row],[GrossSalaryFinanceCode]],FinanceCodesBudget[FinanceCode],FinanceCodesBudget[LedgerCode]),0,1),1)</calculatedColumnFormula>
    </tableColumn>
    <tableColumn id="26" xr3:uid="{1768AE25-5266-494D-8096-8C05046C95E9}" name="Gross Salary FC Issue" dataDxfId="347">
      <calculatedColumnFormula>IF(COUNTIF(FinanceCodesBudget[FinanceCode],SRG[[#This Row],[GrossSalaryFinanceCode]])&gt;0,0,1)</calculatedColumnFormula>
    </tableColumn>
    <tableColumn id="22" xr3:uid="{31AFF5B2-4804-40A3-A9DF-D35B410E200C}" name="Gross Salary FC &gt;1" dataDxfId="346">
      <calculatedColumnFormula>IF(SRG[[#This Row],[Gross Salary FC Issue]]=0,COUNTIF(FinanceCodesBudget[FinanceCode],SRG[[#This Row],[GrossSalaryFinanceCode]])-1,0)</calculatedColumnFormula>
    </tableColumn>
    <tableColumn id="27" xr3:uid="{AB6B8FB6-5B86-403F-9883-2892E5145F21}" name="Leave Rebate FC Issue" dataDxfId="345">
      <calculatedColumnFormula>IF(COUNTIF(FinanceCodesBudget[FinanceCode],SRG[[#This Row],[LeaveRebateFinanceCode]])&gt;0,0,1)</calculatedColumnFormula>
    </tableColumn>
    <tableColumn id="35" xr3:uid="{2C4773BE-82AB-47E4-AF62-E701C8C78BE1}" name="Leave Rebate FC &gt;1" dataDxfId="344">
      <calculatedColumnFormula>IF(SRG[[#This Row],[Leave Rebate FC Issue]]=0,COUNTIF(FinanceCodesBudget[FinanceCode],SRG[[#This Row],[LeaveRebateFinanceCode]])-1,0)</calculatedColumnFormula>
    </tableColumn>
    <tableColumn id="28" xr3:uid="{475EAB67-3122-46F8-8E57-7A36BC4E9949}" name="Allowance FC Issue" dataDxfId="343">
      <calculatedColumnFormula>IF(COUNTIF(FinanceCodesBudget[FinanceCode],SRG[[#This Row],[AllowanceTypesFinanceCode]])&gt;0,0,1)</calculatedColumnFormula>
    </tableColumn>
    <tableColumn id="36" xr3:uid="{09327200-E7B0-45AC-8B0F-EBB7E4C1EAE0}" name="Allowance FC &gt;1" dataDxfId="342">
      <calculatedColumnFormula>IF(SRG[[#This Row],[Allowance FC Issue]]=0,COUNTIF(FinanceCodesBudget[FinanceCode],SRG[[#This Row],[AllowanceTypesFinanceCode]])-1,0)</calculatedColumnFormula>
    </tableColumn>
    <tableColumn id="39" xr3:uid="{5044B496-2565-4766-80FE-7ED314617E63}" name="Adj FC Issue" dataDxfId="341">
      <calculatedColumnFormula>IF(COUNTIF(FinanceCodesBudget[FinanceCode],SRG[[#This Row],[AdjustmentsFinanceCode]])&gt;0,0,1)</calculatedColumnFormula>
    </tableColumn>
    <tableColumn id="40" xr3:uid="{A5E3B564-42F2-4E8D-BCCE-36ACB76E1982}" name="Adj FC &gt;1" dataDxfId="340">
      <calculatedColumnFormula>IF(SRG[[#This Row],[Adj FC Issue]]=0,COUNTIF(FinanceCodesBudget[FinanceCode],SRG[[#This Row],[AdjustmentsFinanceCode]])-1,0)</calculatedColumnFormula>
    </tableColumn>
    <tableColumn id="29" xr3:uid="{130D8823-00D3-4D8E-876F-CB0AE229E9FC}" name="NI FC Issue" dataDxfId="339">
      <calculatedColumnFormula>IF(COUNTIF(FinanceCodesBudget[FinanceCode],SRG[[#This Row],[EmployersNiFinanceCode]])&gt;0,0,1)</calculatedColumnFormula>
    </tableColumn>
    <tableColumn id="37" xr3:uid="{BF06CFF3-A6A0-4A26-A1BF-34D247C51BEE}" name="NI FC &gt;1" dataDxfId="338">
      <calculatedColumnFormula>IF(SRG[[#This Row],[NI FC Issue]]=0,COUNTIF(FinanceCodesBudget[FinanceCode],SRG[[#This Row],[EmployersNiFinanceCode]])-1,0)</calculatedColumnFormula>
    </tableColumn>
    <tableColumn id="30" xr3:uid="{CB928242-8552-4ADE-AA93-89D68C4D786E}" name="Pension FC Issue" dataDxfId="337">
      <calculatedColumnFormula>IF(COUNTIF(FinanceCodesBudget[FinanceCode],SRG[[#This Row],[PensionFinanceCode]])&gt;0,0,1)</calculatedColumnFormula>
    </tableColumn>
    <tableColumn id="38" xr3:uid="{57EE6CE3-8D81-40EF-811E-4EF774C48B7E}" name="Pension FC &gt;1" dataDxfId="336">
      <calculatedColumnFormula>IF(SRG[[#This Row],[Pension FC Issue]]=0,COUNTIF(FinanceCodesBudget[FinanceCode],SRG[[#This Row],[PensionFinanceCode]])-1,0)</calculatedColumnFormula>
    </tableColumn>
    <tableColumn id="32" xr3:uid="{4D200519-73B8-44C0-AABD-080176327F57}" name="Weekly FTE Issue" dataDxfId="335">
      <calculatedColumnFormula>IFERROR(IF(_xlfn.XLOOKUP(SRG[[#This Row],[WeeklyFteFinanceCode]],FC_import[FinanceCode],FC_import[LedgerCode])=_xlfn.XLOOKUP(SRG[[#This Row],[GrossSalaryFinanceCode]],FinanceCodesBudget[FinanceCode],FinanceCodesBudget[LedgerCode]),0,1),1)</calculatedColumnFormula>
    </tableColumn>
    <tableColumn id="13" xr3:uid="{EB32130A-3260-4709-9AA4-C5F7E3F1D689}" name="Annual FTE Issue" dataDxfId="334">
      <calculatedColumnFormula>IFERROR(IF(_xlfn.XLOOKUP(SRG[[#This Row],[AnnualFteFinanceCode]],FC_import[FinanceCode],FC_import[LedgerCode])=_xlfn.XLOOKUP(SRG[[#This Row],[GrossSalaryFinanceCode]],FinanceCodesBudget[FinanceCode],FinanceCodesBudget[LedgerCode]),0,1),1)</calculatedColumnFormula>
    </tableColumn>
    <tableColumn id="43" xr3:uid="{60DE3A97-5553-40DB-881B-94A76B3F7B46}" name="Weekly FTE Leave Adj Issue" dataDxfId="333">
      <calculatedColumnFormula>IFERROR(IF(_xlfn.XLOOKUP(SRG[[#This Row],[WeeklyFteLeaveAdjustmentFinanceCode]],FC_import[FinanceCode],FC_import[LedgerCode])=_xlfn.XLOOKUP(SRG[[#This Row],[GrossSalaryFinanceCode]],FinanceCodesBudget[FinanceCode],FinanceCodesBudget[LedgerCode]),0,1),1)</calculatedColumnFormula>
    </tableColumn>
    <tableColumn id="44" xr3:uid="{F282ADCE-E19C-49BC-822E-393902E04A1A}" name="Annual FTE Leave Adj Issue" dataDxfId="332">
      <calculatedColumnFormula>IFERROR(IF(_xlfn.XLOOKUP(SRG[[#This Row],[AnnualFteLeaveAdjustmentFinanceCode]],FC_import[FinanceCode],FC_import[LedgerCode])=_xlfn.XLOOKUP(SRG[[#This Row],[GrossSalaryFinanceCode]],FinanceCodesBudget[FinanceCode],FinanceCodesBudget[LedgerCode]),0,1),1)</calculatedColumnFormula>
    </tableColumn>
    <tableColumn id="45" xr3:uid="{EE2DC20C-CC61-47B1-8A4B-0928FD612669}" name="TRUE /FALSE Typo" dataDxfId="331">
      <calculatedColumnFormula>IF(OR(SRG[[#This Row],[StaffRoleGroupEnabled]]=TRUE,SRG[[#This Row],[StaffRoleGroupEnabled]]=FALSE),IF(OR(SRG[[#This Row],[TeachingRoleGroup]]=TRUE,SRG[[#This Row],[TeachingRoleGroup]]=FALSE),0,1),1)</calculatedColumnFormula>
    </tableColumn>
    <tableColumn id="20" xr3:uid="{8AC49AC2-07D3-4971-AF74-773D024D77D3}" name="Code Length" dataDxfId="330">
      <calculatedColumnFormula>IF(LEN(SRG[[#This Row],[StaffRoleGroupCode]])&lt;100,0,1)</calculatedColumnFormula>
    </tableColumn>
    <tableColumn id="21" xr3:uid="{FCF70F47-2D3A-425E-9296-54CC28B58E81}" name="Title Length" dataDxfId="329">
      <calculatedColumnFormula>IF(LEN(SRG[[#This Row],[Title]])&lt;100,0,1)</calculatedColumnFormula>
    </tableColumn>
    <tableColumn id="47" xr3:uid="{E513A059-2978-4617-8F50-1CEFEEE606D2}" name="Space in Code" dataDxfId="328">
      <calculatedColumnFormula>IF(SUBSTITUTE(TEXT(SRG[[#This Row],[StaffRoleGroupCode]],10)," ","")=TEXT(SRG[[#This Row],[StaffRoleGroupCode]],10),0,1)</calculatedColumnFormula>
    </tableColumn>
    <tableColumn id="33" xr3:uid="{B468B01A-B91D-4687-8F63-A1B24A9C7C95}" name="Will Import if 0" dataDxfId="327">
      <calculatedColumnFormula>SUM(SRG[[#This Row],[Duplicate SRG Code]:[Space in Code]])</calculatedColumnFormula>
    </tableColumn>
    <tableColumn id="1" xr3:uid="{13598586-87F1-4165-93D1-68CF2F9F5C77}" name="ScenarioCode" dataDxfId="326"/>
    <tableColumn id="2" xr3:uid="{92FA18DC-BE3E-4969-981F-A34CB8BDC965}" name="StaffRoleGroupCode" dataDxfId="325"/>
    <tableColumn id="3" xr3:uid="{3A4DA6B1-4333-4A27-9FF3-EFC5277C6B09}" name="Title" dataDxfId="324"/>
    <tableColumn id="4" xr3:uid="{C7629AAA-5F18-4B80-8DEC-8A6F32B08CE7}" name="GrossSalaryFinanceCode" dataDxfId="323"/>
    <tableColumn id="5" xr3:uid="{E4330DF2-4BD0-4F7E-B170-7DF42C9BC667}" name="LeaveRebateFinanceCode" dataDxfId="322">
      <calculatedColumnFormula>SRG[[#This Row],[GrossSalaryFinanceCode]]</calculatedColumnFormula>
    </tableColumn>
    <tableColumn id="6" xr3:uid="{BEA1071E-2AFE-4A74-9D43-7D726C610E6E}" name="AllowanceTypesFinanceCode" dataDxfId="321">
      <calculatedColumnFormula>SRG[[#This Row],[GrossSalaryFinanceCode]]</calculatedColumnFormula>
    </tableColumn>
    <tableColumn id="16" xr3:uid="{CAE987C2-A3DF-4266-93D7-62FC6436386D}" name="AdjustmentsFinanceCode" dataDxfId="320">
      <calculatedColumnFormula>SRG[[#This Row],[GrossSalaryFinanceCode]]</calculatedColumnFormula>
    </tableColumn>
    <tableColumn id="7" xr3:uid="{05F0E35E-9DEB-4FD8-936D-9D8D1BF731A9}" name="MinimumWageTopupFinanceCode" dataDxfId="319"/>
    <tableColumn id="8" xr3:uid="{6E938945-B365-416C-A3D8-C0E409BB65C2}" name="LivingWageTopupFinanceCode" dataDxfId="318"/>
    <tableColumn id="9" xr3:uid="{E4C532D4-9408-49A1-9DA9-03233534ABCD}" name="EmployersNiFinanceCode" dataDxfId="317"/>
    <tableColumn id="10" xr3:uid="{0533C1FE-4EFB-44B5-BF22-799D420A57B7}" name="PensionFinanceCode" dataDxfId="316"/>
    <tableColumn id="11" xr3:uid="{9AFFE28F-9BC7-4E99-A896-42638B3900B7}" name="OptOutPensionFinanceCode" dataDxfId="315"/>
    <tableColumn id="12" xr3:uid="{A355EBCF-1FEE-408D-80DA-ACE524F47981}" name="OtherSalaryCostsFinanceCode" dataDxfId="314">
      <calculatedColumnFormula>SRG[[#This Row],[GrossSalaryFinanceCode]]</calculatedColumnFormula>
    </tableColumn>
    <tableColumn id="34" xr3:uid="{F06C1630-A310-499F-8C5C-73CC4323BD2F}" name="WeeklyFteFinanceCode" dataDxfId="313"/>
    <tableColumn id="31" xr3:uid="{FE231124-21D3-498A-A1D1-889BAE9DEA12}" name="AnnualFteFinanceCode" dataDxfId="312"/>
    <tableColumn id="41" xr3:uid="{002DAFDB-A82D-4B40-9BEB-DA376EA27C0F}" name="WeeklyFteLeaveAdjustmentFinanceCode" dataDxfId="311"/>
    <tableColumn id="42" xr3:uid="{D8F9C3E8-065D-4128-AE9A-7A4A0D911987}" name="AnnualFteLeaveAdjustmentFinanceCode" dataDxfId="310"/>
    <tableColumn id="14" xr3:uid="{B9923DB8-4295-4A03-AE62-387D1C2B4CFA}" name="TeachingRoleGroup" dataDxfId="309"/>
    <tableColumn id="15" xr3:uid="{24F510BB-9862-4D7E-A2BA-2AFF3A189269}" name="StaffRoleGroupEnabled" dataDxfId="308"/>
    <tableColumn id="17" xr3:uid="{46E17FAC-0940-4E6E-96F4-14DBC729F22C}" name="IncrementCount" dataDxfId="307"/>
  </tableColumns>
  <tableStyleInfo name="IMP Colours"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0941988-8410-4660-9F76-D8627A0415F6}" name="ROLES" displayName="ROLES" ref="A1:Z102" totalsRowShown="0" headerRowDxfId="306" dataDxfId="305">
  <autoFilter ref="A1:Z102" xr:uid="{E0941988-8410-4660-9F76-D8627A0415F6}"/>
  <tableColumns count="26">
    <tableColumn id="1" xr3:uid="{245AA58F-D76B-43F6-8ADD-74339000E012}" name="Duplicate Role Code" dataDxfId="304">
      <calculatedColumnFormula>COUNTIF(ROLES[StaffRoleCode],ROLES[[#This Row],[StaffRoleCode]])-1</calculatedColumnFormula>
    </tableColumn>
    <tableColumn id="2" xr3:uid="{46ACF114-6DFE-4A42-8068-3701C656B705}" name="Duplicate Title" dataDxfId="303">
      <calculatedColumnFormula>COUNTIF(ROLES[Title],ROLES[[#This Row],[Title]])-1</calculatedColumnFormula>
    </tableColumn>
    <tableColumn id="3" xr3:uid="{1B9EA6BE-90F4-48D3-9481-AEB02879CD50}" name="SRG Gross Salary School Issue" dataDxfId="302">
      <calculatedColumnFormula>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calculatedColumnFormula>
    </tableColumn>
    <tableColumn id="19" xr3:uid="{FF977C2B-E4B2-45A0-BD3D-691AF413F2AF}" name="SRG NI School Issue" dataDxfId="301">
      <calculatedColumnFormula>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calculatedColumnFormula>
    </tableColumn>
    <tableColumn id="20" xr3:uid="{F4548F06-7D18-4A62-B4AC-285D45AE868A}" name="SRG Pension School Issue" dataDxfId="300">
      <calculatedColumnFormula>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calculatedColumnFormula>
    </tableColumn>
    <tableColumn id="4" xr3:uid="{2A9D840B-98C0-42C7-A3D0-D67D3FCF3E7B}" name="Pay Scale issue" dataDxfId="299">
      <calculatedColumnFormula>IF(COUNTIF(PAYSCALES[PayScaleCode],ROLES[[#This Row],[PayScaleCode]])&gt;0,0,1)</calculatedColumnFormula>
    </tableColumn>
    <tableColumn id="22" xr3:uid="{22D01154-5349-41CC-B48D-EE8D07C0FE9C}" name="PayScaleCode Available to School" dataDxfId="298">
      <calculatedColumnFormula array="1">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calculatedColumnFormula>
    </tableColumn>
    <tableColumn id="23" xr3:uid="{913778F1-9BF3-441C-BF59-2668FC4D8E69}" name="Schools Check" dataDxfId="297">
      <calculatedColumnFormula>IF(ROLES[[#This Row],[AvailableToAllSchools]]=FALSE,IF(ISBLANK(ROLES[[#This Row],[SchoolCodes]]),1,0),IF(ROLES[[#This Row],[AvailableToAllSchools]]=TRUE,IF(ISBLANK(ROLES[[#This Row],[SchoolCodes]]),0,)))</calculatedColumnFormula>
    </tableColumn>
    <tableColumn id="27" xr3:uid="{7A75F769-AA5F-4139-ACDD-4848AF1F8BEE}" name="TRUE /FALSE Typo" dataDxfId="296">
      <calculatedColumnFormula>IF(OR(ROLES[[#This Row],[StaffRoleEnabled]]=TRUE,ROLES[[#This Row],[StaffRoleEnabled]]=FALSE),IF(OR(ROLES[[#This Row],[AvailableToAllSchools]]=TRUE,ROLES[[#This Row],[AvailableToAllSchools]]=FALSE),0,1),1)</calculatedColumnFormula>
    </tableColumn>
    <tableColumn id="18" xr3:uid="{E5134C21-0051-4CFF-A54F-AA5777347175}" name="Code Length" dataDxfId="295">
      <calculatedColumnFormula>IF(LEN(ROLES[[#This Row],[StaffRoleCode]])&lt;100,0,1)</calculatedColumnFormula>
    </tableColumn>
    <tableColumn id="17" xr3:uid="{AD990528-E150-4345-B4E6-AE52500EB5FB}" name="Title Length" dataDxfId="294">
      <calculatedColumnFormula>IF(LEN(ROLES[[#This Row],[Title]])&lt;100,0,1)</calculatedColumnFormula>
    </tableColumn>
    <tableColumn id="26" xr3:uid="{0BEEC624-6D5A-4CFD-A66E-EA6B430A2878}" name="Blank in column" dataDxfId="293">
      <calculatedColumnFormula>(COUNTBLANK(ROLES[[#This Row],[MonthsServiceBeforeIncrement]:[StaffRoleEnabled]]))+COUNTBLANK(ROLES[[#This Row],[FullTimeHoursPerWeek]])</calculatedColumnFormula>
    </tableColumn>
    <tableColumn id="25" xr3:uid="{DFD6BAEB-F08A-4491-93E7-E2BD5C56CF96}" name="Space in Code" dataDxfId="292">
      <calculatedColumnFormula>IF(SUBSTITUTE(TEXT(ROLES[[#This Row],[StaffRoleCode]],10)," ","")=TEXT(ROLES[[#This Row],[StaffRoleCode]],10),0,1)</calculatedColumnFormula>
    </tableColumn>
    <tableColumn id="5" xr3:uid="{5622D2BD-D94D-4C13-BB37-DCD4A57BCB7D}" name="Will Import if 0" dataDxfId="291">
      <calculatedColumnFormula>SUM(ROLES[[#This Row],[Duplicate Role Code]:[Space in Code]])</calculatedColumnFormula>
    </tableColumn>
    <tableColumn id="6" xr3:uid="{9ADAFE2F-1DA0-4009-AF2A-65DEBC54CEB3}" name="ScenarioCode" dataDxfId="290"/>
    <tableColumn id="7" xr3:uid="{3FF590B5-9005-4DE8-856B-017968C20E85}" name="StaffRoleGroupCode" dataDxfId="289"/>
    <tableColumn id="8" xr3:uid="{AE27F939-C402-494F-8E1E-17A10E621D31}" name="StaffRoleCode" dataDxfId="288"/>
    <tableColumn id="9" xr3:uid="{320C7696-8120-4E9F-8F96-1746786F0C1F}" name="Title" dataDxfId="287"/>
    <tableColumn id="10" xr3:uid="{1526ADA5-8C5B-4F57-82E7-5E4DF11118C5}" name="PayScaleCode" dataDxfId="286"/>
    <tableColumn id="11" xr3:uid="{EA718195-388F-4E94-ADA0-E41A16AF5644}" name="FullTimeHoursPerWeek" dataDxfId="285"/>
    <tableColumn id="12" xr3:uid="{9679BC8A-C6D0-4CFD-B910-0FAF2E037E34}" name="AvailableToAllSchools" dataDxfId="284">
      <calculatedColumnFormula>_xlfn.XLOOKUP(ROLES[[#This Row],[PayScaleCode]],PayScales!N:N,PayScales!T:T)</calculatedColumnFormula>
    </tableColumn>
    <tableColumn id="13" xr3:uid="{EF331467-467C-4A2E-B820-3F07163273E9}" name="SchoolCodes" dataDxfId="283">
      <calculatedColumnFormula>IF(ROLES[[#This Row],[AvailableToAllSchools]]=TRUE,"",_xlfn.XLOOKUP(ROLES[[#This Row],[PayScaleCode]],PayScales!N:N,PayScales!U:U))</calculatedColumnFormula>
    </tableColumn>
    <tableColumn id="14" xr3:uid="{F1038905-DF10-4A5A-A037-5A89E803408A}" name="MonthsServiceBeforeIncrement" dataDxfId="282"/>
    <tableColumn id="15" xr3:uid="{8E915A58-DFA6-49B4-816A-7AD1E63533B8}" name="DaysServiceBeforeIncrement" dataDxfId="281"/>
    <tableColumn id="16" xr3:uid="{45BACAC4-C83E-463D-AA78-B6F3D4992E4C}" name="StaffRoleEnabled" dataDxfId="280"/>
    <tableColumn id="21" xr3:uid="{2C2FE1B6-EE8D-4548-8C83-442B080E6B3F}" name="IsFinanceRole" dataDxfId="279"/>
  </tableColumns>
  <tableStyleInfo name="IMP Colours"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F507ED3E-05A9-4643-9307-4BB03BE097F9}" name="Gender" displayName="Gender" ref="A1:B4" totalsRowShown="0" headerRowDxfId="278" dataDxfId="276" headerRowBorderDxfId="277" tableBorderDxfId="275" totalsRowBorderDxfId="274">
  <autoFilter ref="A1:B4" xr:uid="{F507ED3E-05A9-4643-9307-4BB03BE097F9}"/>
  <tableColumns count="2">
    <tableColumn id="1" xr3:uid="{171A0820-8B11-4ADC-9F34-D4FA0E5AB8BB}" name="Code" dataDxfId="273"/>
    <tableColumn id="2" xr3:uid="{53FF5F6A-5716-4784-BFDD-68D309047845}" name="Title" dataDxfId="272"/>
  </tableColumns>
  <tableStyleInfo name="IMP Colours"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861A589E-BEB7-4E9A-9A41-5E8A53C91F55}" name="ContractTypes" displayName="ContractTypes" ref="A1:B10" totalsRowShown="0" headerRowDxfId="271" dataDxfId="269" headerRowBorderDxfId="270" tableBorderDxfId="268" totalsRowBorderDxfId="267">
  <autoFilter ref="A1:B10" xr:uid="{F507ED3E-05A9-4643-9307-4BB03BE097F9}"/>
  <tableColumns count="2">
    <tableColumn id="1" xr3:uid="{1BBDBED4-A529-49C4-A104-EEBAEBD1623C}" name="Code" dataDxfId="266"/>
    <tableColumn id="2" xr3:uid="{41819A69-71FB-4160-A075-3E3F4216002C}" name="Title" dataDxfId="265"/>
  </tableColumns>
  <tableStyleInfo name="IMP Colours"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B8C8920-F7B3-42B4-8F22-85D0E44A43B3}" name="MEMBERS" displayName="MEMBERS" ref="A1:AC830" totalsRowShown="0" headerRowDxfId="264" dataDxfId="263">
  <autoFilter ref="A1:AC830" xr:uid="{7B8C8920-F7B3-42B4-8F22-85D0E44A43B3}"/>
  <sortState xmlns:xlrd2="http://schemas.microsoft.com/office/spreadsheetml/2017/richdata2" ref="A2:AC830">
    <sortCondition ref="R1:R830"/>
  </sortState>
  <tableColumns count="29">
    <tableColumn id="1" xr3:uid="{047041E2-BD3C-4F49-8A5F-48D28E74F988}" name="NameServiceStart" dataDxfId="262">
      <calculatedColumnFormula>MEMBERS[[#This Row],[Title]]&amp;MEMBERS[[#This Row],[ServiceStartDate]]</calculatedColumnFormula>
    </tableColumn>
    <tableColumn id="15" xr3:uid="{0852CD61-860F-4C19-B399-873A33F5A7EF}" name="Duplicate NameService Start" dataDxfId="261">
      <calculatedColumnFormula>IF(COUNTIF(MEMBERS[NameServiceStart],MEMBERS[[#This Row],[NameServiceStart]])=1,0,1)</calculatedColumnFormula>
    </tableColumn>
    <tableColumn id="2" xr3:uid="{0345CC83-35B4-4DC3-84A4-202C8C811BF1}" name="Duplicate Staff Member Code" dataDxfId="260">
      <calculatedColumnFormula>IF(COUNTIF(MEMBERS[StaffMemberCode],MEMBERS[[#This Row],[StaffMemberCode]])=1,0,1)</calculatedColumnFormula>
    </tableColumn>
    <tableColumn id="22" xr3:uid="{987A70A5-F1CA-487A-A5CC-96E1A99BFA1A}" name="Payroll Location" dataDxfId="259">
      <calculatedColumnFormula>IF(ISBLANK(MEMBERS[[#This Row],[PayrollLocation]]),0,IF(COUNTIF(SCHOOLS[SchoolCode],MEMBERS[[#This Row],[PayrollLocation]])=1,0,1))</calculatedColumnFormula>
    </tableColumn>
    <tableColumn id="24" xr3:uid="{DF2C599B-97B9-4C14-900B-BFF071738F3E}" name="Schools Check" dataDxfId="258">
      <calculatedColumnFormula>IF(MEMBERS[[#This Row],[AvailableToAllSchools]]=FALSE,IF(ISBLANK(MEMBERS[[#This Row],[SchoolCodes]]),1,0),IF(MEMBERS[[#This Row],[AvailableToAllSchools]]=TRUE,IF(ISBLANK(MEMBERS[[#This Row],[SchoolCodes]]),0,1)))</calculatedColumnFormula>
    </tableColumn>
    <tableColumn id="31" xr3:uid="{D6878AEA-53D2-44F9-AE95-CB95B78D1911}" name="Dates From/To Issue" dataDxfId="257">
      <calculatedColumnFormula>IF(ISBLANK(MEMBERS[[#This Row],[ServiceEndDate]]),0,IF(MEMBERS[[#This Row],[ServiceStartDate]]&lt;MEMBERS[[#This Row],[ServiceEndDate]],0,1))</calculatedColumnFormula>
    </tableColumn>
    <tableColumn id="25" xr3:uid="{6698DE52-57BE-4729-939E-C560F62CBA0C}" name="Date Format Issue" dataDxfId="256">
      <calculatedColumnFormula array="1">IF(CELL("format",MEMBERS[[#This Row],[ServiceStartDate]])="D1",0,1)+IF(CELL("format",MEMBERS[[#This Row],[ServiceEndDate]])="D1",0,1)</calculatedColumnFormula>
    </tableColumn>
    <tableColumn id="30" xr3:uid="{5396A78D-884B-4E68-B4A3-857C3F2BA29A}" name="TRUE /FALSE Typo" dataDxfId="255">
      <calculatedColumnFormula>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calculatedColumnFormula>
    </tableColumn>
    <tableColumn id="29" xr3:uid="{3BB0DB52-C8DF-4A7B-A7E0-9879ED243F1B}" name="Code Length" dataDxfId="254">
      <calculatedColumnFormula>IF(LEN(MEMBERS[[#This Row],[StaffMemberCode]])&lt;100,0,1)</calculatedColumnFormula>
    </tableColumn>
    <tableColumn id="28" xr3:uid="{81C24955-4B75-455C-8D1A-620EF97ACE02}" name="Title Length" dataDxfId="253">
      <calculatedColumnFormula>IF(LEN(MEMBERS[[#This Row],[Title]])&lt;100,0,1)</calculatedColumnFormula>
    </tableColumn>
    <tableColumn id="18" xr3:uid="{9558F01B-5877-43E8-84B8-F518446B16B3}" name="Blank in column" dataDxfId="252">
      <calculatedColumnFormula>COUNTBLANK(MEMBERS[[#This Row],[StaffMemberCode]:[ServiceStartDate]])+COUNTBLANK(MEMBERS[[#This Row],[Apprenticeship]]:MEMBERS[[#This Row],[StaffMemberEnabled]])+COUNTBLANK(MEMBERS[[#This Row],[GenderCode]]:MEMBERS[[#This Row],[Casual]])</calculatedColumnFormula>
    </tableColumn>
    <tableColumn id="23" xr3:uid="{2FA0DB43-7EF1-4867-9869-E14842223057}" name="Space in Code" dataDxfId="251">
      <calculatedColumnFormula>IF(SUBSTITUTE(TEXT(MEMBERS[[#This Row],[StaffMemberCode]],10)," ","")=TEXT(MEMBERS[[#This Row],[StaffMemberCode]],10),0,1)</calculatedColumnFormula>
    </tableColumn>
    <tableColumn id="3" xr3:uid="{DEB79F99-1601-4F6A-9C88-6EAFA03749C6}" name="Will Import if 0" dataDxfId="250">
      <calculatedColumnFormula>SUM(MEMBERS[[#This Row],[Duplicate NameService Start]:[Space in Code]])</calculatedColumnFormula>
    </tableColumn>
    <tableColumn id="4" xr3:uid="{B4DE96C3-4BAA-4070-BCA9-245D3BE0F128}" name="ScenarioCode" dataDxfId="249"/>
    <tableColumn id="5" xr3:uid="{A481250E-F6A8-44BC-98E3-95EF71AC3CF0}" name="StaffMemberCode" dataDxfId="248"/>
    <tableColumn id="20" xr3:uid="{9F301D34-9908-4B0D-8BC6-0F14006FF599}" name="FirstName" dataDxfId="247"/>
    <tableColumn id="19" xr3:uid="{7DD33462-8620-4F22-98FD-912D2E713C04}" name="LastName" dataDxfId="246"/>
    <tableColumn id="6" xr3:uid="{9E066F12-97C2-46E5-8B48-D157CA34577B}" name="Title" dataDxfId="245">
      <calculatedColumnFormula>MEMBERS[[#This Row],[FirstName]]&amp;" "&amp;MEMBERS[[#This Row],[LastName]]</calculatedColumnFormula>
    </tableColumn>
    <tableColumn id="8" xr3:uid="{CC0CAC37-E5C9-4649-94FF-8076B38C9D45}" name="ServiceStartDate" dataDxfId="244"/>
    <tableColumn id="21" xr3:uid="{9CE005EC-27D2-4D8B-9F0D-CBA1A90C58AF}" name="ServiceEndDate" dataDxfId="243"/>
    <tableColumn id="9" xr3:uid="{8605F492-E132-4367-BF15-8D5ACC52C674}" name="DateOfBirth" dataDxfId="242"/>
    <tableColumn id="10" xr3:uid="{F3A3F365-636F-4C9B-8942-41C3BA8B9C27}" name="Apprenticeship" dataDxfId="241"/>
    <tableColumn id="7" xr3:uid="{711EB927-FDAD-4FDE-8D6F-4FEEB329700A}" name="PensionOptOut" dataDxfId="240"/>
    <tableColumn id="11" xr3:uid="{275BD446-A9E0-4081-88B8-CB47154DA41A}" name="AvailableToAllSchools" dataDxfId="239"/>
    <tableColumn id="12" xr3:uid="{9749D7BA-C9EE-47B3-B582-E3288B4E7951}" name="SchoolCodes" dataDxfId="238"/>
    <tableColumn id="13" xr3:uid="{68EF1B85-7A5E-4717-AAF5-72AF3EB5A2FA}" name="StaffMemberEnabled" dataDxfId="237"/>
    <tableColumn id="14" xr3:uid="{245D0054-FCAD-4FE2-A619-A6D06D90AC64}" name="PayrollLocation" dataDxfId="236"/>
    <tableColumn id="16" xr3:uid="{3D8D7CB9-A502-4373-8B32-A252C73CD474}" name="GenderCode" dataDxfId="235"/>
    <tableColumn id="17" xr3:uid="{4899DB3E-3E51-43A3-BBA3-232F32105DB1}" name="Casual" dataDxfId="234"/>
  </tableColumns>
  <tableStyleInfo name="IMP Colours"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E25C6D0-D107-4B20-9424-1D7586EC53C7}" name="CONT_TEA" displayName="CONT_TEA" ref="A1:AU338" totalsRowShown="0" headerRowDxfId="233" dataDxfId="232">
  <autoFilter ref="A1:AU338" xr:uid="{CE25C6D0-D107-4B20-9424-1D7586EC53C7}"/>
  <tableColumns count="47">
    <tableColumn id="19" xr3:uid="{C62E9C38-FBC8-4677-B546-F17464489C07}" name="Unique Contract" dataDxfId="231">
      <calculatedColumnFormula>AA2&amp;AB2&amp;AC2&amp;AE2&amp;AK2&amp;AO2</calculatedColumnFormula>
    </tableColumn>
    <tableColumn id="20" xr3:uid="{7C8217B2-B33F-4421-B52D-5B74566B9848}" name="Duplicate Contract" dataDxfId="230">
      <calculatedColumnFormula>COUNTIF(CONT_TEA[Unique Contract],CONT_TEA[[#This Row],[Unique Contract]])-1</calculatedColumnFormula>
    </tableColumn>
    <tableColumn id="48" xr3:uid="{822C6751-028F-45D8-8C0E-0B0CC43A1507}" name="Location Issue" dataDxfId="229">
      <calculatedColumnFormula>IFERROR(IF(FIND(CONT_TEA[[#This Row],[SchoolCode]],_xlfn.XLOOKUP(CONT_TEA[[#This Row],[StaffMemberCode]],MEMBERS[StaffMemberCode],MEMBERS[SchoolCodes]))&gt;0,0,1),1)</calculatedColumnFormula>
    </tableColumn>
    <tableColumn id="57" xr3:uid="{50987BF1-445C-4D0E-8AFE-96C6A9DBE59F}" name="Role / School Issue" dataDxfId="228">
      <calculatedColumnFormula array="1">IF(_xlfn.XLOOKUP(CONT_TEA[[#This Row],[StaffRoleCode]],ROLES[StaffRoleCode],ROLES[AvailableToAllSchools],1,0,)=TRUE,0,IF(ISERROR(FIND(CONT_TEA[[#This Row],[SchoolCode]],_xlfn.TEXTJOIN(",",TRUE,_xlfn.UNIQUE(IF(ROLES[StaffRoleCode]=CONT_TEA[[#This Row],[StaffRoleCode]],ROLES[SchoolCodes],""))))),1,0))</calculatedColumnFormula>
    </tableColumn>
    <tableColumn id="49" xr3:uid="{452BB70A-7505-415D-838A-59416FEB727A}" name="SRG FC Issue" dataDxfId="227">
      <calculatedColumnFormula array="1">IF(_xlfn.XLOOKUP(CONT_TEA[[#This Row],[SRG Gross]],FinanceCodesBudget[FinanceCode],FinanceCodesBudget[AvailableToAllSchools],1,0,)=TRUE,0,IF(ISERROR(FIND(CONT_TEA[[#This Row],[SchoolCode]],_xlfn.TEXTJOIN(",",TRUE,_xlfn.UNIQUE(IF(FinanceCodesBudget[FinanceCode]=CONT_TEA[[#This Row],[SRG Gross]],FinanceCodesBudget[SchoolCodes],""))))),1,0))</calculatedColumnFormula>
    </tableColumn>
    <tableColumn id="56" xr3:uid="{159C371C-E233-4392-B380-F626C9D284AB}" name="Pay Scale / School Issue" dataDxfId="226">
      <calculatedColumnFormula array="1">IF(_xlfn.XLOOKUP(CONT_TEA[[#This Row],[PayScaleCode]],PAYSCALES[PayScaleCode],PAYSCALES[AvailableToAllSchools],1,0,)=TRUE,0,IF(ISERROR(FIND(CONT_TEA[[#This Row],[SchoolCode]],_xlfn.TEXTJOIN(",",TRUE,_xlfn.UNIQUE(IF(PAYSCALES[PayScaleCode]=CONT_TEA[[#This Row],[PayScaleCode]],PAYSCALES[SchoolCodes],""))))),1,0))</calculatedColumnFormula>
    </tableColumn>
    <tableColumn id="47" xr3:uid="{D36BDFC0-6602-45CE-9B4D-8275142AF57C}" name="Grade / School Issue" dataDxfId="225">
      <calculatedColumnFormula>IF(_xlfn.XLOOKUP(CONT_TEA[[#This Row],[PayScaleGradeCode]],GRADES[PayScaleGradeCode],GRADES[AvailableToAllSchools])=TRUE,0,IFERROR(IF(FIND(CONT_TEA[[#This Row],[SchoolCode]],_xlfn.XLOOKUP(CONT_TEA[[#This Row],[PayScaleGradeCode]],GRADES[PayScaleGradeCode],GRADES[SchoolCodes]))&gt;=1,0,1),1))</calculatedColumnFormula>
    </tableColumn>
    <tableColumn id="50" xr3:uid="{AFDF99DE-1018-4A35-BD66-13319BE30957}" name="Grade / Pay Scale Issue" dataDxfId="224">
      <calculatedColumnFormula>IF(ISERROR(IF((_xlfn.XLOOKUP(CONT_TEA[[#This Row],[PayScaleGradeCode]],GRADES[PayScaleGradeCode],GRADES[PayScaleCode])=CONT_TEA[[#This Row],[PayScaleCode]]),0,1)),1,0)</calculatedColumnFormula>
    </tableColumn>
    <tableColumn id="52" xr3:uid="{EAD61616-F701-4D9C-919B-EB6B4EB5C70F}" name="Point / Pay Scale Issue" dataDxfId="223">
      <calculatedColumnFormula array="1">IF(ISERROR(FIND(CONT_TEA[[#This Row],[PayScalePointCode]],_xlfn.TEXTJOIN(",",TRUE,IF(PSPOINTS[PayScaleCode]=CONT_TEA[[#This Row],[PayScaleCode]],PSPOINTS[PayScalePointCode])))),1,0)</calculatedColumnFormula>
    </tableColumn>
    <tableColumn id="53" xr3:uid="{1256C095-3848-40B3-AD17-57C0AD99B42E}" name="Point / Grade Issue" dataDxfId="222">
      <calculatedColumnFormula array="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calculatedColumnFormula>
    </tableColumn>
    <tableColumn id="54" xr3:uid="{04712B97-8935-423A-B901-E9701DB2F5ED}" name="Scale Point Disabled" dataDxfId="221">
      <calculatedColumnFormula>IF(_xlfn.XLOOKUP(CONT_TEA[[#This Row],[PayScalePointCode]],PSPOINTS[PayScalePointCode],PSPOINTS[PayScalePointEnabled])=TRUE,0,1)</calculatedColumnFormula>
    </tableColumn>
    <tableColumn id="21" xr3:uid="{B68D151D-5614-4BA3-8AB4-E197847A4868}" name="Dept / School Issue" dataDxfId="220">
      <calculatedColumnFormula array="1">IF(_xlfn.XLOOKUP(CONT_TEA[[#This Row],[DepartmentCode]],DEPTS[DepartmentCode],DEPTS[AvailableToAllSchools],1,0,)=TRUE,0,IF(ISERROR(FIND(CONT_TEA[[#This Row],[SchoolCode]],_xlfn.TEXTJOIN(",",TRUE,_xlfn.UNIQUE(IF(DEPTS[DepartmentCode]=CONT_TEA[[#This Row],[DepartmentCode]],DEPTS[SchoolCodes],""))))),1,0))</calculatedColumnFormula>
    </tableColumn>
    <tableColumn id="28" xr3:uid="{3F64FBC9-6BDE-473A-9CCD-D88742953757}" name="Dept/FC Ledger Issue" dataDxfId="219">
      <calculatedColumnFormula>IFERROR(IF(_xlfn.XLOOKUP(CONT_TEA[[#This Row],[SRG Gross]],FinanceCodesBudget[FinanceCode],FinanceCodesBudget[LedgerCode])=_xlfn.XLOOKUP(CONT_TEA[[#This Row],[DepartmentCode]],DEPTS[DepartmentCode],DEPTS[LedgerCode]),0,1),1)</calculatedColumnFormula>
    </tableColumn>
    <tableColumn id="22" xr3:uid="{5C90C7E1-0066-4A30-8733-2DAB56D10F6E}" name="Pension Issue" dataDxfId="218">
      <calculatedColumnFormula array="1">IF(_xlfn.XLOOKUP(CONT_TEA[[#This Row],[PensionCode]],PENS[PensionCode],PENS[AvailableToAllSchools],1,0,)=TRUE,0,IF(ISERROR(FIND(CONT_TEA[[#This Row],[SchoolCode]],_xlfn.TEXTJOIN(",",TRUE,_xlfn.UNIQUE(IF(PENS[PensionCode]=CONT_TEA[[#This Row],[PensionCode]],PENS[SchoolCodes],""))))),1,0))</calculatedColumnFormula>
    </tableColumn>
    <tableColumn id="23" xr3:uid="{7B5FBC96-319E-4D4D-A8EF-A3C86D2B93E5}" name="EQWP Issue" dataDxfId="217">
      <calculatedColumnFormula array="1">IF(_xlfn.XLOOKUP(CONT_TEA[[#This Row],[EquatedWeekPatternCode]],EQW[EquatedWeekPatternCode],EQW[AvailableToAllSchools],1,0,)=TRUE,0,IF(ISERROR(FIND(CONT_TEA[[#This Row],[SchoolCode]],_xlfn.TEXTJOIN(",",TRUE,_xlfn.UNIQUE(IF(EQW[EquatedWeekPatternCode]=CONT_TEA[[#This Row],[EquatedWeekPatternCode]],EQW[SchoolCodes],""))))),1,0))</calculatedColumnFormula>
    </tableColumn>
    <tableColumn id="38" xr3:uid="{87DEFDB5-F4C5-42F1-8646-1EF6ACBC5ED1}" name="Contract Type Issue" dataDxfId="216">
      <calculatedColumnFormula>1-COUNTIF(ContractTypes[Code],CONT_TEA[[#This Row],[ContractTypeCode]])</calculatedColumnFormula>
    </tableColumn>
    <tableColumn id="26" xr3:uid="{5D99F819-CA37-4161-BA72-DC64B1903605}" name="Contract Date From Issue" dataDxfId="215">
      <calculatedColumnFormula>IF(VLOOKUP(CONT_TEA[[#This Row],[StaffMemberCode]],MEMBERS[[StaffMemberCode]:[ServiceStartDate]],5,0)&gt;CONT_TEA[[#This Row],[DateFrom]],1,0)</calculatedColumnFormula>
    </tableColumn>
    <tableColumn id="58" xr3:uid="{1F5A653F-2036-439C-A5A9-0C77618F9FE1}" name="Contract Date To Issue" dataDxfId="214">
      <calculatedColumnFormula>IF(_xlfn.XLOOKUP(CONT_TEA[[#This Row],[StaffMemberCode]],MEMBERS[StaffMemberCode],MEMBERS[ServiceEndDate])="",0,IF(CONT_TEA[[#This Row],[DateTo]]="",1,IF(_xlfn.XLOOKUP(CONT_TEA[[#This Row],[StaffMemberCode]],MEMBERS[StaffMemberCode],MEMBERS[ServiceEndDate])&lt;CONT_TEA[[#This Row],[DateTo]],1,0)))</calculatedColumnFormula>
    </tableColumn>
    <tableColumn id="40" xr3:uid="{52180335-1076-4501-8519-C8E49C0218DD}" name="Dates From/To Issue" dataDxfId="213">
      <calculatedColumnFormula>IF(ISBLANK(CONT_TEA[[#This Row],[DateTo]]),0,IF(CONT_TEA[[#This Row],[DateFrom]]=CONT_TEA[[#This Row],[DateTo]],0,IF(CONT_TEA[[#This Row],[DateFrom]]&lt;CONT_TEA[[#This Row],[DateTo]],0,1)))</calculatedColumnFormula>
    </tableColumn>
    <tableColumn id="24" xr3:uid="{DF09E09D-364C-4F62-B43E-8E93D8B0E9FA}" name="Date Format Issue" dataDxfId="212">
      <calculatedColumnFormula array="1">IF(CELL("format",CONT_TEA[[#This Row],[DateFrom]])="D1",0,1)+IF(CELL("format",CONT_TEA[[#This Row],[DateTo]])="D1",0,1)</calculatedColumnFormula>
    </tableColumn>
    <tableColumn id="46" xr3:uid="{95FB39E1-53E0-46C4-AFBB-01D629BD07BB}" name="TRUE /FALSE Typo" dataDxfId="211">
      <calculatedColumnFormula>IF(OR(CONT_TEA[[#This Row],[MatEditOnly]]=TRUE,CONT_TEA[[#This Row],[MatEditOnly]]=FALSE),IF(OR(CONT_TEA[[#This Row],[NoIncrement]]=TRUE,CONT_TEA[[#This Row],[NoIncrement]]=FALSE),0,1),1)</calculatedColumnFormula>
    </tableColumn>
    <tableColumn id="25" xr3:uid="{5BE43BD1-8D01-4696-A2B7-7CF6DD65A29D}" name="Fund Code Issue" dataDxfId="210">
      <calculatedColumnFormula>IF(ISBLANK(CONT_TEA[[#This Row],[FundCode]])=TRUE,0,IF(COUNTIF(FUNDS[FundCode],CONT_TEA[[#This Row],[FundCode]])=1,0,1))</calculatedColumnFormula>
    </tableColumn>
    <tableColumn id="16" xr3:uid="{5A0689BC-2F47-42D5-8B39-3623E3127FB9}" name="Notes Length" dataDxfId="209">
      <calculatedColumnFormula>IF(LEN(CONT_TEA[[#This Row],[Notes]])&lt;4000,0,1)</calculatedColumnFormula>
    </tableColumn>
    <tableColumn id="45" xr3:uid="{EA1DAD4C-8C2D-4DAB-A6D2-79F120940B91}" name="Space in Code" dataDxfId="208">
      <calculatedColumnFormula>IF(SUBSTITUTE(TEXT(CONT_TEA[[#This Row],[Reference]],10)," ","")=TEXT(CONT_TEA[[#This Row],[Reference]],10),0,1)</calculatedColumnFormula>
    </tableColumn>
    <tableColumn id="27" xr3:uid="{3625B994-FFCD-4F39-BA9A-FED0C18B9999}" name="Will Import if 0" dataDxfId="207">
      <calculatedColumnFormula>SUM(CONT_TEA[[#This Row],[Duplicate Contract]:[Space in Code]])</calculatedColumnFormula>
    </tableColumn>
    <tableColumn id="1" xr3:uid="{9BDBF52C-8C0F-4D10-BB33-0B18D2D0738B}" name="ScenarioCode" dataDxfId="206"/>
    <tableColumn id="2" xr3:uid="{AA272951-8DF6-43B2-8125-D68BD41C7CAC}" name="SchoolCode" dataDxfId="205"/>
    <tableColumn id="3" xr3:uid="{9F70F30E-639A-425D-BE17-47448682989F}" name="StaffMemberCode" dataDxfId="204"/>
    <tableColumn id="4" xr3:uid="{41D72DBD-8A76-40B3-ABC2-CF9B821FAB66}" name="Reference" dataDxfId="203"/>
    <tableColumn id="5" xr3:uid="{4C2CD676-0FFF-421D-97DA-B6F5152F792D}" name="Title" dataDxfId="202">
      <calculatedColumnFormula>_xlfn.XLOOKUP(CONT_TEA[[#This Row],[StaffMemberCode]],StaffMembers!O:O,StaffMembers!R:R)</calculatedColumnFormula>
    </tableColumn>
    <tableColumn id="6" xr3:uid="{035A47F7-E59A-4B58-9293-B8E03E5A295F}" name="StaffRoleCode" dataDxfId="201"/>
    <tableColumn id="34" xr3:uid="{BA398559-2E4E-4B0D-A147-7A4979CBFADA}" name="SRG Gross" dataDxfId="200">
      <calculatedColumnFormula>_xlfn.XLOOKUP(CONT_TEA[[#This Row],[SRG]],SRG[StaffRoleGroupCode],SRG[GrossSalaryFinanceCode])</calculatedColumnFormula>
    </tableColumn>
    <tableColumn id="33" xr3:uid="{D1AF5EB4-B5E5-4E50-9E54-D76C0B292DF1}" name="SRG" dataDxfId="199">
      <calculatedColumnFormula>_xlfn.XLOOKUP(CONT_TEA[[#This Row],[StaffRoleCode]],ROLES[StaffRoleCode],ROLES[StaffRoleGroupCode])</calculatedColumnFormula>
    </tableColumn>
    <tableColumn id="7" xr3:uid="{F5321D0E-48D1-4E8B-B068-BE6CF3EE4ABA}" name="PayScaleCode" dataDxfId="198">
      <calculatedColumnFormula>_xlfn.XLOOKUP(CONT_TEA[[#This Row],[StaffRoleCode]],ROLES[StaffRoleCode],ROLES[PayScaleCode])</calculatedColumnFormula>
    </tableColumn>
    <tableColumn id="8" xr3:uid="{74CBE987-8CE7-460A-8822-EBDC6B22161B}" name="PayScaleGradeCode" dataDxfId="197"/>
    <tableColumn id="9" xr3:uid="{1F31D2A4-36B9-489F-85C8-4C7751534745}" name="PayScalePointCode" dataDxfId="196"/>
    <tableColumn id="10" xr3:uid="{A6D14734-DB93-40EF-8CBE-A040E23FBEDA}" name="DepartmentCode" dataDxfId="195"/>
    <tableColumn id="39" xr3:uid="{8DE09219-C2C2-4E07-A802-450E7166889F}" name="FundCode" dataDxfId="194"/>
    <tableColumn id="11" xr3:uid="{14FE54FB-18E7-4486-BA18-D6B8439A8CEB}" name="PensionCode" dataDxfId="193"/>
    <tableColumn id="12" xr3:uid="{7DA81415-DBAD-4705-896C-E7B2CEA5CDAB}" name="EquatedWeekPatternCode" dataDxfId="192"/>
    <tableColumn id="13" xr3:uid="{3E7570F6-706C-4106-9FB4-0686387BD001}" name="DateFrom" dataDxfId="191"/>
    <tableColumn id="14" xr3:uid="{CD3002E2-99AA-42BA-AC0E-9572B7D48863}" name="DateTo" dataDxfId="190"/>
    <tableColumn id="15" xr3:uid="{81DF3D95-E718-456E-8155-E1A7FF6AA2C7}" name="WeeklyFteOrHpw" dataDxfId="189"/>
    <tableColumn id="17" xr3:uid="{39BA1ED9-48B9-4153-B363-A98210204CD7}" name="MatEditOnly" dataDxfId="188"/>
    <tableColumn id="29" xr3:uid="{2AE72649-D394-4C9B-A392-45AC20DDA610}" name="NoIncrement" dataDxfId="187"/>
    <tableColumn id="18" xr3:uid="{01BD0576-C418-4F8C-8BF8-F0FE6C326087}" name="ContractTypeCode" dataDxfId="186"/>
    <tableColumn id="37" xr3:uid="{0A5CAFC5-BE29-4C62-80F4-6E1EA1DC75B6}" name="Notes" dataDxfId="185"/>
  </tableColumns>
  <tableStyleInfo name="IMP Colours"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F66DF736-105D-4DF9-A215-BB9670379456}" name="CONT_SUP" displayName="CONT_SUP" ref="A1:AU402" totalsRowShown="0" headerRowDxfId="184" dataDxfId="183">
  <autoFilter ref="A1:AU402" xr:uid="{F66DF736-105D-4DF9-A215-BB9670379456}"/>
  <tableColumns count="47">
    <tableColumn id="19" xr3:uid="{B474C165-6534-4D42-A8C6-BF81877D4078}" name="Unique Contract" dataDxfId="182">
      <calculatedColumnFormula>AA2&amp;AB2&amp;AC2&amp;AE2&amp;AK2&amp;AO2</calculatedColumnFormula>
    </tableColumn>
    <tableColumn id="20" xr3:uid="{687F1D86-1059-4558-85B9-71B21F353B35}" name="Duplicate Contract" dataDxfId="181">
      <calculatedColumnFormula>COUNTIF(CONT_SUP[Unique Contract],CONT_SUP[[#This Row],[Unique Contract]])-1</calculatedColumnFormula>
    </tableColumn>
    <tableColumn id="47" xr3:uid="{638B52E9-382E-4821-9505-A2ACD4EA5EA5}" name="Location Issue" dataDxfId="180">
      <calculatedColumnFormula>IFERROR(IF(FIND(CONT_SUP[[#This Row],[SchoolCode]],_xlfn.XLOOKUP(CONT_SUP[[#This Row],[StaffMemberCode]],MEMBERS[StaffMemberCode],MEMBERS[SchoolCodes]))&gt;0,0,1),1)</calculatedColumnFormula>
    </tableColumn>
    <tableColumn id="48" xr3:uid="{C605AED5-F946-47A2-9D0C-3CBF4A1DD5B9}" name="Role / School Issue" dataDxfId="179">
      <calculatedColumnFormula array="1">IF(_xlfn.XLOOKUP(CONT_SUP[[#This Row],[StaffRoleCode]],ROLES[StaffRoleCode],ROLES[AvailableToAllSchools],1,0,)=TRUE,0,IF(ISERROR(FIND(CONT_SUP[[#This Row],[SchoolCode]],_xlfn.TEXTJOIN(",",TRUE,_xlfn.UNIQUE(IF(ROLES[StaffRoleCode]=CONT_SUP[[#This Row],[StaffRoleCode]],ROLES[SchoolCodes],""))))),1,0))</calculatedColumnFormula>
    </tableColumn>
    <tableColumn id="53" xr3:uid="{977B798C-3D69-4E70-A028-B44FAC0F7200}" name="SRG FC Issue" dataDxfId="178">
      <calculatedColumnFormula array="1">IF(_xlfn.XLOOKUP(CONT_SUP[[#This Row],[SRG Gross]],FinanceCodesBudget[FinanceCode],FinanceCodesBudget[AvailableToAllSchools],1,0,)=TRUE,0,IF(ISERROR(FIND(CONT_SUP[[#This Row],[SchoolCode]],_xlfn.TEXTJOIN(",",TRUE,_xlfn.UNIQUE(IF(FinanceCodesBudget[FinanceCode]=CONT_SUP[[#This Row],[SRG Gross]],FinanceCodesBudget[SchoolCodes],""))))),1,0))</calculatedColumnFormula>
    </tableColumn>
    <tableColumn id="30" xr3:uid="{480AF449-101B-4322-85E6-3FA4F5A9250B}" name="Pay Scale / School Issue" dataDxfId="177">
      <calculatedColumnFormula array="1">IF(_xlfn.XLOOKUP(CONT_SUP[[#This Row],[PayScaleCode]],PAYSCALES[PayScaleCode],PAYSCALES[AvailableToAllSchools],1,0,)=TRUE,0,IF(ISERROR(FIND(CONT_SUP[[#This Row],[SchoolCode]],_xlfn.TEXTJOIN(",",TRUE,_xlfn.UNIQUE(IF(PAYSCALES[PayScaleCode]=CONT_SUP[[#This Row],[PayScaleCode]],PAYSCALES[SchoolCodes],""))))),1,0))</calculatedColumnFormula>
    </tableColumn>
    <tableColumn id="54" xr3:uid="{152AE42C-4ADD-4863-8555-479641439511}" name="Grade / School Issue" dataDxfId="176">
      <calculatedColumnFormula>IF(_xlfn.XLOOKUP(CONT_SUP[[#This Row],[PayScaleGradeCode]],GRADES[PayScaleGradeCode],GRADES[AvailableToAllSchools])=TRUE,0,IFERROR(IF(FIND(CONT_SUP[[#This Row],[SchoolCode]],_xlfn.XLOOKUP(CONT_SUP[[#This Row],[PayScaleGradeCode]],GRADES[PayScaleGradeCode],GRADES[SchoolCodes]))&gt;=1,0,1),1))</calculatedColumnFormula>
    </tableColumn>
    <tableColumn id="25" xr3:uid="{9126832C-0A65-4AE8-8E47-6FCD66A19128}" name="Grade / Pay Scale Issue" dataDxfId="175">
      <calculatedColumnFormula>IF(ISERROR(IF((_xlfn.XLOOKUP(CONT_SUP[[#This Row],[PayScaleGradeCode]],GRADES[PayScaleGradeCode],GRADES[PayScaleCode])=CONT_SUP[[#This Row],[PayScaleCode]]),0,1)),1,0)</calculatedColumnFormula>
    </tableColumn>
    <tableColumn id="35" xr3:uid="{048F899D-E4E9-4FFF-9D4A-20730AE397DA}" name="Point / Pay Scale Issue" dataDxfId="174">
      <calculatedColumnFormula array="1">IF(ISERROR(FIND(CONT_SUP[[#This Row],[PayScalePointCode]],_xlfn.TEXTJOIN(",",TRUE,IF(PSPOINTS[PayScaleCode]=CONT_SUP[[#This Row],[PayScaleCode]],PSPOINTS[PayScalePointCode])))),1,0)</calculatedColumnFormula>
    </tableColumn>
    <tableColumn id="36" xr3:uid="{E3C3B8E9-18F5-468F-A18B-1E2D71228548}" name="Point / Grade Issue" dataDxfId="173">
      <calculatedColumnFormula array="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calculatedColumnFormula>
    </tableColumn>
    <tableColumn id="52" xr3:uid="{E3AED47C-A185-4160-AB11-853D63D85CA7}" name="Scale Point Disabled" dataDxfId="172">
      <calculatedColumnFormula>IF(_xlfn.XLOOKUP(CONT_SUP[[#This Row],[PayScalePointCode]],PSPOINTS[PayScalePointCode],PSPOINTS[PayScalePointEnabled])=TRUE,0,1)</calculatedColumnFormula>
    </tableColumn>
    <tableColumn id="51" xr3:uid="{85111306-724B-48CA-AD28-2950C1B26CBB}" name="Dept / School Issue" dataDxfId="171">
      <calculatedColumnFormula array="1">IF(_xlfn.XLOOKUP(CONT_SUP[[#This Row],[DepartmentCode]],DEPTS[DepartmentCode],DEPTS[AvailableToAllSchools],1,0,)=TRUE,0,IF(ISERROR(FIND(CONT_SUP[[#This Row],[SchoolCode]],_xlfn.TEXTJOIN(",",TRUE,_xlfn.UNIQUE(IF(DEPTS[DepartmentCode]=CONT_SUP[[#This Row],[DepartmentCode]],DEPTS[SchoolCodes],""))))),1,0))</calculatedColumnFormula>
    </tableColumn>
    <tableColumn id="23" xr3:uid="{7D86AA21-54CA-40F4-B796-0B667D9191F4}" name="Dept/FC Ledger Issue" dataDxfId="170">
      <calculatedColumnFormula>IFERROR(IF(_xlfn.XLOOKUP(CONT_SUP[[#This Row],[SRG Gross]],FinanceCodesBudget[FinanceCode],FinanceCodesBudget[LedgerCode])=_xlfn.XLOOKUP(CONT_SUP[[#This Row],[DepartmentCode]],DEPTS[DepartmentCode],DEPTS[LedgerCode]),0,1),1)</calculatedColumnFormula>
    </tableColumn>
    <tableColumn id="50" xr3:uid="{FA1B73C4-0D7B-454F-9E46-214D50E52A10}" name="Pension Issue" dataDxfId="169">
      <calculatedColumnFormula array="1">IF(_xlfn.XLOOKUP(CONT_SUP[[#This Row],[PensionCode]],PENS[PensionCode],PENS[AvailableToAllSchools],1,0,)=TRUE,0,IF(ISERROR(FIND(CONT_SUP[[#This Row],[SchoolCode]],_xlfn.TEXTJOIN(",",TRUE,_xlfn.UNIQUE(IF(PENS[PensionCode]=CONT_SUP[[#This Row],[PensionCode]],PENS[SchoolCodes],""))))),1,0))</calculatedColumnFormula>
    </tableColumn>
    <tableColumn id="49" xr3:uid="{CEDABBB7-7B6F-40C6-80B8-CAFC02897801}" name="EQWP Issue" dataDxfId="168">
      <calculatedColumnFormula array="1">IF(_xlfn.XLOOKUP(CONT_SUP[[#This Row],[EquatedWeekPatternCode]],EQW[EquatedWeekPatternCode],EQW[AvailableToAllSchools],1,0,)=TRUE,0,IF(ISERROR(FIND(CONT_SUP[[#This Row],[SchoolCode]],_xlfn.TEXTJOIN(",",TRUE,_xlfn.UNIQUE(IF(EQW[EquatedWeekPatternCode]=CONT_SUP[[#This Row],[EquatedWeekPatternCode]],EQW[SchoolCodes],""))))),1,0))</calculatedColumnFormula>
    </tableColumn>
    <tableColumn id="37" xr3:uid="{CF404855-5501-493C-A108-FABA8A643BBD}" name="Contract Type Issue" dataDxfId="167">
      <calculatedColumnFormula>1-COUNTIF(ContractTypes[Code],CONT_SUP[[#This Row],[ContractTypeCode]])</calculatedColumnFormula>
    </tableColumn>
    <tableColumn id="26" xr3:uid="{95DE60AE-45B9-4D55-B406-E2DB53E3580E}" name="Contract Date From Issue" dataDxfId="166">
      <calculatedColumnFormula>IF(VLOOKUP(CONT_SUP[[#This Row],[StaffMemberCode]],MEMBERS[[StaffMemberCode]:[ServiceStartDate]],5,0)&gt;CONT_SUP[[#This Row],[DateFrom]],1,0)</calculatedColumnFormula>
    </tableColumn>
    <tableColumn id="43" xr3:uid="{0CEF65CD-E73E-4442-BE42-B6202F4B571C}" name="Contract Date To Issue" dataDxfId="165">
      <calculatedColumnFormula>IF(_xlfn.XLOOKUP(CONT_SUP[[#This Row],[StaffMemberCode]],MEMBERS[StaffMemberCode],MEMBERS[ServiceEndDate])="",0,IF(CONT_SUP[[#This Row],[DateTo]]="",1,IF(_xlfn.XLOOKUP(CONT_SUP[[#This Row],[StaffMemberCode]],MEMBERS[StaffMemberCode],MEMBERS[ServiceEndDate])&lt;CONT_SUP[[#This Row],[DateTo]],1,0)))</calculatedColumnFormula>
    </tableColumn>
    <tableColumn id="41" xr3:uid="{253A67A9-2174-455E-ADF4-D01D8CCC1580}" name="Dates From/To Issue" dataDxfId="164">
      <calculatedColumnFormula>IF(ISBLANK(CONT_SUP[[#This Row],[DateTo]]),0,IF(CONT_SUP[[#This Row],[DateFrom]]=CONT_SUP[[#This Row],[DateTo]],0,IF(CONT_SUP[[#This Row],[DateFrom]]&lt;CONT_SUP[[#This Row],[DateTo]],0,1)))</calculatedColumnFormula>
    </tableColumn>
    <tableColumn id="21" xr3:uid="{365687A3-C8A9-4F4A-935D-09A520856E36}" name="Date Format Issue" dataDxfId="163">
      <calculatedColumnFormula array="1">IF(CELL("format",CONT_SUP[[#This Row],[DateFrom]])="D1",0,1)+IF(CELL("format",CONT_SUP[[#This Row],[DateTo]])="D1",0,1)</calculatedColumnFormula>
    </tableColumn>
    <tableColumn id="46" xr3:uid="{3AA65429-E999-4B98-8DF3-A4B7D4B4794F}" name="TRUE /FALSE Typo" dataDxfId="162">
      <calculatedColumnFormula>IF(OR(CONT_SUP[[#This Row],[MatEditOnly]]=TRUE,CONT_SUP[[#This Row],[MatEditOnly]]=FALSE),IF(OR(CONT_SUP[[#This Row],[NoIncrement]]=TRUE,CONT_SUP[[#This Row],[NoIncrement]]=FALSE),0,1),1)</calculatedColumnFormula>
    </tableColumn>
    <tableColumn id="22" xr3:uid="{9DA5D80E-A588-47F8-8700-41871069E6A8}" name="Fund Code Issue" dataDxfId="161">
      <calculatedColumnFormula>IF(ISBLANK(CONT_SUP[[#This Row],[FundCode]])=TRUE,0,IF(COUNTIF(FUNDS[FundCode],CONT_SUP[[#This Row],[FundCode]])=1,0,1))</calculatedColumnFormula>
    </tableColumn>
    <tableColumn id="16" xr3:uid="{070FA2B7-F590-4BD6-9203-2C51E5447B8B}" name="Notes Length" dataDxfId="160">
      <calculatedColumnFormula>IF(LEN(CONT_SUP[[#This Row],[Notes]])&lt;4000,0,1)</calculatedColumnFormula>
    </tableColumn>
    <tableColumn id="45" xr3:uid="{D4F469BE-03D7-4938-9DC1-CF0F3BE02927}" name="Space in Code" dataDxfId="159">
      <calculatedColumnFormula>IF(SUBSTITUTE(TEXT(CONT_SUP[[#This Row],[Reference]],10)," ","")=TEXT(CONT_SUP[[#This Row],[Reference]],10),0,1)</calculatedColumnFormula>
    </tableColumn>
    <tableColumn id="27" xr3:uid="{2058EA41-AB10-4856-A1AA-EC412FCB0D4F}" name="Will Import if 0" dataDxfId="158">
      <calculatedColumnFormula>SUM(CONT_SUP[[#This Row],[Duplicate Contract]:[Space in Code]])</calculatedColumnFormula>
    </tableColumn>
    <tableColumn id="1" xr3:uid="{4F8C8DEC-1EFA-45FB-881F-9129AE94C93D}" name="ScenarioCode" dataDxfId="157"/>
    <tableColumn id="2" xr3:uid="{160EA2C8-28D5-4C97-9800-DE876FCD411D}" name="SchoolCode" dataDxfId="156"/>
    <tableColumn id="3" xr3:uid="{B6110386-88A6-4969-9F30-9698204CE719}" name="StaffMemberCode" dataDxfId="155"/>
    <tableColumn id="4" xr3:uid="{7593CA20-49DE-4D2D-B394-D51DACE282E4}" name="Reference" dataDxfId="154"/>
    <tableColumn id="5" xr3:uid="{507A1DE4-5871-4139-9B45-1AF866D91E2F}" name="Title" dataDxfId="153">
      <calculatedColumnFormula>_xlfn.XLOOKUP(CONT_SUP[[#This Row],[StaffMemberCode]],StaffMembers!O:O,StaffMembers!R:R)</calculatedColumnFormula>
    </tableColumn>
    <tableColumn id="6" xr3:uid="{7A674269-8CD0-4E87-95E4-A2ABF2F82BC6}" name="StaffRoleCode" dataDxfId="152"/>
    <tableColumn id="34" xr3:uid="{3DE0E33E-69DA-4CE8-ABC3-41D3AB3308E3}" name="SRG Gross" dataDxfId="151">
      <calculatedColumnFormula>_xlfn.XLOOKUP(CONT_SUP[[#This Row],[SRG]],SRG[StaffRoleGroupCode],SRG[GrossSalaryFinanceCode])</calculatedColumnFormula>
    </tableColumn>
    <tableColumn id="33" xr3:uid="{733BB62B-C336-4089-96C2-A224E88624C6}" name="SRG" dataDxfId="150">
      <calculatedColumnFormula>_xlfn.XLOOKUP(CONT_SUP[[#This Row],[StaffRoleCode]],ROLES[StaffRoleCode],ROLES[StaffRoleGroupCode])</calculatedColumnFormula>
    </tableColumn>
    <tableColumn id="7" xr3:uid="{736B181F-E769-412C-81B7-C497FC3532A4}" name="PayScaleCode" dataDxfId="149">
      <calculatedColumnFormula>_xlfn.XLOOKUP(CONT_SUP[[#This Row],[StaffRoleCode]],ROLES[StaffRoleCode],ROLES[PayScaleCode])</calculatedColumnFormula>
    </tableColumn>
    <tableColumn id="8" xr3:uid="{66EAC61A-CE1B-456F-AC51-3B043B5A2061}" name="PayScaleGradeCode" dataDxfId="148"/>
    <tableColumn id="9" xr3:uid="{D6FDE3B5-724A-4B5E-AE7B-33A9D5671BE4}" name="PayScalePointCode" dataDxfId="147"/>
    <tableColumn id="10" xr3:uid="{973F60EB-D1E8-42F0-9A47-C681540B1717}" name="DepartmentCode" dataDxfId="146"/>
    <tableColumn id="39" xr3:uid="{3F9868BE-C283-467A-B6E4-8590A01B1F9C}" name="FundCode" dataDxfId="145"/>
    <tableColumn id="11" xr3:uid="{D78EB8E6-5A29-48FC-9E2A-123D77E2005A}" name="PensionCode" dataDxfId="144"/>
    <tableColumn id="12" xr3:uid="{C13435A0-F949-424E-80E8-E7E2D5FB1517}" name="EquatedWeekPatternCode" dataDxfId="143"/>
    <tableColumn id="13" xr3:uid="{FCBF8044-C749-42F0-BF14-A380382739DF}" name="DateFrom" dataDxfId="142"/>
    <tableColumn id="14" xr3:uid="{72F716E9-6CBA-48EA-B6C2-87E5BA8A56A8}" name="DateTo" dataDxfId="141"/>
    <tableColumn id="15" xr3:uid="{381EA982-C1DE-4DC9-BEA9-F1E8730C938B}" name="WeeklyFteOrHpw" dataDxfId="140"/>
    <tableColumn id="17" xr3:uid="{FF6C35A5-1E75-4D14-A621-A958099786A5}" name="MatEditOnly" dataDxfId="139"/>
    <tableColumn id="29" xr3:uid="{97736621-1644-4C27-B21F-DBA74C5CCE8F}" name="NoIncrement" dataDxfId="138"/>
    <tableColumn id="18" xr3:uid="{F7875E53-2A69-43D2-8D7E-4B8F89B31017}" name="ContractTypeCode" dataDxfId="137"/>
    <tableColumn id="38" xr3:uid="{70F93BDC-7189-43D9-9B9A-460C24A1BCB5}" name="Notes" dataDxfId="136"/>
  </tableColumns>
  <tableStyleInfo name="IMP Colours"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50281B1-DC3C-4605-BC81-99DE409C859C}" name="CONTAL" displayName="CONTAL" ref="A1:AE101" totalsRowShown="0" headerRowDxfId="135" dataDxfId="134">
  <autoFilter ref="A1:AE101" xr:uid="{819C1D37-85BF-4FE3-A29B-75C5D517065B}"/>
  <tableColumns count="31">
    <tableColumn id="1" xr3:uid="{3080878B-A730-4CAC-8031-4D85B829C1E7}" name="Unique Contract" dataDxfId="133">
      <calculatedColumnFormula>R2&amp;S2&amp;T2&amp;V2&amp;W2&amp;X2</calculatedColumnFormula>
    </tableColumn>
    <tableColumn id="23" xr3:uid="{F2C8EE44-CC72-41CA-A33E-51AFFFA3D2D6}" name="Person+AllowancePoint+ContractRef+SchoolCode" dataDxfId="132">
      <calculatedColumnFormula>CONTAL[[#This Row],[StaffMemberCode]]&amp;CONTAL[[#This Row],[AllowancePointCode]]&amp;CONTAL[[#This Row],[ContractReference]]&amp;CONTAL[[#This Row],[SchoolCode]]</calculatedColumnFormula>
    </tableColumn>
    <tableColumn id="2" xr3:uid="{2934C135-1C32-4249-8AFA-144AF40BCDA9}" name="Contract Issue" dataDxfId="131">
      <calculatedColumnFormula>IF(COUNTIF(ContractsTeachFTE!A:A,ContractAllowances!A2)&gt;0,0,IF(COUNTIF(ContractsSupportHours!A:A,ContractAllowances!A2)&gt;0,0,1))</calculatedColumnFormula>
    </tableColumn>
    <tableColumn id="24" xr3:uid="{4E5D9533-8032-4668-AB6E-D40F9E8E70AA}" name="Point Code / School isue" dataDxfId="130">
      <calculatedColumnFormula>IF(_xlfn.XLOOKUP(CONTAL[[#This Row],[AllowancePointCode]],ALLWCPTS[AllowancePointCode],ALLWCPTS[AvailableToAllSchools])=TRUE,0,IFERROR(IF(FIND(CONTAL[[#This Row],[SchoolCode]],_xlfn.XLOOKUP(CONTAL[[#This Row],[AllowancePointCode]],ALLWCPTS[AllowancePointCode],ALLWCPTS[SchoolCodes]))&gt;=1,0,1),1))</calculatedColumnFormula>
    </tableColumn>
    <tableColumn id="21" xr3:uid="{DDB18496-38C5-41C9-9258-F63F5D3A67BB}" name="Dept / School Issue" dataDxfId="129">
      <calculatedColumnFormula array="1">IF(_xlfn.XLOOKUP(CONTAL[[#This Row],[DepartmentCode]],DEPTS[DepartmentCode],DEPTS[AvailableToAllSchools],1,0,)=TRUE,0,IF(ISERROR(FIND(CONTAL[[#This Row],[SchoolCode]],_xlfn.TEXTJOIN(",",TRUE,_xlfn.UNIQUE(IF(DEPTS[DepartmentCode]=CONTAL[[#This Row],[DepartmentCode]],DEPTS[SchoolCodes],""))))),1,0))</calculatedColumnFormula>
    </tableColumn>
    <tableColumn id="3" xr3:uid="{5E6C9B3F-28A9-4D13-906E-F2E9FD1F1825}" name="Allw Code Issue" dataDxfId="128">
      <calculatedColumnFormula>IF(COUNTIF(ALLWCTYPE[AllowanceTypeCode],CONTAL[[#This Row],[AllowanceCode]])&gt;0,0,1)</calculatedColumnFormula>
    </tableColumn>
    <tableColumn id="18" xr3:uid="{F8811CFB-1BB7-4BB8-9D74-C06B061BB5B2}" name="Allw Point Issue" dataDxfId="127">
      <calculatedColumnFormula>IF(COUNTIF(ALLWCPTS[AllowancePointCode],CONTAL[[#This Row],[AllowancePointCode]])&gt;0,0,1)</calculatedColumnFormula>
    </tableColumn>
    <tableColumn id="33" xr3:uid="{9D6E3437-8352-43DA-9884-0C5484E817B5}" name="Allw Point Duplicate" dataDxfId="126">
      <calculatedColumnFormula>COUNTIF(CONTAL[Person+AllowancePoint+ContractRef+SchoolCode],CONTAL[[#This Row],[Person+AllowancePoint+ContractRef+SchoolCode]])-1</calculatedColumnFormula>
    </tableColumn>
    <tableColumn id="4" xr3:uid="{F1ADE825-16F3-4B5F-86D7-0CEF69178CB8}" name="Allw Date From issue" dataDxfId="125">
      <calculatedColumnFormula>IF(X2&gt;AB2,1,0)</calculatedColumnFormula>
    </tableColumn>
    <tableColumn id="27" xr3:uid="{A2908151-7387-4391-ADFF-BD57B330E95C}" name="Contract Dates From/To Issue" dataDxfId="124">
      <calculatedColumnFormula>IF(ISBLANK(CONTAL[[#This Row],[ContractDateTo]]),0,IF(CONTAL[[#This Row],[ContractDateFrom]]=CONTAL[[#This Row],[ContractDateTo]],0,IF(CONTAL[[#This Row],[ContractDateFrom]]&lt;CONTAL[[#This Row],[ContractDateTo]],0,1)))</calculatedColumnFormula>
    </tableColumn>
    <tableColumn id="26" xr3:uid="{1948B2F3-268A-430B-A647-F639AFF34A2E}" name="Allw Dates From/To Issue" dataDxfId="123">
      <calculatedColumnFormula>IF(ISBLANK(CONTAL[[#This Row],[AllowanceDateTo]]),0,IF(CONTAL[[#This Row],[AllowanceDateFrom]]=CONTAL[[#This Row],[AllowanceDateTo]],0,IF(CONTAL[[#This Row],[AllowanceDateFrom]]&lt;CONTAL[[#This Row],[AllowanceDateTo]],0,1)))</calculatedColumnFormula>
    </tableColumn>
    <tableColumn id="25" xr3:uid="{E85D0B77-323E-4281-B994-9D6F31913A2B}" name="Date Format Issue" dataDxfId="122">
      <calculatedColumnFormula array="1">IF(CELL("format",CONTAL[[#This Row],[ContractDateFrom]])="D1",0,1)+IF(CELL("format",CONTAL[[#This Row],[ContractDateTo]])="D1",0,1)+IF(CELL("format",CONTAL[[#This Row],[AllowanceDateFrom]])="D1",0,1)+IF(CELL("format",CONTAL[[#This Row],[AllowanceDateTo]])="D1",0,1)</calculatedColumnFormula>
    </tableColumn>
    <tableColumn id="32" xr3:uid="{A46372C1-C6EF-434F-834F-51F75ABAB3CA}" name="TRUE /FALSE Typo" dataDxfId="121">
      <calculatedColumnFormula>IF(OR(CONTAL[[#This Row],[IgnoreFte]]=TRUE,CONTAL[[#This Row],[IgnoreFte]]=FALSE),0,1)</calculatedColumnFormula>
    </tableColumn>
    <tableColumn id="31" xr3:uid="{BBF07C13-7981-405E-BFE7-251506C7AF2C}" name="Notes Length" dataDxfId="120">
      <calculatedColumnFormula>IF(LEN(CONTAL[[#This Row],[Notes]])&lt;4000,0,1)</calculatedColumnFormula>
    </tableColumn>
    <tableColumn id="30" xr3:uid="{2627866B-1F41-4527-B762-8914B08949BB}" name="Blank in column" dataDxfId="119">
      <calculatedColumnFormula>COUNTBLANK(CONTAL[[#This Row],[AllowanceCode]:[AllowanceDateFrom]])+COUNTBLANK(CONTAL[[#This Row],[IgnoreFte]]:CONTAL[[#This Row],[IgnoreFte]])</calculatedColumnFormula>
    </tableColumn>
    <tableColumn id="5" xr3:uid="{31524525-9B93-4709-B921-36E6DA7B0C49}" name="Will import if 0" dataDxfId="118">
      <calculatedColumnFormula>SUM(CONTAL[[#This Row],[Contract Issue]:[Blank in column]])</calculatedColumnFormula>
    </tableColumn>
    <tableColumn id="6" xr3:uid="{FC5CAF1E-DAA0-4AC0-A2FB-EA0D64182AE3}" name="ScenarioCode" dataDxfId="117"/>
    <tableColumn id="7" xr3:uid="{FDD6109D-5860-4874-BCF7-4CCA5C1309CA}" name="SchoolCode" dataDxfId="116"/>
    <tableColumn id="8" xr3:uid="{03DA4003-09CA-4017-8485-64478DACECFB}" name="StaffMemberCode" dataDxfId="115"/>
    <tableColumn id="10" xr3:uid="{8F4DF05E-4AF8-4FDA-AA6B-11CE8CF62DC4}" name="ContractReference" dataDxfId="114"/>
    <tableColumn id="9" xr3:uid="{A5C67C9A-1E9A-4ACB-A94C-13225055ACF1}" name="Staff Member Name" dataDxfId="113">
      <calculatedColumnFormula>_xlfn.XLOOKUP(CONTAL[[#This Row],[StaffMemberCode]],StaffMembers!O:O,StaffMembers!R:R)</calculatedColumnFormula>
    </tableColumn>
    <tableColumn id="11" xr3:uid="{9D0961C8-2D37-4B96-825A-C27AF755673D}" name="StaffRoleCode" dataDxfId="112"/>
    <tableColumn id="12" xr3:uid="{0A5BBE22-6375-4DC6-9D7C-8F843B21253B}" name="DepartmentCode" dataDxfId="111"/>
    <tableColumn id="13" xr3:uid="{168173D9-AD3A-467D-B33A-C2CA9769757F}" name="ContractDateFrom" dataDxfId="110"/>
    <tableColumn id="14" xr3:uid="{0CC9C451-9C9B-40A1-AE92-C3A7FF638D94}" name="ContractDateTo" dataDxfId="109"/>
    <tableColumn id="15" xr3:uid="{F1E91776-825E-400E-8BE4-007AE58227B3}" name="AllowanceCode" dataDxfId="108"/>
    <tableColumn id="22" xr3:uid="{59084FFD-A85D-4545-BDE6-1A6385DFDBFD}" name="AllowancePointCode" dataDxfId="107"/>
    <tableColumn id="16" xr3:uid="{2F39EA0E-E3C8-4162-9FE3-95E82C1812B1}" name="AllowanceDateFrom" dataDxfId="106"/>
    <tableColumn id="17" xr3:uid="{3AE718DE-ABAF-484E-B042-FE4F44281E57}" name="AllowanceDateTo" dataDxfId="105"/>
    <tableColumn id="19" xr3:uid="{5191F857-A329-4C82-9EF0-A920F2B2DF1E}" name="IgnoreFte" dataDxfId="104"/>
    <tableColumn id="20" xr3:uid="{0DC2E545-9CDD-4F06-895B-024926F6784A}" name="Notes" dataDxfId="103"/>
  </tableColumns>
  <tableStyleInfo name="IMP Colours"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19C1D37-85BF-4FE3-A29B-75C5D517065B}" name="CONTADJ" displayName="CONTADJ" ref="A1:AB83" totalsRowShown="0" headerRowDxfId="102" dataDxfId="101">
  <autoFilter ref="A1:AB83" xr:uid="{819C1D37-85BF-4FE3-A29B-75C5D517065B}"/>
  <sortState xmlns:xlrd2="http://schemas.microsoft.com/office/spreadsheetml/2017/richdata2" ref="A2:AB83">
    <sortCondition ref="R1:R83"/>
  </sortState>
  <tableColumns count="28">
    <tableColumn id="1" xr3:uid="{0B8F90F4-AA0D-437B-A5E9-FEA155D41DEB}" name="Unique Contract " dataDxfId="100">
      <calculatedColumnFormula>O2&amp;P2&amp;Q2&amp;S2&amp;T2&amp;U2</calculatedColumnFormula>
    </tableColumn>
    <tableColumn id="24" xr3:uid="{7F84520E-7E88-45EC-8D88-7025D89FB088}" name="Person+Adj Type Point+Contract Ref+SchoolCode" dataDxfId="99">
      <calculatedColumnFormula>CONTADJ[[#This Row],[StaffMemberCode]]&amp;CONTADJ[[#This Row],[AdjustmentTypeCode]]&amp;CONTADJ[[#This Row],[ContractReference]]&amp;CONTADJ[[#This Row],[SchoolCode]]</calculatedColumnFormula>
    </tableColumn>
    <tableColumn id="2" xr3:uid="{C580CA13-E383-427C-BBD0-4AE0CBE19692}" name="Contract Issue" dataDxfId="98">
      <calculatedColumnFormula>IF(COUNTIF(ContractsTeachFTE!A:A,ContractAdjustments!A2)&gt;0,0,IF(COUNTIF(ContractsSupportHours!A:A,ContractAdjustments!A2)&gt;0,0,1))</calculatedColumnFormula>
    </tableColumn>
    <tableColumn id="27" xr3:uid="{A020FA20-B6B1-4DA3-98CD-E0F025D57731}" name="Dept / School Issue" dataDxfId="97">
      <calculatedColumnFormula array="1">IF(_xlfn.XLOOKUP(CONTADJ[[#This Row],[DepartmentCode]],DEPTS[DepartmentCode],DEPTS[AvailableToAllSchools],1,0,)=TRUE,0,IF(ISERROR(FIND(CONTADJ[[#This Row],[SchoolCode]],_xlfn.TEXTJOIN(",",TRUE,_xlfn.UNIQUE(IF(DEPTS[DepartmentCode]=CONTADJ[[#This Row],[DepartmentCode]],DEPTS[SchoolCodes],""))))),1,0))</calculatedColumnFormula>
    </tableColumn>
    <tableColumn id="30" xr3:uid="{421641C8-1A04-4AD2-A769-3DD5EC73649D}" name="Adj Code Issue" dataDxfId="96">
      <calculatedColumnFormula>IF(COUNTIF(ADJTYPE[AdjustmentTypeCode],CONTADJ[[#This Row],[AdjustmentTypeCode]])&gt;0,0,1)</calculatedColumnFormula>
    </tableColumn>
    <tableColumn id="23" xr3:uid="{80483762-A07A-43BC-845E-210BFE6591E6}" name="Adj Type Duplicate" dataDxfId="95">
      <calculatedColumnFormula>COUNTIF(CONTADJ[Person+Adj Type Point+Contract Ref+SchoolCode],CONTADJ[[#This Row],[Person+Adj Type Point+Contract Ref+SchoolCode]]-1)</calculatedColumnFormula>
    </tableColumn>
    <tableColumn id="4" xr3:uid="{CEB83A6E-A22C-43EA-B91B-B0E8412B7BCF}" name="Adj Date From issue" dataDxfId="94">
      <calculatedColumnFormula>IF(U2&gt;X2,1,0)</calculatedColumnFormula>
    </tableColumn>
    <tableColumn id="28" xr3:uid="{E2F8976F-5C93-41AB-9F0A-C3F6906A6D03}" name="Contract Dates From/To Issue" dataDxfId="93">
      <calculatedColumnFormula>IF(ISBLANK(CONTADJ[[#This Row],[ContractDateTo]]),0,IF(CONTADJ[[#This Row],[ContractDateFrom]]=CONTADJ[[#This Row],[ContractDateTo]],0,IF(CONTADJ[[#This Row],[ContractDateFrom]]&lt;CONTADJ[[#This Row],[ContractDateTo]],0,1)))</calculatedColumnFormula>
    </tableColumn>
    <tableColumn id="29" xr3:uid="{38F49C24-EE3D-46C0-BB38-F59A02B2C4FF}" name="Adj Dates From/To Issue" dataDxfId="92">
      <calculatedColumnFormula>IF(ISBLANK(CONTADJ[[#This Row],[AdjustmentDateTo]]),0,IF(CONTADJ[[#This Row],[AdjustmentDateFrom]]=CONTADJ[[#This Row],[AdjustmentDateTo]],0,IF(CONTADJ[[#This Row],[AdjustmentDateFrom]]&lt;CONTADJ[[#This Row],[AdjustmentDateTo]],0,1)))</calculatedColumnFormula>
    </tableColumn>
    <tableColumn id="3" xr3:uid="{46E99FCA-FCF8-46B0-B682-0BF28EF839CA}" name="Date Format Issue" dataDxfId="91">
      <calculatedColumnFormula array="1">IF(CELL("format",CONTADJ[[#This Row],[ContractDateFrom]])="D1",0,1)+IF(CELL("format",CONTADJ[[#This Row],[ContractDateTo]])="D1",0,1)+IF(CELL("format",CONTADJ[[#This Row],[AdjustmentDateFrom]])="D1",0,1)+IF(CELL("format",CONTADJ[[#This Row],[AdjustmentDateTo]])="D1",0,1)</calculatedColumnFormula>
    </tableColumn>
    <tableColumn id="26" xr3:uid="{EAAC95DF-4814-412E-8EB0-095757E767EA}" name="Notes Length" dataDxfId="90">
      <calculatedColumnFormula>IF(LEN(CONTADJ[[#This Row],[Notes]])&lt;4000,0,1)</calculatedColumnFormula>
    </tableColumn>
    <tableColumn id="25" xr3:uid="{B3C9A8E3-D3C6-4A31-8BA0-5C72DC2A8889}" name="Blank in column" dataDxfId="89">
      <calculatedColumnFormula>COUNTBLANK(CONTADJ[[#This Row],[AnnualValuePreAnnualFte]:[AnnualValuePostAnnualFte]])</calculatedColumnFormula>
    </tableColumn>
    <tableColumn id="5" xr3:uid="{FC2662B9-62BF-4048-B003-D532ECF1561F}" name="Will import if 0" dataDxfId="88">
      <calculatedColumnFormula>SUM(CONTADJ[[#This Row],[Contract Issue]:[Blank in column]])</calculatedColumnFormula>
    </tableColumn>
    <tableColumn id="6" xr3:uid="{6E6291A3-E920-4F36-BF50-D5F2A5380743}" name="ScenarioCode" dataDxfId="87"/>
    <tableColumn id="7" xr3:uid="{6FEAD163-AD46-41D0-B099-D0C199A6109A}" name="SchoolCode" dataDxfId="86"/>
    <tableColumn id="8" xr3:uid="{2231C5D2-35C4-4673-8C2A-19C14D1CB4AB}" name="StaffMemberCode" dataDxfId="85"/>
    <tableColumn id="10" xr3:uid="{3DE09155-F775-46CF-8118-FF3EC54B1F12}" name="ContractReference" dataDxfId="84"/>
    <tableColumn id="9" xr3:uid="{7647C219-8570-477D-82D4-266955747288}" name="Staff Member Name" dataDxfId="83">
      <calculatedColumnFormula>_xlfn.XLOOKUP(CONTADJ[[#This Row],[StaffMemberCode]],StaffMembers!O:O,StaffMembers!R:R)</calculatedColumnFormula>
    </tableColumn>
    <tableColumn id="11" xr3:uid="{C014DE53-6E7E-4500-A1AB-B07D3F65A9FD}" name="StaffRoleCode" dataDxfId="82"/>
    <tableColumn id="12" xr3:uid="{16C7BF53-CF1F-466E-AE37-F93D5C5AAB1A}" name="DepartmentCode" dataDxfId="81"/>
    <tableColumn id="13" xr3:uid="{D9267144-110A-4B58-923B-888E22A6B0AB}" name="ContractDateFrom" dataDxfId="80"/>
    <tableColumn id="14" xr3:uid="{F666F62F-A7D1-4DF1-AEF1-BD4FB770E90E}" name="ContractDateTo" dataDxfId="79"/>
    <tableColumn id="15" xr3:uid="{1CE7F705-1436-46B2-B2FC-E5671548729B}" name="AdjustmentTypeCode" dataDxfId="78"/>
    <tableColumn id="16" xr3:uid="{409BD99A-5DF5-44C5-822E-E2F21FDDA5EC}" name="AdjustmentDateFrom" dataDxfId="77"/>
    <tableColumn id="17" xr3:uid="{B0B34928-5498-43D5-A9B2-024F69FA9A3C}" name="AdjustmentDateTo" dataDxfId="76"/>
    <tableColumn id="18" xr3:uid="{C46F8A4C-E77C-4F30-B138-0406D90E05E1}" name="AnnualValuePreAnnualFte" dataDxfId="75"/>
    <tableColumn id="19" xr3:uid="{EA85C5FC-E765-4A38-968A-A3EFDDAE451D}" name="AnnualValuePostAnnualFte" dataDxfId="74"/>
    <tableColumn id="20" xr3:uid="{ECC859FB-4599-4425-8EC1-79220A818C87}" name="Notes" dataDxfId="73"/>
  </tableColumns>
  <tableStyleInfo name="IMP Colours"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42704CB-B1B0-4209-B721-D8972E3DFA7E}" name="LEAVES" displayName="LEAVES" ref="A1:W34" totalsRowShown="0" headerRowDxfId="72" dataDxfId="71">
  <autoFilter ref="A1:W34" xr:uid="{142704CB-B1B0-4209-B721-D8972E3DFA7E}"/>
  <tableColumns count="23">
    <tableColumn id="1" xr3:uid="{BA259FDC-E254-4343-A9C2-1B6B36A5F4DF}" name="Schools Check" dataDxfId="70">
      <calculatedColumnFormula>IF(LEAVES[[#This Row],[AvailableToAllSchools]]=FALSE,IF(ISBLANK(LEAVES[[#This Row],[SchoolCodes]]),1,0),IF(LEAVES[[#This Row],[AvailableToAllSchools]]=TRUE,IF(ISBLANK(LEAVES[[#This Row],[SchoolCodes]]),0,1)))</calculatedColumnFormula>
    </tableColumn>
    <tableColumn id="23" xr3:uid="{0BC979EE-5E28-4C9E-83C5-C6FC8F70DE52}" name="TRUE /FALSE Typo" dataDxfId="69">
      <calculatedColumnFormula>IF(OR(LEAVES[[#This Row],[LeaveTypeEnabled]]=TRUE,LEAVES[[#This Row],[LeaveTypeEnabled]]=FALSE),IF(OR(LEAVES[[#This Row],[AvailableToAllSchools]]=TRUE,LEAVES[[#This Row],[AvailableToAllSchools]]=FALSE),IF(OR(LEAVES[[#This Row],[UseGrossValueForPension]]=TRUE,LEAVES[[#This Row],[UseGrossValueForPension]]=FALSE),0,1),1),1)</calculatedColumnFormula>
    </tableColumn>
    <tableColumn id="22" xr3:uid="{17E13DCB-73A8-4901-AE4F-141B28632973}" name="Blank in column" dataDxfId="68">
      <calculatedColumnFormula>COUNTBLANK(LEAVES[[#This Row],[RebatePercentage]:[TopUpToPercentage]])</calculatedColumnFormula>
    </tableColumn>
    <tableColumn id="18" xr3:uid="{ABD0C80C-7761-4472-A40E-3E60366B6018}" name="Code Length" dataDxfId="67">
      <calculatedColumnFormula>IF(LEN(LEAVES[[#This Row],[LeaveTypeCode]])&lt;100,0,1)</calculatedColumnFormula>
    </tableColumn>
    <tableColumn id="17" xr3:uid="{159EB105-E355-418D-B0DA-66F27FE07C92}" name="Title Length" dataDxfId="66">
      <calculatedColumnFormula>IF(LEN(LEAVES[[#This Row],[LeaveTypeTitle]])&lt;100,0,1)</calculatedColumnFormula>
    </tableColumn>
    <tableColumn id="21" xr3:uid="{B55DBA7B-0DC9-44EA-91FB-129565CB7D79}" name="Space in Code" dataDxfId="65">
      <calculatedColumnFormula>IF(SUBSTITUTE(TEXT(LEAVES[[#This Row],[LeaveTypeCode]],10)," ","")=TEXT(LEAVES[[#This Row],[LeaveTypeCode]],10),0,1)</calculatedColumnFormula>
    </tableColumn>
    <tableColumn id="19" xr3:uid="{91DF8025-3631-481F-9566-3921A741AFF7}" name="Leave Types Overlap" dataDxfId="64">
      <calculatedColumnFormula array="1">IF(SUM((LEAVES[LeaveTypeCode]=LEAVES[[#This Row],[LeaveTypeCode]]) *
        (LEAVES[WeeksFrom] &lt;= LEAVES[[#This Row],[WeeksTo]]) *
        (LEAVES[WeeksTo] &gt;= LEAVES[[#This Row],[WeeksFrom]])) &gt; 1,
    1,
    0
)</calculatedColumnFormula>
    </tableColumn>
    <tableColumn id="20" xr3:uid="{20A398FD-1C21-406B-AE69-D491FD08A1BE}" name="Will Import if 0" dataDxfId="63">
      <calculatedColumnFormula>SUM(LEAVES[[#This Row],[Schools Check]:[Leave Types Overlap]])</calculatedColumnFormula>
    </tableColumn>
    <tableColumn id="15" xr3:uid="{F365D662-B262-47C0-8388-84E9ABC56E53}" name="ScenarioCode"/>
    <tableColumn id="2" xr3:uid="{3D75F62A-A97B-440E-BA7D-EBFFA33045C5}" name="LeaveTypeCode" dataDxfId="62"/>
    <tableColumn id="3" xr3:uid="{23BEE5B4-39FB-4625-B67D-B9905EDE6217}" name="LeaveTypeTitle" dataDxfId="61"/>
    <tableColumn id="4" xr3:uid="{F64C6042-B6A1-4F70-8AD7-E95AF378ADF5}" name="AvailableToAllSchools" dataDxfId="60"/>
    <tableColumn id="5" xr3:uid="{24E71CB2-2578-4FC0-84D3-7ADAAB1C7DA6}" name="SchoolCodes" dataDxfId="59"/>
    <tableColumn id="6" xr3:uid="{ACBFA5DF-7E3A-467C-B147-76DD4257990D}" name="RebatePercentage" dataDxfId="58"/>
    <tableColumn id="7" xr3:uid="{CC5EF973-8880-41AE-8B67-9A80BB42C1AB}" name="LeaveTypeEnabled" dataDxfId="57"/>
    <tableColumn id="16" xr3:uid="{0F0191E8-8C06-4C36-BC03-A52539A10DEF}" name="UseGrossValueForPension"/>
    <tableColumn id="8" xr3:uid="{1E7F8128-DF57-4AA8-A124-2ABEA6D443B9}" name="WeeksFrom" dataDxfId="56"/>
    <tableColumn id="9" xr3:uid="{04CE6CFD-0FD1-4F03-BFA0-4660EE69E1FC}" name="WeeksTo" dataDxfId="55"/>
    <tableColumn id="10" xr3:uid="{B7182B73-6BF6-485E-9611-C637402D04E4}" name="StatutoryPayPercentage" dataDxfId="54"/>
    <tableColumn id="11" xr3:uid="{E8F0B0E6-CD28-4E44-B851-2EABD58D25F5}" name="OtherPayPercentage" dataDxfId="53"/>
    <tableColumn id="12" xr3:uid="{3AB045E0-65BA-4EF7-B3EA-5009923F5826}" name="MinimumStatutoryWeeklyValue" dataDxfId="52"/>
    <tableColumn id="13" xr3:uid="{A0E2614B-E5B4-4BA8-843F-BC67607B4280}" name="MaximumStatutoryWeeklyValue" dataDxfId="51"/>
    <tableColumn id="14" xr3:uid="{6D408457-82D8-47FE-BAA5-140DF38CAFEE}" name="TopUpToPercentage" dataDxfId="50"/>
  </tableColumns>
  <tableStyleInfo name="IMP Colours"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5C875A15-DD80-4847-A7A3-048644984430}" name="SM_LEAVES" displayName="SM_LEAVES" ref="A1:R11" totalsRowShown="0" headerRowDxfId="49" dataDxfId="48">
  <autoFilter ref="A1:R11" xr:uid="{5C875A15-DD80-4847-A7A3-048644984430}"/>
  <tableColumns count="18">
    <tableColumn id="14" xr3:uid="{51532E03-6C7E-4AA2-8469-9D60247C499F}" name="Duplicate Employee" dataDxfId="47">
      <calculatedColumnFormula>COUNTIF(SM_LEAVES[StaffMemberCode],SM_LEAVES[[#This Row],[StaffMemberCode]])-1</calculatedColumnFormula>
    </tableColumn>
    <tableColumn id="10" xr3:uid="{41021948-5AAC-43E5-9D84-0C1CFC52AD86}" name="Staff Member Code Issue" dataDxfId="46">
      <calculatedColumnFormula>1-COUNTIF(MEMBERS[StaffMemberCode],SM_LEAVES[[#This Row],[StaffMemberCode]])</calculatedColumnFormula>
    </tableColumn>
    <tableColumn id="20" xr3:uid="{7B43F935-54E7-4BFD-B96E-E3849C2E97DC}" name="Leave Type Code Issue" dataDxfId="45">
      <calculatedColumnFormula>IF(COUNTIF(LeaveTypes!J:J,SM_LEAVES[[#This Row],[LeaveTypeCode]])&gt;0,"0","1")</calculatedColumnFormula>
    </tableColumn>
    <tableColumn id="19" xr3:uid="{24A71BBC-2AB3-4849-A239-5FE065603568}" name="Dates From/To Issue" dataDxfId="44">
      <calculatedColumnFormula>IF(ISBLANK(SM_LEAVES[[#This Row],[DateTo]]),0,IF(SM_LEAVES[[#This Row],[DateFrom]]&lt;SM_LEAVES[[#This Row],[DateTo]],0,1))</calculatedColumnFormula>
    </tableColumn>
    <tableColumn id="13" xr3:uid="{98D49EE3-D915-4524-AB68-D0517F061A88}" name="Date Format Issue" dataDxfId="43">
      <calculatedColumnFormula array="1">IF(CELL("format",SM_LEAVES[[#This Row],[DateFrom]])="D1",0,1)+IF(CELL("format",SM_LEAVES[[#This Row],[DateTo]])="D1",0,1)</calculatedColumnFormula>
    </tableColumn>
    <tableColumn id="18" xr3:uid="{B8D6CE42-BD79-4458-BD8F-62E457D74F81}" name="TRUE /FALSE Typo" dataDxfId="42">
      <calculatedColumnFormula>IF(OR(SM_LEAVES[[#This Row],[PensionOptOut]]=TRUE,SM_LEAVES[[#This Row],[PensionOptOut]]=FALSE),0,1)</calculatedColumnFormula>
    </tableColumn>
    <tableColumn id="17" xr3:uid="{2E45B2B6-54E6-4623-A6F7-8C2C0F04B176}" name="Blank in column" dataDxfId="41">
      <calculatedColumnFormula>COUNTBLANK(SM_LEAVES[[#This Row],[StaffMemberCode]:[DateTo]])+COUNTBLANK(SM_LEAVES[[#This Row],[PensionOptOut]])</calculatedColumnFormula>
    </tableColumn>
    <tableColumn id="9" xr3:uid="{B8521E14-B85B-4E83-A579-0F522D337AFF}" name="Will Import if 0" dataDxfId="40">
      <calculatedColumnFormula>SUM(SM_LEAVES[[#This Row],[Duplicate Employee]:[Blank in column]])</calculatedColumnFormula>
    </tableColumn>
    <tableColumn id="12" xr3:uid="{49AA471F-CC70-4B53-8BE6-A7CE44B1C9E5}" name="Leave Before contract start date" dataDxfId="39">
      <calculatedColumnFormula>IF(SM_LEAVES[[#This Row],[DateFrom]]&gt;=_xlfn.XLOOKUP(SM_LEAVES[[#This Row],[StaffMemberCode]],CONT_SUP[StaffMemberCode],CONT_SUP[DateFrom],_xlfn.XLOOKUP(SM_LEAVES[[#This Row],[StaffMemberCode]],CONT_TEA[StaffMemberCode],CONT_TEA[DateFrom])),0,1)</calculatedColumnFormula>
    </tableColumn>
    <tableColumn id="1" xr3:uid="{8C7C6D3C-AD9D-4FDD-9830-1462DE6F2687}" name="ScenarioCode" dataDxfId="38"/>
    <tableColumn id="2" xr3:uid="{46DE713E-36E8-4907-863D-4397E66C67F0}" name="StaffMemberCode" dataDxfId="37"/>
    <tableColumn id="3" xr3:uid="{6556ABDC-BB4E-477E-8CCC-BD54431ACF37}" name="LeaveTypeCode" dataDxfId="36"/>
    <tableColumn id="11" xr3:uid="{E78CE99E-4379-4170-AD46-B22C4A64A637}" name="Actual Leave Start" dataDxfId="35"/>
    <tableColumn id="4" xr3:uid="{ED2EA22A-ECE2-4D3B-927A-745147925531}" name="DateFrom" dataDxfId="34"/>
    <tableColumn id="5" xr3:uid="{2B88F4F8-B5C7-47E3-802B-C30B6B1329E1}" name="DateTo" dataDxfId="33"/>
    <tableColumn id="6" xr3:uid="{D9317AD0-3285-40E1-B5AF-978335695079}" name="BaseWeeklyEarnings" dataDxfId="32"/>
    <tableColumn id="7" xr3:uid="{644B66C2-4057-48DF-BB8D-D1ABDB8CB7EF}" name="PensionOptOut" dataDxfId="31"/>
    <tableColumn id="8" xr3:uid="{53B3882C-5FC8-4C21-88F9-D012F2E5068A}" name="NAME" dataDxfId="30">
      <calculatedColumnFormula>_xlfn.XLOOKUP(SM_LEAVES[[#This Row],[StaffMemberCode]],StaffMembers!O:O,StaffMembers!R:R)</calculatedColumnFormula>
    </tableColumn>
  </tableColumns>
  <tableStyleInfo name="IMP Colours"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1F16254-B050-4C1A-8615-8AFC0279641F}" name="Years" displayName="Years" ref="M1:M7" totalsRowShown="0" headerRowDxfId="29">
  <autoFilter ref="M1:M7" xr:uid="{41F16254-B050-4C1A-8615-8AFC0279641F}"/>
  <tableColumns count="1">
    <tableColumn id="1" xr3:uid="{F55FDF28-4147-456D-BC08-E63C2DBE78BD}" name="Years"/>
  </tableColumns>
  <tableStyleInfo name="TableStyleMedium2" showFirstColumn="0" showLastColumn="0" showRowStripes="0"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E7003C9F-2994-44EC-B90F-76955122B0A3}" name="CalculatorTypeCode" displayName="CalculatorTypeCode" ref="O1:O6" totalsRowShown="0">
  <autoFilter ref="O1:O6" xr:uid="{E7003C9F-2994-44EC-B90F-76955122B0A3}"/>
  <tableColumns count="1">
    <tableColumn id="1" xr3:uid="{2594B1CE-9E83-4941-86FC-50A9F345CC1A}" name="CalculatorTypeCode"/>
  </tableColumns>
  <tableStyleInfo name="IMP Colours"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api.impplanner.co.uk/" TargetMode="Externa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vmlDrawing" Target="../drawings/vmlDrawing1.vml"/><Relationship Id="rId1" Type="http://schemas.openxmlformats.org/officeDocument/2006/relationships/printerSettings" Target="../printerSettings/printerSettings9.bin"/><Relationship Id="rId4" Type="http://schemas.openxmlformats.org/officeDocument/2006/relationships/comments" Target="../comments1.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vmlDrawing" Target="../drawings/vmlDrawing2.v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9.xml"/><Relationship Id="rId1" Type="http://schemas.openxmlformats.org/officeDocument/2006/relationships/vmlDrawing" Target="../drawings/vmlDrawing3.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20.xml"/><Relationship Id="rId1" Type="http://schemas.openxmlformats.org/officeDocument/2006/relationships/vmlDrawing" Target="../drawings/vmlDrawing4.v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vmlDrawing" Target="../drawings/vmlDrawing5.v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22.xml"/><Relationship Id="rId1" Type="http://schemas.openxmlformats.org/officeDocument/2006/relationships/vmlDrawing" Target="../drawings/vmlDrawing6.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23.xml"/><Relationship Id="rId1" Type="http://schemas.openxmlformats.org/officeDocument/2006/relationships/vmlDrawing" Target="../drawings/vmlDrawing7.vml"/></Relationships>
</file>

<file path=xl/worksheets/_rels/sheet2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24.xml"/><Relationship Id="rId1" Type="http://schemas.openxmlformats.org/officeDocument/2006/relationships/vmlDrawing" Target="../drawings/vmlDrawing8.vml"/></Relationships>
</file>

<file path=xl/worksheets/_rels/sheet2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25.xml"/><Relationship Id="rId1" Type="http://schemas.openxmlformats.org/officeDocument/2006/relationships/vmlDrawing" Target="../drawings/vmlDrawing9.v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26.xml"/><Relationship Id="rId1" Type="http://schemas.openxmlformats.org/officeDocument/2006/relationships/vmlDrawing" Target="../drawings/vmlDrawing10.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27.xml"/><Relationship Id="rId1" Type="http://schemas.openxmlformats.org/officeDocument/2006/relationships/vmlDrawing" Target="../drawings/vmlDrawing11.v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28.xml"/><Relationship Id="rId1" Type="http://schemas.openxmlformats.org/officeDocument/2006/relationships/vmlDrawing" Target="../drawings/vmlDrawing12.v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vmlDrawing" Target="../drawings/vmlDrawing13.vml"/><Relationship Id="rId1" Type="http://schemas.openxmlformats.org/officeDocument/2006/relationships/printerSettings" Target="../printerSettings/printerSettings12.bin"/><Relationship Id="rId4" Type="http://schemas.openxmlformats.org/officeDocument/2006/relationships/comments" Target="../comments13.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vmlDrawing" Target="../drawings/vmlDrawing14.vml"/><Relationship Id="rId1" Type="http://schemas.openxmlformats.org/officeDocument/2006/relationships/printerSettings" Target="../printerSettings/printerSettings13.bin"/><Relationship Id="rId4" Type="http://schemas.openxmlformats.org/officeDocument/2006/relationships/comments" Target="../comments14.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vmlDrawing" Target="../drawings/vmlDrawing15.vml"/><Relationship Id="rId1" Type="http://schemas.openxmlformats.org/officeDocument/2006/relationships/printerSettings" Target="../printerSettings/printerSettings14.bin"/><Relationship Id="rId4" Type="http://schemas.openxmlformats.org/officeDocument/2006/relationships/comments" Target="../comments15.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34.xml"/><Relationship Id="rId1" Type="http://schemas.openxmlformats.org/officeDocument/2006/relationships/vmlDrawing" Target="../drawings/vmlDrawing16.vml"/></Relationships>
</file>

<file path=xl/worksheets/_rels/sheet3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vmlDrawing" Target="../drawings/vmlDrawing17.vml"/><Relationship Id="rId1" Type="http://schemas.openxmlformats.org/officeDocument/2006/relationships/printerSettings" Target="../printerSettings/printerSettings15.bin"/><Relationship Id="rId4" Type="http://schemas.openxmlformats.org/officeDocument/2006/relationships/comments" Target="../comments17.xml"/></Relationships>
</file>

<file path=xl/worksheets/_rels/sheet37.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36.xml"/><Relationship Id="rId1" Type="http://schemas.openxmlformats.org/officeDocument/2006/relationships/vmlDrawing" Target="../drawings/vmlDrawing18.vml"/></Relationships>
</file>

<file path=xl/worksheets/_rels/sheet38.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37.xml"/><Relationship Id="rId1" Type="http://schemas.openxmlformats.org/officeDocument/2006/relationships/vmlDrawing" Target="../drawings/vmlDrawing19.v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1.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table" Target="../tables/table3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36D6-7D8F-4B69-B197-F6695A59398A}">
  <sheetPr codeName="Sheet3"/>
  <dimension ref="A1:E10"/>
  <sheetViews>
    <sheetView workbookViewId="0">
      <selection activeCell="B8" sqref="B8"/>
    </sheetView>
  </sheetViews>
  <sheetFormatPr defaultRowHeight="14.4" x14ac:dyDescent="0.3"/>
  <cols>
    <col min="1" max="1" width="26" customWidth="1"/>
    <col min="2" max="2" width="85.5546875" customWidth="1"/>
    <col min="3" max="3" width="2.33203125" customWidth="1"/>
    <col min="4" max="4" width="37.33203125" bestFit="1" customWidth="1"/>
  </cols>
  <sheetData>
    <row r="1" spans="1:5" x14ac:dyDescent="0.3">
      <c r="A1" s="83" t="s">
        <v>1379</v>
      </c>
      <c r="B1" s="84">
        <v>1.1000000000000001</v>
      </c>
    </row>
    <row r="3" spans="1:5" x14ac:dyDescent="0.3">
      <c r="A3" s="30" t="s">
        <v>0</v>
      </c>
      <c r="B3" s="30" t="s">
        <v>1</v>
      </c>
      <c r="D3" t="s">
        <v>2</v>
      </c>
      <c r="E3" t="s">
        <v>1307</v>
      </c>
    </row>
    <row r="4" spans="1:5" ht="86.4" x14ac:dyDescent="0.3">
      <c r="A4" s="31" t="s">
        <v>4</v>
      </c>
      <c r="B4" s="93" t="s">
        <v>1771</v>
      </c>
    </row>
    <row r="5" spans="1:5" x14ac:dyDescent="0.3">
      <c r="A5" s="32" t="s">
        <v>5</v>
      </c>
      <c r="B5" s="32" t="s">
        <v>1317</v>
      </c>
    </row>
    <row r="6" spans="1:5" x14ac:dyDescent="0.3">
      <c r="A6" s="33" t="s">
        <v>7</v>
      </c>
      <c r="B6" s="34" t="s">
        <v>8</v>
      </c>
    </row>
    <row r="7" spans="1:5" x14ac:dyDescent="0.3">
      <c r="A7" s="33" t="s">
        <v>9</v>
      </c>
      <c r="B7" s="100">
        <v>46007</v>
      </c>
      <c r="D7" t="s">
        <v>1770</v>
      </c>
    </row>
    <row r="9" spans="1:5" hidden="1" x14ac:dyDescent="0.3">
      <c r="A9" t="s">
        <v>1351</v>
      </c>
      <c r="B9" t="s">
        <v>54</v>
      </c>
    </row>
    <row r="10" spans="1:5" hidden="1" x14ac:dyDescent="0.3">
      <c r="A10" t="s">
        <v>1352</v>
      </c>
      <c r="B10" s="35" t="s">
        <v>1353</v>
      </c>
    </row>
  </sheetData>
  <conditionalFormatting sqref="E3">
    <cfRule type="cellIs" dxfId="28" priority="1" operator="equal">
      <formula>"Yes"</formula>
    </cfRule>
    <cfRule type="cellIs" dxfId="27" priority="2" operator="equal">
      <formula>"No"</formula>
    </cfRule>
  </conditionalFormatting>
  <dataValidations count="3">
    <dataValidation type="list" allowBlank="1" showInputMessage="1" showErrorMessage="1" sqref="B5" xr:uid="{BFEAA90D-9E8D-4F30-A7C1-31595CB47E67}">
      <formula1>dvYears</formula1>
    </dataValidation>
    <dataValidation type="list" allowBlank="1" showInputMessage="1" showErrorMessage="1" sqref="E3" xr:uid="{B34493FC-15B2-42E8-8008-10BBAD1D16D5}">
      <formula1>"Yes,No"</formula1>
    </dataValidation>
    <dataValidation type="list" allowBlank="1" showInputMessage="1" showErrorMessage="1" sqref="B10" xr:uid="{46D05C32-EC85-4C61-9EA2-805B8CD3A986}">
      <formula1>"SIMPLE,COMPLEX"</formula1>
    </dataValidation>
  </dataValidations>
  <hyperlinks>
    <hyperlink ref="B6" r:id="rId1" xr:uid="{C22EDA50-E04A-4C86-B7AE-87AA1A54F057}"/>
  </hyperlinks>
  <pageMargins left="0.7" right="0.7" top="0.75" bottom="0.75" header="0.3" footer="0.3"/>
  <pageSetup paperSize="9" orientation="portrait"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5198F-2BAF-4DFC-B339-4D94BBEF926C}">
  <dimension ref="A1:K235"/>
  <sheetViews>
    <sheetView workbookViewId="0">
      <selection activeCell="P172" sqref="P172"/>
    </sheetView>
  </sheetViews>
  <sheetFormatPr defaultRowHeight="14.4" outlineLevelRow="1" x14ac:dyDescent="0.3"/>
  <cols>
    <col min="1" max="1" width="9.109375" style="94"/>
  </cols>
  <sheetData>
    <row r="1" spans="1:11" ht="29.4" thickBot="1" x14ac:dyDescent="0.6">
      <c r="A1" s="166" t="s">
        <v>1537</v>
      </c>
      <c r="B1" s="167"/>
      <c r="C1" s="167"/>
      <c r="D1" s="167"/>
      <c r="E1" s="167"/>
      <c r="F1" s="167"/>
      <c r="G1" s="167"/>
      <c r="H1" s="167"/>
      <c r="I1" s="167"/>
      <c r="J1" s="167"/>
      <c r="K1" s="168"/>
    </row>
    <row r="2" spans="1:11" ht="15" thickBot="1" x14ac:dyDescent="0.35"/>
    <row r="3" spans="1:11" ht="15" thickBot="1" x14ac:dyDescent="0.35">
      <c r="A3" s="160" t="s">
        <v>1538</v>
      </c>
      <c r="B3" s="161"/>
      <c r="C3" s="161"/>
      <c r="D3" s="161"/>
      <c r="E3" s="161"/>
      <c r="F3" s="161"/>
      <c r="G3" s="161"/>
      <c r="H3" s="161"/>
      <c r="I3" s="161"/>
      <c r="J3" s="161"/>
      <c r="K3" s="162"/>
    </row>
    <row r="5" spans="1:11" x14ac:dyDescent="0.3">
      <c r="A5" s="94" t="s">
        <v>1539</v>
      </c>
    </row>
    <row r="6" spans="1:11" x14ac:dyDescent="0.3">
      <c r="A6" s="94">
        <v>1</v>
      </c>
      <c r="B6" s="165" t="s">
        <v>1540</v>
      </c>
      <c r="C6" s="165"/>
      <c r="D6" s="165"/>
      <c r="E6" s="165"/>
      <c r="F6" s="165"/>
      <c r="G6" s="165"/>
      <c r="H6" s="165"/>
      <c r="I6" s="165"/>
      <c r="J6" s="165"/>
      <c r="K6" s="165"/>
    </row>
    <row r="7" spans="1:11" hidden="1" outlineLevel="1" x14ac:dyDescent="0.3"/>
    <row r="8" spans="1:11" hidden="1" outlineLevel="1" x14ac:dyDescent="0.3"/>
    <row r="9" spans="1:11" hidden="1" outlineLevel="1" x14ac:dyDescent="0.3"/>
    <row r="10" spans="1:11" hidden="1" outlineLevel="1" x14ac:dyDescent="0.3"/>
    <row r="11" spans="1:11" hidden="1" outlineLevel="1" x14ac:dyDescent="0.3"/>
    <row r="12" spans="1:11" hidden="1" outlineLevel="1" x14ac:dyDescent="0.3"/>
    <row r="13" spans="1:11" hidden="1" outlineLevel="1" x14ac:dyDescent="0.3"/>
    <row r="14" spans="1:11" hidden="1" outlineLevel="1" x14ac:dyDescent="0.3"/>
    <row r="15" spans="1:11" hidden="1" outlineLevel="1" x14ac:dyDescent="0.3"/>
    <row r="16" spans="1:11" hidden="1" outlineLevel="1" x14ac:dyDescent="0.3"/>
    <row r="17" spans="1:11" hidden="1" outlineLevel="1" x14ac:dyDescent="0.3"/>
    <row r="18" spans="1:11" hidden="1" outlineLevel="1" x14ac:dyDescent="0.3"/>
    <row r="19" spans="1:11" hidden="1" outlineLevel="1" x14ac:dyDescent="0.3"/>
    <row r="20" spans="1:11" hidden="1" outlineLevel="1" x14ac:dyDescent="0.3"/>
    <row r="21" spans="1:11" hidden="1" outlineLevel="1" x14ac:dyDescent="0.3"/>
    <row r="22" spans="1:11" hidden="1" outlineLevel="1" x14ac:dyDescent="0.3"/>
    <row r="23" spans="1:11" hidden="1" outlineLevel="1" x14ac:dyDescent="0.3"/>
    <row r="24" spans="1:11" hidden="1" outlineLevel="1" x14ac:dyDescent="0.3"/>
    <row r="25" spans="1:11" hidden="1" outlineLevel="1" x14ac:dyDescent="0.3"/>
    <row r="26" spans="1:11" hidden="1" outlineLevel="1" x14ac:dyDescent="0.3"/>
    <row r="27" spans="1:11" collapsed="1" x14ac:dyDescent="0.3"/>
    <row r="28" spans="1:11" x14ac:dyDescent="0.3">
      <c r="A28" s="94">
        <v>2</v>
      </c>
      <c r="B28" s="165" t="s">
        <v>1541</v>
      </c>
      <c r="C28" s="165"/>
      <c r="D28" s="165"/>
      <c r="E28" s="165"/>
      <c r="F28" s="165"/>
      <c r="G28" s="165"/>
      <c r="H28" s="165"/>
      <c r="I28" s="165"/>
      <c r="J28" s="165"/>
      <c r="K28" s="165"/>
    </row>
    <row r="29" spans="1:11" hidden="1" outlineLevel="1" x14ac:dyDescent="0.3"/>
    <row r="30" spans="1:11" hidden="1" outlineLevel="1" x14ac:dyDescent="0.3"/>
    <row r="31" spans="1:11" hidden="1" outlineLevel="1" x14ac:dyDescent="0.3"/>
    <row r="32" spans="1:11" hidden="1" outlineLevel="1" x14ac:dyDescent="0.3"/>
    <row r="33" hidden="1" outlineLevel="1" x14ac:dyDescent="0.3"/>
    <row r="34" hidden="1" outlineLevel="1" x14ac:dyDescent="0.3"/>
    <row r="35" hidden="1" outlineLevel="1" x14ac:dyDescent="0.3"/>
    <row r="36" hidden="1" outlineLevel="1" x14ac:dyDescent="0.3"/>
    <row r="37" hidden="1" outlineLevel="1" x14ac:dyDescent="0.3"/>
    <row r="38" hidden="1" outlineLevel="1" x14ac:dyDescent="0.3"/>
    <row r="39" hidden="1" outlineLevel="1" x14ac:dyDescent="0.3"/>
    <row r="40" hidden="1" outlineLevel="1" x14ac:dyDescent="0.3"/>
    <row r="41" hidden="1" outlineLevel="1" x14ac:dyDescent="0.3"/>
    <row r="42" hidden="1" outlineLevel="1" x14ac:dyDescent="0.3"/>
    <row r="43" hidden="1" outlineLevel="1" x14ac:dyDescent="0.3"/>
    <row r="44" hidden="1" outlineLevel="1" x14ac:dyDescent="0.3"/>
    <row r="45" hidden="1" outlineLevel="1" x14ac:dyDescent="0.3"/>
    <row r="46" hidden="1" outlineLevel="1" x14ac:dyDescent="0.3"/>
    <row r="47" hidden="1" outlineLevel="1" x14ac:dyDescent="0.3"/>
    <row r="48" hidden="1" outlineLevel="1" x14ac:dyDescent="0.3"/>
    <row r="49" spans="1:11" hidden="1" outlineLevel="1" x14ac:dyDescent="0.3"/>
    <row r="50" spans="1:11" collapsed="1" x14ac:dyDescent="0.3"/>
    <row r="51" spans="1:11" x14ac:dyDescent="0.3">
      <c r="A51" s="94">
        <v>3</v>
      </c>
      <c r="B51" s="165" t="s">
        <v>1542</v>
      </c>
      <c r="C51" s="165"/>
      <c r="D51" s="165"/>
      <c r="E51" s="165"/>
      <c r="F51" s="165"/>
      <c r="G51" s="165"/>
      <c r="H51" s="165"/>
      <c r="I51" s="165"/>
      <c r="J51" s="165"/>
      <c r="K51" s="165"/>
    </row>
    <row r="52" spans="1:11" hidden="1" outlineLevel="1" x14ac:dyDescent="0.3"/>
    <row r="53" spans="1:11" hidden="1" outlineLevel="1" x14ac:dyDescent="0.3"/>
    <row r="54" spans="1:11" hidden="1" outlineLevel="1" x14ac:dyDescent="0.3"/>
    <row r="55" spans="1:11" hidden="1" outlineLevel="1" x14ac:dyDescent="0.3"/>
    <row r="56" spans="1:11" hidden="1" outlineLevel="1" x14ac:dyDescent="0.3"/>
    <row r="57" spans="1:11" hidden="1" outlineLevel="1" x14ac:dyDescent="0.3"/>
    <row r="58" spans="1:11" hidden="1" outlineLevel="1" x14ac:dyDescent="0.3"/>
    <row r="59" spans="1:11" hidden="1" outlineLevel="1" x14ac:dyDescent="0.3"/>
    <row r="60" spans="1:11" hidden="1" outlineLevel="1" x14ac:dyDescent="0.3"/>
    <row r="61" spans="1:11" hidden="1" outlineLevel="1" x14ac:dyDescent="0.3"/>
    <row r="62" spans="1:11" hidden="1" outlineLevel="1" x14ac:dyDescent="0.3"/>
    <row r="63" spans="1:11" hidden="1" outlineLevel="1" x14ac:dyDescent="0.3"/>
    <row r="64" spans="1:11" hidden="1" outlineLevel="1" x14ac:dyDescent="0.3"/>
    <row r="65" hidden="1" outlineLevel="1" x14ac:dyDescent="0.3"/>
    <row r="66" hidden="1" outlineLevel="1" x14ac:dyDescent="0.3"/>
    <row r="67" hidden="1" outlineLevel="1" x14ac:dyDescent="0.3"/>
    <row r="68" hidden="1" outlineLevel="1" x14ac:dyDescent="0.3"/>
    <row r="69" hidden="1" outlineLevel="1" x14ac:dyDescent="0.3"/>
    <row r="70" hidden="1" outlineLevel="1" x14ac:dyDescent="0.3"/>
    <row r="71" hidden="1" outlineLevel="1" x14ac:dyDescent="0.3"/>
    <row r="72" hidden="1" outlineLevel="1" x14ac:dyDescent="0.3"/>
    <row r="73" hidden="1" outlineLevel="1" x14ac:dyDescent="0.3"/>
    <row r="74" hidden="1" outlineLevel="1" x14ac:dyDescent="0.3"/>
    <row r="75" hidden="1" outlineLevel="1" x14ac:dyDescent="0.3"/>
    <row r="76" hidden="1" outlineLevel="1" x14ac:dyDescent="0.3"/>
    <row r="77" hidden="1" outlineLevel="1" x14ac:dyDescent="0.3"/>
    <row r="78" hidden="1" outlineLevel="1" x14ac:dyDescent="0.3"/>
    <row r="79" hidden="1" outlineLevel="1" x14ac:dyDescent="0.3"/>
    <row r="80" hidden="1" outlineLevel="1" x14ac:dyDescent="0.3"/>
    <row r="81" hidden="1" outlineLevel="1" x14ac:dyDescent="0.3"/>
    <row r="82" hidden="1" outlineLevel="1" x14ac:dyDescent="0.3"/>
    <row r="83" hidden="1" outlineLevel="1" x14ac:dyDescent="0.3"/>
    <row r="84" hidden="1" outlineLevel="1" x14ac:dyDescent="0.3"/>
    <row r="85" hidden="1" outlineLevel="1" x14ac:dyDescent="0.3"/>
    <row r="86" hidden="1" outlineLevel="1" x14ac:dyDescent="0.3"/>
    <row r="87" hidden="1" outlineLevel="1" x14ac:dyDescent="0.3"/>
    <row r="88" hidden="1" outlineLevel="1" x14ac:dyDescent="0.3"/>
    <row r="89" hidden="1" outlineLevel="1" x14ac:dyDescent="0.3"/>
    <row r="90" hidden="1" outlineLevel="1" x14ac:dyDescent="0.3"/>
    <row r="91" hidden="1" outlineLevel="1" x14ac:dyDescent="0.3"/>
    <row r="92" hidden="1" outlineLevel="1" x14ac:dyDescent="0.3"/>
    <row r="93" hidden="1" outlineLevel="1" x14ac:dyDescent="0.3"/>
    <row r="94" hidden="1" outlineLevel="1" x14ac:dyDescent="0.3"/>
    <row r="95" hidden="1" outlineLevel="1" x14ac:dyDescent="0.3"/>
    <row r="96" hidden="1" outlineLevel="1" x14ac:dyDescent="0.3"/>
    <row r="97" spans="1:11" hidden="1" outlineLevel="1" x14ac:dyDescent="0.3"/>
    <row r="98" spans="1:11" hidden="1" outlineLevel="1" x14ac:dyDescent="0.3"/>
    <row r="99" spans="1:11" hidden="1" outlineLevel="1" x14ac:dyDescent="0.3"/>
    <row r="100" spans="1:11" hidden="1" outlineLevel="1" x14ac:dyDescent="0.3"/>
    <row r="101" spans="1:11" hidden="1" outlineLevel="1" x14ac:dyDescent="0.3"/>
    <row r="102" spans="1:11" hidden="1" outlineLevel="1" x14ac:dyDescent="0.3"/>
    <row r="103" spans="1:11" collapsed="1" x14ac:dyDescent="0.3"/>
    <row r="104" spans="1:11" x14ac:dyDescent="0.3">
      <c r="A104" s="94">
        <v>4</v>
      </c>
      <c r="B104" s="165" t="s">
        <v>1543</v>
      </c>
      <c r="C104" s="165"/>
      <c r="D104" s="165"/>
      <c r="E104" s="165"/>
      <c r="F104" s="165"/>
      <c r="G104" s="165"/>
      <c r="H104" s="165"/>
      <c r="I104" s="165"/>
      <c r="J104" s="165"/>
      <c r="K104" s="165"/>
    </row>
    <row r="105" spans="1:11" hidden="1" outlineLevel="1" x14ac:dyDescent="0.3"/>
    <row r="106" spans="1:11" hidden="1" outlineLevel="1" x14ac:dyDescent="0.3"/>
    <row r="107" spans="1:11" hidden="1" outlineLevel="1" x14ac:dyDescent="0.3"/>
    <row r="108" spans="1:11" hidden="1" outlineLevel="1" x14ac:dyDescent="0.3"/>
    <row r="109" spans="1:11" hidden="1" outlineLevel="1" x14ac:dyDescent="0.3"/>
    <row r="110" spans="1:11" hidden="1" outlineLevel="1" x14ac:dyDescent="0.3"/>
    <row r="111" spans="1:11" hidden="1" outlineLevel="1" x14ac:dyDescent="0.3"/>
    <row r="112" spans="1:11" hidden="1" outlineLevel="1" x14ac:dyDescent="0.3"/>
    <row r="113" hidden="1" outlineLevel="1" x14ac:dyDescent="0.3"/>
    <row r="114" hidden="1" outlineLevel="1" x14ac:dyDescent="0.3"/>
    <row r="115" hidden="1" outlineLevel="1" x14ac:dyDescent="0.3"/>
    <row r="116" hidden="1" outlineLevel="1" x14ac:dyDescent="0.3"/>
    <row r="117" hidden="1" outlineLevel="1" x14ac:dyDescent="0.3"/>
    <row r="118" hidden="1" outlineLevel="1" x14ac:dyDescent="0.3"/>
    <row r="119" hidden="1" outlineLevel="1" x14ac:dyDescent="0.3"/>
    <row r="120" hidden="1" outlineLevel="1" x14ac:dyDescent="0.3"/>
    <row r="121" hidden="1" outlineLevel="1" x14ac:dyDescent="0.3"/>
    <row r="122" hidden="1" outlineLevel="1" x14ac:dyDescent="0.3"/>
    <row r="123" hidden="1" outlineLevel="1" x14ac:dyDescent="0.3"/>
    <row r="124" hidden="1" outlineLevel="1" x14ac:dyDescent="0.3"/>
    <row r="125" hidden="1" outlineLevel="1" x14ac:dyDescent="0.3"/>
    <row r="126" hidden="1" outlineLevel="1" x14ac:dyDescent="0.3"/>
    <row r="127" hidden="1" outlineLevel="1" x14ac:dyDescent="0.3"/>
    <row r="128" hidden="1" outlineLevel="1" x14ac:dyDescent="0.3"/>
    <row r="129" hidden="1" outlineLevel="1" x14ac:dyDescent="0.3"/>
    <row r="130" hidden="1" outlineLevel="1" x14ac:dyDescent="0.3"/>
    <row r="131" hidden="1" outlineLevel="1" x14ac:dyDescent="0.3"/>
    <row r="132" hidden="1" outlineLevel="1" x14ac:dyDescent="0.3"/>
    <row r="133" hidden="1" outlineLevel="1" x14ac:dyDescent="0.3"/>
    <row r="134" hidden="1" outlineLevel="1" x14ac:dyDescent="0.3"/>
    <row r="135" hidden="1" outlineLevel="1" x14ac:dyDescent="0.3"/>
    <row r="136" hidden="1" outlineLevel="1" x14ac:dyDescent="0.3"/>
    <row r="137" hidden="1" outlineLevel="1" x14ac:dyDescent="0.3"/>
    <row r="138" hidden="1" outlineLevel="1" x14ac:dyDescent="0.3"/>
    <row r="139" hidden="1" outlineLevel="1" x14ac:dyDescent="0.3"/>
    <row r="140" hidden="1" outlineLevel="1" x14ac:dyDescent="0.3"/>
    <row r="141" hidden="1" outlineLevel="1" x14ac:dyDescent="0.3"/>
    <row r="142" hidden="1" outlineLevel="1" x14ac:dyDescent="0.3"/>
    <row r="143" hidden="1" outlineLevel="1" x14ac:dyDescent="0.3"/>
    <row r="144" hidden="1" outlineLevel="1" x14ac:dyDescent="0.3"/>
    <row r="145" spans="1:11" hidden="1" outlineLevel="1" x14ac:dyDescent="0.3"/>
    <row r="146" spans="1:11" collapsed="1" x14ac:dyDescent="0.3"/>
    <row r="147" spans="1:11" ht="28.5" customHeight="1" x14ac:dyDescent="0.3">
      <c r="A147" s="94">
        <v>5</v>
      </c>
      <c r="B147" s="164" t="s">
        <v>1578</v>
      </c>
      <c r="C147" s="164"/>
      <c r="D147" s="164"/>
      <c r="E147" s="164"/>
      <c r="F147" s="164"/>
      <c r="G147" s="164"/>
      <c r="H147" s="164"/>
      <c r="I147" s="164"/>
      <c r="J147" s="164"/>
      <c r="K147" s="164"/>
    </row>
    <row r="148" spans="1:11" hidden="1" outlineLevel="1" x14ac:dyDescent="0.3"/>
    <row r="149" spans="1:11" hidden="1" outlineLevel="1" x14ac:dyDescent="0.3"/>
    <row r="150" spans="1:11" hidden="1" outlineLevel="1" x14ac:dyDescent="0.3"/>
    <row r="151" spans="1:11" hidden="1" outlineLevel="1" x14ac:dyDescent="0.3"/>
    <row r="152" spans="1:11" hidden="1" outlineLevel="1" x14ac:dyDescent="0.3"/>
    <row r="153" spans="1:11" hidden="1" outlineLevel="1" x14ac:dyDescent="0.3"/>
    <row r="154" spans="1:11" hidden="1" outlineLevel="1" x14ac:dyDescent="0.3"/>
    <row r="155" spans="1:11" hidden="1" outlineLevel="1" x14ac:dyDescent="0.3"/>
    <row r="156" spans="1:11" hidden="1" outlineLevel="1" x14ac:dyDescent="0.3"/>
    <row r="157" spans="1:11" hidden="1" outlineLevel="1" x14ac:dyDescent="0.3"/>
    <row r="158" spans="1:11" hidden="1" outlineLevel="1" x14ac:dyDescent="0.3"/>
    <row r="159" spans="1:11" hidden="1" outlineLevel="1" x14ac:dyDescent="0.3"/>
    <row r="160" spans="1:11" hidden="1" outlineLevel="1" x14ac:dyDescent="0.3"/>
    <row r="161" spans="1:11" hidden="1" outlineLevel="1" x14ac:dyDescent="0.3"/>
    <row r="162" spans="1:11" hidden="1" outlineLevel="1" x14ac:dyDescent="0.3"/>
    <row r="163" spans="1:11" ht="16.5" customHeight="1" collapsed="1" x14ac:dyDescent="0.3"/>
    <row r="164" spans="1:11" x14ac:dyDescent="0.3">
      <c r="A164" s="94">
        <v>6</v>
      </c>
      <c r="B164" s="164" t="s">
        <v>1580</v>
      </c>
      <c r="C164" s="164"/>
      <c r="D164" s="164"/>
      <c r="E164" s="164"/>
      <c r="F164" s="164"/>
      <c r="G164" s="164"/>
      <c r="H164" s="164"/>
      <c r="I164" s="164"/>
      <c r="J164" s="164"/>
      <c r="K164" s="164"/>
    </row>
    <row r="165" spans="1:11" hidden="1" outlineLevel="1" x14ac:dyDescent="0.3"/>
    <row r="166" spans="1:11" hidden="1" outlineLevel="1" x14ac:dyDescent="0.3"/>
    <row r="167" spans="1:11" hidden="1" outlineLevel="1" x14ac:dyDescent="0.3"/>
    <row r="168" spans="1:11" hidden="1" outlineLevel="1" x14ac:dyDescent="0.3"/>
    <row r="169" spans="1:11" hidden="1" outlineLevel="1" x14ac:dyDescent="0.3"/>
    <row r="170" spans="1:11" hidden="1" outlineLevel="1" x14ac:dyDescent="0.3"/>
    <row r="171" spans="1:11" hidden="1" outlineLevel="1" x14ac:dyDescent="0.3"/>
    <row r="172" spans="1:11" collapsed="1" x14ac:dyDescent="0.3"/>
    <row r="173" spans="1:11" ht="15" thickBot="1" x14ac:dyDescent="0.35"/>
    <row r="174" spans="1:11" ht="15" thickBot="1" x14ac:dyDescent="0.35">
      <c r="A174" s="160" t="s">
        <v>1595</v>
      </c>
      <c r="B174" s="161"/>
      <c r="C174" s="161"/>
      <c r="D174" s="161"/>
      <c r="E174" s="161"/>
      <c r="F174" s="161"/>
      <c r="G174" s="161"/>
      <c r="H174" s="161"/>
      <c r="I174" s="161"/>
      <c r="J174" s="161"/>
      <c r="K174" s="162"/>
    </row>
    <row r="176" spans="1:11" x14ac:dyDescent="0.3">
      <c r="A176" s="94" t="s">
        <v>1539</v>
      </c>
    </row>
    <row r="177" spans="1:11" ht="47.25" customHeight="1" x14ac:dyDescent="0.3">
      <c r="A177" s="94">
        <v>1</v>
      </c>
      <c r="B177" s="163" t="s">
        <v>1596</v>
      </c>
      <c r="C177" s="163"/>
      <c r="D177" s="163"/>
      <c r="E177" s="163"/>
      <c r="F177" s="163"/>
      <c r="G177" s="163"/>
      <c r="H177" s="163"/>
      <c r="I177" s="163"/>
      <c r="J177" s="163"/>
      <c r="K177" s="163"/>
    </row>
    <row r="178" spans="1:11" hidden="1" outlineLevel="1" x14ac:dyDescent="0.3"/>
    <row r="179" spans="1:11" hidden="1" outlineLevel="1" x14ac:dyDescent="0.3"/>
    <row r="180" spans="1:11" hidden="1" outlineLevel="1" x14ac:dyDescent="0.3"/>
    <row r="181" spans="1:11" hidden="1" outlineLevel="1" x14ac:dyDescent="0.3"/>
    <row r="182" spans="1:11" hidden="1" outlineLevel="1" x14ac:dyDescent="0.3"/>
    <row r="183" spans="1:11" hidden="1" outlineLevel="1" x14ac:dyDescent="0.3"/>
    <row r="184" spans="1:11" hidden="1" outlineLevel="1" x14ac:dyDescent="0.3"/>
    <row r="185" spans="1:11" hidden="1" outlineLevel="1" x14ac:dyDescent="0.3"/>
    <row r="186" spans="1:11" hidden="1" outlineLevel="1" x14ac:dyDescent="0.3"/>
    <row r="187" spans="1:11" hidden="1" outlineLevel="1" x14ac:dyDescent="0.3"/>
    <row r="188" spans="1:11" hidden="1" outlineLevel="1" x14ac:dyDescent="0.3"/>
    <row r="189" spans="1:11" hidden="1" outlineLevel="1" x14ac:dyDescent="0.3"/>
    <row r="190" spans="1:11" hidden="1" outlineLevel="1" x14ac:dyDescent="0.3"/>
    <row r="191" spans="1:11" hidden="1" outlineLevel="1" x14ac:dyDescent="0.3"/>
    <row r="192" spans="1:11" hidden="1" outlineLevel="1" x14ac:dyDescent="0.3"/>
    <row r="193" spans="1:1" hidden="1" outlineLevel="1" x14ac:dyDescent="0.3">
      <c r="A193" s="94" t="e" vm="1">
        <v>#VALUE!</v>
      </c>
    </row>
    <row r="194" spans="1:1" hidden="1" outlineLevel="1" x14ac:dyDescent="0.3"/>
    <row r="195" spans="1:1" hidden="1" outlineLevel="1" x14ac:dyDescent="0.3"/>
    <row r="196" spans="1:1" hidden="1" outlineLevel="1" x14ac:dyDescent="0.3"/>
    <row r="197" spans="1:1" hidden="1" outlineLevel="1" x14ac:dyDescent="0.3"/>
    <row r="198" spans="1:1" hidden="1" outlineLevel="1" x14ac:dyDescent="0.3"/>
    <row r="199" spans="1:1" hidden="1" outlineLevel="1" x14ac:dyDescent="0.3"/>
    <row r="200" spans="1:1" hidden="1" outlineLevel="1" x14ac:dyDescent="0.3"/>
    <row r="201" spans="1:1" hidden="1" outlineLevel="1" x14ac:dyDescent="0.3"/>
    <row r="202" spans="1:1" hidden="1" outlineLevel="1" x14ac:dyDescent="0.3"/>
    <row r="203" spans="1:1" hidden="1" outlineLevel="1" x14ac:dyDescent="0.3"/>
    <row r="204" spans="1:1" hidden="1" outlineLevel="1" x14ac:dyDescent="0.3"/>
    <row r="205" spans="1:1" hidden="1" outlineLevel="1" x14ac:dyDescent="0.3"/>
    <row r="206" spans="1:1" hidden="1" outlineLevel="1" x14ac:dyDescent="0.3"/>
    <row r="207" spans="1:1" hidden="1" outlineLevel="1" x14ac:dyDescent="0.3"/>
    <row r="208" spans="1:1" hidden="1" outlineLevel="1" x14ac:dyDescent="0.3"/>
    <row r="209" hidden="1" outlineLevel="1" x14ac:dyDescent="0.3"/>
    <row r="210" hidden="1" outlineLevel="1" x14ac:dyDescent="0.3"/>
    <row r="211" hidden="1" outlineLevel="1" x14ac:dyDescent="0.3"/>
    <row r="212" hidden="1" outlineLevel="1" x14ac:dyDescent="0.3"/>
    <row r="213" hidden="1" outlineLevel="1" x14ac:dyDescent="0.3"/>
    <row r="214" hidden="1" outlineLevel="1" x14ac:dyDescent="0.3"/>
    <row r="215" hidden="1" outlineLevel="1" x14ac:dyDescent="0.3"/>
    <row r="216" hidden="1" outlineLevel="1" x14ac:dyDescent="0.3"/>
    <row r="217" hidden="1" outlineLevel="1" x14ac:dyDescent="0.3"/>
    <row r="218" hidden="1" outlineLevel="1" x14ac:dyDescent="0.3"/>
    <row r="219" hidden="1" outlineLevel="1" x14ac:dyDescent="0.3"/>
    <row r="220" hidden="1" outlineLevel="1" x14ac:dyDescent="0.3"/>
    <row r="221" hidden="1" outlineLevel="1" x14ac:dyDescent="0.3"/>
    <row r="222" hidden="1" outlineLevel="1" x14ac:dyDescent="0.3"/>
    <row r="223" hidden="1" outlineLevel="1" x14ac:dyDescent="0.3"/>
    <row r="224" hidden="1" outlineLevel="1" x14ac:dyDescent="0.3"/>
    <row r="225" hidden="1" outlineLevel="1" x14ac:dyDescent="0.3"/>
    <row r="226" hidden="1" outlineLevel="1" x14ac:dyDescent="0.3"/>
    <row r="227" hidden="1" outlineLevel="1" x14ac:dyDescent="0.3"/>
    <row r="228" hidden="1" outlineLevel="1" x14ac:dyDescent="0.3"/>
    <row r="229" hidden="1" outlineLevel="1" x14ac:dyDescent="0.3"/>
    <row r="230" hidden="1" outlineLevel="1" x14ac:dyDescent="0.3"/>
    <row r="231" hidden="1" outlineLevel="1" x14ac:dyDescent="0.3"/>
    <row r="232" hidden="1" outlineLevel="1" x14ac:dyDescent="0.3"/>
    <row r="233" hidden="1" outlineLevel="1" x14ac:dyDescent="0.3"/>
    <row r="234" hidden="1" outlineLevel="1" x14ac:dyDescent="0.3"/>
    <row r="235" collapsed="1" x14ac:dyDescent="0.3"/>
  </sheetData>
  <mergeCells count="10">
    <mergeCell ref="A1:K1"/>
    <mergeCell ref="A3:K3"/>
    <mergeCell ref="B6:K6"/>
    <mergeCell ref="B28:K28"/>
    <mergeCell ref="B51:K51"/>
    <mergeCell ref="A174:K174"/>
    <mergeCell ref="B177:K177"/>
    <mergeCell ref="B164:K164"/>
    <mergeCell ref="B147:K147"/>
    <mergeCell ref="B104:K10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088E5-5812-445A-9EB5-15C3E2B0BE9A}">
  <sheetPr codeName="Sheet23">
    <tabColor theme="8" tint="0.79998168889431442"/>
  </sheetPr>
  <dimension ref="A1:C43"/>
  <sheetViews>
    <sheetView zoomScale="90" zoomScaleNormal="90" workbookViewId="0">
      <pane ySplit="2" topLeftCell="A3" activePane="bottomLeft" state="frozen"/>
      <selection pane="bottomLeft" activeCell="B42" sqref="B42"/>
    </sheetView>
  </sheetViews>
  <sheetFormatPr defaultColWidth="9.33203125" defaultRowHeight="14.4" outlineLevelRow="1" x14ac:dyDescent="0.3"/>
  <cols>
    <col min="1" max="1" width="109.5546875" customWidth="1"/>
    <col min="2" max="2" width="27.33203125" customWidth="1"/>
    <col min="3" max="3" width="14.109375" bestFit="1" customWidth="1"/>
  </cols>
  <sheetData>
    <row r="1" spans="1:3" ht="23.4" x14ac:dyDescent="0.45">
      <c r="A1" s="169" t="s">
        <v>10</v>
      </c>
      <c r="B1" s="169"/>
      <c r="C1" s="169"/>
    </row>
    <row r="2" spans="1:3" ht="15.6" x14ac:dyDescent="0.3">
      <c r="A2" s="36" t="s">
        <v>11</v>
      </c>
      <c r="B2" s="36" t="s">
        <v>56</v>
      </c>
      <c r="C2" s="116" t="s">
        <v>1705</v>
      </c>
    </row>
    <row r="3" spans="1:3" outlineLevel="1" x14ac:dyDescent="0.3">
      <c r="A3" s="129" t="s">
        <v>1356</v>
      </c>
      <c r="B3" s="126"/>
      <c r="C3" s="117">
        <f>SUM(PAYSCALES[Will Import if 0])</f>
        <v>0</v>
      </c>
    </row>
    <row r="4" spans="1:3" outlineLevel="1" x14ac:dyDescent="0.3">
      <c r="A4" s="129" t="s">
        <v>1357</v>
      </c>
      <c r="B4" s="126"/>
      <c r="C4" s="117">
        <f ca="1">SUM(PSPOINTS[Will Import if 0])</f>
        <v>0</v>
      </c>
    </row>
    <row r="5" spans="1:3" outlineLevel="1" x14ac:dyDescent="0.3">
      <c r="A5" s="129" t="s">
        <v>1358</v>
      </c>
      <c r="B5" s="126"/>
      <c r="C5" s="117">
        <f>SUM(PS_INCPERC[Will Import if 0])</f>
        <v>0</v>
      </c>
    </row>
    <row r="6" spans="1:3" outlineLevel="1" x14ac:dyDescent="0.3">
      <c r="A6" s="23" t="s">
        <v>1359</v>
      </c>
      <c r="B6" s="127"/>
      <c r="C6" s="117">
        <f>SUM(GRADES[Will Import if 0])</f>
        <v>0</v>
      </c>
    </row>
    <row r="7" spans="1:3" outlineLevel="1" x14ac:dyDescent="0.3">
      <c r="A7" s="23" t="s">
        <v>15</v>
      </c>
      <c r="B7" s="128"/>
      <c r="C7" s="117">
        <f>SUM(ALLWCTYPE[Will Import if 0])</f>
        <v>0</v>
      </c>
    </row>
    <row r="8" spans="1:3" outlineLevel="1" x14ac:dyDescent="0.3">
      <c r="A8" s="23" t="s">
        <v>16</v>
      </c>
      <c r="B8" s="128"/>
      <c r="C8" s="117">
        <f ca="1">SUM(ALLWCPTS[Will import if 0])</f>
        <v>0</v>
      </c>
    </row>
    <row r="9" spans="1:3" outlineLevel="1" x14ac:dyDescent="0.3">
      <c r="A9" s="129" t="s">
        <v>17</v>
      </c>
      <c r="B9" s="128"/>
      <c r="C9" s="117">
        <f>SUM(AL_INCPERC[Will Import if 0])</f>
        <v>0</v>
      </c>
    </row>
    <row r="10" spans="1:3" outlineLevel="1" x14ac:dyDescent="0.3">
      <c r="A10" s="23" t="s">
        <v>18</v>
      </c>
      <c r="B10" s="128"/>
      <c r="C10" s="117">
        <f ca="1">SUM(PENS[Will import if 0])</f>
        <v>0</v>
      </c>
    </row>
    <row r="11" spans="1:3" outlineLevel="1" x14ac:dyDescent="0.3">
      <c r="A11" s="23" t="s">
        <v>1626</v>
      </c>
      <c r="B11" s="128"/>
      <c r="C11" s="117">
        <f>SUM(EQW[Will import if 0])</f>
        <v>0</v>
      </c>
    </row>
    <row r="12" spans="1:3" outlineLevel="1" x14ac:dyDescent="0.3">
      <c r="A12" s="23" t="s">
        <v>19</v>
      </c>
      <c r="B12" s="128"/>
      <c r="C12" s="117">
        <f ca="1">SUM(MEMBERS[Will Import if 0])</f>
        <v>0</v>
      </c>
    </row>
    <row r="13" spans="1:3" outlineLevel="1" x14ac:dyDescent="0.3">
      <c r="A13" s="23" t="s">
        <v>20</v>
      </c>
      <c r="B13" s="128"/>
      <c r="C13" s="117">
        <f>SUM(SRG[Will Import if 0])</f>
        <v>0</v>
      </c>
    </row>
    <row r="14" spans="1:3" outlineLevel="1" x14ac:dyDescent="0.3">
      <c r="A14" s="23" t="s">
        <v>21</v>
      </c>
      <c r="B14" s="128"/>
      <c r="C14" s="117">
        <f>SUM(ROLES[Will Import if 0])</f>
        <v>0</v>
      </c>
    </row>
    <row r="15" spans="1:3" outlineLevel="1" x14ac:dyDescent="0.3">
      <c r="A15" s="23" t="s">
        <v>22</v>
      </c>
      <c r="B15" s="128"/>
      <c r="C15" s="117">
        <f ca="1">SUM(CONT_TEA[Will Import if 0])</f>
        <v>336</v>
      </c>
    </row>
    <row r="16" spans="1:3" outlineLevel="1" x14ac:dyDescent="0.3">
      <c r="A16" s="23" t="s">
        <v>23</v>
      </c>
      <c r="B16" s="128"/>
      <c r="C16" s="117">
        <f ca="1">SUM(CONT_SUP[Will Import if 0])</f>
        <v>161</v>
      </c>
    </row>
    <row r="17" spans="1:3" outlineLevel="1" x14ac:dyDescent="0.3">
      <c r="A17" s="23" t="s">
        <v>1625</v>
      </c>
      <c r="B17" s="128"/>
      <c r="C17" s="117">
        <f>SUM(ADJTYPE[Will import if 0])</f>
        <v>0</v>
      </c>
    </row>
    <row r="18" spans="1:3" outlineLevel="1" x14ac:dyDescent="0.3">
      <c r="A18" s="23" t="s">
        <v>24</v>
      </c>
      <c r="B18" s="128"/>
      <c r="C18" s="117">
        <f ca="1">SUM(CONTADJ[Will import if 0])</f>
        <v>4</v>
      </c>
    </row>
    <row r="19" spans="1:3" outlineLevel="1" x14ac:dyDescent="0.3">
      <c r="A19" s="23" t="s">
        <v>1624</v>
      </c>
      <c r="B19" s="128"/>
      <c r="C19" s="117">
        <f ca="1">SUM(CONTAL[Will import if 0])</f>
        <v>0</v>
      </c>
    </row>
    <row r="20" spans="1:3" outlineLevel="1" x14ac:dyDescent="0.3">
      <c r="A20" s="23" t="s">
        <v>1627</v>
      </c>
      <c r="B20" s="128"/>
      <c r="C20" s="117">
        <f>SUM(LEAVES[Will Import if 0])</f>
        <v>0</v>
      </c>
    </row>
    <row r="21" spans="1:3" outlineLevel="1" x14ac:dyDescent="0.3">
      <c r="A21" s="23" t="s">
        <v>25</v>
      </c>
      <c r="B21" s="128"/>
      <c r="C21" s="117">
        <f ca="1">SUM(SM_LEAVES[Will Import if 0])</f>
        <v>0</v>
      </c>
    </row>
    <row r="22" spans="1:3" outlineLevel="1" x14ac:dyDescent="0.3">
      <c r="A22" s="23" t="s">
        <v>1728</v>
      </c>
      <c r="B22" s="128"/>
      <c r="C22" s="117">
        <f>SUM(FC_import[Will Import if 0])</f>
        <v>0</v>
      </c>
    </row>
    <row r="23" spans="1:3" x14ac:dyDescent="0.3">
      <c r="A23" s="23" t="s">
        <v>26</v>
      </c>
      <c r="B23" s="128"/>
      <c r="C23" s="124">
        <f ca="1">SUM(C3:C22)</f>
        <v>501</v>
      </c>
    </row>
    <row r="24" spans="1:3" x14ac:dyDescent="0.3">
      <c r="A24" s="28" t="s">
        <v>1740</v>
      </c>
      <c r="B24" s="128"/>
      <c r="C24" s="117" t="s">
        <v>1307</v>
      </c>
    </row>
    <row r="25" spans="1:3" x14ac:dyDescent="0.3">
      <c r="A25" s="28" t="s">
        <v>1737</v>
      </c>
      <c r="B25" s="128"/>
      <c r="C25" s="117" t="s">
        <v>3</v>
      </c>
    </row>
    <row r="26" spans="1:3" x14ac:dyDescent="0.3">
      <c r="A26" s="28" t="s">
        <v>1738</v>
      </c>
      <c r="B26" s="128"/>
      <c r="C26" s="117" t="s">
        <v>1307</v>
      </c>
    </row>
    <row r="27" spans="1:3" x14ac:dyDescent="0.3">
      <c r="A27" s="28" t="s">
        <v>1741</v>
      </c>
      <c r="B27" s="128"/>
      <c r="C27" s="117" t="s">
        <v>1307</v>
      </c>
    </row>
    <row r="28" spans="1:3" x14ac:dyDescent="0.3">
      <c r="A28" s="28" t="s">
        <v>1369</v>
      </c>
      <c r="B28" s="128"/>
      <c r="C28" s="117" t="s">
        <v>1307</v>
      </c>
    </row>
    <row r="29" spans="1:3" x14ac:dyDescent="0.3">
      <c r="A29" s="28" t="s">
        <v>1354</v>
      </c>
      <c r="B29" s="128"/>
      <c r="C29" s="117" t="s">
        <v>1307</v>
      </c>
    </row>
    <row r="30" spans="1:3" x14ac:dyDescent="0.3">
      <c r="A30" s="28" t="s">
        <v>1355</v>
      </c>
      <c r="B30" s="128"/>
      <c r="C30" s="117" t="s">
        <v>1307</v>
      </c>
    </row>
    <row r="31" spans="1:3" ht="28.8" x14ac:dyDescent="0.3">
      <c r="A31" s="28" t="s">
        <v>1742</v>
      </c>
      <c r="B31" s="128" t="s">
        <v>4907</v>
      </c>
      <c r="C31" s="117" t="s">
        <v>1307</v>
      </c>
    </row>
    <row r="32" spans="1:3" x14ac:dyDescent="0.3">
      <c r="A32" s="28" t="s">
        <v>1739</v>
      </c>
      <c r="B32" s="128"/>
      <c r="C32" s="117" t="s">
        <v>1307</v>
      </c>
    </row>
    <row r="33" spans="1:3" x14ac:dyDescent="0.3">
      <c r="A33" s="28" t="s">
        <v>1706</v>
      </c>
      <c r="B33" s="128"/>
      <c r="C33" s="117" t="s">
        <v>4908</v>
      </c>
    </row>
    <row r="34" spans="1:3" x14ac:dyDescent="0.3">
      <c r="A34" s="28" t="s">
        <v>1735</v>
      </c>
      <c r="B34" s="128"/>
      <c r="C34" s="117" t="s">
        <v>3</v>
      </c>
    </row>
    <row r="35" spans="1:3" x14ac:dyDescent="0.3">
      <c r="A35" s="28" t="s">
        <v>1760</v>
      </c>
      <c r="B35" s="128"/>
      <c r="C35" s="117" t="s">
        <v>3</v>
      </c>
    </row>
    <row r="36" spans="1:3" x14ac:dyDescent="0.3">
      <c r="A36" s="28" t="s">
        <v>1743</v>
      </c>
      <c r="B36" s="128"/>
      <c r="C36" s="117" t="s">
        <v>3</v>
      </c>
    </row>
    <row r="37" spans="1:3" x14ac:dyDescent="0.3">
      <c r="A37" s="135" t="s">
        <v>1756</v>
      </c>
      <c r="B37" s="24" t="s">
        <v>4909</v>
      </c>
      <c r="C37" s="117" t="s">
        <v>1307</v>
      </c>
    </row>
    <row r="38" spans="1:3" x14ac:dyDescent="0.3">
      <c r="A38" s="135" t="s">
        <v>1757</v>
      </c>
      <c r="B38" s="24" t="s">
        <v>4909</v>
      </c>
      <c r="C38" s="117" t="s">
        <v>1307</v>
      </c>
    </row>
    <row r="39" spans="1:3" x14ac:dyDescent="0.3">
      <c r="A39" s="135" t="s">
        <v>1758</v>
      </c>
      <c r="B39" s="24"/>
      <c r="C39" s="117" t="s">
        <v>1307</v>
      </c>
    </row>
    <row r="40" spans="1:3" x14ac:dyDescent="0.3">
      <c r="A40" s="135" t="s">
        <v>1736</v>
      </c>
      <c r="B40" s="24"/>
      <c r="C40" s="117" t="s">
        <v>1307</v>
      </c>
    </row>
    <row r="41" spans="1:3" x14ac:dyDescent="0.3">
      <c r="A41" s="115"/>
      <c r="B41" s="12"/>
      <c r="C41" s="125"/>
    </row>
    <row r="42" spans="1:3" x14ac:dyDescent="0.3">
      <c r="A42" t="s">
        <v>12</v>
      </c>
      <c r="B42" t="s">
        <v>4910</v>
      </c>
    </row>
    <row r="43" spans="1:3" x14ac:dyDescent="0.3">
      <c r="A43" t="s">
        <v>14</v>
      </c>
      <c r="B43" t="s">
        <v>13</v>
      </c>
    </row>
  </sheetData>
  <mergeCells count="1">
    <mergeCell ref="A1:C1"/>
  </mergeCells>
  <dataValidations count="1">
    <dataValidation type="list" allowBlank="1" showInputMessage="1" showErrorMessage="1" sqref="C24:C41" xr:uid="{88E14D41-EB8D-45A1-A41D-A3EA2521843C}">
      <formula1>"Yes,No,NA,Other"</formula1>
    </dataValidation>
  </dataValidations>
  <pageMargins left="0.7" right="0.7" top="0.75" bottom="0.75" header="0.3" footer="0.3"/>
  <pageSetup paperSize="9" orientation="portrait" horizontalDpi="360" verticalDpi="36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325BB-497B-443F-9CC8-F8971AD3F140}">
  <sheetPr codeName="Sheet28"/>
  <dimension ref="A1:H23"/>
  <sheetViews>
    <sheetView workbookViewId="0">
      <pane ySplit="3" topLeftCell="A4" activePane="bottomLeft" state="frozen"/>
      <selection activeCell="D2" sqref="D2"/>
      <selection pane="bottomLeft" activeCell="G23" sqref="G23"/>
    </sheetView>
  </sheetViews>
  <sheetFormatPr defaultColWidth="9.33203125" defaultRowHeight="14.4" x14ac:dyDescent="0.3"/>
  <cols>
    <col min="1" max="1" width="36.33203125" style="23" bestFit="1" customWidth="1"/>
    <col min="2" max="2" width="23.33203125" style="23" customWidth="1"/>
    <col min="3" max="3" width="19.109375" style="23" customWidth="1"/>
    <col min="4" max="4" width="17.33203125" style="23" customWidth="1"/>
    <col min="5" max="5" width="60.5546875" style="23" customWidth="1"/>
    <col min="6" max="6" width="36.88671875" style="28" customWidth="1"/>
    <col min="7" max="7" width="82.33203125" style="23" bestFit="1" customWidth="1"/>
    <col min="8" max="8" width="135.5546875" style="23" bestFit="1" customWidth="1"/>
    <col min="9" max="16384" width="9.33203125" style="23"/>
  </cols>
  <sheetData>
    <row r="1" spans="1:7" ht="23.4" x14ac:dyDescent="0.45">
      <c r="A1" s="169" t="s">
        <v>10</v>
      </c>
      <c r="B1" s="169"/>
      <c r="C1" s="169"/>
      <c r="D1" s="169"/>
      <c r="E1" s="169"/>
      <c r="F1" s="169"/>
      <c r="G1" s="169"/>
    </row>
    <row r="2" spans="1:7" s="28" customFormat="1" ht="31.2" x14ac:dyDescent="0.3">
      <c r="A2" s="37" t="s">
        <v>11</v>
      </c>
      <c r="B2" s="37" t="s">
        <v>27</v>
      </c>
      <c r="C2" s="37" t="s">
        <v>28</v>
      </c>
      <c r="D2" s="37" t="s">
        <v>29</v>
      </c>
      <c r="E2" s="37" t="s">
        <v>1372</v>
      </c>
      <c r="F2" s="37" t="s">
        <v>1370</v>
      </c>
      <c r="G2" s="37" t="s">
        <v>1371</v>
      </c>
    </row>
    <row r="3" spans="1:7" ht="15.6" x14ac:dyDescent="0.3">
      <c r="A3" s="38" t="s">
        <v>30</v>
      </c>
      <c r="B3" s="39">
        <f ca="1">SUM('Build Checklist'!C23)</f>
        <v>501</v>
      </c>
      <c r="C3" s="38"/>
      <c r="D3" s="38"/>
      <c r="E3" s="38"/>
      <c r="F3" s="37"/>
      <c r="G3" s="38"/>
    </row>
    <row r="4" spans="1:7" x14ac:dyDescent="0.3">
      <c r="A4" s="40" t="s">
        <v>1544</v>
      </c>
      <c r="B4" s="40">
        <f>COUNTA(FC_import[FinanceCode])</f>
        <v>95</v>
      </c>
      <c r="C4" s="40">
        <f>631-536</f>
        <v>95</v>
      </c>
      <c r="D4" s="40" t="b">
        <f t="shared" ref="D4" si="0">IF(B4=C4,TRUE,FALSE)</f>
        <v>1</v>
      </c>
      <c r="E4" s="40"/>
      <c r="F4" s="41"/>
      <c r="G4" s="40"/>
    </row>
    <row r="5" spans="1:7" x14ac:dyDescent="0.3">
      <c r="A5" s="40" t="s">
        <v>31</v>
      </c>
      <c r="B5" s="40">
        <f>COUNTA(ALLWCTYPE[AllowanceTypeCode])</f>
        <v>2</v>
      </c>
      <c r="C5" s="40">
        <v>2</v>
      </c>
      <c r="D5" s="40" t="b">
        <f t="shared" ref="D5:D22" si="1">IF(B5=C5,TRUE,FALSE)</f>
        <v>1</v>
      </c>
      <c r="E5" s="40"/>
      <c r="F5" s="41"/>
      <c r="G5" s="40"/>
    </row>
    <row r="6" spans="1:7" x14ac:dyDescent="0.3">
      <c r="A6" s="40" t="s">
        <v>32</v>
      </c>
      <c r="B6" s="40">
        <f>COUNTA(ALLWCPTS[AllowanceTypeCode])</f>
        <v>13</v>
      </c>
      <c r="C6" s="40">
        <v>13</v>
      </c>
      <c r="D6" s="40" t="b">
        <f t="shared" si="1"/>
        <v>1</v>
      </c>
      <c r="E6" s="40"/>
      <c r="F6" s="41"/>
      <c r="G6" s="40"/>
    </row>
    <row r="7" spans="1:7" x14ac:dyDescent="0.3">
      <c r="A7" s="40" t="s">
        <v>33</v>
      </c>
      <c r="B7" s="40">
        <f>COUNTA(AL_INCPERC[AllowanceTypeCode])</f>
        <v>2</v>
      </c>
      <c r="C7" s="40">
        <v>2</v>
      </c>
      <c r="D7" s="40" t="b">
        <f t="shared" si="1"/>
        <v>1</v>
      </c>
      <c r="E7" s="40"/>
      <c r="F7" s="41"/>
      <c r="G7" s="40"/>
    </row>
    <row r="8" spans="1:7" x14ac:dyDescent="0.3">
      <c r="A8" s="42" t="s">
        <v>34</v>
      </c>
      <c r="B8" s="40">
        <f>COUNTA(PAYSCALES[PayScaleEnabled])</f>
        <v>6</v>
      </c>
      <c r="C8" s="40">
        <v>6</v>
      </c>
      <c r="D8" s="40" t="b">
        <f t="shared" si="1"/>
        <v>1</v>
      </c>
      <c r="E8" s="40"/>
      <c r="F8" s="41"/>
      <c r="G8" s="40"/>
    </row>
    <row r="9" spans="1:7" x14ac:dyDescent="0.3">
      <c r="A9" s="42" t="s">
        <v>35</v>
      </c>
      <c r="B9" s="40">
        <f>COUNTIF(PSPOINTS[PayScalePointEnabled],TRUE)</f>
        <v>111</v>
      </c>
      <c r="C9" s="40">
        <v>111</v>
      </c>
      <c r="D9" s="40" t="b">
        <f t="shared" si="1"/>
        <v>1</v>
      </c>
      <c r="E9" s="40"/>
      <c r="F9" s="41"/>
      <c r="G9" s="40"/>
    </row>
    <row r="10" spans="1:7" x14ac:dyDescent="0.3">
      <c r="A10" s="40" t="s">
        <v>36</v>
      </c>
      <c r="B10" s="40">
        <f>COUNTA(PS_INCPERC[IncreasePercentage])</f>
        <v>5</v>
      </c>
      <c r="C10" s="40">
        <v>5</v>
      </c>
      <c r="D10" s="40" t="b">
        <f>IF(B10=C10,TRUE,FALSE)</f>
        <v>1</v>
      </c>
      <c r="E10" s="40"/>
      <c r="F10" s="41"/>
      <c r="G10" s="40"/>
    </row>
    <row r="11" spans="1:7" x14ac:dyDescent="0.3">
      <c r="A11" s="40" t="s">
        <v>37</v>
      </c>
      <c r="B11" s="40">
        <f>COUNTA(GRADES[PayScaleGradeEnabled])</f>
        <v>36</v>
      </c>
      <c r="C11" s="40">
        <v>36</v>
      </c>
      <c r="D11" s="40" t="b">
        <f t="shared" si="1"/>
        <v>1</v>
      </c>
      <c r="E11" s="40"/>
      <c r="F11" s="41"/>
      <c r="G11" s="40"/>
    </row>
    <row r="12" spans="1:7" x14ac:dyDescent="0.3">
      <c r="A12" s="40" t="s">
        <v>38</v>
      </c>
      <c r="B12" s="40">
        <f>COUNTA(EQW[EquatedWeekPatternEnabled])</f>
        <v>16</v>
      </c>
      <c r="C12" s="40">
        <v>16</v>
      </c>
      <c r="D12" s="40" t="b">
        <f t="shared" si="1"/>
        <v>1</v>
      </c>
      <c r="E12" s="40"/>
      <c r="F12" s="41"/>
      <c r="G12" s="40"/>
    </row>
    <row r="13" spans="1:7" x14ac:dyDescent="0.3">
      <c r="A13" s="40" t="s">
        <v>39</v>
      </c>
      <c r="B13" s="40">
        <f>COUNTA(PENS[PensionEnabled])</f>
        <v>3</v>
      </c>
      <c r="C13" s="40">
        <v>3</v>
      </c>
      <c r="D13" s="40" t="b">
        <f t="shared" si="1"/>
        <v>1</v>
      </c>
      <c r="E13" s="40"/>
      <c r="F13" s="41"/>
      <c r="G13" s="40"/>
    </row>
    <row r="14" spans="1:7" x14ac:dyDescent="0.3">
      <c r="A14" s="40" t="s">
        <v>40</v>
      </c>
      <c r="B14" s="40">
        <f>COUNTA(MEMBERS[StaffMemberEnabled])</f>
        <v>829</v>
      </c>
      <c r="C14" s="40">
        <v>829</v>
      </c>
      <c r="D14" s="40" t="b">
        <f t="shared" si="1"/>
        <v>1</v>
      </c>
      <c r="E14" s="40"/>
      <c r="F14" s="41"/>
      <c r="G14" s="40"/>
    </row>
    <row r="15" spans="1:7" x14ac:dyDescent="0.3">
      <c r="A15" s="40" t="s">
        <v>41</v>
      </c>
      <c r="B15" s="40">
        <f>COUNTA(SRG[StaffRoleGroupEnabled])</f>
        <v>15</v>
      </c>
      <c r="C15" s="40">
        <v>15</v>
      </c>
      <c r="D15" s="40" t="b">
        <f t="shared" si="1"/>
        <v>1</v>
      </c>
      <c r="E15" s="40"/>
      <c r="F15" s="41"/>
      <c r="G15" s="40"/>
    </row>
    <row r="16" spans="1:7" x14ac:dyDescent="0.3">
      <c r="A16" s="40" t="s">
        <v>42</v>
      </c>
      <c r="B16" s="40">
        <f>COUNTA(ROLES[StaffRoleEnabled])</f>
        <v>101</v>
      </c>
      <c r="C16" s="40">
        <v>101</v>
      </c>
      <c r="D16" s="40" t="b">
        <f t="shared" si="1"/>
        <v>1</v>
      </c>
      <c r="E16" s="40"/>
      <c r="F16" s="41"/>
      <c r="G16" s="40"/>
    </row>
    <row r="17" spans="1:8" x14ac:dyDescent="0.3">
      <c r="A17" s="40" t="s">
        <v>43</v>
      </c>
      <c r="B17" s="40">
        <f>COUNTA(CONT_TEA[StaffMemberCode])</f>
        <v>337</v>
      </c>
      <c r="C17" s="40">
        <v>337</v>
      </c>
      <c r="D17" s="40" t="b">
        <f t="shared" si="1"/>
        <v>1</v>
      </c>
      <c r="E17" s="41" t="s">
        <v>44</v>
      </c>
      <c r="F17" s="41"/>
      <c r="G17" s="41"/>
    </row>
    <row r="18" spans="1:8" x14ac:dyDescent="0.3">
      <c r="A18" s="40" t="s">
        <v>45</v>
      </c>
      <c r="B18" s="40">
        <f>COUNTA(CONT_SUP[StaffMemberCode])</f>
        <v>401</v>
      </c>
      <c r="C18" s="40">
        <v>401</v>
      </c>
      <c r="D18" s="40" t="b">
        <f t="shared" si="1"/>
        <v>1</v>
      </c>
      <c r="E18" s="40"/>
      <c r="F18" s="41"/>
      <c r="G18" s="41"/>
    </row>
    <row r="19" spans="1:8" x14ac:dyDescent="0.3">
      <c r="A19" s="40" t="s">
        <v>46</v>
      </c>
      <c r="B19" s="40">
        <f>COUNTA(LEAVES[LeaveTypeEnabled])</f>
        <v>33</v>
      </c>
      <c r="C19" s="40">
        <v>33</v>
      </c>
      <c r="D19" s="40" t="b">
        <f t="shared" si="1"/>
        <v>1</v>
      </c>
      <c r="E19" s="40"/>
      <c r="F19" s="41"/>
      <c r="G19" s="40"/>
    </row>
    <row r="20" spans="1:8" x14ac:dyDescent="0.3">
      <c r="A20" s="40" t="s">
        <v>47</v>
      </c>
      <c r="B20" s="40">
        <f>COUNTA(ADJTYPE[AdjustmentTypeCode])</f>
        <v>8</v>
      </c>
      <c r="C20" s="40">
        <v>8</v>
      </c>
      <c r="D20" s="40" t="b">
        <f t="shared" si="1"/>
        <v>1</v>
      </c>
      <c r="E20" s="40"/>
      <c r="F20" s="41"/>
      <c r="G20" s="40"/>
    </row>
    <row r="21" spans="1:8" ht="43.2" x14ac:dyDescent="0.3">
      <c r="A21" s="40" t="s">
        <v>48</v>
      </c>
      <c r="B21" s="40">
        <f>COUNTA(SM_LEAVES[StaffMemberCode])</f>
        <v>10</v>
      </c>
      <c r="C21" s="40">
        <v>10</v>
      </c>
      <c r="D21" s="40" t="b">
        <f t="shared" si="1"/>
        <v>1</v>
      </c>
      <c r="E21" s="41" t="s">
        <v>1340</v>
      </c>
      <c r="F21" s="41"/>
      <c r="G21" s="40"/>
      <c r="H21" s="29"/>
    </row>
    <row r="22" spans="1:8" x14ac:dyDescent="0.3">
      <c r="A22" s="40" t="s">
        <v>49</v>
      </c>
      <c r="B22" s="40">
        <f>COUNTA(CONTADJ[SchoolCode])</f>
        <v>82</v>
      </c>
      <c r="C22" s="40">
        <v>82</v>
      </c>
      <c r="D22" s="40" t="b">
        <f t="shared" si="1"/>
        <v>1</v>
      </c>
      <c r="E22" s="40"/>
      <c r="F22" s="41"/>
      <c r="G22" s="41"/>
    </row>
    <row r="23" spans="1:8" x14ac:dyDescent="0.3">
      <c r="A23" s="40" t="s">
        <v>50</v>
      </c>
      <c r="B23" s="40">
        <f>COUNTA(CONTAL[StaffMemberCode])</f>
        <v>100</v>
      </c>
      <c r="C23" s="40">
        <v>100</v>
      </c>
      <c r="D23" s="40" t="b">
        <f t="shared" ref="D23" si="2">IF(B23=C23,TRUE,FALSE)</f>
        <v>1</v>
      </c>
      <c r="E23" s="40"/>
      <c r="F23" s="41"/>
      <c r="G23" s="40"/>
    </row>
  </sheetData>
  <mergeCells count="1">
    <mergeCell ref="A1:G1"/>
  </mergeCells>
  <conditionalFormatting sqref="E4:G23">
    <cfRule type="cellIs" dxfId="26" priority="1" operator="notEqual">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1700E-2205-41D7-B1D6-AE5D068982D0}">
  <sheetPr>
    <tabColor theme="0" tint="-0.499984740745262"/>
  </sheetPr>
  <dimension ref="A1:C509"/>
  <sheetViews>
    <sheetView topLeftCell="A454" workbookViewId="0">
      <selection activeCell="A477" sqref="A477:C480"/>
    </sheetView>
  </sheetViews>
  <sheetFormatPr defaultRowHeight="14.4" x14ac:dyDescent="0.3"/>
  <cols>
    <col min="1" max="1" width="20" bestFit="1" customWidth="1"/>
    <col min="2" max="2" width="80.88671875" bestFit="1" customWidth="1"/>
    <col min="3" max="3" width="24.33203125" bestFit="1" customWidth="1"/>
  </cols>
  <sheetData>
    <row r="1" spans="1:3" x14ac:dyDescent="0.3">
      <c r="A1" t="s">
        <v>1381</v>
      </c>
      <c r="B1" t="s">
        <v>52</v>
      </c>
      <c r="C1" t="s">
        <v>1382</v>
      </c>
    </row>
    <row r="2" spans="1:3" x14ac:dyDescent="0.3">
      <c r="A2" t="s">
        <v>67</v>
      </c>
      <c r="B2" t="s">
        <v>68</v>
      </c>
      <c r="C2" t="s">
        <v>1383</v>
      </c>
    </row>
    <row r="3" spans="1:3" x14ac:dyDescent="0.3">
      <c r="A3" t="s">
        <v>69</v>
      </c>
      <c r="B3" t="s">
        <v>70</v>
      </c>
      <c r="C3" t="s">
        <v>1383</v>
      </c>
    </row>
    <row r="4" spans="1:3" x14ac:dyDescent="0.3">
      <c r="A4" t="s">
        <v>71</v>
      </c>
      <c r="B4" t="s">
        <v>72</v>
      </c>
      <c r="C4" t="s">
        <v>1383</v>
      </c>
    </row>
    <row r="5" spans="1:3" x14ac:dyDescent="0.3">
      <c r="A5" t="s">
        <v>73</v>
      </c>
      <c r="B5" t="s">
        <v>74</v>
      </c>
      <c r="C5" t="s">
        <v>1383</v>
      </c>
    </row>
    <row r="6" spans="1:3" x14ac:dyDescent="0.3">
      <c r="A6" t="s">
        <v>75</v>
      </c>
      <c r="B6" t="s">
        <v>76</v>
      </c>
      <c r="C6" t="s">
        <v>1383</v>
      </c>
    </row>
    <row r="7" spans="1:3" x14ac:dyDescent="0.3">
      <c r="A7" t="s">
        <v>77</v>
      </c>
      <c r="B7" t="s">
        <v>78</v>
      </c>
      <c r="C7" t="s">
        <v>1383</v>
      </c>
    </row>
    <row r="8" spans="1:3" x14ac:dyDescent="0.3">
      <c r="A8" t="s">
        <v>79</v>
      </c>
      <c r="B8" t="s">
        <v>80</v>
      </c>
      <c r="C8" t="s">
        <v>1383</v>
      </c>
    </row>
    <row r="9" spans="1:3" x14ac:dyDescent="0.3">
      <c r="A9" t="s">
        <v>81</v>
      </c>
      <c r="B9" t="s">
        <v>82</v>
      </c>
      <c r="C9" t="s">
        <v>1383</v>
      </c>
    </row>
    <row r="10" spans="1:3" x14ac:dyDescent="0.3">
      <c r="A10" t="s">
        <v>83</v>
      </c>
      <c r="B10" t="s">
        <v>84</v>
      </c>
      <c r="C10" t="s">
        <v>1383</v>
      </c>
    </row>
    <row r="11" spans="1:3" x14ac:dyDescent="0.3">
      <c r="A11" t="s">
        <v>85</v>
      </c>
      <c r="B11" t="s">
        <v>86</v>
      </c>
      <c r="C11" t="s">
        <v>1383</v>
      </c>
    </row>
    <row r="12" spans="1:3" x14ac:dyDescent="0.3">
      <c r="A12" t="s">
        <v>87</v>
      </c>
      <c r="B12" t="s">
        <v>88</v>
      </c>
      <c r="C12" t="s">
        <v>1383</v>
      </c>
    </row>
    <row r="13" spans="1:3" x14ac:dyDescent="0.3">
      <c r="A13" t="s">
        <v>89</v>
      </c>
      <c r="B13" t="s">
        <v>90</v>
      </c>
      <c r="C13" t="s">
        <v>1383</v>
      </c>
    </row>
    <row r="14" spans="1:3" x14ac:dyDescent="0.3">
      <c r="A14" t="s">
        <v>91</v>
      </c>
      <c r="B14" t="s">
        <v>92</v>
      </c>
      <c r="C14" t="s">
        <v>1383</v>
      </c>
    </row>
    <row r="15" spans="1:3" x14ac:dyDescent="0.3">
      <c r="A15" t="s">
        <v>93</v>
      </c>
      <c r="B15" t="s">
        <v>94</v>
      </c>
      <c r="C15" t="s">
        <v>1383</v>
      </c>
    </row>
    <row r="16" spans="1:3" x14ac:dyDescent="0.3">
      <c r="A16" t="s">
        <v>95</v>
      </c>
      <c r="B16" t="s">
        <v>96</v>
      </c>
      <c r="C16" t="s">
        <v>1383</v>
      </c>
    </row>
    <row r="17" spans="1:3" x14ac:dyDescent="0.3">
      <c r="A17" t="s">
        <v>97</v>
      </c>
      <c r="B17" t="s">
        <v>98</v>
      </c>
      <c r="C17" t="s">
        <v>1383</v>
      </c>
    </row>
    <row r="18" spans="1:3" x14ac:dyDescent="0.3">
      <c r="A18" t="s">
        <v>99</v>
      </c>
      <c r="B18" t="s">
        <v>100</v>
      </c>
      <c r="C18" t="s">
        <v>1383</v>
      </c>
    </row>
    <row r="19" spans="1:3" x14ac:dyDescent="0.3">
      <c r="A19" t="s">
        <v>101</v>
      </c>
      <c r="B19" t="s">
        <v>102</v>
      </c>
      <c r="C19" t="s">
        <v>1383</v>
      </c>
    </row>
    <row r="20" spans="1:3" x14ac:dyDescent="0.3">
      <c r="A20" t="s">
        <v>1384</v>
      </c>
      <c r="B20" t="s">
        <v>1772</v>
      </c>
      <c r="C20" t="s">
        <v>1383</v>
      </c>
    </row>
    <row r="21" spans="1:3" x14ac:dyDescent="0.3">
      <c r="A21" t="s">
        <v>1385</v>
      </c>
      <c r="B21" t="s">
        <v>1773</v>
      </c>
      <c r="C21" t="s">
        <v>1383</v>
      </c>
    </row>
    <row r="22" spans="1:3" x14ac:dyDescent="0.3">
      <c r="A22" t="s">
        <v>1386</v>
      </c>
      <c r="B22" t="s">
        <v>1774</v>
      </c>
      <c r="C22" t="s">
        <v>1383</v>
      </c>
    </row>
    <row r="23" spans="1:3" x14ac:dyDescent="0.3">
      <c r="A23" t="s">
        <v>103</v>
      </c>
      <c r="B23" t="s">
        <v>104</v>
      </c>
      <c r="C23" t="s">
        <v>1383</v>
      </c>
    </row>
    <row r="24" spans="1:3" x14ac:dyDescent="0.3">
      <c r="A24" t="s">
        <v>105</v>
      </c>
      <c r="B24" t="s">
        <v>1775</v>
      </c>
      <c r="C24" t="s">
        <v>1383</v>
      </c>
    </row>
    <row r="25" spans="1:3" x14ac:dyDescent="0.3">
      <c r="A25" t="s">
        <v>106</v>
      </c>
      <c r="B25" t="s">
        <v>107</v>
      </c>
      <c r="C25" t="s">
        <v>1383</v>
      </c>
    </row>
    <row r="26" spans="1:3" x14ac:dyDescent="0.3">
      <c r="A26" t="s">
        <v>108</v>
      </c>
      <c r="B26" t="s">
        <v>109</v>
      </c>
      <c r="C26" t="s">
        <v>1383</v>
      </c>
    </row>
    <row r="27" spans="1:3" x14ac:dyDescent="0.3">
      <c r="A27" t="s">
        <v>110</v>
      </c>
      <c r="B27" t="s">
        <v>1776</v>
      </c>
      <c r="C27" t="s">
        <v>1383</v>
      </c>
    </row>
    <row r="28" spans="1:3" x14ac:dyDescent="0.3">
      <c r="A28" t="s">
        <v>111</v>
      </c>
      <c r="B28" t="s">
        <v>112</v>
      </c>
      <c r="C28" t="s">
        <v>1383</v>
      </c>
    </row>
    <row r="29" spans="1:3" x14ac:dyDescent="0.3">
      <c r="A29" t="s">
        <v>113</v>
      </c>
      <c r="B29" t="s">
        <v>114</v>
      </c>
      <c r="C29" t="s">
        <v>1383</v>
      </c>
    </row>
    <row r="30" spans="1:3" x14ac:dyDescent="0.3">
      <c r="A30" t="s">
        <v>115</v>
      </c>
      <c r="B30" t="s">
        <v>116</v>
      </c>
      <c r="C30" t="s">
        <v>1383</v>
      </c>
    </row>
    <row r="31" spans="1:3" x14ac:dyDescent="0.3">
      <c r="A31" t="s">
        <v>117</v>
      </c>
      <c r="B31" t="s">
        <v>118</v>
      </c>
      <c r="C31" t="s">
        <v>1383</v>
      </c>
    </row>
    <row r="32" spans="1:3" x14ac:dyDescent="0.3">
      <c r="A32" t="s">
        <v>119</v>
      </c>
      <c r="B32" t="s">
        <v>120</v>
      </c>
      <c r="C32" t="s">
        <v>1383</v>
      </c>
    </row>
    <row r="33" spans="1:3" x14ac:dyDescent="0.3">
      <c r="A33" t="s">
        <v>121</v>
      </c>
      <c r="B33" t="s">
        <v>122</v>
      </c>
      <c r="C33" t="s">
        <v>1383</v>
      </c>
    </row>
    <row r="34" spans="1:3" x14ac:dyDescent="0.3">
      <c r="A34" t="s">
        <v>1387</v>
      </c>
      <c r="B34" t="s">
        <v>1388</v>
      </c>
      <c r="C34" t="s">
        <v>1383</v>
      </c>
    </row>
    <row r="35" spans="1:3" x14ac:dyDescent="0.3">
      <c r="A35" t="s">
        <v>123</v>
      </c>
      <c r="B35" t="s">
        <v>124</v>
      </c>
      <c r="C35" t="s">
        <v>1383</v>
      </c>
    </row>
    <row r="36" spans="1:3" x14ac:dyDescent="0.3">
      <c r="A36" t="s">
        <v>125</v>
      </c>
      <c r="B36" t="s">
        <v>126</v>
      </c>
      <c r="C36" t="s">
        <v>1383</v>
      </c>
    </row>
    <row r="37" spans="1:3" x14ac:dyDescent="0.3">
      <c r="A37" t="s">
        <v>127</v>
      </c>
      <c r="B37" t="s">
        <v>128</v>
      </c>
      <c r="C37" t="s">
        <v>1383</v>
      </c>
    </row>
    <row r="38" spans="1:3" x14ac:dyDescent="0.3">
      <c r="A38" t="s">
        <v>1777</v>
      </c>
      <c r="B38" t="s">
        <v>1778</v>
      </c>
      <c r="C38" t="s">
        <v>1383</v>
      </c>
    </row>
    <row r="39" spans="1:3" x14ac:dyDescent="0.3">
      <c r="A39" t="s">
        <v>129</v>
      </c>
      <c r="B39" t="s">
        <v>130</v>
      </c>
      <c r="C39" t="s">
        <v>1383</v>
      </c>
    </row>
    <row r="40" spans="1:3" x14ac:dyDescent="0.3">
      <c r="A40" t="s">
        <v>131</v>
      </c>
      <c r="B40" t="s">
        <v>132</v>
      </c>
      <c r="C40" t="s">
        <v>1383</v>
      </c>
    </row>
    <row r="41" spans="1:3" x14ac:dyDescent="0.3">
      <c r="A41" t="s">
        <v>1779</v>
      </c>
      <c r="B41" t="s">
        <v>1780</v>
      </c>
      <c r="C41" t="s">
        <v>1383</v>
      </c>
    </row>
    <row r="42" spans="1:3" x14ac:dyDescent="0.3">
      <c r="A42" t="s">
        <v>133</v>
      </c>
      <c r="B42" t="s">
        <v>134</v>
      </c>
      <c r="C42" t="s">
        <v>1383</v>
      </c>
    </row>
    <row r="43" spans="1:3" x14ac:dyDescent="0.3">
      <c r="A43" t="s">
        <v>135</v>
      </c>
      <c r="B43" t="s">
        <v>1781</v>
      </c>
      <c r="C43" t="s">
        <v>1383</v>
      </c>
    </row>
    <row r="44" spans="1:3" x14ac:dyDescent="0.3">
      <c r="A44" t="s">
        <v>136</v>
      </c>
      <c r="B44" t="s">
        <v>137</v>
      </c>
      <c r="C44" t="s">
        <v>1383</v>
      </c>
    </row>
    <row r="45" spans="1:3" x14ac:dyDescent="0.3">
      <c r="A45" t="s">
        <v>138</v>
      </c>
      <c r="B45" t="s">
        <v>139</v>
      </c>
      <c r="C45" t="s">
        <v>1383</v>
      </c>
    </row>
    <row r="46" spans="1:3" x14ac:dyDescent="0.3">
      <c r="A46" t="s">
        <v>140</v>
      </c>
      <c r="B46" t="s">
        <v>141</v>
      </c>
      <c r="C46" t="s">
        <v>1383</v>
      </c>
    </row>
    <row r="47" spans="1:3" x14ac:dyDescent="0.3">
      <c r="A47" t="s">
        <v>142</v>
      </c>
      <c r="B47" t="s">
        <v>143</v>
      </c>
      <c r="C47" t="s">
        <v>1383</v>
      </c>
    </row>
    <row r="48" spans="1:3" x14ac:dyDescent="0.3">
      <c r="A48" t="s">
        <v>144</v>
      </c>
      <c r="B48" t="s">
        <v>145</v>
      </c>
      <c r="C48" t="s">
        <v>1383</v>
      </c>
    </row>
    <row r="49" spans="1:3" x14ac:dyDescent="0.3">
      <c r="A49" t="s">
        <v>146</v>
      </c>
      <c r="B49" t="s">
        <v>147</v>
      </c>
      <c r="C49" t="s">
        <v>1383</v>
      </c>
    </row>
    <row r="50" spans="1:3" x14ac:dyDescent="0.3">
      <c r="A50" t="s">
        <v>148</v>
      </c>
      <c r="B50" t="s">
        <v>149</v>
      </c>
      <c r="C50" t="s">
        <v>1383</v>
      </c>
    </row>
    <row r="51" spans="1:3" x14ac:dyDescent="0.3">
      <c r="A51" t="s">
        <v>150</v>
      </c>
      <c r="B51" t="s">
        <v>151</v>
      </c>
      <c r="C51" t="s">
        <v>1383</v>
      </c>
    </row>
    <row r="52" spans="1:3" x14ac:dyDescent="0.3">
      <c r="A52" t="s">
        <v>152</v>
      </c>
      <c r="B52" t="s">
        <v>153</v>
      </c>
      <c r="C52" t="s">
        <v>1383</v>
      </c>
    </row>
    <row r="53" spans="1:3" x14ac:dyDescent="0.3">
      <c r="A53" t="s">
        <v>154</v>
      </c>
      <c r="B53" t="s">
        <v>155</v>
      </c>
      <c r="C53" t="s">
        <v>1383</v>
      </c>
    </row>
    <row r="54" spans="1:3" x14ac:dyDescent="0.3">
      <c r="A54" t="s">
        <v>156</v>
      </c>
      <c r="B54" t="s">
        <v>157</v>
      </c>
      <c r="C54" t="s">
        <v>1383</v>
      </c>
    </row>
    <row r="55" spans="1:3" x14ac:dyDescent="0.3">
      <c r="A55" t="s">
        <v>158</v>
      </c>
      <c r="B55" t="s">
        <v>159</v>
      </c>
      <c r="C55" t="s">
        <v>1383</v>
      </c>
    </row>
    <row r="56" spans="1:3" x14ac:dyDescent="0.3">
      <c r="A56" t="s">
        <v>1782</v>
      </c>
      <c r="B56" t="s">
        <v>1783</v>
      </c>
      <c r="C56" t="s">
        <v>1383</v>
      </c>
    </row>
    <row r="57" spans="1:3" x14ac:dyDescent="0.3">
      <c r="A57" t="s">
        <v>160</v>
      </c>
      <c r="B57" t="s">
        <v>161</v>
      </c>
      <c r="C57" t="s">
        <v>1383</v>
      </c>
    </row>
    <row r="58" spans="1:3" x14ac:dyDescent="0.3">
      <c r="A58" t="s">
        <v>162</v>
      </c>
      <c r="B58" t="s">
        <v>163</v>
      </c>
      <c r="C58" t="s">
        <v>1383</v>
      </c>
    </row>
    <row r="59" spans="1:3" x14ac:dyDescent="0.3">
      <c r="A59" t="s">
        <v>164</v>
      </c>
      <c r="B59" t="s">
        <v>165</v>
      </c>
      <c r="C59" t="s">
        <v>849</v>
      </c>
    </row>
    <row r="60" spans="1:3" x14ac:dyDescent="0.3">
      <c r="A60" t="s">
        <v>166</v>
      </c>
      <c r="B60" t="s">
        <v>167</v>
      </c>
      <c r="C60" t="s">
        <v>849</v>
      </c>
    </row>
    <row r="61" spans="1:3" x14ac:dyDescent="0.3">
      <c r="A61" t="s">
        <v>168</v>
      </c>
      <c r="B61" t="s">
        <v>169</v>
      </c>
      <c r="C61" t="s">
        <v>849</v>
      </c>
    </row>
    <row r="62" spans="1:3" x14ac:dyDescent="0.3">
      <c r="A62" t="s">
        <v>170</v>
      </c>
      <c r="B62" t="s">
        <v>171</v>
      </c>
      <c r="C62" t="s">
        <v>849</v>
      </c>
    </row>
    <row r="63" spans="1:3" x14ac:dyDescent="0.3">
      <c r="A63" t="s">
        <v>172</v>
      </c>
      <c r="B63" t="s">
        <v>173</v>
      </c>
      <c r="C63" t="s">
        <v>849</v>
      </c>
    </row>
    <row r="64" spans="1:3" x14ac:dyDescent="0.3">
      <c r="A64" t="s">
        <v>174</v>
      </c>
      <c r="B64" t="s">
        <v>175</v>
      </c>
      <c r="C64" t="s">
        <v>849</v>
      </c>
    </row>
    <row r="65" spans="1:3" x14ac:dyDescent="0.3">
      <c r="A65" t="s">
        <v>176</v>
      </c>
      <c r="B65" t="s">
        <v>177</v>
      </c>
      <c r="C65" t="s">
        <v>849</v>
      </c>
    </row>
    <row r="66" spans="1:3" x14ac:dyDescent="0.3">
      <c r="A66" t="s">
        <v>178</v>
      </c>
      <c r="B66" t="s">
        <v>179</v>
      </c>
      <c r="C66" t="s">
        <v>849</v>
      </c>
    </row>
    <row r="67" spans="1:3" x14ac:dyDescent="0.3">
      <c r="A67" t="s">
        <v>180</v>
      </c>
      <c r="B67" t="s">
        <v>1784</v>
      </c>
      <c r="C67" t="s">
        <v>849</v>
      </c>
    </row>
    <row r="68" spans="1:3" x14ac:dyDescent="0.3">
      <c r="A68" t="s">
        <v>1389</v>
      </c>
      <c r="B68" t="s">
        <v>1785</v>
      </c>
      <c r="C68" t="s">
        <v>849</v>
      </c>
    </row>
    <row r="69" spans="1:3" x14ac:dyDescent="0.3">
      <c r="A69" t="s">
        <v>181</v>
      </c>
      <c r="B69" t="s">
        <v>182</v>
      </c>
      <c r="C69" t="s">
        <v>849</v>
      </c>
    </row>
    <row r="70" spans="1:3" x14ac:dyDescent="0.3">
      <c r="A70" t="s">
        <v>183</v>
      </c>
      <c r="B70" t="s">
        <v>1786</v>
      </c>
      <c r="C70" t="s">
        <v>849</v>
      </c>
    </row>
    <row r="71" spans="1:3" x14ac:dyDescent="0.3">
      <c r="A71" t="s">
        <v>184</v>
      </c>
      <c r="B71" t="s">
        <v>185</v>
      </c>
      <c r="C71" t="s">
        <v>849</v>
      </c>
    </row>
    <row r="72" spans="1:3" x14ac:dyDescent="0.3">
      <c r="A72" t="s">
        <v>186</v>
      </c>
      <c r="B72" t="s">
        <v>187</v>
      </c>
      <c r="C72" t="s">
        <v>849</v>
      </c>
    </row>
    <row r="73" spans="1:3" x14ac:dyDescent="0.3">
      <c r="A73" t="s">
        <v>188</v>
      </c>
      <c r="B73" t="s">
        <v>1787</v>
      </c>
      <c r="C73" t="s">
        <v>849</v>
      </c>
    </row>
    <row r="74" spans="1:3" x14ac:dyDescent="0.3">
      <c r="A74" t="s">
        <v>189</v>
      </c>
      <c r="B74" t="s">
        <v>190</v>
      </c>
      <c r="C74" t="s">
        <v>849</v>
      </c>
    </row>
    <row r="75" spans="1:3" x14ac:dyDescent="0.3">
      <c r="A75" t="s">
        <v>191</v>
      </c>
      <c r="B75" t="s">
        <v>192</v>
      </c>
      <c r="C75" t="s">
        <v>849</v>
      </c>
    </row>
    <row r="76" spans="1:3" x14ac:dyDescent="0.3">
      <c r="A76" t="s">
        <v>193</v>
      </c>
      <c r="B76" t="s">
        <v>194</v>
      </c>
      <c r="C76" t="s">
        <v>849</v>
      </c>
    </row>
    <row r="77" spans="1:3" x14ac:dyDescent="0.3">
      <c r="A77" t="s">
        <v>195</v>
      </c>
      <c r="B77" t="s">
        <v>196</v>
      </c>
      <c r="C77" t="s">
        <v>849</v>
      </c>
    </row>
    <row r="78" spans="1:3" x14ac:dyDescent="0.3">
      <c r="A78" t="s">
        <v>197</v>
      </c>
      <c r="B78" t="s">
        <v>198</v>
      </c>
      <c r="C78" t="s">
        <v>849</v>
      </c>
    </row>
    <row r="79" spans="1:3" x14ac:dyDescent="0.3">
      <c r="A79" t="s">
        <v>199</v>
      </c>
      <c r="B79" t="s">
        <v>200</v>
      </c>
      <c r="C79" t="s">
        <v>1383</v>
      </c>
    </row>
    <row r="80" spans="1:3" x14ac:dyDescent="0.3">
      <c r="A80" t="s">
        <v>201</v>
      </c>
      <c r="B80" t="s">
        <v>202</v>
      </c>
      <c r="C80" t="s">
        <v>1383</v>
      </c>
    </row>
    <row r="81" spans="1:3" x14ac:dyDescent="0.3">
      <c r="A81" t="s">
        <v>203</v>
      </c>
      <c r="B81" t="s">
        <v>204</v>
      </c>
      <c r="C81" t="s">
        <v>1383</v>
      </c>
    </row>
    <row r="82" spans="1:3" x14ac:dyDescent="0.3">
      <c r="A82" t="s">
        <v>205</v>
      </c>
      <c r="B82" t="s">
        <v>1788</v>
      </c>
      <c r="C82" t="s">
        <v>1383</v>
      </c>
    </row>
    <row r="83" spans="1:3" x14ac:dyDescent="0.3">
      <c r="A83" t="s">
        <v>206</v>
      </c>
      <c r="B83" t="s">
        <v>207</v>
      </c>
      <c r="C83" t="s">
        <v>1383</v>
      </c>
    </row>
    <row r="84" spans="1:3" x14ac:dyDescent="0.3">
      <c r="A84" t="s">
        <v>208</v>
      </c>
      <c r="B84" t="s">
        <v>209</v>
      </c>
      <c r="C84" t="s">
        <v>1383</v>
      </c>
    </row>
    <row r="85" spans="1:3" x14ac:dyDescent="0.3">
      <c r="A85" t="s">
        <v>210</v>
      </c>
      <c r="B85" t="s">
        <v>211</v>
      </c>
      <c r="C85" t="s">
        <v>849</v>
      </c>
    </row>
    <row r="86" spans="1:3" x14ac:dyDescent="0.3">
      <c r="A86" t="s">
        <v>212</v>
      </c>
      <c r="B86" t="s">
        <v>213</v>
      </c>
      <c r="C86" t="s">
        <v>849</v>
      </c>
    </row>
    <row r="87" spans="1:3" x14ac:dyDescent="0.3">
      <c r="A87" t="s">
        <v>214</v>
      </c>
      <c r="B87" t="s">
        <v>1789</v>
      </c>
      <c r="C87" t="s">
        <v>849</v>
      </c>
    </row>
    <row r="88" spans="1:3" x14ac:dyDescent="0.3">
      <c r="A88" t="s">
        <v>1790</v>
      </c>
      <c r="B88" t="s">
        <v>1791</v>
      </c>
      <c r="C88" t="s">
        <v>849</v>
      </c>
    </row>
    <row r="89" spans="1:3" x14ac:dyDescent="0.3">
      <c r="A89" t="s">
        <v>215</v>
      </c>
      <c r="B89" t="s">
        <v>1792</v>
      </c>
      <c r="C89" t="s">
        <v>849</v>
      </c>
    </row>
    <row r="90" spans="1:3" x14ac:dyDescent="0.3">
      <c r="A90" t="s">
        <v>1793</v>
      </c>
      <c r="B90" t="s">
        <v>1794</v>
      </c>
      <c r="C90" t="s">
        <v>849</v>
      </c>
    </row>
    <row r="91" spans="1:3" x14ac:dyDescent="0.3">
      <c r="A91" t="s">
        <v>216</v>
      </c>
      <c r="B91" t="s">
        <v>1795</v>
      </c>
      <c r="C91" t="s">
        <v>849</v>
      </c>
    </row>
    <row r="92" spans="1:3" x14ac:dyDescent="0.3">
      <c r="A92" t="s">
        <v>1796</v>
      </c>
      <c r="B92" t="s">
        <v>1797</v>
      </c>
      <c r="C92" t="s">
        <v>849</v>
      </c>
    </row>
    <row r="93" spans="1:3" x14ac:dyDescent="0.3">
      <c r="A93" t="s">
        <v>217</v>
      </c>
      <c r="B93" t="s">
        <v>1798</v>
      </c>
      <c r="C93" t="s">
        <v>1383</v>
      </c>
    </row>
    <row r="94" spans="1:3" x14ac:dyDescent="0.3">
      <c r="A94" t="s">
        <v>1799</v>
      </c>
      <c r="B94" t="s">
        <v>1800</v>
      </c>
      <c r="C94" t="s">
        <v>1383</v>
      </c>
    </row>
    <row r="95" spans="1:3" x14ac:dyDescent="0.3">
      <c r="A95" t="s">
        <v>218</v>
      </c>
      <c r="B95" t="s">
        <v>1801</v>
      </c>
      <c r="C95" t="s">
        <v>1383</v>
      </c>
    </row>
    <row r="96" spans="1:3" x14ac:dyDescent="0.3">
      <c r="A96" t="s">
        <v>1802</v>
      </c>
      <c r="B96" t="s">
        <v>1803</v>
      </c>
      <c r="C96" t="s">
        <v>1383</v>
      </c>
    </row>
    <row r="97" spans="1:3" x14ac:dyDescent="0.3">
      <c r="A97" t="s">
        <v>219</v>
      </c>
      <c r="B97" t="s">
        <v>1804</v>
      </c>
      <c r="C97" t="s">
        <v>1383</v>
      </c>
    </row>
    <row r="98" spans="1:3" x14ac:dyDescent="0.3">
      <c r="A98" t="s">
        <v>1805</v>
      </c>
      <c r="B98" t="s">
        <v>1806</v>
      </c>
      <c r="C98" t="s">
        <v>1383</v>
      </c>
    </row>
    <row r="99" spans="1:3" x14ac:dyDescent="0.3">
      <c r="A99" t="s">
        <v>220</v>
      </c>
      <c r="B99" t="s">
        <v>221</v>
      </c>
      <c r="C99" t="s">
        <v>849</v>
      </c>
    </row>
    <row r="100" spans="1:3" x14ac:dyDescent="0.3">
      <c r="A100" t="s">
        <v>222</v>
      </c>
      <c r="B100" t="s">
        <v>223</v>
      </c>
      <c r="C100" t="s">
        <v>1383</v>
      </c>
    </row>
    <row r="101" spans="1:3" x14ac:dyDescent="0.3">
      <c r="A101" t="s">
        <v>224</v>
      </c>
      <c r="B101" t="s">
        <v>225</v>
      </c>
      <c r="C101" t="s">
        <v>1383</v>
      </c>
    </row>
    <row r="102" spans="1:3" x14ac:dyDescent="0.3">
      <c r="A102" t="s">
        <v>226</v>
      </c>
      <c r="B102" t="s">
        <v>227</v>
      </c>
      <c r="C102" t="s">
        <v>849</v>
      </c>
    </row>
    <row r="103" spans="1:3" x14ac:dyDescent="0.3">
      <c r="A103" t="s">
        <v>228</v>
      </c>
      <c r="B103" t="s">
        <v>229</v>
      </c>
      <c r="C103" t="s">
        <v>1383</v>
      </c>
    </row>
    <row r="104" spans="1:3" x14ac:dyDescent="0.3">
      <c r="A104" t="s">
        <v>230</v>
      </c>
      <c r="B104" t="s">
        <v>231</v>
      </c>
      <c r="C104" t="s">
        <v>849</v>
      </c>
    </row>
    <row r="105" spans="1:3" x14ac:dyDescent="0.3">
      <c r="A105" t="s">
        <v>232</v>
      </c>
      <c r="B105" t="s">
        <v>233</v>
      </c>
      <c r="C105" t="s">
        <v>1383</v>
      </c>
    </row>
    <row r="106" spans="1:3" x14ac:dyDescent="0.3">
      <c r="A106" t="s">
        <v>234</v>
      </c>
      <c r="B106" t="s">
        <v>235</v>
      </c>
      <c r="C106" t="s">
        <v>849</v>
      </c>
    </row>
    <row r="107" spans="1:3" x14ac:dyDescent="0.3">
      <c r="A107" t="s">
        <v>236</v>
      </c>
      <c r="B107" t="s">
        <v>237</v>
      </c>
      <c r="C107" t="s">
        <v>1383</v>
      </c>
    </row>
    <row r="108" spans="1:3" x14ac:dyDescent="0.3">
      <c r="A108" t="s">
        <v>238</v>
      </c>
      <c r="B108" t="s">
        <v>1390</v>
      </c>
      <c r="C108" t="s">
        <v>1391</v>
      </c>
    </row>
    <row r="109" spans="1:3" x14ac:dyDescent="0.3">
      <c r="A109" t="s">
        <v>1392</v>
      </c>
      <c r="B109" t="s">
        <v>1393</v>
      </c>
      <c r="C109" t="s">
        <v>1391</v>
      </c>
    </row>
    <row r="110" spans="1:3" x14ac:dyDescent="0.3">
      <c r="A110" t="s">
        <v>239</v>
      </c>
      <c r="B110" t="s">
        <v>1394</v>
      </c>
      <c r="C110" t="s">
        <v>1391</v>
      </c>
    </row>
    <row r="111" spans="1:3" x14ac:dyDescent="0.3">
      <c r="A111" t="s">
        <v>240</v>
      </c>
      <c r="B111" t="s">
        <v>1395</v>
      </c>
      <c r="C111" t="s">
        <v>1391</v>
      </c>
    </row>
    <row r="112" spans="1:3" x14ac:dyDescent="0.3">
      <c r="A112" t="s">
        <v>1396</v>
      </c>
      <c r="B112" t="s">
        <v>1397</v>
      </c>
      <c r="C112" t="s">
        <v>1391</v>
      </c>
    </row>
    <row r="113" spans="1:3" x14ac:dyDescent="0.3">
      <c r="A113" t="s">
        <v>1398</v>
      </c>
      <c r="B113" t="s">
        <v>1399</v>
      </c>
      <c r="C113" t="s">
        <v>1391</v>
      </c>
    </row>
    <row r="114" spans="1:3" x14ac:dyDescent="0.3">
      <c r="A114" t="s">
        <v>1400</v>
      </c>
      <c r="B114" t="s">
        <v>1401</v>
      </c>
      <c r="C114" t="s">
        <v>1391</v>
      </c>
    </row>
    <row r="115" spans="1:3" x14ac:dyDescent="0.3">
      <c r="A115" t="s">
        <v>1402</v>
      </c>
      <c r="B115" t="s">
        <v>1403</v>
      </c>
      <c r="C115" t="s">
        <v>1391</v>
      </c>
    </row>
    <row r="116" spans="1:3" x14ac:dyDescent="0.3">
      <c r="A116" t="s">
        <v>241</v>
      </c>
      <c r="B116" t="s">
        <v>242</v>
      </c>
      <c r="C116" t="s">
        <v>1391</v>
      </c>
    </row>
    <row r="117" spans="1:3" x14ac:dyDescent="0.3">
      <c r="A117" t="s">
        <v>243</v>
      </c>
      <c r="B117" t="s">
        <v>244</v>
      </c>
      <c r="C117" t="s">
        <v>1391</v>
      </c>
    </row>
    <row r="118" spans="1:3" x14ac:dyDescent="0.3">
      <c r="A118" t="s">
        <v>245</v>
      </c>
      <c r="B118" t="s">
        <v>246</v>
      </c>
      <c r="C118" t="s">
        <v>1391</v>
      </c>
    </row>
    <row r="119" spans="1:3" x14ac:dyDescent="0.3">
      <c r="A119" t="s">
        <v>247</v>
      </c>
      <c r="B119" t="s">
        <v>248</v>
      </c>
      <c r="C119" t="s">
        <v>1391</v>
      </c>
    </row>
    <row r="120" spans="1:3" x14ac:dyDescent="0.3">
      <c r="A120" t="s">
        <v>249</v>
      </c>
      <c r="B120" t="s">
        <v>250</v>
      </c>
      <c r="C120" t="s">
        <v>1391</v>
      </c>
    </row>
    <row r="121" spans="1:3" x14ac:dyDescent="0.3">
      <c r="A121" t="s">
        <v>251</v>
      </c>
      <c r="B121" t="s">
        <v>252</v>
      </c>
      <c r="C121" t="s">
        <v>1391</v>
      </c>
    </row>
    <row r="122" spans="1:3" x14ac:dyDescent="0.3">
      <c r="A122" t="s">
        <v>253</v>
      </c>
      <c r="B122" t="s">
        <v>254</v>
      </c>
      <c r="C122" t="s">
        <v>1391</v>
      </c>
    </row>
    <row r="123" spans="1:3" x14ac:dyDescent="0.3">
      <c r="A123" t="s">
        <v>255</v>
      </c>
      <c r="B123" t="s">
        <v>256</v>
      </c>
      <c r="C123" t="s">
        <v>1391</v>
      </c>
    </row>
    <row r="124" spans="1:3" x14ac:dyDescent="0.3">
      <c r="A124" t="s">
        <v>257</v>
      </c>
      <c r="B124" t="s">
        <v>258</v>
      </c>
      <c r="C124" t="s">
        <v>1391</v>
      </c>
    </row>
    <row r="125" spans="1:3" x14ac:dyDescent="0.3">
      <c r="A125" t="s">
        <v>259</v>
      </c>
      <c r="B125" t="s">
        <v>260</v>
      </c>
      <c r="C125" t="s">
        <v>1391</v>
      </c>
    </row>
    <row r="126" spans="1:3" x14ac:dyDescent="0.3">
      <c r="A126" t="s">
        <v>261</v>
      </c>
      <c r="B126" t="s">
        <v>262</v>
      </c>
      <c r="C126" t="s">
        <v>1391</v>
      </c>
    </row>
    <row r="127" spans="1:3" x14ac:dyDescent="0.3">
      <c r="A127" t="s">
        <v>263</v>
      </c>
      <c r="B127" t="s">
        <v>264</v>
      </c>
      <c r="C127" t="s">
        <v>1391</v>
      </c>
    </row>
    <row r="128" spans="1:3" x14ac:dyDescent="0.3">
      <c r="A128" t="s">
        <v>265</v>
      </c>
      <c r="B128" t="s">
        <v>266</v>
      </c>
      <c r="C128" t="s">
        <v>1391</v>
      </c>
    </row>
    <row r="129" spans="1:3" x14ac:dyDescent="0.3">
      <c r="A129" t="s">
        <v>267</v>
      </c>
      <c r="B129" t="s">
        <v>268</v>
      </c>
      <c r="C129" t="s">
        <v>1391</v>
      </c>
    </row>
    <row r="130" spans="1:3" x14ac:dyDescent="0.3">
      <c r="A130" t="s">
        <v>269</v>
      </c>
      <c r="B130" t="s">
        <v>270</v>
      </c>
      <c r="C130" t="s">
        <v>1391</v>
      </c>
    </row>
    <row r="131" spans="1:3" x14ac:dyDescent="0.3">
      <c r="A131" t="s">
        <v>271</v>
      </c>
      <c r="B131" t="s">
        <v>272</v>
      </c>
      <c r="C131" t="s">
        <v>1391</v>
      </c>
    </row>
    <row r="132" spans="1:3" x14ac:dyDescent="0.3">
      <c r="A132" t="s">
        <v>273</v>
      </c>
      <c r="B132" t="s">
        <v>274</v>
      </c>
      <c r="C132" t="s">
        <v>1391</v>
      </c>
    </row>
    <row r="133" spans="1:3" x14ac:dyDescent="0.3">
      <c r="A133" t="s">
        <v>275</v>
      </c>
      <c r="B133" t="s">
        <v>276</v>
      </c>
      <c r="C133" t="s">
        <v>1391</v>
      </c>
    </row>
    <row r="134" spans="1:3" x14ac:dyDescent="0.3">
      <c r="A134" t="s">
        <v>277</v>
      </c>
      <c r="B134" t="s">
        <v>278</v>
      </c>
      <c r="C134" t="s">
        <v>1391</v>
      </c>
    </row>
    <row r="135" spans="1:3" x14ac:dyDescent="0.3">
      <c r="A135" t="s">
        <v>279</v>
      </c>
      <c r="B135" t="s">
        <v>280</v>
      </c>
      <c r="C135" t="s">
        <v>1391</v>
      </c>
    </row>
    <row r="136" spans="1:3" x14ac:dyDescent="0.3">
      <c r="A136" t="s">
        <v>1807</v>
      </c>
      <c r="B136" t="s">
        <v>1808</v>
      </c>
      <c r="C136" t="s">
        <v>1391</v>
      </c>
    </row>
    <row r="137" spans="1:3" x14ac:dyDescent="0.3">
      <c r="A137" t="s">
        <v>1809</v>
      </c>
      <c r="B137" t="s">
        <v>1810</v>
      </c>
      <c r="C137" t="s">
        <v>1391</v>
      </c>
    </row>
    <row r="138" spans="1:3" x14ac:dyDescent="0.3">
      <c r="A138" t="s">
        <v>1811</v>
      </c>
      <c r="B138" t="s">
        <v>1812</v>
      </c>
      <c r="C138" t="s">
        <v>1391</v>
      </c>
    </row>
    <row r="139" spans="1:3" x14ac:dyDescent="0.3">
      <c r="A139" t="s">
        <v>1813</v>
      </c>
      <c r="B139" t="s">
        <v>1814</v>
      </c>
      <c r="C139" t="s">
        <v>1391</v>
      </c>
    </row>
    <row r="140" spans="1:3" x14ac:dyDescent="0.3">
      <c r="A140" t="s">
        <v>281</v>
      </c>
      <c r="B140" t="s">
        <v>282</v>
      </c>
      <c r="C140" t="s">
        <v>1391</v>
      </c>
    </row>
    <row r="141" spans="1:3" x14ac:dyDescent="0.3">
      <c r="A141" t="s">
        <v>283</v>
      </c>
      <c r="B141" t="s">
        <v>284</v>
      </c>
      <c r="C141" t="s">
        <v>1391</v>
      </c>
    </row>
    <row r="142" spans="1:3" x14ac:dyDescent="0.3">
      <c r="A142" t="s">
        <v>285</v>
      </c>
      <c r="B142" t="s">
        <v>286</v>
      </c>
      <c r="C142" t="s">
        <v>1391</v>
      </c>
    </row>
    <row r="143" spans="1:3" x14ac:dyDescent="0.3">
      <c r="A143" t="s">
        <v>287</v>
      </c>
      <c r="B143" t="s">
        <v>288</v>
      </c>
      <c r="C143" t="s">
        <v>1391</v>
      </c>
    </row>
    <row r="144" spans="1:3" x14ac:dyDescent="0.3">
      <c r="A144" t="s">
        <v>289</v>
      </c>
      <c r="B144" t="s">
        <v>290</v>
      </c>
      <c r="C144" t="s">
        <v>1391</v>
      </c>
    </row>
    <row r="145" spans="1:3" x14ac:dyDescent="0.3">
      <c r="A145" t="s">
        <v>291</v>
      </c>
      <c r="B145" t="s">
        <v>292</v>
      </c>
      <c r="C145" t="s">
        <v>1391</v>
      </c>
    </row>
    <row r="146" spans="1:3" x14ac:dyDescent="0.3">
      <c r="A146" t="s">
        <v>293</v>
      </c>
      <c r="B146" t="s">
        <v>294</v>
      </c>
      <c r="C146" t="s">
        <v>1391</v>
      </c>
    </row>
    <row r="147" spans="1:3" x14ac:dyDescent="0.3">
      <c r="A147" t="s">
        <v>295</v>
      </c>
      <c r="B147" t="s">
        <v>296</v>
      </c>
      <c r="C147" t="s">
        <v>1391</v>
      </c>
    </row>
    <row r="148" spans="1:3" x14ac:dyDescent="0.3">
      <c r="A148" t="s">
        <v>297</v>
      </c>
      <c r="B148" t="s">
        <v>298</v>
      </c>
      <c r="C148" t="s">
        <v>1391</v>
      </c>
    </row>
    <row r="149" spans="1:3" x14ac:dyDescent="0.3">
      <c r="A149" t="s">
        <v>299</v>
      </c>
      <c r="B149" t="s">
        <v>300</v>
      </c>
      <c r="C149" t="s">
        <v>1391</v>
      </c>
    </row>
    <row r="150" spans="1:3" x14ac:dyDescent="0.3">
      <c r="A150" t="s">
        <v>301</v>
      </c>
      <c r="B150" t="s">
        <v>302</v>
      </c>
      <c r="C150" t="s">
        <v>1391</v>
      </c>
    </row>
    <row r="151" spans="1:3" x14ac:dyDescent="0.3">
      <c r="A151" t="s">
        <v>303</v>
      </c>
      <c r="B151" t="s">
        <v>304</v>
      </c>
      <c r="C151" t="s">
        <v>1391</v>
      </c>
    </row>
    <row r="152" spans="1:3" x14ac:dyDescent="0.3">
      <c r="A152" t="s">
        <v>305</v>
      </c>
      <c r="B152" t="s">
        <v>306</v>
      </c>
      <c r="C152" t="s">
        <v>1391</v>
      </c>
    </row>
    <row r="153" spans="1:3" x14ac:dyDescent="0.3">
      <c r="A153" t="s">
        <v>307</v>
      </c>
      <c r="B153" t="s">
        <v>308</v>
      </c>
      <c r="C153" t="s">
        <v>1391</v>
      </c>
    </row>
    <row r="154" spans="1:3" x14ac:dyDescent="0.3">
      <c r="A154" t="s">
        <v>309</v>
      </c>
      <c r="B154" t="s">
        <v>310</v>
      </c>
      <c r="C154" t="s">
        <v>1391</v>
      </c>
    </row>
    <row r="155" spans="1:3" x14ac:dyDescent="0.3">
      <c r="A155" t="s">
        <v>311</v>
      </c>
      <c r="B155" t="s">
        <v>312</v>
      </c>
      <c r="C155" t="s">
        <v>1391</v>
      </c>
    </row>
    <row r="156" spans="1:3" x14ac:dyDescent="0.3">
      <c r="A156" t="s">
        <v>313</v>
      </c>
      <c r="B156" t="s">
        <v>314</v>
      </c>
      <c r="C156" t="s">
        <v>1391</v>
      </c>
    </row>
    <row r="157" spans="1:3" x14ac:dyDescent="0.3">
      <c r="A157" t="s">
        <v>315</v>
      </c>
      <c r="B157" t="s">
        <v>316</v>
      </c>
      <c r="C157" t="s">
        <v>1391</v>
      </c>
    </row>
    <row r="158" spans="1:3" x14ac:dyDescent="0.3">
      <c r="A158" t="s">
        <v>317</v>
      </c>
      <c r="B158" t="s">
        <v>318</v>
      </c>
      <c r="C158" t="s">
        <v>1391</v>
      </c>
    </row>
    <row r="159" spans="1:3" x14ac:dyDescent="0.3">
      <c r="A159" t="s">
        <v>319</v>
      </c>
      <c r="B159" t="s">
        <v>320</v>
      </c>
      <c r="C159" t="s">
        <v>1391</v>
      </c>
    </row>
    <row r="160" spans="1:3" x14ac:dyDescent="0.3">
      <c r="A160" t="s">
        <v>321</v>
      </c>
      <c r="B160" t="s">
        <v>322</v>
      </c>
      <c r="C160" t="s">
        <v>1391</v>
      </c>
    </row>
    <row r="161" spans="1:3" x14ac:dyDescent="0.3">
      <c r="A161" t="s">
        <v>323</v>
      </c>
      <c r="B161" t="s">
        <v>324</v>
      </c>
      <c r="C161" t="s">
        <v>1391</v>
      </c>
    </row>
    <row r="162" spans="1:3" x14ac:dyDescent="0.3">
      <c r="A162" t="s">
        <v>325</v>
      </c>
      <c r="B162" t="s">
        <v>326</v>
      </c>
      <c r="C162" t="s">
        <v>1391</v>
      </c>
    </row>
    <row r="163" spans="1:3" x14ac:dyDescent="0.3">
      <c r="A163" t="s">
        <v>327</v>
      </c>
      <c r="B163" t="s">
        <v>328</v>
      </c>
      <c r="C163" t="s">
        <v>1391</v>
      </c>
    </row>
    <row r="164" spans="1:3" x14ac:dyDescent="0.3">
      <c r="A164" t="s">
        <v>329</v>
      </c>
      <c r="B164" t="s">
        <v>330</v>
      </c>
      <c r="C164" t="s">
        <v>1391</v>
      </c>
    </row>
    <row r="165" spans="1:3" x14ac:dyDescent="0.3">
      <c r="A165" t="s">
        <v>331</v>
      </c>
      <c r="B165" t="s">
        <v>332</v>
      </c>
      <c r="C165" t="s">
        <v>1391</v>
      </c>
    </row>
    <row r="166" spans="1:3" x14ac:dyDescent="0.3">
      <c r="A166" t="s">
        <v>333</v>
      </c>
      <c r="B166" t="s">
        <v>334</v>
      </c>
      <c r="C166" t="s">
        <v>1391</v>
      </c>
    </row>
    <row r="167" spans="1:3" x14ac:dyDescent="0.3">
      <c r="A167" t="s">
        <v>335</v>
      </c>
      <c r="B167" t="s">
        <v>336</v>
      </c>
      <c r="C167" t="s">
        <v>1391</v>
      </c>
    </row>
    <row r="168" spans="1:3" x14ac:dyDescent="0.3">
      <c r="A168" t="s">
        <v>337</v>
      </c>
      <c r="B168" t="s">
        <v>338</v>
      </c>
      <c r="C168" t="s">
        <v>1391</v>
      </c>
    </row>
    <row r="169" spans="1:3" x14ac:dyDescent="0.3">
      <c r="A169" t="s">
        <v>339</v>
      </c>
      <c r="B169" t="s">
        <v>340</v>
      </c>
      <c r="C169" t="s">
        <v>1391</v>
      </c>
    </row>
    <row r="170" spans="1:3" x14ac:dyDescent="0.3">
      <c r="A170" t="s">
        <v>341</v>
      </c>
      <c r="B170" t="s">
        <v>342</v>
      </c>
      <c r="C170" t="s">
        <v>1391</v>
      </c>
    </row>
    <row r="171" spans="1:3" x14ac:dyDescent="0.3">
      <c r="A171" t="s">
        <v>343</v>
      </c>
      <c r="B171" t="s">
        <v>344</v>
      </c>
      <c r="C171" t="s">
        <v>1391</v>
      </c>
    </row>
    <row r="172" spans="1:3" x14ac:dyDescent="0.3">
      <c r="A172" t="s">
        <v>345</v>
      </c>
      <c r="B172" t="s">
        <v>346</v>
      </c>
      <c r="C172" t="s">
        <v>1391</v>
      </c>
    </row>
    <row r="173" spans="1:3" x14ac:dyDescent="0.3">
      <c r="A173" t="s">
        <v>347</v>
      </c>
      <c r="B173" t="s">
        <v>348</v>
      </c>
      <c r="C173" t="s">
        <v>1391</v>
      </c>
    </row>
    <row r="174" spans="1:3" x14ac:dyDescent="0.3">
      <c r="A174" t="s">
        <v>349</v>
      </c>
      <c r="B174" t="s">
        <v>350</v>
      </c>
      <c r="C174" t="s">
        <v>1391</v>
      </c>
    </row>
    <row r="175" spans="1:3" x14ac:dyDescent="0.3">
      <c r="A175" t="s">
        <v>351</v>
      </c>
      <c r="B175" t="s">
        <v>352</v>
      </c>
      <c r="C175" t="s">
        <v>1391</v>
      </c>
    </row>
    <row r="176" spans="1:3" x14ac:dyDescent="0.3">
      <c r="A176" t="s">
        <v>353</v>
      </c>
      <c r="B176" t="s">
        <v>1815</v>
      </c>
      <c r="C176" t="s">
        <v>1391</v>
      </c>
    </row>
    <row r="177" spans="1:3" x14ac:dyDescent="0.3">
      <c r="A177" t="s">
        <v>354</v>
      </c>
      <c r="B177" t="s">
        <v>1816</v>
      </c>
      <c r="C177" t="s">
        <v>1391</v>
      </c>
    </row>
    <row r="178" spans="1:3" x14ac:dyDescent="0.3">
      <c r="A178" t="s">
        <v>355</v>
      </c>
      <c r="B178" t="s">
        <v>1817</v>
      </c>
      <c r="C178" t="s">
        <v>1391</v>
      </c>
    </row>
    <row r="179" spans="1:3" x14ac:dyDescent="0.3">
      <c r="A179" t="s">
        <v>356</v>
      </c>
      <c r="B179" t="s">
        <v>1818</v>
      </c>
      <c r="C179" t="s">
        <v>1391</v>
      </c>
    </row>
    <row r="180" spans="1:3" x14ac:dyDescent="0.3">
      <c r="A180" t="s">
        <v>357</v>
      </c>
      <c r="B180" t="s">
        <v>358</v>
      </c>
      <c r="C180" t="s">
        <v>1391</v>
      </c>
    </row>
    <row r="181" spans="1:3" x14ac:dyDescent="0.3">
      <c r="A181" t="s">
        <v>359</v>
      </c>
      <c r="B181" t="s">
        <v>360</v>
      </c>
      <c r="C181" t="s">
        <v>1391</v>
      </c>
    </row>
    <row r="182" spans="1:3" x14ac:dyDescent="0.3">
      <c r="A182" t="s">
        <v>361</v>
      </c>
      <c r="B182" t="s">
        <v>362</v>
      </c>
      <c r="C182" t="s">
        <v>1391</v>
      </c>
    </row>
    <row r="183" spans="1:3" x14ac:dyDescent="0.3">
      <c r="A183" t="s">
        <v>363</v>
      </c>
      <c r="B183" t="s">
        <v>364</v>
      </c>
      <c r="C183" t="s">
        <v>1391</v>
      </c>
    </row>
    <row r="184" spans="1:3" x14ac:dyDescent="0.3">
      <c r="A184" t="s">
        <v>365</v>
      </c>
      <c r="B184" t="s">
        <v>366</v>
      </c>
      <c r="C184" t="s">
        <v>1391</v>
      </c>
    </row>
    <row r="185" spans="1:3" x14ac:dyDescent="0.3">
      <c r="A185" t="s">
        <v>1404</v>
      </c>
      <c r="B185" t="s">
        <v>1819</v>
      </c>
      <c r="C185" t="s">
        <v>1391</v>
      </c>
    </row>
    <row r="186" spans="1:3" x14ac:dyDescent="0.3">
      <c r="A186" t="s">
        <v>367</v>
      </c>
      <c r="B186" t="s">
        <v>1820</v>
      </c>
      <c r="C186" t="s">
        <v>1391</v>
      </c>
    </row>
    <row r="187" spans="1:3" x14ac:dyDescent="0.3">
      <c r="A187" t="s">
        <v>368</v>
      </c>
      <c r="B187" t="s">
        <v>1821</v>
      </c>
      <c r="C187" t="s">
        <v>1391</v>
      </c>
    </row>
    <row r="188" spans="1:3" x14ac:dyDescent="0.3">
      <c r="A188" t="s">
        <v>369</v>
      </c>
      <c r="B188" t="s">
        <v>1822</v>
      </c>
      <c r="C188" t="s">
        <v>1391</v>
      </c>
    </row>
    <row r="189" spans="1:3" x14ac:dyDescent="0.3">
      <c r="A189" t="s">
        <v>370</v>
      </c>
      <c r="B189" t="s">
        <v>1823</v>
      </c>
      <c r="C189" t="s">
        <v>1391</v>
      </c>
    </row>
    <row r="190" spans="1:3" x14ac:dyDescent="0.3">
      <c r="A190" t="s">
        <v>371</v>
      </c>
      <c r="B190" t="s">
        <v>1824</v>
      </c>
      <c r="C190" t="s">
        <v>1391</v>
      </c>
    </row>
    <row r="191" spans="1:3" x14ac:dyDescent="0.3">
      <c r="A191" t="s">
        <v>372</v>
      </c>
      <c r="B191" t="s">
        <v>1825</v>
      </c>
      <c r="C191" t="s">
        <v>1391</v>
      </c>
    </row>
    <row r="192" spans="1:3" x14ac:dyDescent="0.3">
      <c r="A192" t="s">
        <v>373</v>
      </c>
      <c r="B192" t="s">
        <v>1826</v>
      </c>
      <c r="C192" t="s">
        <v>1391</v>
      </c>
    </row>
    <row r="193" spans="1:3" x14ac:dyDescent="0.3">
      <c r="A193" t="s">
        <v>374</v>
      </c>
      <c r="B193" t="s">
        <v>1827</v>
      </c>
      <c r="C193" t="s">
        <v>1391</v>
      </c>
    </row>
    <row r="194" spans="1:3" x14ac:dyDescent="0.3">
      <c r="A194" t="s">
        <v>375</v>
      </c>
      <c r="B194" t="s">
        <v>1828</v>
      </c>
      <c r="C194" t="s">
        <v>1391</v>
      </c>
    </row>
    <row r="195" spans="1:3" x14ac:dyDescent="0.3">
      <c r="A195" t="s">
        <v>376</v>
      </c>
      <c r="B195" t="s">
        <v>1829</v>
      </c>
      <c r="C195" t="s">
        <v>1391</v>
      </c>
    </row>
    <row r="196" spans="1:3" x14ac:dyDescent="0.3">
      <c r="A196" t="s">
        <v>377</v>
      </c>
      <c r="B196" t="s">
        <v>1830</v>
      </c>
      <c r="C196" t="s">
        <v>1391</v>
      </c>
    </row>
    <row r="197" spans="1:3" x14ac:dyDescent="0.3">
      <c r="A197" t="s">
        <v>378</v>
      </c>
      <c r="B197" t="s">
        <v>1831</v>
      </c>
      <c r="C197" t="s">
        <v>1391</v>
      </c>
    </row>
    <row r="198" spans="1:3" x14ac:dyDescent="0.3">
      <c r="A198" t="s">
        <v>379</v>
      </c>
      <c r="B198" t="s">
        <v>380</v>
      </c>
      <c r="C198" t="s">
        <v>1391</v>
      </c>
    </row>
    <row r="199" spans="1:3" x14ac:dyDescent="0.3">
      <c r="A199" t="s">
        <v>381</v>
      </c>
      <c r="B199" t="s">
        <v>382</v>
      </c>
      <c r="C199" t="s">
        <v>1391</v>
      </c>
    </row>
    <row r="200" spans="1:3" x14ac:dyDescent="0.3">
      <c r="A200" t="s">
        <v>383</v>
      </c>
      <c r="B200" t="s">
        <v>384</v>
      </c>
      <c r="C200" t="s">
        <v>1391</v>
      </c>
    </row>
    <row r="201" spans="1:3" x14ac:dyDescent="0.3">
      <c r="A201" t="s">
        <v>385</v>
      </c>
      <c r="B201" t="s">
        <v>386</v>
      </c>
      <c r="C201" t="s">
        <v>1391</v>
      </c>
    </row>
    <row r="202" spans="1:3" x14ac:dyDescent="0.3">
      <c r="A202" t="s">
        <v>387</v>
      </c>
      <c r="B202" t="s">
        <v>388</v>
      </c>
      <c r="C202" t="s">
        <v>1391</v>
      </c>
    </row>
    <row r="203" spans="1:3" x14ac:dyDescent="0.3">
      <c r="A203" t="s">
        <v>389</v>
      </c>
      <c r="B203" t="s">
        <v>390</v>
      </c>
      <c r="C203" t="s">
        <v>1391</v>
      </c>
    </row>
    <row r="204" spans="1:3" x14ac:dyDescent="0.3">
      <c r="A204" t="s">
        <v>391</v>
      </c>
      <c r="B204" t="s">
        <v>392</v>
      </c>
      <c r="C204" t="s">
        <v>1391</v>
      </c>
    </row>
    <row r="205" spans="1:3" x14ac:dyDescent="0.3">
      <c r="A205" t="s">
        <v>393</v>
      </c>
      <c r="B205" t="s">
        <v>394</v>
      </c>
      <c r="C205" t="s">
        <v>1391</v>
      </c>
    </row>
    <row r="206" spans="1:3" x14ac:dyDescent="0.3">
      <c r="A206" t="s">
        <v>395</v>
      </c>
      <c r="B206" t="s">
        <v>396</v>
      </c>
      <c r="C206" t="s">
        <v>1391</v>
      </c>
    </row>
    <row r="207" spans="1:3" x14ac:dyDescent="0.3">
      <c r="A207" t="s">
        <v>397</v>
      </c>
      <c r="B207" t="s">
        <v>398</v>
      </c>
      <c r="C207" t="s">
        <v>1391</v>
      </c>
    </row>
    <row r="208" spans="1:3" x14ac:dyDescent="0.3">
      <c r="A208" t="s">
        <v>399</v>
      </c>
      <c r="B208" t="s">
        <v>400</v>
      </c>
      <c r="C208" t="s">
        <v>1391</v>
      </c>
    </row>
    <row r="209" spans="1:3" x14ac:dyDescent="0.3">
      <c r="A209" t="s">
        <v>401</v>
      </c>
      <c r="B209" t="s">
        <v>402</v>
      </c>
      <c r="C209" t="s">
        <v>1391</v>
      </c>
    </row>
    <row r="210" spans="1:3" x14ac:dyDescent="0.3">
      <c r="A210" t="s">
        <v>403</v>
      </c>
      <c r="B210" t="s">
        <v>404</v>
      </c>
      <c r="C210" t="s">
        <v>1391</v>
      </c>
    </row>
    <row r="211" spans="1:3" x14ac:dyDescent="0.3">
      <c r="A211" t="s">
        <v>405</v>
      </c>
      <c r="B211" t="s">
        <v>406</v>
      </c>
      <c r="C211" t="s">
        <v>1391</v>
      </c>
    </row>
    <row r="212" spans="1:3" x14ac:dyDescent="0.3">
      <c r="A212" t="s">
        <v>407</v>
      </c>
      <c r="B212" t="s">
        <v>408</v>
      </c>
      <c r="C212" t="s">
        <v>1391</v>
      </c>
    </row>
    <row r="213" spans="1:3" x14ac:dyDescent="0.3">
      <c r="A213" t="s">
        <v>409</v>
      </c>
      <c r="B213" t="s">
        <v>410</v>
      </c>
      <c r="C213" t="s">
        <v>1391</v>
      </c>
    </row>
    <row r="214" spans="1:3" x14ac:dyDescent="0.3">
      <c r="A214" t="s">
        <v>411</v>
      </c>
      <c r="B214" t="s">
        <v>1832</v>
      </c>
      <c r="C214" t="s">
        <v>1391</v>
      </c>
    </row>
    <row r="215" spans="1:3" x14ac:dyDescent="0.3">
      <c r="A215" t="s">
        <v>1833</v>
      </c>
      <c r="B215" t="s">
        <v>1834</v>
      </c>
      <c r="C215" t="s">
        <v>1391</v>
      </c>
    </row>
    <row r="216" spans="1:3" x14ac:dyDescent="0.3">
      <c r="A216" t="s">
        <v>412</v>
      </c>
      <c r="B216" t="s">
        <v>1835</v>
      </c>
      <c r="C216" t="s">
        <v>1391</v>
      </c>
    </row>
    <row r="217" spans="1:3" x14ac:dyDescent="0.3">
      <c r="A217" t="s">
        <v>413</v>
      </c>
      <c r="B217" t="s">
        <v>1836</v>
      </c>
      <c r="C217" t="s">
        <v>1391</v>
      </c>
    </row>
    <row r="218" spans="1:3" x14ac:dyDescent="0.3">
      <c r="A218" t="s">
        <v>414</v>
      </c>
      <c r="B218" t="s">
        <v>1837</v>
      </c>
      <c r="C218" t="s">
        <v>1391</v>
      </c>
    </row>
    <row r="219" spans="1:3" x14ac:dyDescent="0.3">
      <c r="A219" t="s">
        <v>415</v>
      </c>
      <c r="B219" t="s">
        <v>416</v>
      </c>
      <c r="C219" t="s">
        <v>1391</v>
      </c>
    </row>
    <row r="220" spans="1:3" x14ac:dyDescent="0.3">
      <c r="A220" t="s">
        <v>417</v>
      </c>
      <c r="B220" t="s">
        <v>1838</v>
      </c>
      <c r="C220" t="s">
        <v>1391</v>
      </c>
    </row>
    <row r="221" spans="1:3" x14ac:dyDescent="0.3">
      <c r="A221" t="s">
        <v>418</v>
      </c>
      <c r="B221" t="s">
        <v>1839</v>
      </c>
      <c r="C221" t="s">
        <v>1391</v>
      </c>
    </row>
    <row r="222" spans="1:3" x14ac:dyDescent="0.3">
      <c r="A222" t="s">
        <v>419</v>
      </c>
      <c r="B222" t="s">
        <v>1840</v>
      </c>
      <c r="C222" t="s">
        <v>1391</v>
      </c>
    </row>
    <row r="223" spans="1:3" x14ac:dyDescent="0.3">
      <c r="A223" t="s">
        <v>420</v>
      </c>
      <c r="B223" t="s">
        <v>1841</v>
      </c>
      <c r="C223" t="s">
        <v>1391</v>
      </c>
    </row>
    <row r="224" spans="1:3" x14ac:dyDescent="0.3">
      <c r="A224" t="s">
        <v>421</v>
      </c>
      <c r="B224" t="s">
        <v>422</v>
      </c>
      <c r="C224" t="s">
        <v>1391</v>
      </c>
    </row>
    <row r="225" spans="1:3" x14ac:dyDescent="0.3">
      <c r="A225" t="s">
        <v>423</v>
      </c>
      <c r="B225" t="s">
        <v>424</v>
      </c>
      <c r="C225" t="s">
        <v>1391</v>
      </c>
    </row>
    <row r="226" spans="1:3" x14ac:dyDescent="0.3">
      <c r="A226" t="s">
        <v>425</v>
      </c>
      <c r="B226" t="s">
        <v>426</v>
      </c>
      <c r="C226" t="s">
        <v>1391</v>
      </c>
    </row>
    <row r="227" spans="1:3" x14ac:dyDescent="0.3">
      <c r="A227" t="s">
        <v>427</v>
      </c>
      <c r="B227" t="s">
        <v>428</v>
      </c>
      <c r="C227" t="s">
        <v>1391</v>
      </c>
    </row>
    <row r="228" spans="1:3" x14ac:dyDescent="0.3">
      <c r="A228" t="s">
        <v>429</v>
      </c>
      <c r="B228" t="s">
        <v>1842</v>
      </c>
      <c r="C228" t="s">
        <v>1391</v>
      </c>
    </row>
    <row r="229" spans="1:3" x14ac:dyDescent="0.3">
      <c r="A229" t="s">
        <v>430</v>
      </c>
      <c r="B229" t="s">
        <v>431</v>
      </c>
      <c r="C229" t="s">
        <v>1391</v>
      </c>
    </row>
    <row r="230" spans="1:3" x14ac:dyDescent="0.3">
      <c r="A230" t="s">
        <v>432</v>
      </c>
      <c r="B230" t="s">
        <v>433</v>
      </c>
      <c r="C230" t="s">
        <v>1391</v>
      </c>
    </row>
    <row r="231" spans="1:3" x14ac:dyDescent="0.3">
      <c r="A231" t="s">
        <v>1843</v>
      </c>
      <c r="B231" t="s">
        <v>1844</v>
      </c>
      <c r="C231" t="s">
        <v>1391</v>
      </c>
    </row>
    <row r="232" spans="1:3" x14ac:dyDescent="0.3">
      <c r="A232" t="s">
        <v>434</v>
      </c>
      <c r="B232" t="s">
        <v>1845</v>
      </c>
      <c r="C232" t="s">
        <v>1391</v>
      </c>
    </row>
    <row r="233" spans="1:3" x14ac:dyDescent="0.3">
      <c r="A233" t="s">
        <v>435</v>
      </c>
      <c r="B233" t="s">
        <v>436</v>
      </c>
      <c r="C233" t="s">
        <v>1391</v>
      </c>
    </row>
    <row r="234" spans="1:3" x14ac:dyDescent="0.3">
      <c r="A234" t="s">
        <v>437</v>
      </c>
      <c r="B234" t="s">
        <v>438</v>
      </c>
      <c r="C234" t="s">
        <v>1391</v>
      </c>
    </row>
    <row r="235" spans="1:3" x14ac:dyDescent="0.3">
      <c r="A235" t="s">
        <v>439</v>
      </c>
      <c r="B235" t="s">
        <v>1846</v>
      </c>
      <c r="C235" t="s">
        <v>1391</v>
      </c>
    </row>
    <row r="236" spans="1:3" x14ac:dyDescent="0.3">
      <c r="A236" t="s">
        <v>440</v>
      </c>
      <c r="B236" t="s">
        <v>1847</v>
      </c>
      <c r="C236" t="s">
        <v>1391</v>
      </c>
    </row>
    <row r="237" spans="1:3" x14ac:dyDescent="0.3">
      <c r="A237" t="s">
        <v>441</v>
      </c>
      <c r="B237" t="s">
        <v>1405</v>
      </c>
      <c r="C237" t="s">
        <v>1391</v>
      </c>
    </row>
    <row r="238" spans="1:3" x14ac:dyDescent="0.3">
      <c r="A238" t="s">
        <v>442</v>
      </c>
      <c r="B238" t="s">
        <v>1848</v>
      </c>
      <c r="C238" t="s">
        <v>1391</v>
      </c>
    </row>
    <row r="239" spans="1:3" x14ac:dyDescent="0.3">
      <c r="A239" t="s">
        <v>443</v>
      </c>
      <c r="B239" t="s">
        <v>444</v>
      </c>
      <c r="C239" t="s">
        <v>1391</v>
      </c>
    </row>
    <row r="240" spans="1:3" x14ac:dyDescent="0.3">
      <c r="A240" t="s">
        <v>445</v>
      </c>
      <c r="B240" t="s">
        <v>1849</v>
      </c>
      <c r="C240" t="s">
        <v>1391</v>
      </c>
    </row>
    <row r="241" spans="1:3" x14ac:dyDescent="0.3">
      <c r="A241" t="s">
        <v>446</v>
      </c>
      <c r="B241" t="s">
        <v>447</v>
      </c>
      <c r="C241" t="s">
        <v>1391</v>
      </c>
    </row>
    <row r="242" spans="1:3" x14ac:dyDescent="0.3">
      <c r="A242" t="s">
        <v>448</v>
      </c>
      <c r="B242" t="s">
        <v>449</v>
      </c>
      <c r="C242" t="s">
        <v>1391</v>
      </c>
    </row>
    <row r="243" spans="1:3" x14ac:dyDescent="0.3">
      <c r="A243" t="s">
        <v>450</v>
      </c>
      <c r="B243" t="s">
        <v>1850</v>
      </c>
      <c r="C243" t="s">
        <v>1391</v>
      </c>
    </row>
    <row r="244" spans="1:3" x14ac:dyDescent="0.3">
      <c r="A244" t="s">
        <v>451</v>
      </c>
      <c r="B244" t="s">
        <v>1851</v>
      </c>
      <c r="C244" t="s">
        <v>1391</v>
      </c>
    </row>
    <row r="245" spans="1:3" x14ac:dyDescent="0.3">
      <c r="A245" t="s">
        <v>452</v>
      </c>
      <c r="B245" t="s">
        <v>1852</v>
      </c>
      <c r="C245" t="s">
        <v>1391</v>
      </c>
    </row>
    <row r="246" spans="1:3" x14ac:dyDescent="0.3">
      <c r="A246" t="s">
        <v>453</v>
      </c>
      <c r="B246" t="s">
        <v>1853</v>
      </c>
      <c r="C246" t="s">
        <v>1391</v>
      </c>
    </row>
    <row r="247" spans="1:3" x14ac:dyDescent="0.3">
      <c r="A247" t="s">
        <v>454</v>
      </c>
      <c r="B247" t="s">
        <v>455</v>
      </c>
      <c r="C247" t="s">
        <v>1391</v>
      </c>
    </row>
    <row r="248" spans="1:3" x14ac:dyDescent="0.3">
      <c r="A248" t="s">
        <v>456</v>
      </c>
      <c r="B248" t="s">
        <v>1854</v>
      </c>
      <c r="C248" t="s">
        <v>1391</v>
      </c>
    </row>
    <row r="249" spans="1:3" x14ac:dyDescent="0.3">
      <c r="A249" t="s">
        <v>1855</v>
      </c>
      <c r="B249" t="s">
        <v>1856</v>
      </c>
      <c r="C249" t="s">
        <v>1391</v>
      </c>
    </row>
    <row r="250" spans="1:3" x14ac:dyDescent="0.3">
      <c r="A250" t="s">
        <v>1857</v>
      </c>
      <c r="B250" t="s">
        <v>1858</v>
      </c>
      <c r="C250" t="s">
        <v>1391</v>
      </c>
    </row>
    <row r="251" spans="1:3" x14ac:dyDescent="0.3">
      <c r="A251" t="s">
        <v>457</v>
      </c>
      <c r="B251" t="s">
        <v>458</v>
      </c>
      <c r="C251" t="s">
        <v>1406</v>
      </c>
    </row>
    <row r="252" spans="1:3" x14ac:dyDescent="0.3">
      <c r="A252" t="s">
        <v>459</v>
      </c>
      <c r="B252" t="s">
        <v>460</v>
      </c>
      <c r="C252" t="s">
        <v>1406</v>
      </c>
    </row>
    <row r="253" spans="1:3" x14ac:dyDescent="0.3">
      <c r="A253" t="s">
        <v>461</v>
      </c>
      <c r="B253" t="s">
        <v>462</v>
      </c>
      <c r="C253" t="s">
        <v>1406</v>
      </c>
    </row>
    <row r="254" spans="1:3" x14ac:dyDescent="0.3">
      <c r="A254" t="s">
        <v>463</v>
      </c>
      <c r="B254" t="s">
        <v>464</v>
      </c>
      <c r="C254" t="s">
        <v>1406</v>
      </c>
    </row>
    <row r="255" spans="1:3" x14ac:dyDescent="0.3">
      <c r="A255" t="s">
        <v>465</v>
      </c>
      <c r="B255" t="s">
        <v>466</v>
      </c>
      <c r="C255" t="s">
        <v>1406</v>
      </c>
    </row>
    <row r="256" spans="1:3" x14ac:dyDescent="0.3">
      <c r="A256" t="s">
        <v>467</v>
      </c>
      <c r="B256" t="s">
        <v>468</v>
      </c>
      <c r="C256" t="s">
        <v>1406</v>
      </c>
    </row>
    <row r="257" spans="1:3" x14ac:dyDescent="0.3">
      <c r="A257" t="s">
        <v>1859</v>
      </c>
      <c r="B257" t="s">
        <v>1860</v>
      </c>
      <c r="C257" t="s">
        <v>1406</v>
      </c>
    </row>
    <row r="258" spans="1:3" x14ac:dyDescent="0.3">
      <c r="A258" t="s">
        <v>469</v>
      </c>
      <c r="B258" t="s">
        <v>470</v>
      </c>
      <c r="C258" t="s">
        <v>1406</v>
      </c>
    </row>
    <row r="259" spans="1:3" x14ac:dyDescent="0.3">
      <c r="A259" t="s">
        <v>471</v>
      </c>
      <c r="B259" t="s">
        <v>472</v>
      </c>
      <c r="C259" t="s">
        <v>1406</v>
      </c>
    </row>
    <row r="260" spans="1:3" x14ac:dyDescent="0.3">
      <c r="A260" t="s">
        <v>473</v>
      </c>
      <c r="B260" t="s">
        <v>474</v>
      </c>
      <c r="C260" t="s">
        <v>1406</v>
      </c>
    </row>
    <row r="261" spans="1:3" x14ac:dyDescent="0.3">
      <c r="A261" t="s">
        <v>475</v>
      </c>
      <c r="B261" t="s">
        <v>476</v>
      </c>
      <c r="C261" t="s">
        <v>1406</v>
      </c>
    </row>
    <row r="262" spans="1:3" x14ac:dyDescent="0.3">
      <c r="A262" t="s">
        <v>477</v>
      </c>
      <c r="B262" t="s">
        <v>478</v>
      </c>
      <c r="C262" t="s">
        <v>1406</v>
      </c>
    </row>
    <row r="263" spans="1:3" x14ac:dyDescent="0.3">
      <c r="A263" t="s">
        <v>479</v>
      </c>
      <c r="B263" t="s">
        <v>480</v>
      </c>
      <c r="C263" t="s">
        <v>1406</v>
      </c>
    </row>
    <row r="264" spans="1:3" x14ac:dyDescent="0.3">
      <c r="A264" t="s">
        <v>481</v>
      </c>
      <c r="B264" t="s">
        <v>482</v>
      </c>
      <c r="C264" t="s">
        <v>1406</v>
      </c>
    </row>
    <row r="265" spans="1:3" x14ac:dyDescent="0.3">
      <c r="A265" t="s">
        <v>483</v>
      </c>
      <c r="B265" t="s">
        <v>484</v>
      </c>
      <c r="C265" t="s">
        <v>1406</v>
      </c>
    </row>
    <row r="266" spans="1:3" x14ac:dyDescent="0.3">
      <c r="A266" t="s">
        <v>485</v>
      </c>
      <c r="B266" t="s">
        <v>1861</v>
      </c>
      <c r="C266" t="s">
        <v>1406</v>
      </c>
    </row>
    <row r="267" spans="1:3" x14ac:dyDescent="0.3">
      <c r="A267" t="s">
        <v>486</v>
      </c>
      <c r="B267" t="s">
        <v>487</v>
      </c>
      <c r="C267" t="s">
        <v>1406</v>
      </c>
    </row>
    <row r="268" spans="1:3" x14ac:dyDescent="0.3">
      <c r="A268" t="s">
        <v>488</v>
      </c>
      <c r="B268" t="s">
        <v>1862</v>
      </c>
      <c r="C268" t="s">
        <v>1406</v>
      </c>
    </row>
    <row r="269" spans="1:3" x14ac:dyDescent="0.3">
      <c r="A269" t="s">
        <v>1863</v>
      </c>
      <c r="B269" t="s">
        <v>1864</v>
      </c>
      <c r="C269" t="s">
        <v>1406</v>
      </c>
    </row>
    <row r="270" spans="1:3" x14ac:dyDescent="0.3">
      <c r="A270" t="s">
        <v>1865</v>
      </c>
      <c r="B270" t="s">
        <v>1866</v>
      </c>
      <c r="C270" t="s">
        <v>1406</v>
      </c>
    </row>
    <row r="271" spans="1:3" x14ac:dyDescent="0.3">
      <c r="A271" t="s">
        <v>489</v>
      </c>
      <c r="B271" t="s">
        <v>490</v>
      </c>
      <c r="C271" t="s">
        <v>1406</v>
      </c>
    </row>
    <row r="272" spans="1:3" x14ac:dyDescent="0.3">
      <c r="A272" t="s">
        <v>1867</v>
      </c>
      <c r="B272" t="s">
        <v>1868</v>
      </c>
      <c r="C272" t="s">
        <v>1406</v>
      </c>
    </row>
    <row r="273" spans="1:3" x14ac:dyDescent="0.3">
      <c r="A273" t="s">
        <v>1869</v>
      </c>
      <c r="B273" t="s">
        <v>1870</v>
      </c>
      <c r="C273" t="s">
        <v>1406</v>
      </c>
    </row>
    <row r="274" spans="1:3" x14ac:dyDescent="0.3">
      <c r="A274" t="s">
        <v>491</v>
      </c>
      <c r="B274" t="s">
        <v>492</v>
      </c>
      <c r="C274" t="s">
        <v>1406</v>
      </c>
    </row>
    <row r="275" spans="1:3" x14ac:dyDescent="0.3">
      <c r="A275" t="s">
        <v>493</v>
      </c>
      <c r="B275" t="s">
        <v>494</v>
      </c>
      <c r="C275" t="s">
        <v>1406</v>
      </c>
    </row>
    <row r="276" spans="1:3" x14ac:dyDescent="0.3">
      <c r="A276" t="s">
        <v>495</v>
      </c>
      <c r="B276" t="s">
        <v>496</v>
      </c>
      <c r="C276" t="s">
        <v>1406</v>
      </c>
    </row>
    <row r="277" spans="1:3" x14ac:dyDescent="0.3">
      <c r="A277" t="s">
        <v>497</v>
      </c>
      <c r="B277" t="s">
        <v>498</v>
      </c>
      <c r="C277" t="s">
        <v>1406</v>
      </c>
    </row>
    <row r="278" spans="1:3" x14ac:dyDescent="0.3">
      <c r="A278" t="s">
        <v>499</v>
      </c>
      <c r="B278" t="s">
        <v>500</v>
      </c>
      <c r="C278" t="s">
        <v>1406</v>
      </c>
    </row>
    <row r="279" spans="1:3" x14ac:dyDescent="0.3">
      <c r="A279" t="s">
        <v>501</v>
      </c>
      <c r="B279" t="s">
        <v>502</v>
      </c>
      <c r="C279" t="s">
        <v>1406</v>
      </c>
    </row>
    <row r="280" spans="1:3" x14ac:dyDescent="0.3">
      <c r="A280" t="s">
        <v>503</v>
      </c>
      <c r="B280" t="s">
        <v>504</v>
      </c>
      <c r="C280" t="s">
        <v>1406</v>
      </c>
    </row>
    <row r="281" spans="1:3" x14ac:dyDescent="0.3">
      <c r="A281" t="s">
        <v>505</v>
      </c>
      <c r="B281" t="s">
        <v>506</v>
      </c>
      <c r="C281" t="s">
        <v>1406</v>
      </c>
    </row>
    <row r="282" spans="1:3" x14ac:dyDescent="0.3">
      <c r="A282" t="s">
        <v>507</v>
      </c>
      <c r="B282" t="s">
        <v>508</v>
      </c>
      <c r="C282" t="s">
        <v>1406</v>
      </c>
    </row>
    <row r="283" spans="1:3" x14ac:dyDescent="0.3">
      <c r="A283" t="s">
        <v>509</v>
      </c>
      <c r="B283" t="s">
        <v>510</v>
      </c>
      <c r="C283" t="s">
        <v>1406</v>
      </c>
    </row>
    <row r="284" spans="1:3" x14ac:dyDescent="0.3">
      <c r="A284" t="s">
        <v>511</v>
      </c>
      <c r="B284" t="s">
        <v>512</v>
      </c>
      <c r="C284" t="s">
        <v>1406</v>
      </c>
    </row>
    <row r="285" spans="1:3" x14ac:dyDescent="0.3">
      <c r="A285" t="s">
        <v>513</v>
      </c>
      <c r="B285" t="s">
        <v>514</v>
      </c>
      <c r="C285" t="s">
        <v>1406</v>
      </c>
    </row>
    <row r="286" spans="1:3" x14ac:dyDescent="0.3">
      <c r="A286" t="s">
        <v>515</v>
      </c>
      <c r="B286" t="s">
        <v>516</v>
      </c>
      <c r="C286" t="s">
        <v>1406</v>
      </c>
    </row>
    <row r="287" spans="1:3" x14ac:dyDescent="0.3">
      <c r="A287" t="s">
        <v>517</v>
      </c>
      <c r="B287" t="s">
        <v>518</v>
      </c>
      <c r="C287" t="s">
        <v>1406</v>
      </c>
    </row>
    <row r="288" spans="1:3" x14ac:dyDescent="0.3">
      <c r="A288" t="s">
        <v>519</v>
      </c>
      <c r="B288" t="s">
        <v>520</v>
      </c>
      <c r="C288" t="s">
        <v>1406</v>
      </c>
    </row>
    <row r="289" spans="1:3" x14ac:dyDescent="0.3">
      <c r="A289" t="s">
        <v>521</v>
      </c>
      <c r="B289" t="s">
        <v>522</v>
      </c>
      <c r="C289" t="s">
        <v>1406</v>
      </c>
    </row>
    <row r="290" spans="1:3" x14ac:dyDescent="0.3">
      <c r="A290" t="s">
        <v>523</v>
      </c>
      <c r="B290" t="s">
        <v>524</v>
      </c>
      <c r="C290" t="s">
        <v>1406</v>
      </c>
    </row>
    <row r="291" spans="1:3" x14ac:dyDescent="0.3">
      <c r="A291" t="s">
        <v>525</v>
      </c>
      <c r="B291" t="s">
        <v>526</v>
      </c>
      <c r="C291" t="s">
        <v>1406</v>
      </c>
    </row>
    <row r="292" spans="1:3" x14ac:dyDescent="0.3">
      <c r="A292" t="s">
        <v>527</v>
      </c>
      <c r="B292" t="s">
        <v>528</v>
      </c>
      <c r="C292" t="s">
        <v>1406</v>
      </c>
    </row>
    <row r="293" spans="1:3" x14ac:dyDescent="0.3">
      <c r="A293" t="s">
        <v>529</v>
      </c>
      <c r="B293" t="s">
        <v>530</v>
      </c>
      <c r="C293" t="s">
        <v>1406</v>
      </c>
    </row>
    <row r="294" spans="1:3" x14ac:dyDescent="0.3">
      <c r="A294" t="s">
        <v>531</v>
      </c>
      <c r="B294" t="s">
        <v>532</v>
      </c>
      <c r="C294" t="s">
        <v>1406</v>
      </c>
    </row>
    <row r="295" spans="1:3" x14ac:dyDescent="0.3">
      <c r="A295" t="s">
        <v>1871</v>
      </c>
      <c r="B295" t="s">
        <v>1872</v>
      </c>
      <c r="C295" t="s">
        <v>1406</v>
      </c>
    </row>
    <row r="296" spans="1:3" x14ac:dyDescent="0.3">
      <c r="A296" t="s">
        <v>533</v>
      </c>
      <c r="B296" t="s">
        <v>534</v>
      </c>
      <c r="C296" t="s">
        <v>1406</v>
      </c>
    </row>
    <row r="297" spans="1:3" x14ac:dyDescent="0.3">
      <c r="A297" t="s">
        <v>535</v>
      </c>
      <c r="B297" t="s">
        <v>1873</v>
      </c>
      <c r="C297" t="s">
        <v>1406</v>
      </c>
    </row>
    <row r="298" spans="1:3" x14ac:dyDescent="0.3">
      <c r="A298" t="s">
        <v>536</v>
      </c>
      <c r="B298" t="s">
        <v>537</v>
      </c>
      <c r="C298" t="s">
        <v>1406</v>
      </c>
    </row>
    <row r="299" spans="1:3" x14ac:dyDescent="0.3">
      <c r="A299" t="s">
        <v>538</v>
      </c>
      <c r="B299" t="s">
        <v>539</v>
      </c>
      <c r="C299" t="s">
        <v>1406</v>
      </c>
    </row>
    <row r="300" spans="1:3" x14ac:dyDescent="0.3">
      <c r="A300" t="s">
        <v>540</v>
      </c>
      <c r="B300" t="s">
        <v>541</v>
      </c>
      <c r="C300" t="s">
        <v>1406</v>
      </c>
    </row>
    <row r="301" spans="1:3" x14ac:dyDescent="0.3">
      <c r="A301" t="s">
        <v>542</v>
      </c>
      <c r="B301" t="s">
        <v>543</v>
      </c>
      <c r="C301" t="s">
        <v>1406</v>
      </c>
    </row>
    <row r="302" spans="1:3" x14ac:dyDescent="0.3">
      <c r="A302" t="s">
        <v>544</v>
      </c>
      <c r="B302" t="s">
        <v>545</v>
      </c>
      <c r="C302" t="s">
        <v>1406</v>
      </c>
    </row>
    <row r="303" spans="1:3" x14ac:dyDescent="0.3">
      <c r="A303" t="s">
        <v>546</v>
      </c>
      <c r="B303" t="s">
        <v>547</v>
      </c>
      <c r="C303" t="s">
        <v>1406</v>
      </c>
    </row>
    <row r="304" spans="1:3" x14ac:dyDescent="0.3">
      <c r="A304" t="s">
        <v>548</v>
      </c>
      <c r="B304" t="s">
        <v>549</v>
      </c>
      <c r="C304" t="s">
        <v>1406</v>
      </c>
    </row>
    <row r="305" spans="1:3" x14ac:dyDescent="0.3">
      <c r="A305" t="s">
        <v>550</v>
      </c>
      <c r="B305" t="s">
        <v>551</v>
      </c>
      <c r="C305" t="s">
        <v>1406</v>
      </c>
    </row>
    <row r="306" spans="1:3" x14ac:dyDescent="0.3">
      <c r="A306" t="s">
        <v>552</v>
      </c>
      <c r="B306" t="s">
        <v>553</v>
      </c>
      <c r="C306" t="s">
        <v>1406</v>
      </c>
    </row>
    <row r="307" spans="1:3" x14ac:dyDescent="0.3">
      <c r="A307" t="s">
        <v>554</v>
      </c>
      <c r="B307" t="s">
        <v>555</v>
      </c>
      <c r="C307" t="s">
        <v>1406</v>
      </c>
    </row>
    <row r="308" spans="1:3" x14ac:dyDescent="0.3">
      <c r="A308" t="s">
        <v>556</v>
      </c>
      <c r="B308" t="s">
        <v>557</v>
      </c>
      <c r="C308" t="s">
        <v>1406</v>
      </c>
    </row>
    <row r="309" spans="1:3" x14ac:dyDescent="0.3">
      <c r="A309" t="s">
        <v>558</v>
      </c>
      <c r="B309" t="s">
        <v>559</v>
      </c>
      <c r="C309" t="s">
        <v>1406</v>
      </c>
    </row>
    <row r="310" spans="1:3" x14ac:dyDescent="0.3">
      <c r="A310" t="s">
        <v>560</v>
      </c>
      <c r="B310" t="s">
        <v>561</v>
      </c>
      <c r="C310" t="s">
        <v>1406</v>
      </c>
    </row>
    <row r="311" spans="1:3" x14ac:dyDescent="0.3">
      <c r="A311" t="s">
        <v>562</v>
      </c>
      <c r="B311" t="s">
        <v>563</v>
      </c>
      <c r="C311" t="s">
        <v>1406</v>
      </c>
    </row>
    <row r="312" spans="1:3" x14ac:dyDescent="0.3">
      <c r="A312" t="s">
        <v>564</v>
      </c>
      <c r="B312" t="s">
        <v>565</v>
      </c>
      <c r="C312" t="s">
        <v>1406</v>
      </c>
    </row>
    <row r="313" spans="1:3" x14ac:dyDescent="0.3">
      <c r="A313" t="s">
        <v>566</v>
      </c>
      <c r="B313" t="s">
        <v>567</v>
      </c>
      <c r="C313" t="s">
        <v>1406</v>
      </c>
    </row>
    <row r="314" spans="1:3" x14ac:dyDescent="0.3">
      <c r="A314" t="s">
        <v>568</v>
      </c>
      <c r="B314" t="s">
        <v>569</v>
      </c>
      <c r="C314" t="s">
        <v>1406</v>
      </c>
    </row>
    <row r="315" spans="1:3" x14ac:dyDescent="0.3">
      <c r="A315" t="s">
        <v>570</v>
      </c>
      <c r="B315" t="s">
        <v>571</v>
      </c>
      <c r="C315" t="s">
        <v>1406</v>
      </c>
    </row>
    <row r="316" spans="1:3" x14ac:dyDescent="0.3">
      <c r="A316" t="s">
        <v>572</v>
      </c>
      <c r="B316" t="s">
        <v>573</v>
      </c>
      <c r="C316" t="s">
        <v>1406</v>
      </c>
    </row>
    <row r="317" spans="1:3" x14ac:dyDescent="0.3">
      <c r="A317" t="s">
        <v>1874</v>
      </c>
      <c r="B317" t="s">
        <v>1875</v>
      </c>
      <c r="C317" t="s">
        <v>1406</v>
      </c>
    </row>
    <row r="318" spans="1:3" x14ac:dyDescent="0.3">
      <c r="A318" t="s">
        <v>574</v>
      </c>
      <c r="B318" t="s">
        <v>575</v>
      </c>
      <c r="C318" t="s">
        <v>1406</v>
      </c>
    </row>
    <row r="319" spans="1:3" x14ac:dyDescent="0.3">
      <c r="A319" t="s">
        <v>576</v>
      </c>
      <c r="B319" t="s">
        <v>577</v>
      </c>
      <c r="C319" t="s">
        <v>1406</v>
      </c>
    </row>
    <row r="320" spans="1:3" x14ac:dyDescent="0.3">
      <c r="A320" t="s">
        <v>578</v>
      </c>
      <c r="B320" t="s">
        <v>579</v>
      </c>
      <c r="C320" t="s">
        <v>1406</v>
      </c>
    </row>
    <row r="321" spans="1:3" x14ac:dyDescent="0.3">
      <c r="A321" t="s">
        <v>580</v>
      </c>
      <c r="B321" t="s">
        <v>581</v>
      </c>
      <c r="C321" t="s">
        <v>1406</v>
      </c>
    </row>
    <row r="322" spans="1:3" x14ac:dyDescent="0.3">
      <c r="A322" t="s">
        <v>582</v>
      </c>
      <c r="B322" t="s">
        <v>583</v>
      </c>
      <c r="C322" t="s">
        <v>1406</v>
      </c>
    </row>
    <row r="323" spans="1:3" x14ac:dyDescent="0.3">
      <c r="A323" t="s">
        <v>584</v>
      </c>
      <c r="B323" t="s">
        <v>585</v>
      </c>
      <c r="C323" t="s">
        <v>1406</v>
      </c>
    </row>
    <row r="324" spans="1:3" x14ac:dyDescent="0.3">
      <c r="A324" t="s">
        <v>1876</v>
      </c>
      <c r="B324" t="s">
        <v>1877</v>
      </c>
      <c r="C324" t="s">
        <v>1406</v>
      </c>
    </row>
    <row r="325" spans="1:3" x14ac:dyDescent="0.3">
      <c r="A325" t="s">
        <v>586</v>
      </c>
      <c r="B325" t="s">
        <v>587</v>
      </c>
      <c r="C325" t="s">
        <v>1406</v>
      </c>
    </row>
    <row r="326" spans="1:3" x14ac:dyDescent="0.3">
      <c r="A326" t="s">
        <v>588</v>
      </c>
      <c r="B326" t="s">
        <v>589</v>
      </c>
      <c r="C326" t="s">
        <v>1406</v>
      </c>
    </row>
    <row r="327" spans="1:3" x14ac:dyDescent="0.3">
      <c r="A327" t="s">
        <v>590</v>
      </c>
      <c r="B327" t="s">
        <v>591</v>
      </c>
      <c r="C327" t="s">
        <v>1406</v>
      </c>
    </row>
    <row r="328" spans="1:3" x14ac:dyDescent="0.3">
      <c r="A328" t="s">
        <v>592</v>
      </c>
      <c r="B328" t="s">
        <v>1878</v>
      </c>
      <c r="C328" t="s">
        <v>1406</v>
      </c>
    </row>
    <row r="329" spans="1:3" x14ac:dyDescent="0.3">
      <c r="A329" t="s">
        <v>1879</v>
      </c>
      <c r="B329" t="s">
        <v>1880</v>
      </c>
      <c r="C329" t="s">
        <v>1406</v>
      </c>
    </row>
    <row r="330" spans="1:3" x14ac:dyDescent="0.3">
      <c r="A330" t="s">
        <v>593</v>
      </c>
      <c r="B330" t="s">
        <v>594</v>
      </c>
      <c r="C330" t="s">
        <v>1406</v>
      </c>
    </row>
    <row r="331" spans="1:3" x14ac:dyDescent="0.3">
      <c r="A331" t="s">
        <v>1881</v>
      </c>
      <c r="B331" t="s">
        <v>1882</v>
      </c>
      <c r="C331" t="s">
        <v>1406</v>
      </c>
    </row>
    <row r="332" spans="1:3" x14ac:dyDescent="0.3">
      <c r="A332" t="s">
        <v>1883</v>
      </c>
      <c r="B332" t="s">
        <v>1884</v>
      </c>
      <c r="C332" t="s">
        <v>1406</v>
      </c>
    </row>
    <row r="333" spans="1:3" x14ac:dyDescent="0.3">
      <c r="A333" t="s">
        <v>1885</v>
      </c>
      <c r="B333" t="s">
        <v>1886</v>
      </c>
      <c r="C333" t="s">
        <v>1406</v>
      </c>
    </row>
    <row r="334" spans="1:3" x14ac:dyDescent="0.3">
      <c r="A334" t="s">
        <v>1887</v>
      </c>
      <c r="B334" t="s">
        <v>1888</v>
      </c>
      <c r="C334" t="s">
        <v>1406</v>
      </c>
    </row>
    <row r="335" spans="1:3" x14ac:dyDescent="0.3">
      <c r="A335" t="s">
        <v>595</v>
      </c>
      <c r="B335" t="s">
        <v>596</v>
      </c>
      <c r="C335" t="s">
        <v>1406</v>
      </c>
    </row>
    <row r="336" spans="1:3" x14ac:dyDescent="0.3">
      <c r="A336" t="s">
        <v>1889</v>
      </c>
      <c r="B336" t="s">
        <v>1890</v>
      </c>
      <c r="C336" t="s">
        <v>1406</v>
      </c>
    </row>
    <row r="337" spans="1:3" x14ac:dyDescent="0.3">
      <c r="A337" t="s">
        <v>597</v>
      </c>
      <c r="B337" t="s">
        <v>1891</v>
      </c>
      <c r="C337" t="s">
        <v>1406</v>
      </c>
    </row>
    <row r="338" spans="1:3" x14ac:dyDescent="0.3">
      <c r="A338" t="s">
        <v>1892</v>
      </c>
      <c r="B338" t="s">
        <v>1893</v>
      </c>
      <c r="C338" t="s">
        <v>1406</v>
      </c>
    </row>
    <row r="339" spans="1:3" x14ac:dyDescent="0.3">
      <c r="A339" t="s">
        <v>598</v>
      </c>
      <c r="B339" t="s">
        <v>1894</v>
      </c>
      <c r="C339" t="s">
        <v>1406</v>
      </c>
    </row>
    <row r="340" spans="1:3" x14ac:dyDescent="0.3">
      <c r="A340" t="s">
        <v>599</v>
      </c>
      <c r="B340" t="s">
        <v>1895</v>
      </c>
      <c r="C340" t="s">
        <v>1406</v>
      </c>
    </row>
    <row r="341" spans="1:3" x14ac:dyDescent="0.3">
      <c r="A341" t="s">
        <v>600</v>
      </c>
      <c r="B341" t="s">
        <v>1896</v>
      </c>
      <c r="C341" t="s">
        <v>1406</v>
      </c>
    </row>
    <row r="342" spans="1:3" x14ac:dyDescent="0.3">
      <c r="A342" t="s">
        <v>601</v>
      </c>
      <c r="B342" t="s">
        <v>1897</v>
      </c>
      <c r="C342" t="s">
        <v>1406</v>
      </c>
    </row>
    <row r="343" spans="1:3" x14ac:dyDescent="0.3">
      <c r="A343" t="s">
        <v>602</v>
      </c>
      <c r="B343" t="s">
        <v>1898</v>
      </c>
      <c r="C343" t="s">
        <v>1406</v>
      </c>
    </row>
    <row r="344" spans="1:3" x14ac:dyDescent="0.3">
      <c r="A344" t="s">
        <v>603</v>
      </c>
      <c r="B344" t="s">
        <v>604</v>
      </c>
      <c r="C344" t="s">
        <v>1406</v>
      </c>
    </row>
    <row r="345" spans="1:3" x14ac:dyDescent="0.3">
      <c r="A345" t="s">
        <v>605</v>
      </c>
      <c r="B345" t="s">
        <v>606</v>
      </c>
      <c r="C345" t="s">
        <v>1406</v>
      </c>
    </row>
    <row r="346" spans="1:3" x14ac:dyDescent="0.3">
      <c r="A346" t="s">
        <v>607</v>
      </c>
      <c r="B346" t="s">
        <v>608</v>
      </c>
      <c r="C346" t="s">
        <v>1406</v>
      </c>
    </row>
    <row r="347" spans="1:3" x14ac:dyDescent="0.3">
      <c r="A347" t="s">
        <v>609</v>
      </c>
      <c r="B347" t="s">
        <v>610</v>
      </c>
      <c r="C347" t="s">
        <v>1406</v>
      </c>
    </row>
    <row r="348" spans="1:3" x14ac:dyDescent="0.3">
      <c r="A348" t="s">
        <v>611</v>
      </c>
      <c r="B348" t="s">
        <v>612</v>
      </c>
      <c r="C348" t="s">
        <v>1406</v>
      </c>
    </row>
    <row r="349" spans="1:3" x14ac:dyDescent="0.3">
      <c r="A349" t="s">
        <v>613</v>
      </c>
      <c r="B349" t="s">
        <v>614</v>
      </c>
      <c r="C349" t="s">
        <v>1406</v>
      </c>
    </row>
    <row r="350" spans="1:3" x14ac:dyDescent="0.3">
      <c r="A350" t="s">
        <v>615</v>
      </c>
      <c r="B350" t="s">
        <v>616</v>
      </c>
      <c r="C350" t="s">
        <v>1406</v>
      </c>
    </row>
    <row r="351" spans="1:3" x14ac:dyDescent="0.3">
      <c r="A351" t="s">
        <v>617</v>
      </c>
      <c r="B351" t="s">
        <v>618</v>
      </c>
      <c r="C351" t="s">
        <v>1406</v>
      </c>
    </row>
    <row r="352" spans="1:3" x14ac:dyDescent="0.3">
      <c r="A352" t="s">
        <v>619</v>
      </c>
      <c r="B352" t="s">
        <v>620</v>
      </c>
      <c r="C352" t="s">
        <v>1406</v>
      </c>
    </row>
    <row r="353" spans="1:3" x14ac:dyDescent="0.3">
      <c r="A353" t="s">
        <v>621</v>
      </c>
      <c r="B353" t="s">
        <v>622</v>
      </c>
      <c r="C353" t="s">
        <v>1406</v>
      </c>
    </row>
    <row r="354" spans="1:3" x14ac:dyDescent="0.3">
      <c r="A354" t="s">
        <v>1407</v>
      </c>
      <c r="B354" t="s">
        <v>1408</v>
      </c>
      <c r="C354" t="s">
        <v>1406</v>
      </c>
    </row>
    <row r="355" spans="1:3" x14ac:dyDescent="0.3">
      <c r="A355" t="s">
        <v>623</v>
      </c>
      <c r="B355" t="s">
        <v>624</v>
      </c>
      <c r="C355" t="s">
        <v>1406</v>
      </c>
    </row>
    <row r="356" spans="1:3" x14ac:dyDescent="0.3">
      <c r="A356" t="s">
        <v>625</v>
      </c>
      <c r="B356" t="s">
        <v>626</v>
      </c>
      <c r="C356" t="s">
        <v>1406</v>
      </c>
    </row>
    <row r="357" spans="1:3" x14ac:dyDescent="0.3">
      <c r="A357" t="s">
        <v>627</v>
      </c>
      <c r="B357" t="s">
        <v>628</v>
      </c>
      <c r="C357" t="s">
        <v>1406</v>
      </c>
    </row>
    <row r="358" spans="1:3" x14ac:dyDescent="0.3">
      <c r="A358" t="s">
        <v>629</v>
      </c>
      <c r="B358" t="s">
        <v>630</v>
      </c>
      <c r="C358" t="s">
        <v>1406</v>
      </c>
    </row>
    <row r="359" spans="1:3" x14ac:dyDescent="0.3">
      <c r="A359" t="s">
        <v>1899</v>
      </c>
      <c r="B359" t="s">
        <v>1900</v>
      </c>
      <c r="C359" t="s">
        <v>1406</v>
      </c>
    </row>
    <row r="360" spans="1:3" x14ac:dyDescent="0.3">
      <c r="A360" t="s">
        <v>631</v>
      </c>
      <c r="B360" t="s">
        <v>1901</v>
      </c>
      <c r="C360" t="s">
        <v>1406</v>
      </c>
    </row>
    <row r="361" spans="1:3" x14ac:dyDescent="0.3">
      <c r="A361" t="s">
        <v>632</v>
      </c>
      <c r="B361" t="s">
        <v>633</v>
      </c>
      <c r="C361" t="s">
        <v>1406</v>
      </c>
    </row>
    <row r="362" spans="1:3" x14ac:dyDescent="0.3">
      <c r="A362" t="s">
        <v>634</v>
      </c>
      <c r="B362" t="s">
        <v>635</v>
      </c>
      <c r="C362" t="s">
        <v>1406</v>
      </c>
    </row>
    <row r="363" spans="1:3" x14ac:dyDescent="0.3">
      <c r="A363" t="s">
        <v>1902</v>
      </c>
      <c r="B363" t="s">
        <v>1903</v>
      </c>
      <c r="C363" t="s">
        <v>1406</v>
      </c>
    </row>
    <row r="364" spans="1:3" x14ac:dyDescent="0.3">
      <c r="A364" t="s">
        <v>636</v>
      </c>
      <c r="B364" t="s">
        <v>1904</v>
      </c>
      <c r="C364" t="s">
        <v>1406</v>
      </c>
    </row>
    <row r="365" spans="1:3" x14ac:dyDescent="0.3">
      <c r="A365" t="s">
        <v>637</v>
      </c>
      <c r="B365" t="s">
        <v>638</v>
      </c>
      <c r="C365" t="s">
        <v>1406</v>
      </c>
    </row>
    <row r="366" spans="1:3" x14ac:dyDescent="0.3">
      <c r="A366" t="s">
        <v>639</v>
      </c>
      <c r="B366" t="s">
        <v>640</v>
      </c>
      <c r="C366" t="s">
        <v>1406</v>
      </c>
    </row>
    <row r="367" spans="1:3" x14ac:dyDescent="0.3">
      <c r="A367" t="s">
        <v>641</v>
      </c>
      <c r="B367" t="s">
        <v>642</v>
      </c>
      <c r="C367" t="s">
        <v>1406</v>
      </c>
    </row>
    <row r="368" spans="1:3" x14ac:dyDescent="0.3">
      <c r="A368" t="s">
        <v>643</v>
      </c>
      <c r="B368" t="s">
        <v>644</v>
      </c>
      <c r="C368" t="s">
        <v>1406</v>
      </c>
    </row>
    <row r="369" spans="1:3" x14ac:dyDescent="0.3">
      <c r="A369" t="s">
        <v>645</v>
      </c>
      <c r="B369" t="s">
        <v>646</v>
      </c>
      <c r="C369" t="s">
        <v>1406</v>
      </c>
    </row>
    <row r="370" spans="1:3" x14ac:dyDescent="0.3">
      <c r="A370" t="s">
        <v>647</v>
      </c>
      <c r="B370" t="s">
        <v>648</v>
      </c>
      <c r="C370" t="s">
        <v>1406</v>
      </c>
    </row>
    <row r="371" spans="1:3" x14ac:dyDescent="0.3">
      <c r="A371" t="s">
        <v>649</v>
      </c>
      <c r="B371" t="s">
        <v>1905</v>
      </c>
      <c r="C371" t="s">
        <v>1406</v>
      </c>
    </row>
    <row r="372" spans="1:3" x14ac:dyDescent="0.3">
      <c r="A372" t="s">
        <v>650</v>
      </c>
      <c r="B372" t="s">
        <v>651</v>
      </c>
      <c r="C372" t="s">
        <v>1406</v>
      </c>
    </row>
    <row r="373" spans="1:3" x14ac:dyDescent="0.3">
      <c r="A373" t="s">
        <v>652</v>
      </c>
      <c r="B373" t="s">
        <v>653</v>
      </c>
      <c r="C373" t="s">
        <v>1406</v>
      </c>
    </row>
    <row r="374" spans="1:3" x14ac:dyDescent="0.3">
      <c r="A374" t="s">
        <v>654</v>
      </c>
      <c r="B374" t="s">
        <v>655</v>
      </c>
      <c r="C374" t="s">
        <v>1406</v>
      </c>
    </row>
    <row r="375" spans="1:3" x14ac:dyDescent="0.3">
      <c r="A375" t="s">
        <v>656</v>
      </c>
      <c r="B375" t="s">
        <v>657</v>
      </c>
      <c r="C375" t="s">
        <v>1406</v>
      </c>
    </row>
    <row r="376" spans="1:3" x14ac:dyDescent="0.3">
      <c r="A376" t="s">
        <v>658</v>
      </c>
      <c r="B376" t="s">
        <v>659</v>
      </c>
      <c r="C376" t="s">
        <v>1406</v>
      </c>
    </row>
    <row r="377" spans="1:3" x14ac:dyDescent="0.3">
      <c r="A377" t="s">
        <v>660</v>
      </c>
      <c r="B377" t="s">
        <v>661</v>
      </c>
      <c r="C377" t="s">
        <v>1406</v>
      </c>
    </row>
    <row r="378" spans="1:3" x14ac:dyDescent="0.3">
      <c r="A378" t="s">
        <v>662</v>
      </c>
      <c r="B378" t="s">
        <v>663</v>
      </c>
      <c r="C378" t="s">
        <v>1406</v>
      </c>
    </row>
    <row r="379" spans="1:3" x14ac:dyDescent="0.3">
      <c r="A379" t="s">
        <v>664</v>
      </c>
      <c r="B379" t="s">
        <v>665</v>
      </c>
      <c r="C379" t="s">
        <v>1406</v>
      </c>
    </row>
    <row r="380" spans="1:3" x14ac:dyDescent="0.3">
      <c r="A380" t="s">
        <v>666</v>
      </c>
      <c r="B380" t="s">
        <v>667</v>
      </c>
      <c r="C380" t="s">
        <v>1406</v>
      </c>
    </row>
    <row r="381" spans="1:3" x14ac:dyDescent="0.3">
      <c r="A381" t="s">
        <v>668</v>
      </c>
      <c r="B381" t="s">
        <v>1906</v>
      </c>
      <c r="C381" t="s">
        <v>1406</v>
      </c>
    </row>
    <row r="382" spans="1:3" x14ac:dyDescent="0.3">
      <c r="A382" t="s">
        <v>669</v>
      </c>
      <c r="B382" t="s">
        <v>670</v>
      </c>
      <c r="C382" t="s">
        <v>1406</v>
      </c>
    </row>
    <row r="383" spans="1:3" x14ac:dyDescent="0.3">
      <c r="A383" t="s">
        <v>1907</v>
      </c>
      <c r="B383" t="s">
        <v>1908</v>
      </c>
      <c r="C383" t="s">
        <v>1406</v>
      </c>
    </row>
    <row r="384" spans="1:3" x14ac:dyDescent="0.3">
      <c r="A384" t="s">
        <v>671</v>
      </c>
      <c r="B384" t="s">
        <v>1909</v>
      </c>
      <c r="C384" t="s">
        <v>1406</v>
      </c>
    </row>
    <row r="385" spans="1:3" x14ac:dyDescent="0.3">
      <c r="A385" t="s">
        <v>1910</v>
      </c>
      <c r="B385" t="s">
        <v>1911</v>
      </c>
      <c r="C385" t="s">
        <v>1406</v>
      </c>
    </row>
    <row r="386" spans="1:3" x14ac:dyDescent="0.3">
      <c r="A386" t="s">
        <v>1912</v>
      </c>
      <c r="B386" t="s">
        <v>1913</v>
      </c>
      <c r="C386" t="s">
        <v>1406</v>
      </c>
    </row>
    <row r="387" spans="1:3" x14ac:dyDescent="0.3">
      <c r="A387" t="s">
        <v>1914</v>
      </c>
      <c r="B387" t="s">
        <v>1915</v>
      </c>
      <c r="C387" t="s">
        <v>1406</v>
      </c>
    </row>
    <row r="388" spans="1:3" x14ac:dyDescent="0.3">
      <c r="A388" t="s">
        <v>672</v>
      </c>
      <c r="B388" t="s">
        <v>673</v>
      </c>
      <c r="C388" t="s">
        <v>1406</v>
      </c>
    </row>
    <row r="389" spans="1:3" x14ac:dyDescent="0.3">
      <c r="A389" t="s">
        <v>674</v>
      </c>
      <c r="B389" t="s">
        <v>1916</v>
      </c>
      <c r="C389" t="s">
        <v>1391</v>
      </c>
    </row>
    <row r="390" spans="1:3" x14ac:dyDescent="0.3">
      <c r="A390" t="s">
        <v>675</v>
      </c>
      <c r="B390" t="s">
        <v>1917</v>
      </c>
      <c r="C390" t="s">
        <v>1391</v>
      </c>
    </row>
    <row r="391" spans="1:3" x14ac:dyDescent="0.3">
      <c r="A391" t="s">
        <v>676</v>
      </c>
      <c r="B391" t="s">
        <v>677</v>
      </c>
      <c r="C391" t="s">
        <v>1391</v>
      </c>
    </row>
    <row r="392" spans="1:3" x14ac:dyDescent="0.3">
      <c r="A392" t="s">
        <v>1409</v>
      </c>
      <c r="B392" t="s">
        <v>1410</v>
      </c>
      <c r="C392" t="s">
        <v>1391</v>
      </c>
    </row>
    <row r="393" spans="1:3" x14ac:dyDescent="0.3">
      <c r="A393" t="s">
        <v>1411</v>
      </c>
      <c r="B393" t="s">
        <v>1412</v>
      </c>
      <c r="C393" t="s">
        <v>1391</v>
      </c>
    </row>
    <row r="394" spans="1:3" x14ac:dyDescent="0.3">
      <c r="A394" t="s">
        <v>1413</v>
      </c>
      <c r="B394" t="s">
        <v>1414</v>
      </c>
      <c r="C394" t="s">
        <v>1391</v>
      </c>
    </row>
    <row r="395" spans="1:3" x14ac:dyDescent="0.3">
      <c r="A395" t="s">
        <v>1415</v>
      </c>
      <c r="B395" t="s">
        <v>1416</v>
      </c>
      <c r="C395" t="s">
        <v>1391</v>
      </c>
    </row>
    <row r="396" spans="1:3" x14ac:dyDescent="0.3">
      <c r="A396" t="s">
        <v>1417</v>
      </c>
      <c r="B396" t="s">
        <v>1418</v>
      </c>
      <c r="C396" t="s">
        <v>1391</v>
      </c>
    </row>
    <row r="397" spans="1:3" x14ac:dyDescent="0.3">
      <c r="A397" t="s">
        <v>1419</v>
      </c>
      <c r="B397" t="s">
        <v>1918</v>
      </c>
      <c r="C397" t="s">
        <v>1391</v>
      </c>
    </row>
    <row r="398" spans="1:3" x14ac:dyDescent="0.3">
      <c r="A398" t="s">
        <v>678</v>
      </c>
      <c r="B398" t="s">
        <v>679</v>
      </c>
      <c r="C398" t="s">
        <v>1406</v>
      </c>
    </row>
    <row r="399" spans="1:3" x14ac:dyDescent="0.3">
      <c r="A399" t="s">
        <v>680</v>
      </c>
      <c r="B399" t="s">
        <v>681</v>
      </c>
      <c r="C399" t="s">
        <v>1406</v>
      </c>
    </row>
    <row r="400" spans="1:3" x14ac:dyDescent="0.3">
      <c r="A400" t="s">
        <v>682</v>
      </c>
      <c r="B400" t="s">
        <v>683</v>
      </c>
      <c r="C400" t="s">
        <v>1406</v>
      </c>
    </row>
    <row r="401" spans="1:3" x14ac:dyDescent="0.3">
      <c r="A401" t="s">
        <v>684</v>
      </c>
      <c r="B401" t="s">
        <v>685</v>
      </c>
      <c r="C401" t="s">
        <v>1406</v>
      </c>
    </row>
    <row r="402" spans="1:3" x14ac:dyDescent="0.3">
      <c r="A402" t="s">
        <v>686</v>
      </c>
      <c r="B402" t="s">
        <v>687</v>
      </c>
      <c r="C402" t="s">
        <v>1406</v>
      </c>
    </row>
    <row r="403" spans="1:3" x14ac:dyDescent="0.3">
      <c r="A403" t="s">
        <v>688</v>
      </c>
      <c r="B403" t="s">
        <v>689</v>
      </c>
      <c r="C403" t="s">
        <v>1406</v>
      </c>
    </row>
    <row r="404" spans="1:3" x14ac:dyDescent="0.3">
      <c r="A404" t="s">
        <v>690</v>
      </c>
      <c r="B404" t="s">
        <v>691</v>
      </c>
      <c r="C404" t="s">
        <v>1406</v>
      </c>
    </row>
    <row r="405" spans="1:3" x14ac:dyDescent="0.3">
      <c r="A405" t="s">
        <v>692</v>
      </c>
      <c r="B405" t="s">
        <v>693</v>
      </c>
      <c r="C405" t="s">
        <v>1406</v>
      </c>
    </row>
    <row r="406" spans="1:3" x14ac:dyDescent="0.3">
      <c r="A406" t="s">
        <v>694</v>
      </c>
      <c r="B406" t="s">
        <v>695</v>
      </c>
      <c r="C406" t="s">
        <v>1406</v>
      </c>
    </row>
    <row r="407" spans="1:3" x14ac:dyDescent="0.3">
      <c r="A407" t="s">
        <v>696</v>
      </c>
      <c r="B407" t="s">
        <v>1301</v>
      </c>
      <c r="C407" t="s">
        <v>1406</v>
      </c>
    </row>
    <row r="408" spans="1:3" x14ac:dyDescent="0.3">
      <c r="A408" t="s">
        <v>697</v>
      </c>
      <c r="B408" t="s">
        <v>698</v>
      </c>
      <c r="C408" t="s">
        <v>1406</v>
      </c>
    </row>
    <row r="409" spans="1:3" x14ac:dyDescent="0.3">
      <c r="A409" t="s">
        <v>699</v>
      </c>
      <c r="B409" t="s">
        <v>700</v>
      </c>
      <c r="C409" t="s">
        <v>1406</v>
      </c>
    </row>
    <row r="410" spans="1:3" x14ac:dyDescent="0.3">
      <c r="A410" t="s">
        <v>701</v>
      </c>
      <c r="B410" t="s">
        <v>702</v>
      </c>
      <c r="C410" t="s">
        <v>1406</v>
      </c>
    </row>
    <row r="411" spans="1:3" x14ac:dyDescent="0.3">
      <c r="A411" t="s">
        <v>703</v>
      </c>
      <c r="B411" t="s">
        <v>704</v>
      </c>
      <c r="C411" t="s">
        <v>1406</v>
      </c>
    </row>
    <row r="412" spans="1:3" x14ac:dyDescent="0.3">
      <c r="A412" t="s">
        <v>705</v>
      </c>
      <c r="B412" t="s">
        <v>706</v>
      </c>
      <c r="C412" t="s">
        <v>1406</v>
      </c>
    </row>
    <row r="413" spans="1:3" x14ac:dyDescent="0.3">
      <c r="A413" t="s">
        <v>707</v>
      </c>
      <c r="B413" t="s">
        <v>708</v>
      </c>
      <c r="C413" t="s">
        <v>1406</v>
      </c>
    </row>
    <row r="414" spans="1:3" x14ac:dyDescent="0.3">
      <c r="A414" t="s">
        <v>709</v>
      </c>
      <c r="B414" t="s">
        <v>710</v>
      </c>
      <c r="C414" t="s">
        <v>1406</v>
      </c>
    </row>
    <row r="415" spans="1:3" x14ac:dyDescent="0.3">
      <c r="A415" t="s">
        <v>711</v>
      </c>
      <c r="B415" t="s">
        <v>712</v>
      </c>
      <c r="C415" t="s">
        <v>1406</v>
      </c>
    </row>
    <row r="416" spans="1:3" x14ac:dyDescent="0.3">
      <c r="A416" t="s">
        <v>713</v>
      </c>
      <c r="B416" t="s">
        <v>1919</v>
      </c>
      <c r="C416" t="s">
        <v>1406</v>
      </c>
    </row>
    <row r="417" spans="1:3" x14ac:dyDescent="0.3">
      <c r="A417" t="s">
        <v>714</v>
      </c>
      <c r="B417" t="s">
        <v>1920</v>
      </c>
      <c r="C417" t="s">
        <v>1406</v>
      </c>
    </row>
    <row r="418" spans="1:3" x14ac:dyDescent="0.3">
      <c r="A418" t="s">
        <v>715</v>
      </c>
      <c r="B418" t="s">
        <v>1921</v>
      </c>
      <c r="C418" t="s">
        <v>1406</v>
      </c>
    </row>
    <row r="419" spans="1:3" x14ac:dyDescent="0.3">
      <c r="A419" t="s">
        <v>716</v>
      </c>
      <c r="B419" t="s">
        <v>717</v>
      </c>
      <c r="C419" t="s">
        <v>1406</v>
      </c>
    </row>
    <row r="420" spans="1:3" x14ac:dyDescent="0.3">
      <c r="A420" t="s">
        <v>718</v>
      </c>
      <c r="B420" t="s">
        <v>719</v>
      </c>
      <c r="C420" t="s">
        <v>1406</v>
      </c>
    </row>
    <row r="421" spans="1:3" x14ac:dyDescent="0.3">
      <c r="A421" t="s">
        <v>1420</v>
      </c>
      <c r="B421" t="s">
        <v>1421</v>
      </c>
      <c r="C421" t="s">
        <v>1406</v>
      </c>
    </row>
    <row r="422" spans="1:3" x14ac:dyDescent="0.3">
      <c r="A422" t="s">
        <v>720</v>
      </c>
      <c r="B422" t="s">
        <v>721</v>
      </c>
      <c r="C422" t="s">
        <v>1406</v>
      </c>
    </row>
    <row r="423" spans="1:3" x14ac:dyDescent="0.3">
      <c r="A423" t="s">
        <v>722</v>
      </c>
      <c r="B423" t="s">
        <v>723</v>
      </c>
      <c r="C423" t="s">
        <v>1406</v>
      </c>
    </row>
    <row r="424" spans="1:3" x14ac:dyDescent="0.3">
      <c r="A424" t="s">
        <v>724</v>
      </c>
      <c r="B424" t="s">
        <v>725</v>
      </c>
      <c r="C424" t="s">
        <v>1406</v>
      </c>
    </row>
    <row r="425" spans="1:3" x14ac:dyDescent="0.3">
      <c r="A425" t="s">
        <v>726</v>
      </c>
      <c r="B425" t="s">
        <v>727</v>
      </c>
      <c r="C425" t="s">
        <v>1406</v>
      </c>
    </row>
    <row r="426" spans="1:3" x14ac:dyDescent="0.3">
      <c r="A426" t="s">
        <v>728</v>
      </c>
      <c r="B426" t="s">
        <v>729</v>
      </c>
      <c r="C426" t="s">
        <v>1406</v>
      </c>
    </row>
    <row r="427" spans="1:3" x14ac:dyDescent="0.3">
      <c r="A427" t="s">
        <v>730</v>
      </c>
      <c r="B427" t="s">
        <v>731</v>
      </c>
      <c r="C427" t="s">
        <v>1406</v>
      </c>
    </row>
    <row r="428" spans="1:3" x14ac:dyDescent="0.3">
      <c r="A428" t="s">
        <v>732</v>
      </c>
      <c r="B428" t="s">
        <v>1922</v>
      </c>
      <c r="C428" t="s">
        <v>1406</v>
      </c>
    </row>
    <row r="429" spans="1:3" x14ac:dyDescent="0.3">
      <c r="A429" t="s">
        <v>733</v>
      </c>
      <c r="B429" t="s">
        <v>1923</v>
      </c>
      <c r="C429" t="s">
        <v>1406</v>
      </c>
    </row>
    <row r="430" spans="1:3" x14ac:dyDescent="0.3">
      <c r="A430" t="s">
        <v>734</v>
      </c>
      <c r="B430" t="s">
        <v>1924</v>
      </c>
      <c r="C430" t="s">
        <v>1406</v>
      </c>
    </row>
    <row r="431" spans="1:3" x14ac:dyDescent="0.3">
      <c r="A431" t="s">
        <v>735</v>
      </c>
      <c r="B431" t="s">
        <v>1925</v>
      </c>
      <c r="C431" t="s">
        <v>1406</v>
      </c>
    </row>
    <row r="432" spans="1:3" x14ac:dyDescent="0.3">
      <c r="A432" t="s">
        <v>736</v>
      </c>
      <c r="B432" t="s">
        <v>737</v>
      </c>
      <c r="C432" t="s">
        <v>1406</v>
      </c>
    </row>
    <row r="433" spans="1:3" x14ac:dyDescent="0.3">
      <c r="A433" t="s">
        <v>738</v>
      </c>
      <c r="B433" t="s">
        <v>739</v>
      </c>
      <c r="C433" t="s">
        <v>1406</v>
      </c>
    </row>
    <row r="434" spans="1:3" x14ac:dyDescent="0.3">
      <c r="A434" t="s">
        <v>740</v>
      </c>
      <c r="B434" t="s">
        <v>741</v>
      </c>
      <c r="C434" t="s">
        <v>1406</v>
      </c>
    </row>
    <row r="435" spans="1:3" x14ac:dyDescent="0.3">
      <c r="A435" t="s">
        <v>742</v>
      </c>
      <c r="B435" t="s">
        <v>743</v>
      </c>
      <c r="C435" t="s">
        <v>1406</v>
      </c>
    </row>
    <row r="436" spans="1:3" x14ac:dyDescent="0.3">
      <c r="A436" t="s">
        <v>744</v>
      </c>
      <c r="B436" t="s">
        <v>745</v>
      </c>
      <c r="C436" t="s">
        <v>1406</v>
      </c>
    </row>
    <row r="437" spans="1:3" x14ac:dyDescent="0.3">
      <c r="A437" t="s">
        <v>746</v>
      </c>
      <c r="B437" t="s">
        <v>747</v>
      </c>
      <c r="C437" t="s">
        <v>1406</v>
      </c>
    </row>
    <row r="438" spans="1:3" x14ac:dyDescent="0.3">
      <c r="A438" t="s">
        <v>748</v>
      </c>
      <c r="B438" t="s">
        <v>749</v>
      </c>
      <c r="C438" t="s">
        <v>1406</v>
      </c>
    </row>
    <row r="439" spans="1:3" x14ac:dyDescent="0.3">
      <c r="A439" t="s">
        <v>750</v>
      </c>
      <c r="B439" t="s">
        <v>751</v>
      </c>
      <c r="C439" t="s">
        <v>1406</v>
      </c>
    </row>
    <row r="440" spans="1:3" x14ac:dyDescent="0.3">
      <c r="A440" t="s">
        <v>752</v>
      </c>
      <c r="B440" t="s">
        <v>753</v>
      </c>
      <c r="C440" t="s">
        <v>1406</v>
      </c>
    </row>
    <row r="441" spans="1:3" x14ac:dyDescent="0.3">
      <c r="A441" t="s">
        <v>754</v>
      </c>
      <c r="B441" t="s">
        <v>755</v>
      </c>
      <c r="C441" t="s">
        <v>1406</v>
      </c>
    </row>
    <row r="442" spans="1:3" x14ac:dyDescent="0.3">
      <c r="A442" t="s">
        <v>1422</v>
      </c>
      <c r="B442" t="s">
        <v>1423</v>
      </c>
      <c r="C442" t="s">
        <v>1406</v>
      </c>
    </row>
    <row r="443" spans="1:3" x14ac:dyDescent="0.3">
      <c r="A443" t="s">
        <v>756</v>
      </c>
      <c r="B443" t="s">
        <v>757</v>
      </c>
      <c r="C443" t="s">
        <v>1406</v>
      </c>
    </row>
    <row r="444" spans="1:3" x14ac:dyDescent="0.3">
      <c r="A444" t="s">
        <v>758</v>
      </c>
      <c r="B444" t="s">
        <v>759</v>
      </c>
      <c r="C444" t="s">
        <v>1406</v>
      </c>
    </row>
    <row r="445" spans="1:3" x14ac:dyDescent="0.3">
      <c r="A445" t="s">
        <v>760</v>
      </c>
      <c r="B445" t="s">
        <v>761</v>
      </c>
      <c r="C445" t="s">
        <v>1406</v>
      </c>
    </row>
    <row r="446" spans="1:3" x14ac:dyDescent="0.3">
      <c r="A446" t="s">
        <v>762</v>
      </c>
      <c r="B446" t="s">
        <v>763</v>
      </c>
      <c r="C446" t="s">
        <v>1406</v>
      </c>
    </row>
    <row r="447" spans="1:3" x14ac:dyDescent="0.3">
      <c r="A447" t="s">
        <v>764</v>
      </c>
      <c r="B447" t="s">
        <v>765</v>
      </c>
      <c r="C447" t="s">
        <v>1406</v>
      </c>
    </row>
    <row r="448" spans="1:3" x14ac:dyDescent="0.3">
      <c r="A448" t="s">
        <v>766</v>
      </c>
      <c r="B448" t="s">
        <v>767</v>
      </c>
      <c r="C448" t="s">
        <v>1406</v>
      </c>
    </row>
    <row r="449" spans="1:3" x14ac:dyDescent="0.3">
      <c r="A449" t="s">
        <v>768</v>
      </c>
      <c r="B449" t="s">
        <v>769</v>
      </c>
      <c r="C449" t="s">
        <v>1406</v>
      </c>
    </row>
    <row r="450" spans="1:3" x14ac:dyDescent="0.3">
      <c r="A450" t="s">
        <v>770</v>
      </c>
      <c r="B450" t="s">
        <v>1926</v>
      </c>
      <c r="C450" t="s">
        <v>1406</v>
      </c>
    </row>
    <row r="451" spans="1:3" x14ac:dyDescent="0.3">
      <c r="A451" t="s">
        <v>1424</v>
      </c>
      <c r="B451" t="s">
        <v>1425</v>
      </c>
      <c r="C451" t="s">
        <v>1406</v>
      </c>
    </row>
    <row r="452" spans="1:3" x14ac:dyDescent="0.3">
      <c r="A452" t="s">
        <v>771</v>
      </c>
      <c r="B452" t="s">
        <v>772</v>
      </c>
      <c r="C452" t="s">
        <v>1406</v>
      </c>
    </row>
    <row r="453" spans="1:3" x14ac:dyDescent="0.3">
      <c r="A453" t="s">
        <v>773</v>
      </c>
      <c r="B453" t="s">
        <v>774</v>
      </c>
      <c r="C453" t="s">
        <v>1406</v>
      </c>
    </row>
    <row r="454" spans="1:3" x14ac:dyDescent="0.3">
      <c r="A454" t="s">
        <v>775</v>
      </c>
      <c r="B454" t="s">
        <v>776</v>
      </c>
      <c r="C454" t="s">
        <v>1406</v>
      </c>
    </row>
    <row r="455" spans="1:3" x14ac:dyDescent="0.3">
      <c r="A455" t="s">
        <v>777</v>
      </c>
      <c r="B455" t="s">
        <v>778</v>
      </c>
      <c r="C455" t="s">
        <v>1406</v>
      </c>
    </row>
    <row r="456" spans="1:3" x14ac:dyDescent="0.3">
      <c r="A456" t="s">
        <v>779</v>
      </c>
      <c r="B456" t="s">
        <v>780</v>
      </c>
      <c r="C456" t="s">
        <v>1406</v>
      </c>
    </row>
    <row r="457" spans="1:3" x14ac:dyDescent="0.3">
      <c r="A457" t="s">
        <v>781</v>
      </c>
      <c r="B457" t="s">
        <v>782</v>
      </c>
      <c r="C457" t="s">
        <v>1406</v>
      </c>
    </row>
    <row r="458" spans="1:3" x14ac:dyDescent="0.3">
      <c r="A458" t="s">
        <v>783</v>
      </c>
      <c r="B458" t="s">
        <v>784</v>
      </c>
      <c r="C458" t="s">
        <v>1406</v>
      </c>
    </row>
    <row r="459" spans="1:3" x14ac:dyDescent="0.3">
      <c r="A459" t="s">
        <v>785</v>
      </c>
      <c r="B459" t="s">
        <v>786</v>
      </c>
      <c r="C459" t="s">
        <v>1406</v>
      </c>
    </row>
    <row r="460" spans="1:3" x14ac:dyDescent="0.3">
      <c r="A460" t="s">
        <v>787</v>
      </c>
      <c r="B460" t="s">
        <v>788</v>
      </c>
      <c r="C460" t="s">
        <v>1406</v>
      </c>
    </row>
    <row r="461" spans="1:3" x14ac:dyDescent="0.3">
      <c r="A461" t="s">
        <v>789</v>
      </c>
      <c r="B461" t="s">
        <v>790</v>
      </c>
      <c r="C461" t="s">
        <v>1406</v>
      </c>
    </row>
    <row r="462" spans="1:3" x14ac:dyDescent="0.3">
      <c r="A462" t="s">
        <v>791</v>
      </c>
      <c r="B462" t="s">
        <v>792</v>
      </c>
      <c r="C462" t="s">
        <v>1406</v>
      </c>
    </row>
    <row r="463" spans="1:3" x14ac:dyDescent="0.3">
      <c r="A463" t="s">
        <v>793</v>
      </c>
      <c r="B463" t="s">
        <v>794</v>
      </c>
      <c r="C463" t="s">
        <v>1406</v>
      </c>
    </row>
    <row r="464" spans="1:3" x14ac:dyDescent="0.3">
      <c r="A464" t="s">
        <v>795</v>
      </c>
      <c r="B464" t="s">
        <v>796</v>
      </c>
      <c r="C464" t="s">
        <v>1406</v>
      </c>
    </row>
    <row r="465" spans="1:3" x14ac:dyDescent="0.3">
      <c r="A465" t="s">
        <v>797</v>
      </c>
      <c r="B465" t="s">
        <v>798</v>
      </c>
      <c r="C465" t="s">
        <v>1406</v>
      </c>
    </row>
    <row r="466" spans="1:3" x14ac:dyDescent="0.3">
      <c r="A466" t="s">
        <v>799</v>
      </c>
      <c r="B466" t="s">
        <v>800</v>
      </c>
      <c r="C466" t="s">
        <v>1406</v>
      </c>
    </row>
    <row r="467" spans="1:3" x14ac:dyDescent="0.3">
      <c r="A467" t="s">
        <v>801</v>
      </c>
      <c r="B467" t="s">
        <v>802</v>
      </c>
      <c r="C467" t="s">
        <v>1406</v>
      </c>
    </row>
    <row r="468" spans="1:3" x14ac:dyDescent="0.3">
      <c r="A468" t="s">
        <v>803</v>
      </c>
      <c r="B468" t="s">
        <v>804</v>
      </c>
      <c r="C468" t="s">
        <v>1406</v>
      </c>
    </row>
    <row r="469" spans="1:3" x14ac:dyDescent="0.3">
      <c r="A469" t="s">
        <v>805</v>
      </c>
      <c r="B469" t="s">
        <v>806</v>
      </c>
      <c r="C469" t="s">
        <v>1406</v>
      </c>
    </row>
    <row r="470" spans="1:3" x14ac:dyDescent="0.3">
      <c r="A470" t="s">
        <v>807</v>
      </c>
      <c r="B470" t="s">
        <v>808</v>
      </c>
      <c r="C470" t="s">
        <v>1406</v>
      </c>
    </row>
    <row r="471" spans="1:3" x14ac:dyDescent="0.3">
      <c r="A471" t="s">
        <v>809</v>
      </c>
      <c r="B471" t="s">
        <v>810</v>
      </c>
      <c r="C471" t="s">
        <v>1406</v>
      </c>
    </row>
    <row r="472" spans="1:3" x14ac:dyDescent="0.3">
      <c r="A472" t="s">
        <v>811</v>
      </c>
      <c r="B472" t="s">
        <v>812</v>
      </c>
      <c r="C472" t="s">
        <v>1406</v>
      </c>
    </row>
    <row r="473" spans="1:3" x14ac:dyDescent="0.3">
      <c r="A473" t="s">
        <v>813</v>
      </c>
      <c r="B473" t="s">
        <v>814</v>
      </c>
      <c r="C473" t="s">
        <v>1406</v>
      </c>
    </row>
    <row r="474" spans="1:3" x14ac:dyDescent="0.3">
      <c r="A474" t="s">
        <v>815</v>
      </c>
      <c r="B474" t="s">
        <v>816</v>
      </c>
      <c r="C474" t="s">
        <v>1406</v>
      </c>
    </row>
    <row r="475" spans="1:3" x14ac:dyDescent="0.3">
      <c r="A475" t="s">
        <v>817</v>
      </c>
      <c r="B475" t="s">
        <v>818</v>
      </c>
      <c r="C475" t="s">
        <v>1406</v>
      </c>
    </row>
    <row r="476" spans="1:3" x14ac:dyDescent="0.3">
      <c r="A476" t="s">
        <v>819</v>
      </c>
      <c r="B476" t="s">
        <v>820</v>
      </c>
      <c r="C476" t="s">
        <v>1406</v>
      </c>
    </row>
    <row r="477" spans="1:3" x14ac:dyDescent="0.3">
      <c r="A477" t="s">
        <v>821</v>
      </c>
      <c r="B477" t="s">
        <v>1426</v>
      </c>
      <c r="C477" t="s">
        <v>1406</v>
      </c>
    </row>
    <row r="478" spans="1:3" x14ac:dyDescent="0.3">
      <c r="A478" t="s">
        <v>822</v>
      </c>
      <c r="B478" t="s">
        <v>823</v>
      </c>
      <c r="C478" t="s">
        <v>1406</v>
      </c>
    </row>
    <row r="479" spans="1:3" x14ac:dyDescent="0.3">
      <c r="A479" t="s">
        <v>824</v>
      </c>
      <c r="B479" t="s">
        <v>825</v>
      </c>
      <c r="C479" t="s">
        <v>1391</v>
      </c>
    </row>
    <row r="480" spans="1:3" x14ac:dyDescent="0.3">
      <c r="A480" t="s">
        <v>826</v>
      </c>
      <c r="B480" t="s">
        <v>827</v>
      </c>
      <c r="C480" t="s">
        <v>1391</v>
      </c>
    </row>
    <row r="481" spans="1:3" x14ac:dyDescent="0.3">
      <c r="A481" t="s">
        <v>828</v>
      </c>
      <c r="B481" t="s">
        <v>829</v>
      </c>
      <c r="C481" t="s">
        <v>1406</v>
      </c>
    </row>
    <row r="482" spans="1:3" x14ac:dyDescent="0.3">
      <c r="A482" t="s">
        <v>830</v>
      </c>
      <c r="B482" t="s">
        <v>831</v>
      </c>
      <c r="C482" t="s">
        <v>1406</v>
      </c>
    </row>
    <row r="483" spans="1:3" x14ac:dyDescent="0.3">
      <c r="A483" t="s">
        <v>832</v>
      </c>
      <c r="B483" t="s">
        <v>833</v>
      </c>
      <c r="C483" t="s">
        <v>1406</v>
      </c>
    </row>
    <row r="484" spans="1:3" x14ac:dyDescent="0.3">
      <c r="A484" t="s">
        <v>834</v>
      </c>
      <c r="B484" t="s">
        <v>835</v>
      </c>
      <c r="C484" t="s">
        <v>1406</v>
      </c>
    </row>
    <row r="485" spans="1:3" x14ac:dyDescent="0.3">
      <c r="A485" t="s">
        <v>836</v>
      </c>
      <c r="B485" t="s">
        <v>837</v>
      </c>
      <c r="C485" t="s">
        <v>1406</v>
      </c>
    </row>
    <row r="486" spans="1:3" x14ac:dyDescent="0.3">
      <c r="A486" t="s">
        <v>838</v>
      </c>
      <c r="B486" t="s">
        <v>839</v>
      </c>
      <c r="C486" t="s">
        <v>1406</v>
      </c>
    </row>
    <row r="487" spans="1:3" x14ac:dyDescent="0.3">
      <c r="A487" t="s">
        <v>840</v>
      </c>
      <c r="B487" t="s">
        <v>841</v>
      </c>
      <c r="C487" t="s">
        <v>1406</v>
      </c>
    </row>
    <row r="488" spans="1:3" x14ac:dyDescent="0.3">
      <c r="A488" t="s">
        <v>842</v>
      </c>
      <c r="B488" t="s">
        <v>843</v>
      </c>
      <c r="C488" t="s">
        <v>1406</v>
      </c>
    </row>
    <row r="489" spans="1:3" x14ac:dyDescent="0.3">
      <c r="A489" t="s">
        <v>844</v>
      </c>
      <c r="B489" t="s">
        <v>845</v>
      </c>
      <c r="C489" t="s">
        <v>1406</v>
      </c>
    </row>
    <row r="490" spans="1:3" x14ac:dyDescent="0.3">
      <c r="A490" t="s">
        <v>847</v>
      </c>
      <c r="B490" t="s">
        <v>848</v>
      </c>
      <c r="C490" t="s">
        <v>65</v>
      </c>
    </row>
    <row r="491" spans="1:3" x14ac:dyDescent="0.3">
      <c r="A491" t="s">
        <v>849</v>
      </c>
      <c r="B491" t="s">
        <v>850</v>
      </c>
      <c r="C491" t="s">
        <v>849</v>
      </c>
    </row>
    <row r="492" spans="1:3" x14ac:dyDescent="0.3">
      <c r="A492" t="s">
        <v>851</v>
      </c>
      <c r="B492" t="s">
        <v>852</v>
      </c>
      <c r="C492" t="s">
        <v>851</v>
      </c>
    </row>
    <row r="493" spans="1:3" x14ac:dyDescent="0.3">
      <c r="A493" t="s">
        <v>1927</v>
      </c>
      <c r="B493" t="s">
        <v>1928</v>
      </c>
      <c r="C493" t="s">
        <v>1927</v>
      </c>
    </row>
    <row r="494" spans="1:3" x14ac:dyDescent="0.3">
      <c r="A494" t="s">
        <v>1929</v>
      </c>
      <c r="B494" t="s">
        <v>1930</v>
      </c>
      <c r="C494" t="s">
        <v>1929</v>
      </c>
    </row>
    <row r="495" spans="1:3" x14ac:dyDescent="0.3">
      <c r="A495" t="s">
        <v>853</v>
      </c>
      <c r="B495" t="s">
        <v>854</v>
      </c>
      <c r="C495" t="s">
        <v>65</v>
      </c>
    </row>
    <row r="496" spans="1:3" x14ac:dyDescent="0.3">
      <c r="A496" t="s">
        <v>855</v>
      </c>
      <c r="B496" t="s">
        <v>856</v>
      </c>
      <c r="C496" t="s">
        <v>65</v>
      </c>
    </row>
    <row r="497" spans="1:3" x14ac:dyDescent="0.3">
      <c r="A497" t="s">
        <v>857</v>
      </c>
      <c r="B497" t="s">
        <v>858</v>
      </c>
      <c r="C497" t="s">
        <v>65</v>
      </c>
    </row>
    <row r="498" spans="1:3" x14ac:dyDescent="0.3">
      <c r="A498" t="s">
        <v>859</v>
      </c>
      <c r="B498" t="s">
        <v>860</v>
      </c>
      <c r="C498" t="s">
        <v>65</v>
      </c>
    </row>
    <row r="499" spans="1:3" x14ac:dyDescent="0.3">
      <c r="A499" t="s">
        <v>861</v>
      </c>
      <c r="B499" t="s">
        <v>862</v>
      </c>
      <c r="C499" t="s">
        <v>65</v>
      </c>
    </row>
    <row r="500" spans="1:3" x14ac:dyDescent="0.3">
      <c r="A500" t="s">
        <v>863</v>
      </c>
      <c r="B500" t="s">
        <v>864</v>
      </c>
      <c r="C500" t="s">
        <v>65</v>
      </c>
    </row>
    <row r="501" spans="1:3" x14ac:dyDescent="0.3">
      <c r="A501" t="s">
        <v>865</v>
      </c>
      <c r="B501" t="s">
        <v>1427</v>
      </c>
      <c r="C501" t="s">
        <v>65</v>
      </c>
    </row>
    <row r="502" spans="1:3" x14ac:dyDescent="0.3">
      <c r="A502" t="s">
        <v>866</v>
      </c>
      <c r="B502" t="s">
        <v>867</v>
      </c>
      <c r="C502" t="s">
        <v>65</v>
      </c>
    </row>
    <row r="503" spans="1:3" x14ac:dyDescent="0.3">
      <c r="A503" t="s">
        <v>868</v>
      </c>
      <c r="B503" t="s">
        <v>869</v>
      </c>
      <c r="C503" t="s">
        <v>65</v>
      </c>
    </row>
    <row r="504" spans="1:3" x14ac:dyDescent="0.3">
      <c r="A504" t="s">
        <v>1428</v>
      </c>
      <c r="B504" t="s">
        <v>1429</v>
      </c>
      <c r="C504" t="s">
        <v>65</v>
      </c>
    </row>
    <row r="505" spans="1:3" x14ac:dyDescent="0.3">
      <c r="A505" t="s">
        <v>1502</v>
      </c>
      <c r="B505" t="s">
        <v>1516</v>
      </c>
      <c r="C505" t="s">
        <v>65</v>
      </c>
    </row>
    <row r="506" spans="1:3" x14ac:dyDescent="0.3">
      <c r="A506" t="s">
        <v>1479</v>
      </c>
      <c r="B506" t="s">
        <v>1521</v>
      </c>
      <c r="C506" t="s">
        <v>65</v>
      </c>
    </row>
    <row r="507" spans="1:3" x14ac:dyDescent="0.3">
      <c r="A507" t="s">
        <v>1460</v>
      </c>
      <c r="B507" t="s">
        <v>1474</v>
      </c>
      <c r="C507" t="s">
        <v>65</v>
      </c>
    </row>
    <row r="508" spans="1:3" x14ac:dyDescent="0.3">
      <c r="A508" t="s">
        <v>1437</v>
      </c>
      <c r="B508" t="s">
        <v>1522</v>
      </c>
      <c r="C508" t="s">
        <v>65</v>
      </c>
    </row>
    <row r="509" spans="1:3" x14ac:dyDescent="0.3">
      <c r="A509" t="s">
        <v>65</v>
      </c>
      <c r="B509" t="s">
        <v>870</v>
      </c>
      <c r="C509" t="s">
        <v>65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4EC1-C28A-4C07-8313-CC3447168FB6}">
  <sheetPr codeName="Sheet13">
    <tabColor theme="5" tint="0.79998168889431442"/>
  </sheetPr>
  <dimension ref="A1:I13"/>
  <sheetViews>
    <sheetView workbookViewId="0">
      <pane ySplit="2" topLeftCell="A3" activePane="bottomLeft" state="frozen"/>
      <selection pane="bottomLeft" activeCell="G5" sqref="G5"/>
    </sheetView>
  </sheetViews>
  <sheetFormatPr defaultColWidth="9.33203125" defaultRowHeight="14.4" outlineLevelCol="1" x14ac:dyDescent="0.3"/>
  <cols>
    <col min="1" max="1" width="15" hidden="1" customWidth="1" outlineLevel="1"/>
    <col min="2" max="2" width="14.44140625" hidden="1" customWidth="1" outlineLevel="1"/>
    <col min="3" max="3" width="17.6640625" hidden="1" customWidth="1" outlineLevel="1"/>
    <col min="4" max="4" width="20" hidden="1" customWidth="1" outlineLevel="1"/>
    <col min="5" max="5" width="19" hidden="1" customWidth="1" outlineLevel="1"/>
    <col min="6" max="6" width="19.109375" bestFit="1" customWidth="1" collapsed="1"/>
    <col min="7" max="7" width="11.88671875" bestFit="1" customWidth="1"/>
    <col min="8" max="8" width="22.88671875" bestFit="1" customWidth="1"/>
    <col min="9" max="9" width="14.44140625" bestFit="1" customWidth="1"/>
  </cols>
  <sheetData>
    <row r="1" spans="1:9" x14ac:dyDescent="0.3">
      <c r="G1" s="170" t="s">
        <v>1570</v>
      </c>
      <c r="H1" s="170"/>
      <c r="I1" s="170"/>
    </row>
    <row r="2" spans="1:9" x14ac:dyDescent="0.3">
      <c r="A2" s="46" t="s">
        <v>57</v>
      </c>
      <c r="B2" s="46" t="s">
        <v>58</v>
      </c>
      <c r="C2" s="46" t="s">
        <v>59</v>
      </c>
      <c r="D2" s="46" t="s">
        <v>1367</v>
      </c>
      <c r="E2" s="46" t="s">
        <v>1368</v>
      </c>
      <c r="F2" s="46" t="s">
        <v>60</v>
      </c>
      <c r="G2" t="s">
        <v>61</v>
      </c>
      <c r="H2" t="s">
        <v>62</v>
      </c>
      <c r="I2" t="s">
        <v>1581</v>
      </c>
    </row>
    <row r="3" spans="1:9" x14ac:dyDescent="0.3">
      <c r="A3" s="35" t="b">
        <f>ISBLANK(FUNDS[[#This Row],[FundCode]])</f>
        <v>0</v>
      </c>
      <c r="B3" s="35" t="b">
        <f>ISBLANK(FUNDS[[#This Row],[Title]])</f>
        <v>0</v>
      </c>
      <c r="C3" s="35" t="b">
        <f>ISBLANK(FUNDS[[#This Row],[FundEnabled]])</f>
        <v>0</v>
      </c>
      <c r="D3" s="35" t="b">
        <f>IF(LEN(FUNDS[[#This Row],[FundCode]])&lt;100,FALSE,TRUE)</f>
        <v>0</v>
      </c>
      <c r="E3" s="35" t="b">
        <f>IF(LEN(FUNDS[[#This Row],[Title]])&lt;100,FALSE,TRUE)</f>
        <v>0</v>
      </c>
      <c r="F3" s="35">
        <f>COUNTIF(FUNDS[[#This Row],[Code is Blank]:[Title length check]],"TRUE")</f>
        <v>0</v>
      </c>
      <c r="G3" t="s">
        <v>1931</v>
      </c>
      <c r="H3" t="s">
        <v>1932</v>
      </c>
      <c r="I3" t="b">
        <v>1</v>
      </c>
    </row>
    <row r="4" spans="1:9" x14ac:dyDescent="0.3">
      <c r="A4" s="85" t="b">
        <f>ISBLANK(FUNDS[[#This Row],[FundCode]])</f>
        <v>0</v>
      </c>
      <c r="B4" s="85" t="b">
        <f>ISBLANK(FUNDS[[#This Row],[Title]])</f>
        <v>0</v>
      </c>
      <c r="C4" s="85" t="b">
        <f>ISBLANK(FUNDS[[#This Row],[FundEnabled]])</f>
        <v>0</v>
      </c>
      <c r="D4" s="85" t="b">
        <f>IF(LEN(FUNDS[[#This Row],[FundCode]])&lt;100,FALSE,TRUE)</f>
        <v>0</v>
      </c>
      <c r="E4" s="85" t="b">
        <f>IF(LEN(FUNDS[[#This Row],[Title]])&lt;100,FALSE,TRUE)</f>
        <v>0</v>
      </c>
      <c r="F4" s="85">
        <f>COUNTIF(FUNDS[[#This Row],[Code is Blank]:[Title length check]],"TRUE")</f>
        <v>0</v>
      </c>
      <c r="G4" s="5" t="s">
        <v>1933</v>
      </c>
      <c r="H4" t="s">
        <v>1934</v>
      </c>
      <c r="I4" t="b">
        <v>1</v>
      </c>
    </row>
    <row r="5" spans="1:9" x14ac:dyDescent="0.3">
      <c r="A5" s="35" t="b">
        <f>ISBLANK(FUNDS[[#This Row],[FundCode]])</f>
        <v>0</v>
      </c>
      <c r="B5" s="35" t="b">
        <f>ISBLANK(FUNDS[[#This Row],[Title]])</f>
        <v>0</v>
      </c>
      <c r="C5" s="35" t="b">
        <f>ISBLANK(FUNDS[[#This Row],[FundEnabled]])</f>
        <v>0</v>
      </c>
      <c r="D5" s="35" t="b">
        <f>IF(LEN(FUNDS[[#This Row],[FundCode]])&lt;100,FALSE,TRUE)</f>
        <v>0</v>
      </c>
      <c r="E5" s="35" t="b">
        <f>IF(LEN(FUNDS[[#This Row],[Title]])&lt;100,FALSE,TRUE)</f>
        <v>0</v>
      </c>
      <c r="F5" s="35">
        <f>COUNTIF(FUNDS[[#This Row],[Code is Blank]:[Title length check]],"TRUE")</f>
        <v>0</v>
      </c>
      <c r="G5" t="s">
        <v>63</v>
      </c>
      <c r="H5" t="s">
        <v>1935</v>
      </c>
      <c r="I5" t="b">
        <v>1</v>
      </c>
    </row>
    <row r="6" spans="1:9" x14ac:dyDescent="0.3">
      <c r="A6" s="35" t="b">
        <f>ISBLANK(FUNDS[[#This Row],[FundCode]])</f>
        <v>0</v>
      </c>
      <c r="B6" s="35" t="b">
        <f>ISBLANK(FUNDS[[#This Row],[Title]])</f>
        <v>0</v>
      </c>
      <c r="C6" s="35" t="b">
        <f>ISBLANK(FUNDS[[#This Row],[FundEnabled]])</f>
        <v>0</v>
      </c>
      <c r="D6" s="35" t="b">
        <f>IF(LEN(FUNDS[[#This Row],[FundCode]])&lt;100,FALSE,TRUE)</f>
        <v>0</v>
      </c>
      <c r="E6" s="35" t="b">
        <f>IF(LEN(FUNDS[[#This Row],[Title]])&lt;100,FALSE,TRUE)</f>
        <v>0</v>
      </c>
      <c r="F6" s="35">
        <f>COUNTIF(FUNDS[[#This Row],[Code is Blank]:[Title length check]],"TRUE")</f>
        <v>0</v>
      </c>
      <c r="G6" t="s">
        <v>1936</v>
      </c>
      <c r="H6" t="s">
        <v>1937</v>
      </c>
      <c r="I6" t="b">
        <v>1</v>
      </c>
    </row>
    <row r="7" spans="1:9" x14ac:dyDescent="0.3">
      <c r="A7" s="35" t="b">
        <f>ISBLANK(FUNDS[[#This Row],[FundCode]])</f>
        <v>0</v>
      </c>
      <c r="B7" s="35" t="b">
        <f>ISBLANK(FUNDS[[#This Row],[Title]])</f>
        <v>0</v>
      </c>
      <c r="C7" s="35" t="b">
        <f>ISBLANK(FUNDS[[#This Row],[FundEnabled]])</f>
        <v>0</v>
      </c>
      <c r="D7" s="35" t="b">
        <f>IF(LEN(FUNDS[[#This Row],[FundCode]])&lt;100,FALSE,TRUE)</f>
        <v>0</v>
      </c>
      <c r="E7" s="35" t="b">
        <f>IF(LEN(FUNDS[[#This Row],[Title]])&lt;100,FALSE,TRUE)</f>
        <v>0</v>
      </c>
      <c r="F7" s="35">
        <f>COUNTIF(FUNDS[[#This Row],[Code is Blank]:[Title length check]],"TRUE")</f>
        <v>0</v>
      </c>
      <c r="G7" t="s">
        <v>1764</v>
      </c>
      <c r="H7" t="s">
        <v>1938</v>
      </c>
      <c r="I7" t="b">
        <v>1</v>
      </c>
    </row>
    <row r="8" spans="1:9" x14ac:dyDescent="0.3">
      <c r="A8" s="35" t="b">
        <f>ISBLANK(FUNDS[[#This Row],[FundCode]])</f>
        <v>0</v>
      </c>
      <c r="B8" s="35" t="b">
        <f>ISBLANK(FUNDS[[#This Row],[Title]])</f>
        <v>0</v>
      </c>
      <c r="C8" s="35" t="b">
        <f>ISBLANK(FUNDS[[#This Row],[FundEnabled]])</f>
        <v>0</v>
      </c>
      <c r="D8" s="35" t="b">
        <f>IF(LEN(FUNDS[[#This Row],[FundCode]])&lt;100,FALSE,TRUE)</f>
        <v>0</v>
      </c>
      <c r="E8" s="35" t="b">
        <f>IF(LEN(FUNDS[[#This Row],[Title]])&lt;100,FALSE,TRUE)</f>
        <v>0</v>
      </c>
      <c r="F8" s="35">
        <f>COUNTIF(FUNDS[[#This Row],[Code is Blank]:[Title length check]],"TRUE")</f>
        <v>0</v>
      </c>
      <c r="G8" t="s">
        <v>1939</v>
      </c>
      <c r="H8" t="s">
        <v>1940</v>
      </c>
      <c r="I8" t="b">
        <v>1</v>
      </c>
    </row>
    <row r="9" spans="1:9" x14ac:dyDescent="0.3">
      <c r="A9" s="35" t="b">
        <f>ISBLANK(FUNDS[[#This Row],[FundCode]])</f>
        <v>0</v>
      </c>
      <c r="B9" s="35" t="b">
        <f>ISBLANK(FUNDS[[#This Row],[Title]])</f>
        <v>0</v>
      </c>
      <c r="C9" s="35" t="b">
        <f>ISBLANK(FUNDS[[#This Row],[FundEnabled]])</f>
        <v>0</v>
      </c>
      <c r="D9" s="35" t="b">
        <f>IF(LEN(FUNDS[[#This Row],[FundCode]])&lt;100,FALSE,TRUE)</f>
        <v>0</v>
      </c>
      <c r="E9" s="35" t="b">
        <f>IF(LEN(FUNDS[[#This Row],[Title]])&lt;100,FALSE,TRUE)</f>
        <v>0</v>
      </c>
      <c r="F9" s="35">
        <f>COUNTIF(FUNDS[[#This Row],[Code is Blank]:[Title length check]],"TRUE")</f>
        <v>0</v>
      </c>
      <c r="G9" t="s">
        <v>1941</v>
      </c>
      <c r="H9" t="s">
        <v>1942</v>
      </c>
      <c r="I9" t="b">
        <v>1</v>
      </c>
    </row>
    <row r="10" spans="1:9" x14ac:dyDescent="0.3">
      <c r="A10" s="35" t="b">
        <f>ISBLANK(FUNDS[[#This Row],[FundCode]])</f>
        <v>0</v>
      </c>
      <c r="B10" s="35" t="b">
        <f>ISBLANK(FUNDS[[#This Row],[Title]])</f>
        <v>0</v>
      </c>
      <c r="C10" s="35" t="b">
        <f>ISBLANK(FUNDS[[#This Row],[FundEnabled]])</f>
        <v>0</v>
      </c>
      <c r="D10" s="35" t="b">
        <f>IF(LEN(FUNDS[[#This Row],[FundCode]])&lt;100,FALSE,TRUE)</f>
        <v>0</v>
      </c>
      <c r="E10" s="35" t="b">
        <f>IF(LEN(FUNDS[[#This Row],[Title]])&lt;100,FALSE,TRUE)</f>
        <v>0</v>
      </c>
      <c r="F10" s="35">
        <f>COUNTIF(FUNDS[[#This Row],[Code is Blank]:[Title length check]],"TRUE")</f>
        <v>0</v>
      </c>
      <c r="G10" t="s">
        <v>1943</v>
      </c>
      <c r="H10" t="s">
        <v>1944</v>
      </c>
      <c r="I10" t="b">
        <v>1</v>
      </c>
    </row>
    <row r="11" spans="1:9" x14ac:dyDescent="0.3">
      <c r="A11" s="35" t="b">
        <f>ISBLANK(FUNDS[[#This Row],[FundCode]])</f>
        <v>0</v>
      </c>
      <c r="B11" s="35" t="b">
        <f>ISBLANK(FUNDS[[#This Row],[Title]])</f>
        <v>0</v>
      </c>
      <c r="C11" s="35" t="b">
        <f>ISBLANK(FUNDS[[#This Row],[FundEnabled]])</f>
        <v>0</v>
      </c>
      <c r="D11" s="35" t="b">
        <f>IF(LEN(FUNDS[[#This Row],[FundCode]])&lt;100,FALSE,TRUE)</f>
        <v>0</v>
      </c>
      <c r="E11" s="35" t="b">
        <f>IF(LEN(FUNDS[[#This Row],[Title]])&lt;100,FALSE,TRUE)</f>
        <v>0</v>
      </c>
      <c r="F11" s="35">
        <f>COUNTIF(FUNDS[[#This Row],[Code is Blank]:[Title length check]],"TRUE")</f>
        <v>0</v>
      </c>
      <c r="G11" t="s">
        <v>1945</v>
      </c>
      <c r="H11" t="s">
        <v>1946</v>
      </c>
      <c r="I11" t="b">
        <v>1</v>
      </c>
    </row>
    <row r="12" spans="1:9" x14ac:dyDescent="0.3">
      <c r="A12" s="35" t="b">
        <f>ISBLANK(FUNDS[[#This Row],[FundCode]])</f>
        <v>0</v>
      </c>
      <c r="B12" s="35" t="b">
        <f>ISBLANK(FUNDS[[#This Row],[Title]])</f>
        <v>0</v>
      </c>
      <c r="C12" s="35" t="b">
        <f>ISBLANK(FUNDS[[#This Row],[FundEnabled]])</f>
        <v>0</v>
      </c>
      <c r="D12" s="35" t="b">
        <f>IF(LEN(FUNDS[[#This Row],[FundCode]])&lt;100,FALSE,TRUE)</f>
        <v>0</v>
      </c>
      <c r="E12" s="35" t="b">
        <f>IF(LEN(FUNDS[[#This Row],[Title]])&lt;100,FALSE,TRUE)</f>
        <v>0</v>
      </c>
      <c r="F12" s="35">
        <f>COUNTIF(FUNDS[[#This Row],[Code is Blank]:[Title length check]],"TRUE")</f>
        <v>0</v>
      </c>
      <c r="G12" t="s">
        <v>1947</v>
      </c>
      <c r="H12" t="s">
        <v>1948</v>
      </c>
      <c r="I12" t="b">
        <v>1</v>
      </c>
    </row>
    <row r="13" spans="1:9" x14ac:dyDescent="0.3">
      <c r="A13" s="35" t="b">
        <f>ISBLANK(FUNDS[[#This Row],[FundCode]])</f>
        <v>0</v>
      </c>
      <c r="B13" s="35" t="b">
        <f>ISBLANK(FUNDS[[#This Row],[Title]])</f>
        <v>0</v>
      </c>
      <c r="C13" s="35" t="b">
        <f>ISBLANK(FUNDS[[#This Row],[FundEnabled]])</f>
        <v>0</v>
      </c>
      <c r="D13" s="35" t="b">
        <f>IF(LEN(FUNDS[[#This Row],[FundCode]])&lt;100,FALSE,TRUE)</f>
        <v>0</v>
      </c>
      <c r="E13" s="35" t="b">
        <f>IF(LEN(FUNDS[[#This Row],[Title]])&lt;100,FALSE,TRUE)</f>
        <v>0</v>
      </c>
      <c r="F13" s="35">
        <f>COUNTIF(FUNDS[[#This Row],[Code is Blank]:[Title length check]],"TRUE")</f>
        <v>0</v>
      </c>
      <c r="G13" t="s">
        <v>1949</v>
      </c>
      <c r="H13" t="s">
        <v>1950</v>
      </c>
      <c r="I13" t="b">
        <v>1</v>
      </c>
    </row>
  </sheetData>
  <mergeCells count="1">
    <mergeCell ref="G1:I1"/>
  </mergeCells>
  <phoneticPr fontId="2"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B1934-E673-49D1-B05C-7AC148378315}">
  <sheetPr codeName="Sheet50">
    <tabColor theme="5" tint="0.79998168889431442"/>
  </sheetPr>
  <dimension ref="A1:N23"/>
  <sheetViews>
    <sheetView workbookViewId="0">
      <pane ySplit="2" topLeftCell="A3" activePane="bottomLeft" state="frozen"/>
      <selection pane="bottomLeft" activeCell="A3" sqref="A3"/>
    </sheetView>
  </sheetViews>
  <sheetFormatPr defaultColWidth="9.33203125" defaultRowHeight="14.4" outlineLevelCol="1" x14ac:dyDescent="0.3"/>
  <cols>
    <col min="1" max="1" width="15" hidden="1" customWidth="1" outlineLevel="1"/>
    <col min="2" max="2" width="14.44140625" hidden="1" customWidth="1" outlineLevel="1"/>
    <col min="3" max="3" width="20" hidden="1" customWidth="1" outlineLevel="1"/>
    <col min="4" max="4" width="19" hidden="1" customWidth="1" outlineLevel="1"/>
    <col min="5" max="5" width="17.6640625" hidden="1" customWidth="1" outlineLevel="1"/>
    <col min="6" max="6" width="19.109375" bestFit="1" customWidth="1" collapsed="1"/>
    <col min="7" max="7" width="14.109375" bestFit="1" customWidth="1"/>
    <col min="8" max="8" width="18.5546875" bestFit="1" customWidth="1"/>
    <col min="9" max="9" width="16.6640625" bestFit="1" customWidth="1"/>
  </cols>
  <sheetData>
    <row r="1" spans="1:9" x14ac:dyDescent="0.3">
      <c r="G1" s="170" t="s">
        <v>1570</v>
      </c>
      <c r="H1" s="170"/>
      <c r="I1" s="170"/>
    </row>
    <row r="2" spans="1:9" x14ac:dyDescent="0.3">
      <c r="A2" s="46" t="s">
        <v>57</v>
      </c>
      <c r="B2" s="46" t="s">
        <v>58</v>
      </c>
      <c r="C2" s="46" t="s">
        <v>1367</v>
      </c>
      <c r="D2" s="46" t="s">
        <v>1368</v>
      </c>
      <c r="E2" s="46" t="s">
        <v>59</v>
      </c>
      <c r="F2" s="46" t="s">
        <v>60</v>
      </c>
      <c r="G2" t="s">
        <v>1582</v>
      </c>
      <c r="H2" t="s">
        <v>62</v>
      </c>
      <c r="I2" t="s">
        <v>1583</v>
      </c>
    </row>
    <row r="3" spans="1:9" x14ac:dyDescent="0.3">
      <c r="A3" s="43" t="b">
        <f>ISBLANK(ACTIVITIES[[#This Row],[ActivityCode]])</f>
        <v>0</v>
      </c>
      <c r="B3" s="43" t="b">
        <f>ISBLANK(ACTIVITIES[[#This Row],[Title]])</f>
        <v>0</v>
      </c>
      <c r="C3" s="43" t="b">
        <f>IF(LEN(ACTIVITIES[[#This Row],[ActivityCode]])&lt;100,FALSE,TRUE)</f>
        <v>0</v>
      </c>
      <c r="D3" s="43" t="b">
        <f>IF(LEN(ACTIVITIES[[#This Row],[Title]])&lt;100,FALSE,TRUE)</f>
        <v>0</v>
      </c>
      <c r="E3" s="43" t="b">
        <f>ISBLANK(ACTIVITIES[[#This Row],[ActivityEnabled]])</f>
        <v>0</v>
      </c>
      <c r="F3" s="43">
        <f>COUNTIF(ACTIVITIES[[#This Row],[Code is Blank]:[Enabled is blank]],"TRUE")</f>
        <v>0</v>
      </c>
      <c r="G3" t="s">
        <v>1951</v>
      </c>
      <c r="H3" t="s">
        <v>1952</v>
      </c>
      <c r="I3" t="b">
        <v>1</v>
      </c>
    </row>
    <row r="4" spans="1:9" x14ac:dyDescent="0.3">
      <c r="A4" s="43" t="b">
        <f>ISBLANK(ACTIVITIES[[#This Row],[ActivityCode]])</f>
        <v>0</v>
      </c>
      <c r="B4" s="43" t="b">
        <f>ISBLANK(ACTIVITIES[[#This Row],[Title]])</f>
        <v>0</v>
      </c>
      <c r="C4" s="43" t="b">
        <f>IF(LEN(ACTIVITIES[[#This Row],[ActivityCode]])&lt;100,FALSE,TRUE)</f>
        <v>0</v>
      </c>
      <c r="D4" s="43" t="b">
        <f>IF(LEN(ACTIVITIES[[#This Row],[Title]])&lt;100,FALSE,TRUE)</f>
        <v>0</v>
      </c>
      <c r="E4" s="43" t="b">
        <f>ISBLANK(ACTIVITIES[[#This Row],[ActivityEnabled]])</f>
        <v>0</v>
      </c>
      <c r="F4" s="43">
        <f>COUNTIF(ACTIVITIES[[#This Row],[Code is Blank]:[Enabled is blank]],"TRUE")</f>
        <v>0</v>
      </c>
      <c r="G4" t="s">
        <v>63</v>
      </c>
      <c r="H4" t="s">
        <v>64</v>
      </c>
      <c r="I4" t="b">
        <v>1</v>
      </c>
    </row>
    <row r="5" spans="1:9" x14ac:dyDescent="0.3">
      <c r="A5" s="43" t="b">
        <f>ISBLANK(ACTIVITIES[[#This Row],[ActivityCode]])</f>
        <v>0</v>
      </c>
      <c r="B5" s="43" t="b">
        <f>ISBLANK(ACTIVITIES[[#This Row],[Title]])</f>
        <v>0</v>
      </c>
      <c r="C5" s="43" t="b">
        <f>IF(LEN(ACTIVITIES[[#This Row],[ActivityCode]])&lt;100,FALSE,TRUE)</f>
        <v>0</v>
      </c>
      <c r="D5" s="43" t="b">
        <f>IF(LEN(ACTIVITIES[[#This Row],[Title]])&lt;100,FALSE,TRUE)</f>
        <v>0</v>
      </c>
      <c r="E5" s="43" t="b">
        <f>ISBLANK(ACTIVITIES[[#This Row],[ActivityEnabled]])</f>
        <v>0</v>
      </c>
      <c r="F5" s="43">
        <f>COUNTIF(ACTIVITIES[[#This Row],[Code is Blank]:[Enabled is blank]],"TRUE")</f>
        <v>0</v>
      </c>
      <c r="G5" t="s">
        <v>1953</v>
      </c>
      <c r="H5" t="s">
        <v>1954</v>
      </c>
      <c r="I5" t="b">
        <v>1</v>
      </c>
    </row>
    <row r="6" spans="1:9" x14ac:dyDescent="0.3">
      <c r="A6" s="43" t="b">
        <f>ISBLANK(ACTIVITIES[[#This Row],[ActivityCode]])</f>
        <v>0</v>
      </c>
      <c r="B6" s="43" t="b">
        <f>ISBLANK(ACTIVITIES[[#This Row],[Title]])</f>
        <v>0</v>
      </c>
      <c r="C6" s="43" t="b">
        <f>IF(LEN(ACTIVITIES[[#This Row],[ActivityCode]])&lt;100,FALSE,TRUE)</f>
        <v>0</v>
      </c>
      <c r="D6" s="43" t="b">
        <f>IF(LEN(ACTIVITIES[[#This Row],[Title]])&lt;100,FALSE,TRUE)</f>
        <v>0</v>
      </c>
      <c r="E6" s="43" t="b">
        <f>ISBLANK(ACTIVITIES[[#This Row],[ActivityEnabled]])</f>
        <v>0</v>
      </c>
      <c r="F6" s="43">
        <f>COUNTIF(ACTIVITIES[[#This Row],[Code is Blank]:[Enabled is blank]],"TRUE")</f>
        <v>0</v>
      </c>
      <c r="G6" t="s">
        <v>1955</v>
      </c>
      <c r="H6" t="s">
        <v>1956</v>
      </c>
      <c r="I6" t="b">
        <v>1</v>
      </c>
    </row>
    <row r="7" spans="1:9" x14ac:dyDescent="0.3">
      <c r="A7" s="43" t="b">
        <f>ISBLANK(ACTIVITIES[[#This Row],[ActivityCode]])</f>
        <v>0</v>
      </c>
      <c r="B7" s="43" t="b">
        <f>ISBLANK(ACTIVITIES[[#This Row],[Title]])</f>
        <v>0</v>
      </c>
      <c r="C7" s="43" t="b">
        <f>IF(LEN(ACTIVITIES[[#This Row],[ActivityCode]])&lt;100,FALSE,TRUE)</f>
        <v>0</v>
      </c>
      <c r="D7" s="43" t="b">
        <f>IF(LEN(ACTIVITIES[[#This Row],[Title]])&lt;100,FALSE,TRUE)</f>
        <v>0</v>
      </c>
      <c r="E7" s="43" t="b">
        <f>ISBLANK(ACTIVITIES[[#This Row],[ActivityEnabled]])</f>
        <v>0</v>
      </c>
      <c r="F7" s="43">
        <f>COUNTIF(ACTIVITIES[[#This Row],[Code is Blank]:[Enabled is blank]],"TRUE")</f>
        <v>0</v>
      </c>
      <c r="G7" t="s">
        <v>1957</v>
      </c>
      <c r="H7" t="s">
        <v>1958</v>
      </c>
      <c r="I7" t="b">
        <v>1</v>
      </c>
    </row>
    <row r="8" spans="1:9" x14ac:dyDescent="0.3">
      <c r="A8" s="43" t="b">
        <f>ISBLANK(ACTIVITIES[[#This Row],[ActivityCode]])</f>
        <v>0</v>
      </c>
      <c r="B8" s="43" t="b">
        <f>ISBLANK(ACTIVITIES[[#This Row],[Title]])</f>
        <v>0</v>
      </c>
      <c r="C8" s="43" t="b">
        <f>IF(LEN(ACTIVITIES[[#This Row],[ActivityCode]])&lt;100,FALSE,TRUE)</f>
        <v>0</v>
      </c>
      <c r="D8" s="43" t="b">
        <f>IF(LEN(ACTIVITIES[[#This Row],[Title]])&lt;100,FALSE,TRUE)</f>
        <v>0</v>
      </c>
      <c r="E8" s="43" t="b">
        <f>ISBLANK(ACTIVITIES[[#This Row],[ActivityEnabled]])</f>
        <v>0</v>
      </c>
      <c r="F8" s="43">
        <f>COUNTIF(ACTIVITIES[[#This Row],[Code is Blank]:[Enabled is blank]],"TRUE")</f>
        <v>0</v>
      </c>
      <c r="G8" t="s">
        <v>1959</v>
      </c>
      <c r="H8" t="s">
        <v>1960</v>
      </c>
      <c r="I8" t="b">
        <v>1</v>
      </c>
    </row>
    <row r="9" spans="1:9" x14ac:dyDescent="0.3">
      <c r="A9" s="43" t="b">
        <f>ISBLANK(ACTIVITIES[[#This Row],[ActivityCode]])</f>
        <v>0</v>
      </c>
      <c r="B9" s="43" t="b">
        <f>ISBLANK(ACTIVITIES[[#This Row],[Title]])</f>
        <v>0</v>
      </c>
      <c r="C9" s="43" t="b">
        <f>IF(LEN(ACTIVITIES[[#This Row],[ActivityCode]])&lt;100,FALSE,TRUE)</f>
        <v>0</v>
      </c>
      <c r="D9" s="43" t="b">
        <f>IF(LEN(ACTIVITIES[[#This Row],[Title]])&lt;100,FALSE,TRUE)</f>
        <v>0</v>
      </c>
      <c r="E9" s="43" t="b">
        <f>ISBLANK(ACTIVITIES[[#This Row],[ActivityEnabled]])</f>
        <v>0</v>
      </c>
      <c r="F9" s="43">
        <f>COUNTIF(ACTIVITIES[[#This Row],[Code is Blank]:[Enabled is blank]],"TRUE")</f>
        <v>0</v>
      </c>
      <c r="G9" t="s">
        <v>1961</v>
      </c>
      <c r="H9" t="s">
        <v>1962</v>
      </c>
      <c r="I9" t="b">
        <v>1</v>
      </c>
    </row>
    <row r="10" spans="1:9" x14ac:dyDescent="0.3">
      <c r="A10" s="43" t="b">
        <f>ISBLANK(ACTIVITIES[[#This Row],[ActivityCode]])</f>
        <v>0</v>
      </c>
      <c r="B10" s="43" t="b">
        <f>ISBLANK(ACTIVITIES[[#This Row],[Title]])</f>
        <v>0</v>
      </c>
      <c r="C10" s="43" t="b">
        <f>IF(LEN(ACTIVITIES[[#This Row],[ActivityCode]])&lt;100,FALSE,TRUE)</f>
        <v>0</v>
      </c>
      <c r="D10" s="43" t="b">
        <f>IF(LEN(ACTIVITIES[[#This Row],[Title]])&lt;100,FALSE,TRUE)</f>
        <v>0</v>
      </c>
      <c r="E10" s="43" t="b">
        <f>ISBLANK(ACTIVITIES[[#This Row],[ActivityEnabled]])</f>
        <v>0</v>
      </c>
      <c r="F10" s="43">
        <f>COUNTIF(ACTIVITIES[[#This Row],[Code is Blank]:[Enabled is blank]],"TRUE")</f>
        <v>0</v>
      </c>
      <c r="G10" t="s">
        <v>1963</v>
      </c>
      <c r="H10" t="s">
        <v>1964</v>
      </c>
      <c r="I10" t="b">
        <v>1</v>
      </c>
    </row>
    <row r="23" spans="12:14" x14ac:dyDescent="0.3">
      <c r="L23" s="96"/>
      <c r="M23" s="96"/>
      <c r="N23" s="96"/>
    </row>
  </sheetData>
  <mergeCells count="1">
    <mergeCell ref="G1:I1"/>
  </mergeCells>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6F2EA-DB75-4ABF-855B-905EAC0058B1}">
  <sheetPr codeName="Sheet10">
    <tabColor theme="5" tint="0.79998168889431442"/>
  </sheetPr>
  <dimension ref="A1:I8"/>
  <sheetViews>
    <sheetView workbookViewId="0">
      <pane ySplit="2" topLeftCell="A3" activePane="bottomLeft" state="frozen"/>
      <selection pane="bottomLeft" activeCell="A3" sqref="A3"/>
    </sheetView>
  </sheetViews>
  <sheetFormatPr defaultColWidth="9.33203125" defaultRowHeight="14.4" outlineLevelCol="1" x14ac:dyDescent="0.3"/>
  <cols>
    <col min="1" max="1" width="15" hidden="1" customWidth="1" outlineLevel="1"/>
    <col min="2" max="2" width="14.44140625" hidden="1" customWidth="1" outlineLevel="1"/>
    <col min="3" max="3" width="17.6640625" hidden="1" customWidth="1" outlineLevel="1"/>
    <col min="4" max="4" width="20" hidden="1" customWidth="1" outlineLevel="1"/>
    <col min="5" max="5" width="19" hidden="1" customWidth="1" outlineLevel="1"/>
    <col min="6" max="6" width="19.109375" bestFit="1" customWidth="1" collapsed="1"/>
    <col min="7" max="7" width="13.44140625" bestFit="1" customWidth="1"/>
    <col min="8" max="8" width="17.88671875" bestFit="1" customWidth="1"/>
    <col min="9" max="9" width="16.109375" bestFit="1" customWidth="1"/>
  </cols>
  <sheetData>
    <row r="1" spans="1:9" x14ac:dyDescent="0.3">
      <c r="G1" s="170" t="s">
        <v>1570</v>
      </c>
      <c r="H1" s="170"/>
      <c r="I1" s="170"/>
    </row>
    <row r="2" spans="1:9" x14ac:dyDescent="0.3">
      <c r="A2" s="87" t="s">
        <v>57</v>
      </c>
      <c r="B2" s="87" t="s">
        <v>58</v>
      </c>
      <c r="C2" s="87" t="s">
        <v>59</v>
      </c>
      <c r="D2" s="44" t="s">
        <v>1367</v>
      </c>
      <c r="E2" s="44" t="s">
        <v>1368</v>
      </c>
      <c r="F2" s="46" t="s">
        <v>60</v>
      </c>
      <c r="G2" t="s">
        <v>871</v>
      </c>
      <c r="H2" t="s">
        <v>62</v>
      </c>
      <c r="I2" t="s">
        <v>1584</v>
      </c>
    </row>
    <row r="3" spans="1:9" x14ac:dyDescent="0.3">
      <c r="A3" s="43" t="b">
        <f>ISBLANK(LEDGER[[#This Row],[LedgerCode]])</f>
        <v>0</v>
      </c>
      <c r="B3" s="43" t="b">
        <f>ISBLANK(LEDGER[[#This Row],[Title]])</f>
        <v>0</v>
      </c>
      <c r="C3" s="43" t="b">
        <f>ISBLANK(LEDGER[[#This Row],[LedgerEnabled]])</f>
        <v>0</v>
      </c>
      <c r="D3" s="43" t="b">
        <f>IF(LEN(LEDGER[[#This Row],[LedgerCode]])&lt;100,FALSE,TRUE)</f>
        <v>0</v>
      </c>
      <c r="E3" s="43" t="b">
        <f>IF(LEN(LEDGER[[#This Row],[Title]])&lt;100,FALSE,TRUE)</f>
        <v>0</v>
      </c>
      <c r="F3" s="43">
        <f>COUNTIF(LEDGER[[#This Row],[Code is Blank]:[Title length check]],"TRUE")</f>
        <v>0</v>
      </c>
      <c r="G3" t="s">
        <v>1965</v>
      </c>
      <c r="H3" t="s">
        <v>1965</v>
      </c>
      <c r="I3" t="b">
        <v>1</v>
      </c>
    </row>
    <row r="4" spans="1:9" x14ac:dyDescent="0.3">
      <c r="A4" s="80" t="b">
        <f>ISBLANK(LEDGER[[#This Row],[LedgerCode]])</f>
        <v>0</v>
      </c>
      <c r="B4" s="80" t="b">
        <f>ISBLANK(LEDGER[[#This Row],[Title]])</f>
        <v>0</v>
      </c>
      <c r="C4" s="80" t="b">
        <f>ISBLANK(LEDGER[[#This Row],[LedgerEnabled]])</f>
        <v>0</v>
      </c>
      <c r="D4" s="86" t="b">
        <f>IF(LEN(LEDGER[[#This Row],[LedgerCode]])&lt;100,FALSE,TRUE)</f>
        <v>0</v>
      </c>
      <c r="E4" s="86" t="b">
        <f>IF(LEN(LEDGER[[#This Row],[Title]])&lt;100,FALSE,TRUE)</f>
        <v>0</v>
      </c>
      <c r="F4" s="86">
        <f>COUNTIF(LEDGER[[#This Row],[Code is Blank]:[Title length check]],"TRUE")</f>
        <v>0</v>
      </c>
      <c r="G4" t="s">
        <v>1966</v>
      </c>
      <c r="H4" t="s">
        <v>1966</v>
      </c>
      <c r="I4" t="b">
        <v>1</v>
      </c>
    </row>
    <row r="5" spans="1:9" x14ac:dyDescent="0.3">
      <c r="A5" s="43" t="b">
        <f>ISBLANK(LEDGER[[#This Row],[LedgerCode]])</f>
        <v>0</v>
      </c>
      <c r="B5" s="43" t="b">
        <f>ISBLANK(LEDGER[[#This Row],[Title]])</f>
        <v>0</v>
      </c>
      <c r="C5" s="43" t="b">
        <f>ISBLANK(LEDGER[[#This Row],[LedgerEnabled]])</f>
        <v>0</v>
      </c>
      <c r="D5" s="43" t="b">
        <f>IF(LEN(LEDGER[[#This Row],[LedgerCode]])&lt;100,FALSE,TRUE)</f>
        <v>0</v>
      </c>
      <c r="E5" s="43" t="b">
        <f>IF(LEN(LEDGER[[#This Row],[Title]])&lt;100,FALSE,TRUE)</f>
        <v>0</v>
      </c>
      <c r="F5" s="43">
        <f>COUNTIF(LEDGER[[#This Row],[Code is Blank]:[Title length check]],"TRUE")</f>
        <v>0</v>
      </c>
      <c r="G5" t="s">
        <v>1532</v>
      </c>
      <c r="H5" t="s">
        <v>1532</v>
      </c>
      <c r="I5" t="b">
        <v>1</v>
      </c>
    </row>
    <row r="6" spans="1:9" x14ac:dyDescent="0.3">
      <c r="A6" s="43" t="b">
        <f>ISBLANK(LEDGER[[#This Row],[LedgerCode]])</f>
        <v>0</v>
      </c>
      <c r="B6" s="43" t="b">
        <f>ISBLANK(LEDGER[[#This Row],[Title]])</f>
        <v>0</v>
      </c>
      <c r="C6" s="43" t="b">
        <f>ISBLANK(LEDGER[[#This Row],[LedgerEnabled]])</f>
        <v>0</v>
      </c>
      <c r="D6" s="43" t="b">
        <f>IF(LEN(LEDGER[[#This Row],[LedgerCode]])&lt;100,FALSE,TRUE)</f>
        <v>0</v>
      </c>
      <c r="E6" s="43" t="b">
        <f>IF(LEN(LEDGER[[#This Row],[Title]])&lt;100,FALSE,TRUE)</f>
        <v>0</v>
      </c>
      <c r="F6" s="43">
        <f>COUNTIF(LEDGER[[#This Row],[Code is Blank]:[Title length check]],"TRUE")</f>
        <v>0</v>
      </c>
      <c r="G6" t="s">
        <v>63</v>
      </c>
      <c r="H6" t="s">
        <v>872</v>
      </c>
      <c r="I6" t="b">
        <v>1</v>
      </c>
    </row>
    <row r="7" spans="1:9" x14ac:dyDescent="0.3">
      <c r="A7" s="43" t="b">
        <f>ISBLANK(LEDGER[[#This Row],[LedgerCode]])</f>
        <v>0</v>
      </c>
      <c r="B7" s="43" t="b">
        <f>ISBLANK(LEDGER[[#This Row],[Title]])</f>
        <v>0</v>
      </c>
      <c r="C7" s="43" t="b">
        <f>ISBLANK(LEDGER[[#This Row],[LedgerEnabled]])</f>
        <v>0</v>
      </c>
      <c r="D7" s="43" t="b">
        <f>IF(LEN(LEDGER[[#This Row],[LedgerCode]])&lt;100,FALSE,TRUE)</f>
        <v>0</v>
      </c>
      <c r="E7" s="43" t="b">
        <f>IF(LEN(LEDGER[[#This Row],[Title]])&lt;100,FALSE,TRUE)</f>
        <v>0</v>
      </c>
      <c r="F7" s="43">
        <f>COUNTIF(LEDGER[[#This Row],[Code is Blank]:[Title length check]],"TRUE")</f>
        <v>0</v>
      </c>
      <c r="G7" t="s">
        <v>1967</v>
      </c>
      <c r="H7" t="s">
        <v>1967</v>
      </c>
      <c r="I7" t="b">
        <v>1</v>
      </c>
    </row>
    <row r="8" spans="1:9" x14ac:dyDescent="0.3">
      <c r="A8" s="43" t="b">
        <f>ISBLANK(LEDGER[[#This Row],[LedgerCode]])</f>
        <v>0</v>
      </c>
      <c r="B8" s="43" t="b">
        <f>ISBLANK(LEDGER[[#This Row],[Title]])</f>
        <v>0</v>
      </c>
      <c r="C8" s="43" t="b">
        <f>ISBLANK(LEDGER[[#This Row],[LedgerEnabled]])</f>
        <v>0</v>
      </c>
      <c r="D8" s="43" t="b">
        <f>IF(LEN(LEDGER[[#This Row],[LedgerCode]])&lt;100,FALSE,TRUE)</f>
        <v>0</v>
      </c>
      <c r="E8" s="43" t="b">
        <f>IF(LEN(LEDGER[[#This Row],[Title]])&lt;100,FALSE,TRUE)</f>
        <v>0</v>
      </c>
      <c r="F8" s="43">
        <f>COUNTIF(LEDGER[[#This Row],[Code is Blank]:[Title length check]],"TRUE")</f>
        <v>0</v>
      </c>
      <c r="G8" t="s">
        <v>1968</v>
      </c>
      <c r="H8" t="s">
        <v>1968</v>
      </c>
      <c r="I8" t="b">
        <v>1</v>
      </c>
    </row>
  </sheetData>
  <mergeCells count="1">
    <mergeCell ref="G1:I1"/>
  </mergeCells>
  <phoneticPr fontId="2"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292-FA8E-48FB-963A-6CC08CD89A2C}">
  <sheetPr codeName="Sheet9">
    <tabColor theme="5" tint="0.79998168889431442"/>
  </sheetPr>
  <dimension ref="A1:I55"/>
  <sheetViews>
    <sheetView workbookViewId="0">
      <pane ySplit="2" topLeftCell="A3" activePane="bottomLeft" state="frozen"/>
      <selection pane="bottomLeft" activeCell="A3" sqref="A3"/>
    </sheetView>
  </sheetViews>
  <sheetFormatPr defaultColWidth="14.33203125" defaultRowHeight="14.4" outlineLevelCol="1" x14ac:dyDescent="0.3"/>
  <cols>
    <col min="1" max="1" width="15" hidden="1" customWidth="1" outlineLevel="1"/>
    <col min="2" max="2" width="14.44140625" hidden="1" customWidth="1" outlineLevel="1"/>
    <col min="3" max="3" width="20" hidden="1" customWidth="1" outlineLevel="1"/>
    <col min="4" max="4" width="19" hidden="1" customWidth="1" outlineLevel="1"/>
    <col min="5" max="5" width="17.6640625" hidden="1" customWidth="1" outlineLevel="1"/>
    <col min="6" max="6" width="19.109375" bestFit="1" customWidth="1" collapsed="1"/>
    <col min="7" max="7" width="22.44140625" bestFit="1" customWidth="1"/>
    <col min="8" max="8" width="31.88671875" bestFit="1" customWidth="1"/>
    <col min="9" max="9" width="25.109375" bestFit="1" customWidth="1"/>
  </cols>
  <sheetData>
    <row r="1" spans="1:9" x14ac:dyDescent="0.3">
      <c r="G1" s="170" t="s">
        <v>1570</v>
      </c>
      <c r="H1" s="170"/>
      <c r="I1" s="170"/>
    </row>
    <row r="2" spans="1:9" x14ac:dyDescent="0.3">
      <c r="A2" s="46" t="s">
        <v>57</v>
      </c>
      <c r="B2" s="46" t="s">
        <v>58</v>
      </c>
      <c r="C2" s="46" t="s">
        <v>1367</v>
      </c>
      <c r="D2" s="46" t="s">
        <v>1368</v>
      </c>
      <c r="E2" s="46" t="s">
        <v>59</v>
      </c>
      <c r="F2" s="46" t="s">
        <v>60</v>
      </c>
      <c r="G2" t="s">
        <v>1585</v>
      </c>
      <c r="H2" t="s">
        <v>62</v>
      </c>
      <c r="I2" t="s">
        <v>1586</v>
      </c>
    </row>
    <row r="3" spans="1:9" x14ac:dyDescent="0.3">
      <c r="A3" s="43" t="b">
        <f>ISBLANK(CUSTGROUP[[#This Row],[CustomGroupingCode]])</f>
        <v>0</v>
      </c>
      <c r="B3" s="43" t="b">
        <f>ISBLANK(CUSTGROUP[[#This Row],[Title]])</f>
        <v>0</v>
      </c>
      <c r="C3" s="43" t="b">
        <f>IF(LEN(CUSTGROUP[[#This Row],[CustomGroupingCode]])&lt;100,FALSE,TRUE)</f>
        <v>0</v>
      </c>
      <c r="D3" s="43" t="b">
        <f>IF(LEN(CUSTGROUP[[#This Row],[Title]])&lt;100,FALSE,TRUE)</f>
        <v>0</v>
      </c>
      <c r="E3" s="43" t="b">
        <f>ISBLANK(CUSTGROUP[[#This Row],[CustomGroupingEnabled]])</f>
        <v>0</v>
      </c>
      <c r="F3" s="43">
        <f>COUNTIF(CUSTGROUP[[#This Row],[Code is Blank]:[Enabled is blank]],"TRUE")</f>
        <v>0</v>
      </c>
      <c r="G3" t="s">
        <v>1533</v>
      </c>
      <c r="H3" t="s">
        <v>1969</v>
      </c>
      <c r="I3" t="b">
        <v>1</v>
      </c>
    </row>
    <row r="4" spans="1:9" x14ac:dyDescent="0.3">
      <c r="A4" s="43" t="b">
        <f>ISBLANK(CUSTGROUP[[#This Row],[CustomGroupingCode]])</f>
        <v>0</v>
      </c>
      <c r="B4" s="43" t="b">
        <f>ISBLANK(CUSTGROUP[[#This Row],[Title]])</f>
        <v>0</v>
      </c>
      <c r="C4" s="43" t="b">
        <f>IF(LEN(CUSTGROUP[[#This Row],[CustomGroupingCode]])&lt;100,FALSE,TRUE)</f>
        <v>0</v>
      </c>
      <c r="D4" s="43" t="b">
        <f>IF(LEN(CUSTGROUP[[#This Row],[Title]])&lt;100,FALSE,TRUE)</f>
        <v>0</v>
      </c>
      <c r="E4" s="43" t="b">
        <f>ISBLANK(CUSTGROUP[[#This Row],[CustomGroupingEnabled]])</f>
        <v>0</v>
      </c>
      <c r="F4" s="43">
        <f>COUNTIF(CUSTGROUP[[#This Row],[Code is Blank]:[Enabled is blank]],"TRUE")</f>
        <v>0</v>
      </c>
      <c r="G4" t="s">
        <v>1970</v>
      </c>
      <c r="H4" t="s">
        <v>1971</v>
      </c>
      <c r="I4" t="b">
        <v>1</v>
      </c>
    </row>
    <row r="5" spans="1:9" x14ac:dyDescent="0.3">
      <c r="A5" s="43" t="b">
        <f>ISBLANK(CUSTGROUP[[#This Row],[CustomGroupingCode]])</f>
        <v>0</v>
      </c>
      <c r="B5" s="43" t="b">
        <f>ISBLANK(CUSTGROUP[[#This Row],[Title]])</f>
        <v>0</v>
      </c>
      <c r="C5" s="43" t="b">
        <f>IF(LEN(CUSTGROUP[[#This Row],[CustomGroupingCode]])&lt;100,FALSE,TRUE)</f>
        <v>0</v>
      </c>
      <c r="D5" s="43" t="b">
        <f>IF(LEN(CUSTGROUP[[#This Row],[Title]])&lt;100,FALSE,TRUE)</f>
        <v>0</v>
      </c>
      <c r="E5" s="43" t="b">
        <f>ISBLANK(CUSTGROUP[[#This Row],[CustomGroupingEnabled]])</f>
        <v>0</v>
      </c>
      <c r="F5" s="43">
        <f>COUNTIF(CUSTGROUP[[#This Row],[Code is Blank]:[Enabled is blank]],"TRUE")</f>
        <v>0</v>
      </c>
      <c r="G5" t="s">
        <v>1972</v>
      </c>
      <c r="H5" t="s">
        <v>1973</v>
      </c>
      <c r="I5" t="b">
        <v>1</v>
      </c>
    </row>
    <row r="6" spans="1:9" x14ac:dyDescent="0.3">
      <c r="A6" s="43" t="b">
        <f>ISBLANK(CUSTGROUP[[#This Row],[CustomGroupingCode]])</f>
        <v>0</v>
      </c>
      <c r="B6" s="43" t="b">
        <f>ISBLANK(CUSTGROUP[[#This Row],[Title]])</f>
        <v>0</v>
      </c>
      <c r="C6" s="43" t="b">
        <f>IF(LEN(CUSTGROUP[[#This Row],[CustomGroupingCode]])&lt;100,FALSE,TRUE)</f>
        <v>0</v>
      </c>
      <c r="D6" s="43" t="b">
        <f>IF(LEN(CUSTGROUP[[#This Row],[Title]])&lt;100,FALSE,TRUE)</f>
        <v>0</v>
      </c>
      <c r="E6" s="43" t="b">
        <f>ISBLANK(CUSTGROUP[[#This Row],[CustomGroupingEnabled]])</f>
        <v>0</v>
      </c>
      <c r="F6" s="43">
        <f>COUNTIF(CUSTGROUP[[#This Row],[Code is Blank]:[Enabled is blank]],"TRUE")</f>
        <v>0</v>
      </c>
      <c r="G6" t="s">
        <v>1974</v>
      </c>
      <c r="H6" t="s">
        <v>1975</v>
      </c>
      <c r="I6" t="b">
        <v>1</v>
      </c>
    </row>
    <row r="7" spans="1:9" x14ac:dyDescent="0.3">
      <c r="A7" s="43" t="b">
        <f>ISBLANK(CUSTGROUP[[#This Row],[CustomGroupingCode]])</f>
        <v>0</v>
      </c>
      <c r="B7" s="43" t="b">
        <f>ISBLANK(CUSTGROUP[[#This Row],[Title]])</f>
        <v>0</v>
      </c>
      <c r="C7" s="43" t="b">
        <f>IF(LEN(CUSTGROUP[[#This Row],[CustomGroupingCode]])&lt;100,FALSE,TRUE)</f>
        <v>0</v>
      </c>
      <c r="D7" s="43" t="b">
        <f>IF(LEN(CUSTGROUP[[#This Row],[Title]])&lt;100,FALSE,TRUE)</f>
        <v>0</v>
      </c>
      <c r="E7" s="43" t="b">
        <f>ISBLANK(CUSTGROUP[[#This Row],[CustomGroupingEnabled]])</f>
        <v>0</v>
      </c>
      <c r="F7" s="43">
        <f>COUNTIF(CUSTGROUP[[#This Row],[Code is Blank]:[Enabled is blank]],"TRUE")</f>
        <v>0</v>
      </c>
      <c r="G7" t="s">
        <v>1976</v>
      </c>
      <c r="H7" t="s">
        <v>1942</v>
      </c>
      <c r="I7" t="b">
        <v>1</v>
      </c>
    </row>
    <row r="8" spans="1:9" x14ac:dyDescent="0.3">
      <c r="A8" s="43" t="b">
        <f>ISBLANK(CUSTGROUP[[#This Row],[CustomGroupingCode]])</f>
        <v>0</v>
      </c>
      <c r="B8" s="43" t="b">
        <f>ISBLANK(CUSTGROUP[[#This Row],[Title]])</f>
        <v>0</v>
      </c>
      <c r="C8" s="43" t="b">
        <f>IF(LEN(CUSTGROUP[[#This Row],[CustomGroupingCode]])&lt;100,FALSE,TRUE)</f>
        <v>0</v>
      </c>
      <c r="D8" s="43" t="b">
        <f>IF(LEN(CUSTGROUP[[#This Row],[Title]])&lt;100,FALSE,TRUE)</f>
        <v>0</v>
      </c>
      <c r="E8" s="43" t="b">
        <f>ISBLANK(CUSTGROUP[[#This Row],[CustomGroupingEnabled]])</f>
        <v>0</v>
      </c>
      <c r="F8" s="43">
        <f>COUNTIF(CUSTGROUP[[#This Row],[Code is Blank]:[Enabled is blank]],"TRUE")</f>
        <v>0</v>
      </c>
      <c r="G8" t="s">
        <v>1977</v>
      </c>
      <c r="H8" t="s">
        <v>1978</v>
      </c>
      <c r="I8" t="b">
        <v>1</v>
      </c>
    </row>
    <row r="9" spans="1:9" x14ac:dyDescent="0.3">
      <c r="A9" s="43" t="b">
        <f>ISBLANK(CUSTGROUP[[#This Row],[CustomGroupingCode]])</f>
        <v>0</v>
      </c>
      <c r="B9" s="43" t="b">
        <f>ISBLANK(CUSTGROUP[[#This Row],[Title]])</f>
        <v>0</v>
      </c>
      <c r="C9" s="43" t="b">
        <f>IF(LEN(CUSTGROUP[[#This Row],[CustomGroupingCode]])&lt;100,FALSE,TRUE)</f>
        <v>0</v>
      </c>
      <c r="D9" s="43" t="b">
        <f>IF(LEN(CUSTGROUP[[#This Row],[Title]])&lt;100,FALSE,TRUE)</f>
        <v>0</v>
      </c>
      <c r="E9" s="43" t="b">
        <f>ISBLANK(CUSTGROUP[[#This Row],[CustomGroupingEnabled]])</f>
        <v>0</v>
      </c>
      <c r="F9" s="43">
        <f>COUNTIF(CUSTGROUP[[#This Row],[Code is Blank]:[Enabled is blank]],"TRUE")</f>
        <v>0</v>
      </c>
      <c r="G9" t="s">
        <v>1979</v>
      </c>
      <c r="H9" t="s">
        <v>1980</v>
      </c>
      <c r="I9" t="b">
        <v>1</v>
      </c>
    </row>
    <row r="10" spans="1:9" x14ac:dyDescent="0.3">
      <c r="A10" s="43" t="b">
        <f>ISBLANK(CUSTGROUP[[#This Row],[CustomGroupingCode]])</f>
        <v>0</v>
      </c>
      <c r="B10" s="43" t="b">
        <f>ISBLANK(CUSTGROUP[[#This Row],[Title]])</f>
        <v>0</v>
      </c>
      <c r="C10" s="43" t="b">
        <f>IF(LEN(CUSTGROUP[[#This Row],[CustomGroupingCode]])&lt;100,FALSE,TRUE)</f>
        <v>0</v>
      </c>
      <c r="D10" s="43" t="b">
        <f>IF(LEN(CUSTGROUP[[#This Row],[Title]])&lt;100,FALSE,TRUE)</f>
        <v>0</v>
      </c>
      <c r="E10" s="43" t="b">
        <f>ISBLANK(CUSTGROUP[[#This Row],[CustomGroupingEnabled]])</f>
        <v>0</v>
      </c>
      <c r="F10" s="43">
        <f>COUNTIF(CUSTGROUP[[#This Row],[Code is Blank]:[Enabled is blank]],"TRUE")</f>
        <v>0</v>
      </c>
      <c r="G10" t="s">
        <v>1981</v>
      </c>
      <c r="H10" t="s">
        <v>1982</v>
      </c>
      <c r="I10" t="b">
        <v>1</v>
      </c>
    </row>
    <row r="11" spans="1:9" x14ac:dyDescent="0.3">
      <c r="A11" s="43" t="b">
        <f>ISBLANK(CUSTGROUP[[#This Row],[CustomGroupingCode]])</f>
        <v>0</v>
      </c>
      <c r="B11" s="43" t="b">
        <f>ISBLANK(CUSTGROUP[[#This Row],[Title]])</f>
        <v>0</v>
      </c>
      <c r="C11" s="43" t="b">
        <f>IF(LEN(CUSTGROUP[[#This Row],[CustomGroupingCode]])&lt;100,FALSE,TRUE)</f>
        <v>0</v>
      </c>
      <c r="D11" s="43" t="b">
        <f>IF(LEN(CUSTGROUP[[#This Row],[Title]])&lt;100,FALSE,TRUE)</f>
        <v>0</v>
      </c>
      <c r="E11" s="43" t="b">
        <f>ISBLANK(CUSTGROUP[[#This Row],[CustomGroupingEnabled]])</f>
        <v>0</v>
      </c>
      <c r="F11" s="43">
        <f>COUNTIF(CUSTGROUP[[#This Row],[Code is Blank]:[Enabled is blank]],"TRUE")</f>
        <v>0</v>
      </c>
      <c r="G11" t="s">
        <v>1983</v>
      </c>
      <c r="H11" t="s">
        <v>1984</v>
      </c>
      <c r="I11" t="b">
        <v>1</v>
      </c>
    </row>
    <row r="12" spans="1:9" x14ac:dyDescent="0.3">
      <c r="A12" s="43" t="b">
        <f>ISBLANK(CUSTGROUP[[#This Row],[CustomGroupingCode]])</f>
        <v>0</v>
      </c>
      <c r="B12" s="43" t="b">
        <f>ISBLANK(CUSTGROUP[[#This Row],[Title]])</f>
        <v>0</v>
      </c>
      <c r="C12" s="43" t="b">
        <f>IF(LEN(CUSTGROUP[[#This Row],[CustomGroupingCode]])&lt;100,FALSE,TRUE)</f>
        <v>0</v>
      </c>
      <c r="D12" s="43" t="b">
        <f>IF(LEN(CUSTGROUP[[#This Row],[Title]])&lt;100,FALSE,TRUE)</f>
        <v>0</v>
      </c>
      <c r="E12" s="43" t="b">
        <f>ISBLANK(CUSTGROUP[[#This Row],[CustomGroupingEnabled]])</f>
        <v>0</v>
      </c>
      <c r="F12" s="43">
        <f>COUNTIF(CUSTGROUP[[#This Row],[Code is Blank]:[Enabled is blank]],"TRUE")</f>
        <v>0</v>
      </c>
      <c r="G12" t="s">
        <v>1985</v>
      </c>
      <c r="H12" t="s">
        <v>846</v>
      </c>
      <c r="I12" t="b">
        <v>1</v>
      </c>
    </row>
    <row r="13" spans="1:9" x14ac:dyDescent="0.3">
      <c r="A13" s="43" t="b">
        <f>ISBLANK(CUSTGROUP[[#This Row],[CustomGroupingCode]])</f>
        <v>0</v>
      </c>
      <c r="B13" s="43" t="b">
        <f>ISBLANK(CUSTGROUP[[#This Row],[Title]])</f>
        <v>0</v>
      </c>
      <c r="C13" s="43" t="b">
        <f>IF(LEN(CUSTGROUP[[#This Row],[CustomGroupingCode]])&lt;100,FALSE,TRUE)</f>
        <v>0</v>
      </c>
      <c r="D13" s="43" t="b">
        <f>IF(LEN(CUSTGROUP[[#This Row],[Title]])&lt;100,FALSE,TRUE)</f>
        <v>0</v>
      </c>
      <c r="E13" s="43" t="b">
        <f>ISBLANK(CUSTGROUP[[#This Row],[CustomGroupingEnabled]])</f>
        <v>0</v>
      </c>
      <c r="F13" s="43">
        <f>COUNTIF(CUSTGROUP[[#This Row],[Code is Blank]:[Enabled is blank]],"TRUE")</f>
        <v>0</v>
      </c>
      <c r="G13" t="s">
        <v>1986</v>
      </c>
      <c r="H13" t="s">
        <v>1987</v>
      </c>
      <c r="I13" t="b">
        <v>1</v>
      </c>
    </row>
    <row r="14" spans="1:9" x14ac:dyDescent="0.3">
      <c r="A14" s="43" t="b">
        <f>ISBLANK(CUSTGROUP[[#This Row],[CustomGroupingCode]])</f>
        <v>0</v>
      </c>
      <c r="B14" s="43" t="b">
        <f>ISBLANK(CUSTGROUP[[#This Row],[Title]])</f>
        <v>0</v>
      </c>
      <c r="C14" s="43" t="b">
        <f>IF(LEN(CUSTGROUP[[#This Row],[CustomGroupingCode]])&lt;100,FALSE,TRUE)</f>
        <v>0</v>
      </c>
      <c r="D14" s="43" t="b">
        <f>IF(LEN(CUSTGROUP[[#This Row],[Title]])&lt;100,FALSE,TRUE)</f>
        <v>0</v>
      </c>
      <c r="E14" s="43" t="b">
        <f>ISBLANK(CUSTGROUP[[#This Row],[CustomGroupingEnabled]])</f>
        <v>0</v>
      </c>
      <c r="F14" s="43">
        <f>COUNTIF(CUSTGROUP[[#This Row],[Code is Blank]:[Enabled is blank]],"TRUE")</f>
        <v>0</v>
      </c>
      <c r="G14" t="s">
        <v>1988</v>
      </c>
      <c r="H14" t="s">
        <v>1989</v>
      </c>
      <c r="I14" t="b">
        <v>1</v>
      </c>
    </row>
    <row r="15" spans="1:9" x14ac:dyDescent="0.3">
      <c r="A15" s="43" t="b">
        <f>ISBLANK(CUSTGROUP[[#This Row],[CustomGroupingCode]])</f>
        <v>0</v>
      </c>
      <c r="B15" s="43" t="b">
        <f>ISBLANK(CUSTGROUP[[#This Row],[Title]])</f>
        <v>0</v>
      </c>
      <c r="C15" s="43" t="b">
        <f>IF(LEN(CUSTGROUP[[#This Row],[CustomGroupingCode]])&lt;100,FALSE,TRUE)</f>
        <v>0</v>
      </c>
      <c r="D15" s="43" t="b">
        <f>IF(LEN(CUSTGROUP[[#This Row],[Title]])&lt;100,FALSE,TRUE)</f>
        <v>0</v>
      </c>
      <c r="E15" s="43" t="b">
        <f>ISBLANK(CUSTGROUP[[#This Row],[CustomGroupingEnabled]])</f>
        <v>0</v>
      </c>
      <c r="F15" s="43">
        <f>COUNTIF(CUSTGROUP[[#This Row],[Code is Blank]:[Enabled is blank]],"TRUE")</f>
        <v>0</v>
      </c>
      <c r="G15" t="s">
        <v>1990</v>
      </c>
      <c r="H15" t="s">
        <v>1991</v>
      </c>
      <c r="I15" t="b">
        <v>1</v>
      </c>
    </row>
    <row r="16" spans="1:9" x14ac:dyDescent="0.3">
      <c r="A16" s="43" t="b">
        <f>ISBLANK(CUSTGROUP[[#This Row],[CustomGroupingCode]])</f>
        <v>0</v>
      </c>
      <c r="B16" s="43" t="b">
        <f>ISBLANK(CUSTGROUP[[#This Row],[Title]])</f>
        <v>0</v>
      </c>
      <c r="C16" s="43" t="b">
        <f>IF(LEN(CUSTGROUP[[#This Row],[CustomGroupingCode]])&lt;100,FALSE,TRUE)</f>
        <v>0</v>
      </c>
      <c r="D16" s="43" t="b">
        <f>IF(LEN(CUSTGROUP[[#This Row],[Title]])&lt;100,FALSE,TRUE)</f>
        <v>0</v>
      </c>
      <c r="E16" s="43" t="b">
        <f>ISBLANK(CUSTGROUP[[#This Row],[CustomGroupingEnabled]])</f>
        <v>0</v>
      </c>
      <c r="F16" s="43">
        <f>COUNTIF(CUSTGROUP[[#This Row],[Code is Blank]:[Enabled is blank]],"TRUE")</f>
        <v>0</v>
      </c>
      <c r="G16" t="s">
        <v>1992</v>
      </c>
      <c r="H16" t="s">
        <v>1993</v>
      </c>
      <c r="I16" t="b">
        <v>1</v>
      </c>
    </row>
    <row r="17" spans="1:9" x14ac:dyDescent="0.3">
      <c r="A17" s="43" t="b">
        <f>ISBLANK(CUSTGROUP[[#This Row],[CustomGroupingCode]])</f>
        <v>0</v>
      </c>
      <c r="B17" s="43" t="b">
        <f>ISBLANK(CUSTGROUP[[#This Row],[Title]])</f>
        <v>0</v>
      </c>
      <c r="C17" s="43" t="b">
        <f>IF(LEN(CUSTGROUP[[#This Row],[CustomGroupingCode]])&lt;100,FALSE,TRUE)</f>
        <v>0</v>
      </c>
      <c r="D17" s="43" t="b">
        <f>IF(LEN(CUSTGROUP[[#This Row],[Title]])&lt;100,FALSE,TRUE)</f>
        <v>0</v>
      </c>
      <c r="E17" s="43" t="b">
        <f>ISBLANK(CUSTGROUP[[#This Row],[CustomGroupingEnabled]])</f>
        <v>0</v>
      </c>
      <c r="F17" s="43">
        <f>COUNTIF(CUSTGROUP[[#This Row],[Code is Blank]:[Enabled is blank]],"TRUE")</f>
        <v>0</v>
      </c>
      <c r="G17" t="s">
        <v>1994</v>
      </c>
      <c r="H17" t="s">
        <v>1995</v>
      </c>
      <c r="I17" t="b">
        <v>1</v>
      </c>
    </row>
    <row r="18" spans="1:9" x14ac:dyDescent="0.3">
      <c r="A18" s="43" t="b">
        <f>ISBLANK(CUSTGROUP[[#This Row],[CustomGroupingCode]])</f>
        <v>0</v>
      </c>
      <c r="B18" s="43" t="b">
        <f>ISBLANK(CUSTGROUP[[#This Row],[Title]])</f>
        <v>0</v>
      </c>
      <c r="C18" s="43" t="b">
        <f>IF(LEN(CUSTGROUP[[#This Row],[CustomGroupingCode]])&lt;100,FALSE,TRUE)</f>
        <v>0</v>
      </c>
      <c r="D18" s="43" t="b">
        <f>IF(LEN(CUSTGROUP[[#This Row],[Title]])&lt;100,FALSE,TRUE)</f>
        <v>0</v>
      </c>
      <c r="E18" s="43" t="b">
        <f>ISBLANK(CUSTGROUP[[#This Row],[CustomGroupingEnabled]])</f>
        <v>0</v>
      </c>
      <c r="F18" s="43">
        <f>COUNTIF(CUSTGROUP[[#This Row],[Code is Blank]:[Enabled is blank]],"TRUE")</f>
        <v>0</v>
      </c>
      <c r="G18" t="s">
        <v>1996</v>
      </c>
      <c r="H18" t="s">
        <v>1997</v>
      </c>
      <c r="I18" t="b">
        <v>1</v>
      </c>
    </row>
    <row r="19" spans="1:9" x14ac:dyDescent="0.3">
      <c r="A19" s="43" t="b">
        <f>ISBLANK(CUSTGROUP[[#This Row],[CustomGroupingCode]])</f>
        <v>0</v>
      </c>
      <c r="B19" s="43" t="b">
        <f>ISBLANK(CUSTGROUP[[#This Row],[Title]])</f>
        <v>0</v>
      </c>
      <c r="C19" s="43" t="b">
        <f>IF(LEN(CUSTGROUP[[#This Row],[CustomGroupingCode]])&lt;100,FALSE,TRUE)</f>
        <v>0</v>
      </c>
      <c r="D19" s="43" t="b">
        <f>IF(LEN(CUSTGROUP[[#This Row],[Title]])&lt;100,FALSE,TRUE)</f>
        <v>0</v>
      </c>
      <c r="E19" s="43" t="b">
        <f>ISBLANK(CUSTGROUP[[#This Row],[CustomGroupingEnabled]])</f>
        <v>0</v>
      </c>
      <c r="F19" s="43">
        <f>COUNTIF(CUSTGROUP[[#This Row],[Code is Blank]:[Enabled is blank]],"TRUE")</f>
        <v>0</v>
      </c>
      <c r="G19" t="s">
        <v>1998</v>
      </c>
      <c r="H19" t="s">
        <v>1999</v>
      </c>
      <c r="I19" t="b">
        <v>1</v>
      </c>
    </row>
    <row r="20" spans="1:9" x14ac:dyDescent="0.3">
      <c r="A20" s="43" t="b">
        <f>ISBLANK(CUSTGROUP[[#This Row],[CustomGroupingCode]])</f>
        <v>0</v>
      </c>
      <c r="B20" s="43" t="b">
        <f>ISBLANK(CUSTGROUP[[#This Row],[Title]])</f>
        <v>0</v>
      </c>
      <c r="C20" s="43" t="b">
        <f>IF(LEN(CUSTGROUP[[#This Row],[CustomGroupingCode]])&lt;100,FALSE,TRUE)</f>
        <v>0</v>
      </c>
      <c r="D20" s="43" t="b">
        <f>IF(LEN(CUSTGROUP[[#This Row],[Title]])&lt;100,FALSE,TRUE)</f>
        <v>0</v>
      </c>
      <c r="E20" s="43" t="b">
        <f>ISBLANK(CUSTGROUP[[#This Row],[CustomGroupingEnabled]])</f>
        <v>0</v>
      </c>
      <c r="F20" s="43">
        <f>COUNTIF(CUSTGROUP[[#This Row],[Code is Blank]:[Enabled is blank]],"TRUE")</f>
        <v>0</v>
      </c>
      <c r="G20" t="s">
        <v>2000</v>
      </c>
      <c r="H20" t="s">
        <v>2001</v>
      </c>
      <c r="I20" t="b">
        <v>1</v>
      </c>
    </row>
    <row r="21" spans="1:9" x14ac:dyDescent="0.3">
      <c r="A21" s="43" t="b">
        <f>ISBLANK(CUSTGROUP[[#This Row],[CustomGroupingCode]])</f>
        <v>0</v>
      </c>
      <c r="B21" s="43" t="b">
        <f>ISBLANK(CUSTGROUP[[#This Row],[Title]])</f>
        <v>0</v>
      </c>
      <c r="C21" s="43" t="b">
        <f>IF(LEN(CUSTGROUP[[#This Row],[CustomGroupingCode]])&lt;100,FALSE,TRUE)</f>
        <v>0</v>
      </c>
      <c r="D21" s="43" t="b">
        <f>IF(LEN(CUSTGROUP[[#This Row],[Title]])&lt;100,FALSE,TRUE)</f>
        <v>0</v>
      </c>
      <c r="E21" s="43" t="b">
        <f>ISBLANK(CUSTGROUP[[#This Row],[CustomGroupingEnabled]])</f>
        <v>0</v>
      </c>
      <c r="F21" s="43">
        <f>COUNTIF(CUSTGROUP[[#This Row],[Code is Blank]:[Enabled is blank]],"TRUE")</f>
        <v>0</v>
      </c>
      <c r="G21" t="s">
        <v>2002</v>
      </c>
      <c r="H21" t="s">
        <v>2003</v>
      </c>
      <c r="I21" t="b">
        <v>1</v>
      </c>
    </row>
    <row r="22" spans="1:9" x14ac:dyDescent="0.3">
      <c r="A22" s="43" t="b">
        <f>ISBLANK(CUSTGROUP[[#This Row],[CustomGroupingCode]])</f>
        <v>0</v>
      </c>
      <c r="B22" s="43" t="b">
        <f>ISBLANK(CUSTGROUP[[#This Row],[Title]])</f>
        <v>0</v>
      </c>
      <c r="C22" s="43" t="b">
        <f>IF(LEN(CUSTGROUP[[#This Row],[CustomGroupingCode]])&lt;100,FALSE,TRUE)</f>
        <v>0</v>
      </c>
      <c r="D22" s="43" t="b">
        <f>IF(LEN(CUSTGROUP[[#This Row],[Title]])&lt;100,FALSE,TRUE)</f>
        <v>0</v>
      </c>
      <c r="E22" s="43" t="b">
        <f>ISBLANK(CUSTGROUP[[#This Row],[CustomGroupingEnabled]])</f>
        <v>0</v>
      </c>
      <c r="F22" s="43">
        <f>COUNTIF(CUSTGROUP[[#This Row],[Code is Blank]:[Enabled is blank]],"TRUE")</f>
        <v>0</v>
      </c>
      <c r="G22" t="s">
        <v>2004</v>
      </c>
      <c r="H22" t="s">
        <v>2005</v>
      </c>
      <c r="I22" t="b">
        <v>1</v>
      </c>
    </row>
    <row r="23" spans="1:9" x14ac:dyDescent="0.3">
      <c r="A23" s="43" t="b">
        <f>ISBLANK(CUSTGROUP[[#This Row],[CustomGroupingCode]])</f>
        <v>0</v>
      </c>
      <c r="B23" s="43" t="b">
        <f>ISBLANK(CUSTGROUP[[#This Row],[Title]])</f>
        <v>0</v>
      </c>
      <c r="C23" s="43" t="b">
        <f>IF(LEN(CUSTGROUP[[#This Row],[CustomGroupingCode]])&lt;100,FALSE,TRUE)</f>
        <v>0</v>
      </c>
      <c r="D23" s="43" t="b">
        <f>IF(LEN(CUSTGROUP[[#This Row],[Title]])&lt;100,FALSE,TRUE)</f>
        <v>0</v>
      </c>
      <c r="E23" s="43" t="b">
        <f>ISBLANK(CUSTGROUP[[#This Row],[CustomGroupingEnabled]])</f>
        <v>0</v>
      </c>
      <c r="F23" s="43">
        <f>COUNTIF(CUSTGROUP[[#This Row],[Code is Blank]:[Enabled is blank]],"TRUE")</f>
        <v>0</v>
      </c>
      <c r="G23" t="s">
        <v>2006</v>
      </c>
      <c r="H23" t="s">
        <v>2007</v>
      </c>
      <c r="I23" t="b">
        <v>1</v>
      </c>
    </row>
    <row r="24" spans="1:9" x14ac:dyDescent="0.3">
      <c r="A24" s="43" t="b">
        <f>ISBLANK(CUSTGROUP[[#This Row],[CustomGroupingCode]])</f>
        <v>0</v>
      </c>
      <c r="B24" s="43" t="b">
        <f>ISBLANK(CUSTGROUP[[#This Row],[Title]])</f>
        <v>0</v>
      </c>
      <c r="C24" s="43" t="b">
        <f>IF(LEN(CUSTGROUP[[#This Row],[CustomGroupingCode]])&lt;100,FALSE,TRUE)</f>
        <v>0</v>
      </c>
      <c r="D24" s="43" t="b">
        <f>IF(LEN(CUSTGROUP[[#This Row],[Title]])&lt;100,FALSE,TRUE)</f>
        <v>0</v>
      </c>
      <c r="E24" s="43" t="b">
        <f>ISBLANK(CUSTGROUP[[#This Row],[CustomGroupingEnabled]])</f>
        <v>0</v>
      </c>
      <c r="F24" s="43">
        <f>COUNTIF(CUSTGROUP[[#This Row],[Code is Blank]:[Enabled is blank]],"TRUE")</f>
        <v>0</v>
      </c>
      <c r="G24" t="s">
        <v>2008</v>
      </c>
      <c r="H24" t="s">
        <v>2009</v>
      </c>
      <c r="I24" t="b">
        <v>1</v>
      </c>
    </row>
    <row r="25" spans="1:9" x14ac:dyDescent="0.3">
      <c r="A25" s="43" t="b">
        <f>ISBLANK(CUSTGROUP[[#This Row],[CustomGroupingCode]])</f>
        <v>0</v>
      </c>
      <c r="B25" s="43" t="b">
        <f>ISBLANK(CUSTGROUP[[#This Row],[Title]])</f>
        <v>0</v>
      </c>
      <c r="C25" s="43" t="b">
        <f>IF(LEN(CUSTGROUP[[#This Row],[CustomGroupingCode]])&lt;100,FALSE,TRUE)</f>
        <v>0</v>
      </c>
      <c r="D25" s="43" t="b">
        <f>IF(LEN(CUSTGROUP[[#This Row],[Title]])&lt;100,FALSE,TRUE)</f>
        <v>0</v>
      </c>
      <c r="E25" s="43" t="b">
        <f>ISBLANK(CUSTGROUP[[#This Row],[CustomGroupingEnabled]])</f>
        <v>0</v>
      </c>
      <c r="F25" s="43">
        <f>COUNTIF(CUSTGROUP[[#This Row],[Code is Blank]:[Enabled is blank]],"TRUE")</f>
        <v>0</v>
      </c>
      <c r="G25" t="s">
        <v>2010</v>
      </c>
      <c r="H25" t="s">
        <v>2011</v>
      </c>
      <c r="I25" t="b">
        <v>1</v>
      </c>
    </row>
    <row r="26" spans="1:9" x14ac:dyDescent="0.3">
      <c r="A26" s="43" t="b">
        <f>ISBLANK(CUSTGROUP[[#This Row],[CustomGroupingCode]])</f>
        <v>0</v>
      </c>
      <c r="B26" s="43" t="b">
        <f>ISBLANK(CUSTGROUP[[#This Row],[Title]])</f>
        <v>0</v>
      </c>
      <c r="C26" s="43" t="b">
        <f>IF(LEN(CUSTGROUP[[#This Row],[CustomGroupingCode]])&lt;100,FALSE,TRUE)</f>
        <v>0</v>
      </c>
      <c r="D26" s="43" t="b">
        <f>IF(LEN(CUSTGROUP[[#This Row],[Title]])&lt;100,FALSE,TRUE)</f>
        <v>0</v>
      </c>
      <c r="E26" s="43" t="b">
        <f>ISBLANK(CUSTGROUP[[#This Row],[CustomGroupingEnabled]])</f>
        <v>0</v>
      </c>
      <c r="F26" s="43">
        <f>COUNTIF(CUSTGROUP[[#This Row],[Code is Blank]:[Enabled is blank]],"TRUE")</f>
        <v>0</v>
      </c>
      <c r="G26" t="s">
        <v>849</v>
      </c>
      <c r="H26" t="s">
        <v>850</v>
      </c>
      <c r="I26" t="b">
        <v>1</v>
      </c>
    </row>
    <row r="27" spans="1:9" x14ac:dyDescent="0.3">
      <c r="A27" s="43" t="b">
        <f>ISBLANK(CUSTGROUP[[#This Row],[CustomGroupingCode]])</f>
        <v>0</v>
      </c>
      <c r="B27" s="43" t="b">
        <f>ISBLANK(CUSTGROUP[[#This Row],[Title]])</f>
        <v>0</v>
      </c>
      <c r="C27" s="43" t="b">
        <f>IF(LEN(CUSTGROUP[[#This Row],[CustomGroupingCode]])&lt;100,FALSE,TRUE)</f>
        <v>0</v>
      </c>
      <c r="D27" s="43" t="b">
        <f>IF(LEN(CUSTGROUP[[#This Row],[Title]])&lt;100,FALSE,TRUE)</f>
        <v>0</v>
      </c>
      <c r="E27" s="43" t="b">
        <f>ISBLANK(CUSTGROUP[[#This Row],[CustomGroupingEnabled]])</f>
        <v>0</v>
      </c>
      <c r="F27" s="43">
        <f>COUNTIF(CUSTGROUP[[#This Row],[Code is Blank]:[Enabled is blank]],"TRUE")</f>
        <v>0</v>
      </c>
      <c r="G27" t="s">
        <v>851</v>
      </c>
      <c r="H27" t="s">
        <v>852</v>
      </c>
      <c r="I27" t="b">
        <v>1</v>
      </c>
    </row>
    <row r="28" spans="1:9" x14ac:dyDescent="0.3">
      <c r="A28" s="43" t="b">
        <f>ISBLANK(CUSTGROUP[[#This Row],[CustomGroupingCode]])</f>
        <v>0</v>
      </c>
      <c r="B28" s="43" t="b">
        <f>ISBLANK(CUSTGROUP[[#This Row],[Title]])</f>
        <v>0</v>
      </c>
      <c r="C28" s="43" t="b">
        <f>IF(LEN(CUSTGROUP[[#This Row],[CustomGroupingCode]])&lt;100,FALSE,TRUE)</f>
        <v>0</v>
      </c>
      <c r="D28" s="43" t="b">
        <f>IF(LEN(CUSTGROUP[[#This Row],[Title]])&lt;100,FALSE,TRUE)</f>
        <v>0</v>
      </c>
      <c r="E28" s="43" t="b">
        <f>ISBLANK(CUSTGROUP[[#This Row],[CustomGroupingEnabled]])</f>
        <v>0</v>
      </c>
      <c r="F28" s="43">
        <f>COUNTIF(CUSTGROUP[[#This Row],[Code is Blank]:[Enabled is blank]],"TRUE")</f>
        <v>0</v>
      </c>
      <c r="G28" t="s">
        <v>2012</v>
      </c>
      <c r="H28" t="s">
        <v>2013</v>
      </c>
      <c r="I28" t="b">
        <v>1</v>
      </c>
    </row>
    <row r="29" spans="1:9" x14ac:dyDescent="0.3">
      <c r="A29" s="43" t="b">
        <f>ISBLANK(CUSTGROUP[[#This Row],[CustomGroupingCode]])</f>
        <v>0</v>
      </c>
      <c r="B29" s="43" t="b">
        <f>ISBLANK(CUSTGROUP[[#This Row],[Title]])</f>
        <v>0</v>
      </c>
      <c r="C29" s="43" t="b">
        <f>IF(LEN(CUSTGROUP[[#This Row],[CustomGroupingCode]])&lt;100,FALSE,TRUE)</f>
        <v>0</v>
      </c>
      <c r="D29" s="43" t="b">
        <f>IF(LEN(CUSTGROUP[[#This Row],[Title]])&lt;100,FALSE,TRUE)</f>
        <v>0</v>
      </c>
      <c r="E29" s="43" t="b">
        <f>ISBLANK(CUSTGROUP[[#This Row],[CustomGroupingEnabled]])</f>
        <v>0</v>
      </c>
      <c r="F29" s="43">
        <f>COUNTIF(CUSTGROUP[[#This Row],[Code is Blank]:[Enabled is blank]],"TRUE")</f>
        <v>0</v>
      </c>
      <c r="G29" t="s">
        <v>2014</v>
      </c>
      <c r="H29" t="s">
        <v>2015</v>
      </c>
      <c r="I29" t="b">
        <v>1</v>
      </c>
    </row>
    <row r="30" spans="1:9" x14ac:dyDescent="0.3">
      <c r="A30" s="43" t="b">
        <f>ISBLANK(CUSTGROUP[[#This Row],[CustomGroupingCode]])</f>
        <v>0</v>
      </c>
      <c r="B30" s="43" t="b">
        <f>ISBLANK(CUSTGROUP[[#This Row],[Title]])</f>
        <v>0</v>
      </c>
      <c r="C30" s="43" t="b">
        <f>IF(LEN(CUSTGROUP[[#This Row],[CustomGroupingCode]])&lt;100,FALSE,TRUE)</f>
        <v>0</v>
      </c>
      <c r="D30" s="43" t="b">
        <f>IF(LEN(CUSTGROUP[[#This Row],[Title]])&lt;100,FALSE,TRUE)</f>
        <v>0</v>
      </c>
      <c r="E30" s="43" t="b">
        <f>ISBLANK(CUSTGROUP[[#This Row],[CustomGroupingEnabled]])</f>
        <v>0</v>
      </c>
      <c r="F30" s="43">
        <f>COUNTIF(CUSTGROUP[[#This Row],[Code is Blank]:[Enabled is blank]],"TRUE")</f>
        <v>0</v>
      </c>
      <c r="G30" t="s">
        <v>2016</v>
      </c>
      <c r="H30" t="s">
        <v>2017</v>
      </c>
      <c r="I30" t="b">
        <v>1</v>
      </c>
    </row>
    <row r="31" spans="1:9" x14ac:dyDescent="0.3">
      <c r="A31" s="43" t="b">
        <f>ISBLANK(CUSTGROUP[[#This Row],[CustomGroupingCode]])</f>
        <v>0</v>
      </c>
      <c r="B31" s="43" t="b">
        <f>ISBLANK(CUSTGROUP[[#This Row],[Title]])</f>
        <v>0</v>
      </c>
      <c r="C31" s="43" t="b">
        <f>IF(LEN(CUSTGROUP[[#This Row],[CustomGroupingCode]])&lt;100,FALSE,TRUE)</f>
        <v>0</v>
      </c>
      <c r="D31" s="43" t="b">
        <f>IF(LEN(CUSTGROUP[[#This Row],[Title]])&lt;100,FALSE,TRUE)</f>
        <v>0</v>
      </c>
      <c r="E31" s="43" t="b">
        <f>ISBLANK(CUSTGROUP[[#This Row],[CustomGroupingEnabled]])</f>
        <v>0</v>
      </c>
      <c r="F31" s="43">
        <f>COUNTIF(CUSTGROUP[[#This Row],[Code is Blank]:[Enabled is blank]],"TRUE")</f>
        <v>0</v>
      </c>
      <c r="G31" t="s">
        <v>2018</v>
      </c>
      <c r="H31" t="s">
        <v>2019</v>
      </c>
      <c r="I31" t="b">
        <v>1</v>
      </c>
    </row>
    <row r="32" spans="1:9" x14ac:dyDescent="0.3">
      <c r="A32" s="43" t="b">
        <f>ISBLANK(CUSTGROUP[[#This Row],[CustomGroupingCode]])</f>
        <v>0</v>
      </c>
      <c r="B32" s="43" t="b">
        <f>ISBLANK(CUSTGROUP[[#This Row],[Title]])</f>
        <v>0</v>
      </c>
      <c r="C32" s="43" t="b">
        <f>IF(LEN(CUSTGROUP[[#This Row],[CustomGroupingCode]])&lt;100,FALSE,TRUE)</f>
        <v>0</v>
      </c>
      <c r="D32" s="43" t="b">
        <f>IF(LEN(CUSTGROUP[[#This Row],[Title]])&lt;100,FALSE,TRUE)</f>
        <v>0</v>
      </c>
      <c r="E32" s="43" t="b">
        <f>ISBLANK(CUSTGROUP[[#This Row],[CustomGroupingEnabled]])</f>
        <v>0</v>
      </c>
      <c r="F32" s="43">
        <f>COUNTIF(CUSTGROUP[[#This Row],[Code is Blank]:[Enabled is blank]],"TRUE")</f>
        <v>0</v>
      </c>
      <c r="G32" t="s">
        <v>2020</v>
      </c>
      <c r="H32" t="s">
        <v>2021</v>
      </c>
      <c r="I32" t="b">
        <v>1</v>
      </c>
    </row>
    <row r="33" spans="1:9" x14ac:dyDescent="0.3">
      <c r="A33" s="43" t="b">
        <f>ISBLANK(CUSTGROUP[[#This Row],[CustomGroupingCode]])</f>
        <v>0</v>
      </c>
      <c r="B33" s="43" t="b">
        <f>ISBLANK(CUSTGROUP[[#This Row],[Title]])</f>
        <v>0</v>
      </c>
      <c r="C33" s="43" t="b">
        <f>IF(LEN(CUSTGROUP[[#This Row],[CustomGroupingCode]])&lt;100,FALSE,TRUE)</f>
        <v>0</v>
      </c>
      <c r="D33" s="43" t="b">
        <f>IF(LEN(CUSTGROUP[[#This Row],[Title]])&lt;100,FALSE,TRUE)</f>
        <v>0</v>
      </c>
      <c r="E33" s="43" t="b">
        <f>ISBLANK(CUSTGROUP[[#This Row],[CustomGroupingEnabled]])</f>
        <v>0</v>
      </c>
      <c r="F33" s="43">
        <f>COUNTIF(CUSTGROUP[[#This Row],[Code is Blank]:[Enabled is blank]],"TRUE")</f>
        <v>0</v>
      </c>
      <c r="G33" t="s">
        <v>2022</v>
      </c>
      <c r="H33" t="s">
        <v>2023</v>
      </c>
      <c r="I33" t="b">
        <v>1</v>
      </c>
    </row>
    <row r="34" spans="1:9" x14ac:dyDescent="0.3">
      <c r="A34" s="43" t="b">
        <f>ISBLANK(CUSTGROUP[[#This Row],[CustomGroupingCode]])</f>
        <v>0</v>
      </c>
      <c r="B34" s="43" t="b">
        <f>ISBLANK(CUSTGROUP[[#This Row],[Title]])</f>
        <v>0</v>
      </c>
      <c r="C34" s="43" t="b">
        <f>IF(LEN(CUSTGROUP[[#This Row],[CustomGroupingCode]])&lt;100,FALSE,TRUE)</f>
        <v>0</v>
      </c>
      <c r="D34" s="43" t="b">
        <f>IF(LEN(CUSTGROUP[[#This Row],[Title]])&lt;100,FALSE,TRUE)</f>
        <v>0</v>
      </c>
      <c r="E34" s="43" t="b">
        <f>ISBLANK(CUSTGROUP[[#This Row],[CustomGroupingEnabled]])</f>
        <v>0</v>
      </c>
      <c r="F34" s="43">
        <f>COUNTIF(CUSTGROUP[[#This Row],[Code is Blank]:[Enabled is blank]],"TRUE")</f>
        <v>0</v>
      </c>
      <c r="G34" t="s">
        <v>2024</v>
      </c>
      <c r="H34" t="s">
        <v>2025</v>
      </c>
      <c r="I34" t="b">
        <v>1</v>
      </c>
    </row>
    <row r="35" spans="1:9" x14ac:dyDescent="0.3">
      <c r="A35" s="43" t="b">
        <f>ISBLANK(CUSTGROUP[[#This Row],[CustomGroupingCode]])</f>
        <v>0</v>
      </c>
      <c r="B35" s="43" t="b">
        <f>ISBLANK(CUSTGROUP[[#This Row],[Title]])</f>
        <v>0</v>
      </c>
      <c r="C35" s="43" t="b">
        <f>IF(LEN(CUSTGROUP[[#This Row],[CustomGroupingCode]])&lt;100,FALSE,TRUE)</f>
        <v>0</v>
      </c>
      <c r="D35" s="43" t="b">
        <f>IF(LEN(CUSTGROUP[[#This Row],[Title]])&lt;100,FALSE,TRUE)</f>
        <v>0</v>
      </c>
      <c r="E35" s="43" t="b">
        <f>ISBLANK(CUSTGROUP[[#This Row],[CustomGroupingEnabled]])</f>
        <v>0</v>
      </c>
      <c r="F35" s="43">
        <f>COUNTIF(CUSTGROUP[[#This Row],[Code is Blank]:[Enabled is blank]],"TRUE")</f>
        <v>0</v>
      </c>
      <c r="G35" t="s">
        <v>2026</v>
      </c>
      <c r="H35" t="s">
        <v>2027</v>
      </c>
      <c r="I35" t="b">
        <v>1</v>
      </c>
    </row>
    <row r="36" spans="1:9" x14ac:dyDescent="0.3">
      <c r="A36" s="43" t="b">
        <f>ISBLANK(CUSTGROUP[[#This Row],[CustomGroupingCode]])</f>
        <v>0</v>
      </c>
      <c r="B36" s="43" t="b">
        <f>ISBLANK(CUSTGROUP[[#This Row],[Title]])</f>
        <v>0</v>
      </c>
      <c r="C36" s="43" t="b">
        <f>IF(LEN(CUSTGROUP[[#This Row],[CustomGroupingCode]])&lt;100,FALSE,TRUE)</f>
        <v>0</v>
      </c>
      <c r="D36" s="43" t="b">
        <f>IF(LEN(CUSTGROUP[[#This Row],[Title]])&lt;100,FALSE,TRUE)</f>
        <v>0</v>
      </c>
      <c r="E36" s="43" t="b">
        <f>ISBLANK(CUSTGROUP[[#This Row],[CustomGroupingEnabled]])</f>
        <v>0</v>
      </c>
      <c r="F36" s="43">
        <f>COUNTIF(CUSTGROUP[[#This Row],[Code is Blank]:[Enabled is blank]],"TRUE")</f>
        <v>0</v>
      </c>
      <c r="G36" t="s">
        <v>2028</v>
      </c>
      <c r="H36" t="s">
        <v>2029</v>
      </c>
      <c r="I36" t="b">
        <v>1</v>
      </c>
    </row>
    <row r="37" spans="1:9" x14ac:dyDescent="0.3">
      <c r="A37" s="43" t="b">
        <f>ISBLANK(CUSTGROUP[[#This Row],[CustomGroupingCode]])</f>
        <v>0</v>
      </c>
      <c r="B37" s="43" t="b">
        <f>ISBLANK(CUSTGROUP[[#This Row],[Title]])</f>
        <v>0</v>
      </c>
      <c r="C37" s="43" t="b">
        <f>IF(LEN(CUSTGROUP[[#This Row],[CustomGroupingCode]])&lt;100,FALSE,TRUE)</f>
        <v>0</v>
      </c>
      <c r="D37" s="43" t="b">
        <f>IF(LEN(CUSTGROUP[[#This Row],[Title]])&lt;100,FALSE,TRUE)</f>
        <v>0</v>
      </c>
      <c r="E37" s="43" t="b">
        <f>ISBLANK(CUSTGROUP[[#This Row],[CustomGroupingEnabled]])</f>
        <v>0</v>
      </c>
      <c r="F37" s="43">
        <f>COUNTIF(CUSTGROUP[[#This Row],[Code is Blank]:[Enabled is blank]],"TRUE")</f>
        <v>0</v>
      </c>
      <c r="G37" t="s">
        <v>2030</v>
      </c>
      <c r="H37" t="s">
        <v>2031</v>
      </c>
      <c r="I37" t="b">
        <v>1</v>
      </c>
    </row>
    <row r="38" spans="1:9" x14ac:dyDescent="0.3">
      <c r="A38" s="43" t="b">
        <f>ISBLANK(CUSTGROUP[[#This Row],[CustomGroupingCode]])</f>
        <v>0</v>
      </c>
      <c r="B38" s="43" t="b">
        <f>ISBLANK(CUSTGROUP[[#This Row],[Title]])</f>
        <v>0</v>
      </c>
      <c r="C38" s="43" t="b">
        <f>IF(LEN(CUSTGROUP[[#This Row],[CustomGroupingCode]])&lt;100,FALSE,TRUE)</f>
        <v>0</v>
      </c>
      <c r="D38" s="43" t="b">
        <f>IF(LEN(CUSTGROUP[[#This Row],[Title]])&lt;100,FALSE,TRUE)</f>
        <v>0</v>
      </c>
      <c r="E38" s="43" t="b">
        <f>ISBLANK(CUSTGROUP[[#This Row],[CustomGroupingEnabled]])</f>
        <v>0</v>
      </c>
      <c r="F38" s="43">
        <f>COUNTIF(CUSTGROUP[[#This Row],[Code is Blank]:[Enabled is blank]],"TRUE")</f>
        <v>0</v>
      </c>
      <c r="G38" t="s">
        <v>2032</v>
      </c>
      <c r="H38" t="s">
        <v>2033</v>
      </c>
      <c r="I38" t="b">
        <v>1</v>
      </c>
    </row>
    <row r="39" spans="1:9" x14ac:dyDescent="0.3">
      <c r="A39" s="43" t="b">
        <f>ISBLANK(CUSTGROUP[[#This Row],[CustomGroupingCode]])</f>
        <v>0</v>
      </c>
      <c r="B39" s="43" t="b">
        <f>ISBLANK(CUSTGROUP[[#This Row],[Title]])</f>
        <v>0</v>
      </c>
      <c r="C39" s="43" t="b">
        <f>IF(LEN(CUSTGROUP[[#This Row],[CustomGroupingCode]])&lt;100,FALSE,TRUE)</f>
        <v>0</v>
      </c>
      <c r="D39" s="43" t="b">
        <f>IF(LEN(CUSTGROUP[[#This Row],[Title]])&lt;100,FALSE,TRUE)</f>
        <v>0</v>
      </c>
      <c r="E39" s="43" t="b">
        <f>ISBLANK(CUSTGROUP[[#This Row],[CustomGroupingEnabled]])</f>
        <v>0</v>
      </c>
      <c r="F39" s="43">
        <f>COUNTIF(CUSTGROUP[[#This Row],[Code is Blank]:[Enabled is blank]],"TRUE")</f>
        <v>0</v>
      </c>
      <c r="G39" t="s">
        <v>2034</v>
      </c>
      <c r="H39" t="s">
        <v>2035</v>
      </c>
      <c r="I39" t="b">
        <v>1</v>
      </c>
    </row>
    <row r="40" spans="1:9" x14ac:dyDescent="0.3">
      <c r="A40" s="43" t="b">
        <f>ISBLANK(CUSTGROUP[[#This Row],[CustomGroupingCode]])</f>
        <v>0</v>
      </c>
      <c r="B40" s="43" t="b">
        <f>ISBLANK(CUSTGROUP[[#This Row],[Title]])</f>
        <v>0</v>
      </c>
      <c r="C40" s="43" t="b">
        <f>IF(LEN(CUSTGROUP[[#This Row],[CustomGroupingCode]])&lt;100,FALSE,TRUE)</f>
        <v>0</v>
      </c>
      <c r="D40" s="43" t="b">
        <f>IF(LEN(CUSTGROUP[[#This Row],[Title]])&lt;100,FALSE,TRUE)</f>
        <v>0</v>
      </c>
      <c r="E40" s="43" t="b">
        <f>ISBLANK(CUSTGROUP[[#This Row],[CustomGroupingEnabled]])</f>
        <v>0</v>
      </c>
      <c r="F40" s="43">
        <f>COUNTIF(CUSTGROUP[[#This Row],[Code is Blank]:[Enabled is blank]],"TRUE")</f>
        <v>0</v>
      </c>
      <c r="G40" t="s">
        <v>2036</v>
      </c>
      <c r="H40" t="s">
        <v>2037</v>
      </c>
      <c r="I40" t="b">
        <v>1</v>
      </c>
    </row>
    <row r="41" spans="1:9" x14ac:dyDescent="0.3">
      <c r="A41" s="43" t="b">
        <f>ISBLANK(CUSTGROUP[[#This Row],[CustomGroupingCode]])</f>
        <v>0</v>
      </c>
      <c r="B41" s="43" t="b">
        <f>ISBLANK(CUSTGROUP[[#This Row],[Title]])</f>
        <v>0</v>
      </c>
      <c r="C41" s="43" t="b">
        <f>IF(LEN(CUSTGROUP[[#This Row],[CustomGroupingCode]])&lt;100,FALSE,TRUE)</f>
        <v>0</v>
      </c>
      <c r="D41" s="43" t="b">
        <f>IF(LEN(CUSTGROUP[[#This Row],[Title]])&lt;100,FALSE,TRUE)</f>
        <v>0</v>
      </c>
      <c r="E41" s="43" t="b">
        <f>ISBLANK(CUSTGROUP[[#This Row],[CustomGroupingEnabled]])</f>
        <v>0</v>
      </c>
      <c r="F41" s="43">
        <f>COUNTIF(CUSTGROUP[[#This Row],[Code is Blank]:[Enabled is blank]],"TRUE")</f>
        <v>0</v>
      </c>
      <c r="G41" t="s">
        <v>2038</v>
      </c>
      <c r="H41" t="s">
        <v>2039</v>
      </c>
      <c r="I41" t="b">
        <v>1</v>
      </c>
    </row>
    <row r="42" spans="1:9" x14ac:dyDescent="0.3">
      <c r="A42" s="43" t="b">
        <f>ISBLANK(CUSTGROUP[[#This Row],[CustomGroupingCode]])</f>
        <v>0</v>
      </c>
      <c r="B42" s="43" t="b">
        <f>ISBLANK(CUSTGROUP[[#This Row],[Title]])</f>
        <v>0</v>
      </c>
      <c r="C42" s="43" t="b">
        <f>IF(LEN(CUSTGROUP[[#This Row],[CustomGroupingCode]])&lt;100,FALSE,TRUE)</f>
        <v>0</v>
      </c>
      <c r="D42" s="43" t="b">
        <f>IF(LEN(CUSTGROUP[[#This Row],[Title]])&lt;100,FALSE,TRUE)</f>
        <v>0</v>
      </c>
      <c r="E42" s="43" t="b">
        <f>ISBLANK(CUSTGROUP[[#This Row],[CustomGroupingEnabled]])</f>
        <v>0</v>
      </c>
      <c r="F42" s="43">
        <f>COUNTIF(CUSTGROUP[[#This Row],[Code is Blank]:[Enabled is blank]],"TRUE")</f>
        <v>0</v>
      </c>
      <c r="G42" t="s">
        <v>2040</v>
      </c>
      <c r="H42" t="s">
        <v>2041</v>
      </c>
      <c r="I42" t="b">
        <v>1</v>
      </c>
    </row>
    <row r="43" spans="1:9" x14ac:dyDescent="0.3">
      <c r="A43" s="43" t="b">
        <f>ISBLANK(CUSTGROUP[[#This Row],[CustomGroupingCode]])</f>
        <v>0</v>
      </c>
      <c r="B43" s="43" t="b">
        <f>ISBLANK(CUSTGROUP[[#This Row],[Title]])</f>
        <v>0</v>
      </c>
      <c r="C43" s="43" t="b">
        <f>IF(LEN(CUSTGROUP[[#This Row],[CustomGroupingCode]])&lt;100,FALSE,TRUE)</f>
        <v>0</v>
      </c>
      <c r="D43" s="43" t="b">
        <f>IF(LEN(CUSTGROUP[[#This Row],[Title]])&lt;100,FALSE,TRUE)</f>
        <v>0</v>
      </c>
      <c r="E43" s="43" t="b">
        <f>ISBLANK(CUSTGROUP[[#This Row],[CustomGroupingEnabled]])</f>
        <v>0</v>
      </c>
      <c r="F43" s="43">
        <f>COUNTIF(CUSTGROUP[[#This Row],[Code is Blank]:[Enabled is blank]],"TRUE")</f>
        <v>0</v>
      </c>
      <c r="G43" t="s">
        <v>2042</v>
      </c>
      <c r="H43" t="s">
        <v>2043</v>
      </c>
      <c r="I43" t="b">
        <v>1</v>
      </c>
    </row>
    <row r="44" spans="1:9" x14ac:dyDescent="0.3">
      <c r="A44" s="43" t="b">
        <f>ISBLANK(CUSTGROUP[[#This Row],[CustomGroupingCode]])</f>
        <v>0</v>
      </c>
      <c r="B44" s="43" t="b">
        <f>ISBLANK(CUSTGROUP[[#This Row],[Title]])</f>
        <v>0</v>
      </c>
      <c r="C44" s="43" t="b">
        <f>IF(LEN(CUSTGROUP[[#This Row],[CustomGroupingCode]])&lt;100,FALSE,TRUE)</f>
        <v>0</v>
      </c>
      <c r="D44" s="43" t="b">
        <f>IF(LEN(CUSTGROUP[[#This Row],[Title]])&lt;100,FALSE,TRUE)</f>
        <v>0</v>
      </c>
      <c r="E44" s="43" t="b">
        <f>ISBLANK(CUSTGROUP[[#This Row],[CustomGroupingEnabled]])</f>
        <v>0</v>
      </c>
      <c r="F44" s="43">
        <f>COUNTIF(CUSTGROUP[[#This Row],[Code is Blank]:[Enabled is blank]],"TRUE")</f>
        <v>0</v>
      </c>
      <c r="G44" t="s">
        <v>2044</v>
      </c>
      <c r="H44" t="s">
        <v>2045</v>
      </c>
      <c r="I44" t="b">
        <v>1</v>
      </c>
    </row>
    <row r="45" spans="1:9" x14ac:dyDescent="0.3">
      <c r="A45" s="43" t="b">
        <f>ISBLANK(CUSTGROUP[[#This Row],[CustomGroupingCode]])</f>
        <v>0</v>
      </c>
      <c r="B45" s="43" t="b">
        <f>ISBLANK(CUSTGROUP[[#This Row],[Title]])</f>
        <v>0</v>
      </c>
      <c r="C45" s="43" t="b">
        <f>IF(LEN(CUSTGROUP[[#This Row],[CustomGroupingCode]])&lt;100,FALSE,TRUE)</f>
        <v>0</v>
      </c>
      <c r="D45" s="43" t="b">
        <f>IF(LEN(CUSTGROUP[[#This Row],[Title]])&lt;100,FALSE,TRUE)</f>
        <v>0</v>
      </c>
      <c r="E45" s="43" t="b">
        <f>ISBLANK(CUSTGROUP[[#This Row],[CustomGroupingEnabled]])</f>
        <v>0</v>
      </c>
      <c r="F45" s="43">
        <f>COUNTIF(CUSTGROUP[[#This Row],[Code is Blank]:[Enabled is blank]],"TRUE")</f>
        <v>0</v>
      </c>
      <c r="G45" t="s">
        <v>2046</v>
      </c>
      <c r="H45" t="s">
        <v>2047</v>
      </c>
      <c r="I45" t="b">
        <v>1</v>
      </c>
    </row>
    <row r="46" spans="1:9" x14ac:dyDescent="0.3">
      <c r="A46" s="43" t="b">
        <f>ISBLANK(CUSTGROUP[[#This Row],[CustomGroupingCode]])</f>
        <v>0</v>
      </c>
      <c r="B46" s="43" t="b">
        <f>ISBLANK(CUSTGROUP[[#This Row],[Title]])</f>
        <v>0</v>
      </c>
      <c r="C46" s="43" t="b">
        <f>IF(LEN(CUSTGROUP[[#This Row],[CustomGroupingCode]])&lt;100,FALSE,TRUE)</f>
        <v>0</v>
      </c>
      <c r="D46" s="43" t="b">
        <f>IF(LEN(CUSTGROUP[[#This Row],[Title]])&lt;100,FALSE,TRUE)</f>
        <v>0</v>
      </c>
      <c r="E46" s="43" t="b">
        <f>ISBLANK(CUSTGROUP[[#This Row],[CustomGroupingEnabled]])</f>
        <v>0</v>
      </c>
      <c r="F46" s="43">
        <f>COUNTIF(CUSTGROUP[[#This Row],[Code is Blank]:[Enabled is blank]],"TRUE")</f>
        <v>0</v>
      </c>
      <c r="G46" t="s">
        <v>2048</v>
      </c>
      <c r="H46" t="s">
        <v>2049</v>
      </c>
      <c r="I46" t="b">
        <v>1</v>
      </c>
    </row>
    <row r="47" spans="1:9" x14ac:dyDescent="0.3">
      <c r="A47" s="43" t="b">
        <f>ISBLANK(CUSTGROUP[[#This Row],[CustomGroupingCode]])</f>
        <v>0</v>
      </c>
      <c r="B47" s="43" t="b">
        <f>ISBLANK(CUSTGROUP[[#This Row],[Title]])</f>
        <v>0</v>
      </c>
      <c r="C47" s="43" t="b">
        <f>IF(LEN(CUSTGROUP[[#This Row],[CustomGroupingCode]])&lt;100,FALSE,TRUE)</f>
        <v>0</v>
      </c>
      <c r="D47" s="43" t="b">
        <f>IF(LEN(CUSTGROUP[[#This Row],[Title]])&lt;100,FALSE,TRUE)</f>
        <v>0</v>
      </c>
      <c r="E47" s="43" t="b">
        <f>ISBLANK(CUSTGROUP[[#This Row],[CustomGroupingEnabled]])</f>
        <v>0</v>
      </c>
      <c r="F47" s="43">
        <f>COUNTIF(CUSTGROUP[[#This Row],[Code is Blank]:[Enabled is blank]],"TRUE")</f>
        <v>0</v>
      </c>
      <c r="G47" t="s">
        <v>2050</v>
      </c>
      <c r="H47" t="s">
        <v>2051</v>
      </c>
      <c r="I47" t="b">
        <v>1</v>
      </c>
    </row>
    <row r="48" spans="1:9" x14ac:dyDescent="0.3">
      <c r="A48" s="43" t="b">
        <f>ISBLANK(CUSTGROUP[[#This Row],[CustomGroupingCode]])</f>
        <v>0</v>
      </c>
      <c r="B48" s="43" t="b">
        <f>ISBLANK(CUSTGROUP[[#This Row],[Title]])</f>
        <v>0</v>
      </c>
      <c r="C48" s="43" t="b">
        <f>IF(LEN(CUSTGROUP[[#This Row],[CustomGroupingCode]])&lt;100,FALSE,TRUE)</f>
        <v>0</v>
      </c>
      <c r="D48" s="43" t="b">
        <f>IF(LEN(CUSTGROUP[[#This Row],[Title]])&lt;100,FALSE,TRUE)</f>
        <v>0</v>
      </c>
      <c r="E48" s="43" t="b">
        <f>ISBLANK(CUSTGROUP[[#This Row],[CustomGroupingEnabled]])</f>
        <v>0</v>
      </c>
      <c r="F48" s="43">
        <f>COUNTIF(CUSTGROUP[[#This Row],[Code is Blank]:[Enabled is blank]],"TRUE")</f>
        <v>0</v>
      </c>
      <c r="G48" t="s">
        <v>2052</v>
      </c>
      <c r="H48" t="s">
        <v>2053</v>
      </c>
      <c r="I48" t="b">
        <v>1</v>
      </c>
    </row>
    <row r="49" spans="1:9" x14ac:dyDescent="0.3">
      <c r="A49" s="43" t="b">
        <f>ISBLANK(CUSTGROUP[[#This Row],[CustomGroupingCode]])</f>
        <v>0</v>
      </c>
      <c r="B49" s="43" t="b">
        <f>ISBLANK(CUSTGROUP[[#This Row],[Title]])</f>
        <v>0</v>
      </c>
      <c r="C49" s="43" t="b">
        <f>IF(LEN(CUSTGROUP[[#This Row],[CustomGroupingCode]])&lt;100,FALSE,TRUE)</f>
        <v>0</v>
      </c>
      <c r="D49" s="43" t="b">
        <f>IF(LEN(CUSTGROUP[[#This Row],[Title]])&lt;100,FALSE,TRUE)</f>
        <v>0</v>
      </c>
      <c r="E49" s="43" t="b">
        <f>ISBLANK(CUSTGROUP[[#This Row],[CustomGroupingEnabled]])</f>
        <v>0</v>
      </c>
      <c r="F49" s="43">
        <f>COUNTIF(CUSTGROUP[[#This Row],[Code is Blank]:[Enabled is blank]],"TRUE")</f>
        <v>0</v>
      </c>
      <c r="G49" t="s">
        <v>2054</v>
      </c>
      <c r="H49" t="s">
        <v>2055</v>
      </c>
      <c r="I49" t="b">
        <v>1</v>
      </c>
    </row>
    <row r="50" spans="1:9" x14ac:dyDescent="0.3">
      <c r="A50" s="43" t="b">
        <f>ISBLANK(CUSTGROUP[[#This Row],[CustomGroupingCode]])</f>
        <v>0</v>
      </c>
      <c r="B50" s="43" t="b">
        <f>ISBLANK(CUSTGROUP[[#This Row],[Title]])</f>
        <v>0</v>
      </c>
      <c r="C50" s="43" t="b">
        <f>IF(LEN(CUSTGROUP[[#This Row],[CustomGroupingCode]])&lt;100,FALSE,TRUE)</f>
        <v>0</v>
      </c>
      <c r="D50" s="43" t="b">
        <f>IF(LEN(CUSTGROUP[[#This Row],[Title]])&lt;100,FALSE,TRUE)</f>
        <v>0</v>
      </c>
      <c r="E50" s="43" t="b">
        <f>ISBLANK(CUSTGROUP[[#This Row],[CustomGroupingEnabled]])</f>
        <v>0</v>
      </c>
      <c r="F50" s="43">
        <f>COUNTIF(CUSTGROUP[[#This Row],[Code is Blank]:[Enabled is blank]],"TRUE")</f>
        <v>0</v>
      </c>
      <c r="G50" t="s">
        <v>2056</v>
      </c>
      <c r="H50" t="s">
        <v>2057</v>
      </c>
      <c r="I50" t="b">
        <v>1</v>
      </c>
    </row>
    <row r="51" spans="1:9" x14ac:dyDescent="0.3">
      <c r="A51" s="43" t="b">
        <f>ISBLANK(CUSTGROUP[[#This Row],[CustomGroupingCode]])</f>
        <v>0</v>
      </c>
      <c r="B51" s="43" t="b">
        <f>ISBLANK(CUSTGROUP[[#This Row],[Title]])</f>
        <v>0</v>
      </c>
      <c r="C51" s="43" t="b">
        <f>IF(LEN(CUSTGROUP[[#This Row],[CustomGroupingCode]])&lt;100,FALSE,TRUE)</f>
        <v>0</v>
      </c>
      <c r="D51" s="43" t="b">
        <f>IF(LEN(CUSTGROUP[[#This Row],[Title]])&lt;100,FALSE,TRUE)</f>
        <v>0</v>
      </c>
      <c r="E51" s="43" t="b">
        <f>ISBLANK(CUSTGROUP[[#This Row],[CustomGroupingEnabled]])</f>
        <v>0</v>
      </c>
      <c r="F51" s="43">
        <f>COUNTIF(CUSTGROUP[[#This Row],[Code is Blank]:[Enabled is blank]],"TRUE")</f>
        <v>0</v>
      </c>
      <c r="G51" t="s">
        <v>2058</v>
      </c>
      <c r="H51" t="s">
        <v>2059</v>
      </c>
      <c r="I51" t="b">
        <v>1</v>
      </c>
    </row>
    <row r="52" spans="1:9" x14ac:dyDescent="0.3">
      <c r="A52" s="43" t="b">
        <f>ISBLANK(CUSTGROUP[[#This Row],[CustomGroupingCode]])</f>
        <v>0</v>
      </c>
      <c r="B52" s="43" t="b">
        <f>ISBLANK(CUSTGROUP[[#This Row],[Title]])</f>
        <v>0</v>
      </c>
      <c r="C52" s="43" t="b">
        <f>IF(LEN(CUSTGROUP[[#This Row],[CustomGroupingCode]])&lt;100,FALSE,TRUE)</f>
        <v>0</v>
      </c>
      <c r="D52" s="43" t="b">
        <f>IF(LEN(CUSTGROUP[[#This Row],[Title]])&lt;100,FALSE,TRUE)</f>
        <v>0</v>
      </c>
      <c r="E52" s="43" t="b">
        <f>ISBLANK(CUSTGROUP[[#This Row],[CustomGroupingEnabled]])</f>
        <v>0</v>
      </c>
      <c r="F52" s="43">
        <f>COUNTIF(CUSTGROUP[[#This Row],[Code is Blank]:[Enabled is blank]],"TRUE")</f>
        <v>0</v>
      </c>
      <c r="G52" t="s">
        <v>2060</v>
      </c>
      <c r="H52" t="s">
        <v>2061</v>
      </c>
      <c r="I52" t="b">
        <v>1</v>
      </c>
    </row>
    <row r="53" spans="1:9" x14ac:dyDescent="0.3">
      <c r="A53" s="43" t="b">
        <f>ISBLANK(CUSTGROUP[[#This Row],[CustomGroupingCode]])</f>
        <v>0</v>
      </c>
      <c r="B53" s="43" t="b">
        <f>ISBLANK(CUSTGROUP[[#This Row],[Title]])</f>
        <v>0</v>
      </c>
      <c r="C53" s="43" t="b">
        <f>IF(LEN(CUSTGROUP[[#This Row],[CustomGroupingCode]])&lt;100,FALSE,TRUE)</f>
        <v>0</v>
      </c>
      <c r="D53" s="43" t="b">
        <f>IF(LEN(CUSTGROUP[[#This Row],[Title]])&lt;100,FALSE,TRUE)</f>
        <v>0</v>
      </c>
      <c r="E53" s="43" t="b">
        <f>ISBLANK(CUSTGROUP[[#This Row],[CustomGroupingEnabled]])</f>
        <v>0</v>
      </c>
      <c r="F53" s="43">
        <f>COUNTIF(CUSTGROUP[[#This Row],[Code is Blank]:[Enabled is blank]],"TRUE")</f>
        <v>0</v>
      </c>
      <c r="G53" t="s">
        <v>2062</v>
      </c>
      <c r="H53" t="s">
        <v>2063</v>
      </c>
      <c r="I53" t="b">
        <v>1</v>
      </c>
    </row>
    <row r="54" spans="1:9" x14ac:dyDescent="0.3">
      <c r="A54" s="43" t="b">
        <f>ISBLANK(CUSTGROUP[[#This Row],[CustomGroupingCode]])</f>
        <v>0</v>
      </c>
      <c r="B54" s="43" t="b">
        <f>ISBLANK(CUSTGROUP[[#This Row],[Title]])</f>
        <v>0</v>
      </c>
      <c r="C54" s="43" t="b">
        <f>IF(LEN(CUSTGROUP[[#This Row],[CustomGroupingCode]])&lt;100,FALSE,TRUE)</f>
        <v>0</v>
      </c>
      <c r="D54" s="43" t="b">
        <f>IF(LEN(CUSTGROUP[[#This Row],[Title]])&lt;100,FALSE,TRUE)</f>
        <v>0</v>
      </c>
      <c r="E54" s="43" t="b">
        <f>ISBLANK(CUSTGROUP[[#This Row],[CustomGroupingEnabled]])</f>
        <v>0</v>
      </c>
      <c r="F54" s="43">
        <f>COUNTIF(CUSTGROUP[[#This Row],[Code is Blank]:[Enabled is blank]],"TRUE")</f>
        <v>0</v>
      </c>
      <c r="G54" t="s">
        <v>2064</v>
      </c>
      <c r="H54" t="s">
        <v>2065</v>
      </c>
      <c r="I54" t="b">
        <v>1</v>
      </c>
    </row>
    <row r="55" spans="1:9" x14ac:dyDescent="0.3">
      <c r="A55" s="43" t="b">
        <f>ISBLANK(CUSTGROUP[[#This Row],[CustomGroupingCode]])</f>
        <v>0</v>
      </c>
      <c r="B55" s="43" t="b">
        <f>ISBLANK(CUSTGROUP[[#This Row],[Title]])</f>
        <v>0</v>
      </c>
      <c r="C55" s="43" t="b">
        <f>IF(LEN(CUSTGROUP[[#This Row],[CustomGroupingCode]])&lt;100,FALSE,TRUE)</f>
        <v>0</v>
      </c>
      <c r="D55" s="43" t="b">
        <f>IF(LEN(CUSTGROUP[[#This Row],[Title]])&lt;100,FALSE,TRUE)</f>
        <v>0</v>
      </c>
      <c r="E55" s="43" t="b">
        <f>ISBLANK(CUSTGROUP[[#This Row],[CustomGroupingEnabled]])</f>
        <v>0</v>
      </c>
      <c r="F55" s="43">
        <f>COUNTIF(CUSTGROUP[[#This Row],[Code is Blank]:[Enabled is blank]],"TRUE")</f>
        <v>0</v>
      </c>
      <c r="G55" t="s">
        <v>65</v>
      </c>
      <c r="H55" t="s">
        <v>870</v>
      </c>
      <c r="I55" t="b">
        <v>1</v>
      </c>
    </row>
  </sheetData>
  <mergeCells count="1">
    <mergeCell ref="G1:I1"/>
  </mergeCells>
  <phoneticPr fontId="2"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E41B5-301E-4D0D-8402-058714BC0556}">
  <sheetPr codeName="Sheet7">
    <tabColor theme="5" tint="0.79998168889431442"/>
  </sheetPr>
  <dimension ref="A1:I8"/>
  <sheetViews>
    <sheetView workbookViewId="0">
      <pane ySplit="2" topLeftCell="A3" activePane="bottomLeft" state="frozen"/>
      <selection pane="bottomLeft" activeCell="A3" sqref="A3"/>
    </sheetView>
  </sheetViews>
  <sheetFormatPr defaultColWidth="9.33203125" defaultRowHeight="14.4" outlineLevelCol="1" x14ac:dyDescent="0.3"/>
  <cols>
    <col min="1" max="1" width="15" hidden="1" customWidth="1" outlineLevel="1"/>
    <col min="2" max="2" width="14.44140625" hidden="1" customWidth="1" outlineLevel="1"/>
    <col min="3" max="3" width="17.6640625" hidden="1" customWidth="1" outlineLevel="1"/>
    <col min="4" max="4" width="20" hidden="1" customWidth="1" outlineLevel="1"/>
    <col min="5" max="5" width="19" hidden="1" customWidth="1" outlineLevel="1"/>
    <col min="6" max="6" width="19.109375" bestFit="1" customWidth="1" collapsed="1"/>
    <col min="7" max="7" width="16.88671875" bestFit="1" customWidth="1"/>
    <col min="8" max="8" width="15.44140625" bestFit="1" customWidth="1"/>
    <col min="9" max="9" width="19.5546875" bestFit="1" customWidth="1"/>
  </cols>
  <sheetData>
    <row r="1" spans="1:9" x14ac:dyDescent="0.3">
      <c r="G1" s="170" t="s">
        <v>1570</v>
      </c>
      <c r="H1" s="170"/>
      <c r="I1" s="170"/>
    </row>
    <row r="2" spans="1:9" x14ac:dyDescent="0.3">
      <c r="A2" s="88" t="s">
        <v>57</v>
      </c>
      <c r="B2" s="88" t="s">
        <v>58</v>
      </c>
      <c r="C2" s="88" t="s">
        <v>59</v>
      </c>
      <c r="D2" s="46" t="s">
        <v>1367</v>
      </c>
      <c r="E2" s="46" t="s">
        <v>1368</v>
      </c>
      <c r="F2" s="46" t="s">
        <v>60</v>
      </c>
      <c r="G2" t="s">
        <v>1587</v>
      </c>
      <c r="H2" t="s">
        <v>62</v>
      </c>
      <c r="I2" t="s">
        <v>1588</v>
      </c>
    </row>
    <row r="3" spans="1:9" x14ac:dyDescent="0.3">
      <c r="A3" s="43" t="b">
        <f>ISBLANK(SCHHUB[[#This Row],[SchoolHubCode]])</f>
        <v>0</v>
      </c>
      <c r="B3" s="43" t="b">
        <f>ISBLANK(SCHHUB[[#This Row],[Title]])</f>
        <v>0</v>
      </c>
      <c r="C3" s="43" t="b">
        <f>ISBLANK(SCHHUB[[#This Row],[SchoolHubEnabled]])</f>
        <v>0</v>
      </c>
      <c r="D3" s="43" t="b">
        <f>IF(LEN(SCHHUB[[#This Row],[SchoolHubCode]])&lt;100,FALSE,TRUE)</f>
        <v>0</v>
      </c>
      <c r="E3" s="43" t="b">
        <f>IF(LEN(SCHHUB[[#This Row],[Title]])&lt;100,FALSE,TRUE)</f>
        <v>0</v>
      </c>
      <c r="F3" s="43">
        <f>COUNTIF(SCHHUB[[#This Row],[Code is Blank]:[Title length check]],"TRUE")</f>
        <v>0</v>
      </c>
      <c r="G3" t="s">
        <v>873</v>
      </c>
      <c r="H3" t="s">
        <v>2066</v>
      </c>
      <c r="I3" t="b">
        <v>1</v>
      </c>
    </row>
    <row r="4" spans="1:9" x14ac:dyDescent="0.3">
      <c r="A4" s="43" t="b">
        <f>ISBLANK(SCHHUB[[#This Row],[SchoolHubCode]])</f>
        <v>0</v>
      </c>
      <c r="B4" s="43" t="b">
        <f>ISBLANK(SCHHUB[[#This Row],[Title]])</f>
        <v>0</v>
      </c>
      <c r="C4" s="43" t="b">
        <f>ISBLANK(SCHHUB[[#This Row],[SchoolHubEnabled]])</f>
        <v>0</v>
      </c>
      <c r="D4" s="43" t="b">
        <f>IF(LEN(SCHHUB[[#This Row],[SchoolHubCode]])&lt;100,FALSE,TRUE)</f>
        <v>0</v>
      </c>
      <c r="E4" s="43" t="b">
        <f>IF(LEN(SCHHUB[[#This Row],[Title]])&lt;100,FALSE,TRUE)</f>
        <v>0</v>
      </c>
      <c r="F4" s="43">
        <f>COUNTIF(SCHHUB[[#This Row],[Code is Blank]:[Title length check]],"TRUE")</f>
        <v>0</v>
      </c>
      <c r="G4" t="s">
        <v>63</v>
      </c>
      <c r="H4" t="s">
        <v>2067</v>
      </c>
      <c r="I4" t="b">
        <v>1</v>
      </c>
    </row>
    <row r="5" spans="1:9" x14ac:dyDescent="0.3">
      <c r="A5" s="43" t="b">
        <f>ISBLANK(SCHHUB[[#This Row],[SchoolHubCode]])</f>
        <v>0</v>
      </c>
      <c r="B5" s="43" t="b">
        <f>ISBLANK(SCHHUB[[#This Row],[Title]])</f>
        <v>0</v>
      </c>
      <c r="C5" s="43" t="b">
        <f>ISBLANK(SCHHUB[[#This Row],[SchoolHubEnabled]])</f>
        <v>0</v>
      </c>
      <c r="D5" s="43" t="b">
        <f>IF(LEN(SCHHUB[[#This Row],[SchoolHubCode]])&lt;100,FALSE,TRUE)</f>
        <v>0</v>
      </c>
      <c r="E5" s="43" t="b">
        <f>IF(LEN(SCHHUB[[#This Row],[Title]])&lt;100,FALSE,TRUE)</f>
        <v>0</v>
      </c>
      <c r="F5" s="43">
        <f>COUNTIF(SCHHUB[[#This Row],[Code is Blank]:[Title length check]],"TRUE")</f>
        <v>0</v>
      </c>
      <c r="G5" t="s">
        <v>2068</v>
      </c>
      <c r="H5" t="s">
        <v>2069</v>
      </c>
      <c r="I5" t="b">
        <v>1</v>
      </c>
    </row>
    <row r="6" spans="1:9" x14ac:dyDescent="0.3">
      <c r="A6" s="43" t="b">
        <f>ISBLANK(SCHHUB[[#This Row],[SchoolHubCode]])</f>
        <v>0</v>
      </c>
      <c r="B6" s="43" t="b">
        <f>ISBLANK(SCHHUB[[#This Row],[Title]])</f>
        <v>0</v>
      </c>
      <c r="C6" s="43" t="b">
        <f>ISBLANK(SCHHUB[[#This Row],[SchoolHubEnabled]])</f>
        <v>0</v>
      </c>
      <c r="D6" s="43" t="b">
        <f>IF(LEN(SCHHUB[[#This Row],[SchoolHubCode]])&lt;100,FALSE,TRUE)</f>
        <v>0</v>
      </c>
      <c r="E6" s="43" t="b">
        <f>IF(LEN(SCHHUB[[#This Row],[Title]])&lt;100,FALSE,TRUE)</f>
        <v>0</v>
      </c>
      <c r="F6" s="43">
        <f>COUNTIF(SCHHUB[[#This Row],[Code is Blank]:[Title length check]],"TRUE")</f>
        <v>0</v>
      </c>
      <c r="G6" t="s">
        <v>2070</v>
      </c>
      <c r="H6" t="s">
        <v>2071</v>
      </c>
      <c r="I6" t="b">
        <v>1</v>
      </c>
    </row>
    <row r="7" spans="1:9" x14ac:dyDescent="0.3">
      <c r="A7" s="43" t="b">
        <f>ISBLANK(SCHHUB[[#This Row],[SchoolHubCode]])</f>
        <v>0</v>
      </c>
      <c r="B7" s="43" t="b">
        <f>ISBLANK(SCHHUB[[#This Row],[Title]])</f>
        <v>0</v>
      </c>
      <c r="C7" s="43" t="b">
        <f>ISBLANK(SCHHUB[[#This Row],[SchoolHubEnabled]])</f>
        <v>0</v>
      </c>
      <c r="D7" s="43" t="b">
        <f>IF(LEN(SCHHUB[[#This Row],[SchoolHubCode]])&lt;100,FALSE,TRUE)</f>
        <v>0</v>
      </c>
      <c r="E7" s="43" t="b">
        <f>IF(LEN(SCHHUB[[#This Row],[Title]])&lt;100,FALSE,TRUE)</f>
        <v>0</v>
      </c>
      <c r="F7" s="43">
        <f>COUNTIF(SCHHUB[[#This Row],[Code is Blank]:[Title length check]],"TRUE")</f>
        <v>0</v>
      </c>
      <c r="G7" t="s">
        <v>2072</v>
      </c>
      <c r="H7" t="s">
        <v>2073</v>
      </c>
      <c r="I7" t="b">
        <v>1</v>
      </c>
    </row>
    <row r="8" spans="1:9" x14ac:dyDescent="0.3">
      <c r="A8" s="43" t="b">
        <f>ISBLANK(SCHHUB[[#This Row],[SchoolHubCode]])</f>
        <v>0</v>
      </c>
      <c r="B8" s="43" t="b">
        <f>ISBLANK(SCHHUB[[#This Row],[Title]])</f>
        <v>0</v>
      </c>
      <c r="C8" s="43" t="b">
        <f>ISBLANK(SCHHUB[[#This Row],[SchoolHubEnabled]])</f>
        <v>0</v>
      </c>
      <c r="D8" s="43" t="b">
        <f>IF(LEN(SCHHUB[[#This Row],[SchoolHubCode]])&lt;100,FALSE,TRUE)</f>
        <v>0</v>
      </c>
      <c r="E8" s="43" t="b">
        <f>IF(LEN(SCHHUB[[#This Row],[Title]])&lt;100,FALSE,TRUE)</f>
        <v>0</v>
      </c>
      <c r="F8" s="43">
        <f>COUNTIF(SCHHUB[[#This Row],[Code is Blank]:[Title length check]],"TRUE")</f>
        <v>0</v>
      </c>
      <c r="G8" t="s">
        <v>2074</v>
      </c>
      <c r="H8" t="s">
        <v>2075</v>
      </c>
      <c r="I8" t="b">
        <v>1</v>
      </c>
    </row>
  </sheetData>
  <mergeCells count="1">
    <mergeCell ref="G1:I1"/>
  </mergeCells>
  <phoneticPr fontId="2"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EACDA-62B9-4FED-A805-D9F41980504F}">
  <sheetPr codeName="Sheet6">
    <tabColor theme="5" tint="0.79998168889431442"/>
  </sheetPr>
  <dimension ref="A1:I8"/>
  <sheetViews>
    <sheetView zoomScaleNormal="100" workbookViewId="0">
      <pane ySplit="1" topLeftCell="A2" activePane="bottomLeft" state="frozen"/>
      <selection activeCell="F1" sqref="F1"/>
      <selection pane="bottomLeft" activeCell="I16" sqref="I16"/>
    </sheetView>
  </sheetViews>
  <sheetFormatPr defaultColWidth="9.33203125" defaultRowHeight="14.4" outlineLevelCol="1" x14ac:dyDescent="0.3"/>
  <cols>
    <col min="1" max="1" width="15" hidden="1" customWidth="1" outlineLevel="1"/>
    <col min="2" max="2" width="14.44140625" hidden="1" customWidth="1" outlineLevel="1"/>
    <col min="3" max="3" width="17.6640625" hidden="1" customWidth="1" outlineLevel="1"/>
    <col min="4" max="4" width="20" hidden="1" customWidth="1" outlineLevel="1"/>
    <col min="5" max="5" width="19" hidden="1" customWidth="1" outlineLevel="1"/>
    <col min="6" max="6" width="19.109375" bestFit="1" customWidth="1" collapsed="1"/>
    <col min="7" max="7" width="17.6640625" bestFit="1" customWidth="1"/>
    <col min="8" max="8" width="17.33203125" bestFit="1" customWidth="1"/>
    <col min="9" max="9" width="20.33203125" bestFit="1" customWidth="1"/>
  </cols>
  <sheetData>
    <row r="1" spans="1:9" x14ac:dyDescent="0.3">
      <c r="G1" s="170" t="s">
        <v>1570</v>
      </c>
      <c r="H1" s="170"/>
      <c r="I1" s="170"/>
    </row>
    <row r="2" spans="1:9" x14ac:dyDescent="0.3">
      <c r="A2" s="89" t="s">
        <v>57</v>
      </c>
      <c r="B2" s="87" t="s">
        <v>58</v>
      </c>
      <c r="C2" s="87" t="s">
        <v>59</v>
      </c>
      <c r="D2" s="44" t="s">
        <v>1367</v>
      </c>
      <c r="E2" s="44" t="s">
        <v>1368</v>
      </c>
      <c r="F2" s="46" t="s">
        <v>60</v>
      </c>
      <c r="G2" t="s">
        <v>1589</v>
      </c>
      <c r="H2" t="s">
        <v>62</v>
      </c>
      <c r="I2" t="s">
        <v>1590</v>
      </c>
    </row>
    <row r="3" spans="1:9" x14ac:dyDescent="0.3">
      <c r="A3" s="80" t="b">
        <f>ISBLANK(SCHTYPE[[#This Row],[SchoolTypeCode]])</f>
        <v>0</v>
      </c>
      <c r="B3" s="80" t="b">
        <f>ISBLANK(SCHTYPE[[#This Row],[Title]])</f>
        <v>0</v>
      </c>
      <c r="C3" s="80" t="b">
        <f>ISBLANK(SCHTYPE[[#This Row],[SchoolTypeEnabled]])</f>
        <v>0</v>
      </c>
      <c r="D3" s="86" t="b">
        <f>IF(LEN(SCHTYPE[[#This Row],[SchoolTypeCode]])&lt;100,FALSE,TRUE)</f>
        <v>0</v>
      </c>
      <c r="E3" s="86" t="b">
        <f>IF(LEN(SCHTYPE[[#This Row],[Title]])&lt;100,FALSE,TRUE)</f>
        <v>0</v>
      </c>
      <c r="F3" s="86">
        <f>COUNTIF(SCHTYPE[[#This Row],[Code is Blank]:[Title length check]],"TRUE")</f>
        <v>0</v>
      </c>
      <c r="G3" t="s">
        <v>878</v>
      </c>
      <c r="H3" t="s">
        <v>2076</v>
      </c>
      <c r="I3" t="b">
        <v>1</v>
      </c>
    </row>
    <row r="4" spans="1:9" x14ac:dyDescent="0.3">
      <c r="A4" s="80" t="b">
        <f>ISBLANK(SCHTYPE[[#This Row],[SchoolTypeCode]])</f>
        <v>0</v>
      </c>
      <c r="B4" s="80" t="b">
        <f>ISBLANK(SCHTYPE[[#This Row],[Title]])</f>
        <v>0</v>
      </c>
      <c r="C4" s="80" t="b">
        <f>ISBLANK(SCHTYPE[[#This Row],[SchoolTypeEnabled]])</f>
        <v>0</v>
      </c>
      <c r="D4" s="86" t="b">
        <f>IF(LEN(SCHTYPE[[#This Row],[SchoolTypeCode]])&lt;100,FALSE,TRUE)</f>
        <v>0</v>
      </c>
      <c r="E4" s="86" t="b">
        <f>IF(LEN(SCHTYPE[[#This Row],[Title]])&lt;100,FALSE,TRUE)</f>
        <v>0</v>
      </c>
      <c r="F4" s="86">
        <f>COUNTIF(SCHTYPE[[#This Row],[Code is Blank]:[Title length check]],"TRUE")</f>
        <v>0</v>
      </c>
      <c r="G4" t="s">
        <v>873</v>
      </c>
      <c r="H4" t="s">
        <v>899</v>
      </c>
      <c r="I4" t="b">
        <v>1</v>
      </c>
    </row>
    <row r="5" spans="1:9" x14ac:dyDescent="0.3">
      <c r="A5" s="80" t="b">
        <f>ISBLANK(SCHTYPE[[#This Row],[SchoolTypeCode]])</f>
        <v>0</v>
      </c>
      <c r="B5" s="80" t="b">
        <f>ISBLANK(SCHTYPE[[#This Row],[Title]])</f>
        <v>0</v>
      </c>
      <c r="C5" s="80" t="b">
        <f>ISBLANK(SCHTYPE[[#This Row],[SchoolTypeEnabled]])</f>
        <v>0</v>
      </c>
      <c r="D5" s="86" t="b">
        <f>IF(LEN(SCHTYPE[[#This Row],[SchoolTypeCode]])&lt;100,FALSE,TRUE)</f>
        <v>0</v>
      </c>
      <c r="E5" s="86" t="b">
        <f>IF(LEN(SCHTYPE[[#This Row],[Title]])&lt;100,FALSE,TRUE)</f>
        <v>0</v>
      </c>
      <c r="F5" s="86">
        <f>COUNTIF(SCHTYPE[[#This Row],[Code is Blank]:[Title length check]],"TRUE")</f>
        <v>0</v>
      </c>
      <c r="G5" t="s">
        <v>63</v>
      </c>
      <c r="H5" t="s">
        <v>2077</v>
      </c>
      <c r="I5" t="b">
        <v>1</v>
      </c>
    </row>
    <row r="6" spans="1:9" x14ac:dyDescent="0.3">
      <c r="A6" s="80" t="b">
        <f>ISBLANK(SCHTYPE[[#This Row],[SchoolTypeCode]])</f>
        <v>0</v>
      </c>
      <c r="B6" s="80" t="b">
        <f>ISBLANK(SCHTYPE[[#This Row],[Title]])</f>
        <v>0</v>
      </c>
      <c r="C6" s="80" t="b">
        <f>ISBLANK(SCHTYPE[[#This Row],[SchoolTypeEnabled]])</f>
        <v>0</v>
      </c>
      <c r="D6" s="86" t="b">
        <f>IF(LEN(SCHTYPE[[#This Row],[SchoolTypeCode]])&lt;100,FALSE,TRUE)</f>
        <v>0</v>
      </c>
      <c r="E6" s="86" t="b">
        <f>IF(LEN(SCHTYPE[[#This Row],[Title]])&lt;100,FALSE,TRUE)</f>
        <v>0</v>
      </c>
      <c r="F6" s="86">
        <f>COUNTIF(SCHTYPE[[#This Row],[Code is Blank]:[Title length check]],"TRUE")</f>
        <v>0</v>
      </c>
      <c r="G6" t="s">
        <v>880</v>
      </c>
      <c r="H6" t="s">
        <v>881</v>
      </c>
      <c r="I6" t="b">
        <v>1</v>
      </c>
    </row>
    <row r="7" spans="1:9" x14ac:dyDescent="0.3">
      <c r="A7" s="80" t="b">
        <f>ISBLANK(SCHTYPE[[#This Row],[SchoolTypeCode]])</f>
        <v>0</v>
      </c>
      <c r="B7" s="80" t="b">
        <f>ISBLANK(SCHTYPE[[#This Row],[Title]])</f>
        <v>0</v>
      </c>
      <c r="C7" s="80" t="b">
        <f>ISBLANK(SCHTYPE[[#This Row],[SchoolTypeEnabled]])</f>
        <v>0</v>
      </c>
      <c r="D7" s="86" t="b">
        <f>IF(LEN(SCHTYPE[[#This Row],[SchoolTypeCode]])&lt;100,FALSE,TRUE)</f>
        <v>0</v>
      </c>
      <c r="E7" s="86" t="b">
        <f>IF(LEN(SCHTYPE[[#This Row],[Title]])&lt;100,FALSE,TRUE)</f>
        <v>0</v>
      </c>
      <c r="F7" s="86">
        <f>COUNTIF(SCHTYPE[[#This Row],[Code is Blank]:[Title length check]],"TRUE")</f>
        <v>0</v>
      </c>
      <c r="G7" t="s">
        <v>874</v>
      </c>
      <c r="H7" t="s">
        <v>2078</v>
      </c>
      <c r="I7" t="b">
        <v>1</v>
      </c>
    </row>
    <row r="8" spans="1:9" x14ac:dyDescent="0.3">
      <c r="A8" s="43" t="b">
        <f>ISBLANK(SCHTYPE[[#This Row],[SchoolTypeCode]])</f>
        <v>0</v>
      </c>
      <c r="B8" s="43" t="b">
        <f>ISBLANK(SCHTYPE[[#This Row],[Title]])</f>
        <v>0</v>
      </c>
      <c r="C8" s="43" t="b">
        <f>ISBLANK(SCHTYPE[[#This Row],[SchoolTypeEnabled]])</f>
        <v>0</v>
      </c>
      <c r="D8" s="43" t="b">
        <f>IF(LEN(SCHTYPE[[#This Row],[SchoolTypeCode]])&lt;100,FALSE,TRUE)</f>
        <v>0</v>
      </c>
      <c r="E8" s="43" t="b">
        <f>IF(LEN(SCHTYPE[[#This Row],[Title]])&lt;100,FALSE,TRUE)</f>
        <v>0</v>
      </c>
      <c r="F8" s="43">
        <f>COUNTIF(SCHTYPE[[#This Row],[Code is Blank]:[Title length check]],"TRUE")</f>
        <v>0</v>
      </c>
      <c r="G8" t="s">
        <v>876</v>
      </c>
      <c r="H8" t="s">
        <v>2079</v>
      </c>
      <c r="I8" t="b">
        <v>1</v>
      </c>
    </row>
  </sheetData>
  <mergeCells count="1">
    <mergeCell ref="G1:I1"/>
  </mergeCells>
  <phoneticPr fontId="2" type="noConversion"/>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22EB2-B90A-4EBA-BE84-13F2D49FE83A}">
  <sheetPr codeName="Sheet51">
    <tabColor theme="5" tint="0.79998168889431442"/>
  </sheetPr>
  <dimension ref="A1:J4"/>
  <sheetViews>
    <sheetView workbookViewId="0">
      <pane ySplit="2" topLeftCell="A3" activePane="bottomLeft" state="frozen"/>
      <selection pane="bottomLeft" activeCell="I3" sqref="I3"/>
    </sheetView>
  </sheetViews>
  <sheetFormatPr defaultColWidth="9.33203125" defaultRowHeight="14.4" outlineLevelCol="1" x14ac:dyDescent="0.3"/>
  <cols>
    <col min="1" max="1" width="15" hidden="1" customWidth="1" outlineLevel="1"/>
    <col min="2" max="2" width="14.33203125" hidden="1" customWidth="1" outlineLevel="1"/>
    <col min="3" max="3" width="17.6640625" hidden="1" customWidth="1" outlineLevel="1"/>
    <col min="4" max="4" width="20" hidden="1" customWidth="1" outlineLevel="1"/>
    <col min="5" max="5" width="19" hidden="1" customWidth="1" outlineLevel="1"/>
    <col min="6" max="6" width="19.109375" bestFit="1" customWidth="1" collapsed="1"/>
    <col min="7" max="7" width="28.6640625" hidden="1" customWidth="1"/>
    <col min="8" max="8" width="26.33203125" bestFit="1" customWidth="1"/>
    <col min="9" max="9" width="25.33203125" bestFit="1" customWidth="1"/>
    <col min="10" max="10" width="28.88671875" bestFit="1" customWidth="1"/>
  </cols>
  <sheetData>
    <row r="1" spans="1:10" x14ac:dyDescent="0.3">
      <c r="G1" s="101" t="s">
        <v>1579</v>
      </c>
      <c r="H1" s="171" t="s">
        <v>1570</v>
      </c>
      <c r="I1" s="171"/>
      <c r="J1" s="171"/>
    </row>
    <row r="2" spans="1:10" x14ac:dyDescent="0.3">
      <c r="A2" s="89" t="s">
        <v>57</v>
      </c>
      <c r="B2" s="87" t="s">
        <v>58</v>
      </c>
      <c r="C2" s="87" t="s">
        <v>59</v>
      </c>
      <c r="D2" s="95" t="s">
        <v>1367</v>
      </c>
      <c r="E2" s="95" t="s">
        <v>1368</v>
      </c>
      <c r="F2" s="46" t="s">
        <v>60</v>
      </c>
      <c r="G2" s="46" t="s">
        <v>882</v>
      </c>
      <c r="H2" t="s">
        <v>1593</v>
      </c>
      <c r="I2" t="s">
        <v>62</v>
      </c>
      <c r="J2" t="s">
        <v>1594</v>
      </c>
    </row>
    <row r="3" spans="1:10" x14ac:dyDescent="0.3">
      <c r="A3" s="80" t="b">
        <f>ISBLANK(LocalAuth[[#This Row],[SchoolLocalAuthorityCode]])</f>
        <v>0</v>
      </c>
      <c r="B3" s="80" t="b">
        <f>ISBLANK(LocalAuth[[#This Row],[Title]])</f>
        <v>0</v>
      </c>
      <c r="C3" s="80" t="b">
        <f>ISBLANK(LocalAuth[[#This Row],[SchoolLocalAuthorityEnabled]])</f>
        <v>0</v>
      </c>
      <c r="D3" s="86" t="b">
        <f>IF(LEN(LocalAuth[[#This Row],[SchoolLocalAuthorityCode]])&lt;100,FALSE,TRUE)</f>
        <v>0</v>
      </c>
      <c r="E3" s="86" t="b">
        <f>IF(LEN(LocalAuth[[#This Row],[Title]])&lt;100,FALSE,TRUE)</f>
        <v>0</v>
      </c>
      <c r="F3" s="86">
        <f>COUNTIF(LocalAuth[[#This Row],[Code is Blank]:[Title length check]],"TRUE")</f>
        <v>0</v>
      </c>
      <c r="G3" s="86" t="s">
        <v>1321</v>
      </c>
      <c r="H3" t="s">
        <v>3059</v>
      </c>
      <c r="I3" t="s">
        <v>3060</v>
      </c>
      <c r="J3" t="b">
        <v>1</v>
      </c>
    </row>
    <row r="4" spans="1:10" x14ac:dyDescent="0.3">
      <c r="A4" s="80" t="b">
        <f>ISBLANK(LocalAuth[[#This Row],[SchoolLocalAuthorityCode]])</f>
        <v>0</v>
      </c>
      <c r="B4" s="80" t="b">
        <f>ISBLANK(LocalAuth[[#This Row],[Title]])</f>
        <v>0</v>
      </c>
      <c r="C4" s="80" t="b">
        <f>ISBLANK(LocalAuth[[#This Row],[SchoolLocalAuthorityEnabled]])</f>
        <v>0</v>
      </c>
      <c r="D4" s="86" t="b">
        <f>IF(LEN(LocalAuth[[#This Row],[SchoolLocalAuthorityCode]])&lt;100,FALSE,TRUE)</f>
        <v>0</v>
      </c>
      <c r="E4" s="86" t="b">
        <f>IF(LEN(LocalAuth[[#This Row],[Title]])&lt;100,FALSE,TRUE)</f>
        <v>0</v>
      </c>
      <c r="F4" s="86">
        <f>COUNTIF(LocalAuth[[#This Row],[Code is Blank]:[Title length check]],"TRUE")</f>
        <v>0</v>
      </c>
      <c r="G4" s="86" t="s">
        <v>1545</v>
      </c>
      <c r="H4" t="s">
        <v>63</v>
      </c>
      <c r="I4" t="s">
        <v>3061</v>
      </c>
      <c r="J4" t="b">
        <v>1</v>
      </c>
    </row>
  </sheetData>
  <mergeCells count="1">
    <mergeCell ref="H1:J1"/>
  </mergeCells>
  <phoneticPr fontId="2"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E67E6-6719-41E6-95A4-807F6707A11B}">
  <sheetPr codeName="Sheet8">
    <tabColor theme="5" tint="0.79998168889431442"/>
  </sheetPr>
  <dimension ref="A1:R12"/>
  <sheetViews>
    <sheetView workbookViewId="0">
      <pane ySplit="2" topLeftCell="A3" activePane="bottomLeft" state="frozen"/>
      <selection pane="bottomLeft" activeCell="N17" sqref="N17"/>
    </sheetView>
  </sheetViews>
  <sheetFormatPr defaultColWidth="9.33203125" defaultRowHeight="14.4" outlineLevelCol="1" x14ac:dyDescent="0.3"/>
  <cols>
    <col min="1" max="1" width="12.33203125" hidden="1" customWidth="1" outlineLevel="1"/>
    <col min="2" max="2" width="15.109375" hidden="1" customWidth="1" outlineLevel="1"/>
    <col min="3" max="3" width="12.5546875" hidden="1" customWidth="1" outlineLevel="1"/>
    <col min="4" max="4" width="20" hidden="1" customWidth="1" outlineLevel="1"/>
    <col min="5" max="5" width="19" hidden="1" customWidth="1" outlineLevel="1"/>
    <col min="6" max="6" width="16.33203125" bestFit="1" customWidth="1" collapsed="1"/>
    <col min="7" max="7" width="24" style="5" bestFit="1" customWidth="1"/>
    <col min="8" max="8" width="5.44140625" style="5" hidden="1" customWidth="1"/>
    <col min="9" max="9" width="13.88671875" style="5" hidden="1" customWidth="1"/>
    <col min="10" max="10" width="21.6640625" bestFit="1" customWidth="1"/>
    <col min="11" max="11" width="13.33203125" bestFit="1" customWidth="1"/>
    <col min="12" max="12" width="12.33203125" bestFit="1" customWidth="1"/>
    <col min="13" max="13" width="13" bestFit="1" customWidth="1"/>
    <col min="14" max="14" width="36.6640625" bestFit="1" customWidth="1"/>
    <col min="15" max="15" width="18.6640625" bestFit="1" customWidth="1"/>
    <col min="16" max="16" width="26" bestFit="1" customWidth="1"/>
    <col min="17" max="18" width="16" bestFit="1" customWidth="1"/>
  </cols>
  <sheetData>
    <row r="1" spans="1:18" ht="28.8" x14ac:dyDescent="0.3">
      <c r="G1" s="103" t="s">
        <v>1579</v>
      </c>
      <c r="H1" s="103"/>
      <c r="I1" s="103"/>
      <c r="J1" s="171" t="s">
        <v>1570</v>
      </c>
      <c r="K1" s="171"/>
      <c r="L1" s="171"/>
      <c r="M1" s="171"/>
      <c r="N1" s="171"/>
      <c r="O1" s="171"/>
      <c r="P1" s="171"/>
      <c r="Q1" s="171"/>
      <c r="R1" s="171"/>
    </row>
    <row r="2" spans="1:18" x14ac:dyDescent="0.3">
      <c r="A2" s="90" t="s">
        <v>883</v>
      </c>
      <c r="B2" s="90" t="s">
        <v>884</v>
      </c>
      <c r="C2" s="90" t="s">
        <v>885</v>
      </c>
      <c r="D2" s="90" t="s">
        <v>1367</v>
      </c>
      <c r="E2" s="90" t="s">
        <v>1368</v>
      </c>
      <c r="F2" s="46" t="s">
        <v>886</v>
      </c>
      <c r="G2" s="97" t="s">
        <v>887</v>
      </c>
      <c r="H2" s="97" t="s">
        <v>882</v>
      </c>
      <c r="I2" s="98" t="s">
        <v>888</v>
      </c>
      <c r="J2" t="s">
        <v>889</v>
      </c>
      <c r="K2" t="s">
        <v>890</v>
      </c>
      <c r="L2" t="s">
        <v>891</v>
      </c>
      <c r="M2" t="s">
        <v>892</v>
      </c>
      <c r="N2" t="s">
        <v>62</v>
      </c>
      <c r="O2" t="s">
        <v>893</v>
      </c>
      <c r="P2" t="s">
        <v>894</v>
      </c>
      <c r="Q2" t="s">
        <v>895</v>
      </c>
      <c r="R2" t="s">
        <v>896</v>
      </c>
    </row>
    <row r="3" spans="1:18" s="10" customFormat="1" x14ac:dyDescent="0.3">
      <c r="A3" s="43">
        <f>IF(COUNTIF(SCHHUB[SchoolHubCode],SCHOOLS[[#This Row],[SchoolHub]])&gt;0,0,1)</f>
        <v>0</v>
      </c>
      <c r="B3" s="43">
        <f>IF(COUNTIF(SCHTYPE[SchoolTypeCode],SCHOOLS[[#This Row],[SchoolType]])&gt;0,0,1)</f>
        <v>0</v>
      </c>
      <c r="C3" s="43">
        <f>COUNTBLANK(SCHOOLS[[#This Row],[SchoolLocalAuthority]:[SchoolEnabled]])</f>
        <v>0</v>
      </c>
      <c r="D3" s="43">
        <f>IF(LEN(SCHOOLS[[#This Row],[SchoolCode]])&lt;100,0,1)</f>
        <v>0</v>
      </c>
      <c r="E3" s="43">
        <f>IF(LEN(SCHOOLS[[#This Row],[Title]])&lt;100,0,1)</f>
        <v>0</v>
      </c>
      <c r="F3" s="43">
        <f>SUM(SCHOOLS[[#This Row],[HubIssues]:[Title length check]])</f>
        <v>0</v>
      </c>
      <c r="G3" s="43" t="s">
        <v>897</v>
      </c>
      <c r="H3" s="43" t="str">
        <f>_xlfn.XLOOKUP(SCHOOLS[[#This Row],[SchoolLocalAuthority]],LocalAuth[SchoolLocalAuthorityCode],LocalAuth[LA])</f>
        <v>LA0</v>
      </c>
      <c r="I3" s="43" t="s">
        <v>899</v>
      </c>
      <c r="J3" s="10" t="s">
        <v>3059</v>
      </c>
      <c r="K3" s="10" t="s">
        <v>2082</v>
      </c>
      <c r="L3" s="10" t="s">
        <v>63</v>
      </c>
      <c r="M3" s="10" t="s">
        <v>876</v>
      </c>
      <c r="N3" s="10" t="s">
        <v>3062</v>
      </c>
      <c r="O3" s="10" t="b">
        <v>0</v>
      </c>
      <c r="P3" s="10">
        <v>140108</v>
      </c>
      <c r="Q3" s="10">
        <v>32.436</v>
      </c>
      <c r="R3" s="10" t="b">
        <v>1</v>
      </c>
    </row>
    <row r="4" spans="1:18" s="10" customFormat="1" x14ac:dyDescent="0.3">
      <c r="A4" s="86">
        <f>IF(COUNTIF(SCHHUB[SchoolHubCode],SCHOOLS[[#This Row],[SchoolHub]])&gt;0,0,1)</f>
        <v>0</v>
      </c>
      <c r="B4" s="86">
        <f>IF(COUNTIF(SCHTYPE[SchoolTypeCode],SCHOOLS[[#This Row],[SchoolType]])&gt;0,0,1)</f>
        <v>0</v>
      </c>
      <c r="C4" s="86">
        <f>COUNTBLANK(SCHOOLS[[#This Row],[SchoolLocalAuthority]:[SchoolEnabled]])</f>
        <v>0</v>
      </c>
      <c r="D4" s="86">
        <f>IF(LEN(SCHOOLS[[#This Row],[SchoolCode]])&lt;100,0,1)</f>
        <v>0</v>
      </c>
      <c r="E4" s="86">
        <f>IF(LEN(SCHOOLS[[#This Row],[Title]])&lt;100,0,1)</f>
        <v>0</v>
      </c>
      <c r="F4" s="86">
        <f>SUM(SCHOOLS[[#This Row],[HubIssues]:[Title length check]])</f>
        <v>0</v>
      </c>
      <c r="G4" s="86" t="s">
        <v>897</v>
      </c>
      <c r="H4" s="86" t="str">
        <f>_xlfn.XLOOKUP(SCHOOLS[[#This Row],[SchoolLocalAuthority]],LocalAuth[SchoolLocalAuthorityCode],LocalAuth[LA])</f>
        <v>LA0</v>
      </c>
      <c r="I4" s="86" t="s">
        <v>877</v>
      </c>
      <c r="J4" s="10" t="s">
        <v>3059</v>
      </c>
      <c r="K4" s="10" t="s">
        <v>2089</v>
      </c>
      <c r="L4" s="10" t="s">
        <v>63</v>
      </c>
      <c r="M4" s="10" t="s">
        <v>874</v>
      </c>
      <c r="N4" s="10" t="s">
        <v>3063</v>
      </c>
      <c r="O4" s="10" t="b">
        <v>0</v>
      </c>
      <c r="P4" s="10">
        <v>148489</v>
      </c>
      <c r="Q4" s="10">
        <v>32.436</v>
      </c>
      <c r="R4" s="10" t="b">
        <v>1</v>
      </c>
    </row>
    <row r="5" spans="1:18" x14ac:dyDescent="0.3">
      <c r="A5" s="86">
        <f>IF(COUNTIF(SCHHUB[SchoolHubCode],SCHOOLS[[#This Row],[SchoolHub]])&gt;0,0,1)</f>
        <v>0</v>
      </c>
      <c r="B5" s="86">
        <f>IF(COUNTIF(SCHTYPE[SchoolTypeCode],SCHOOLS[[#This Row],[SchoolType]])&gt;0,0,1)</f>
        <v>0</v>
      </c>
      <c r="C5" s="86">
        <f>COUNTBLANK(SCHOOLS[[#This Row],[SchoolLocalAuthority]:[SchoolEnabled]])</f>
        <v>0</v>
      </c>
      <c r="D5" s="86">
        <f>IF(LEN(SCHOOLS[[#This Row],[SchoolCode]])&lt;100,0,1)</f>
        <v>0</v>
      </c>
      <c r="E5" s="86">
        <f>IF(LEN(SCHOOLS[[#This Row],[Title]])&lt;100,0,1)</f>
        <v>0</v>
      </c>
      <c r="F5" s="86">
        <f>SUM(SCHOOLS[[#This Row],[HubIssues]:[Title length check]])</f>
        <v>0</v>
      </c>
      <c r="G5" s="86" t="s">
        <v>897</v>
      </c>
      <c r="H5" s="86" t="str">
        <f>_xlfn.XLOOKUP(SCHOOLS[[#This Row],[SchoolLocalAuthority]],LocalAuth[SchoolLocalAuthorityCode],LocalAuth[LA])</f>
        <v>LA0</v>
      </c>
      <c r="I5" s="99" t="s">
        <v>875</v>
      </c>
      <c r="J5" s="10" t="s">
        <v>3059</v>
      </c>
      <c r="K5" s="10" t="s">
        <v>2094</v>
      </c>
      <c r="L5" s="10" t="s">
        <v>63</v>
      </c>
      <c r="M5" s="10" t="s">
        <v>876</v>
      </c>
      <c r="N5" s="10" t="s">
        <v>3064</v>
      </c>
      <c r="O5" s="10" t="b">
        <v>0</v>
      </c>
      <c r="P5" s="10">
        <v>136279</v>
      </c>
      <c r="Q5" s="10">
        <v>32.436</v>
      </c>
      <c r="R5" s="10" t="b">
        <v>1</v>
      </c>
    </row>
    <row r="6" spans="1:18" x14ac:dyDescent="0.3">
      <c r="A6" s="43">
        <f>IF(COUNTIF(SCHHUB[SchoolHubCode],SCHOOLS[[#This Row],[SchoolHub]])&gt;0,0,1)</f>
        <v>0</v>
      </c>
      <c r="B6" s="43">
        <f>IF(COUNTIF(SCHTYPE[SchoolTypeCode],SCHOOLS[[#This Row],[SchoolType]])&gt;0,0,1)</f>
        <v>0</v>
      </c>
      <c r="C6" s="43">
        <f>COUNTBLANK(SCHOOLS[[#This Row],[SchoolLocalAuthority]:[SchoolEnabled]])</f>
        <v>0</v>
      </c>
      <c r="D6" s="43">
        <f>IF(LEN(SCHOOLS[[#This Row],[SchoolCode]])&lt;100,0,1)</f>
        <v>0</v>
      </c>
      <c r="E6" s="43">
        <f>IF(LEN(SCHOOLS[[#This Row],[Title]])&lt;100,0,1)</f>
        <v>0</v>
      </c>
      <c r="F6" s="43">
        <f>SUM(SCHOOLS[[#This Row],[HubIssues]:[Title length check]])</f>
        <v>0</v>
      </c>
      <c r="G6" s="86" t="s">
        <v>897</v>
      </c>
      <c r="H6" s="43" t="str">
        <f>_xlfn.XLOOKUP(SCHOOLS[[#This Row],[SchoolLocalAuthority]],LocalAuth[SchoolLocalAuthorityCode],LocalAuth[LA])</f>
        <v>LA0</v>
      </c>
      <c r="I6" s="102" t="s">
        <v>1322</v>
      </c>
      <c r="J6" s="10" t="s">
        <v>3059</v>
      </c>
      <c r="K6" s="10" t="s">
        <v>2266</v>
      </c>
      <c r="L6" s="10" t="s">
        <v>63</v>
      </c>
      <c r="M6" s="10" t="s">
        <v>874</v>
      </c>
      <c r="N6" s="10" t="s">
        <v>3065</v>
      </c>
      <c r="O6" s="10" t="b">
        <v>0</v>
      </c>
      <c r="P6" s="10">
        <v>148136</v>
      </c>
      <c r="Q6" s="10">
        <v>32.436</v>
      </c>
      <c r="R6" s="10" t="b">
        <v>1</v>
      </c>
    </row>
    <row r="7" spans="1:18" x14ac:dyDescent="0.3">
      <c r="A7" s="43">
        <f>IF(COUNTIF(SCHHUB[SchoolHubCode],SCHOOLS[[#This Row],[SchoolHub]])&gt;0,0,1)</f>
        <v>0</v>
      </c>
      <c r="B7" s="43">
        <f>IF(COUNTIF(SCHTYPE[SchoolTypeCode],SCHOOLS[[#This Row],[SchoolType]])&gt;0,0,1)</f>
        <v>0</v>
      </c>
      <c r="C7" s="43">
        <f>COUNTBLANK(SCHOOLS[[#This Row],[SchoolLocalAuthority]:[SchoolEnabled]])</f>
        <v>0</v>
      </c>
      <c r="D7" s="43">
        <f>IF(LEN(SCHOOLS[[#This Row],[SchoolCode]])&lt;100,0,1)</f>
        <v>0</v>
      </c>
      <c r="E7" s="43">
        <f>IF(LEN(SCHOOLS[[#This Row],[Title]])&lt;100,0,1)</f>
        <v>0</v>
      </c>
      <c r="F7" s="43">
        <f>SUM(SCHOOLS[[#This Row],[HubIssues]:[Title length check]])</f>
        <v>0</v>
      </c>
      <c r="G7" s="86" t="s">
        <v>897</v>
      </c>
      <c r="H7" s="43" t="str">
        <f>_xlfn.XLOOKUP(SCHOOLS[[#This Row],[SchoolLocalAuthority]],LocalAuth[SchoolLocalAuthorityCode],LocalAuth[LA])</f>
        <v>LA2</v>
      </c>
      <c r="I7" s="102"/>
      <c r="J7" s="10" t="s">
        <v>63</v>
      </c>
      <c r="K7" s="10" t="s">
        <v>1939</v>
      </c>
      <c r="L7" s="10" t="s">
        <v>63</v>
      </c>
      <c r="M7" s="10" t="s">
        <v>63</v>
      </c>
      <c r="N7" s="10" t="s">
        <v>1958</v>
      </c>
      <c r="O7" s="10" t="b">
        <v>0</v>
      </c>
      <c r="P7" s="10">
        <v>0</v>
      </c>
      <c r="Q7" s="10">
        <v>0</v>
      </c>
      <c r="R7" s="10" t="b">
        <v>1</v>
      </c>
    </row>
    <row r="8" spans="1:18" x14ac:dyDescent="0.3">
      <c r="A8" s="43">
        <f>IF(COUNTIF(SCHHUB[SchoolHubCode],SCHOOLS[[#This Row],[SchoolHub]])&gt;0,0,1)</f>
        <v>0</v>
      </c>
      <c r="B8" s="43">
        <f>IF(COUNTIF(SCHTYPE[SchoolTypeCode],SCHOOLS[[#This Row],[SchoolType]])&gt;0,0,1)</f>
        <v>0</v>
      </c>
      <c r="C8" s="43">
        <f>COUNTBLANK(SCHOOLS[[#This Row],[SchoolLocalAuthority]:[SchoolEnabled]])</f>
        <v>0</v>
      </c>
      <c r="D8" s="43">
        <f>IF(LEN(SCHOOLS[[#This Row],[SchoolCode]])&lt;100,0,1)</f>
        <v>0</v>
      </c>
      <c r="E8" s="43">
        <f>IF(LEN(SCHOOLS[[#This Row],[Title]])&lt;100,0,1)</f>
        <v>0</v>
      </c>
      <c r="F8" s="43">
        <f>SUM(SCHOOLS[[#This Row],[HubIssues]:[Title length check]])</f>
        <v>0</v>
      </c>
      <c r="G8" s="86" t="s">
        <v>897</v>
      </c>
      <c r="H8" s="43" t="str">
        <f>_xlfn.XLOOKUP(SCHOOLS[[#This Row],[SchoolLocalAuthority]],LocalAuth[SchoolLocalAuthorityCode],LocalAuth[LA])</f>
        <v>LA0</v>
      </c>
      <c r="I8" s="43"/>
      <c r="J8" s="10" t="s">
        <v>3059</v>
      </c>
      <c r="K8" s="10" t="s">
        <v>51</v>
      </c>
      <c r="L8" s="10" t="s">
        <v>63</v>
      </c>
      <c r="M8" s="10" t="s">
        <v>873</v>
      </c>
      <c r="N8" s="10" t="s">
        <v>3066</v>
      </c>
      <c r="O8" s="10" t="b">
        <v>0</v>
      </c>
      <c r="P8" s="10">
        <v>1</v>
      </c>
      <c r="Q8" s="10">
        <v>32.436</v>
      </c>
      <c r="R8" s="10" t="b">
        <v>1</v>
      </c>
    </row>
    <row r="9" spans="1:18" x14ac:dyDescent="0.3">
      <c r="A9" s="43">
        <f>IF(COUNTIF(SCHHUB[SchoolHubCode],SCHOOLS[[#This Row],[SchoolHub]])&gt;0,0,1)</f>
        <v>0</v>
      </c>
      <c r="B9" s="43">
        <f>IF(COUNTIF(SCHTYPE[SchoolTypeCode],SCHOOLS[[#This Row],[SchoolType]])&gt;0,0,1)</f>
        <v>0</v>
      </c>
      <c r="C9" s="43">
        <f>COUNTBLANK(SCHOOLS[[#This Row],[SchoolLocalAuthority]:[SchoolEnabled]])</f>
        <v>0</v>
      </c>
      <c r="D9" s="43">
        <f>IF(LEN(SCHOOLS[[#This Row],[SchoolCode]])&lt;100,0,1)</f>
        <v>0</v>
      </c>
      <c r="E9" s="43">
        <f>IF(LEN(SCHOOLS[[#This Row],[Title]])&lt;100,0,1)</f>
        <v>0</v>
      </c>
      <c r="F9" s="43">
        <f>SUM(SCHOOLS[[#This Row],[HubIssues]:[Title length check]])</f>
        <v>0</v>
      </c>
      <c r="G9" s="86" t="s">
        <v>897</v>
      </c>
      <c r="H9" s="43" t="str">
        <f>_xlfn.XLOOKUP(SCHOOLS[[#This Row],[SchoolLocalAuthority]],LocalAuth[SchoolLocalAuthorityCode],LocalAuth[LA])</f>
        <v>LA0</v>
      </c>
      <c r="I9" s="43"/>
      <c r="J9" s="10" t="s">
        <v>3059</v>
      </c>
      <c r="K9" s="10" t="s">
        <v>2126</v>
      </c>
      <c r="L9" s="10" t="s">
        <v>63</v>
      </c>
      <c r="M9" s="10" t="s">
        <v>876</v>
      </c>
      <c r="N9" s="10" t="s">
        <v>3067</v>
      </c>
      <c r="O9" s="10" t="b">
        <v>0</v>
      </c>
      <c r="P9" s="10">
        <v>111419</v>
      </c>
      <c r="Q9" s="10">
        <v>32.436</v>
      </c>
      <c r="R9" s="10" t="b">
        <v>1</v>
      </c>
    </row>
    <row r="10" spans="1:18" x14ac:dyDescent="0.3">
      <c r="A10" s="43">
        <f>IF(COUNTIF(SCHHUB[SchoolHubCode],SCHOOLS[[#This Row],[SchoolHub]])&gt;0,0,1)</f>
        <v>0</v>
      </c>
      <c r="B10" s="43">
        <f>IF(COUNTIF(SCHTYPE[SchoolTypeCode],SCHOOLS[[#This Row],[SchoolType]])&gt;0,0,1)</f>
        <v>0</v>
      </c>
      <c r="C10" s="43">
        <f>COUNTBLANK(SCHOOLS[[#This Row],[SchoolLocalAuthority]:[SchoolEnabled]])</f>
        <v>0</v>
      </c>
      <c r="D10" s="43">
        <f>IF(LEN(SCHOOLS[[#This Row],[SchoolCode]])&lt;100,0,1)</f>
        <v>0</v>
      </c>
      <c r="E10" s="43">
        <f>IF(LEN(SCHOOLS[[#This Row],[Title]])&lt;100,0,1)</f>
        <v>0</v>
      </c>
      <c r="F10" s="43">
        <f>SUM(SCHOOLS[[#This Row],[HubIssues]:[Title length check]])</f>
        <v>0</v>
      </c>
      <c r="G10" s="86" t="s">
        <v>897</v>
      </c>
      <c r="H10" s="43" t="str">
        <f>_xlfn.XLOOKUP(SCHOOLS[[#This Row],[SchoolLocalAuthority]],LocalAuth[SchoolLocalAuthorityCode],LocalAuth[LA])</f>
        <v>LA0</v>
      </c>
      <c r="I10" s="43"/>
      <c r="J10" s="10" t="s">
        <v>3059</v>
      </c>
      <c r="K10" s="10" t="s">
        <v>2299</v>
      </c>
      <c r="L10" s="10" t="s">
        <v>63</v>
      </c>
      <c r="M10" s="10" t="s">
        <v>874</v>
      </c>
      <c r="N10" s="10" t="s">
        <v>3068</v>
      </c>
      <c r="O10" s="10" t="b">
        <v>0</v>
      </c>
      <c r="P10" s="10">
        <v>140740</v>
      </c>
      <c r="Q10" s="10">
        <v>32.436</v>
      </c>
      <c r="R10" s="10" t="b">
        <v>1</v>
      </c>
    </row>
    <row r="11" spans="1:18" x14ac:dyDescent="0.3">
      <c r="A11" s="43">
        <f>IF(COUNTIF(SCHHUB[SchoolHubCode],SCHOOLS[[#This Row],[SchoolHub]])&gt;0,0,1)</f>
        <v>0</v>
      </c>
      <c r="B11" s="43">
        <f>IF(COUNTIF(SCHTYPE[SchoolTypeCode],SCHOOLS[[#This Row],[SchoolType]])&gt;0,0,1)</f>
        <v>0</v>
      </c>
      <c r="C11" s="43">
        <f>COUNTBLANK(SCHOOLS[[#This Row],[SchoolLocalAuthority]:[SchoolEnabled]])</f>
        <v>0</v>
      </c>
      <c r="D11" s="43">
        <f>IF(LEN(SCHOOLS[[#This Row],[SchoolCode]])&lt;100,0,1)</f>
        <v>0</v>
      </c>
      <c r="E11" s="43">
        <f>IF(LEN(SCHOOLS[[#This Row],[Title]])&lt;100,0,1)</f>
        <v>0</v>
      </c>
      <c r="F11" s="43">
        <f>SUM(SCHOOLS[[#This Row],[HubIssues]:[Title length check]])</f>
        <v>0</v>
      </c>
      <c r="G11" s="86" t="s">
        <v>897</v>
      </c>
      <c r="H11" s="43" t="str">
        <f>_xlfn.XLOOKUP(SCHOOLS[[#This Row],[SchoolLocalAuthority]],LocalAuth[SchoolLocalAuthorityCode],LocalAuth[LA])</f>
        <v>LA0</v>
      </c>
      <c r="I11" s="43"/>
      <c r="J11" s="10" t="s">
        <v>3059</v>
      </c>
      <c r="K11" s="10" t="s">
        <v>2200</v>
      </c>
      <c r="L11" s="10" t="s">
        <v>63</v>
      </c>
      <c r="M11" s="10" t="s">
        <v>874</v>
      </c>
      <c r="N11" s="10" t="s">
        <v>3069</v>
      </c>
      <c r="O11" s="10" t="b">
        <v>0</v>
      </c>
      <c r="P11" s="10">
        <v>139539</v>
      </c>
      <c r="Q11" s="10">
        <v>32.436</v>
      </c>
      <c r="R11" s="10" t="b">
        <v>1</v>
      </c>
    </row>
    <row r="12" spans="1:18" x14ac:dyDescent="0.3">
      <c r="A12" s="43">
        <f>IF(COUNTIF(SCHHUB[SchoolHubCode],SCHOOLS[[#This Row],[SchoolHub]])&gt;0,0,1)</f>
        <v>0</v>
      </c>
      <c r="B12" s="43">
        <f>IF(COUNTIF(SCHTYPE[SchoolTypeCode],SCHOOLS[[#This Row],[SchoolType]])&gt;0,0,1)</f>
        <v>0</v>
      </c>
      <c r="C12" s="43">
        <f>COUNTBLANK(SCHOOLS[[#This Row],[SchoolLocalAuthority]:[SchoolEnabled]])</f>
        <v>0</v>
      </c>
      <c r="D12" s="43">
        <f>IF(LEN(SCHOOLS[[#This Row],[SchoolCode]])&lt;100,0,1)</f>
        <v>0</v>
      </c>
      <c r="E12" s="43">
        <f>IF(LEN(SCHOOLS[[#This Row],[Title]])&lt;100,0,1)</f>
        <v>0</v>
      </c>
      <c r="F12" s="43">
        <f>SUM(SCHOOLS[[#This Row],[HubIssues]:[Title length check]])</f>
        <v>0</v>
      </c>
      <c r="G12" s="43" t="s">
        <v>897</v>
      </c>
      <c r="H12" s="43" t="str">
        <f>_xlfn.XLOOKUP(SCHOOLS[[#This Row],[SchoolLocalAuthority]],LocalAuth[SchoolLocalAuthorityCode],LocalAuth[LA])</f>
        <v>LA0</v>
      </c>
      <c r="I12" s="43"/>
      <c r="J12" s="10" t="s">
        <v>3059</v>
      </c>
      <c r="K12" s="10" t="s">
        <v>2275</v>
      </c>
      <c r="L12" s="10" t="s">
        <v>63</v>
      </c>
      <c r="M12" s="10" t="s">
        <v>874</v>
      </c>
      <c r="N12" s="10" t="s">
        <v>3070</v>
      </c>
      <c r="O12" s="10" t="b">
        <v>0</v>
      </c>
      <c r="P12" s="10">
        <v>145587</v>
      </c>
      <c r="Q12" s="10">
        <v>32.436</v>
      </c>
      <c r="R12" s="10" t="b">
        <v>1</v>
      </c>
    </row>
  </sheetData>
  <mergeCells count="1">
    <mergeCell ref="J1:R1"/>
  </mergeCells>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A872AE6-6968-4320-940E-420CF6095AFD}">
          <x14:formula1>
            <xm:f>Validation!$A$10:$A$13</xm:f>
          </x14:formula1>
          <xm:sqref>G3:G12</xm:sqref>
        </x14:dataValidation>
        <x14:dataValidation type="list" allowBlank="1" showInputMessage="1" showErrorMessage="1" xr:uid="{72F19C89-E683-4F31-A13F-94B78CDB370A}">
          <x14:formula1>
            <xm:f>Validation!$A$15:$A$22</xm:f>
          </x14:formula1>
          <xm:sqref>I3:I12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1079-B741-42C5-A8A4-76C13CFFA194}">
  <sheetPr codeName="Sheet12">
    <tabColor theme="5" tint="0.79998168889431442"/>
  </sheetPr>
  <dimension ref="A1:P454"/>
  <sheetViews>
    <sheetView workbookViewId="0">
      <pane ySplit="2" topLeftCell="A287" activePane="bottomLeft" state="frozen"/>
      <selection pane="bottomLeft" activeCell="H291" sqref="H291"/>
    </sheetView>
  </sheetViews>
  <sheetFormatPr defaultColWidth="8.5546875" defaultRowHeight="14.4" outlineLevelCol="1" x14ac:dyDescent="0.3"/>
  <cols>
    <col min="1" max="1" width="12.33203125" hidden="1" customWidth="1" outlineLevel="1"/>
    <col min="2" max="2" width="14.5546875" hidden="1" customWidth="1" outlineLevel="1"/>
    <col min="3" max="3" width="13.88671875" hidden="1" customWidth="1" outlineLevel="1"/>
    <col min="4" max="4" width="20" hidden="1" customWidth="1" outlineLevel="1"/>
    <col min="5" max="5" width="19" hidden="1" customWidth="1" outlineLevel="1"/>
    <col min="6" max="6" width="16.21875" bestFit="1" customWidth="1" collapsed="1"/>
    <col min="7" max="7" width="18.21875" bestFit="1" customWidth="1"/>
    <col min="8" max="8" width="38" bestFit="1" customWidth="1"/>
    <col min="9" max="9" width="22.44140625" bestFit="1" customWidth="1"/>
    <col min="10" max="10" width="32.21875" bestFit="1" customWidth="1"/>
    <col min="11" max="11" width="14.109375" bestFit="1" customWidth="1"/>
    <col min="12" max="12" width="11.88671875" bestFit="1" customWidth="1"/>
    <col min="13" max="13" width="13.44140625" bestFit="1" customWidth="1"/>
    <col min="14" max="14" width="21" bestFit="1" customWidth="1"/>
    <col min="15" max="15" width="20.77734375" bestFit="1" customWidth="1"/>
  </cols>
  <sheetData>
    <row r="1" spans="1:16" x14ac:dyDescent="0.3">
      <c r="G1" s="170" t="s">
        <v>1570</v>
      </c>
      <c r="H1" s="170"/>
      <c r="I1" s="170"/>
      <c r="J1" s="170"/>
      <c r="K1" s="170"/>
      <c r="L1" s="170"/>
      <c r="M1" s="170"/>
      <c r="N1" s="170"/>
      <c r="O1" s="170"/>
      <c r="P1" s="96"/>
    </row>
    <row r="2" spans="1:16" x14ac:dyDescent="0.3">
      <c r="A2" s="90" t="s">
        <v>900</v>
      </c>
      <c r="B2" s="90" t="s">
        <v>901</v>
      </c>
      <c r="C2" s="90" t="s">
        <v>902</v>
      </c>
      <c r="D2" s="90" t="s">
        <v>1367</v>
      </c>
      <c r="E2" s="90" t="s">
        <v>1368</v>
      </c>
      <c r="F2" s="46" t="s">
        <v>886</v>
      </c>
      <c r="G2" t="s">
        <v>903</v>
      </c>
      <c r="H2" t="s">
        <v>62</v>
      </c>
      <c r="I2" t="s">
        <v>904</v>
      </c>
      <c r="J2" t="s">
        <v>905</v>
      </c>
      <c r="K2" t="s">
        <v>1582</v>
      </c>
      <c r="L2" t="s">
        <v>61</v>
      </c>
      <c r="M2" t="s">
        <v>871</v>
      </c>
      <c r="N2" t="s">
        <v>1591</v>
      </c>
      <c r="O2" t="s">
        <v>1592</v>
      </c>
    </row>
    <row r="3" spans="1:16" x14ac:dyDescent="0.3">
      <c r="A3" s="43">
        <f>IF(COUNTIF(FUNDS[FundCode],DEPTS[[#This Row],[FundCode]])&gt;0,0,1)</f>
        <v>0</v>
      </c>
      <c r="B3" s="43">
        <f>IF(COUNTIF(ACTIVITIES[ActivityCode],DEPTS[[#This Row],[ActivityCode]])&gt;0,0,1)</f>
        <v>0</v>
      </c>
      <c r="C3" s="43">
        <f>IF(COUNTIF(LEDGER[LedgerCode],DEPTS[[#This Row],[LedgerCode]])&gt;0,0,1)</f>
        <v>0</v>
      </c>
      <c r="D3" s="43">
        <f>IF(LEN(DEPTS[[#This Row],[DepartmentCode]])&lt;100,0,1)</f>
        <v>0</v>
      </c>
      <c r="E3" s="43">
        <f>IF(LEN(DEPTS[[#This Row],[Title]])&lt;100,0,1)</f>
        <v>0</v>
      </c>
      <c r="F3" s="43">
        <f>SUM(DEPTS[[#This Row],[FundIssue]:[Title length check]])</f>
        <v>0</v>
      </c>
      <c r="G3" t="s">
        <v>2080</v>
      </c>
      <c r="H3" t="s">
        <v>2081</v>
      </c>
      <c r="I3" t="b">
        <v>0</v>
      </c>
      <c r="J3" t="s">
        <v>51</v>
      </c>
      <c r="K3" t="s">
        <v>1963</v>
      </c>
      <c r="L3" t="s">
        <v>1764</v>
      </c>
      <c r="M3" t="s">
        <v>1966</v>
      </c>
      <c r="O3" t="b">
        <v>1</v>
      </c>
    </row>
    <row r="4" spans="1:16" x14ac:dyDescent="0.3">
      <c r="A4" s="43">
        <f>IF(COUNTIF(FUNDS[FundCode],DEPTS[[#This Row],[FundCode]])&gt;0,0,1)</f>
        <v>0</v>
      </c>
      <c r="B4" s="43">
        <f>IF(COUNTIF(ACTIVITIES[ActivityCode],DEPTS[[#This Row],[ActivityCode]])&gt;0,0,1)</f>
        <v>0</v>
      </c>
      <c r="C4" s="43">
        <f>IF(COUNTIF(LEDGER[LedgerCode],DEPTS[[#This Row],[LedgerCode]])&gt;0,0,1)</f>
        <v>0</v>
      </c>
      <c r="D4" s="43">
        <f>IF(LEN(DEPTS[[#This Row],[DepartmentCode]])&lt;100,0,1)</f>
        <v>0</v>
      </c>
      <c r="E4" s="43">
        <f>IF(LEN(DEPTS[[#This Row],[Title]])&lt;100,0,1)</f>
        <v>0</v>
      </c>
      <c r="F4" s="43">
        <f>SUM(DEPTS[[#This Row],[FundIssue]:[Title length check]])</f>
        <v>0</v>
      </c>
      <c r="G4" t="s">
        <v>2080</v>
      </c>
      <c r="H4" t="s">
        <v>2081</v>
      </c>
      <c r="I4" t="b">
        <v>0</v>
      </c>
      <c r="J4" t="s">
        <v>2082</v>
      </c>
      <c r="K4" t="s">
        <v>1963</v>
      </c>
      <c r="L4" t="s">
        <v>1764</v>
      </c>
      <c r="M4" t="s">
        <v>1532</v>
      </c>
      <c r="O4" t="b">
        <v>1</v>
      </c>
    </row>
    <row r="5" spans="1:16" x14ac:dyDescent="0.3">
      <c r="A5" s="43">
        <f>IF(COUNTIF(FUNDS[FundCode],DEPTS[[#This Row],[FundCode]])&gt;0,0,1)</f>
        <v>0</v>
      </c>
      <c r="B5" s="43">
        <f>IF(COUNTIF(ACTIVITIES[ActivityCode],DEPTS[[#This Row],[ActivityCode]])&gt;0,0,1)</f>
        <v>0</v>
      </c>
      <c r="C5" s="43">
        <f>IF(COUNTIF(LEDGER[LedgerCode],DEPTS[[#This Row],[LedgerCode]])&gt;0,0,1)</f>
        <v>0</v>
      </c>
      <c r="D5" s="43">
        <f>IF(LEN(DEPTS[[#This Row],[DepartmentCode]])&lt;100,0,1)</f>
        <v>0</v>
      </c>
      <c r="E5" s="43">
        <f>IF(LEN(DEPTS[[#This Row],[Title]])&lt;100,0,1)</f>
        <v>0</v>
      </c>
      <c r="F5" s="43">
        <f>SUM(DEPTS[[#This Row],[FundIssue]:[Title length check]])</f>
        <v>0</v>
      </c>
      <c r="G5" t="s">
        <v>1931</v>
      </c>
      <c r="H5" t="s">
        <v>1932</v>
      </c>
      <c r="I5" t="b">
        <v>0</v>
      </c>
      <c r="J5" t="s">
        <v>51</v>
      </c>
      <c r="K5" t="s">
        <v>1951</v>
      </c>
      <c r="L5" t="s">
        <v>1931</v>
      </c>
      <c r="M5" t="s">
        <v>1966</v>
      </c>
      <c r="O5" t="b">
        <v>1</v>
      </c>
    </row>
    <row r="6" spans="1:16" x14ac:dyDescent="0.3">
      <c r="A6" s="43">
        <f>IF(COUNTIF(FUNDS[FundCode],DEPTS[[#This Row],[FundCode]])&gt;0,0,1)</f>
        <v>0</v>
      </c>
      <c r="B6" s="43">
        <f>IF(COUNTIF(ACTIVITIES[ActivityCode],DEPTS[[#This Row],[ActivityCode]])&gt;0,0,1)</f>
        <v>0</v>
      </c>
      <c r="C6" s="43">
        <f>IF(COUNTIF(LEDGER[LedgerCode],DEPTS[[#This Row],[LedgerCode]])&gt;0,0,1)</f>
        <v>0</v>
      </c>
      <c r="D6" s="43">
        <f>IF(LEN(DEPTS[[#This Row],[DepartmentCode]])&lt;100,0,1)</f>
        <v>0</v>
      </c>
      <c r="E6" s="43">
        <f>IF(LEN(DEPTS[[#This Row],[Title]])&lt;100,0,1)</f>
        <v>0</v>
      </c>
      <c r="F6" s="43">
        <f>SUM(DEPTS[[#This Row],[FundIssue]:[Title length check]])</f>
        <v>0</v>
      </c>
      <c r="G6" t="s">
        <v>1931</v>
      </c>
      <c r="H6" t="s">
        <v>1932</v>
      </c>
      <c r="I6" t="b">
        <v>0</v>
      </c>
      <c r="J6" t="s">
        <v>2082</v>
      </c>
      <c r="K6" t="s">
        <v>1951</v>
      </c>
      <c r="L6" t="s">
        <v>1931</v>
      </c>
      <c r="M6" t="s">
        <v>1532</v>
      </c>
      <c r="O6" t="b">
        <v>1</v>
      </c>
    </row>
    <row r="7" spans="1:16" x14ac:dyDescent="0.3">
      <c r="A7" s="43">
        <f>IF(COUNTIF(FUNDS[FundCode],DEPTS[[#This Row],[FundCode]])&gt;0,0,1)</f>
        <v>0</v>
      </c>
      <c r="B7" s="43">
        <f>IF(COUNTIF(ACTIVITIES[ActivityCode],DEPTS[[#This Row],[ActivityCode]])&gt;0,0,1)</f>
        <v>0</v>
      </c>
      <c r="C7" s="43">
        <f>IF(COUNTIF(LEDGER[LedgerCode],DEPTS[[#This Row],[LedgerCode]])&gt;0,0,1)</f>
        <v>0</v>
      </c>
      <c r="D7" s="43">
        <f>IF(LEN(DEPTS[[#This Row],[DepartmentCode]])&lt;100,0,1)</f>
        <v>0</v>
      </c>
      <c r="E7" s="43">
        <f>IF(LEN(DEPTS[[#This Row],[Title]])&lt;100,0,1)</f>
        <v>0</v>
      </c>
      <c r="F7" s="43">
        <f>SUM(DEPTS[[#This Row],[FundIssue]:[Title length check]])</f>
        <v>0</v>
      </c>
      <c r="G7" t="s">
        <v>2083</v>
      </c>
      <c r="H7" t="s">
        <v>2084</v>
      </c>
      <c r="I7" t="b">
        <v>0</v>
      </c>
      <c r="J7" t="s">
        <v>51</v>
      </c>
      <c r="K7" t="s">
        <v>63</v>
      </c>
      <c r="L7" t="s">
        <v>63</v>
      </c>
      <c r="M7" t="s">
        <v>1966</v>
      </c>
      <c r="O7" t="b">
        <v>1</v>
      </c>
    </row>
    <row r="8" spans="1:16" x14ac:dyDescent="0.3">
      <c r="A8" s="43">
        <f>IF(COUNTIF(FUNDS[FundCode],DEPTS[[#This Row],[FundCode]])&gt;0,0,1)</f>
        <v>0</v>
      </c>
      <c r="B8" s="43">
        <f>IF(COUNTIF(ACTIVITIES[ActivityCode],DEPTS[[#This Row],[ActivityCode]])&gt;0,0,1)</f>
        <v>0</v>
      </c>
      <c r="C8" s="43">
        <f>IF(COUNTIF(LEDGER[LedgerCode],DEPTS[[#This Row],[LedgerCode]])&gt;0,0,1)</f>
        <v>0</v>
      </c>
      <c r="D8" s="43">
        <f>IF(LEN(DEPTS[[#This Row],[DepartmentCode]])&lt;100,0,1)</f>
        <v>0</v>
      </c>
      <c r="E8" s="43">
        <f>IF(LEN(DEPTS[[#This Row],[Title]])&lt;100,0,1)</f>
        <v>0</v>
      </c>
      <c r="F8" s="43">
        <f>SUM(DEPTS[[#This Row],[FundIssue]:[Title length check]])</f>
        <v>0</v>
      </c>
      <c r="G8" t="s">
        <v>2083</v>
      </c>
      <c r="H8" t="s">
        <v>2084</v>
      </c>
      <c r="I8" t="b">
        <v>0</v>
      </c>
      <c r="J8" t="s">
        <v>4326</v>
      </c>
      <c r="K8" t="s">
        <v>63</v>
      </c>
      <c r="L8" t="s">
        <v>63</v>
      </c>
      <c r="M8" t="s">
        <v>1532</v>
      </c>
      <c r="O8" t="b">
        <v>1</v>
      </c>
    </row>
    <row r="9" spans="1:16" x14ac:dyDescent="0.3">
      <c r="A9" s="43">
        <f>IF(COUNTIF(FUNDS[FundCode],DEPTS[[#This Row],[FundCode]])&gt;0,0,1)</f>
        <v>0</v>
      </c>
      <c r="B9" s="43">
        <f>IF(COUNTIF(ACTIVITIES[ActivityCode],DEPTS[[#This Row],[ActivityCode]])&gt;0,0,1)</f>
        <v>0</v>
      </c>
      <c r="C9" s="43">
        <f>IF(COUNTIF(LEDGER[LedgerCode],DEPTS[[#This Row],[LedgerCode]])&gt;0,0,1)</f>
        <v>0</v>
      </c>
      <c r="D9" s="43">
        <f>IF(LEN(DEPTS[[#This Row],[DepartmentCode]])&lt;100,0,1)</f>
        <v>0</v>
      </c>
      <c r="E9" s="43">
        <f>IF(LEN(DEPTS[[#This Row],[Title]])&lt;100,0,1)</f>
        <v>0</v>
      </c>
      <c r="F9" s="43">
        <f>SUM(DEPTS[[#This Row],[FundIssue]:[Title length check]])</f>
        <v>0</v>
      </c>
      <c r="G9" t="s">
        <v>2083</v>
      </c>
      <c r="H9" t="s">
        <v>2084</v>
      </c>
      <c r="I9" t="b">
        <v>0</v>
      </c>
      <c r="J9" t="s">
        <v>4327</v>
      </c>
      <c r="K9" t="s">
        <v>1963</v>
      </c>
      <c r="L9" t="s">
        <v>63</v>
      </c>
      <c r="M9" t="s">
        <v>1532</v>
      </c>
      <c r="O9" t="b">
        <v>1</v>
      </c>
    </row>
    <row r="10" spans="1:16" x14ac:dyDescent="0.3">
      <c r="A10" s="43">
        <f>IF(COUNTIF(FUNDS[FundCode],DEPTS[[#This Row],[FundCode]])&gt;0,0,1)</f>
        <v>0</v>
      </c>
      <c r="B10" s="43">
        <f>IF(COUNTIF(ACTIVITIES[ActivityCode],DEPTS[[#This Row],[ActivityCode]])&gt;0,0,1)</f>
        <v>0</v>
      </c>
      <c r="C10" s="43">
        <f>IF(COUNTIF(LEDGER[LedgerCode],DEPTS[[#This Row],[LedgerCode]])&gt;0,0,1)</f>
        <v>0</v>
      </c>
      <c r="D10" s="43">
        <f>IF(LEN(DEPTS[[#This Row],[DepartmentCode]])&lt;100,0,1)</f>
        <v>0</v>
      </c>
      <c r="E10" s="43">
        <f>IF(LEN(DEPTS[[#This Row],[Title]])&lt;100,0,1)</f>
        <v>0</v>
      </c>
      <c r="F10" s="43">
        <f>SUM(DEPTS[[#This Row],[FundIssue]:[Title length check]])</f>
        <v>0</v>
      </c>
      <c r="G10" t="s">
        <v>2085</v>
      </c>
      <c r="H10" t="s">
        <v>2086</v>
      </c>
      <c r="I10" t="b">
        <v>0</v>
      </c>
      <c r="J10" t="s">
        <v>51</v>
      </c>
      <c r="K10" t="s">
        <v>63</v>
      </c>
      <c r="L10" t="s">
        <v>63</v>
      </c>
      <c r="M10" t="s">
        <v>1966</v>
      </c>
      <c r="O10" t="b">
        <v>1</v>
      </c>
    </row>
    <row r="11" spans="1:16" x14ac:dyDescent="0.3">
      <c r="A11" s="43">
        <f>IF(COUNTIF(FUNDS[FundCode],DEPTS[[#This Row],[FundCode]])&gt;0,0,1)</f>
        <v>0</v>
      </c>
      <c r="B11" s="43">
        <f>IF(COUNTIF(ACTIVITIES[ActivityCode],DEPTS[[#This Row],[ActivityCode]])&gt;0,0,1)</f>
        <v>0</v>
      </c>
      <c r="C11" s="43">
        <f>IF(COUNTIF(LEDGER[LedgerCode],DEPTS[[#This Row],[LedgerCode]])&gt;0,0,1)</f>
        <v>0</v>
      </c>
      <c r="D11" s="43">
        <f>IF(LEN(DEPTS[[#This Row],[DepartmentCode]])&lt;100,0,1)</f>
        <v>0</v>
      </c>
      <c r="E11" s="43">
        <f>IF(LEN(DEPTS[[#This Row],[Title]])&lt;100,0,1)</f>
        <v>0</v>
      </c>
      <c r="F11" s="43">
        <f>SUM(DEPTS[[#This Row],[FundIssue]:[Title length check]])</f>
        <v>0</v>
      </c>
      <c r="G11" t="s">
        <v>2085</v>
      </c>
      <c r="H11" t="s">
        <v>2086</v>
      </c>
      <c r="I11" t="b">
        <v>0</v>
      </c>
      <c r="J11" t="s">
        <v>4328</v>
      </c>
      <c r="K11" t="s">
        <v>63</v>
      </c>
      <c r="L11" t="s">
        <v>63</v>
      </c>
      <c r="M11" t="s">
        <v>1532</v>
      </c>
      <c r="O11" t="b">
        <v>1</v>
      </c>
    </row>
    <row r="12" spans="1:16" x14ac:dyDescent="0.3">
      <c r="A12" s="43">
        <f>IF(COUNTIF(FUNDS[FundCode],DEPTS[[#This Row],[FundCode]])&gt;0,0,1)</f>
        <v>0</v>
      </c>
      <c r="B12" s="43">
        <f>IF(COUNTIF(ACTIVITIES[ActivityCode],DEPTS[[#This Row],[ActivityCode]])&gt;0,0,1)</f>
        <v>0</v>
      </c>
      <c r="C12" s="43">
        <f>IF(COUNTIF(LEDGER[LedgerCode],DEPTS[[#This Row],[LedgerCode]])&gt;0,0,1)</f>
        <v>0</v>
      </c>
      <c r="D12" s="43">
        <f>IF(LEN(DEPTS[[#This Row],[DepartmentCode]])&lt;100,0,1)</f>
        <v>0</v>
      </c>
      <c r="E12" s="43">
        <f>IF(LEN(DEPTS[[#This Row],[Title]])&lt;100,0,1)</f>
        <v>0</v>
      </c>
      <c r="F12" s="43">
        <f>SUM(DEPTS[[#This Row],[FundIssue]:[Title length check]])</f>
        <v>0</v>
      </c>
      <c r="G12" t="s">
        <v>2085</v>
      </c>
      <c r="H12" t="s">
        <v>2086</v>
      </c>
      <c r="I12" t="b">
        <v>0</v>
      </c>
      <c r="J12" t="s">
        <v>2082</v>
      </c>
      <c r="K12" t="s">
        <v>1963</v>
      </c>
      <c r="L12" t="s">
        <v>63</v>
      </c>
      <c r="M12" t="s">
        <v>1532</v>
      </c>
      <c r="O12" t="b">
        <v>1</v>
      </c>
    </row>
    <row r="13" spans="1:16" x14ac:dyDescent="0.3">
      <c r="A13" s="43">
        <f>IF(COUNTIF(FUNDS[FundCode],DEPTS[[#This Row],[FundCode]])&gt;0,0,1)</f>
        <v>0</v>
      </c>
      <c r="B13" s="43">
        <f>IF(COUNTIF(ACTIVITIES[ActivityCode],DEPTS[[#This Row],[ActivityCode]])&gt;0,0,1)</f>
        <v>0</v>
      </c>
      <c r="C13" s="43">
        <f>IF(COUNTIF(LEDGER[LedgerCode],DEPTS[[#This Row],[LedgerCode]])&gt;0,0,1)</f>
        <v>0</v>
      </c>
      <c r="D13" s="43">
        <f>IF(LEN(DEPTS[[#This Row],[DepartmentCode]])&lt;100,0,1)</f>
        <v>0</v>
      </c>
      <c r="E13" s="43">
        <f>IF(LEN(DEPTS[[#This Row],[Title]])&lt;100,0,1)</f>
        <v>0</v>
      </c>
      <c r="F13" s="43">
        <f>SUM(DEPTS[[#This Row],[FundIssue]:[Title length check]])</f>
        <v>0</v>
      </c>
      <c r="G13" t="s">
        <v>2087</v>
      </c>
      <c r="H13" t="s">
        <v>2088</v>
      </c>
      <c r="I13" t="b">
        <v>0</v>
      </c>
      <c r="J13" t="s">
        <v>2089</v>
      </c>
      <c r="K13" t="s">
        <v>63</v>
      </c>
      <c r="L13" t="s">
        <v>63</v>
      </c>
      <c r="M13" t="s">
        <v>1532</v>
      </c>
      <c r="O13" t="b">
        <v>1</v>
      </c>
    </row>
    <row r="14" spans="1:16" x14ac:dyDescent="0.3">
      <c r="A14" s="43">
        <f>IF(COUNTIF(FUNDS[FundCode],DEPTS[[#This Row],[FundCode]])&gt;0,0,1)</f>
        <v>0</v>
      </c>
      <c r="B14" s="43">
        <f>IF(COUNTIF(ACTIVITIES[ActivityCode],DEPTS[[#This Row],[ActivityCode]])&gt;0,0,1)</f>
        <v>0</v>
      </c>
      <c r="C14" s="43">
        <f>IF(COUNTIF(LEDGER[LedgerCode],DEPTS[[#This Row],[LedgerCode]])&gt;0,0,1)</f>
        <v>0</v>
      </c>
      <c r="D14" s="43">
        <f>IF(LEN(DEPTS[[#This Row],[DepartmentCode]])&lt;100,0,1)</f>
        <v>0</v>
      </c>
      <c r="E14" s="43">
        <f>IF(LEN(DEPTS[[#This Row],[Title]])&lt;100,0,1)</f>
        <v>0</v>
      </c>
      <c r="F14" s="43">
        <f>SUM(DEPTS[[#This Row],[FundIssue]:[Title length check]])</f>
        <v>0</v>
      </c>
      <c r="G14" t="s">
        <v>2087</v>
      </c>
      <c r="H14" t="s">
        <v>2088</v>
      </c>
      <c r="I14" t="b">
        <v>0</v>
      </c>
      <c r="J14" t="s">
        <v>4329</v>
      </c>
      <c r="K14" t="s">
        <v>1963</v>
      </c>
      <c r="L14" t="s">
        <v>63</v>
      </c>
      <c r="M14" t="s">
        <v>1532</v>
      </c>
      <c r="O14" t="b">
        <v>1</v>
      </c>
    </row>
    <row r="15" spans="1:16" x14ac:dyDescent="0.3">
      <c r="A15" s="43">
        <f>IF(COUNTIF(FUNDS[FundCode],DEPTS[[#This Row],[FundCode]])&gt;0,0,1)</f>
        <v>0</v>
      </c>
      <c r="B15" s="43">
        <f>IF(COUNTIF(ACTIVITIES[ActivityCode],DEPTS[[#This Row],[ActivityCode]])&gt;0,0,1)</f>
        <v>0</v>
      </c>
      <c r="C15" s="43">
        <f>IF(COUNTIF(LEDGER[LedgerCode],DEPTS[[#This Row],[LedgerCode]])&gt;0,0,1)</f>
        <v>0</v>
      </c>
      <c r="D15" s="43">
        <f>IF(LEN(DEPTS[[#This Row],[DepartmentCode]])&lt;100,0,1)</f>
        <v>0</v>
      </c>
      <c r="E15" s="43">
        <f>IF(LEN(DEPTS[[#This Row],[Title]])&lt;100,0,1)</f>
        <v>0</v>
      </c>
      <c r="F15" s="43">
        <f>SUM(DEPTS[[#This Row],[FundIssue]:[Title length check]])</f>
        <v>0</v>
      </c>
      <c r="G15" t="s">
        <v>2090</v>
      </c>
      <c r="H15" t="s">
        <v>2091</v>
      </c>
      <c r="I15" t="b">
        <v>0</v>
      </c>
      <c r="J15" t="s">
        <v>51</v>
      </c>
      <c r="K15" t="s">
        <v>63</v>
      </c>
      <c r="L15" t="s">
        <v>1936</v>
      </c>
      <c r="M15" t="s">
        <v>1966</v>
      </c>
      <c r="O15" t="b">
        <v>1</v>
      </c>
    </row>
    <row r="16" spans="1:16" x14ac:dyDescent="0.3">
      <c r="A16" s="43">
        <f>IF(COUNTIF(FUNDS[FundCode],DEPTS[[#This Row],[FundCode]])&gt;0,0,1)</f>
        <v>0</v>
      </c>
      <c r="B16" s="43">
        <f>IF(COUNTIF(ACTIVITIES[ActivityCode],DEPTS[[#This Row],[ActivityCode]])&gt;0,0,1)</f>
        <v>0</v>
      </c>
      <c r="C16" s="43">
        <f>IF(COUNTIF(LEDGER[LedgerCode],DEPTS[[#This Row],[LedgerCode]])&gt;0,0,1)</f>
        <v>0</v>
      </c>
      <c r="D16" s="43">
        <f>IF(LEN(DEPTS[[#This Row],[DepartmentCode]])&lt;100,0,1)</f>
        <v>0</v>
      </c>
      <c r="E16" s="43">
        <f>IF(LEN(DEPTS[[#This Row],[Title]])&lt;100,0,1)</f>
        <v>0</v>
      </c>
      <c r="F16" s="43">
        <f>SUM(DEPTS[[#This Row],[FundIssue]:[Title length check]])</f>
        <v>0</v>
      </c>
      <c r="G16" t="s">
        <v>2090</v>
      </c>
      <c r="H16" t="s">
        <v>2091</v>
      </c>
      <c r="I16" t="b">
        <v>0</v>
      </c>
      <c r="J16" t="s">
        <v>4330</v>
      </c>
      <c r="K16" t="s">
        <v>63</v>
      </c>
      <c r="L16" t="s">
        <v>1936</v>
      </c>
      <c r="M16" t="s">
        <v>1532</v>
      </c>
      <c r="O16" t="b">
        <v>1</v>
      </c>
    </row>
    <row r="17" spans="1:15" x14ac:dyDescent="0.3">
      <c r="A17" s="43">
        <f>IF(COUNTIF(FUNDS[FundCode],DEPTS[[#This Row],[FundCode]])&gt;0,0,1)</f>
        <v>0</v>
      </c>
      <c r="B17" s="43">
        <f>IF(COUNTIF(ACTIVITIES[ActivityCode],DEPTS[[#This Row],[ActivityCode]])&gt;0,0,1)</f>
        <v>0</v>
      </c>
      <c r="C17" s="43">
        <f>IF(COUNTIF(LEDGER[LedgerCode],DEPTS[[#This Row],[LedgerCode]])&gt;0,0,1)</f>
        <v>0</v>
      </c>
      <c r="D17" s="43">
        <f>IF(LEN(DEPTS[[#This Row],[DepartmentCode]])&lt;100,0,1)</f>
        <v>0</v>
      </c>
      <c r="E17" s="43">
        <f>IF(LEN(DEPTS[[#This Row],[Title]])&lt;100,0,1)</f>
        <v>0</v>
      </c>
      <c r="F17" s="43">
        <f>SUM(DEPTS[[#This Row],[FundIssue]:[Title length check]])</f>
        <v>0</v>
      </c>
      <c r="G17" t="s">
        <v>2092</v>
      </c>
      <c r="H17" t="s">
        <v>2093</v>
      </c>
      <c r="I17" t="b">
        <v>0</v>
      </c>
      <c r="J17" t="s">
        <v>51</v>
      </c>
      <c r="K17" t="s">
        <v>63</v>
      </c>
      <c r="L17" t="s">
        <v>63</v>
      </c>
      <c r="M17" t="s">
        <v>1966</v>
      </c>
      <c r="O17" t="b">
        <v>1</v>
      </c>
    </row>
    <row r="18" spans="1:15" x14ac:dyDescent="0.3">
      <c r="A18" s="43">
        <f>IF(COUNTIF(FUNDS[FundCode],DEPTS[[#This Row],[FundCode]])&gt;0,0,1)</f>
        <v>0</v>
      </c>
      <c r="B18" s="43">
        <f>IF(COUNTIF(ACTIVITIES[ActivityCode],DEPTS[[#This Row],[ActivityCode]])&gt;0,0,1)</f>
        <v>0</v>
      </c>
      <c r="C18" s="43">
        <f>IF(COUNTIF(LEDGER[LedgerCode],DEPTS[[#This Row],[LedgerCode]])&gt;0,0,1)</f>
        <v>0</v>
      </c>
      <c r="D18" s="43">
        <f>IF(LEN(DEPTS[[#This Row],[DepartmentCode]])&lt;100,0,1)</f>
        <v>0</v>
      </c>
      <c r="E18" s="43">
        <f>IF(LEN(DEPTS[[#This Row],[Title]])&lt;100,0,1)</f>
        <v>0</v>
      </c>
      <c r="F18" s="43">
        <f>SUM(DEPTS[[#This Row],[FundIssue]:[Title length check]])</f>
        <v>0</v>
      </c>
      <c r="G18" t="s">
        <v>2092</v>
      </c>
      <c r="H18" t="s">
        <v>2093</v>
      </c>
      <c r="I18" t="b">
        <v>0</v>
      </c>
      <c r="J18" t="s">
        <v>2094</v>
      </c>
      <c r="K18" t="s">
        <v>63</v>
      </c>
      <c r="L18" t="s">
        <v>63</v>
      </c>
      <c r="M18" t="s">
        <v>1532</v>
      </c>
      <c r="O18" t="b">
        <v>1</v>
      </c>
    </row>
    <row r="19" spans="1:15" x14ac:dyDescent="0.3">
      <c r="A19" s="43">
        <f>IF(COUNTIF(FUNDS[FundCode],DEPTS[[#This Row],[FundCode]])&gt;0,0,1)</f>
        <v>0</v>
      </c>
      <c r="B19" s="43">
        <f>IF(COUNTIF(ACTIVITIES[ActivityCode],DEPTS[[#This Row],[ActivityCode]])&gt;0,0,1)</f>
        <v>0</v>
      </c>
      <c r="C19" s="43">
        <f>IF(COUNTIF(LEDGER[LedgerCode],DEPTS[[#This Row],[LedgerCode]])&gt;0,0,1)</f>
        <v>0</v>
      </c>
      <c r="D19" s="43">
        <f>IF(LEN(DEPTS[[#This Row],[DepartmentCode]])&lt;100,0,1)</f>
        <v>0</v>
      </c>
      <c r="E19" s="43">
        <f>IF(LEN(DEPTS[[#This Row],[Title]])&lt;100,0,1)</f>
        <v>0</v>
      </c>
      <c r="F19" s="43">
        <f>SUM(DEPTS[[#This Row],[FundIssue]:[Title length check]])</f>
        <v>0</v>
      </c>
      <c r="G19" t="s">
        <v>2092</v>
      </c>
      <c r="H19" t="s">
        <v>2093</v>
      </c>
      <c r="I19" t="b">
        <v>0</v>
      </c>
      <c r="J19" t="s">
        <v>2082</v>
      </c>
      <c r="K19" t="s">
        <v>1963</v>
      </c>
      <c r="L19" t="s">
        <v>63</v>
      </c>
      <c r="M19" t="s">
        <v>1532</v>
      </c>
      <c r="O19" t="b">
        <v>1</v>
      </c>
    </row>
    <row r="20" spans="1:15" x14ac:dyDescent="0.3">
      <c r="A20" s="43">
        <f>IF(COUNTIF(FUNDS[FundCode],DEPTS[[#This Row],[FundCode]])&gt;0,0,1)</f>
        <v>0</v>
      </c>
      <c r="B20" s="43">
        <f>IF(COUNTIF(ACTIVITIES[ActivityCode],DEPTS[[#This Row],[ActivityCode]])&gt;0,0,1)</f>
        <v>0</v>
      </c>
      <c r="C20" s="43">
        <f>IF(COUNTIF(LEDGER[LedgerCode],DEPTS[[#This Row],[LedgerCode]])&gt;0,0,1)</f>
        <v>0</v>
      </c>
      <c r="D20" s="43">
        <f>IF(LEN(DEPTS[[#This Row],[DepartmentCode]])&lt;100,0,1)</f>
        <v>0</v>
      </c>
      <c r="E20" s="43">
        <f>IF(LEN(DEPTS[[#This Row],[Title]])&lt;100,0,1)</f>
        <v>0</v>
      </c>
      <c r="F20" s="43">
        <f>SUM(DEPTS[[#This Row],[FundIssue]:[Title length check]])</f>
        <v>0</v>
      </c>
      <c r="G20" t="s">
        <v>2095</v>
      </c>
      <c r="H20" t="s">
        <v>2096</v>
      </c>
      <c r="I20" t="b">
        <v>0</v>
      </c>
      <c r="J20" t="s">
        <v>2094</v>
      </c>
      <c r="K20" t="s">
        <v>63</v>
      </c>
      <c r="L20" t="s">
        <v>63</v>
      </c>
      <c r="M20" t="s">
        <v>1532</v>
      </c>
      <c r="O20" t="b">
        <v>1</v>
      </c>
    </row>
    <row r="21" spans="1:15" x14ac:dyDescent="0.3">
      <c r="A21" s="43">
        <f>IF(COUNTIF(FUNDS[FundCode],DEPTS[[#This Row],[FundCode]])&gt;0,0,1)</f>
        <v>0</v>
      </c>
      <c r="B21" s="43">
        <f>IF(COUNTIF(ACTIVITIES[ActivityCode],DEPTS[[#This Row],[ActivityCode]])&gt;0,0,1)</f>
        <v>0</v>
      </c>
      <c r="C21" s="43">
        <f>IF(COUNTIF(LEDGER[LedgerCode],DEPTS[[#This Row],[LedgerCode]])&gt;0,0,1)</f>
        <v>0</v>
      </c>
      <c r="D21" s="43">
        <f>IF(LEN(DEPTS[[#This Row],[DepartmentCode]])&lt;100,0,1)</f>
        <v>0</v>
      </c>
      <c r="E21" s="43">
        <f>IF(LEN(DEPTS[[#This Row],[Title]])&lt;100,0,1)</f>
        <v>0</v>
      </c>
      <c r="F21" s="43">
        <f>SUM(DEPTS[[#This Row],[FundIssue]:[Title length check]])</f>
        <v>0</v>
      </c>
      <c r="G21" t="s">
        <v>2097</v>
      </c>
      <c r="H21" t="s">
        <v>2098</v>
      </c>
      <c r="I21" t="b">
        <v>0</v>
      </c>
      <c r="J21" t="s">
        <v>2094</v>
      </c>
      <c r="K21" t="s">
        <v>1963</v>
      </c>
      <c r="L21" t="s">
        <v>1947</v>
      </c>
      <c r="M21" t="s">
        <v>1965</v>
      </c>
      <c r="O21" t="b">
        <v>1</v>
      </c>
    </row>
    <row r="22" spans="1:15" x14ac:dyDescent="0.3">
      <c r="A22" s="43">
        <f>IF(COUNTIF(FUNDS[FundCode],DEPTS[[#This Row],[FundCode]])&gt;0,0,1)</f>
        <v>0</v>
      </c>
      <c r="B22" s="43">
        <f>IF(COUNTIF(ACTIVITIES[ActivityCode],DEPTS[[#This Row],[ActivityCode]])&gt;0,0,1)</f>
        <v>0</v>
      </c>
      <c r="C22" s="43">
        <f>IF(COUNTIF(LEDGER[LedgerCode],DEPTS[[#This Row],[LedgerCode]])&gt;0,0,1)</f>
        <v>0</v>
      </c>
      <c r="D22" s="43">
        <f>IF(LEN(DEPTS[[#This Row],[DepartmentCode]])&lt;100,0,1)</f>
        <v>0</v>
      </c>
      <c r="E22" s="43">
        <f>IF(LEN(DEPTS[[#This Row],[Title]])&lt;100,0,1)</f>
        <v>0</v>
      </c>
      <c r="F22" s="43">
        <f>SUM(DEPTS[[#This Row],[FundIssue]:[Title length check]])</f>
        <v>0</v>
      </c>
      <c r="G22" t="s">
        <v>2099</v>
      </c>
      <c r="H22" t="s">
        <v>2100</v>
      </c>
      <c r="I22" t="b">
        <v>0</v>
      </c>
      <c r="J22" t="s">
        <v>2094</v>
      </c>
      <c r="K22" t="s">
        <v>1963</v>
      </c>
      <c r="L22" t="s">
        <v>1947</v>
      </c>
      <c r="M22" t="s">
        <v>1965</v>
      </c>
      <c r="O22" t="b">
        <v>1</v>
      </c>
    </row>
    <row r="23" spans="1:15" x14ac:dyDescent="0.3">
      <c r="A23" s="43">
        <f>IF(COUNTIF(FUNDS[FundCode],DEPTS[[#This Row],[FundCode]])&gt;0,0,1)</f>
        <v>0</v>
      </c>
      <c r="B23" s="43">
        <f>IF(COUNTIF(ACTIVITIES[ActivityCode],DEPTS[[#This Row],[ActivityCode]])&gt;0,0,1)</f>
        <v>0</v>
      </c>
      <c r="C23" s="43">
        <f>IF(COUNTIF(LEDGER[LedgerCode],DEPTS[[#This Row],[LedgerCode]])&gt;0,0,1)</f>
        <v>0</v>
      </c>
      <c r="D23" s="43">
        <f>IF(LEN(DEPTS[[#This Row],[DepartmentCode]])&lt;100,0,1)</f>
        <v>0</v>
      </c>
      <c r="E23" s="43">
        <f>IF(LEN(DEPTS[[#This Row],[Title]])&lt;100,0,1)</f>
        <v>0</v>
      </c>
      <c r="F23" s="43">
        <f>SUM(DEPTS[[#This Row],[FundIssue]:[Title length check]])</f>
        <v>0</v>
      </c>
      <c r="G23" t="s">
        <v>2101</v>
      </c>
      <c r="H23" t="s">
        <v>2102</v>
      </c>
      <c r="I23" t="b">
        <v>0</v>
      </c>
      <c r="J23" t="s">
        <v>2094</v>
      </c>
      <c r="K23" t="s">
        <v>1963</v>
      </c>
      <c r="L23" t="s">
        <v>1947</v>
      </c>
      <c r="M23" t="s">
        <v>1965</v>
      </c>
      <c r="O23" t="b">
        <v>1</v>
      </c>
    </row>
    <row r="24" spans="1:15" x14ac:dyDescent="0.3">
      <c r="A24" s="43">
        <f>IF(COUNTIF(FUNDS[FundCode],DEPTS[[#This Row],[FundCode]])&gt;0,0,1)</f>
        <v>0</v>
      </c>
      <c r="B24" s="43">
        <f>IF(COUNTIF(ACTIVITIES[ActivityCode],DEPTS[[#This Row],[ActivityCode]])&gt;0,0,1)</f>
        <v>0</v>
      </c>
      <c r="C24" s="43">
        <f>IF(COUNTIF(LEDGER[LedgerCode],DEPTS[[#This Row],[LedgerCode]])&gt;0,0,1)</f>
        <v>0</v>
      </c>
      <c r="D24" s="43">
        <f>IF(LEN(DEPTS[[#This Row],[DepartmentCode]])&lt;100,0,1)</f>
        <v>0</v>
      </c>
      <c r="E24" s="43">
        <f>IF(LEN(DEPTS[[#This Row],[Title]])&lt;100,0,1)</f>
        <v>0</v>
      </c>
      <c r="F24" s="43">
        <f>SUM(DEPTS[[#This Row],[FundIssue]:[Title length check]])</f>
        <v>0</v>
      </c>
      <c r="G24" t="s">
        <v>2103</v>
      </c>
      <c r="H24" t="s">
        <v>2104</v>
      </c>
      <c r="I24" t="b">
        <v>0</v>
      </c>
      <c r="J24" t="s">
        <v>2094</v>
      </c>
      <c r="K24" t="s">
        <v>1963</v>
      </c>
      <c r="L24" t="s">
        <v>1947</v>
      </c>
      <c r="M24" t="s">
        <v>1965</v>
      </c>
      <c r="O24" t="b">
        <v>1</v>
      </c>
    </row>
    <row r="25" spans="1:15" x14ac:dyDescent="0.3">
      <c r="A25" s="43">
        <f>IF(COUNTIF(FUNDS[FundCode],DEPTS[[#This Row],[FundCode]])&gt;0,0,1)</f>
        <v>0</v>
      </c>
      <c r="B25" s="43">
        <f>IF(COUNTIF(ACTIVITIES[ActivityCode],DEPTS[[#This Row],[ActivityCode]])&gt;0,0,1)</f>
        <v>0</v>
      </c>
      <c r="C25" s="43">
        <f>IF(COUNTIF(LEDGER[LedgerCode],DEPTS[[#This Row],[LedgerCode]])&gt;0,0,1)</f>
        <v>0</v>
      </c>
      <c r="D25" s="43">
        <f>IF(LEN(DEPTS[[#This Row],[DepartmentCode]])&lt;100,0,1)</f>
        <v>0</v>
      </c>
      <c r="E25" s="43">
        <f>IF(LEN(DEPTS[[#This Row],[Title]])&lt;100,0,1)</f>
        <v>0</v>
      </c>
      <c r="F25" s="43">
        <f>SUM(DEPTS[[#This Row],[FundIssue]:[Title length check]])</f>
        <v>0</v>
      </c>
      <c r="G25" t="s">
        <v>2105</v>
      </c>
      <c r="H25" t="s">
        <v>2106</v>
      </c>
      <c r="I25" t="b">
        <v>0</v>
      </c>
      <c r="J25" t="s">
        <v>2094</v>
      </c>
      <c r="K25" t="s">
        <v>1963</v>
      </c>
      <c r="L25" t="s">
        <v>1947</v>
      </c>
      <c r="M25" t="s">
        <v>1965</v>
      </c>
      <c r="O25" t="b">
        <v>1</v>
      </c>
    </row>
    <row r="26" spans="1:15" x14ac:dyDescent="0.3">
      <c r="A26" s="43">
        <f>IF(COUNTIF(FUNDS[FundCode],DEPTS[[#This Row],[FundCode]])&gt;0,0,1)</f>
        <v>0</v>
      </c>
      <c r="B26" s="43">
        <f>IF(COUNTIF(ACTIVITIES[ActivityCode],DEPTS[[#This Row],[ActivityCode]])&gt;0,0,1)</f>
        <v>0</v>
      </c>
      <c r="C26" s="43">
        <f>IF(COUNTIF(LEDGER[LedgerCode],DEPTS[[#This Row],[LedgerCode]])&gt;0,0,1)</f>
        <v>0</v>
      </c>
      <c r="D26" s="43">
        <f>IF(LEN(DEPTS[[#This Row],[DepartmentCode]])&lt;100,0,1)</f>
        <v>0</v>
      </c>
      <c r="E26" s="43">
        <f>IF(LEN(DEPTS[[#This Row],[Title]])&lt;100,0,1)</f>
        <v>0</v>
      </c>
      <c r="F26" s="43">
        <f>SUM(DEPTS[[#This Row],[FundIssue]:[Title length check]])</f>
        <v>0</v>
      </c>
      <c r="G26" t="s">
        <v>2107</v>
      </c>
      <c r="H26" t="s">
        <v>2108</v>
      </c>
      <c r="I26" t="b">
        <v>0</v>
      </c>
      <c r="J26" t="s">
        <v>2094</v>
      </c>
      <c r="K26" t="s">
        <v>1963</v>
      </c>
      <c r="L26" t="s">
        <v>1947</v>
      </c>
      <c r="M26" t="s">
        <v>1965</v>
      </c>
      <c r="O26" t="b">
        <v>1</v>
      </c>
    </row>
    <row r="27" spans="1:15" x14ac:dyDescent="0.3">
      <c r="A27" s="43">
        <f>IF(COUNTIF(FUNDS[FundCode],DEPTS[[#This Row],[FundCode]])&gt;0,0,1)</f>
        <v>0</v>
      </c>
      <c r="B27" s="43">
        <f>IF(COUNTIF(ACTIVITIES[ActivityCode],DEPTS[[#This Row],[ActivityCode]])&gt;0,0,1)</f>
        <v>0</v>
      </c>
      <c r="C27" s="43">
        <f>IF(COUNTIF(LEDGER[LedgerCode],DEPTS[[#This Row],[LedgerCode]])&gt;0,0,1)</f>
        <v>0</v>
      </c>
      <c r="D27" s="43">
        <f>IF(LEN(DEPTS[[#This Row],[DepartmentCode]])&lt;100,0,1)</f>
        <v>0</v>
      </c>
      <c r="E27" s="43">
        <f>IF(LEN(DEPTS[[#This Row],[Title]])&lt;100,0,1)</f>
        <v>0</v>
      </c>
      <c r="F27" s="43">
        <f>SUM(DEPTS[[#This Row],[FundIssue]:[Title length check]])</f>
        <v>0</v>
      </c>
      <c r="G27" t="s">
        <v>1965</v>
      </c>
      <c r="H27" t="s">
        <v>2109</v>
      </c>
      <c r="I27" t="b">
        <v>0</v>
      </c>
      <c r="J27" t="s">
        <v>2094</v>
      </c>
      <c r="K27" t="s">
        <v>1963</v>
      </c>
      <c r="L27" t="s">
        <v>1947</v>
      </c>
      <c r="M27" t="s">
        <v>1965</v>
      </c>
      <c r="O27" t="b">
        <v>1</v>
      </c>
    </row>
    <row r="28" spans="1:15" x14ac:dyDescent="0.3">
      <c r="A28" s="43">
        <f>IF(COUNTIF(FUNDS[FundCode],DEPTS[[#This Row],[FundCode]])&gt;0,0,1)</f>
        <v>0</v>
      </c>
      <c r="B28" s="43">
        <f>IF(COUNTIF(ACTIVITIES[ActivityCode],DEPTS[[#This Row],[ActivityCode]])&gt;0,0,1)</f>
        <v>0</v>
      </c>
      <c r="C28" s="43">
        <f>IF(COUNTIF(LEDGER[LedgerCode],DEPTS[[#This Row],[LedgerCode]])&gt;0,0,1)</f>
        <v>0</v>
      </c>
      <c r="D28" s="43">
        <f>IF(LEN(DEPTS[[#This Row],[DepartmentCode]])&lt;100,0,1)</f>
        <v>0</v>
      </c>
      <c r="E28" s="43">
        <f>IF(LEN(DEPTS[[#This Row],[Title]])&lt;100,0,1)</f>
        <v>0</v>
      </c>
      <c r="F28" s="43">
        <f>SUM(DEPTS[[#This Row],[FundIssue]:[Title length check]])</f>
        <v>0</v>
      </c>
      <c r="G28" t="s">
        <v>2110</v>
      </c>
      <c r="H28" t="s">
        <v>2111</v>
      </c>
      <c r="I28" t="b">
        <v>0</v>
      </c>
      <c r="J28" t="s">
        <v>51</v>
      </c>
      <c r="K28" t="s">
        <v>63</v>
      </c>
      <c r="L28" t="s">
        <v>63</v>
      </c>
      <c r="M28" t="s">
        <v>1966</v>
      </c>
      <c r="O28" t="b">
        <v>1</v>
      </c>
    </row>
    <row r="29" spans="1:15" x14ac:dyDescent="0.3">
      <c r="A29" s="43">
        <f>IF(COUNTIF(FUNDS[FundCode],DEPTS[[#This Row],[FundCode]])&gt;0,0,1)</f>
        <v>0</v>
      </c>
      <c r="B29" s="43">
        <f>IF(COUNTIF(ACTIVITIES[ActivityCode],DEPTS[[#This Row],[ActivityCode]])&gt;0,0,1)</f>
        <v>0</v>
      </c>
      <c r="C29" s="43">
        <f>IF(COUNTIF(LEDGER[LedgerCode],DEPTS[[#This Row],[LedgerCode]])&gt;0,0,1)</f>
        <v>0</v>
      </c>
      <c r="D29" s="43">
        <f>IF(LEN(DEPTS[[#This Row],[DepartmentCode]])&lt;100,0,1)</f>
        <v>0</v>
      </c>
      <c r="E29" s="43">
        <f>IF(LEN(DEPTS[[#This Row],[Title]])&lt;100,0,1)</f>
        <v>0</v>
      </c>
      <c r="F29" s="43">
        <f>SUM(DEPTS[[#This Row],[FundIssue]:[Title length check]])</f>
        <v>0</v>
      </c>
      <c r="G29" t="s">
        <v>2110</v>
      </c>
      <c r="H29" t="s">
        <v>2111</v>
      </c>
      <c r="I29" t="b">
        <v>0</v>
      </c>
      <c r="J29" t="s">
        <v>4155</v>
      </c>
      <c r="K29" t="s">
        <v>63</v>
      </c>
      <c r="L29" t="s">
        <v>63</v>
      </c>
      <c r="M29" t="s">
        <v>1532</v>
      </c>
      <c r="O29" t="b">
        <v>1</v>
      </c>
    </row>
    <row r="30" spans="1:15" x14ac:dyDescent="0.3">
      <c r="A30" s="43">
        <f>IF(COUNTIF(FUNDS[FundCode],DEPTS[[#This Row],[FundCode]])&gt;0,0,1)</f>
        <v>0</v>
      </c>
      <c r="B30" s="43">
        <f>IF(COUNTIF(ACTIVITIES[ActivityCode],DEPTS[[#This Row],[ActivityCode]])&gt;0,0,1)</f>
        <v>0</v>
      </c>
      <c r="C30" s="43">
        <f>IF(COUNTIF(LEDGER[LedgerCode],DEPTS[[#This Row],[LedgerCode]])&gt;0,0,1)</f>
        <v>0</v>
      </c>
      <c r="D30" s="43">
        <f>IF(LEN(DEPTS[[#This Row],[DepartmentCode]])&lt;100,0,1)</f>
        <v>0</v>
      </c>
      <c r="E30" s="43">
        <f>IF(LEN(DEPTS[[#This Row],[Title]])&lt;100,0,1)</f>
        <v>0</v>
      </c>
      <c r="F30" s="43">
        <f>SUM(DEPTS[[#This Row],[FundIssue]:[Title length check]])</f>
        <v>0</v>
      </c>
      <c r="G30" t="s">
        <v>2110</v>
      </c>
      <c r="H30" t="s">
        <v>2111</v>
      </c>
      <c r="I30" t="b">
        <v>0</v>
      </c>
      <c r="J30" t="s">
        <v>2082</v>
      </c>
      <c r="K30" t="s">
        <v>1963</v>
      </c>
      <c r="L30" t="s">
        <v>63</v>
      </c>
      <c r="M30" t="s">
        <v>1532</v>
      </c>
      <c r="O30" t="b">
        <v>1</v>
      </c>
    </row>
    <row r="31" spans="1:15" x14ac:dyDescent="0.3">
      <c r="A31" s="43">
        <f>IF(COUNTIF(FUNDS[FundCode],DEPTS[[#This Row],[FundCode]])&gt;0,0,1)</f>
        <v>0</v>
      </c>
      <c r="B31" s="43">
        <f>IF(COUNTIF(ACTIVITIES[ActivityCode],DEPTS[[#This Row],[ActivityCode]])&gt;0,0,1)</f>
        <v>0</v>
      </c>
      <c r="C31" s="43">
        <f>IF(COUNTIF(LEDGER[LedgerCode],DEPTS[[#This Row],[LedgerCode]])&gt;0,0,1)</f>
        <v>0</v>
      </c>
      <c r="D31" s="43">
        <f>IF(LEN(DEPTS[[#This Row],[DepartmentCode]])&lt;100,0,1)</f>
        <v>0</v>
      </c>
      <c r="E31" s="43">
        <f>IF(LEN(DEPTS[[#This Row],[Title]])&lt;100,0,1)</f>
        <v>0</v>
      </c>
      <c r="F31" s="43">
        <f>SUM(DEPTS[[#This Row],[FundIssue]:[Title length check]])</f>
        <v>0</v>
      </c>
      <c r="G31" t="s">
        <v>2112</v>
      </c>
      <c r="H31" t="s">
        <v>2113</v>
      </c>
      <c r="I31" t="b">
        <v>0</v>
      </c>
      <c r="J31" t="s">
        <v>51</v>
      </c>
      <c r="K31" t="s">
        <v>63</v>
      </c>
      <c r="L31" t="s">
        <v>63</v>
      </c>
      <c r="M31" t="s">
        <v>1966</v>
      </c>
      <c r="O31" t="b">
        <v>1</v>
      </c>
    </row>
    <row r="32" spans="1:15" x14ac:dyDescent="0.3">
      <c r="A32" s="43">
        <f>IF(COUNTIF(FUNDS[FundCode],DEPTS[[#This Row],[FundCode]])&gt;0,0,1)</f>
        <v>0</v>
      </c>
      <c r="B32" s="43">
        <f>IF(COUNTIF(ACTIVITIES[ActivityCode],DEPTS[[#This Row],[ActivityCode]])&gt;0,0,1)</f>
        <v>0</v>
      </c>
      <c r="C32" s="43">
        <f>IF(COUNTIF(LEDGER[LedgerCode],DEPTS[[#This Row],[LedgerCode]])&gt;0,0,1)</f>
        <v>0</v>
      </c>
      <c r="D32" s="43">
        <f>IF(LEN(DEPTS[[#This Row],[DepartmentCode]])&lt;100,0,1)</f>
        <v>0</v>
      </c>
      <c r="E32" s="43">
        <f>IF(LEN(DEPTS[[#This Row],[Title]])&lt;100,0,1)</f>
        <v>0</v>
      </c>
      <c r="F32" s="43">
        <f>SUM(DEPTS[[#This Row],[FundIssue]:[Title length check]])</f>
        <v>0</v>
      </c>
      <c r="G32" t="s">
        <v>2112</v>
      </c>
      <c r="H32" t="s">
        <v>2113</v>
      </c>
      <c r="I32" t="b">
        <v>0</v>
      </c>
      <c r="J32" t="s">
        <v>4326</v>
      </c>
      <c r="K32" t="s">
        <v>63</v>
      </c>
      <c r="L32" t="s">
        <v>63</v>
      </c>
      <c r="M32" t="s">
        <v>1532</v>
      </c>
      <c r="O32" t="b">
        <v>1</v>
      </c>
    </row>
    <row r="33" spans="1:15" x14ac:dyDescent="0.3">
      <c r="A33" s="43">
        <f>IF(COUNTIF(FUNDS[FundCode],DEPTS[[#This Row],[FundCode]])&gt;0,0,1)</f>
        <v>0</v>
      </c>
      <c r="B33" s="43">
        <f>IF(COUNTIF(ACTIVITIES[ActivityCode],DEPTS[[#This Row],[ActivityCode]])&gt;0,0,1)</f>
        <v>0</v>
      </c>
      <c r="C33" s="43">
        <f>IF(COUNTIF(LEDGER[LedgerCode],DEPTS[[#This Row],[LedgerCode]])&gt;0,0,1)</f>
        <v>0</v>
      </c>
      <c r="D33" s="43">
        <f>IF(LEN(DEPTS[[#This Row],[DepartmentCode]])&lt;100,0,1)</f>
        <v>0</v>
      </c>
      <c r="E33" s="43">
        <f>IF(LEN(DEPTS[[#This Row],[Title]])&lt;100,0,1)</f>
        <v>0</v>
      </c>
      <c r="F33" s="43">
        <f>SUM(DEPTS[[#This Row],[FundIssue]:[Title length check]])</f>
        <v>0</v>
      </c>
      <c r="G33" t="s">
        <v>2112</v>
      </c>
      <c r="H33" t="s">
        <v>2113</v>
      </c>
      <c r="I33" t="b">
        <v>0</v>
      </c>
      <c r="J33" t="s">
        <v>4327</v>
      </c>
      <c r="K33" t="s">
        <v>1963</v>
      </c>
      <c r="L33" t="s">
        <v>63</v>
      </c>
      <c r="M33" t="s">
        <v>1532</v>
      </c>
      <c r="O33" t="b">
        <v>1</v>
      </c>
    </row>
    <row r="34" spans="1:15" x14ac:dyDescent="0.3">
      <c r="A34" s="43">
        <f>IF(COUNTIF(FUNDS[FundCode],DEPTS[[#This Row],[FundCode]])&gt;0,0,1)</f>
        <v>0</v>
      </c>
      <c r="B34" s="43">
        <f>IF(COUNTIF(ACTIVITIES[ActivityCode],DEPTS[[#This Row],[ActivityCode]])&gt;0,0,1)</f>
        <v>0</v>
      </c>
      <c r="C34" s="43">
        <f>IF(COUNTIF(LEDGER[LedgerCode],DEPTS[[#This Row],[LedgerCode]])&gt;0,0,1)</f>
        <v>0</v>
      </c>
      <c r="D34" s="43">
        <f>IF(LEN(DEPTS[[#This Row],[DepartmentCode]])&lt;100,0,1)</f>
        <v>0</v>
      </c>
      <c r="E34" s="43">
        <f>IF(LEN(DEPTS[[#This Row],[Title]])&lt;100,0,1)</f>
        <v>0</v>
      </c>
      <c r="F34" s="43">
        <f>SUM(DEPTS[[#This Row],[FundIssue]:[Title length check]])</f>
        <v>0</v>
      </c>
      <c r="G34" t="s">
        <v>2114</v>
      </c>
      <c r="H34" t="s">
        <v>2115</v>
      </c>
      <c r="I34" t="b">
        <v>0</v>
      </c>
      <c r="J34" t="s">
        <v>51</v>
      </c>
      <c r="K34" t="s">
        <v>63</v>
      </c>
      <c r="L34" t="s">
        <v>63</v>
      </c>
      <c r="M34" t="s">
        <v>1966</v>
      </c>
      <c r="O34" t="b">
        <v>1</v>
      </c>
    </row>
    <row r="35" spans="1:15" x14ac:dyDescent="0.3">
      <c r="A35" s="43">
        <f>IF(COUNTIF(FUNDS[FundCode],DEPTS[[#This Row],[FundCode]])&gt;0,0,1)</f>
        <v>0</v>
      </c>
      <c r="B35" s="43">
        <f>IF(COUNTIF(ACTIVITIES[ActivityCode],DEPTS[[#This Row],[ActivityCode]])&gt;0,0,1)</f>
        <v>0</v>
      </c>
      <c r="C35" s="43">
        <f>IF(COUNTIF(LEDGER[LedgerCode],DEPTS[[#This Row],[LedgerCode]])&gt;0,0,1)</f>
        <v>0</v>
      </c>
      <c r="D35" s="43">
        <f>IF(LEN(DEPTS[[#This Row],[DepartmentCode]])&lt;100,0,1)</f>
        <v>0</v>
      </c>
      <c r="E35" s="43">
        <f>IF(LEN(DEPTS[[#This Row],[Title]])&lt;100,0,1)</f>
        <v>0</v>
      </c>
      <c r="F35" s="43">
        <f>SUM(DEPTS[[#This Row],[FundIssue]:[Title length check]])</f>
        <v>0</v>
      </c>
      <c r="G35" t="s">
        <v>2114</v>
      </c>
      <c r="H35" t="s">
        <v>2115</v>
      </c>
      <c r="I35" t="b">
        <v>0</v>
      </c>
      <c r="J35" t="s">
        <v>4155</v>
      </c>
      <c r="K35" t="s">
        <v>63</v>
      </c>
      <c r="L35" t="s">
        <v>63</v>
      </c>
      <c r="M35" t="s">
        <v>1532</v>
      </c>
      <c r="O35" t="b">
        <v>1</v>
      </c>
    </row>
    <row r="36" spans="1:15" x14ac:dyDescent="0.3">
      <c r="A36" s="43">
        <f>IF(COUNTIF(FUNDS[FundCode],DEPTS[[#This Row],[FundCode]])&gt;0,0,1)</f>
        <v>0</v>
      </c>
      <c r="B36" s="43">
        <f>IF(COUNTIF(ACTIVITIES[ActivityCode],DEPTS[[#This Row],[ActivityCode]])&gt;0,0,1)</f>
        <v>0</v>
      </c>
      <c r="C36" s="43">
        <f>IF(COUNTIF(LEDGER[LedgerCode],DEPTS[[#This Row],[LedgerCode]])&gt;0,0,1)</f>
        <v>0</v>
      </c>
      <c r="D36" s="43">
        <f>IF(LEN(DEPTS[[#This Row],[DepartmentCode]])&lt;100,0,1)</f>
        <v>0</v>
      </c>
      <c r="E36" s="43">
        <f>IF(LEN(DEPTS[[#This Row],[Title]])&lt;100,0,1)</f>
        <v>0</v>
      </c>
      <c r="F36" s="43">
        <f>SUM(DEPTS[[#This Row],[FundIssue]:[Title length check]])</f>
        <v>0</v>
      </c>
      <c r="G36" t="s">
        <v>2114</v>
      </c>
      <c r="H36" t="s">
        <v>2115</v>
      </c>
      <c r="I36" t="b">
        <v>0</v>
      </c>
      <c r="J36" t="s">
        <v>2082</v>
      </c>
      <c r="K36" t="s">
        <v>1963</v>
      </c>
      <c r="L36" t="s">
        <v>63</v>
      </c>
      <c r="M36" t="s">
        <v>1532</v>
      </c>
      <c r="O36" t="b">
        <v>1</v>
      </c>
    </row>
    <row r="37" spans="1:15" x14ac:dyDescent="0.3">
      <c r="A37" s="43">
        <f>IF(COUNTIF(FUNDS[FundCode],DEPTS[[#This Row],[FundCode]])&gt;0,0,1)</f>
        <v>0</v>
      </c>
      <c r="B37" s="43">
        <f>IF(COUNTIF(ACTIVITIES[ActivityCode],DEPTS[[#This Row],[ActivityCode]])&gt;0,0,1)</f>
        <v>0</v>
      </c>
      <c r="C37" s="43">
        <f>IF(COUNTIF(LEDGER[LedgerCode],DEPTS[[#This Row],[LedgerCode]])&gt;0,0,1)</f>
        <v>0</v>
      </c>
      <c r="D37" s="43">
        <f>IF(LEN(DEPTS[[#This Row],[DepartmentCode]])&lt;100,0,1)</f>
        <v>0</v>
      </c>
      <c r="E37" s="43">
        <f>IF(LEN(DEPTS[[#This Row],[Title]])&lt;100,0,1)</f>
        <v>0</v>
      </c>
      <c r="F37" s="43">
        <f>SUM(DEPTS[[#This Row],[FundIssue]:[Title length check]])</f>
        <v>0</v>
      </c>
      <c r="G37" t="s">
        <v>2116</v>
      </c>
      <c r="H37" t="s">
        <v>2117</v>
      </c>
      <c r="I37" t="b">
        <v>0</v>
      </c>
      <c r="J37" t="s">
        <v>51</v>
      </c>
      <c r="K37" t="s">
        <v>63</v>
      </c>
      <c r="L37" t="s">
        <v>1764</v>
      </c>
      <c r="M37" t="s">
        <v>1966</v>
      </c>
      <c r="O37" t="b">
        <v>1</v>
      </c>
    </row>
    <row r="38" spans="1:15" x14ac:dyDescent="0.3">
      <c r="A38" s="43">
        <f>IF(COUNTIF(FUNDS[FundCode],DEPTS[[#This Row],[FundCode]])&gt;0,0,1)</f>
        <v>0</v>
      </c>
      <c r="B38" s="43">
        <f>IF(COUNTIF(ACTIVITIES[ActivityCode],DEPTS[[#This Row],[ActivityCode]])&gt;0,0,1)</f>
        <v>0</v>
      </c>
      <c r="C38" s="43">
        <f>IF(COUNTIF(LEDGER[LedgerCode],DEPTS[[#This Row],[LedgerCode]])&gt;0,0,1)</f>
        <v>0</v>
      </c>
      <c r="D38" s="43">
        <f>IF(LEN(DEPTS[[#This Row],[DepartmentCode]])&lt;100,0,1)</f>
        <v>0</v>
      </c>
      <c r="E38" s="43">
        <f>IF(LEN(DEPTS[[#This Row],[Title]])&lt;100,0,1)</f>
        <v>0</v>
      </c>
      <c r="F38" s="43">
        <f>SUM(DEPTS[[#This Row],[FundIssue]:[Title length check]])</f>
        <v>0</v>
      </c>
      <c r="G38" t="s">
        <v>2116</v>
      </c>
      <c r="H38" t="s">
        <v>2117</v>
      </c>
      <c r="I38" t="b">
        <v>0</v>
      </c>
      <c r="J38" t="s">
        <v>4330</v>
      </c>
      <c r="K38" t="s">
        <v>63</v>
      </c>
      <c r="L38" t="s">
        <v>1764</v>
      </c>
      <c r="M38" t="s">
        <v>1532</v>
      </c>
      <c r="O38" t="b">
        <v>1</v>
      </c>
    </row>
    <row r="39" spans="1:15" x14ac:dyDescent="0.3">
      <c r="A39" s="43">
        <f>IF(COUNTIF(FUNDS[FundCode],DEPTS[[#This Row],[FundCode]])&gt;0,0,1)</f>
        <v>0</v>
      </c>
      <c r="B39" s="43">
        <f>IF(COUNTIF(ACTIVITIES[ActivityCode],DEPTS[[#This Row],[ActivityCode]])&gt;0,0,1)</f>
        <v>0</v>
      </c>
      <c r="C39" s="43">
        <f>IF(COUNTIF(LEDGER[LedgerCode],DEPTS[[#This Row],[LedgerCode]])&gt;0,0,1)</f>
        <v>0</v>
      </c>
      <c r="D39" s="43">
        <f>IF(LEN(DEPTS[[#This Row],[DepartmentCode]])&lt;100,0,1)</f>
        <v>0</v>
      </c>
      <c r="E39" s="43">
        <f>IF(LEN(DEPTS[[#This Row],[Title]])&lt;100,0,1)</f>
        <v>0</v>
      </c>
      <c r="F39" s="43">
        <f>SUM(DEPTS[[#This Row],[FundIssue]:[Title length check]])</f>
        <v>0</v>
      </c>
      <c r="G39" t="s">
        <v>2118</v>
      </c>
      <c r="H39" t="s">
        <v>2119</v>
      </c>
      <c r="I39" t="b">
        <v>0</v>
      </c>
      <c r="J39" t="s">
        <v>4155</v>
      </c>
      <c r="K39" t="s">
        <v>63</v>
      </c>
      <c r="L39" t="s">
        <v>63</v>
      </c>
      <c r="M39" t="s">
        <v>1532</v>
      </c>
      <c r="O39" t="b">
        <v>1</v>
      </c>
    </row>
    <row r="40" spans="1:15" x14ac:dyDescent="0.3">
      <c r="A40" s="43">
        <f>IF(COUNTIF(FUNDS[FundCode],DEPTS[[#This Row],[FundCode]])&gt;0,0,1)</f>
        <v>0</v>
      </c>
      <c r="B40" s="43">
        <f>IF(COUNTIF(ACTIVITIES[ActivityCode],DEPTS[[#This Row],[ActivityCode]])&gt;0,0,1)</f>
        <v>0</v>
      </c>
      <c r="C40" s="43">
        <f>IF(COUNTIF(LEDGER[LedgerCode],DEPTS[[#This Row],[LedgerCode]])&gt;0,0,1)</f>
        <v>0</v>
      </c>
      <c r="D40" s="43">
        <f>IF(LEN(DEPTS[[#This Row],[DepartmentCode]])&lt;100,0,1)</f>
        <v>0</v>
      </c>
      <c r="E40" s="43">
        <f>IF(LEN(DEPTS[[#This Row],[Title]])&lt;100,0,1)</f>
        <v>0</v>
      </c>
      <c r="F40" s="43">
        <f>SUM(DEPTS[[#This Row],[FundIssue]:[Title length check]])</f>
        <v>0</v>
      </c>
      <c r="G40" t="s">
        <v>2118</v>
      </c>
      <c r="H40" t="s">
        <v>2119</v>
      </c>
      <c r="I40" t="b">
        <v>0</v>
      </c>
      <c r="J40" t="s">
        <v>51</v>
      </c>
      <c r="K40" t="s">
        <v>1963</v>
      </c>
      <c r="L40" t="s">
        <v>63</v>
      </c>
      <c r="M40" t="s">
        <v>1966</v>
      </c>
      <c r="O40" t="b">
        <v>1</v>
      </c>
    </row>
    <row r="41" spans="1:15" x14ac:dyDescent="0.3">
      <c r="A41" s="43">
        <f>IF(COUNTIF(FUNDS[FundCode],DEPTS[[#This Row],[FundCode]])&gt;0,0,1)</f>
        <v>0</v>
      </c>
      <c r="B41" s="43">
        <f>IF(COUNTIF(ACTIVITIES[ActivityCode],DEPTS[[#This Row],[ActivityCode]])&gt;0,0,1)</f>
        <v>0</v>
      </c>
      <c r="C41" s="43">
        <f>IF(COUNTIF(LEDGER[LedgerCode],DEPTS[[#This Row],[LedgerCode]])&gt;0,0,1)</f>
        <v>0</v>
      </c>
      <c r="D41" s="43">
        <f>IF(LEN(DEPTS[[#This Row],[DepartmentCode]])&lt;100,0,1)</f>
        <v>0</v>
      </c>
      <c r="E41" s="43">
        <f>IF(LEN(DEPTS[[#This Row],[Title]])&lt;100,0,1)</f>
        <v>0</v>
      </c>
      <c r="F41" s="43">
        <f>SUM(DEPTS[[#This Row],[FundIssue]:[Title length check]])</f>
        <v>0</v>
      </c>
      <c r="G41" t="s">
        <v>2120</v>
      </c>
      <c r="H41" t="s">
        <v>2121</v>
      </c>
      <c r="I41" t="b">
        <v>0</v>
      </c>
      <c r="J41" t="s">
        <v>51</v>
      </c>
      <c r="K41" t="s">
        <v>63</v>
      </c>
      <c r="L41" t="s">
        <v>63</v>
      </c>
      <c r="M41" t="s">
        <v>1966</v>
      </c>
      <c r="O41" t="b">
        <v>1</v>
      </c>
    </row>
    <row r="42" spans="1:15" x14ac:dyDescent="0.3">
      <c r="A42" s="43">
        <f>IF(COUNTIF(FUNDS[FundCode],DEPTS[[#This Row],[FundCode]])&gt;0,0,1)</f>
        <v>0</v>
      </c>
      <c r="B42" s="43">
        <f>IF(COUNTIF(ACTIVITIES[ActivityCode],DEPTS[[#This Row],[ActivityCode]])&gt;0,0,1)</f>
        <v>0</v>
      </c>
      <c r="C42" s="43">
        <f>IF(COUNTIF(LEDGER[LedgerCode],DEPTS[[#This Row],[LedgerCode]])&gt;0,0,1)</f>
        <v>0</v>
      </c>
      <c r="D42" s="43">
        <f>IF(LEN(DEPTS[[#This Row],[DepartmentCode]])&lt;100,0,1)</f>
        <v>0</v>
      </c>
      <c r="E42" s="43">
        <f>IF(LEN(DEPTS[[#This Row],[Title]])&lt;100,0,1)</f>
        <v>0</v>
      </c>
      <c r="F42" s="43">
        <f>SUM(DEPTS[[#This Row],[FundIssue]:[Title length check]])</f>
        <v>0</v>
      </c>
      <c r="G42" t="s">
        <v>2120</v>
      </c>
      <c r="H42" t="s">
        <v>2121</v>
      </c>
      <c r="I42" t="b">
        <v>0</v>
      </c>
      <c r="J42" t="s">
        <v>4155</v>
      </c>
      <c r="K42" t="s">
        <v>63</v>
      </c>
      <c r="L42" t="s">
        <v>63</v>
      </c>
      <c r="M42" t="s">
        <v>1532</v>
      </c>
      <c r="O42" t="b">
        <v>1</v>
      </c>
    </row>
    <row r="43" spans="1:15" x14ac:dyDescent="0.3">
      <c r="A43" s="43">
        <f>IF(COUNTIF(FUNDS[FundCode],DEPTS[[#This Row],[FundCode]])&gt;0,0,1)</f>
        <v>0</v>
      </c>
      <c r="B43" s="43">
        <f>IF(COUNTIF(ACTIVITIES[ActivityCode],DEPTS[[#This Row],[ActivityCode]])&gt;0,0,1)</f>
        <v>0</v>
      </c>
      <c r="C43" s="43">
        <f>IF(COUNTIF(LEDGER[LedgerCode],DEPTS[[#This Row],[LedgerCode]])&gt;0,0,1)</f>
        <v>0</v>
      </c>
      <c r="D43" s="43">
        <f>IF(LEN(DEPTS[[#This Row],[DepartmentCode]])&lt;100,0,1)</f>
        <v>0</v>
      </c>
      <c r="E43" s="43">
        <f>IF(LEN(DEPTS[[#This Row],[Title]])&lt;100,0,1)</f>
        <v>0</v>
      </c>
      <c r="F43" s="43">
        <f>SUM(DEPTS[[#This Row],[FundIssue]:[Title length check]])</f>
        <v>0</v>
      </c>
      <c r="G43" t="s">
        <v>2120</v>
      </c>
      <c r="H43" t="s">
        <v>2121</v>
      </c>
      <c r="I43" t="b">
        <v>0</v>
      </c>
      <c r="J43" t="s">
        <v>2082</v>
      </c>
      <c r="K43" t="s">
        <v>1963</v>
      </c>
      <c r="L43" t="s">
        <v>63</v>
      </c>
      <c r="M43" t="s">
        <v>1532</v>
      </c>
      <c r="O43" t="b">
        <v>1</v>
      </c>
    </row>
    <row r="44" spans="1:15" x14ac:dyDescent="0.3">
      <c r="A44" s="43">
        <f>IF(COUNTIF(FUNDS[FundCode],DEPTS[[#This Row],[FundCode]])&gt;0,0,1)</f>
        <v>0</v>
      </c>
      <c r="B44" s="43">
        <f>IF(COUNTIF(ACTIVITIES[ActivityCode],DEPTS[[#This Row],[ActivityCode]])&gt;0,0,1)</f>
        <v>0</v>
      </c>
      <c r="C44" s="43">
        <f>IF(COUNTIF(LEDGER[LedgerCode],DEPTS[[#This Row],[LedgerCode]])&gt;0,0,1)</f>
        <v>0</v>
      </c>
      <c r="D44" s="43">
        <f>IF(LEN(DEPTS[[#This Row],[DepartmentCode]])&lt;100,0,1)</f>
        <v>0</v>
      </c>
      <c r="E44" s="43">
        <f>IF(LEN(DEPTS[[#This Row],[Title]])&lt;100,0,1)</f>
        <v>0</v>
      </c>
      <c r="F44" s="43">
        <f>SUM(DEPTS[[#This Row],[FundIssue]:[Title length check]])</f>
        <v>0</v>
      </c>
      <c r="G44" t="s">
        <v>2122</v>
      </c>
      <c r="H44" t="s">
        <v>2123</v>
      </c>
      <c r="I44" t="b">
        <v>0</v>
      </c>
      <c r="J44" t="s">
        <v>51</v>
      </c>
      <c r="K44" t="s">
        <v>63</v>
      </c>
      <c r="L44" t="s">
        <v>63</v>
      </c>
      <c r="M44" t="s">
        <v>1966</v>
      </c>
      <c r="O44" t="b">
        <v>1</v>
      </c>
    </row>
    <row r="45" spans="1:15" x14ac:dyDescent="0.3">
      <c r="A45" s="43">
        <f>IF(COUNTIF(FUNDS[FundCode],DEPTS[[#This Row],[FundCode]])&gt;0,0,1)</f>
        <v>0</v>
      </c>
      <c r="B45" s="43">
        <f>IF(COUNTIF(ACTIVITIES[ActivityCode],DEPTS[[#This Row],[ActivityCode]])&gt;0,0,1)</f>
        <v>0</v>
      </c>
      <c r="C45" s="43">
        <f>IF(COUNTIF(LEDGER[LedgerCode],DEPTS[[#This Row],[LedgerCode]])&gt;0,0,1)</f>
        <v>0</v>
      </c>
      <c r="D45" s="43">
        <f>IF(LEN(DEPTS[[#This Row],[DepartmentCode]])&lt;100,0,1)</f>
        <v>0</v>
      </c>
      <c r="E45" s="43">
        <f>IF(LEN(DEPTS[[#This Row],[Title]])&lt;100,0,1)</f>
        <v>0</v>
      </c>
      <c r="F45" s="43">
        <f>SUM(DEPTS[[#This Row],[FundIssue]:[Title length check]])</f>
        <v>0</v>
      </c>
      <c r="G45" t="s">
        <v>2122</v>
      </c>
      <c r="H45" t="s">
        <v>2123</v>
      </c>
      <c r="I45" t="b">
        <v>0</v>
      </c>
      <c r="J45" t="s">
        <v>2082</v>
      </c>
      <c r="K45" t="s">
        <v>1963</v>
      </c>
      <c r="L45" t="s">
        <v>63</v>
      </c>
      <c r="M45" t="s">
        <v>1532</v>
      </c>
      <c r="O45" t="b">
        <v>1</v>
      </c>
    </row>
    <row r="46" spans="1:15" x14ac:dyDescent="0.3">
      <c r="A46" s="43">
        <f>IF(COUNTIF(FUNDS[FundCode],DEPTS[[#This Row],[FundCode]])&gt;0,0,1)</f>
        <v>0</v>
      </c>
      <c r="B46" s="43">
        <f>IF(COUNTIF(ACTIVITIES[ActivityCode],DEPTS[[#This Row],[ActivityCode]])&gt;0,0,1)</f>
        <v>0</v>
      </c>
      <c r="C46" s="43">
        <f>IF(COUNTIF(LEDGER[LedgerCode],DEPTS[[#This Row],[LedgerCode]])&gt;0,0,1)</f>
        <v>0</v>
      </c>
      <c r="D46" s="43">
        <f>IF(LEN(DEPTS[[#This Row],[DepartmentCode]])&lt;100,0,1)</f>
        <v>0</v>
      </c>
      <c r="E46" s="43">
        <f>IF(LEN(DEPTS[[#This Row],[Title]])&lt;100,0,1)</f>
        <v>0</v>
      </c>
      <c r="F46" s="43">
        <f>SUM(DEPTS[[#This Row],[FundIssue]:[Title length check]])</f>
        <v>0</v>
      </c>
      <c r="G46" t="s">
        <v>2124</v>
      </c>
      <c r="H46" t="s">
        <v>2125</v>
      </c>
      <c r="I46" t="b">
        <v>0</v>
      </c>
      <c r="J46" t="s">
        <v>2126</v>
      </c>
      <c r="K46" t="s">
        <v>63</v>
      </c>
      <c r="L46" t="s">
        <v>63</v>
      </c>
      <c r="M46" t="s">
        <v>1532</v>
      </c>
      <c r="O46" t="b">
        <v>1</v>
      </c>
    </row>
    <row r="47" spans="1:15" x14ac:dyDescent="0.3">
      <c r="A47" s="43">
        <f>IF(COUNTIF(FUNDS[FundCode],DEPTS[[#This Row],[FundCode]])&gt;0,0,1)</f>
        <v>0</v>
      </c>
      <c r="B47" s="43">
        <f>IF(COUNTIF(ACTIVITIES[ActivityCode],DEPTS[[#This Row],[ActivityCode]])&gt;0,0,1)</f>
        <v>0</v>
      </c>
      <c r="C47" s="43">
        <f>IF(COUNTIF(LEDGER[LedgerCode],DEPTS[[#This Row],[LedgerCode]])&gt;0,0,1)</f>
        <v>0</v>
      </c>
      <c r="D47" s="43">
        <f>IF(LEN(DEPTS[[#This Row],[DepartmentCode]])&lt;100,0,1)</f>
        <v>0</v>
      </c>
      <c r="E47" s="43">
        <f>IF(LEN(DEPTS[[#This Row],[Title]])&lt;100,0,1)</f>
        <v>0</v>
      </c>
      <c r="F47" s="43">
        <f>SUM(DEPTS[[#This Row],[FundIssue]:[Title length check]])</f>
        <v>0</v>
      </c>
      <c r="G47" t="s">
        <v>2127</v>
      </c>
      <c r="H47" t="s">
        <v>2128</v>
      </c>
      <c r="I47" t="b">
        <v>0</v>
      </c>
      <c r="J47" t="s">
        <v>2126</v>
      </c>
      <c r="K47" t="s">
        <v>63</v>
      </c>
      <c r="L47" t="s">
        <v>63</v>
      </c>
      <c r="M47" t="s">
        <v>1532</v>
      </c>
      <c r="O47" t="b">
        <v>1</v>
      </c>
    </row>
    <row r="48" spans="1:15" x14ac:dyDescent="0.3">
      <c r="A48" s="43">
        <f>IF(COUNTIF(FUNDS[FundCode],DEPTS[[#This Row],[FundCode]])&gt;0,0,1)</f>
        <v>0</v>
      </c>
      <c r="B48" s="43">
        <f>IF(COUNTIF(ACTIVITIES[ActivityCode],DEPTS[[#This Row],[ActivityCode]])&gt;0,0,1)</f>
        <v>0</v>
      </c>
      <c r="C48" s="43">
        <f>IF(COUNTIF(LEDGER[LedgerCode],DEPTS[[#This Row],[LedgerCode]])&gt;0,0,1)</f>
        <v>0</v>
      </c>
      <c r="D48" s="43">
        <f>IF(LEN(DEPTS[[#This Row],[DepartmentCode]])&lt;100,0,1)</f>
        <v>0</v>
      </c>
      <c r="E48" s="43">
        <f>IF(LEN(DEPTS[[#This Row],[Title]])&lt;100,0,1)</f>
        <v>0</v>
      </c>
      <c r="F48" s="43">
        <f>SUM(DEPTS[[#This Row],[FundIssue]:[Title length check]])</f>
        <v>0</v>
      </c>
      <c r="G48" t="s">
        <v>2129</v>
      </c>
      <c r="H48" t="s">
        <v>2130</v>
      </c>
      <c r="I48" t="b">
        <v>0</v>
      </c>
      <c r="J48" t="s">
        <v>2126</v>
      </c>
      <c r="K48" t="s">
        <v>63</v>
      </c>
      <c r="L48" t="s">
        <v>63</v>
      </c>
      <c r="M48" t="s">
        <v>1532</v>
      </c>
      <c r="O48" t="b">
        <v>1</v>
      </c>
    </row>
    <row r="49" spans="1:15" x14ac:dyDescent="0.3">
      <c r="A49" s="43">
        <f>IF(COUNTIF(FUNDS[FundCode],DEPTS[[#This Row],[FundCode]])&gt;0,0,1)</f>
        <v>0</v>
      </c>
      <c r="B49" s="43">
        <f>IF(COUNTIF(ACTIVITIES[ActivityCode],DEPTS[[#This Row],[ActivityCode]])&gt;0,0,1)</f>
        <v>0</v>
      </c>
      <c r="C49" s="43">
        <f>IF(COUNTIF(LEDGER[LedgerCode],DEPTS[[#This Row],[LedgerCode]])&gt;0,0,1)</f>
        <v>0</v>
      </c>
      <c r="D49" s="43">
        <f>IF(LEN(DEPTS[[#This Row],[DepartmentCode]])&lt;100,0,1)</f>
        <v>0</v>
      </c>
      <c r="E49" s="43">
        <f>IF(LEN(DEPTS[[#This Row],[Title]])&lt;100,0,1)</f>
        <v>0</v>
      </c>
      <c r="F49" s="43">
        <f>SUM(DEPTS[[#This Row],[FundIssue]:[Title length check]])</f>
        <v>0</v>
      </c>
      <c r="G49" t="s">
        <v>2131</v>
      </c>
      <c r="H49" t="s">
        <v>2132</v>
      </c>
      <c r="I49" t="b">
        <v>0</v>
      </c>
      <c r="J49" t="s">
        <v>2126</v>
      </c>
      <c r="K49" t="s">
        <v>63</v>
      </c>
      <c r="L49" t="s">
        <v>63</v>
      </c>
      <c r="M49" t="s">
        <v>1532</v>
      </c>
      <c r="O49" t="b">
        <v>1</v>
      </c>
    </row>
    <row r="50" spans="1:15" x14ac:dyDescent="0.3">
      <c r="A50" s="43">
        <f>IF(COUNTIF(FUNDS[FundCode],DEPTS[[#This Row],[FundCode]])&gt;0,0,1)</f>
        <v>0</v>
      </c>
      <c r="B50" s="43">
        <f>IF(COUNTIF(ACTIVITIES[ActivityCode],DEPTS[[#This Row],[ActivityCode]])&gt;0,0,1)</f>
        <v>0</v>
      </c>
      <c r="C50" s="43">
        <f>IF(COUNTIF(LEDGER[LedgerCode],DEPTS[[#This Row],[LedgerCode]])&gt;0,0,1)</f>
        <v>0</v>
      </c>
      <c r="D50" s="43">
        <f>IF(LEN(DEPTS[[#This Row],[DepartmentCode]])&lt;100,0,1)</f>
        <v>0</v>
      </c>
      <c r="E50" s="43">
        <f>IF(LEN(DEPTS[[#This Row],[Title]])&lt;100,0,1)</f>
        <v>0</v>
      </c>
      <c r="F50" s="43">
        <f>SUM(DEPTS[[#This Row],[FundIssue]:[Title length check]])</f>
        <v>0</v>
      </c>
      <c r="G50" t="s">
        <v>2131</v>
      </c>
      <c r="H50" t="s">
        <v>2132</v>
      </c>
      <c r="I50" t="b">
        <v>0</v>
      </c>
      <c r="J50" t="s">
        <v>51</v>
      </c>
      <c r="K50" t="s">
        <v>1963</v>
      </c>
      <c r="L50" t="s">
        <v>63</v>
      </c>
      <c r="M50" t="s">
        <v>1966</v>
      </c>
      <c r="O50" t="b">
        <v>1</v>
      </c>
    </row>
    <row r="51" spans="1:15" x14ac:dyDescent="0.3">
      <c r="A51" s="43">
        <f>IF(COUNTIF(FUNDS[FundCode],DEPTS[[#This Row],[FundCode]])&gt;0,0,1)</f>
        <v>0</v>
      </c>
      <c r="B51" s="43">
        <f>IF(COUNTIF(ACTIVITIES[ActivityCode],DEPTS[[#This Row],[ActivityCode]])&gt;0,0,1)</f>
        <v>0</v>
      </c>
      <c r="C51" s="43">
        <f>IF(COUNTIF(LEDGER[LedgerCode],DEPTS[[#This Row],[LedgerCode]])&gt;0,0,1)</f>
        <v>0</v>
      </c>
      <c r="D51" s="43">
        <f>IF(LEN(DEPTS[[#This Row],[DepartmentCode]])&lt;100,0,1)</f>
        <v>0</v>
      </c>
      <c r="E51" s="43">
        <f>IF(LEN(DEPTS[[#This Row],[Title]])&lt;100,0,1)</f>
        <v>0</v>
      </c>
      <c r="F51" s="43">
        <f>SUM(DEPTS[[#This Row],[FundIssue]:[Title length check]])</f>
        <v>0</v>
      </c>
      <c r="G51" t="s">
        <v>2131</v>
      </c>
      <c r="H51" t="s">
        <v>2132</v>
      </c>
      <c r="I51" t="b">
        <v>0</v>
      </c>
      <c r="J51" t="s">
        <v>2094</v>
      </c>
      <c r="K51" t="s">
        <v>1963</v>
      </c>
      <c r="L51" t="s">
        <v>63</v>
      </c>
      <c r="M51" t="s">
        <v>1532</v>
      </c>
      <c r="O51" t="b">
        <v>1</v>
      </c>
    </row>
    <row r="52" spans="1:15" x14ac:dyDescent="0.3">
      <c r="A52" s="43">
        <f>IF(COUNTIF(FUNDS[FundCode],DEPTS[[#This Row],[FundCode]])&gt;0,0,1)</f>
        <v>0</v>
      </c>
      <c r="B52" s="43">
        <f>IF(COUNTIF(ACTIVITIES[ActivityCode],DEPTS[[#This Row],[ActivityCode]])&gt;0,0,1)</f>
        <v>0</v>
      </c>
      <c r="C52" s="43">
        <f>IF(COUNTIF(LEDGER[LedgerCode],DEPTS[[#This Row],[LedgerCode]])&gt;0,0,1)</f>
        <v>0</v>
      </c>
      <c r="D52" s="43">
        <f>IF(LEN(DEPTS[[#This Row],[DepartmentCode]])&lt;100,0,1)</f>
        <v>0</v>
      </c>
      <c r="E52" s="43">
        <f>IF(LEN(DEPTS[[#This Row],[Title]])&lt;100,0,1)</f>
        <v>0</v>
      </c>
      <c r="F52" s="43">
        <f>SUM(DEPTS[[#This Row],[FundIssue]:[Title length check]])</f>
        <v>0</v>
      </c>
      <c r="G52" t="s">
        <v>2133</v>
      </c>
      <c r="H52" t="s">
        <v>2134</v>
      </c>
      <c r="I52" t="b">
        <v>0</v>
      </c>
      <c r="J52" t="s">
        <v>2082</v>
      </c>
      <c r="K52" t="s">
        <v>1963</v>
      </c>
      <c r="L52" t="s">
        <v>63</v>
      </c>
      <c r="M52" t="s">
        <v>1532</v>
      </c>
      <c r="O52" t="b">
        <v>1</v>
      </c>
    </row>
    <row r="53" spans="1:15" x14ac:dyDescent="0.3">
      <c r="A53" s="43">
        <f>IF(COUNTIF(FUNDS[FundCode],DEPTS[[#This Row],[FundCode]])&gt;0,0,1)</f>
        <v>0</v>
      </c>
      <c r="B53" s="43">
        <f>IF(COUNTIF(ACTIVITIES[ActivityCode],DEPTS[[#This Row],[ActivityCode]])&gt;0,0,1)</f>
        <v>0</v>
      </c>
      <c r="C53" s="43">
        <f>IF(COUNTIF(LEDGER[LedgerCode],DEPTS[[#This Row],[LedgerCode]])&gt;0,0,1)</f>
        <v>0</v>
      </c>
      <c r="D53" s="43">
        <f>IF(LEN(DEPTS[[#This Row],[DepartmentCode]])&lt;100,0,1)</f>
        <v>0</v>
      </c>
      <c r="E53" s="43">
        <f>IF(LEN(DEPTS[[#This Row],[Title]])&lt;100,0,1)</f>
        <v>0</v>
      </c>
      <c r="F53" s="43">
        <f>SUM(DEPTS[[#This Row],[FundIssue]:[Title length check]])</f>
        <v>0</v>
      </c>
      <c r="G53" t="s">
        <v>2133</v>
      </c>
      <c r="H53" t="s">
        <v>2135</v>
      </c>
      <c r="I53" t="b">
        <v>0</v>
      </c>
      <c r="J53" t="s">
        <v>51</v>
      </c>
      <c r="K53" t="s">
        <v>63</v>
      </c>
      <c r="L53" t="s">
        <v>63</v>
      </c>
      <c r="M53" t="s">
        <v>1966</v>
      </c>
      <c r="O53" t="b">
        <v>1</v>
      </c>
    </row>
    <row r="54" spans="1:15" x14ac:dyDescent="0.3">
      <c r="A54" s="43">
        <f>IF(COUNTIF(FUNDS[FundCode],DEPTS[[#This Row],[FundCode]])&gt;0,0,1)</f>
        <v>0</v>
      </c>
      <c r="B54" s="43">
        <f>IF(COUNTIF(ACTIVITIES[ActivityCode],DEPTS[[#This Row],[ActivityCode]])&gt;0,0,1)</f>
        <v>0</v>
      </c>
      <c r="C54" s="43">
        <f>IF(COUNTIF(LEDGER[LedgerCode],DEPTS[[#This Row],[LedgerCode]])&gt;0,0,1)</f>
        <v>0</v>
      </c>
      <c r="D54" s="43">
        <f>IF(LEN(DEPTS[[#This Row],[DepartmentCode]])&lt;100,0,1)</f>
        <v>0</v>
      </c>
      <c r="E54" s="43">
        <f>IF(LEN(DEPTS[[#This Row],[Title]])&lt;100,0,1)</f>
        <v>0</v>
      </c>
      <c r="F54" s="43">
        <f>SUM(DEPTS[[#This Row],[FundIssue]:[Title length check]])</f>
        <v>0</v>
      </c>
      <c r="G54" t="s">
        <v>2136</v>
      </c>
      <c r="H54" t="s">
        <v>2137</v>
      </c>
      <c r="I54" t="b">
        <v>0</v>
      </c>
      <c r="J54" t="s">
        <v>51</v>
      </c>
      <c r="K54" t="s">
        <v>63</v>
      </c>
      <c r="L54" t="s">
        <v>63</v>
      </c>
      <c r="M54" t="s">
        <v>1966</v>
      </c>
      <c r="O54" t="b">
        <v>1</v>
      </c>
    </row>
    <row r="55" spans="1:15" x14ac:dyDescent="0.3">
      <c r="A55" s="43">
        <f>IF(COUNTIF(FUNDS[FundCode],DEPTS[[#This Row],[FundCode]])&gt;0,0,1)</f>
        <v>0</v>
      </c>
      <c r="B55" s="43">
        <f>IF(COUNTIF(ACTIVITIES[ActivityCode],DEPTS[[#This Row],[ActivityCode]])&gt;0,0,1)</f>
        <v>0</v>
      </c>
      <c r="C55" s="43">
        <f>IF(COUNTIF(LEDGER[LedgerCode],DEPTS[[#This Row],[LedgerCode]])&gt;0,0,1)</f>
        <v>0</v>
      </c>
      <c r="D55" s="43">
        <f>IF(LEN(DEPTS[[#This Row],[DepartmentCode]])&lt;100,0,1)</f>
        <v>0</v>
      </c>
      <c r="E55" s="43">
        <f>IF(LEN(DEPTS[[#This Row],[Title]])&lt;100,0,1)</f>
        <v>0</v>
      </c>
      <c r="F55" s="43">
        <f>SUM(DEPTS[[#This Row],[FundIssue]:[Title length check]])</f>
        <v>0</v>
      </c>
      <c r="G55" t="s">
        <v>2136</v>
      </c>
      <c r="H55" t="s">
        <v>2137</v>
      </c>
      <c r="I55" t="b">
        <v>0</v>
      </c>
      <c r="J55" t="s">
        <v>2126</v>
      </c>
      <c r="K55" t="s">
        <v>63</v>
      </c>
      <c r="L55" t="s">
        <v>63</v>
      </c>
      <c r="M55" t="s">
        <v>1532</v>
      </c>
      <c r="O55" t="b">
        <v>1</v>
      </c>
    </row>
    <row r="56" spans="1:15" x14ac:dyDescent="0.3">
      <c r="A56" s="43">
        <f>IF(COUNTIF(FUNDS[FundCode],DEPTS[[#This Row],[FundCode]])&gt;0,0,1)</f>
        <v>0</v>
      </c>
      <c r="B56" s="43">
        <f>IF(COUNTIF(ACTIVITIES[ActivityCode],DEPTS[[#This Row],[ActivityCode]])&gt;0,0,1)</f>
        <v>0</v>
      </c>
      <c r="C56" s="43">
        <f>IF(COUNTIF(LEDGER[LedgerCode],DEPTS[[#This Row],[LedgerCode]])&gt;0,0,1)</f>
        <v>0</v>
      </c>
      <c r="D56" s="43">
        <f>IF(LEN(DEPTS[[#This Row],[DepartmentCode]])&lt;100,0,1)</f>
        <v>0</v>
      </c>
      <c r="E56" s="43">
        <f>IF(LEN(DEPTS[[#This Row],[Title]])&lt;100,0,1)</f>
        <v>0</v>
      </c>
      <c r="F56" s="43">
        <f>SUM(DEPTS[[#This Row],[FundIssue]:[Title length check]])</f>
        <v>0</v>
      </c>
      <c r="G56" t="s">
        <v>2136</v>
      </c>
      <c r="H56" t="s">
        <v>2137</v>
      </c>
      <c r="I56" t="b">
        <v>0</v>
      </c>
      <c r="J56" t="s">
        <v>2082</v>
      </c>
      <c r="K56" t="s">
        <v>1963</v>
      </c>
      <c r="L56" t="s">
        <v>63</v>
      </c>
      <c r="M56" t="s">
        <v>1532</v>
      </c>
      <c r="O56" t="b">
        <v>1</v>
      </c>
    </row>
    <row r="57" spans="1:15" x14ac:dyDescent="0.3">
      <c r="A57" s="43">
        <f>IF(COUNTIF(FUNDS[FundCode],DEPTS[[#This Row],[FundCode]])&gt;0,0,1)</f>
        <v>0</v>
      </c>
      <c r="B57" s="43">
        <f>IF(COUNTIF(ACTIVITIES[ActivityCode],DEPTS[[#This Row],[ActivityCode]])&gt;0,0,1)</f>
        <v>0</v>
      </c>
      <c r="C57" s="43">
        <f>IF(COUNTIF(LEDGER[LedgerCode],DEPTS[[#This Row],[LedgerCode]])&gt;0,0,1)</f>
        <v>0</v>
      </c>
      <c r="D57" s="43">
        <f>IF(LEN(DEPTS[[#This Row],[DepartmentCode]])&lt;100,0,1)</f>
        <v>0</v>
      </c>
      <c r="E57" s="43">
        <f>IF(LEN(DEPTS[[#This Row],[Title]])&lt;100,0,1)</f>
        <v>0</v>
      </c>
      <c r="F57" s="43">
        <f>SUM(DEPTS[[#This Row],[FundIssue]:[Title length check]])</f>
        <v>0</v>
      </c>
      <c r="G57" t="s">
        <v>2138</v>
      </c>
      <c r="H57" t="s">
        <v>2139</v>
      </c>
      <c r="I57" t="b">
        <v>0</v>
      </c>
      <c r="J57" t="s">
        <v>2094</v>
      </c>
      <c r="K57" t="s">
        <v>63</v>
      </c>
      <c r="L57" t="s">
        <v>63</v>
      </c>
      <c r="M57" t="s">
        <v>1532</v>
      </c>
      <c r="O57" t="b">
        <v>1</v>
      </c>
    </row>
    <row r="58" spans="1:15" x14ac:dyDescent="0.3">
      <c r="A58" s="43">
        <f>IF(COUNTIF(FUNDS[FundCode],DEPTS[[#This Row],[FundCode]])&gt;0,0,1)</f>
        <v>0</v>
      </c>
      <c r="B58" s="43">
        <f>IF(COUNTIF(ACTIVITIES[ActivityCode],DEPTS[[#This Row],[ActivityCode]])&gt;0,0,1)</f>
        <v>0</v>
      </c>
      <c r="C58" s="43">
        <f>IF(COUNTIF(LEDGER[LedgerCode],DEPTS[[#This Row],[LedgerCode]])&gt;0,0,1)</f>
        <v>0</v>
      </c>
      <c r="D58" s="43">
        <f>IF(LEN(DEPTS[[#This Row],[DepartmentCode]])&lt;100,0,1)</f>
        <v>0</v>
      </c>
      <c r="E58" s="43">
        <f>IF(LEN(DEPTS[[#This Row],[Title]])&lt;100,0,1)</f>
        <v>0</v>
      </c>
      <c r="F58" s="43">
        <f>SUM(DEPTS[[#This Row],[FundIssue]:[Title length check]])</f>
        <v>0</v>
      </c>
      <c r="G58" t="s">
        <v>2140</v>
      </c>
      <c r="H58" t="s">
        <v>2141</v>
      </c>
      <c r="I58" t="b">
        <v>0</v>
      </c>
      <c r="J58" t="s">
        <v>2126</v>
      </c>
      <c r="K58" t="s">
        <v>63</v>
      </c>
      <c r="L58" t="s">
        <v>63</v>
      </c>
      <c r="M58" t="s">
        <v>1532</v>
      </c>
      <c r="O58" t="b">
        <v>1</v>
      </c>
    </row>
    <row r="59" spans="1:15" x14ac:dyDescent="0.3">
      <c r="A59" s="43">
        <f>IF(COUNTIF(FUNDS[FundCode],DEPTS[[#This Row],[FundCode]])&gt;0,0,1)</f>
        <v>0</v>
      </c>
      <c r="B59" s="43">
        <f>IF(COUNTIF(ACTIVITIES[ActivityCode],DEPTS[[#This Row],[ActivityCode]])&gt;0,0,1)</f>
        <v>0</v>
      </c>
      <c r="C59" s="43">
        <f>IF(COUNTIF(LEDGER[LedgerCode],DEPTS[[#This Row],[LedgerCode]])&gt;0,0,1)</f>
        <v>0</v>
      </c>
      <c r="D59" s="43">
        <f>IF(LEN(DEPTS[[#This Row],[DepartmentCode]])&lt;100,0,1)</f>
        <v>0</v>
      </c>
      <c r="E59" s="43">
        <f>IF(LEN(DEPTS[[#This Row],[Title]])&lt;100,0,1)</f>
        <v>0</v>
      </c>
      <c r="F59" s="43">
        <f>SUM(DEPTS[[#This Row],[FundIssue]:[Title length check]])</f>
        <v>0</v>
      </c>
      <c r="G59" t="s">
        <v>2142</v>
      </c>
      <c r="H59" t="s">
        <v>2143</v>
      </c>
      <c r="I59" t="b">
        <v>0</v>
      </c>
      <c r="J59" t="s">
        <v>51</v>
      </c>
      <c r="K59" t="s">
        <v>63</v>
      </c>
      <c r="L59" t="s">
        <v>63</v>
      </c>
      <c r="M59" t="s">
        <v>1966</v>
      </c>
      <c r="O59" t="b">
        <v>1</v>
      </c>
    </row>
    <row r="60" spans="1:15" x14ac:dyDescent="0.3">
      <c r="A60" s="43">
        <f>IF(COUNTIF(FUNDS[FundCode],DEPTS[[#This Row],[FundCode]])&gt;0,0,1)</f>
        <v>0</v>
      </c>
      <c r="B60" s="43">
        <f>IF(COUNTIF(ACTIVITIES[ActivityCode],DEPTS[[#This Row],[ActivityCode]])&gt;0,0,1)</f>
        <v>0</v>
      </c>
      <c r="C60" s="43">
        <f>IF(COUNTIF(LEDGER[LedgerCode],DEPTS[[#This Row],[LedgerCode]])&gt;0,0,1)</f>
        <v>0</v>
      </c>
      <c r="D60" s="43">
        <f>IF(LEN(DEPTS[[#This Row],[DepartmentCode]])&lt;100,0,1)</f>
        <v>0</v>
      </c>
      <c r="E60" s="43">
        <f>IF(LEN(DEPTS[[#This Row],[Title]])&lt;100,0,1)</f>
        <v>0</v>
      </c>
      <c r="F60" s="43">
        <f>SUM(DEPTS[[#This Row],[FundIssue]:[Title length check]])</f>
        <v>0</v>
      </c>
      <c r="G60" t="s">
        <v>2142</v>
      </c>
      <c r="H60" t="s">
        <v>2143</v>
      </c>
      <c r="I60" t="b">
        <v>0</v>
      </c>
      <c r="J60" t="s">
        <v>2126</v>
      </c>
      <c r="K60" t="s">
        <v>63</v>
      </c>
      <c r="L60" t="s">
        <v>63</v>
      </c>
      <c r="M60" t="s">
        <v>1532</v>
      </c>
      <c r="O60" t="b">
        <v>1</v>
      </c>
    </row>
    <row r="61" spans="1:15" x14ac:dyDescent="0.3">
      <c r="A61" s="43">
        <f>IF(COUNTIF(FUNDS[FundCode],DEPTS[[#This Row],[FundCode]])&gt;0,0,1)</f>
        <v>0</v>
      </c>
      <c r="B61" s="43">
        <f>IF(COUNTIF(ACTIVITIES[ActivityCode],DEPTS[[#This Row],[ActivityCode]])&gt;0,0,1)</f>
        <v>0</v>
      </c>
      <c r="C61" s="43">
        <f>IF(COUNTIF(LEDGER[LedgerCode],DEPTS[[#This Row],[LedgerCode]])&gt;0,0,1)</f>
        <v>0</v>
      </c>
      <c r="D61" s="43">
        <f>IF(LEN(DEPTS[[#This Row],[DepartmentCode]])&lt;100,0,1)</f>
        <v>0</v>
      </c>
      <c r="E61" s="43">
        <f>IF(LEN(DEPTS[[#This Row],[Title]])&lt;100,0,1)</f>
        <v>0</v>
      </c>
      <c r="F61" s="43">
        <f>SUM(DEPTS[[#This Row],[FundIssue]:[Title length check]])</f>
        <v>0</v>
      </c>
      <c r="G61" t="s">
        <v>2142</v>
      </c>
      <c r="H61" t="s">
        <v>2143</v>
      </c>
      <c r="I61" t="b">
        <v>0</v>
      </c>
      <c r="J61" t="s">
        <v>2082</v>
      </c>
      <c r="K61" t="s">
        <v>1963</v>
      </c>
      <c r="L61" t="s">
        <v>63</v>
      </c>
      <c r="M61" t="s">
        <v>1532</v>
      </c>
      <c r="O61" t="b">
        <v>1</v>
      </c>
    </row>
    <row r="62" spans="1:15" x14ac:dyDescent="0.3">
      <c r="A62" s="43">
        <f>IF(COUNTIF(FUNDS[FundCode],DEPTS[[#This Row],[FundCode]])&gt;0,0,1)</f>
        <v>0</v>
      </c>
      <c r="B62" s="43">
        <f>IF(COUNTIF(ACTIVITIES[ActivityCode],DEPTS[[#This Row],[ActivityCode]])&gt;0,0,1)</f>
        <v>0</v>
      </c>
      <c r="C62" s="43">
        <f>IF(COUNTIF(LEDGER[LedgerCode],DEPTS[[#This Row],[LedgerCode]])&gt;0,0,1)</f>
        <v>0</v>
      </c>
      <c r="D62" s="43">
        <f>IF(LEN(DEPTS[[#This Row],[DepartmentCode]])&lt;100,0,1)</f>
        <v>0</v>
      </c>
      <c r="E62" s="43">
        <f>IF(LEN(DEPTS[[#This Row],[Title]])&lt;100,0,1)</f>
        <v>0</v>
      </c>
      <c r="F62" s="43">
        <f>SUM(DEPTS[[#This Row],[FundIssue]:[Title length check]])</f>
        <v>0</v>
      </c>
      <c r="G62" t="s">
        <v>2142</v>
      </c>
      <c r="H62" t="s">
        <v>2144</v>
      </c>
      <c r="I62" t="b">
        <v>0</v>
      </c>
      <c r="J62" t="s">
        <v>2094</v>
      </c>
      <c r="K62" t="s">
        <v>63</v>
      </c>
      <c r="L62" t="s">
        <v>63</v>
      </c>
      <c r="M62" t="s">
        <v>1532</v>
      </c>
      <c r="O62" t="b">
        <v>1</v>
      </c>
    </row>
    <row r="63" spans="1:15" x14ac:dyDescent="0.3">
      <c r="A63" s="43">
        <f>IF(COUNTIF(FUNDS[FundCode],DEPTS[[#This Row],[FundCode]])&gt;0,0,1)</f>
        <v>0</v>
      </c>
      <c r="B63" s="43">
        <f>IF(COUNTIF(ACTIVITIES[ActivityCode],DEPTS[[#This Row],[ActivityCode]])&gt;0,0,1)</f>
        <v>0</v>
      </c>
      <c r="C63" s="43">
        <f>IF(COUNTIF(LEDGER[LedgerCode],DEPTS[[#This Row],[LedgerCode]])&gt;0,0,1)</f>
        <v>0</v>
      </c>
      <c r="D63" s="43">
        <f>IF(LEN(DEPTS[[#This Row],[DepartmentCode]])&lt;100,0,1)</f>
        <v>0</v>
      </c>
      <c r="E63" s="43">
        <f>IF(LEN(DEPTS[[#This Row],[Title]])&lt;100,0,1)</f>
        <v>0</v>
      </c>
      <c r="F63" s="43">
        <f>SUM(DEPTS[[#This Row],[FundIssue]:[Title length check]])</f>
        <v>0</v>
      </c>
      <c r="G63" t="s">
        <v>2145</v>
      </c>
      <c r="H63" t="s">
        <v>2146</v>
      </c>
      <c r="I63" t="b">
        <v>0</v>
      </c>
      <c r="J63" t="s">
        <v>51</v>
      </c>
      <c r="K63" t="s">
        <v>63</v>
      </c>
      <c r="L63" t="s">
        <v>63</v>
      </c>
      <c r="M63" t="s">
        <v>1966</v>
      </c>
      <c r="O63" t="b">
        <v>1</v>
      </c>
    </row>
    <row r="64" spans="1:15" x14ac:dyDescent="0.3">
      <c r="A64" s="43">
        <f>IF(COUNTIF(FUNDS[FundCode],DEPTS[[#This Row],[FundCode]])&gt;0,0,1)</f>
        <v>0</v>
      </c>
      <c r="B64" s="43">
        <f>IF(COUNTIF(ACTIVITIES[ActivityCode],DEPTS[[#This Row],[ActivityCode]])&gt;0,0,1)</f>
        <v>0</v>
      </c>
      <c r="C64" s="43">
        <f>IF(COUNTIF(LEDGER[LedgerCode],DEPTS[[#This Row],[LedgerCode]])&gt;0,0,1)</f>
        <v>0</v>
      </c>
      <c r="D64" s="43">
        <f>IF(LEN(DEPTS[[#This Row],[DepartmentCode]])&lt;100,0,1)</f>
        <v>0</v>
      </c>
      <c r="E64" s="43">
        <f>IF(LEN(DEPTS[[#This Row],[Title]])&lt;100,0,1)</f>
        <v>0</v>
      </c>
      <c r="F64" s="43">
        <f>SUM(DEPTS[[#This Row],[FundIssue]:[Title length check]])</f>
        <v>0</v>
      </c>
      <c r="G64" t="s">
        <v>2145</v>
      </c>
      <c r="H64" t="s">
        <v>2146</v>
      </c>
      <c r="I64" t="b">
        <v>0</v>
      </c>
      <c r="J64" t="s">
        <v>2094</v>
      </c>
      <c r="K64" t="s">
        <v>63</v>
      </c>
      <c r="L64" t="s">
        <v>63</v>
      </c>
      <c r="M64" t="s">
        <v>1532</v>
      </c>
      <c r="O64" t="b">
        <v>1</v>
      </c>
    </row>
    <row r="65" spans="1:15" x14ac:dyDescent="0.3">
      <c r="A65" s="43">
        <f>IF(COUNTIF(FUNDS[FundCode],DEPTS[[#This Row],[FundCode]])&gt;0,0,1)</f>
        <v>0</v>
      </c>
      <c r="B65" s="43">
        <f>IF(COUNTIF(ACTIVITIES[ActivityCode],DEPTS[[#This Row],[ActivityCode]])&gt;0,0,1)</f>
        <v>0</v>
      </c>
      <c r="C65" s="43">
        <f>IF(COUNTIF(LEDGER[LedgerCode],DEPTS[[#This Row],[LedgerCode]])&gt;0,0,1)</f>
        <v>0</v>
      </c>
      <c r="D65" s="43">
        <f>IF(LEN(DEPTS[[#This Row],[DepartmentCode]])&lt;100,0,1)</f>
        <v>0</v>
      </c>
      <c r="E65" s="43">
        <f>IF(LEN(DEPTS[[#This Row],[Title]])&lt;100,0,1)</f>
        <v>0</v>
      </c>
      <c r="F65" s="43">
        <f>SUM(DEPTS[[#This Row],[FundIssue]:[Title length check]])</f>
        <v>0</v>
      </c>
      <c r="G65" t="s">
        <v>2145</v>
      </c>
      <c r="H65" t="s">
        <v>2146</v>
      </c>
      <c r="I65" t="b">
        <v>0</v>
      </c>
      <c r="J65" t="s">
        <v>2082</v>
      </c>
      <c r="K65" t="s">
        <v>1963</v>
      </c>
      <c r="L65" t="s">
        <v>1764</v>
      </c>
      <c r="M65" t="s">
        <v>1532</v>
      </c>
      <c r="O65" t="b">
        <v>1</v>
      </c>
    </row>
    <row r="66" spans="1:15" x14ac:dyDescent="0.3">
      <c r="A66" s="43">
        <f>IF(COUNTIF(FUNDS[FundCode],DEPTS[[#This Row],[FundCode]])&gt;0,0,1)</f>
        <v>0</v>
      </c>
      <c r="B66" s="43">
        <f>IF(COUNTIF(ACTIVITIES[ActivityCode],DEPTS[[#This Row],[ActivityCode]])&gt;0,0,1)</f>
        <v>0</v>
      </c>
      <c r="C66" s="43">
        <f>IF(COUNTIF(LEDGER[LedgerCode],DEPTS[[#This Row],[LedgerCode]])&gt;0,0,1)</f>
        <v>0</v>
      </c>
      <c r="D66" s="43">
        <f>IF(LEN(DEPTS[[#This Row],[DepartmentCode]])&lt;100,0,1)</f>
        <v>0</v>
      </c>
      <c r="E66" s="43">
        <f>IF(LEN(DEPTS[[#This Row],[Title]])&lt;100,0,1)</f>
        <v>0</v>
      </c>
      <c r="F66" s="43">
        <f>SUM(DEPTS[[#This Row],[FundIssue]:[Title length check]])</f>
        <v>0</v>
      </c>
      <c r="G66" t="s">
        <v>2147</v>
      </c>
      <c r="H66" t="s">
        <v>2148</v>
      </c>
      <c r="I66" t="b">
        <v>0</v>
      </c>
      <c r="J66" t="s">
        <v>2094</v>
      </c>
      <c r="K66" t="s">
        <v>63</v>
      </c>
      <c r="L66" t="s">
        <v>63</v>
      </c>
      <c r="M66" t="s">
        <v>1532</v>
      </c>
      <c r="O66" t="b">
        <v>1</v>
      </c>
    </row>
    <row r="67" spans="1:15" x14ac:dyDescent="0.3">
      <c r="A67" s="43">
        <f>IF(COUNTIF(FUNDS[FundCode],DEPTS[[#This Row],[FundCode]])&gt;0,0,1)</f>
        <v>0</v>
      </c>
      <c r="B67" s="43">
        <f>IF(COUNTIF(ACTIVITIES[ActivityCode],DEPTS[[#This Row],[ActivityCode]])&gt;0,0,1)</f>
        <v>0</v>
      </c>
      <c r="C67" s="43">
        <f>IF(COUNTIF(LEDGER[LedgerCode],DEPTS[[#This Row],[LedgerCode]])&gt;0,0,1)</f>
        <v>0</v>
      </c>
      <c r="D67" s="43">
        <f>IF(LEN(DEPTS[[#This Row],[DepartmentCode]])&lt;100,0,1)</f>
        <v>0</v>
      </c>
      <c r="E67" s="43">
        <f>IF(LEN(DEPTS[[#This Row],[Title]])&lt;100,0,1)</f>
        <v>0</v>
      </c>
      <c r="F67" s="43">
        <f>SUM(DEPTS[[#This Row],[FundIssue]:[Title length check]])</f>
        <v>0</v>
      </c>
      <c r="G67" t="s">
        <v>2147</v>
      </c>
      <c r="H67" t="s">
        <v>2149</v>
      </c>
      <c r="I67" t="b">
        <v>0</v>
      </c>
      <c r="J67" t="s">
        <v>51</v>
      </c>
      <c r="K67" t="s">
        <v>63</v>
      </c>
      <c r="L67" t="s">
        <v>63</v>
      </c>
      <c r="M67" t="s">
        <v>1966</v>
      </c>
      <c r="O67" t="b">
        <v>1</v>
      </c>
    </row>
    <row r="68" spans="1:15" x14ac:dyDescent="0.3">
      <c r="A68" s="43">
        <f>IF(COUNTIF(FUNDS[FundCode],DEPTS[[#This Row],[FundCode]])&gt;0,0,1)</f>
        <v>0</v>
      </c>
      <c r="B68" s="43">
        <f>IF(COUNTIF(ACTIVITIES[ActivityCode],DEPTS[[#This Row],[ActivityCode]])&gt;0,0,1)</f>
        <v>0</v>
      </c>
      <c r="C68" s="43">
        <f>IF(COUNTIF(LEDGER[LedgerCode],DEPTS[[#This Row],[LedgerCode]])&gt;0,0,1)</f>
        <v>0</v>
      </c>
      <c r="D68" s="43">
        <f>IF(LEN(DEPTS[[#This Row],[DepartmentCode]])&lt;100,0,1)</f>
        <v>0</v>
      </c>
      <c r="E68" s="43">
        <f>IF(LEN(DEPTS[[#This Row],[Title]])&lt;100,0,1)</f>
        <v>0</v>
      </c>
      <c r="F68" s="43">
        <f>SUM(DEPTS[[#This Row],[FundIssue]:[Title length check]])</f>
        <v>0</v>
      </c>
      <c r="G68" t="s">
        <v>2147</v>
      </c>
      <c r="H68" t="s">
        <v>2149</v>
      </c>
      <c r="I68" t="b">
        <v>0</v>
      </c>
      <c r="J68" t="s">
        <v>2126</v>
      </c>
      <c r="K68" t="s">
        <v>63</v>
      </c>
      <c r="L68" t="s">
        <v>63</v>
      </c>
      <c r="M68" t="s">
        <v>1532</v>
      </c>
      <c r="O68" t="b">
        <v>1</v>
      </c>
    </row>
    <row r="69" spans="1:15" x14ac:dyDescent="0.3">
      <c r="A69" s="43">
        <f>IF(COUNTIF(FUNDS[FundCode],DEPTS[[#This Row],[FundCode]])&gt;0,0,1)</f>
        <v>0</v>
      </c>
      <c r="B69" s="43">
        <f>IF(COUNTIF(ACTIVITIES[ActivityCode],DEPTS[[#This Row],[ActivityCode]])&gt;0,0,1)</f>
        <v>0</v>
      </c>
      <c r="C69" s="43">
        <f>IF(COUNTIF(LEDGER[LedgerCode],DEPTS[[#This Row],[LedgerCode]])&gt;0,0,1)</f>
        <v>0</v>
      </c>
      <c r="D69" s="43">
        <f>IF(LEN(DEPTS[[#This Row],[DepartmentCode]])&lt;100,0,1)</f>
        <v>0</v>
      </c>
      <c r="E69" s="43">
        <f>IF(LEN(DEPTS[[#This Row],[Title]])&lt;100,0,1)</f>
        <v>0</v>
      </c>
      <c r="F69" s="43">
        <f>SUM(DEPTS[[#This Row],[FundIssue]:[Title length check]])</f>
        <v>0</v>
      </c>
      <c r="G69" t="s">
        <v>2147</v>
      </c>
      <c r="H69" t="s">
        <v>2149</v>
      </c>
      <c r="I69" t="b">
        <v>0</v>
      </c>
      <c r="J69" t="s">
        <v>2082</v>
      </c>
      <c r="K69" t="s">
        <v>1963</v>
      </c>
      <c r="L69" t="s">
        <v>63</v>
      </c>
      <c r="M69" t="s">
        <v>1532</v>
      </c>
      <c r="O69" t="b">
        <v>1</v>
      </c>
    </row>
    <row r="70" spans="1:15" x14ac:dyDescent="0.3">
      <c r="A70" s="43">
        <f>IF(COUNTIF(FUNDS[FundCode],DEPTS[[#This Row],[FundCode]])&gt;0,0,1)</f>
        <v>0</v>
      </c>
      <c r="B70" s="43">
        <f>IF(COUNTIF(ACTIVITIES[ActivityCode],DEPTS[[#This Row],[ActivityCode]])&gt;0,0,1)</f>
        <v>0</v>
      </c>
      <c r="C70" s="43">
        <f>IF(COUNTIF(LEDGER[LedgerCode],DEPTS[[#This Row],[LedgerCode]])&gt;0,0,1)</f>
        <v>0</v>
      </c>
      <c r="D70" s="43">
        <f>IF(LEN(DEPTS[[#This Row],[DepartmentCode]])&lt;100,0,1)</f>
        <v>0</v>
      </c>
      <c r="E70" s="43">
        <f>IF(LEN(DEPTS[[#This Row],[Title]])&lt;100,0,1)</f>
        <v>0</v>
      </c>
      <c r="F70" s="43">
        <f>SUM(DEPTS[[#This Row],[FundIssue]:[Title length check]])</f>
        <v>0</v>
      </c>
      <c r="G70" t="s">
        <v>2150</v>
      </c>
      <c r="H70" t="s">
        <v>2151</v>
      </c>
      <c r="I70" t="b">
        <v>0</v>
      </c>
      <c r="J70" t="s">
        <v>51</v>
      </c>
      <c r="K70" t="s">
        <v>63</v>
      </c>
      <c r="L70" t="s">
        <v>63</v>
      </c>
      <c r="M70" t="s">
        <v>1966</v>
      </c>
      <c r="O70" t="b">
        <v>1</v>
      </c>
    </row>
    <row r="71" spans="1:15" x14ac:dyDescent="0.3">
      <c r="A71" s="43">
        <f>IF(COUNTIF(FUNDS[FundCode],DEPTS[[#This Row],[FundCode]])&gt;0,0,1)</f>
        <v>0</v>
      </c>
      <c r="B71" s="43">
        <f>IF(COUNTIF(ACTIVITIES[ActivityCode],DEPTS[[#This Row],[ActivityCode]])&gt;0,0,1)</f>
        <v>0</v>
      </c>
      <c r="C71" s="43">
        <f>IF(COUNTIF(LEDGER[LedgerCode],DEPTS[[#This Row],[LedgerCode]])&gt;0,0,1)</f>
        <v>0</v>
      </c>
      <c r="D71" s="43">
        <f>IF(LEN(DEPTS[[#This Row],[DepartmentCode]])&lt;100,0,1)</f>
        <v>0</v>
      </c>
      <c r="E71" s="43">
        <f>IF(LEN(DEPTS[[#This Row],[Title]])&lt;100,0,1)</f>
        <v>0</v>
      </c>
      <c r="F71" s="43">
        <f>SUM(DEPTS[[#This Row],[FundIssue]:[Title length check]])</f>
        <v>0</v>
      </c>
      <c r="G71" t="s">
        <v>2150</v>
      </c>
      <c r="H71" t="s">
        <v>2151</v>
      </c>
      <c r="I71" t="b">
        <v>0</v>
      </c>
      <c r="J71" t="s">
        <v>2094</v>
      </c>
      <c r="K71" t="s">
        <v>63</v>
      </c>
      <c r="L71" t="s">
        <v>63</v>
      </c>
      <c r="M71" t="s">
        <v>1532</v>
      </c>
      <c r="O71" t="b">
        <v>1</v>
      </c>
    </row>
    <row r="72" spans="1:15" x14ac:dyDescent="0.3">
      <c r="A72" s="43">
        <f>IF(COUNTIF(FUNDS[FundCode],DEPTS[[#This Row],[FundCode]])&gt;0,0,1)</f>
        <v>0</v>
      </c>
      <c r="B72" s="43">
        <f>IF(COUNTIF(ACTIVITIES[ActivityCode],DEPTS[[#This Row],[ActivityCode]])&gt;0,0,1)</f>
        <v>0</v>
      </c>
      <c r="C72" s="43">
        <f>IF(COUNTIF(LEDGER[LedgerCode],DEPTS[[#This Row],[LedgerCode]])&gt;0,0,1)</f>
        <v>0</v>
      </c>
      <c r="D72" s="43">
        <f>IF(LEN(DEPTS[[#This Row],[DepartmentCode]])&lt;100,0,1)</f>
        <v>0</v>
      </c>
      <c r="E72" s="43">
        <f>IF(LEN(DEPTS[[#This Row],[Title]])&lt;100,0,1)</f>
        <v>0</v>
      </c>
      <c r="F72" s="43">
        <f>SUM(DEPTS[[#This Row],[FundIssue]:[Title length check]])</f>
        <v>0</v>
      </c>
      <c r="G72" t="s">
        <v>2152</v>
      </c>
      <c r="H72" t="s">
        <v>2153</v>
      </c>
      <c r="I72" t="b">
        <v>0</v>
      </c>
      <c r="J72" t="s">
        <v>2082</v>
      </c>
      <c r="K72" t="s">
        <v>1963</v>
      </c>
      <c r="L72" t="s">
        <v>1945</v>
      </c>
      <c r="M72" t="s">
        <v>1532</v>
      </c>
      <c r="O72" t="b">
        <v>1</v>
      </c>
    </row>
    <row r="73" spans="1:15" x14ac:dyDescent="0.3">
      <c r="A73" s="43">
        <f>IF(COUNTIF(FUNDS[FundCode],DEPTS[[#This Row],[FundCode]])&gt;0,0,1)</f>
        <v>0</v>
      </c>
      <c r="B73" s="43">
        <f>IF(COUNTIF(ACTIVITIES[ActivityCode],DEPTS[[#This Row],[ActivityCode]])&gt;0,0,1)</f>
        <v>0</v>
      </c>
      <c r="C73" s="43">
        <f>IF(COUNTIF(LEDGER[LedgerCode],DEPTS[[#This Row],[LedgerCode]])&gt;0,0,1)</f>
        <v>0</v>
      </c>
      <c r="D73" s="43">
        <f>IF(LEN(DEPTS[[#This Row],[DepartmentCode]])&lt;100,0,1)</f>
        <v>0</v>
      </c>
      <c r="E73" s="43">
        <f>IF(LEN(DEPTS[[#This Row],[Title]])&lt;100,0,1)</f>
        <v>0</v>
      </c>
      <c r="F73" s="43">
        <f>SUM(DEPTS[[#This Row],[FundIssue]:[Title length check]])</f>
        <v>0</v>
      </c>
      <c r="G73" t="s">
        <v>2154</v>
      </c>
      <c r="H73" t="s">
        <v>2155</v>
      </c>
      <c r="I73" t="b">
        <v>0</v>
      </c>
      <c r="J73" t="s">
        <v>51</v>
      </c>
      <c r="K73" t="s">
        <v>63</v>
      </c>
      <c r="L73" t="s">
        <v>63</v>
      </c>
      <c r="M73" t="s">
        <v>1966</v>
      </c>
      <c r="O73" t="b">
        <v>1</v>
      </c>
    </row>
    <row r="74" spans="1:15" x14ac:dyDescent="0.3">
      <c r="A74" s="43">
        <f>IF(COUNTIF(FUNDS[FundCode],DEPTS[[#This Row],[FundCode]])&gt;0,0,1)</f>
        <v>0</v>
      </c>
      <c r="B74" s="43">
        <f>IF(COUNTIF(ACTIVITIES[ActivityCode],DEPTS[[#This Row],[ActivityCode]])&gt;0,0,1)</f>
        <v>0</v>
      </c>
      <c r="C74" s="43">
        <f>IF(COUNTIF(LEDGER[LedgerCode],DEPTS[[#This Row],[LedgerCode]])&gt;0,0,1)</f>
        <v>0</v>
      </c>
      <c r="D74" s="43">
        <f>IF(LEN(DEPTS[[#This Row],[DepartmentCode]])&lt;100,0,1)</f>
        <v>0</v>
      </c>
      <c r="E74" s="43">
        <f>IF(LEN(DEPTS[[#This Row],[Title]])&lt;100,0,1)</f>
        <v>0</v>
      </c>
      <c r="F74" s="43">
        <f>SUM(DEPTS[[#This Row],[FundIssue]:[Title length check]])</f>
        <v>0</v>
      </c>
      <c r="G74" t="s">
        <v>2154</v>
      </c>
      <c r="H74" t="s">
        <v>2155</v>
      </c>
      <c r="I74" t="b">
        <v>0</v>
      </c>
      <c r="J74" t="s">
        <v>2094</v>
      </c>
      <c r="K74" t="s">
        <v>63</v>
      </c>
      <c r="L74" t="s">
        <v>63</v>
      </c>
      <c r="M74" t="s">
        <v>1532</v>
      </c>
      <c r="O74" t="b">
        <v>1</v>
      </c>
    </row>
    <row r="75" spans="1:15" x14ac:dyDescent="0.3">
      <c r="A75" s="43">
        <f>IF(COUNTIF(FUNDS[FundCode],DEPTS[[#This Row],[FundCode]])&gt;0,0,1)</f>
        <v>0</v>
      </c>
      <c r="B75" s="43">
        <f>IF(COUNTIF(ACTIVITIES[ActivityCode],DEPTS[[#This Row],[ActivityCode]])&gt;0,0,1)</f>
        <v>0</v>
      </c>
      <c r="C75" s="43">
        <f>IF(COUNTIF(LEDGER[LedgerCode],DEPTS[[#This Row],[LedgerCode]])&gt;0,0,1)</f>
        <v>0</v>
      </c>
      <c r="D75" s="43">
        <f>IF(LEN(DEPTS[[#This Row],[DepartmentCode]])&lt;100,0,1)</f>
        <v>0</v>
      </c>
      <c r="E75" s="43">
        <f>IF(LEN(DEPTS[[#This Row],[Title]])&lt;100,0,1)</f>
        <v>0</v>
      </c>
      <c r="F75" s="43">
        <f>SUM(DEPTS[[#This Row],[FundIssue]:[Title length check]])</f>
        <v>0</v>
      </c>
      <c r="G75" t="s">
        <v>2156</v>
      </c>
      <c r="H75" t="s">
        <v>2157</v>
      </c>
      <c r="I75" t="b">
        <v>0</v>
      </c>
      <c r="J75" t="s">
        <v>51</v>
      </c>
      <c r="K75" t="s">
        <v>63</v>
      </c>
      <c r="L75" t="s">
        <v>63</v>
      </c>
      <c r="M75" t="s">
        <v>1966</v>
      </c>
      <c r="O75" t="b">
        <v>1</v>
      </c>
    </row>
    <row r="76" spans="1:15" x14ac:dyDescent="0.3">
      <c r="A76" s="43">
        <f>IF(COUNTIF(FUNDS[FundCode],DEPTS[[#This Row],[FundCode]])&gt;0,0,1)</f>
        <v>0</v>
      </c>
      <c r="B76" s="43">
        <f>IF(COUNTIF(ACTIVITIES[ActivityCode],DEPTS[[#This Row],[ActivityCode]])&gt;0,0,1)</f>
        <v>0</v>
      </c>
      <c r="C76" s="43">
        <f>IF(COUNTIF(LEDGER[LedgerCode],DEPTS[[#This Row],[LedgerCode]])&gt;0,0,1)</f>
        <v>0</v>
      </c>
      <c r="D76" s="43">
        <f>IF(LEN(DEPTS[[#This Row],[DepartmentCode]])&lt;100,0,1)</f>
        <v>0</v>
      </c>
      <c r="E76" s="43">
        <f>IF(LEN(DEPTS[[#This Row],[Title]])&lt;100,0,1)</f>
        <v>0</v>
      </c>
      <c r="F76" s="43">
        <f>SUM(DEPTS[[#This Row],[FundIssue]:[Title length check]])</f>
        <v>0</v>
      </c>
      <c r="G76" t="s">
        <v>2156</v>
      </c>
      <c r="H76" t="s">
        <v>2157</v>
      </c>
      <c r="I76" t="b">
        <v>0</v>
      </c>
      <c r="J76" t="s">
        <v>4155</v>
      </c>
      <c r="K76" t="s">
        <v>63</v>
      </c>
      <c r="L76" t="s">
        <v>63</v>
      </c>
      <c r="M76" t="s">
        <v>1532</v>
      </c>
      <c r="O76" t="b">
        <v>1</v>
      </c>
    </row>
    <row r="77" spans="1:15" x14ac:dyDescent="0.3">
      <c r="A77" s="43">
        <f>IF(COUNTIF(FUNDS[FundCode],DEPTS[[#This Row],[FundCode]])&gt;0,0,1)</f>
        <v>0</v>
      </c>
      <c r="B77" s="43">
        <f>IF(COUNTIF(ACTIVITIES[ActivityCode],DEPTS[[#This Row],[ActivityCode]])&gt;0,0,1)</f>
        <v>0</v>
      </c>
      <c r="C77" s="43">
        <f>IF(COUNTIF(LEDGER[LedgerCode],DEPTS[[#This Row],[LedgerCode]])&gt;0,0,1)</f>
        <v>0</v>
      </c>
      <c r="D77" s="43">
        <f>IF(LEN(DEPTS[[#This Row],[DepartmentCode]])&lt;100,0,1)</f>
        <v>0</v>
      </c>
      <c r="E77" s="43">
        <f>IF(LEN(DEPTS[[#This Row],[Title]])&lt;100,0,1)</f>
        <v>0</v>
      </c>
      <c r="F77" s="43">
        <f>SUM(DEPTS[[#This Row],[FundIssue]:[Title length check]])</f>
        <v>0</v>
      </c>
      <c r="G77" t="s">
        <v>2156</v>
      </c>
      <c r="H77" t="s">
        <v>2157</v>
      </c>
      <c r="I77" t="b">
        <v>0</v>
      </c>
      <c r="J77" t="s">
        <v>2082</v>
      </c>
      <c r="K77" t="s">
        <v>1963</v>
      </c>
      <c r="L77" t="s">
        <v>63</v>
      </c>
      <c r="M77" t="s">
        <v>1532</v>
      </c>
      <c r="O77" t="b">
        <v>1</v>
      </c>
    </row>
    <row r="78" spans="1:15" x14ac:dyDescent="0.3">
      <c r="A78" s="43">
        <f>IF(COUNTIF(FUNDS[FundCode],DEPTS[[#This Row],[FundCode]])&gt;0,0,1)</f>
        <v>0</v>
      </c>
      <c r="B78" s="43">
        <f>IF(COUNTIF(ACTIVITIES[ActivityCode],DEPTS[[#This Row],[ActivityCode]])&gt;0,0,1)</f>
        <v>0</v>
      </c>
      <c r="C78" s="43">
        <f>IF(COUNTIF(LEDGER[LedgerCode],DEPTS[[#This Row],[LedgerCode]])&gt;0,0,1)</f>
        <v>0</v>
      </c>
      <c r="D78" s="43">
        <f>IF(LEN(DEPTS[[#This Row],[DepartmentCode]])&lt;100,0,1)</f>
        <v>0</v>
      </c>
      <c r="E78" s="43">
        <f>IF(LEN(DEPTS[[#This Row],[Title]])&lt;100,0,1)</f>
        <v>0</v>
      </c>
      <c r="F78" s="43">
        <f>SUM(DEPTS[[#This Row],[FundIssue]:[Title length check]])</f>
        <v>0</v>
      </c>
      <c r="G78" t="s">
        <v>2158</v>
      </c>
      <c r="H78" t="s">
        <v>2159</v>
      </c>
      <c r="I78" t="b">
        <v>0</v>
      </c>
      <c r="J78" t="s">
        <v>51</v>
      </c>
      <c r="K78" t="s">
        <v>63</v>
      </c>
      <c r="L78" t="s">
        <v>63</v>
      </c>
      <c r="M78" t="s">
        <v>1966</v>
      </c>
      <c r="O78" t="b">
        <v>1</v>
      </c>
    </row>
    <row r="79" spans="1:15" x14ac:dyDescent="0.3">
      <c r="A79" s="43">
        <f>IF(COUNTIF(FUNDS[FundCode],DEPTS[[#This Row],[FundCode]])&gt;0,0,1)</f>
        <v>0</v>
      </c>
      <c r="B79" s="43">
        <f>IF(COUNTIF(ACTIVITIES[ActivityCode],DEPTS[[#This Row],[ActivityCode]])&gt;0,0,1)</f>
        <v>0</v>
      </c>
      <c r="C79" s="43">
        <f>IF(COUNTIF(LEDGER[LedgerCode],DEPTS[[#This Row],[LedgerCode]])&gt;0,0,1)</f>
        <v>0</v>
      </c>
      <c r="D79" s="43">
        <f>IF(LEN(DEPTS[[#This Row],[DepartmentCode]])&lt;100,0,1)</f>
        <v>0</v>
      </c>
      <c r="E79" s="43">
        <f>IF(LEN(DEPTS[[#This Row],[Title]])&lt;100,0,1)</f>
        <v>0</v>
      </c>
      <c r="F79" s="43">
        <f>SUM(DEPTS[[#This Row],[FundIssue]:[Title length check]])</f>
        <v>0</v>
      </c>
      <c r="G79" t="s">
        <v>2160</v>
      </c>
      <c r="H79" t="s">
        <v>2161</v>
      </c>
      <c r="I79" t="b">
        <v>0</v>
      </c>
      <c r="J79" t="s">
        <v>51</v>
      </c>
      <c r="K79" t="s">
        <v>1963</v>
      </c>
      <c r="L79" t="s">
        <v>63</v>
      </c>
      <c r="M79" t="s">
        <v>1966</v>
      </c>
      <c r="O79" t="b">
        <v>1</v>
      </c>
    </row>
    <row r="80" spans="1:15" x14ac:dyDescent="0.3">
      <c r="A80" s="43">
        <f>IF(COUNTIF(FUNDS[FundCode],DEPTS[[#This Row],[FundCode]])&gt;0,0,1)</f>
        <v>0</v>
      </c>
      <c r="B80" s="43">
        <f>IF(COUNTIF(ACTIVITIES[ActivityCode],DEPTS[[#This Row],[ActivityCode]])&gt;0,0,1)</f>
        <v>0</v>
      </c>
      <c r="C80" s="43">
        <f>IF(COUNTIF(LEDGER[LedgerCode],DEPTS[[#This Row],[LedgerCode]])&gt;0,0,1)</f>
        <v>0</v>
      </c>
      <c r="D80" s="43">
        <f>IF(LEN(DEPTS[[#This Row],[DepartmentCode]])&lt;100,0,1)</f>
        <v>0</v>
      </c>
      <c r="E80" s="43">
        <f>IF(LEN(DEPTS[[#This Row],[Title]])&lt;100,0,1)</f>
        <v>0</v>
      </c>
      <c r="F80" s="43">
        <f>SUM(DEPTS[[#This Row],[FundIssue]:[Title length check]])</f>
        <v>0</v>
      </c>
      <c r="G80" t="s">
        <v>2160</v>
      </c>
      <c r="H80" t="s">
        <v>2161</v>
      </c>
      <c r="I80" t="b">
        <v>0</v>
      </c>
      <c r="J80" t="s">
        <v>2094</v>
      </c>
      <c r="K80" t="s">
        <v>1963</v>
      </c>
      <c r="L80" t="s">
        <v>63</v>
      </c>
      <c r="M80" t="s">
        <v>1532</v>
      </c>
      <c r="O80" t="b">
        <v>1</v>
      </c>
    </row>
    <row r="81" spans="1:15" x14ac:dyDescent="0.3">
      <c r="A81" s="43">
        <f>IF(COUNTIF(FUNDS[FundCode],DEPTS[[#This Row],[FundCode]])&gt;0,0,1)</f>
        <v>0</v>
      </c>
      <c r="B81" s="43">
        <f>IF(COUNTIF(ACTIVITIES[ActivityCode],DEPTS[[#This Row],[ActivityCode]])&gt;0,0,1)</f>
        <v>0</v>
      </c>
      <c r="C81" s="43">
        <f>IF(COUNTIF(LEDGER[LedgerCode],DEPTS[[#This Row],[LedgerCode]])&gt;0,0,1)</f>
        <v>0</v>
      </c>
      <c r="D81" s="43">
        <f>IF(LEN(DEPTS[[#This Row],[DepartmentCode]])&lt;100,0,1)</f>
        <v>0</v>
      </c>
      <c r="E81" s="43">
        <f>IF(LEN(DEPTS[[#This Row],[Title]])&lt;100,0,1)</f>
        <v>0</v>
      </c>
      <c r="F81" s="43">
        <f>SUM(DEPTS[[#This Row],[FundIssue]:[Title length check]])</f>
        <v>0</v>
      </c>
      <c r="G81" t="s">
        <v>2162</v>
      </c>
      <c r="H81" t="s">
        <v>2163</v>
      </c>
      <c r="I81" t="b">
        <v>0</v>
      </c>
      <c r="J81" t="s">
        <v>51</v>
      </c>
      <c r="K81" t="s">
        <v>63</v>
      </c>
      <c r="L81" t="s">
        <v>63</v>
      </c>
      <c r="M81" t="s">
        <v>1966</v>
      </c>
      <c r="O81" t="b">
        <v>1</v>
      </c>
    </row>
    <row r="82" spans="1:15" x14ac:dyDescent="0.3">
      <c r="A82" s="43">
        <f>IF(COUNTIF(FUNDS[FundCode],DEPTS[[#This Row],[FundCode]])&gt;0,0,1)</f>
        <v>0</v>
      </c>
      <c r="B82" s="43">
        <f>IF(COUNTIF(ACTIVITIES[ActivityCode],DEPTS[[#This Row],[ActivityCode]])&gt;0,0,1)</f>
        <v>0</v>
      </c>
      <c r="C82" s="43">
        <f>IF(COUNTIF(LEDGER[LedgerCode],DEPTS[[#This Row],[LedgerCode]])&gt;0,0,1)</f>
        <v>0</v>
      </c>
      <c r="D82" s="43">
        <f>IF(LEN(DEPTS[[#This Row],[DepartmentCode]])&lt;100,0,1)</f>
        <v>0</v>
      </c>
      <c r="E82" s="43">
        <f>IF(LEN(DEPTS[[#This Row],[Title]])&lt;100,0,1)</f>
        <v>0</v>
      </c>
      <c r="F82" s="43">
        <f>SUM(DEPTS[[#This Row],[FundIssue]:[Title length check]])</f>
        <v>0</v>
      </c>
      <c r="G82" t="s">
        <v>2162</v>
      </c>
      <c r="H82" t="s">
        <v>2163</v>
      </c>
      <c r="I82" t="b">
        <v>0</v>
      </c>
      <c r="J82" t="s">
        <v>2094</v>
      </c>
      <c r="K82" t="s">
        <v>63</v>
      </c>
      <c r="L82" t="s">
        <v>63</v>
      </c>
      <c r="M82" t="s">
        <v>1532</v>
      </c>
      <c r="O82" t="b">
        <v>1</v>
      </c>
    </row>
    <row r="83" spans="1:15" x14ac:dyDescent="0.3">
      <c r="A83" s="43">
        <f>IF(COUNTIF(FUNDS[FundCode],DEPTS[[#This Row],[FundCode]])&gt;0,0,1)</f>
        <v>0</v>
      </c>
      <c r="B83" s="43">
        <f>IF(COUNTIF(ACTIVITIES[ActivityCode],DEPTS[[#This Row],[ActivityCode]])&gt;0,0,1)</f>
        <v>0</v>
      </c>
      <c r="C83" s="43">
        <f>IF(COUNTIF(LEDGER[LedgerCode],DEPTS[[#This Row],[LedgerCode]])&gt;0,0,1)</f>
        <v>0</v>
      </c>
      <c r="D83" s="43">
        <f>IF(LEN(DEPTS[[#This Row],[DepartmentCode]])&lt;100,0,1)</f>
        <v>0</v>
      </c>
      <c r="E83" s="43">
        <f>IF(LEN(DEPTS[[#This Row],[Title]])&lt;100,0,1)</f>
        <v>0</v>
      </c>
      <c r="F83" s="43">
        <f>SUM(DEPTS[[#This Row],[FundIssue]:[Title length check]])</f>
        <v>0</v>
      </c>
      <c r="G83" t="s">
        <v>2164</v>
      </c>
      <c r="H83" t="s">
        <v>2165</v>
      </c>
      <c r="I83" t="b">
        <v>0</v>
      </c>
      <c r="J83" t="s">
        <v>2126</v>
      </c>
      <c r="K83" t="s">
        <v>63</v>
      </c>
      <c r="L83" t="s">
        <v>63</v>
      </c>
      <c r="M83" t="s">
        <v>1532</v>
      </c>
      <c r="O83" t="b">
        <v>1</v>
      </c>
    </row>
    <row r="84" spans="1:15" x14ac:dyDescent="0.3">
      <c r="A84" s="43">
        <f>IF(COUNTIF(FUNDS[FundCode],DEPTS[[#This Row],[FundCode]])&gt;0,0,1)</f>
        <v>0</v>
      </c>
      <c r="B84" s="43">
        <f>IF(COUNTIF(ACTIVITIES[ActivityCode],DEPTS[[#This Row],[ActivityCode]])&gt;0,0,1)</f>
        <v>0</v>
      </c>
      <c r="C84" s="43">
        <f>IF(COUNTIF(LEDGER[LedgerCode],DEPTS[[#This Row],[LedgerCode]])&gt;0,0,1)</f>
        <v>0</v>
      </c>
      <c r="D84" s="43">
        <f>IF(LEN(DEPTS[[#This Row],[DepartmentCode]])&lt;100,0,1)</f>
        <v>0</v>
      </c>
      <c r="E84" s="43">
        <f>IF(LEN(DEPTS[[#This Row],[Title]])&lt;100,0,1)</f>
        <v>0</v>
      </c>
      <c r="F84" s="43">
        <f>SUM(DEPTS[[#This Row],[FundIssue]:[Title length check]])</f>
        <v>0</v>
      </c>
      <c r="G84" t="s">
        <v>2166</v>
      </c>
      <c r="H84" t="s">
        <v>2167</v>
      </c>
      <c r="I84" t="b">
        <v>0</v>
      </c>
      <c r="J84" t="s">
        <v>51</v>
      </c>
      <c r="K84" t="s">
        <v>63</v>
      </c>
      <c r="L84" t="s">
        <v>63</v>
      </c>
      <c r="M84" t="s">
        <v>1966</v>
      </c>
      <c r="O84" t="b">
        <v>1</v>
      </c>
    </row>
    <row r="85" spans="1:15" x14ac:dyDescent="0.3">
      <c r="A85" s="43">
        <f>IF(COUNTIF(FUNDS[FundCode],DEPTS[[#This Row],[FundCode]])&gt;0,0,1)</f>
        <v>0</v>
      </c>
      <c r="B85" s="43">
        <f>IF(COUNTIF(ACTIVITIES[ActivityCode],DEPTS[[#This Row],[ActivityCode]])&gt;0,0,1)</f>
        <v>0</v>
      </c>
      <c r="C85" s="43">
        <f>IF(COUNTIF(LEDGER[LedgerCode],DEPTS[[#This Row],[LedgerCode]])&gt;0,0,1)</f>
        <v>0</v>
      </c>
      <c r="D85" s="43">
        <f>IF(LEN(DEPTS[[#This Row],[DepartmentCode]])&lt;100,0,1)</f>
        <v>0</v>
      </c>
      <c r="E85" s="43">
        <f>IF(LEN(DEPTS[[#This Row],[Title]])&lt;100,0,1)</f>
        <v>0</v>
      </c>
      <c r="F85" s="43">
        <f>SUM(DEPTS[[#This Row],[FundIssue]:[Title length check]])</f>
        <v>0</v>
      </c>
      <c r="G85" t="s">
        <v>2166</v>
      </c>
      <c r="H85" t="s">
        <v>2167</v>
      </c>
      <c r="I85" t="b">
        <v>0</v>
      </c>
      <c r="J85" t="s">
        <v>4155</v>
      </c>
      <c r="K85" t="s">
        <v>63</v>
      </c>
      <c r="L85" t="s">
        <v>63</v>
      </c>
      <c r="M85" t="s">
        <v>1532</v>
      </c>
      <c r="O85" t="b">
        <v>1</v>
      </c>
    </row>
    <row r="86" spans="1:15" x14ac:dyDescent="0.3">
      <c r="A86" s="43">
        <f>IF(COUNTIF(FUNDS[FundCode],DEPTS[[#This Row],[FundCode]])&gt;0,0,1)</f>
        <v>0</v>
      </c>
      <c r="B86" s="43">
        <f>IF(COUNTIF(ACTIVITIES[ActivityCode],DEPTS[[#This Row],[ActivityCode]])&gt;0,0,1)</f>
        <v>0</v>
      </c>
      <c r="C86" s="43">
        <f>IF(COUNTIF(LEDGER[LedgerCode],DEPTS[[#This Row],[LedgerCode]])&gt;0,0,1)</f>
        <v>0</v>
      </c>
      <c r="D86" s="43">
        <f>IF(LEN(DEPTS[[#This Row],[DepartmentCode]])&lt;100,0,1)</f>
        <v>0</v>
      </c>
      <c r="E86" s="43">
        <f>IF(LEN(DEPTS[[#This Row],[Title]])&lt;100,0,1)</f>
        <v>0</v>
      </c>
      <c r="F86" s="43">
        <f>SUM(DEPTS[[#This Row],[FundIssue]:[Title length check]])</f>
        <v>0</v>
      </c>
      <c r="G86" t="s">
        <v>2166</v>
      </c>
      <c r="H86" t="s">
        <v>2167</v>
      </c>
      <c r="I86" t="b">
        <v>0</v>
      </c>
      <c r="J86" t="s">
        <v>2082</v>
      </c>
      <c r="K86" t="s">
        <v>1963</v>
      </c>
      <c r="L86" t="s">
        <v>63</v>
      </c>
      <c r="M86" t="s">
        <v>1532</v>
      </c>
      <c r="O86" t="b">
        <v>1</v>
      </c>
    </row>
    <row r="87" spans="1:15" x14ac:dyDescent="0.3">
      <c r="A87" s="43">
        <f>IF(COUNTIF(FUNDS[FundCode],DEPTS[[#This Row],[FundCode]])&gt;0,0,1)</f>
        <v>0</v>
      </c>
      <c r="B87" s="43">
        <f>IF(COUNTIF(ACTIVITIES[ActivityCode],DEPTS[[#This Row],[ActivityCode]])&gt;0,0,1)</f>
        <v>0</v>
      </c>
      <c r="C87" s="43">
        <f>IF(COUNTIF(LEDGER[LedgerCode],DEPTS[[#This Row],[LedgerCode]])&gt;0,0,1)</f>
        <v>0</v>
      </c>
      <c r="D87" s="43">
        <f>IF(LEN(DEPTS[[#This Row],[DepartmentCode]])&lt;100,0,1)</f>
        <v>0</v>
      </c>
      <c r="E87" s="43">
        <f>IF(LEN(DEPTS[[#This Row],[Title]])&lt;100,0,1)</f>
        <v>0</v>
      </c>
      <c r="F87" s="43">
        <f>SUM(DEPTS[[#This Row],[FundIssue]:[Title length check]])</f>
        <v>0</v>
      </c>
      <c r="G87" t="s">
        <v>2168</v>
      </c>
      <c r="H87" t="s">
        <v>2169</v>
      </c>
      <c r="I87" t="b">
        <v>0</v>
      </c>
      <c r="J87" t="s">
        <v>51</v>
      </c>
      <c r="K87" t="s">
        <v>63</v>
      </c>
      <c r="L87" t="s">
        <v>63</v>
      </c>
      <c r="M87" t="s">
        <v>1966</v>
      </c>
      <c r="O87" t="b">
        <v>1</v>
      </c>
    </row>
    <row r="88" spans="1:15" x14ac:dyDescent="0.3">
      <c r="A88" s="43">
        <f>IF(COUNTIF(FUNDS[FundCode],DEPTS[[#This Row],[FundCode]])&gt;0,0,1)</f>
        <v>0</v>
      </c>
      <c r="B88" s="43">
        <f>IF(COUNTIF(ACTIVITIES[ActivityCode],DEPTS[[#This Row],[ActivityCode]])&gt;0,0,1)</f>
        <v>0</v>
      </c>
      <c r="C88" s="43">
        <f>IF(COUNTIF(LEDGER[LedgerCode],DEPTS[[#This Row],[LedgerCode]])&gt;0,0,1)</f>
        <v>0</v>
      </c>
      <c r="D88" s="43">
        <f>IF(LEN(DEPTS[[#This Row],[DepartmentCode]])&lt;100,0,1)</f>
        <v>0</v>
      </c>
      <c r="E88" s="43">
        <f>IF(LEN(DEPTS[[#This Row],[Title]])&lt;100,0,1)</f>
        <v>0</v>
      </c>
      <c r="F88" s="43">
        <f>SUM(DEPTS[[#This Row],[FundIssue]:[Title length check]])</f>
        <v>0</v>
      </c>
      <c r="G88" t="s">
        <v>2168</v>
      </c>
      <c r="H88" t="s">
        <v>2169</v>
      </c>
      <c r="I88" t="b">
        <v>0</v>
      </c>
      <c r="J88" t="s">
        <v>4155</v>
      </c>
      <c r="K88" t="s">
        <v>63</v>
      </c>
      <c r="L88" t="s">
        <v>63</v>
      </c>
      <c r="M88" t="s">
        <v>1532</v>
      </c>
      <c r="O88" t="b">
        <v>1</v>
      </c>
    </row>
    <row r="89" spans="1:15" x14ac:dyDescent="0.3">
      <c r="A89" s="43">
        <f>IF(COUNTIF(FUNDS[FundCode],DEPTS[[#This Row],[FundCode]])&gt;0,0,1)</f>
        <v>0</v>
      </c>
      <c r="B89" s="43">
        <f>IF(COUNTIF(ACTIVITIES[ActivityCode],DEPTS[[#This Row],[ActivityCode]])&gt;0,0,1)</f>
        <v>0</v>
      </c>
      <c r="C89" s="43">
        <f>IF(COUNTIF(LEDGER[LedgerCode],DEPTS[[#This Row],[LedgerCode]])&gt;0,0,1)</f>
        <v>0</v>
      </c>
      <c r="D89" s="43">
        <f>IF(LEN(DEPTS[[#This Row],[DepartmentCode]])&lt;100,0,1)</f>
        <v>0</v>
      </c>
      <c r="E89" s="43">
        <f>IF(LEN(DEPTS[[#This Row],[Title]])&lt;100,0,1)</f>
        <v>0</v>
      </c>
      <c r="F89" s="43">
        <f>SUM(DEPTS[[#This Row],[FundIssue]:[Title length check]])</f>
        <v>0</v>
      </c>
      <c r="G89" t="s">
        <v>2168</v>
      </c>
      <c r="H89" t="s">
        <v>2169</v>
      </c>
      <c r="I89" t="b">
        <v>0</v>
      </c>
      <c r="J89" t="s">
        <v>2082</v>
      </c>
      <c r="K89" t="s">
        <v>1963</v>
      </c>
      <c r="L89" t="s">
        <v>63</v>
      </c>
      <c r="M89" t="s">
        <v>1532</v>
      </c>
      <c r="O89" t="b">
        <v>1</v>
      </c>
    </row>
    <row r="90" spans="1:15" x14ac:dyDescent="0.3">
      <c r="A90" s="43">
        <f>IF(COUNTIF(FUNDS[FundCode],DEPTS[[#This Row],[FundCode]])&gt;0,0,1)</f>
        <v>0</v>
      </c>
      <c r="B90" s="43">
        <f>IF(COUNTIF(ACTIVITIES[ActivityCode],DEPTS[[#This Row],[ActivityCode]])&gt;0,0,1)</f>
        <v>0</v>
      </c>
      <c r="C90" s="43">
        <f>IF(COUNTIF(LEDGER[LedgerCode],DEPTS[[#This Row],[LedgerCode]])&gt;0,0,1)</f>
        <v>0</v>
      </c>
      <c r="D90" s="43">
        <f>IF(LEN(DEPTS[[#This Row],[DepartmentCode]])&lt;100,0,1)</f>
        <v>0</v>
      </c>
      <c r="E90" s="43">
        <f>IF(LEN(DEPTS[[#This Row],[Title]])&lt;100,0,1)</f>
        <v>0</v>
      </c>
      <c r="F90" s="43">
        <f>SUM(DEPTS[[#This Row],[FundIssue]:[Title length check]])</f>
        <v>0</v>
      </c>
      <c r="G90" t="s">
        <v>2170</v>
      </c>
      <c r="H90" t="s">
        <v>2171</v>
      </c>
      <c r="I90" t="b">
        <v>0</v>
      </c>
      <c r="J90" t="s">
        <v>51</v>
      </c>
      <c r="K90" t="s">
        <v>63</v>
      </c>
      <c r="L90" t="s">
        <v>63</v>
      </c>
      <c r="M90" t="s">
        <v>1966</v>
      </c>
      <c r="O90" t="b">
        <v>1</v>
      </c>
    </row>
    <row r="91" spans="1:15" x14ac:dyDescent="0.3">
      <c r="A91" s="43">
        <f>IF(COUNTIF(FUNDS[FundCode],DEPTS[[#This Row],[FundCode]])&gt;0,0,1)</f>
        <v>0</v>
      </c>
      <c r="B91" s="43">
        <f>IF(COUNTIF(ACTIVITIES[ActivityCode],DEPTS[[#This Row],[ActivityCode]])&gt;0,0,1)</f>
        <v>0</v>
      </c>
      <c r="C91" s="43">
        <f>IF(COUNTIF(LEDGER[LedgerCode],DEPTS[[#This Row],[LedgerCode]])&gt;0,0,1)</f>
        <v>0</v>
      </c>
      <c r="D91" s="43">
        <f>IF(LEN(DEPTS[[#This Row],[DepartmentCode]])&lt;100,0,1)</f>
        <v>0</v>
      </c>
      <c r="E91" s="43">
        <f>IF(LEN(DEPTS[[#This Row],[Title]])&lt;100,0,1)</f>
        <v>0</v>
      </c>
      <c r="F91" s="43">
        <f>SUM(DEPTS[[#This Row],[FundIssue]:[Title length check]])</f>
        <v>0</v>
      </c>
      <c r="G91" t="s">
        <v>2170</v>
      </c>
      <c r="H91" t="s">
        <v>2171</v>
      </c>
      <c r="I91" t="b">
        <v>0</v>
      </c>
      <c r="J91" t="s">
        <v>2094</v>
      </c>
      <c r="K91" t="s">
        <v>63</v>
      </c>
      <c r="L91" t="s">
        <v>63</v>
      </c>
      <c r="M91" t="s">
        <v>1532</v>
      </c>
      <c r="O91" t="b">
        <v>1</v>
      </c>
    </row>
    <row r="92" spans="1:15" x14ac:dyDescent="0.3">
      <c r="A92" s="43">
        <f>IF(COUNTIF(FUNDS[FundCode],DEPTS[[#This Row],[FundCode]])&gt;0,0,1)</f>
        <v>0</v>
      </c>
      <c r="B92" s="43">
        <f>IF(COUNTIF(ACTIVITIES[ActivityCode],DEPTS[[#This Row],[ActivityCode]])&gt;0,0,1)</f>
        <v>0</v>
      </c>
      <c r="C92" s="43">
        <f>IF(COUNTIF(LEDGER[LedgerCode],DEPTS[[#This Row],[LedgerCode]])&gt;0,0,1)</f>
        <v>0</v>
      </c>
      <c r="D92" s="43">
        <f>IF(LEN(DEPTS[[#This Row],[DepartmentCode]])&lt;100,0,1)</f>
        <v>0</v>
      </c>
      <c r="E92" s="43">
        <f>IF(LEN(DEPTS[[#This Row],[Title]])&lt;100,0,1)</f>
        <v>0</v>
      </c>
      <c r="F92" s="43">
        <f>SUM(DEPTS[[#This Row],[FundIssue]:[Title length check]])</f>
        <v>0</v>
      </c>
      <c r="G92" t="s">
        <v>2170</v>
      </c>
      <c r="H92" t="s">
        <v>2171</v>
      </c>
      <c r="I92" t="b">
        <v>0</v>
      </c>
      <c r="J92" t="s">
        <v>2082</v>
      </c>
      <c r="K92" t="s">
        <v>1963</v>
      </c>
      <c r="L92" t="s">
        <v>63</v>
      </c>
      <c r="M92" t="s">
        <v>1532</v>
      </c>
      <c r="O92" t="b">
        <v>1</v>
      </c>
    </row>
    <row r="93" spans="1:15" x14ac:dyDescent="0.3">
      <c r="A93" s="43">
        <f>IF(COUNTIF(FUNDS[FundCode],DEPTS[[#This Row],[FundCode]])&gt;0,0,1)</f>
        <v>0</v>
      </c>
      <c r="B93" s="43">
        <f>IF(COUNTIF(ACTIVITIES[ActivityCode],DEPTS[[#This Row],[ActivityCode]])&gt;0,0,1)</f>
        <v>0</v>
      </c>
      <c r="C93" s="43">
        <f>IF(COUNTIF(LEDGER[LedgerCode],DEPTS[[#This Row],[LedgerCode]])&gt;0,0,1)</f>
        <v>0</v>
      </c>
      <c r="D93" s="43">
        <f>IF(LEN(DEPTS[[#This Row],[DepartmentCode]])&lt;100,0,1)</f>
        <v>0</v>
      </c>
      <c r="E93" s="43">
        <f>IF(LEN(DEPTS[[#This Row],[Title]])&lt;100,0,1)</f>
        <v>0</v>
      </c>
      <c r="F93" s="43">
        <f>SUM(DEPTS[[#This Row],[FundIssue]:[Title length check]])</f>
        <v>0</v>
      </c>
      <c r="G93" t="s">
        <v>2172</v>
      </c>
      <c r="H93" t="s">
        <v>2173</v>
      </c>
      <c r="I93" t="b">
        <v>0</v>
      </c>
      <c r="J93" t="s">
        <v>51</v>
      </c>
      <c r="K93" t="s">
        <v>63</v>
      </c>
      <c r="L93" t="s">
        <v>63</v>
      </c>
      <c r="M93" t="s">
        <v>1966</v>
      </c>
      <c r="O93" t="b">
        <v>1</v>
      </c>
    </row>
    <row r="94" spans="1:15" x14ac:dyDescent="0.3">
      <c r="A94" s="43">
        <f>IF(COUNTIF(FUNDS[FundCode],DEPTS[[#This Row],[FundCode]])&gt;0,0,1)</f>
        <v>0</v>
      </c>
      <c r="B94" s="43">
        <f>IF(COUNTIF(ACTIVITIES[ActivityCode],DEPTS[[#This Row],[ActivityCode]])&gt;0,0,1)</f>
        <v>0</v>
      </c>
      <c r="C94" s="43">
        <f>IF(COUNTIF(LEDGER[LedgerCode],DEPTS[[#This Row],[LedgerCode]])&gt;0,0,1)</f>
        <v>0</v>
      </c>
      <c r="D94" s="43">
        <f>IF(LEN(DEPTS[[#This Row],[DepartmentCode]])&lt;100,0,1)</f>
        <v>0</v>
      </c>
      <c r="E94" s="43">
        <f>IF(LEN(DEPTS[[#This Row],[Title]])&lt;100,0,1)</f>
        <v>0</v>
      </c>
      <c r="F94" s="43">
        <f>SUM(DEPTS[[#This Row],[FundIssue]:[Title length check]])</f>
        <v>0</v>
      </c>
      <c r="G94" t="s">
        <v>2172</v>
      </c>
      <c r="H94" t="s">
        <v>2173</v>
      </c>
      <c r="I94" t="b">
        <v>0</v>
      </c>
      <c r="J94" t="s">
        <v>2082</v>
      </c>
      <c r="K94" t="s">
        <v>1963</v>
      </c>
      <c r="L94" t="s">
        <v>63</v>
      </c>
      <c r="M94" t="s">
        <v>1532</v>
      </c>
      <c r="O94" t="b">
        <v>1</v>
      </c>
    </row>
    <row r="95" spans="1:15" x14ac:dyDescent="0.3">
      <c r="A95" s="43">
        <f>IF(COUNTIF(FUNDS[FundCode],DEPTS[[#This Row],[FundCode]])&gt;0,0,1)</f>
        <v>0</v>
      </c>
      <c r="B95" s="43">
        <f>IF(COUNTIF(ACTIVITIES[ActivityCode],DEPTS[[#This Row],[ActivityCode]])&gt;0,0,1)</f>
        <v>0</v>
      </c>
      <c r="C95" s="43">
        <f>IF(COUNTIF(LEDGER[LedgerCode],DEPTS[[#This Row],[LedgerCode]])&gt;0,0,1)</f>
        <v>0</v>
      </c>
      <c r="D95" s="43">
        <f>IF(LEN(DEPTS[[#This Row],[DepartmentCode]])&lt;100,0,1)</f>
        <v>0</v>
      </c>
      <c r="E95" s="43">
        <f>IF(LEN(DEPTS[[#This Row],[Title]])&lt;100,0,1)</f>
        <v>0</v>
      </c>
      <c r="F95" s="43">
        <f>SUM(DEPTS[[#This Row],[FundIssue]:[Title length check]])</f>
        <v>0</v>
      </c>
      <c r="G95" t="s">
        <v>2174</v>
      </c>
      <c r="H95" t="s">
        <v>2175</v>
      </c>
      <c r="I95" t="b">
        <v>0</v>
      </c>
      <c r="J95" t="s">
        <v>51</v>
      </c>
      <c r="K95" t="s">
        <v>63</v>
      </c>
      <c r="L95" t="s">
        <v>63</v>
      </c>
      <c r="M95" t="s">
        <v>1966</v>
      </c>
      <c r="O95" t="b">
        <v>1</v>
      </c>
    </row>
    <row r="96" spans="1:15" x14ac:dyDescent="0.3">
      <c r="A96" s="43">
        <f>IF(COUNTIF(FUNDS[FundCode],DEPTS[[#This Row],[FundCode]])&gt;0,0,1)</f>
        <v>0</v>
      </c>
      <c r="B96" s="43">
        <f>IF(COUNTIF(ACTIVITIES[ActivityCode],DEPTS[[#This Row],[ActivityCode]])&gt;0,0,1)</f>
        <v>0</v>
      </c>
      <c r="C96" s="43">
        <f>IF(COUNTIF(LEDGER[LedgerCode],DEPTS[[#This Row],[LedgerCode]])&gt;0,0,1)</f>
        <v>0</v>
      </c>
      <c r="D96" s="43">
        <f>IF(LEN(DEPTS[[#This Row],[DepartmentCode]])&lt;100,0,1)</f>
        <v>0</v>
      </c>
      <c r="E96" s="43">
        <f>IF(LEN(DEPTS[[#This Row],[Title]])&lt;100,0,1)</f>
        <v>0</v>
      </c>
      <c r="F96" s="43">
        <f>SUM(DEPTS[[#This Row],[FundIssue]:[Title length check]])</f>
        <v>0</v>
      </c>
      <c r="G96" t="s">
        <v>2174</v>
      </c>
      <c r="H96" t="s">
        <v>2175</v>
      </c>
      <c r="I96" t="b">
        <v>0</v>
      </c>
      <c r="J96" t="s">
        <v>4155</v>
      </c>
      <c r="K96" t="s">
        <v>63</v>
      </c>
      <c r="L96" t="s">
        <v>63</v>
      </c>
      <c r="M96" t="s">
        <v>1532</v>
      </c>
      <c r="O96" t="b">
        <v>1</v>
      </c>
    </row>
    <row r="97" spans="1:15" x14ac:dyDescent="0.3">
      <c r="A97" s="43">
        <f>IF(COUNTIF(FUNDS[FundCode],DEPTS[[#This Row],[FundCode]])&gt;0,0,1)</f>
        <v>0</v>
      </c>
      <c r="B97" s="43">
        <f>IF(COUNTIF(ACTIVITIES[ActivityCode],DEPTS[[#This Row],[ActivityCode]])&gt;0,0,1)</f>
        <v>0</v>
      </c>
      <c r="C97" s="43">
        <f>IF(COUNTIF(LEDGER[LedgerCode],DEPTS[[#This Row],[LedgerCode]])&gt;0,0,1)</f>
        <v>0</v>
      </c>
      <c r="D97" s="43">
        <f>IF(LEN(DEPTS[[#This Row],[DepartmentCode]])&lt;100,0,1)</f>
        <v>0</v>
      </c>
      <c r="E97" s="43">
        <f>IF(LEN(DEPTS[[#This Row],[Title]])&lt;100,0,1)</f>
        <v>0</v>
      </c>
      <c r="F97" s="43">
        <f>SUM(DEPTS[[#This Row],[FundIssue]:[Title length check]])</f>
        <v>0</v>
      </c>
      <c r="G97" t="s">
        <v>2174</v>
      </c>
      <c r="H97" t="s">
        <v>2175</v>
      </c>
      <c r="I97" t="b">
        <v>0</v>
      </c>
      <c r="J97" t="s">
        <v>2082</v>
      </c>
      <c r="K97" t="s">
        <v>1963</v>
      </c>
      <c r="L97" t="s">
        <v>63</v>
      </c>
      <c r="M97" t="s">
        <v>1532</v>
      </c>
      <c r="O97" t="b">
        <v>1</v>
      </c>
    </row>
    <row r="98" spans="1:15" x14ac:dyDescent="0.3">
      <c r="A98" s="43">
        <f>IF(COUNTIF(FUNDS[FundCode],DEPTS[[#This Row],[FundCode]])&gt;0,0,1)</f>
        <v>0</v>
      </c>
      <c r="B98" s="43">
        <f>IF(COUNTIF(ACTIVITIES[ActivityCode],DEPTS[[#This Row],[ActivityCode]])&gt;0,0,1)</f>
        <v>0</v>
      </c>
      <c r="C98" s="43">
        <f>IF(COUNTIF(LEDGER[LedgerCode],DEPTS[[#This Row],[LedgerCode]])&gt;0,0,1)</f>
        <v>0</v>
      </c>
      <c r="D98" s="43">
        <f>IF(LEN(DEPTS[[#This Row],[DepartmentCode]])&lt;100,0,1)</f>
        <v>0</v>
      </c>
      <c r="E98" s="43">
        <f>IF(LEN(DEPTS[[#This Row],[Title]])&lt;100,0,1)</f>
        <v>0</v>
      </c>
      <c r="F98" s="43">
        <f>SUM(DEPTS[[#This Row],[FundIssue]:[Title length check]])</f>
        <v>0</v>
      </c>
      <c r="G98" t="s">
        <v>2176</v>
      </c>
      <c r="H98" t="s">
        <v>2177</v>
      </c>
      <c r="I98" t="b">
        <v>0</v>
      </c>
      <c r="J98" t="s">
        <v>51</v>
      </c>
      <c r="K98" t="s">
        <v>63</v>
      </c>
      <c r="L98" t="s">
        <v>63</v>
      </c>
      <c r="M98" t="s">
        <v>1966</v>
      </c>
      <c r="O98" t="b">
        <v>1</v>
      </c>
    </row>
    <row r="99" spans="1:15" x14ac:dyDescent="0.3">
      <c r="A99" s="43">
        <f>IF(COUNTIF(FUNDS[FundCode],DEPTS[[#This Row],[FundCode]])&gt;0,0,1)</f>
        <v>0</v>
      </c>
      <c r="B99" s="43">
        <f>IF(COUNTIF(ACTIVITIES[ActivityCode],DEPTS[[#This Row],[ActivityCode]])&gt;0,0,1)</f>
        <v>0</v>
      </c>
      <c r="C99" s="43">
        <f>IF(COUNTIF(LEDGER[LedgerCode],DEPTS[[#This Row],[LedgerCode]])&gt;0,0,1)</f>
        <v>0</v>
      </c>
      <c r="D99" s="43">
        <f>IF(LEN(DEPTS[[#This Row],[DepartmentCode]])&lt;100,0,1)</f>
        <v>0</v>
      </c>
      <c r="E99" s="43">
        <f>IF(LEN(DEPTS[[#This Row],[Title]])&lt;100,0,1)</f>
        <v>0</v>
      </c>
      <c r="F99" s="43">
        <f>SUM(DEPTS[[#This Row],[FundIssue]:[Title length check]])</f>
        <v>0</v>
      </c>
      <c r="G99" t="s">
        <v>2176</v>
      </c>
      <c r="H99" t="s">
        <v>2177</v>
      </c>
      <c r="I99" t="b">
        <v>0</v>
      </c>
      <c r="J99" t="s">
        <v>2094</v>
      </c>
      <c r="K99" t="s">
        <v>63</v>
      </c>
      <c r="L99" t="s">
        <v>63</v>
      </c>
      <c r="M99" t="s">
        <v>1532</v>
      </c>
      <c r="O99" t="b">
        <v>1</v>
      </c>
    </row>
    <row r="100" spans="1:15" x14ac:dyDescent="0.3">
      <c r="A100" s="43">
        <f>IF(COUNTIF(FUNDS[FundCode],DEPTS[[#This Row],[FundCode]])&gt;0,0,1)</f>
        <v>0</v>
      </c>
      <c r="B100" s="43">
        <f>IF(COUNTIF(ACTIVITIES[ActivityCode],DEPTS[[#This Row],[ActivityCode]])&gt;0,0,1)</f>
        <v>0</v>
      </c>
      <c r="C100" s="43">
        <f>IF(COUNTIF(LEDGER[LedgerCode],DEPTS[[#This Row],[LedgerCode]])&gt;0,0,1)</f>
        <v>0</v>
      </c>
      <c r="D100" s="43">
        <f>IF(LEN(DEPTS[[#This Row],[DepartmentCode]])&lt;100,0,1)</f>
        <v>0</v>
      </c>
      <c r="E100" s="43">
        <f>IF(LEN(DEPTS[[#This Row],[Title]])&lt;100,0,1)</f>
        <v>0</v>
      </c>
      <c r="F100" s="43">
        <f>SUM(DEPTS[[#This Row],[FundIssue]:[Title length check]])</f>
        <v>0</v>
      </c>
      <c r="G100" t="s">
        <v>2178</v>
      </c>
      <c r="H100" t="s">
        <v>2179</v>
      </c>
      <c r="I100" t="b">
        <v>0</v>
      </c>
      <c r="J100" t="s">
        <v>51</v>
      </c>
      <c r="K100" t="s">
        <v>63</v>
      </c>
      <c r="L100" t="s">
        <v>63</v>
      </c>
      <c r="M100" t="s">
        <v>1966</v>
      </c>
      <c r="O100" t="b">
        <v>1</v>
      </c>
    </row>
    <row r="101" spans="1:15" x14ac:dyDescent="0.3">
      <c r="A101" s="43">
        <f>IF(COUNTIF(FUNDS[FundCode],DEPTS[[#This Row],[FundCode]])&gt;0,0,1)</f>
        <v>0</v>
      </c>
      <c r="B101" s="43">
        <f>IF(COUNTIF(ACTIVITIES[ActivityCode],DEPTS[[#This Row],[ActivityCode]])&gt;0,0,1)</f>
        <v>0</v>
      </c>
      <c r="C101" s="43">
        <f>IF(COUNTIF(LEDGER[LedgerCode],DEPTS[[#This Row],[LedgerCode]])&gt;0,0,1)</f>
        <v>0</v>
      </c>
      <c r="D101" s="43">
        <f>IF(LEN(DEPTS[[#This Row],[DepartmentCode]])&lt;100,0,1)</f>
        <v>0</v>
      </c>
      <c r="E101" s="43">
        <f>IF(LEN(DEPTS[[#This Row],[Title]])&lt;100,0,1)</f>
        <v>0</v>
      </c>
      <c r="F101" s="43">
        <f>SUM(DEPTS[[#This Row],[FundIssue]:[Title length check]])</f>
        <v>0</v>
      </c>
      <c r="G101" t="s">
        <v>2178</v>
      </c>
      <c r="H101" t="s">
        <v>2179</v>
      </c>
      <c r="I101" t="b">
        <v>0</v>
      </c>
      <c r="J101" t="s">
        <v>4153</v>
      </c>
      <c r="K101" t="s">
        <v>63</v>
      </c>
      <c r="L101" t="s">
        <v>63</v>
      </c>
      <c r="M101" t="s">
        <v>1532</v>
      </c>
      <c r="O101" t="b">
        <v>1</v>
      </c>
    </row>
    <row r="102" spans="1:15" x14ac:dyDescent="0.3">
      <c r="A102" s="43">
        <f>IF(COUNTIF(FUNDS[FundCode],DEPTS[[#This Row],[FundCode]])&gt;0,0,1)</f>
        <v>0</v>
      </c>
      <c r="B102" s="43">
        <f>IF(COUNTIF(ACTIVITIES[ActivityCode],DEPTS[[#This Row],[ActivityCode]])&gt;0,0,1)</f>
        <v>0</v>
      </c>
      <c r="C102" s="43">
        <f>IF(COUNTIF(LEDGER[LedgerCode],DEPTS[[#This Row],[LedgerCode]])&gt;0,0,1)</f>
        <v>0</v>
      </c>
      <c r="D102" s="43">
        <f>IF(LEN(DEPTS[[#This Row],[DepartmentCode]])&lt;100,0,1)</f>
        <v>0</v>
      </c>
      <c r="E102" s="43">
        <f>IF(LEN(DEPTS[[#This Row],[Title]])&lt;100,0,1)</f>
        <v>0</v>
      </c>
      <c r="F102" s="43">
        <f>SUM(DEPTS[[#This Row],[FundIssue]:[Title length check]])</f>
        <v>0</v>
      </c>
      <c r="G102" t="s">
        <v>2178</v>
      </c>
      <c r="H102" t="s">
        <v>2179</v>
      </c>
      <c r="I102" t="b">
        <v>0</v>
      </c>
      <c r="J102" t="s">
        <v>4329</v>
      </c>
      <c r="K102" t="s">
        <v>1963</v>
      </c>
      <c r="L102" t="s">
        <v>63</v>
      </c>
      <c r="M102" t="s">
        <v>1532</v>
      </c>
      <c r="O102" t="b">
        <v>1</v>
      </c>
    </row>
    <row r="103" spans="1:15" x14ac:dyDescent="0.3">
      <c r="A103" s="43">
        <f>IF(COUNTIF(FUNDS[FundCode],DEPTS[[#This Row],[FundCode]])&gt;0,0,1)</f>
        <v>0</v>
      </c>
      <c r="B103" s="43">
        <f>IF(COUNTIF(ACTIVITIES[ActivityCode],DEPTS[[#This Row],[ActivityCode]])&gt;0,0,1)</f>
        <v>0</v>
      </c>
      <c r="C103" s="43">
        <f>IF(COUNTIF(LEDGER[LedgerCode],DEPTS[[#This Row],[LedgerCode]])&gt;0,0,1)</f>
        <v>0</v>
      </c>
      <c r="D103" s="43">
        <f>IF(LEN(DEPTS[[#This Row],[DepartmentCode]])&lt;100,0,1)</f>
        <v>0</v>
      </c>
      <c r="E103" s="43">
        <f>IF(LEN(DEPTS[[#This Row],[Title]])&lt;100,0,1)</f>
        <v>0</v>
      </c>
      <c r="F103" s="43">
        <f>SUM(DEPTS[[#This Row],[FundIssue]:[Title length check]])</f>
        <v>0</v>
      </c>
      <c r="G103" t="s">
        <v>2180</v>
      </c>
      <c r="H103" t="s">
        <v>2181</v>
      </c>
      <c r="I103" t="b">
        <v>0</v>
      </c>
      <c r="J103" t="s">
        <v>51</v>
      </c>
      <c r="K103" t="s">
        <v>63</v>
      </c>
      <c r="L103" t="s">
        <v>63</v>
      </c>
      <c r="M103" t="s">
        <v>1966</v>
      </c>
      <c r="O103" t="b">
        <v>1</v>
      </c>
    </row>
    <row r="104" spans="1:15" x14ac:dyDescent="0.3">
      <c r="A104" s="43">
        <f>IF(COUNTIF(FUNDS[FundCode],DEPTS[[#This Row],[FundCode]])&gt;0,0,1)</f>
        <v>0</v>
      </c>
      <c r="B104" s="43">
        <f>IF(COUNTIF(ACTIVITIES[ActivityCode],DEPTS[[#This Row],[ActivityCode]])&gt;0,0,1)</f>
        <v>0</v>
      </c>
      <c r="C104" s="43">
        <f>IF(COUNTIF(LEDGER[LedgerCode],DEPTS[[#This Row],[LedgerCode]])&gt;0,0,1)</f>
        <v>0</v>
      </c>
      <c r="D104" s="43">
        <f>IF(LEN(DEPTS[[#This Row],[DepartmentCode]])&lt;100,0,1)</f>
        <v>0</v>
      </c>
      <c r="E104" s="43">
        <f>IF(LEN(DEPTS[[#This Row],[Title]])&lt;100,0,1)</f>
        <v>0</v>
      </c>
      <c r="F104" s="43">
        <f>SUM(DEPTS[[#This Row],[FundIssue]:[Title length check]])</f>
        <v>0</v>
      </c>
      <c r="G104" t="s">
        <v>2180</v>
      </c>
      <c r="H104" t="s">
        <v>2181</v>
      </c>
      <c r="I104" t="b">
        <v>0</v>
      </c>
      <c r="J104" t="s">
        <v>2094</v>
      </c>
      <c r="K104" t="s">
        <v>63</v>
      </c>
      <c r="L104" t="s">
        <v>63</v>
      </c>
      <c r="M104" t="s">
        <v>1532</v>
      </c>
      <c r="O104" t="b">
        <v>1</v>
      </c>
    </row>
    <row r="105" spans="1:15" x14ac:dyDescent="0.3">
      <c r="A105" s="43">
        <f>IF(COUNTIF(FUNDS[FundCode],DEPTS[[#This Row],[FundCode]])&gt;0,0,1)</f>
        <v>0</v>
      </c>
      <c r="B105" s="43">
        <f>IF(COUNTIF(ACTIVITIES[ActivityCode],DEPTS[[#This Row],[ActivityCode]])&gt;0,0,1)</f>
        <v>0</v>
      </c>
      <c r="C105" s="43">
        <f>IF(COUNTIF(LEDGER[LedgerCode],DEPTS[[#This Row],[LedgerCode]])&gt;0,0,1)</f>
        <v>0</v>
      </c>
      <c r="D105" s="43">
        <f>IF(LEN(DEPTS[[#This Row],[DepartmentCode]])&lt;100,0,1)</f>
        <v>0</v>
      </c>
      <c r="E105" s="43">
        <f>IF(LEN(DEPTS[[#This Row],[Title]])&lt;100,0,1)</f>
        <v>0</v>
      </c>
      <c r="F105" s="43">
        <f>SUM(DEPTS[[#This Row],[FundIssue]:[Title length check]])</f>
        <v>0</v>
      </c>
      <c r="G105" t="s">
        <v>2182</v>
      </c>
      <c r="H105" t="s">
        <v>2183</v>
      </c>
      <c r="I105" t="b">
        <v>0</v>
      </c>
      <c r="J105" t="s">
        <v>2126</v>
      </c>
      <c r="K105" t="s">
        <v>63</v>
      </c>
      <c r="L105" t="s">
        <v>63</v>
      </c>
      <c r="M105" t="s">
        <v>1532</v>
      </c>
      <c r="O105" t="b">
        <v>1</v>
      </c>
    </row>
    <row r="106" spans="1:15" x14ac:dyDescent="0.3">
      <c r="A106" s="43">
        <f>IF(COUNTIF(FUNDS[FundCode],DEPTS[[#This Row],[FundCode]])&gt;0,0,1)</f>
        <v>0</v>
      </c>
      <c r="B106" s="43">
        <f>IF(COUNTIF(ACTIVITIES[ActivityCode],DEPTS[[#This Row],[ActivityCode]])&gt;0,0,1)</f>
        <v>0</v>
      </c>
      <c r="C106" s="43">
        <f>IF(COUNTIF(LEDGER[LedgerCode],DEPTS[[#This Row],[LedgerCode]])&gt;0,0,1)</f>
        <v>0</v>
      </c>
      <c r="D106" s="43">
        <f>IF(LEN(DEPTS[[#This Row],[DepartmentCode]])&lt;100,0,1)</f>
        <v>0</v>
      </c>
      <c r="E106" s="43">
        <f>IF(LEN(DEPTS[[#This Row],[Title]])&lt;100,0,1)</f>
        <v>0</v>
      </c>
      <c r="F106" s="43">
        <f>SUM(DEPTS[[#This Row],[FundIssue]:[Title length check]])</f>
        <v>0</v>
      </c>
      <c r="G106" t="s">
        <v>2184</v>
      </c>
      <c r="H106" t="s">
        <v>2185</v>
      </c>
      <c r="I106" t="b">
        <v>0</v>
      </c>
      <c r="J106" t="s">
        <v>51</v>
      </c>
      <c r="K106" t="s">
        <v>63</v>
      </c>
      <c r="L106" t="s">
        <v>63</v>
      </c>
      <c r="M106" t="s">
        <v>1966</v>
      </c>
      <c r="O106" t="b">
        <v>1</v>
      </c>
    </row>
    <row r="107" spans="1:15" x14ac:dyDescent="0.3">
      <c r="A107" s="43">
        <f>IF(COUNTIF(FUNDS[FundCode],DEPTS[[#This Row],[FundCode]])&gt;0,0,1)</f>
        <v>0</v>
      </c>
      <c r="B107" s="43">
        <f>IF(COUNTIF(ACTIVITIES[ActivityCode],DEPTS[[#This Row],[ActivityCode]])&gt;0,0,1)</f>
        <v>0</v>
      </c>
      <c r="C107" s="43">
        <f>IF(COUNTIF(LEDGER[LedgerCode],DEPTS[[#This Row],[LedgerCode]])&gt;0,0,1)</f>
        <v>0</v>
      </c>
      <c r="D107" s="43">
        <f>IF(LEN(DEPTS[[#This Row],[DepartmentCode]])&lt;100,0,1)</f>
        <v>0</v>
      </c>
      <c r="E107" s="43">
        <f>IF(LEN(DEPTS[[#This Row],[Title]])&lt;100,0,1)</f>
        <v>0</v>
      </c>
      <c r="F107" s="43">
        <f>SUM(DEPTS[[#This Row],[FundIssue]:[Title length check]])</f>
        <v>0</v>
      </c>
      <c r="G107" t="s">
        <v>2184</v>
      </c>
      <c r="H107" t="s">
        <v>2185</v>
      </c>
      <c r="I107" t="b">
        <v>0</v>
      </c>
      <c r="J107" t="s">
        <v>2082</v>
      </c>
      <c r="K107" t="s">
        <v>1963</v>
      </c>
      <c r="L107" t="s">
        <v>63</v>
      </c>
      <c r="M107" t="s">
        <v>1532</v>
      </c>
      <c r="O107" t="b">
        <v>1</v>
      </c>
    </row>
    <row r="108" spans="1:15" x14ac:dyDescent="0.3">
      <c r="A108" s="43">
        <f>IF(COUNTIF(FUNDS[FundCode],DEPTS[[#This Row],[FundCode]])&gt;0,0,1)</f>
        <v>0</v>
      </c>
      <c r="B108" s="43">
        <f>IF(COUNTIF(ACTIVITIES[ActivityCode],DEPTS[[#This Row],[ActivityCode]])&gt;0,0,1)</f>
        <v>0</v>
      </c>
      <c r="C108" s="43">
        <f>IF(COUNTIF(LEDGER[LedgerCode],DEPTS[[#This Row],[LedgerCode]])&gt;0,0,1)</f>
        <v>0</v>
      </c>
      <c r="D108" s="43">
        <f>IF(LEN(DEPTS[[#This Row],[DepartmentCode]])&lt;100,0,1)</f>
        <v>0</v>
      </c>
      <c r="E108" s="43">
        <f>IF(LEN(DEPTS[[#This Row],[Title]])&lt;100,0,1)</f>
        <v>0</v>
      </c>
      <c r="F108" s="43">
        <f>SUM(DEPTS[[#This Row],[FundIssue]:[Title length check]])</f>
        <v>0</v>
      </c>
      <c r="G108" t="s">
        <v>2184</v>
      </c>
      <c r="H108" t="s">
        <v>2186</v>
      </c>
      <c r="I108" t="b">
        <v>0</v>
      </c>
      <c r="J108" t="s">
        <v>2126</v>
      </c>
      <c r="K108" t="s">
        <v>63</v>
      </c>
      <c r="L108" t="s">
        <v>63</v>
      </c>
      <c r="M108" t="s">
        <v>1532</v>
      </c>
      <c r="O108" t="b">
        <v>1</v>
      </c>
    </row>
    <row r="109" spans="1:15" x14ac:dyDescent="0.3">
      <c r="A109" s="43">
        <f>IF(COUNTIF(FUNDS[FundCode],DEPTS[[#This Row],[FundCode]])&gt;0,0,1)</f>
        <v>0</v>
      </c>
      <c r="B109" s="43">
        <f>IF(COUNTIF(ACTIVITIES[ActivityCode],DEPTS[[#This Row],[ActivityCode]])&gt;0,0,1)</f>
        <v>0</v>
      </c>
      <c r="C109" s="43">
        <f>IF(COUNTIF(LEDGER[LedgerCode],DEPTS[[#This Row],[LedgerCode]])&gt;0,0,1)</f>
        <v>0</v>
      </c>
      <c r="D109" s="43">
        <f>IF(LEN(DEPTS[[#This Row],[DepartmentCode]])&lt;100,0,1)</f>
        <v>0</v>
      </c>
      <c r="E109" s="43">
        <f>IF(LEN(DEPTS[[#This Row],[Title]])&lt;100,0,1)</f>
        <v>0</v>
      </c>
      <c r="F109" s="43">
        <f>SUM(DEPTS[[#This Row],[FundIssue]:[Title length check]])</f>
        <v>0</v>
      </c>
      <c r="G109" t="s">
        <v>2184</v>
      </c>
      <c r="H109" t="s">
        <v>2187</v>
      </c>
      <c r="I109" t="b">
        <v>0</v>
      </c>
      <c r="J109" t="s">
        <v>2094</v>
      </c>
      <c r="K109" t="s">
        <v>63</v>
      </c>
      <c r="L109" t="s">
        <v>63</v>
      </c>
      <c r="M109" t="s">
        <v>1532</v>
      </c>
      <c r="O109" t="b">
        <v>1</v>
      </c>
    </row>
    <row r="110" spans="1:15" x14ac:dyDescent="0.3">
      <c r="A110" s="43">
        <f>IF(COUNTIF(FUNDS[FundCode],DEPTS[[#This Row],[FundCode]])&gt;0,0,1)</f>
        <v>0</v>
      </c>
      <c r="B110" s="43">
        <f>IF(COUNTIF(ACTIVITIES[ActivityCode],DEPTS[[#This Row],[ActivityCode]])&gt;0,0,1)</f>
        <v>0</v>
      </c>
      <c r="C110" s="43">
        <f>IF(COUNTIF(LEDGER[LedgerCode],DEPTS[[#This Row],[LedgerCode]])&gt;0,0,1)</f>
        <v>0</v>
      </c>
      <c r="D110" s="43">
        <f>IF(LEN(DEPTS[[#This Row],[DepartmentCode]])&lt;100,0,1)</f>
        <v>0</v>
      </c>
      <c r="E110" s="43">
        <f>IF(LEN(DEPTS[[#This Row],[Title]])&lt;100,0,1)</f>
        <v>0</v>
      </c>
      <c r="F110" s="43">
        <f>SUM(DEPTS[[#This Row],[FundIssue]:[Title length check]])</f>
        <v>0</v>
      </c>
      <c r="G110" t="s">
        <v>2188</v>
      </c>
      <c r="H110" t="s">
        <v>2189</v>
      </c>
      <c r="I110" t="b">
        <v>0</v>
      </c>
      <c r="J110" t="s">
        <v>51</v>
      </c>
      <c r="K110" t="s">
        <v>63</v>
      </c>
      <c r="L110" t="s">
        <v>63</v>
      </c>
      <c r="M110" t="s">
        <v>1966</v>
      </c>
      <c r="O110" t="b">
        <v>1</v>
      </c>
    </row>
    <row r="111" spans="1:15" x14ac:dyDescent="0.3">
      <c r="A111" s="43">
        <f>IF(COUNTIF(FUNDS[FundCode],DEPTS[[#This Row],[FundCode]])&gt;0,0,1)</f>
        <v>0</v>
      </c>
      <c r="B111" s="43">
        <f>IF(COUNTIF(ACTIVITIES[ActivityCode],DEPTS[[#This Row],[ActivityCode]])&gt;0,0,1)</f>
        <v>0</v>
      </c>
      <c r="C111" s="43">
        <f>IF(COUNTIF(LEDGER[LedgerCode],DEPTS[[#This Row],[LedgerCode]])&gt;0,0,1)</f>
        <v>0</v>
      </c>
      <c r="D111" s="43">
        <f>IF(LEN(DEPTS[[#This Row],[DepartmentCode]])&lt;100,0,1)</f>
        <v>0</v>
      </c>
      <c r="E111" s="43">
        <f>IF(LEN(DEPTS[[#This Row],[Title]])&lt;100,0,1)</f>
        <v>0</v>
      </c>
      <c r="F111" s="43">
        <f>SUM(DEPTS[[#This Row],[FundIssue]:[Title length check]])</f>
        <v>0</v>
      </c>
      <c r="G111" t="s">
        <v>2188</v>
      </c>
      <c r="H111" t="s">
        <v>2189</v>
      </c>
      <c r="I111" t="b">
        <v>0</v>
      </c>
      <c r="J111" t="s">
        <v>4155</v>
      </c>
      <c r="K111" t="s">
        <v>63</v>
      </c>
      <c r="L111" t="s">
        <v>63</v>
      </c>
      <c r="M111" t="s">
        <v>1532</v>
      </c>
      <c r="O111" t="b">
        <v>1</v>
      </c>
    </row>
    <row r="112" spans="1:15" x14ac:dyDescent="0.3">
      <c r="A112" s="43">
        <f>IF(COUNTIF(FUNDS[FundCode],DEPTS[[#This Row],[FundCode]])&gt;0,0,1)</f>
        <v>0</v>
      </c>
      <c r="B112" s="43">
        <f>IF(COUNTIF(ACTIVITIES[ActivityCode],DEPTS[[#This Row],[ActivityCode]])&gt;0,0,1)</f>
        <v>0</v>
      </c>
      <c r="C112" s="43">
        <f>IF(COUNTIF(LEDGER[LedgerCode],DEPTS[[#This Row],[LedgerCode]])&gt;0,0,1)</f>
        <v>0</v>
      </c>
      <c r="D112" s="43">
        <f>IF(LEN(DEPTS[[#This Row],[DepartmentCode]])&lt;100,0,1)</f>
        <v>0</v>
      </c>
      <c r="E112" s="43">
        <f>IF(LEN(DEPTS[[#This Row],[Title]])&lt;100,0,1)</f>
        <v>0</v>
      </c>
      <c r="F112" s="43">
        <f>SUM(DEPTS[[#This Row],[FundIssue]:[Title length check]])</f>
        <v>0</v>
      </c>
      <c r="G112" t="s">
        <v>2190</v>
      </c>
      <c r="H112" t="s">
        <v>2191</v>
      </c>
      <c r="I112" t="b">
        <v>0</v>
      </c>
      <c r="J112" t="s">
        <v>51</v>
      </c>
      <c r="K112" t="s">
        <v>63</v>
      </c>
      <c r="L112" t="s">
        <v>63</v>
      </c>
      <c r="M112" t="s">
        <v>1966</v>
      </c>
      <c r="O112" t="b">
        <v>1</v>
      </c>
    </row>
    <row r="113" spans="1:15" x14ac:dyDescent="0.3">
      <c r="A113" s="43">
        <f>IF(COUNTIF(FUNDS[FundCode],DEPTS[[#This Row],[FundCode]])&gt;0,0,1)</f>
        <v>0</v>
      </c>
      <c r="B113" s="43">
        <f>IF(COUNTIF(ACTIVITIES[ActivityCode],DEPTS[[#This Row],[ActivityCode]])&gt;0,0,1)</f>
        <v>0</v>
      </c>
      <c r="C113" s="43">
        <f>IF(COUNTIF(LEDGER[LedgerCode],DEPTS[[#This Row],[LedgerCode]])&gt;0,0,1)</f>
        <v>0</v>
      </c>
      <c r="D113" s="43">
        <f>IF(LEN(DEPTS[[#This Row],[DepartmentCode]])&lt;100,0,1)</f>
        <v>0</v>
      </c>
      <c r="E113" s="43">
        <f>IF(LEN(DEPTS[[#This Row],[Title]])&lt;100,0,1)</f>
        <v>0</v>
      </c>
      <c r="F113" s="43">
        <f>SUM(DEPTS[[#This Row],[FundIssue]:[Title length check]])</f>
        <v>0</v>
      </c>
      <c r="G113" t="s">
        <v>2192</v>
      </c>
      <c r="H113" t="s">
        <v>2193</v>
      </c>
      <c r="I113" t="b">
        <v>0</v>
      </c>
      <c r="J113" t="s">
        <v>51</v>
      </c>
      <c r="K113" t="s">
        <v>63</v>
      </c>
      <c r="L113" t="s">
        <v>63</v>
      </c>
      <c r="M113" t="s">
        <v>1966</v>
      </c>
      <c r="O113" t="b">
        <v>1</v>
      </c>
    </row>
    <row r="114" spans="1:15" x14ac:dyDescent="0.3">
      <c r="A114" s="43">
        <f>IF(COUNTIF(FUNDS[FundCode],DEPTS[[#This Row],[FundCode]])&gt;0,0,1)</f>
        <v>0</v>
      </c>
      <c r="B114" s="43">
        <f>IF(COUNTIF(ACTIVITIES[ActivityCode],DEPTS[[#This Row],[ActivityCode]])&gt;0,0,1)</f>
        <v>0</v>
      </c>
      <c r="C114" s="43">
        <f>IF(COUNTIF(LEDGER[LedgerCode],DEPTS[[#This Row],[LedgerCode]])&gt;0,0,1)</f>
        <v>0</v>
      </c>
      <c r="D114" s="43">
        <f>IF(LEN(DEPTS[[#This Row],[DepartmentCode]])&lt;100,0,1)</f>
        <v>0</v>
      </c>
      <c r="E114" s="43">
        <f>IF(LEN(DEPTS[[#This Row],[Title]])&lt;100,0,1)</f>
        <v>0</v>
      </c>
      <c r="F114" s="43">
        <f>SUM(DEPTS[[#This Row],[FundIssue]:[Title length check]])</f>
        <v>0</v>
      </c>
      <c r="G114" t="s">
        <v>2192</v>
      </c>
      <c r="H114" t="s">
        <v>2193</v>
      </c>
      <c r="I114" t="b">
        <v>0</v>
      </c>
      <c r="J114" t="s">
        <v>4155</v>
      </c>
      <c r="K114" t="s">
        <v>63</v>
      </c>
      <c r="L114" t="s">
        <v>63</v>
      </c>
      <c r="M114" t="s">
        <v>1532</v>
      </c>
      <c r="O114" t="b">
        <v>1</v>
      </c>
    </row>
    <row r="115" spans="1:15" x14ac:dyDescent="0.3">
      <c r="A115" s="43">
        <f>IF(COUNTIF(FUNDS[FundCode],DEPTS[[#This Row],[FundCode]])&gt;0,0,1)</f>
        <v>0</v>
      </c>
      <c r="B115" s="43">
        <f>IF(COUNTIF(ACTIVITIES[ActivityCode],DEPTS[[#This Row],[ActivityCode]])&gt;0,0,1)</f>
        <v>0</v>
      </c>
      <c r="C115" s="43">
        <f>IF(COUNTIF(LEDGER[LedgerCode],DEPTS[[#This Row],[LedgerCode]])&gt;0,0,1)</f>
        <v>0</v>
      </c>
      <c r="D115" s="43">
        <f>IF(LEN(DEPTS[[#This Row],[DepartmentCode]])&lt;100,0,1)</f>
        <v>0</v>
      </c>
      <c r="E115" s="43">
        <f>IF(LEN(DEPTS[[#This Row],[Title]])&lt;100,0,1)</f>
        <v>0</v>
      </c>
      <c r="F115" s="43">
        <f>SUM(DEPTS[[#This Row],[FundIssue]:[Title length check]])</f>
        <v>0</v>
      </c>
      <c r="G115" t="s">
        <v>2194</v>
      </c>
      <c r="H115" t="s">
        <v>2195</v>
      </c>
      <c r="I115" t="b">
        <v>0</v>
      </c>
      <c r="J115" t="s">
        <v>51</v>
      </c>
      <c r="K115" t="s">
        <v>63</v>
      </c>
      <c r="L115" t="s">
        <v>63</v>
      </c>
      <c r="M115" t="s">
        <v>1966</v>
      </c>
      <c r="O115" t="b">
        <v>1</v>
      </c>
    </row>
    <row r="116" spans="1:15" x14ac:dyDescent="0.3">
      <c r="A116" s="43">
        <f>IF(COUNTIF(FUNDS[FundCode],DEPTS[[#This Row],[FundCode]])&gt;0,0,1)</f>
        <v>0</v>
      </c>
      <c r="B116" s="43">
        <f>IF(COUNTIF(ACTIVITIES[ActivityCode],DEPTS[[#This Row],[ActivityCode]])&gt;0,0,1)</f>
        <v>0</v>
      </c>
      <c r="C116" s="43">
        <f>IF(COUNTIF(LEDGER[LedgerCode],DEPTS[[#This Row],[LedgerCode]])&gt;0,0,1)</f>
        <v>0</v>
      </c>
      <c r="D116" s="43">
        <f>IF(LEN(DEPTS[[#This Row],[DepartmentCode]])&lt;100,0,1)</f>
        <v>0</v>
      </c>
      <c r="E116" s="43">
        <f>IF(LEN(DEPTS[[#This Row],[Title]])&lt;100,0,1)</f>
        <v>0</v>
      </c>
      <c r="F116" s="43">
        <f>SUM(DEPTS[[#This Row],[FundIssue]:[Title length check]])</f>
        <v>0</v>
      </c>
      <c r="G116" t="s">
        <v>2194</v>
      </c>
      <c r="H116" t="s">
        <v>2195</v>
      </c>
      <c r="I116" t="b">
        <v>0</v>
      </c>
      <c r="J116" t="s">
        <v>2094</v>
      </c>
      <c r="K116" t="s">
        <v>63</v>
      </c>
      <c r="L116" t="s">
        <v>63</v>
      </c>
      <c r="M116" t="s">
        <v>1532</v>
      </c>
      <c r="O116" t="b">
        <v>1</v>
      </c>
    </row>
    <row r="117" spans="1:15" x14ac:dyDescent="0.3">
      <c r="A117" s="43">
        <f>IF(COUNTIF(FUNDS[FundCode],DEPTS[[#This Row],[FundCode]])&gt;0,0,1)</f>
        <v>0</v>
      </c>
      <c r="B117" s="43">
        <f>IF(COUNTIF(ACTIVITIES[ActivityCode],DEPTS[[#This Row],[ActivityCode]])&gt;0,0,1)</f>
        <v>0</v>
      </c>
      <c r="C117" s="43">
        <f>IF(COUNTIF(LEDGER[LedgerCode],DEPTS[[#This Row],[LedgerCode]])&gt;0,0,1)</f>
        <v>0</v>
      </c>
      <c r="D117" s="43">
        <f>IF(LEN(DEPTS[[#This Row],[DepartmentCode]])&lt;100,0,1)</f>
        <v>0</v>
      </c>
      <c r="E117" s="43">
        <f>IF(LEN(DEPTS[[#This Row],[Title]])&lt;100,0,1)</f>
        <v>0</v>
      </c>
      <c r="F117" s="43">
        <f>SUM(DEPTS[[#This Row],[FundIssue]:[Title length check]])</f>
        <v>0</v>
      </c>
      <c r="G117" t="s">
        <v>2196</v>
      </c>
      <c r="H117" t="s">
        <v>2197</v>
      </c>
      <c r="I117" t="b">
        <v>0</v>
      </c>
      <c r="J117" t="s">
        <v>51</v>
      </c>
      <c r="K117" t="s">
        <v>63</v>
      </c>
      <c r="L117" t="s">
        <v>63</v>
      </c>
      <c r="M117" t="s">
        <v>1966</v>
      </c>
      <c r="O117" t="b">
        <v>1</v>
      </c>
    </row>
    <row r="118" spans="1:15" x14ac:dyDescent="0.3">
      <c r="A118" s="43">
        <f>IF(COUNTIF(FUNDS[FundCode],DEPTS[[#This Row],[FundCode]])&gt;0,0,1)</f>
        <v>0</v>
      </c>
      <c r="B118" s="43">
        <f>IF(COUNTIF(ACTIVITIES[ActivityCode],DEPTS[[#This Row],[ActivityCode]])&gt;0,0,1)</f>
        <v>0</v>
      </c>
      <c r="C118" s="43">
        <f>IF(COUNTIF(LEDGER[LedgerCode],DEPTS[[#This Row],[LedgerCode]])&gt;0,0,1)</f>
        <v>0</v>
      </c>
      <c r="D118" s="43">
        <f>IF(LEN(DEPTS[[#This Row],[DepartmentCode]])&lt;100,0,1)</f>
        <v>0</v>
      </c>
      <c r="E118" s="43">
        <f>IF(LEN(DEPTS[[#This Row],[Title]])&lt;100,0,1)</f>
        <v>0</v>
      </c>
      <c r="F118" s="43">
        <f>SUM(DEPTS[[#This Row],[FundIssue]:[Title length check]])</f>
        <v>0</v>
      </c>
      <c r="G118" t="s">
        <v>2196</v>
      </c>
      <c r="H118" t="s">
        <v>2197</v>
      </c>
      <c r="I118" t="b">
        <v>0</v>
      </c>
      <c r="J118" t="s">
        <v>2082</v>
      </c>
      <c r="K118" t="s">
        <v>1963</v>
      </c>
      <c r="L118" t="s">
        <v>63</v>
      </c>
      <c r="M118" t="s">
        <v>1532</v>
      </c>
      <c r="O118" t="b">
        <v>1</v>
      </c>
    </row>
    <row r="119" spans="1:15" x14ac:dyDescent="0.3">
      <c r="A119" s="43">
        <f>IF(COUNTIF(FUNDS[FundCode],DEPTS[[#This Row],[FundCode]])&gt;0,0,1)</f>
        <v>0</v>
      </c>
      <c r="B119" s="43">
        <f>IF(COUNTIF(ACTIVITIES[ActivityCode],DEPTS[[#This Row],[ActivityCode]])&gt;0,0,1)</f>
        <v>0</v>
      </c>
      <c r="C119" s="43">
        <f>IF(COUNTIF(LEDGER[LedgerCode],DEPTS[[#This Row],[LedgerCode]])&gt;0,0,1)</f>
        <v>0</v>
      </c>
      <c r="D119" s="43">
        <f>IF(LEN(DEPTS[[#This Row],[DepartmentCode]])&lt;100,0,1)</f>
        <v>0</v>
      </c>
      <c r="E119" s="43">
        <f>IF(LEN(DEPTS[[#This Row],[Title]])&lt;100,0,1)</f>
        <v>0</v>
      </c>
      <c r="F119" s="43">
        <f>SUM(DEPTS[[#This Row],[FundIssue]:[Title length check]])</f>
        <v>0</v>
      </c>
      <c r="G119" t="s">
        <v>2198</v>
      </c>
      <c r="H119" t="s">
        <v>2199</v>
      </c>
      <c r="I119" t="b">
        <v>0</v>
      </c>
      <c r="J119" t="s">
        <v>2200</v>
      </c>
      <c r="K119" t="s">
        <v>63</v>
      </c>
      <c r="L119" t="s">
        <v>63</v>
      </c>
      <c r="M119" t="s">
        <v>1532</v>
      </c>
      <c r="O119" t="b">
        <v>1</v>
      </c>
    </row>
    <row r="120" spans="1:15" x14ac:dyDescent="0.3">
      <c r="A120" s="43">
        <f>IF(COUNTIF(FUNDS[FundCode],DEPTS[[#This Row],[FundCode]])&gt;0,0,1)</f>
        <v>0</v>
      </c>
      <c r="B120" s="43">
        <f>IF(COUNTIF(ACTIVITIES[ActivityCode],DEPTS[[#This Row],[ActivityCode]])&gt;0,0,1)</f>
        <v>0</v>
      </c>
      <c r="C120" s="43">
        <f>IF(COUNTIF(LEDGER[LedgerCode],DEPTS[[#This Row],[LedgerCode]])&gt;0,0,1)</f>
        <v>0</v>
      </c>
      <c r="D120" s="43">
        <f>IF(LEN(DEPTS[[#This Row],[DepartmentCode]])&lt;100,0,1)</f>
        <v>0</v>
      </c>
      <c r="E120" s="43">
        <f>IF(LEN(DEPTS[[#This Row],[Title]])&lt;100,0,1)</f>
        <v>0</v>
      </c>
      <c r="F120" s="43">
        <f>SUM(DEPTS[[#This Row],[FundIssue]:[Title length check]])</f>
        <v>0</v>
      </c>
      <c r="G120" t="s">
        <v>2201</v>
      </c>
      <c r="H120" t="s">
        <v>2202</v>
      </c>
      <c r="I120" t="b">
        <v>0</v>
      </c>
      <c r="J120" t="s">
        <v>51</v>
      </c>
      <c r="K120" t="s">
        <v>63</v>
      </c>
      <c r="L120" t="s">
        <v>63</v>
      </c>
      <c r="M120" t="s">
        <v>1966</v>
      </c>
      <c r="O120" t="b">
        <v>1</v>
      </c>
    </row>
    <row r="121" spans="1:15" x14ac:dyDescent="0.3">
      <c r="A121" s="43">
        <f>IF(COUNTIF(FUNDS[FundCode],DEPTS[[#This Row],[FundCode]])&gt;0,0,1)</f>
        <v>0</v>
      </c>
      <c r="B121" s="43">
        <f>IF(COUNTIF(ACTIVITIES[ActivityCode],DEPTS[[#This Row],[ActivityCode]])&gt;0,0,1)</f>
        <v>0</v>
      </c>
      <c r="C121" s="43">
        <f>IF(COUNTIF(LEDGER[LedgerCode],DEPTS[[#This Row],[LedgerCode]])&gt;0,0,1)</f>
        <v>0</v>
      </c>
      <c r="D121" s="43">
        <f>IF(LEN(DEPTS[[#This Row],[DepartmentCode]])&lt;100,0,1)</f>
        <v>0</v>
      </c>
      <c r="E121" s="43">
        <f>IF(LEN(DEPTS[[#This Row],[Title]])&lt;100,0,1)</f>
        <v>0</v>
      </c>
      <c r="F121" s="43">
        <f>SUM(DEPTS[[#This Row],[FundIssue]:[Title length check]])</f>
        <v>0</v>
      </c>
      <c r="G121" t="s">
        <v>2201</v>
      </c>
      <c r="H121" t="s">
        <v>2202</v>
      </c>
      <c r="I121" t="b">
        <v>0</v>
      </c>
      <c r="J121" t="s">
        <v>4155</v>
      </c>
      <c r="K121" t="s">
        <v>63</v>
      </c>
      <c r="L121" t="s">
        <v>63</v>
      </c>
      <c r="M121" t="s">
        <v>1532</v>
      </c>
      <c r="O121" t="b">
        <v>1</v>
      </c>
    </row>
    <row r="122" spans="1:15" x14ac:dyDescent="0.3">
      <c r="A122" s="43">
        <f>IF(COUNTIF(FUNDS[FundCode],DEPTS[[#This Row],[FundCode]])&gt;0,0,1)</f>
        <v>0</v>
      </c>
      <c r="B122" s="43">
        <f>IF(COUNTIF(ACTIVITIES[ActivityCode],DEPTS[[#This Row],[ActivityCode]])&gt;0,0,1)</f>
        <v>0</v>
      </c>
      <c r="C122" s="43">
        <f>IF(COUNTIF(LEDGER[LedgerCode],DEPTS[[#This Row],[LedgerCode]])&gt;0,0,1)</f>
        <v>0</v>
      </c>
      <c r="D122" s="43">
        <f>IF(LEN(DEPTS[[#This Row],[DepartmentCode]])&lt;100,0,1)</f>
        <v>0</v>
      </c>
      <c r="E122" s="43">
        <f>IF(LEN(DEPTS[[#This Row],[Title]])&lt;100,0,1)</f>
        <v>0</v>
      </c>
      <c r="F122" s="43">
        <f>SUM(DEPTS[[#This Row],[FundIssue]:[Title length check]])</f>
        <v>0</v>
      </c>
      <c r="G122" t="s">
        <v>2201</v>
      </c>
      <c r="H122" t="s">
        <v>2202</v>
      </c>
      <c r="I122" t="b">
        <v>0</v>
      </c>
      <c r="J122" t="s">
        <v>2082</v>
      </c>
      <c r="K122" t="s">
        <v>1963</v>
      </c>
      <c r="L122" t="s">
        <v>63</v>
      </c>
      <c r="M122" t="s">
        <v>1532</v>
      </c>
      <c r="O122" t="b">
        <v>1</v>
      </c>
    </row>
    <row r="123" spans="1:15" x14ac:dyDescent="0.3">
      <c r="A123" s="43">
        <f>IF(COUNTIF(FUNDS[FundCode],DEPTS[[#This Row],[FundCode]])&gt;0,0,1)</f>
        <v>0</v>
      </c>
      <c r="B123" s="43">
        <f>IF(COUNTIF(ACTIVITIES[ActivityCode],DEPTS[[#This Row],[ActivityCode]])&gt;0,0,1)</f>
        <v>0</v>
      </c>
      <c r="C123" s="43">
        <f>IF(COUNTIF(LEDGER[LedgerCode],DEPTS[[#This Row],[LedgerCode]])&gt;0,0,1)</f>
        <v>0</v>
      </c>
      <c r="D123" s="43">
        <f>IF(LEN(DEPTS[[#This Row],[DepartmentCode]])&lt;100,0,1)</f>
        <v>0</v>
      </c>
      <c r="E123" s="43">
        <f>IF(LEN(DEPTS[[#This Row],[Title]])&lt;100,0,1)</f>
        <v>0</v>
      </c>
      <c r="F123" s="43">
        <f>SUM(DEPTS[[#This Row],[FundIssue]:[Title length check]])</f>
        <v>0</v>
      </c>
      <c r="G123" t="s">
        <v>2203</v>
      </c>
      <c r="H123" t="s">
        <v>2204</v>
      </c>
      <c r="I123" t="b">
        <v>0</v>
      </c>
      <c r="J123" t="s">
        <v>51</v>
      </c>
      <c r="K123" t="s">
        <v>63</v>
      </c>
      <c r="L123" t="s">
        <v>63</v>
      </c>
      <c r="M123" t="s">
        <v>1966</v>
      </c>
      <c r="O123" t="b">
        <v>1</v>
      </c>
    </row>
    <row r="124" spans="1:15" x14ac:dyDescent="0.3">
      <c r="A124" s="43">
        <f>IF(COUNTIF(FUNDS[FundCode],DEPTS[[#This Row],[FundCode]])&gt;0,0,1)</f>
        <v>0</v>
      </c>
      <c r="B124" s="43">
        <f>IF(COUNTIF(ACTIVITIES[ActivityCode],DEPTS[[#This Row],[ActivityCode]])&gt;0,0,1)</f>
        <v>0</v>
      </c>
      <c r="C124" s="43">
        <f>IF(COUNTIF(LEDGER[LedgerCode],DEPTS[[#This Row],[LedgerCode]])&gt;0,0,1)</f>
        <v>0</v>
      </c>
      <c r="D124" s="43">
        <f>IF(LEN(DEPTS[[#This Row],[DepartmentCode]])&lt;100,0,1)</f>
        <v>0</v>
      </c>
      <c r="E124" s="43">
        <f>IF(LEN(DEPTS[[#This Row],[Title]])&lt;100,0,1)</f>
        <v>0</v>
      </c>
      <c r="F124" s="43">
        <f>SUM(DEPTS[[#This Row],[FundIssue]:[Title length check]])</f>
        <v>0</v>
      </c>
      <c r="G124" t="s">
        <v>2203</v>
      </c>
      <c r="H124" t="s">
        <v>2204</v>
      </c>
      <c r="I124" t="b">
        <v>0</v>
      </c>
      <c r="J124" t="s">
        <v>4155</v>
      </c>
      <c r="K124" t="s">
        <v>63</v>
      </c>
      <c r="L124" t="s">
        <v>63</v>
      </c>
      <c r="M124" t="s">
        <v>1532</v>
      </c>
      <c r="O124" t="b">
        <v>1</v>
      </c>
    </row>
    <row r="125" spans="1:15" x14ac:dyDescent="0.3">
      <c r="A125" s="43">
        <f>IF(COUNTIF(FUNDS[FundCode],DEPTS[[#This Row],[FundCode]])&gt;0,0,1)</f>
        <v>0</v>
      </c>
      <c r="B125" s="43">
        <f>IF(COUNTIF(ACTIVITIES[ActivityCode],DEPTS[[#This Row],[ActivityCode]])&gt;0,0,1)</f>
        <v>0</v>
      </c>
      <c r="C125" s="43">
        <f>IF(COUNTIF(LEDGER[LedgerCode],DEPTS[[#This Row],[LedgerCode]])&gt;0,0,1)</f>
        <v>0</v>
      </c>
      <c r="D125" s="43">
        <f>IF(LEN(DEPTS[[#This Row],[DepartmentCode]])&lt;100,0,1)</f>
        <v>0</v>
      </c>
      <c r="E125" s="43">
        <f>IF(LEN(DEPTS[[#This Row],[Title]])&lt;100,0,1)</f>
        <v>0</v>
      </c>
      <c r="F125" s="43">
        <f>SUM(DEPTS[[#This Row],[FundIssue]:[Title length check]])</f>
        <v>0</v>
      </c>
      <c r="G125" t="s">
        <v>2205</v>
      </c>
      <c r="H125" t="s">
        <v>2206</v>
      </c>
      <c r="I125" t="b">
        <v>0</v>
      </c>
      <c r="J125" t="s">
        <v>51</v>
      </c>
      <c r="K125" t="s">
        <v>63</v>
      </c>
      <c r="L125" t="s">
        <v>63</v>
      </c>
      <c r="M125" t="s">
        <v>1966</v>
      </c>
      <c r="O125" t="b">
        <v>1</v>
      </c>
    </row>
    <row r="126" spans="1:15" x14ac:dyDescent="0.3">
      <c r="A126" s="43">
        <f>IF(COUNTIF(FUNDS[FundCode],DEPTS[[#This Row],[FundCode]])&gt;0,0,1)</f>
        <v>0</v>
      </c>
      <c r="B126" s="43">
        <f>IF(COUNTIF(ACTIVITIES[ActivityCode],DEPTS[[#This Row],[ActivityCode]])&gt;0,0,1)</f>
        <v>0</v>
      </c>
      <c r="C126" s="43">
        <f>IF(COUNTIF(LEDGER[LedgerCode],DEPTS[[#This Row],[LedgerCode]])&gt;0,0,1)</f>
        <v>0</v>
      </c>
      <c r="D126" s="43">
        <f>IF(LEN(DEPTS[[#This Row],[DepartmentCode]])&lt;100,0,1)</f>
        <v>0</v>
      </c>
      <c r="E126" s="43">
        <f>IF(LEN(DEPTS[[#This Row],[Title]])&lt;100,0,1)</f>
        <v>0</v>
      </c>
      <c r="F126" s="43">
        <f>SUM(DEPTS[[#This Row],[FundIssue]:[Title length check]])</f>
        <v>0</v>
      </c>
      <c r="G126" t="s">
        <v>2205</v>
      </c>
      <c r="H126" t="s">
        <v>2206</v>
      </c>
      <c r="I126" t="b">
        <v>0</v>
      </c>
      <c r="J126" t="s">
        <v>4155</v>
      </c>
      <c r="K126" t="s">
        <v>63</v>
      </c>
      <c r="L126" t="s">
        <v>63</v>
      </c>
      <c r="M126" t="s">
        <v>1532</v>
      </c>
      <c r="O126" t="b">
        <v>1</v>
      </c>
    </row>
    <row r="127" spans="1:15" x14ac:dyDescent="0.3">
      <c r="A127" s="43">
        <f>IF(COUNTIF(FUNDS[FundCode],DEPTS[[#This Row],[FundCode]])&gt;0,0,1)</f>
        <v>0</v>
      </c>
      <c r="B127" s="43">
        <f>IF(COUNTIF(ACTIVITIES[ActivityCode],DEPTS[[#This Row],[ActivityCode]])&gt;0,0,1)</f>
        <v>0</v>
      </c>
      <c r="C127" s="43">
        <f>IF(COUNTIF(LEDGER[LedgerCode],DEPTS[[#This Row],[LedgerCode]])&gt;0,0,1)</f>
        <v>0</v>
      </c>
      <c r="D127" s="43">
        <f>IF(LEN(DEPTS[[#This Row],[DepartmentCode]])&lt;100,0,1)</f>
        <v>0</v>
      </c>
      <c r="E127" s="43">
        <f>IF(LEN(DEPTS[[#This Row],[Title]])&lt;100,0,1)</f>
        <v>0</v>
      </c>
      <c r="F127" s="43">
        <f>SUM(DEPTS[[#This Row],[FundIssue]:[Title length check]])</f>
        <v>0</v>
      </c>
      <c r="G127" t="s">
        <v>2205</v>
      </c>
      <c r="H127" t="s">
        <v>2206</v>
      </c>
      <c r="I127" t="b">
        <v>0</v>
      </c>
      <c r="J127" t="s">
        <v>2082</v>
      </c>
      <c r="K127" t="s">
        <v>1963</v>
      </c>
      <c r="L127" t="s">
        <v>63</v>
      </c>
      <c r="M127" t="s">
        <v>1532</v>
      </c>
      <c r="O127" t="b">
        <v>1</v>
      </c>
    </row>
    <row r="128" spans="1:15" x14ac:dyDescent="0.3">
      <c r="A128" s="43">
        <f>IF(COUNTIF(FUNDS[FundCode],DEPTS[[#This Row],[FundCode]])&gt;0,0,1)</f>
        <v>0</v>
      </c>
      <c r="B128" s="43">
        <f>IF(COUNTIF(ACTIVITIES[ActivityCode],DEPTS[[#This Row],[ActivityCode]])&gt;0,0,1)</f>
        <v>0</v>
      </c>
      <c r="C128" s="43">
        <f>IF(COUNTIF(LEDGER[LedgerCode],DEPTS[[#This Row],[LedgerCode]])&gt;0,0,1)</f>
        <v>0</v>
      </c>
      <c r="D128" s="43">
        <f>IF(LEN(DEPTS[[#This Row],[DepartmentCode]])&lt;100,0,1)</f>
        <v>0</v>
      </c>
      <c r="E128" s="43">
        <f>IF(LEN(DEPTS[[#This Row],[Title]])&lt;100,0,1)</f>
        <v>0</v>
      </c>
      <c r="F128" s="43">
        <f>SUM(DEPTS[[#This Row],[FundIssue]:[Title length check]])</f>
        <v>0</v>
      </c>
      <c r="G128" t="s">
        <v>2207</v>
      </c>
      <c r="H128" t="s">
        <v>2208</v>
      </c>
      <c r="I128" t="b">
        <v>0</v>
      </c>
      <c r="J128" t="s">
        <v>51</v>
      </c>
      <c r="K128" t="s">
        <v>63</v>
      </c>
      <c r="L128" t="s">
        <v>63</v>
      </c>
      <c r="M128" t="s">
        <v>1966</v>
      </c>
      <c r="O128" t="b">
        <v>1</v>
      </c>
    </row>
    <row r="129" spans="1:15" x14ac:dyDescent="0.3">
      <c r="A129" s="43">
        <f>IF(COUNTIF(FUNDS[FundCode],DEPTS[[#This Row],[FundCode]])&gt;0,0,1)</f>
        <v>0</v>
      </c>
      <c r="B129" s="43">
        <f>IF(COUNTIF(ACTIVITIES[ActivityCode],DEPTS[[#This Row],[ActivityCode]])&gt;0,0,1)</f>
        <v>0</v>
      </c>
      <c r="C129" s="43">
        <f>IF(COUNTIF(LEDGER[LedgerCode],DEPTS[[#This Row],[LedgerCode]])&gt;0,0,1)</f>
        <v>0</v>
      </c>
      <c r="D129" s="43">
        <f>IF(LEN(DEPTS[[#This Row],[DepartmentCode]])&lt;100,0,1)</f>
        <v>0</v>
      </c>
      <c r="E129" s="43">
        <f>IF(LEN(DEPTS[[#This Row],[Title]])&lt;100,0,1)</f>
        <v>0</v>
      </c>
      <c r="F129" s="43">
        <f>SUM(DEPTS[[#This Row],[FundIssue]:[Title length check]])</f>
        <v>0</v>
      </c>
      <c r="G129" t="s">
        <v>2207</v>
      </c>
      <c r="H129" t="s">
        <v>2208</v>
      </c>
      <c r="I129" t="b">
        <v>0</v>
      </c>
      <c r="J129" t="s">
        <v>4155</v>
      </c>
      <c r="K129" t="s">
        <v>63</v>
      </c>
      <c r="L129" t="s">
        <v>63</v>
      </c>
      <c r="M129" t="s">
        <v>1532</v>
      </c>
      <c r="O129" t="b">
        <v>1</v>
      </c>
    </row>
    <row r="130" spans="1:15" x14ac:dyDescent="0.3">
      <c r="A130" s="43">
        <f>IF(COUNTIF(FUNDS[FundCode],DEPTS[[#This Row],[FundCode]])&gt;0,0,1)</f>
        <v>0</v>
      </c>
      <c r="B130" s="43">
        <f>IF(COUNTIF(ACTIVITIES[ActivityCode],DEPTS[[#This Row],[ActivityCode]])&gt;0,0,1)</f>
        <v>0</v>
      </c>
      <c r="C130" s="43">
        <f>IF(COUNTIF(LEDGER[LedgerCode],DEPTS[[#This Row],[LedgerCode]])&gt;0,0,1)</f>
        <v>0</v>
      </c>
      <c r="D130" s="43">
        <f>IF(LEN(DEPTS[[#This Row],[DepartmentCode]])&lt;100,0,1)</f>
        <v>0</v>
      </c>
      <c r="E130" s="43">
        <f>IF(LEN(DEPTS[[#This Row],[Title]])&lt;100,0,1)</f>
        <v>0</v>
      </c>
      <c r="F130" s="43">
        <f>SUM(DEPTS[[#This Row],[FundIssue]:[Title length check]])</f>
        <v>0</v>
      </c>
      <c r="G130" t="s">
        <v>2207</v>
      </c>
      <c r="H130" t="s">
        <v>2208</v>
      </c>
      <c r="I130" t="b">
        <v>0</v>
      </c>
      <c r="J130" t="s">
        <v>2082</v>
      </c>
      <c r="K130" t="s">
        <v>1963</v>
      </c>
      <c r="L130" t="s">
        <v>63</v>
      </c>
      <c r="M130" t="s">
        <v>1532</v>
      </c>
      <c r="O130" t="b">
        <v>1</v>
      </c>
    </row>
    <row r="131" spans="1:15" x14ac:dyDescent="0.3">
      <c r="A131" s="43">
        <f>IF(COUNTIF(FUNDS[FundCode],DEPTS[[#This Row],[FundCode]])&gt;0,0,1)</f>
        <v>0</v>
      </c>
      <c r="B131" s="43">
        <f>IF(COUNTIF(ACTIVITIES[ActivityCode],DEPTS[[#This Row],[ActivityCode]])&gt;0,0,1)</f>
        <v>0</v>
      </c>
      <c r="C131" s="43">
        <f>IF(COUNTIF(LEDGER[LedgerCode],DEPTS[[#This Row],[LedgerCode]])&gt;0,0,1)</f>
        <v>0</v>
      </c>
      <c r="D131" s="43">
        <f>IF(LEN(DEPTS[[#This Row],[DepartmentCode]])&lt;100,0,1)</f>
        <v>0</v>
      </c>
      <c r="E131" s="43">
        <f>IF(LEN(DEPTS[[#This Row],[Title]])&lt;100,0,1)</f>
        <v>0</v>
      </c>
      <c r="F131" s="43">
        <f>SUM(DEPTS[[#This Row],[FundIssue]:[Title length check]])</f>
        <v>0</v>
      </c>
      <c r="G131" t="s">
        <v>2209</v>
      </c>
      <c r="H131" t="s">
        <v>2210</v>
      </c>
      <c r="I131" t="b">
        <v>0</v>
      </c>
      <c r="J131" t="s">
        <v>51</v>
      </c>
      <c r="K131" t="s">
        <v>63</v>
      </c>
      <c r="L131" t="s">
        <v>63</v>
      </c>
      <c r="M131" t="s">
        <v>1966</v>
      </c>
      <c r="O131" t="b">
        <v>1</v>
      </c>
    </row>
    <row r="132" spans="1:15" x14ac:dyDescent="0.3">
      <c r="A132" s="43">
        <f>IF(COUNTIF(FUNDS[FundCode],DEPTS[[#This Row],[FundCode]])&gt;0,0,1)</f>
        <v>0</v>
      </c>
      <c r="B132" s="43">
        <f>IF(COUNTIF(ACTIVITIES[ActivityCode],DEPTS[[#This Row],[ActivityCode]])&gt;0,0,1)</f>
        <v>0</v>
      </c>
      <c r="C132" s="43">
        <f>IF(COUNTIF(LEDGER[LedgerCode],DEPTS[[#This Row],[LedgerCode]])&gt;0,0,1)</f>
        <v>0</v>
      </c>
      <c r="D132" s="43">
        <f>IF(LEN(DEPTS[[#This Row],[DepartmentCode]])&lt;100,0,1)</f>
        <v>0</v>
      </c>
      <c r="E132" s="43">
        <f>IF(LEN(DEPTS[[#This Row],[Title]])&lt;100,0,1)</f>
        <v>0</v>
      </c>
      <c r="F132" s="43">
        <f>SUM(DEPTS[[#This Row],[FundIssue]:[Title length check]])</f>
        <v>0</v>
      </c>
      <c r="G132" t="s">
        <v>2209</v>
      </c>
      <c r="H132" t="s">
        <v>2210</v>
      </c>
      <c r="I132" t="b">
        <v>0</v>
      </c>
      <c r="J132" t="s">
        <v>2094</v>
      </c>
      <c r="K132" t="s">
        <v>63</v>
      </c>
      <c r="L132" t="s">
        <v>63</v>
      </c>
      <c r="M132" t="s">
        <v>1532</v>
      </c>
      <c r="O132" t="b">
        <v>1</v>
      </c>
    </row>
    <row r="133" spans="1:15" x14ac:dyDescent="0.3">
      <c r="A133" s="43">
        <f>IF(COUNTIF(FUNDS[FundCode],DEPTS[[#This Row],[FundCode]])&gt;0,0,1)</f>
        <v>0</v>
      </c>
      <c r="B133" s="43">
        <f>IF(COUNTIF(ACTIVITIES[ActivityCode],DEPTS[[#This Row],[ActivityCode]])&gt;0,0,1)</f>
        <v>0</v>
      </c>
      <c r="C133" s="43">
        <f>IF(COUNTIF(LEDGER[LedgerCode],DEPTS[[#This Row],[LedgerCode]])&gt;0,0,1)</f>
        <v>0</v>
      </c>
      <c r="D133" s="43">
        <f>IF(LEN(DEPTS[[#This Row],[DepartmentCode]])&lt;100,0,1)</f>
        <v>0</v>
      </c>
      <c r="E133" s="43">
        <f>IF(LEN(DEPTS[[#This Row],[Title]])&lt;100,0,1)</f>
        <v>0</v>
      </c>
      <c r="F133" s="43">
        <f>SUM(DEPTS[[#This Row],[FundIssue]:[Title length check]])</f>
        <v>0</v>
      </c>
      <c r="G133" t="s">
        <v>1951</v>
      </c>
      <c r="H133" t="s">
        <v>2211</v>
      </c>
      <c r="I133" t="b">
        <v>0</v>
      </c>
      <c r="J133" t="s">
        <v>51</v>
      </c>
      <c r="K133" t="s">
        <v>63</v>
      </c>
      <c r="L133" t="s">
        <v>63</v>
      </c>
      <c r="M133" t="s">
        <v>1966</v>
      </c>
      <c r="O133" t="b">
        <v>1</v>
      </c>
    </row>
    <row r="134" spans="1:15" x14ac:dyDescent="0.3">
      <c r="A134" s="43">
        <f>IF(COUNTIF(FUNDS[FundCode],DEPTS[[#This Row],[FundCode]])&gt;0,0,1)</f>
        <v>0</v>
      </c>
      <c r="B134" s="43">
        <f>IF(COUNTIF(ACTIVITIES[ActivityCode],DEPTS[[#This Row],[ActivityCode]])&gt;0,0,1)</f>
        <v>0</v>
      </c>
      <c r="C134" s="43">
        <f>IF(COUNTIF(LEDGER[LedgerCode],DEPTS[[#This Row],[LedgerCode]])&gt;0,0,1)</f>
        <v>0</v>
      </c>
      <c r="D134" s="43">
        <f>IF(LEN(DEPTS[[#This Row],[DepartmentCode]])&lt;100,0,1)</f>
        <v>0</v>
      </c>
      <c r="E134" s="43">
        <f>IF(LEN(DEPTS[[#This Row],[Title]])&lt;100,0,1)</f>
        <v>0</v>
      </c>
      <c r="F134" s="43">
        <f>SUM(DEPTS[[#This Row],[FundIssue]:[Title length check]])</f>
        <v>0</v>
      </c>
      <c r="G134" t="s">
        <v>1951</v>
      </c>
      <c r="H134" t="s">
        <v>2211</v>
      </c>
      <c r="I134" t="b">
        <v>0</v>
      </c>
      <c r="J134" t="s">
        <v>4326</v>
      </c>
      <c r="K134" t="s">
        <v>63</v>
      </c>
      <c r="L134" t="s">
        <v>63</v>
      </c>
      <c r="M134" t="s">
        <v>1532</v>
      </c>
      <c r="O134" t="b">
        <v>1</v>
      </c>
    </row>
    <row r="135" spans="1:15" x14ac:dyDescent="0.3">
      <c r="A135" s="43">
        <f>IF(COUNTIF(FUNDS[FundCode],DEPTS[[#This Row],[FundCode]])&gt;0,0,1)</f>
        <v>0</v>
      </c>
      <c r="B135" s="43">
        <f>IF(COUNTIF(ACTIVITIES[ActivityCode],DEPTS[[#This Row],[ActivityCode]])&gt;0,0,1)</f>
        <v>0</v>
      </c>
      <c r="C135" s="43">
        <f>IF(COUNTIF(LEDGER[LedgerCode],DEPTS[[#This Row],[LedgerCode]])&gt;0,0,1)</f>
        <v>0</v>
      </c>
      <c r="D135" s="43">
        <f>IF(LEN(DEPTS[[#This Row],[DepartmentCode]])&lt;100,0,1)</f>
        <v>0</v>
      </c>
      <c r="E135" s="43">
        <f>IF(LEN(DEPTS[[#This Row],[Title]])&lt;100,0,1)</f>
        <v>0</v>
      </c>
      <c r="F135" s="43">
        <f>SUM(DEPTS[[#This Row],[FundIssue]:[Title length check]])</f>
        <v>0</v>
      </c>
      <c r="G135" t="s">
        <v>1951</v>
      </c>
      <c r="H135" t="s">
        <v>2211</v>
      </c>
      <c r="I135" t="b">
        <v>0</v>
      </c>
      <c r="J135" t="s">
        <v>4327</v>
      </c>
      <c r="K135" t="s">
        <v>1963</v>
      </c>
      <c r="L135" t="s">
        <v>63</v>
      </c>
      <c r="M135" t="s">
        <v>1532</v>
      </c>
      <c r="O135" t="b">
        <v>1</v>
      </c>
    </row>
    <row r="136" spans="1:15" x14ac:dyDescent="0.3">
      <c r="A136" s="43">
        <f>IF(COUNTIF(FUNDS[FundCode],DEPTS[[#This Row],[FundCode]])&gt;0,0,1)</f>
        <v>0</v>
      </c>
      <c r="B136" s="43">
        <f>IF(COUNTIF(ACTIVITIES[ActivityCode],DEPTS[[#This Row],[ActivityCode]])&gt;0,0,1)</f>
        <v>0</v>
      </c>
      <c r="C136" s="43">
        <f>IF(COUNTIF(LEDGER[LedgerCode],DEPTS[[#This Row],[LedgerCode]])&gt;0,0,1)</f>
        <v>0</v>
      </c>
      <c r="D136" s="43">
        <f>IF(LEN(DEPTS[[#This Row],[DepartmentCode]])&lt;100,0,1)</f>
        <v>0</v>
      </c>
      <c r="E136" s="43">
        <f>IF(LEN(DEPTS[[#This Row],[Title]])&lt;100,0,1)</f>
        <v>0</v>
      </c>
      <c r="F136" s="43">
        <f>SUM(DEPTS[[#This Row],[FundIssue]:[Title length check]])</f>
        <v>0</v>
      </c>
      <c r="G136" t="s">
        <v>2212</v>
      </c>
      <c r="H136" t="s">
        <v>2213</v>
      </c>
      <c r="I136" t="b">
        <v>0</v>
      </c>
      <c r="J136" t="s">
        <v>51</v>
      </c>
      <c r="K136" t="s">
        <v>63</v>
      </c>
      <c r="L136" t="s">
        <v>63</v>
      </c>
      <c r="M136" t="s">
        <v>1966</v>
      </c>
      <c r="O136" t="b">
        <v>1</v>
      </c>
    </row>
    <row r="137" spans="1:15" x14ac:dyDescent="0.3">
      <c r="A137" s="43">
        <f>IF(COUNTIF(FUNDS[FundCode],DEPTS[[#This Row],[FundCode]])&gt;0,0,1)</f>
        <v>0</v>
      </c>
      <c r="B137" s="43">
        <f>IF(COUNTIF(ACTIVITIES[ActivityCode],DEPTS[[#This Row],[ActivityCode]])&gt;0,0,1)</f>
        <v>0</v>
      </c>
      <c r="C137" s="43">
        <f>IF(COUNTIF(LEDGER[LedgerCode],DEPTS[[#This Row],[LedgerCode]])&gt;0,0,1)</f>
        <v>0</v>
      </c>
      <c r="D137" s="43">
        <f>IF(LEN(DEPTS[[#This Row],[DepartmentCode]])&lt;100,0,1)</f>
        <v>0</v>
      </c>
      <c r="E137" s="43">
        <f>IF(LEN(DEPTS[[#This Row],[Title]])&lt;100,0,1)</f>
        <v>0</v>
      </c>
      <c r="F137" s="43">
        <f>SUM(DEPTS[[#This Row],[FundIssue]:[Title length check]])</f>
        <v>0</v>
      </c>
      <c r="G137" t="s">
        <v>2212</v>
      </c>
      <c r="H137" t="s">
        <v>2213</v>
      </c>
      <c r="I137" t="b">
        <v>0</v>
      </c>
      <c r="J137" t="s">
        <v>4326</v>
      </c>
      <c r="K137" t="s">
        <v>63</v>
      </c>
      <c r="L137" t="s">
        <v>63</v>
      </c>
      <c r="M137" t="s">
        <v>1532</v>
      </c>
      <c r="O137" t="b">
        <v>1</v>
      </c>
    </row>
    <row r="138" spans="1:15" x14ac:dyDescent="0.3">
      <c r="A138" s="43">
        <f>IF(COUNTIF(FUNDS[FundCode],DEPTS[[#This Row],[FundCode]])&gt;0,0,1)</f>
        <v>0</v>
      </c>
      <c r="B138" s="43">
        <f>IF(COUNTIF(ACTIVITIES[ActivityCode],DEPTS[[#This Row],[ActivityCode]])&gt;0,0,1)</f>
        <v>0</v>
      </c>
      <c r="C138" s="43">
        <f>IF(COUNTIF(LEDGER[LedgerCode],DEPTS[[#This Row],[LedgerCode]])&gt;0,0,1)</f>
        <v>0</v>
      </c>
      <c r="D138" s="43">
        <f>IF(LEN(DEPTS[[#This Row],[DepartmentCode]])&lt;100,0,1)</f>
        <v>0</v>
      </c>
      <c r="E138" s="43">
        <f>IF(LEN(DEPTS[[#This Row],[Title]])&lt;100,0,1)</f>
        <v>0</v>
      </c>
      <c r="F138" s="43">
        <f>SUM(DEPTS[[#This Row],[FundIssue]:[Title length check]])</f>
        <v>0</v>
      </c>
      <c r="G138" t="s">
        <v>2212</v>
      </c>
      <c r="H138" t="s">
        <v>2213</v>
      </c>
      <c r="I138" t="b">
        <v>0</v>
      </c>
      <c r="J138" t="s">
        <v>4327</v>
      </c>
      <c r="K138" t="s">
        <v>1963</v>
      </c>
      <c r="L138" t="s">
        <v>63</v>
      </c>
      <c r="M138" t="s">
        <v>1532</v>
      </c>
      <c r="O138" t="b">
        <v>1</v>
      </c>
    </row>
    <row r="139" spans="1:15" x14ac:dyDescent="0.3">
      <c r="A139" s="43">
        <f>IF(COUNTIF(FUNDS[FundCode],DEPTS[[#This Row],[FundCode]])&gt;0,0,1)</f>
        <v>0</v>
      </c>
      <c r="B139" s="43">
        <f>IF(COUNTIF(ACTIVITIES[ActivityCode],DEPTS[[#This Row],[ActivityCode]])&gt;0,0,1)</f>
        <v>0</v>
      </c>
      <c r="C139" s="43">
        <f>IF(COUNTIF(LEDGER[LedgerCode],DEPTS[[#This Row],[LedgerCode]])&gt;0,0,1)</f>
        <v>0</v>
      </c>
      <c r="D139" s="43">
        <f>IF(LEN(DEPTS[[#This Row],[DepartmentCode]])&lt;100,0,1)</f>
        <v>0</v>
      </c>
      <c r="E139" s="43">
        <f>IF(LEN(DEPTS[[#This Row],[Title]])&lt;100,0,1)</f>
        <v>0</v>
      </c>
      <c r="F139" s="43">
        <f>SUM(DEPTS[[#This Row],[FundIssue]:[Title length check]])</f>
        <v>0</v>
      </c>
      <c r="G139" t="s">
        <v>2214</v>
      </c>
      <c r="H139" t="s">
        <v>2215</v>
      </c>
      <c r="I139" t="b">
        <v>0</v>
      </c>
      <c r="J139" t="s">
        <v>51</v>
      </c>
      <c r="K139" t="s">
        <v>63</v>
      </c>
      <c r="L139" t="s">
        <v>63</v>
      </c>
      <c r="M139" t="s">
        <v>1966</v>
      </c>
      <c r="O139" t="b">
        <v>1</v>
      </c>
    </row>
    <row r="140" spans="1:15" x14ac:dyDescent="0.3">
      <c r="A140" s="43">
        <f>IF(COUNTIF(FUNDS[FundCode],DEPTS[[#This Row],[FundCode]])&gt;0,0,1)</f>
        <v>0</v>
      </c>
      <c r="B140" s="43">
        <f>IF(COUNTIF(ACTIVITIES[ActivityCode],DEPTS[[#This Row],[ActivityCode]])&gt;0,0,1)</f>
        <v>0</v>
      </c>
      <c r="C140" s="43">
        <f>IF(COUNTIF(LEDGER[LedgerCode],DEPTS[[#This Row],[LedgerCode]])&gt;0,0,1)</f>
        <v>0</v>
      </c>
      <c r="D140" s="43">
        <f>IF(LEN(DEPTS[[#This Row],[DepartmentCode]])&lt;100,0,1)</f>
        <v>0</v>
      </c>
      <c r="E140" s="43">
        <f>IF(LEN(DEPTS[[#This Row],[Title]])&lt;100,0,1)</f>
        <v>0</v>
      </c>
      <c r="F140" s="43">
        <f>SUM(DEPTS[[#This Row],[FundIssue]:[Title length check]])</f>
        <v>0</v>
      </c>
      <c r="G140" t="s">
        <v>2214</v>
      </c>
      <c r="H140" t="s">
        <v>2215</v>
      </c>
      <c r="I140" t="b">
        <v>0</v>
      </c>
      <c r="J140" t="s">
        <v>4331</v>
      </c>
      <c r="K140" t="s">
        <v>63</v>
      </c>
      <c r="L140" t="s">
        <v>63</v>
      </c>
      <c r="M140" t="s">
        <v>1532</v>
      </c>
      <c r="O140" t="b">
        <v>1</v>
      </c>
    </row>
    <row r="141" spans="1:15" x14ac:dyDescent="0.3">
      <c r="A141" s="43">
        <f>IF(COUNTIF(FUNDS[FundCode],DEPTS[[#This Row],[FundCode]])&gt;0,0,1)</f>
        <v>0</v>
      </c>
      <c r="B141" s="43">
        <f>IF(COUNTIF(ACTIVITIES[ActivityCode],DEPTS[[#This Row],[ActivityCode]])&gt;0,0,1)</f>
        <v>0</v>
      </c>
      <c r="C141" s="43">
        <f>IF(COUNTIF(LEDGER[LedgerCode],DEPTS[[#This Row],[LedgerCode]])&gt;0,0,1)</f>
        <v>0</v>
      </c>
      <c r="D141" s="43">
        <f>IF(LEN(DEPTS[[#This Row],[DepartmentCode]])&lt;100,0,1)</f>
        <v>0</v>
      </c>
      <c r="E141" s="43">
        <f>IF(LEN(DEPTS[[#This Row],[Title]])&lt;100,0,1)</f>
        <v>0</v>
      </c>
      <c r="F141" s="43">
        <f>SUM(DEPTS[[#This Row],[FundIssue]:[Title length check]])</f>
        <v>0</v>
      </c>
      <c r="G141" t="s">
        <v>2216</v>
      </c>
      <c r="H141" t="s">
        <v>2217</v>
      </c>
      <c r="I141" t="b">
        <v>0</v>
      </c>
      <c r="J141" t="s">
        <v>51</v>
      </c>
      <c r="K141" t="s">
        <v>63</v>
      </c>
      <c r="L141" t="s">
        <v>63</v>
      </c>
      <c r="M141" t="s">
        <v>1966</v>
      </c>
      <c r="O141" t="b">
        <v>1</v>
      </c>
    </row>
    <row r="142" spans="1:15" x14ac:dyDescent="0.3">
      <c r="A142" s="43">
        <f>IF(COUNTIF(FUNDS[FundCode],DEPTS[[#This Row],[FundCode]])&gt;0,0,1)</f>
        <v>0</v>
      </c>
      <c r="B142" s="43">
        <f>IF(COUNTIF(ACTIVITIES[ActivityCode],DEPTS[[#This Row],[ActivityCode]])&gt;0,0,1)</f>
        <v>0</v>
      </c>
      <c r="C142" s="43">
        <f>IF(COUNTIF(LEDGER[LedgerCode],DEPTS[[#This Row],[LedgerCode]])&gt;0,0,1)</f>
        <v>0</v>
      </c>
      <c r="D142" s="43">
        <f>IF(LEN(DEPTS[[#This Row],[DepartmentCode]])&lt;100,0,1)</f>
        <v>0</v>
      </c>
      <c r="E142" s="43">
        <f>IF(LEN(DEPTS[[#This Row],[Title]])&lt;100,0,1)</f>
        <v>0</v>
      </c>
      <c r="F142" s="43">
        <f>SUM(DEPTS[[#This Row],[FundIssue]:[Title length check]])</f>
        <v>0</v>
      </c>
      <c r="G142" t="s">
        <v>2216</v>
      </c>
      <c r="H142" t="s">
        <v>2217</v>
      </c>
      <c r="I142" t="b">
        <v>0</v>
      </c>
      <c r="J142" t="s">
        <v>4155</v>
      </c>
      <c r="K142" t="s">
        <v>63</v>
      </c>
      <c r="L142" t="s">
        <v>63</v>
      </c>
      <c r="M142" t="s">
        <v>1532</v>
      </c>
      <c r="O142" t="b">
        <v>1</v>
      </c>
    </row>
    <row r="143" spans="1:15" x14ac:dyDescent="0.3">
      <c r="A143" s="43">
        <f>IF(COUNTIF(FUNDS[FundCode],DEPTS[[#This Row],[FundCode]])&gt;0,0,1)</f>
        <v>0</v>
      </c>
      <c r="B143" s="43">
        <f>IF(COUNTIF(ACTIVITIES[ActivityCode],DEPTS[[#This Row],[ActivityCode]])&gt;0,0,1)</f>
        <v>0</v>
      </c>
      <c r="C143" s="43">
        <f>IF(COUNTIF(LEDGER[LedgerCode],DEPTS[[#This Row],[LedgerCode]])&gt;0,0,1)</f>
        <v>0</v>
      </c>
      <c r="D143" s="43">
        <f>IF(LEN(DEPTS[[#This Row],[DepartmentCode]])&lt;100,0,1)</f>
        <v>0</v>
      </c>
      <c r="E143" s="43">
        <f>IF(LEN(DEPTS[[#This Row],[Title]])&lt;100,0,1)</f>
        <v>0</v>
      </c>
      <c r="F143" s="43">
        <f>SUM(DEPTS[[#This Row],[FundIssue]:[Title length check]])</f>
        <v>0</v>
      </c>
      <c r="G143" t="s">
        <v>2216</v>
      </c>
      <c r="H143" t="s">
        <v>2217</v>
      </c>
      <c r="I143" t="b">
        <v>0</v>
      </c>
      <c r="J143" t="s">
        <v>2082</v>
      </c>
      <c r="K143" t="s">
        <v>1963</v>
      </c>
      <c r="L143" t="s">
        <v>63</v>
      </c>
      <c r="M143" t="s">
        <v>1532</v>
      </c>
      <c r="O143" t="b">
        <v>1</v>
      </c>
    </row>
    <row r="144" spans="1:15" x14ac:dyDescent="0.3">
      <c r="A144" s="43">
        <f>IF(COUNTIF(FUNDS[FundCode],DEPTS[[#This Row],[FundCode]])&gt;0,0,1)</f>
        <v>0</v>
      </c>
      <c r="B144" s="43">
        <f>IF(COUNTIF(ACTIVITIES[ActivityCode],DEPTS[[#This Row],[ActivityCode]])&gt;0,0,1)</f>
        <v>0</v>
      </c>
      <c r="C144" s="43">
        <f>IF(COUNTIF(LEDGER[LedgerCode],DEPTS[[#This Row],[LedgerCode]])&gt;0,0,1)</f>
        <v>0</v>
      </c>
      <c r="D144" s="43">
        <f>IF(LEN(DEPTS[[#This Row],[DepartmentCode]])&lt;100,0,1)</f>
        <v>0</v>
      </c>
      <c r="E144" s="43">
        <f>IF(LEN(DEPTS[[#This Row],[Title]])&lt;100,0,1)</f>
        <v>0</v>
      </c>
      <c r="F144" s="43">
        <f>SUM(DEPTS[[#This Row],[FundIssue]:[Title length check]])</f>
        <v>0</v>
      </c>
      <c r="G144" t="s">
        <v>2218</v>
      </c>
      <c r="H144" t="s">
        <v>2219</v>
      </c>
      <c r="I144" t="b">
        <v>0</v>
      </c>
      <c r="J144" t="s">
        <v>2126</v>
      </c>
      <c r="K144" t="s">
        <v>63</v>
      </c>
      <c r="L144" t="s">
        <v>63</v>
      </c>
      <c r="M144" t="s">
        <v>1532</v>
      </c>
      <c r="O144" t="b">
        <v>1</v>
      </c>
    </row>
    <row r="145" spans="1:15" x14ac:dyDescent="0.3">
      <c r="A145" s="43">
        <f>IF(COUNTIF(FUNDS[FundCode],DEPTS[[#This Row],[FundCode]])&gt;0,0,1)</f>
        <v>0</v>
      </c>
      <c r="B145" s="43">
        <f>IF(COUNTIF(ACTIVITIES[ActivityCode],DEPTS[[#This Row],[ActivityCode]])&gt;0,0,1)</f>
        <v>0</v>
      </c>
      <c r="C145" s="43">
        <f>IF(COUNTIF(LEDGER[LedgerCode],DEPTS[[#This Row],[LedgerCode]])&gt;0,0,1)</f>
        <v>0</v>
      </c>
      <c r="D145" s="43">
        <f>IF(LEN(DEPTS[[#This Row],[DepartmentCode]])&lt;100,0,1)</f>
        <v>0</v>
      </c>
      <c r="E145" s="43">
        <f>IF(LEN(DEPTS[[#This Row],[Title]])&lt;100,0,1)</f>
        <v>0</v>
      </c>
      <c r="F145" s="43">
        <f>SUM(DEPTS[[#This Row],[FundIssue]:[Title length check]])</f>
        <v>0</v>
      </c>
      <c r="G145" t="s">
        <v>2220</v>
      </c>
      <c r="H145" t="s">
        <v>2221</v>
      </c>
      <c r="I145" t="b">
        <v>0</v>
      </c>
      <c r="J145" t="s">
        <v>51</v>
      </c>
      <c r="K145" t="s">
        <v>63</v>
      </c>
      <c r="L145" t="s">
        <v>63</v>
      </c>
      <c r="M145" t="s">
        <v>1966</v>
      </c>
      <c r="O145" t="b">
        <v>1</v>
      </c>
    </row>
    <row r="146" spans="1:15" x14ac:dyDescent="0.3">
      <c r="A146" s="43">
        <f>IF(COUNTIF(FUNDS[FundCode],DEPTS[[#This Row],[FundCode]])&gt;0,0,1)</f>
        <v>0</v>
      </c>
      <c r="B146" s="43">
        <f>IF(COUNTIF(ACTIVITIES[ActivityCode],DEPTS[[#This Row],[ActivityCode]])&gt;0,0,1)</f>
        <v>0</v>
      </c>
      <c r="C146" s="43">
        <f>IF(COUNTIF(LEDGER[LedgerCode],DEPTS[[#This Row],[LedgerCode]])&gt;0,0,1)</f>
        <v>0</v>
      </c>
      <c r="D146" s="43">
        <f>IF(LEN(DEPTS[[#This Row],[DepartmentCode]])&lt;100,0,1)</f>
        <v>0</v>
      </c>
      <c r="E146" s="43">
        <f>IF(LEN(DEPTS[[#This Row],[Title]])&lt;100,0,1)</f>
        <v>0</v>
      </c>
      <c r="F146" s="43">
        <f>SUM(DEPTS[[#This Row],[FundIssue]:[Title length check]])</f>
        <v>0</v>
      </c>
      <c r="G146" t="s">
        <v>2220</v>
      </c>
      <c r="H146" t="s">
        <v>2221</v>
      </c>
      <c r="I146" t="b">
        <v>0</v>
      </c>
      <c r="J146" t="s">
        <v>2094</v>
      </c>
      <c r="K146" t="s">
        <v>63</v>
      </c>
      <c r="L146" t="s">
        <v>63</v>
      </c>
      <c r="M146" t="s">
        <v>1532</v>
      </c>
      <c r="O146" t="b">
        <v>1</v>
      </c>
    </row>
    <row r="147" spans="1:15" x14ac:dyDescent="0.3">
      <c r="A147" s="43">
        <f>IF(COUNTIF(FUNDS[FundCode],DEPTS[[#This Row],[FundCode]])&gt;0,0,1)</f>
        <v>0</v>
      </c>
      <c r="B147" s="43">
        <f>IF(COUNTIF(ACTIVITIES[ActivityCode],DEPTS[[#This Row],[ActivityCode]])&gt;0,0,1)</f>
        <v>0</v>
      </c>
      <c r="C147" s="43">
        <f>IF(COUNTIF(LEDGER[LedgerCode],DEPTS[[#This Row],[LedgerCode]])&gt;0,0,1)</f>
        <v>0</v>
      </c>
      <c r="D147" s="43">
        <f>IF(LEN(DEPTS[[#This Row],[DepartmentCode]])&lt;100,0,1)</f>
        <v>0</v>
      </c>
      <c r="E147" s="43">
        <f>IF(LEN(DEPTS[[#This Row],[Title]])&lt;100,0,1)</f>
        <v>0</v>
      </c>
      <c r="F147" s="43">
        <f>SUM(DEPTS[[#This Row],[FundIssue]:[Title length check]])</f>
        <v>0</v>
      </c>
      <c r="G147" t="s">
        <v>2222</v>
      </c>
      <c r="H147" t="s">
        <v>2223</v>
      </c>
      <c r="I147" t="b">
        <v>0</v>
      </c>
      <c r="J147" t="s">
        <v>51</v>
      </c>
      <c r="K147" t="s">
        <v>63</v>
      </c>
      <c r="L147" t="s">
        <v>63</v>
      </c>
      <c r="M147" t="s">
        <v>1966</v>
      </c>
      <c r="O147" t="b">
        <v>1</v>
      </c>
    </row>
    <row r="148" spans="1:15" x14ac:dyDescent="0.3">
      <c r="A148" s="43">
        <f>IF(COUNTIF(FUNDS[FundCode],DEPTS[[#This Row],[FundCode]])&gt;0,0,1)</f>
        <v>0</v>
      </c>
      <c r="B148" s="43">
        <f>IF(COUNTIF(ACTIVITIES[ActivityCode],DEPTS[[#This Row],[ActivityCode]])&gt;0,0,1)</f>
        <v>0</v>
      </c>
      <c r="C148" s="43">
        <f>IF(COUNTIF(LEDGER[LedgerCode],DEPTS[[#This Row],[LedgerCode]])&gt;0,0,1)</f>
        <v>0</v>
      </c>
      <c r="D148" s="43">
        <f>IF(LEN(DEPTS[[#This Row],[DepartmentCode]])&lt;100,0,1)</f>
        <v>0</v>
      </c>
      <c r="E148" s="43">
        <f>IF(LEN(DEPTS[[#This Row],[Title]])&lt;100,0,1)</f>
        <v>0</v>
      </c>
      <c r="F148" s="43">
        <f>SUM(DEPTS[[#This Row],[FundIssue]:[Title length check]])</f>
        <v>0</v>
      </c>
      <c r="G148" t="s">
        <v>2222</v>
      </c>
      <c r="H148" t="s">
        <v>2223</v>
      </c>
      <c r="I148" t="b">
        <v>0</v>
      </c>
      <c r="J148" t="s">
        <v>2094</v>
      </c>
      <c r="K148" t="s">
        <v>63</v>
      </c>
      <c r="L148" t="s">
        <v>63</v>
      </c>
      <c r="M148" t="s">
        <v>1532</v>
      </c>
      <c r="O148" t="b">
        <v>1</v>
      </c>
    </row>
    <row r="149" spans="1:15" x14ac:dyDescent="0.3">
      <c r="A149" s="43">
        <f>IF(COUNTIF(FUNDS[FundCode],DEPTS[[#This Row],[FundCode]])&gt;0,0,1)</f>
        <v>0</v>
      </c>
      <c r="B149" s="43">
        <f>IF(COUNTIF(ACTIVITIES[ActivityCode],DEPTS[[#This Row],[ActivityCode]])&gt;0,0,1)</f>
        <v>0</v>
      </c>
      <c r="C149" s="43">
        <f>IF(COUNTIF(LEDGER[LedgerCode],DEPTS[[#This Row],[LedgerCode]])&gt;0,0,1)</f>
        <v>0</v>
      </c>
      <c r="D149" s="43">
        <f>IF(LEN(DEPTS[[#This Row],[DepartmentCode]])&lt;100,0,1)</f>
        <v>0</v>
      </c>
      <c r="E149" s="43">
        <f>IF(LEN(DEPTS[[#This Row],[Title]])&lt;100,0,1)</f>
        <v>0</v>
      </c>
      <c r="F149" s="43">
        <f>SUM(DEPTS[[#This Row],[FundIssue]:[Title length check]])</f>
        <v>0</v>
      </c>
      <c r="G149" t="s">
        <v>2224</v>
      </c>
      <c r="H149" t="s">
        <v>2225</v>
      </c>
      <c r="I149" t="b">
        <v>0</v>
      </c>
      <c r="J149" t="s">
        <v>51</v>
      </c>
      <c r="K149" t="s">
        <v>63</v>
      </c>
      <c r="L149" t="s">
        <v>63</v>
      </c>
      <c r="M149" t="s">
        <v>1966</v>
      </c>
      <c r="O149" t="b">
        <v>1</v>
      </c>
    </row>
    <row r="150" spans="1:15" x14ac:dyDescent="0.3">
      <c r="A150" s="43">
        <f>IF(COUNTIF(FUNDS[FundCode],DEPTS[[#This Row],[FundCode]])&gt;0,0,1)</f>
        <v>0</v>
      </c>
      <c r="B150" s="43">
        <f>IF(COUNTIF(ACTIVITIES[ActivityCode],DEPTS[[#This Row],[ActivityCode]])&gt;0,0,1)</f>
        <v>0</v>
      </c>
      <c r="C150" s="43">
        <f>IF(COUNTIF(LEDGER[LedgerCode],DEPTS[[#This Row],[LedgerCode]])&gt;0,0,1)</f>
        <v>0</v>
      </c>
      <c r="D150" s="43">
        <f>IF(LEN(DEPTS[[#This Row],[DepartmentCode]])&lt;100,0,1)</f>
        <v>0</v>
      </c>
      <c r="E150" s="43">
        <f>IF(LEN(DEPTS[[#This Row],[Title]])&lt;100,0,1)</f>
        <v>0</v>
      </c>
      <c r="F150" s="43">
        <f>SUM(DEPTS[[#This Row],[FundIssue]:[Title length check]])</f>
        <v>0</v>
      </c>
      <c r="G150" t="s">
        <v>2224</v>
      </c>
      <c r="H150" t="s">
        <v>2225</v>
      </c>
      <c r="I150" t="b">
        <v>0</v>
      </c>
      <c r="J150" t="s">
        <v>2094</v>
      </c>
      <c r="K150" t="s">
        <v>63</v>
      </c>
      <c r="L150" t="s">
        <v>63</v>
      </c>
      <c r="M150" t="s">
        <v>1532</v>
      </c>
      <c r="O150" t="b">
        <v>1</v>
      </c>
    </row>
    <row r="151" spans="1:15" x14ac:dyDescent="0.3">
      <c r="A151" s="43">
        <f>IF(COUNTIF(FUNDS[FundCode],DEPTS[[#This Row],[FundCode]])&gt;0,0,1)</f>
        <v>0</v>
      </c>
      <c r="B151" s="43">
        <f>IF(COUNTIF(ACTIVITIES[ActivityCode],DEPTS[[#This Row],[ActivityCode]])&gt;0,0,1)</f>
        <v>0</v>
      </c>
      <c r="C151" s="43">
        <f>IF(COUNTIF(LEDGER[LedgerCode],DEPTS[[#This Row],[LedgerCode]])&gt;0,0,1)</f>
        <v>0</v>
      </c>
      <c r="D151" s="43">
        <f>IF(LEN(DEPTS[[#This Row],[DepartmentCode]])&lt;100,0,1)</f>
        <v>0</v>
      </c>
      <c r="E151" s="43">
        <f>IF(LEN(DEPTS[[#This Row],[Title]])&lt;100,0,1)</f>
        <v>0</v>
      </c>
      <c r="F151" s="43">
        <f>SUM(DEPTS[[#This Row],[FundIssue]:[Title length check]])</f>
        <v>0</v>
      </c>
      <c r="G151" t="s">
        <v>2226</v>
      </c>
      <c r="H151" t="s">
        <v>2227</v>
      </c>
      <c r="I151" t="b">
        <v>0</v>
      </c>
      <c r="J151" t="s">
        <v>4155</v>
      </c>
      <c r="K151" t="s">
        <v>63</v>
      </c>
      <c r="L151" t="s">
        <v>63</v>
      </c>
      <c r="M151" t="s">
        <v>1532</v>
      </c>
      <c r="O151" t="b">
        <v>1</v>
      </c>
    </row>
    <row r="152" spans="1:15" x14ac:dyDescent="0.3">
      <c r="A152" s="43">
        <f>IF(COUNTIF(FUNDS[FundCode],DEPTS[[#This Row],[FundCode]])&gt;0,0,1)</f>
        <v>0</v>
      </c>
      <c r="B152" s="43">
        <f>IF(COUNTIF(ACTIVITIES[ActivityCode],DEPTS[[#This Row],[ActivityCode]])&gt;0,0,1)</f>
        <v>0</v>
      </c>
      <c r="C152" s="43">
        <f>IF(COUNTIF(LEDGER[LedgerCode],DEPTS[[#This Row],[LedgerCode]])&gt;0,0,1)</f>
        <v>0</v>
      </c>
      <c r="D152" s="43">
        <f>IF(LEN(DEPTS[[#This Row],[DepartmentCode]])&lt;100,0,1)</f>
        <v>0</v>
      </c>
      <c r="E152" s="43">
        <f>IF(LEN(DEPTS[[#This Row],[Title]])&lt;100,0,1)</f>
        <v>0</v>
      </c>
      <c r="F152" s="43">
        <f>SUM(DEPTS[[#This Row],[FundIssue]:[Title length check]])</f>
        <v>0</v>
      </c>
      <c r="G152" t="s">
        <v>2226</v>
      </c>
      <c r="H152" t="s">
        <v>2227</v>
      </c>
      <c r="I152" t="b">
        <v>0</v>
      </c>
      <c r="J152" t="s">
        <v>51</v>
      </c>
      <c r="K152" t="s">
        <v>1963</v>
      </c>
      <c r="L152" t="s">
        <v>63</v>
      </c>
      <c r="M152" t="s">
        <v>1966</v>
      </c>
      <c r="O152" t="b">
        <v>1</v>
      </c>
    </row>
    <row r="153" spans="1:15" x14ac:dyDescent="0.3">
      <c r="A153" s="43">
        <f>IF(COUNTIF(FUNDS[FundCode],DEPTS[[#This Row],[FundCode]])&gt;0,0,1)</f>
        <v>0</v>
      </c>
      <c r="B153" s="43">
        <f>IF(COUNTIF(ACTIVITIES[ActivityCode],DEPTS[[#This Row],[ActivityCode]])&gt;0,0,1)</f>
        <v>0</v>
      </c>
      <c r="C153" s="43">
        <f>IF(COUNTIF(LEDGER[LedgerCode],DEPTS[[#This Row],[LedgerCode]])&gt;0,0,1)</f>
        <v>0</v>
      </c>
      <c r="D153" s="43">
        <f>IF(LEN(DEPTS[[#This Row],[DepartmentCode]])&lt;100,0,1)</f>
        <v>0</v>
      </c>
      <c r="E153" s="43">
        <f>IF(LEN(DEPTS[[#This Row],[Title]])&lt;100,0,1)</f>
        <v>0</v>
      </c>
      <c r="F153" s="43">
        <f>SUM(DEPTS[[#This Row],[FundIssue]:[Title length check]])</f>
        <v>0</v>
      </c>
      <c r="G153" t="s">
        <v>2228</v>
      </c>
      <c r="H153" t="s">
        <v>2229</v>
      </c>
      <c r="I153" t="b">
        <v>0</v>
      </c>
      <c r="J153" t="s">
        <v>51</v>
      </c>
      <c r="K153" t="s">
        <v>63</v>
      </c>
      <c r="L153" t="s">
        <v>63</v>
      </c>
      <c r="M153" t="s">
        <v>1966</v>
      </c>
      <c r="O153" t="b">
        <v>1</v>
      </c>
    </row>
    <row r="154" spans="1:15" x14ac:dyDescent="0.3">
      <c r="A154" s="43">
        <f>IF(COUNTIF(FUNDS[FundCode],DEPTS[[#This Row],[FundCode]])&gt;0,0,1)</f>
        <v>0</v>
      </c>
      <c r="B154" s="43">
        <f>IF(COUNTIF(ACTIVITIES[ActivityCode],DEPTS[[#This Row],[ActivityCode]])&gt;0,0,1)</f>
        <v>0</v>
      </c>
      <c r="C154" s="43">
        <f>IF(COUNTIF(LEDGER[LedgerCode],DEPTS[[#This Row],[LedgerCode]])&gt;0,0,1)</f>
        <v>0</v>
      </c>
      <c r="D154" s="43">
        <f>IF(LEN(DEPTS[[#This Row],[DepartmentCode]])&lt;100,0,1)</f>
        <v>0</v>
      </c>
      <c r="E154" s="43">
        <f>IF(LEN(DEPTS[[#This Row],[Title]])&lt;100,0,1)</f>
        <v>0</v>
      </c>
      <c r="F154" s="43">
        <f>SUM(DEPTS[[#This Row],[FundIssue]:[Title length check]])</f>
        <v>0</v>
      </c>
      <c r="G154" t="s">
        <v>2228</v>
      </c>
      <c r="H154" t="s">
        <v>2229</v>
      </c>
      <c r="I154" t="b">
        <v>0</v>
      </c>
      <c r="J154" t="s">
        <v>4155</v>
      </c>
      <c r="K154" t="s">
        <v>63</v>
      </c>
      <c r="L154" t="s">
        <v>63</v>
      </c>
      <c r="M154" t="s">
        <v>1532</v>
      </c>
      <c r="O154" t="b">
        <v>1</v>
      </c>
    </row>
    <row r="155" spans="1:15" x14ac:dyDescent="0.3">
      <c r="A155" s="43">
        <f>IF(COUNTIF(FUNDS[FundCode],DEPTS[[#This Row],[FundCode]])&gt;0,0,1)</f>
        <v>0</v>
      </c>
      <c r="B155" s="43">
        <f>IF(COUNTIF(ACTIVITIES[ActivityCode],DEPTS[[#This Row],[ActivityCode]])&gt;0,0,1)</f>
        <v>0</v>
      </c>
      <c r="C155" s="43">
        <f>IF(COUNTIF(LEDGER[LedgerCode],DEPTS[[#This Row],[LedgerCode]])&gt;0,0,1)</f>
        <v>0</v>
      </c>
      <c r="D155" s="43">
        <f>IF(LEN(DEPTS[[#This Row],[DepartmentCode]])&lt;100,0,1)</f>
        <v>0</v>
      </c>
      <c r="E155" s="43">
        <f>IF(LEN(DEPTS[[#This Row],[Title]])&lt;100,0,1)</f>
        <v>0</v>
      </c>
      <c r="F155" s="43">
        <f>SUM(DEPTS[[#This Row],[FundIssue]:[Title length check]])</f>
        <v>0</v>
      </c>
      <c r="G155" t="s">
        <v>2228</v>
      </c>
      <c r="H155" t="s">
        <v>2229</v>
      </c>
      <c r="I155" t="b">
        <v>0</v>
      </c>
      <c r="J155" t="s">
        <v>2082</v>
      </c>
      <c r="K155" t="s">
        <v>1963</v>
      </c>
      <c r="L155" t="s">
        <v>63</v>
      </c>
      <c r="M155" t="s">
        <v>1532</v>
      </c>
      <c r="O155" t="b">
        <v>1</v>
      </c>
    </row>
    <row r="156" spans="1:15" x14ac:dyDescent="0.3">
      <c r="A156" s="43">
        <f>IF(COUNTIF(FUNDS[FundCode],DEPTS[[#This Row],[FundCode]])&gt;0,0,1)</f>
        <v>0</v>
      </c>
      <c r="B156" s="43">
        <f>IF(COUNTIF(ACTIVITIES[ActivityCode],DEPTS[[#This Row],[ActivityCode]])&gt;0,0,1)</f>
        <v>0</v>
      </c>
      <c r="C156" s="43">
        <f>IF(COUNTIF(LEDGER[LedgerCode],DEPTS[[#This Row],[LedgerCode]])&gt;0,0,1)</f>
        <v>0</v>
      </c>
      <c r="D156" s="43">
        <f>IF(LEN(DEPTS[[#This Row],[DepartmentCode]])&lt;100,0,1)</f>
        <v>0</v>
      </c>
      <c r="E156" s="43">
        <f>IF(LEN(DEPTS[[#This Row],[Title]])&lt;100,0,1)</f>
        <v>0</v>
      </c>
      <c r="F156" s="43">
        <f>SUM(DEPTS[[#This Row],[FundIssue]:[Title length check]])</f>
        <v>0</v>
      </c>
      <c r="G156" t="s">
        <v>2230</v>
      </c>
      <c r="H156" t="s">
        <v>2231</v>
      </c>
      <c r="I156" t="b">
        <v>0</v>
      </c>
      <c r="J156" t="s">
        <v>51</v>
      </c>
      <c r="K156" t="s">
        <v>63</v>
      </c>
      <c r="L156" t="s">
        <v>63</v>
      </c>
      <c r="M156" t="s">
        <v>1966</v>
      </c>
      <c r="O156" t="b">
        <v>1</v>
      </c>
    </row>
    <row r="157" spans="1:15" x14ac:dyDescent="0.3">
      <c r="A157" s="43">
        <f>IF(COUNTIF(FUNDS[FundCode],DEPTS[[#This Row],[FundCode]])&gt;0,0,1)</f>
        <v>0</v>
      </c>
      <c r="B157" s="43">
        <f>IF(COUNTIF(ACTIVITIES[ActivityCode],DEPTS[[#This Row],[ActivityCode]])&gt;0,0,1)</f>
        <v>0</v>
      </c>
      <c r="C157" s="43">
        <f>IF(COUNTIF(LEDGER[LedgerCode],DEPTS[[#This Row],[LedgerCode]])&gt;0,0,1)</f>
        <v>0</v>
      </c>
      <c r="D157" s="43">
        <f>IF(LEN(DEPTS[[#This Row],[DepartmentCode]])&lt;100,0,1)</f>
        <v>0</v>
      </c>
      <c r="E157" s="43">
        <f>IF(LEN(DEPTS[[#This Row],[Title]])&lt;100,0,1)</f>
        <v>0</v>
      </c>
      <c r="F157" s="43">
        <f>SUM(DEPTS[[#This Row],[FundIssue]:[Title length check]])</f>
        <v>0</v>
      </c>
      <c r="G157" t="s">
        <v>2230</v>
      </c>
      <c r="H157" t="s">
        <v>2231</v>
      </c>
      <c r="I157" t="b">
        <v>0</v>
      </c>
      <c r="J157" t="s">
        <v>4155</v>
      </c>
      <c r="K157" t="s">
        <v>63</v>
      </c>
      <c r="L157" t="s">
        <v>63</v>
      </c>
      <c r="M157" t="s">
        <v>1532</v>
      </c>
      <c r="O157" t="b">
        <v>1</v>
      </c>
    </row>
    <row r="158" spans="1:15" x14ac:dyDescent="0.3">
      <c r="A158" s="43">
        <f>IF(COUNTIF(FUNDS[FundCode],DEPTS[[#This Row],[FundCode]])&gt;0,0,1)</f>
        <v>0</v>
      </c>
      <c r="B158" s="43">
        <f>IF(COUNTIF(ACTIVITIES[ActivityCode],DEPTS[[#This Row],[ActivityCode]])&gt;0,0,1)</f>
        <v>0</v>
      </c>
      <c r="C158" s="43">
        <f>IF(COUNTIF(LEDGER[LedgerCode],DEPTS[[#This Row],[LedgerCode]])&gt;0,0,1)</f>
        <v>0</v>
      </c>
      <c r="D158" s="43">
        <f>IF(LEN(DEPTS[[#This Row],[DepartmentCode]])&lt;100,0,1)</f>
        <v>0</v>
      </c>
      <c r="E158" s="43">
        <f>IF(LEN(DEPTS[[#This Row],[Title]])&lt;100,0,1)</f>
        <v>0</v>
      </c>
      <c r="F158" s="43">
        <f>SUM(DEPTS[[#This Row],[FundIssue]:[Title length check]])</f>
        <v>0</v>
      </c>
      <c r="G158" t="s">
        <v>2230</v>
      </c>
      <c r="H158" t="s">
        <v>2231</v>
      </c>
      <c r="I158" t="b">
        <v>0</v>
      </c>
      <c r="J158" t="s">
        <v>2082</v>
      </c>
      <c r="K158" t="s">
        <v>1963</v>
      </c>
      <c r="L158" t="s">
        <v>63</v>
      </c>
      <c r="M158" t="s">
        <v>1532</v>
      </c>
      <c r="O158" t="b">
        <v>1</v>
      </c>
    </row>
    <row r="159" spans="1:15" x14ac:dyDescent="0.3">
      <c r="A159" s="43">
        <f>IF(COUNTIF(FUNDS[FundCode],DEPTS[[#This Row],[FundCode]])&gt;0,0,1)</f>
        <v>0</v>
      </c>
      <c r="B159" s="43">
        <f>IF(COUNTIF(ACTIVITIES[ActivityCode],DEPTS[[#This Row],[ActivityCode]])&gt;0,0,1)</f>
        <v>0</v>
      </c>
      <c r="C159" s="43">
        <f>IF(COUNTIF(LEDGER[LedgerCode],DEPTS[[#This Row],[LedgerCode]])&gt;0,0,1)</f>
        <v>0</v>
      </c>
      <c r="D159" s="43">
        <f>IF(LEN(DEPTS[[#This Row],[DepartmentCode]])&lt;100,0,1)</f>
        <v>0</v>
      </c>
      <c r="E159" s="43">
        <f>IF(LEN(DEPTS[[#This Row],[Title]])&lt;100,0,1)</f>
        <v>0</v>
      </c>
      <c r="F159" s="43">
        <f>SUM(DEPTS[[#This Row],[FundIssue]:[Title length check]])</f>
        <v>0</v>
      </c>
      <c r="G159" t="s">
        <v>2232</v>
      </c>
      <c r="H159" t="s">
        <v>2233</v>
      </c>
      <c r="I159" t="b">
        <v>0</v>
      </c>
      <c r="J159" t="s">
        <v>51</v>
      </c>
      <c r="K159" t="s">
        <v>63</v>
      </c>
      <c r="L159" t="s">
        <v>63</v>
      </c>
      <c r="M159" t="s">
        <v>1966</v>
      </c>
      <c r="O159" t="b">
        <v>1</v>
      </c>
    </row>
    <row r="160" spans="1:15" x14ac:dyDescent="0.3">
      <c r="A160" s="43">
        <f>IF(COUNTIF(FUNDS[FundCode],DEPTS[[#This Row],[FundCode]])&gt;0,0,1)</f>
        <v>0</v>
      </c>
      <c r="B160" s="43">
        <f>IF(COUNTIF(ACTIVITIES[ActivityCode],DEPTS[[#This Row],[ActivityCode]])&gt;0,0,1)</f>
        <v>0</v>
      </c>
      <c r="C160" s="43">
        <f>IF(COUNTIF(LEDGER[LedgerCode],DEPTS[[#This Row],[LedgerCode]])&gt;0,0,1)</f>
        <v>0</v>
      </c>
      <c r="D160" s="43">
        <f>IF(LEN(DEPTS[[#This Row],[DepartmentCode]])&lt;100,0,1)</f>
        <v>0</v>
      </c>
      <c r="E160" s="43">
        <f>IF(LEN(DEPTS[[#This Row],[Title]])&lt;100,0,1)</f>
        <v>0</v>
      </c>
      <c r="F160" s="43">
        <f>SUM(DEPTS[[#This Row],[FundIssue]:[Title length check]])</f>
        <v>0</v>
      </c>
      <c r="G160" t="s">
        <v>2232</v>
      </c>
      <c r="H160" t="s">
        <v>2233</v>
      </c>
      <c r="I160" t="b">
        <v>0</v>
      </c>
      <c r="J160" t="s">
        <v>4155</v>
      </c>
      <c r="K160" t="s">
        <v>63</v>
      </c>
      <c r="L160" t="s">
        <v>63</v>
      </c>
      <c r="M160" t="s">
        <v>1532</v>
      </c>
      <c r="O160" t="b">
        <v>1</v>
      </c>
    </row>
    <row r="161" spans="1:15" x14ac:dyDescent="0.3">
      <c r="A161" s="43">
        <f>IF(COUNTIF(FUNDS[FundCode],DEPTS[[#This Row],[FundCode]])&gt;0,0,1)</f>
        <v>0</v>
      </c>
      <c r="B161" s="43">
        <f>IF(COUNTIF(ACTIVITIES[ActivityCode],DEPTS[[#This Row],[ActivityCode]])&gt;0,0,1)</f>
        <v>0</v>
      </c>
      <c r="C161" s="43">
        <f>IF(COUNTIF(LEDGER[LedgerCode],DEPTS[[#This Row],[LedgerCode]])&gt;0,0,1)</f>
        <v>0</v>
      </c>
      <c r="D161" s="43">
        <f>IF(LEN(DEPTS[[#This Row],[DepartmentCode]])&lt;100,0,1)</f>
        <v>0</v>
      </c>
      <c r="E161" s="43">
        <f>IF(LEN(DEPTS[[#This Row],[Title]])&lt;100,0,1)</f>
        <v>0</v>
      </c>
      <c r="F161" s="43">
        <f>SUM(DEPTS[[#This Row],[FundIssue]:[Title length check]])</f>
        <v>0</v>
      </c>
      <c r="G161" t="s">
        <v>2234</v>
      </c>
      <c r="H161" t="s">
        <v>2235</v>
      </c>
      <c r="I161" t="b">
        <v>0</v>
      </c>
      <c r="J161" t="s">
        <v>4329</v>
      </c>
      <c r="K161" t="s">
        <v>1963</v>
      </c>
      <c r="L161" t="s">
        <v>1764</v>
      </c>
      <c r="M161" t="s">
        <v>1532</v>
      </c>
      <c r="O161" t="b">
        <v>1</v>
      </c>
    </row>
    <row r="162" spans="1:15" x14ac:dyDescent="0.3">
      <c r="A162" s="43">
        <f>IF(COUNTIF(FUNDS[FundCode],DEPTS[[#This Row],[FundCode]])&gt;0,0,1)</f>
        <v>0</v>
      </c>
      <c r="B162" s="43">
        <f>IF(COUNTIF(ACTIVITIES[ActivityCode],DEPTS[[#This Row],[ActivityCode]])&gt;0,0,1)</f>
        <v>0</v>
      </c>
      <c r="C162" s="43">
        <f>IF(COUNTIF(LEDGER[LedgerCode],DEPTS[[#This Row],[LedgerCode]])&gt;0,0,1)</f>
        <v>0</v>
      </c>
      <c r="D162" s="43">
        <f>IF(LEN(DEPTS[[#This Row],[DepartmentCode]])&lt;100,0,1)</f>
        <v>0</v>
      </c>
      <c r="E162" s="43">
        <f>IF(LEN(DEPTS[[#This Row],[Title]])&lt;100,0,1)</f>
        <v>0</v>
      </c>
      <c r="F162" s="43">
        <f>SUM(DEPTS[[#This Row],[FundIssue]:[Title length check]])</f>
        <v>0</v>
      </c>
      <c r="G162" t="s">
        <v>2234</v>
      </c>
      <c r="H162" t="s">
        <v>2236</v>
      </c>
      <c r="I162" t="b">
        <v>0</v>
      </c>
      <c r="J162" t="s">
        <v>51</v>
      </c>
      <c r="K162" t="s">
        <v>63</v>
      </c>
      <c r="L162" t="s">
        <v>63</v>
      </c>
      <c r="M162" t="s">
        <v>1966</v>
      </c>
      <c r="O162" t="b">
        <v>1</v>
      </c>
    </row>
    <row r="163" spans="1:15" x14ac:dyDescent="0.3">
      <c r="A163" s="43">
        <f>IF(COUNTIF(FUNDS[FundCode],DEPTS[[#This Row],[FundCode]])&gt;0,0,1)</f>
        <v>0</v>
      </c>
      <c r="B163" s="43">
        <f>IF(COUNTIF(ACTIVITIES[ActivityCode],DEPTS[[#This Row],[ActivityCode]])&gt;0,0,1)</f>
        <v>0</v>
      </c>
      <c r="C163" s="43">
        <f>IF(COUNTIF(LEDGER[LedgerCode],DEPTS[[#This Row],[LedgerCode]])&gt;0,0,1)</f>
        <v>0</v>
      </c>
      <c r="D163" s="43">
        <f>IF(LEN(DEPTS[[#This Row],[DepartmentCode]])&lt;100,0,1)</f>
        <v>0</v>
      </c>
      <c r="E163" s="43">
        <f>IF(LEN(DEPTS[[#This Row],[Title]])&lt;100,0,1)</f>
        <v>0</v>
      </c>
      <c r="F163" s="43">
        <f>SUM(DEPTS[[#This Row],[FundIssue]:[Title length check]])</f>
        <v>0</v>
      </c>
      <c r="G163" t="s">
        <v>2234</v>
      </c>
      <c r="H163" t="s">
        <v>2236</v>
      </c>
      <c r="I163" t="b">
        <v>0</v>
      </c>
      <c r="J163" t="s">
        <v>4332</v>
      </c>
      <c r="K163" t="s">
        <v>1963</v>
      </c>
      <c r="L163" t="s">
        <v>63</v>
      </c>
      <c r="M163" t="s">
        <v>1532</v>
      </c>
      <c r="O163" t="b">
        <v>1</v>
      </c>
    </row>
    <row r="164" spans="1:15" x14ac:dyDescent="0.3">
      <c r="A164" s="43">
        <f>IF(COUNTIF(FUNDS[FundCode],DEPTS[[#This Row],[FundCode]])&gt;0,0,1)</f>
        <v>0</v>
      </c>
      <c r="B164" s="43">
        <f>IF(COUNTIF(ACTIVITIES[ActivityCode],DEPTS[[#This Row],[ActivityCode]])&gt;0,0,1)</f>
        <v>0</v>
      </c>
      <c r="C164" s="43">
        <f>IF(COUNTIF(LEDGER[LedgerCode],DEPTS[[#This Row],[LedgerCode]])&gt;0,0,1)</f>
        <v>0</v>
      </c>
      <c r="D164" s="43">
        <f>IF(LEN(DEPTS[[#This Row],[DepartmentCode]])&lt;100,0,1)</f>
        <v>0</v>
      </c>
      <c r="E164" s="43">
        <f>IF(LEN(DEPTS[[#This Row],[Title]])&lt;100,0,1)</f>
        <v>0</v>
      </c>
      <c r="F164" s="43">
        <f>SUM(DEPTS[[#This Row],[FundIssue]:[Title length check]])</f>
        <v>0</v>
      </c>
      <c r="G164" t="s">
        <v>2237</v>
      </c>
      <c r="H164" t="s">
        <v>2238</v>
      </c>
      <c r="I164" t="b">
        <v>0</v>
      </c>
      <c r="J164" t="s">
        <v>51</v>
      </c>
      <c r="K164" t="s">
        <v>63</v>
      </c>
      <c r="L164" t="s">
        <v>63</v>
      </c>
      <c r="M164" t="s">
        <v>1966</v>
      </c>
      <c r="O164" t="b">
        <v>1</v>
      </c>
    </row>
    <row r="165" spans="1:15" x14ac:dyDescent="0.3">
      <c r="A165" s="43">
        <f>IF(COUNTIF(FUNDS[FundCode],DEPTS[[#This Row],[FundCode]])&gt;0,0,1)</f>
        <v>0</v>
      </c>
      <c r="B165" s="43">
        <f>IF(COUNTIF(ACTIVITIES[ActivityCode],DEPTS[[#This Row],[ActivityCode]])&gt;0,0,1)</f>
        <v>0</v>
      </c>
      <c r="C165" s="43">
        <f>IF(COUNTIF(LEDGER[LedgerCode],DEPTS[[#This Row],[LedgerCode]])&gt;0,0,1)</f>
        <v>0</v>
      </c>
      <c r="D165" s="43">
        <f>IF(LEN(DEPTS[[#This Row],[DepartmentCode]])&lt;100,0,1)</f>
        <v>0</v>
      </c>
      <c r="E165" s="43">
        <f>IF(LEN(DEPTS[[#This Row],[Title]])&lt;100,0,1)</f>
        <v>0</v>
      </c>
      <c r="F165" s="43">
        <f>SUM(DEPTS[[#This Row],[FundIssue]:[Title length check]])</f>
        <v>0</v>
      </c>
      <c r="G165" t="s">
        <v>2237</v>
      </c>
      <c r="H165" t="s">
        <v>2238</v>
      </c>
      <c r="I165" t="b">
        <v>0</v>
      </c>
      <c r="J165" t="s">
        <v>4155</v>
      </c>
      <c r="K165" t="s">
        <v>63</v>
      </c>
      <c r="L165" t="s">
        <v>63</v>
      </c>
      <c r="M165" t="s">
        <v>1532</v>
      </c>
      <c r="O165" t="b">
        <v>1</v>
      </c>
    </row>
    <row r="166" spans="1:15" x14ac:dyDescent="0.3">
      <c r="A166" s="43">
        <f>IF(COUNTIF(FUNDS[FundCode],DEPTS[[#This Row],[FundCode]])&gt;0,0,1)</f>
        <v>0</v>
      </c>
      <c r="B166" s="43">
        <f>IF(COUNTIF(ACTIVITIES[ActivityCode],DEPTS[[#This Row],[ActivityCode]])&gt;0,0,1)</f>
        <v>0</v>
      </c>
      <c r="C166" s="43">
        <f>IF(COUNTIF(LEDGER[LedgerCode],DEPTS[[#This Row],[LedgerCode]])&gt;0,0,1)</f>
        <v>0</v>
      </c>
      <c r="D166" s="43">
        <f>IF(LEN(DEPTS[[#This Row],[DepartmentCode]])&lt;100,0,1)</f>
        <v>0</v>
      </c>
      <c r="E166" s="43">
        <f>IF(LEN(DEPTS[[#This Row],[Title]])&lt;100,0,1)</f>
        <v>0</v>
      </c>
      <c r="F166" s="43">
        <f>SUM(DEPTS[[#This Row],[FundIssue]:[Title length check]])</f>
        <v>0</v>
      </c>
      <c r="G166" t="s">
        <v>2237</v>
      </c>
      <c r="H166" t="s">
        <v>2238</v>
      </c>
      <c r="I166" t="b">
        <v>0</v>
      </c>
      <c r="J166" t="s">
        <v>2082</v>
      </c>
      <c r="K166" t="s">
        <v>1963</v>
      </c>
      <c r="L166" t="s">
        <v>63</v>
      </c>
      <c r="M166" t="s">
        <v>1532</v>
      </c>
      <c r="O166" t="b">
        <v>1</v>
      </c>
    </row>
    <row r="167" spans="1:15" x14ac:dyDescent="0.3">
      <c r="A167" s="43">
        <f>IF(COUNTIF(FUNDS[FundCode],DEPTS[[#This Row],[FundCode]])&gt;0,0,1)</f>
        <v>0</v>
      </c>
      <c r="B167" s="43">
        <f>IF(COUNTIF(ACTIVITIES[ActivityCode],DEPTS[[#This Row],[ActivityCode]])&gt;0,0,1)</f>
        <v>0</v>
      </c>
      <c r="C167" s="43">
        <f>IF(COUNTIF(LEDGER[LedgerCode],DEPTS[[#This Row],[LedgerCode]])&gt;0,0,1)</f>
        <v>0</v>
      </c>
      <c r="D167" s="43">
        <f>IF(LEN(DEPTS[[#This Row],[DepartmentCode]])&lt;100,0,1)</f>
        <v>0</v>
      </c>
      <c r="E167" s="43">
        <f>IF(LEN(DEPTS[[#This Row],[Title]])&lt;100,0,1)</f>
        <v>0</v>
      </c>
      <c r="F167" s="43">
        <f>SUM(DEPTS[[#This Row],[FundIssue]:[Title length check]])</f>
        <v>0</v>
      </c>
      <c r="G167" t="s">
        <v>2239</v>
      </c>
      <c r="H167" t="s">
        <v>2240</v>
      </c>
      <c r="I167" t="b">
        <v>0</v>
      </c>
      <c r="J167" t="s">
        <v>51</v>
      </c>
      <c r="K167" t="s">
        <v>63</v>
      </c>
      <c r="L167" t="s">
        <v>63</v>
      </c>
      <c r="M167" t="s">
        <v>1966</v>
      </c>
      <c r="O167" t="b">
        <v>1</v>
      </c>
    </row>
    <row r="168" spans="1:15" x14ac:dyDescent="0.3">
      <c r="A168" s="43">
        <f>IF(COUNTIF(FUNDS[FundCode],DEPTS[[#This Row],[FundCode]])&gt;0,0,1)</f>
        <v>0</v>
      </c>
      <c r="B168" s="43">
        <f>IF(COUNTIF(ACTIVITIES[ActivityCode],DEPTS[[#This Row],[ActivityCode]])&gt;0,0,1)</f>
        <v>0</v>
      </c>
      <c r="C168" s="43">
        <f>IF(COUNTIF(LEDGER[LedgerCode],DEPTS[[#This Row],[LedgerCode]])&gt;0,0,1)</f>
        <v>0</v>
      </c>
      <c r="D168" s="43">
        <f>IF(LEN(DEPTS[[#This Row],[DepartmentCode]])&lt;100,0,1)</f>
        <v>0</v>
      </c>
      <c r="E168" s="43">
        <f>IF(LEN(DEPTS[[#This Row],[Title]])&lt;100,0,1)</f>
        <v>0</v>
      </c>
      <c r="F168" s="43">
        <f>SUM(DEPTS[[#This Row],[FundIssue]:[Title length check]])</f>
        <v>0</v>
      </c>
      <c r="G168" t="s">
        <v>2239</v>
      </c>
      <c r="H168" t="s">
        <v>2240</v>
      </c>
      <c r="I168" t="b">
        <v>0</v>
      </c>
      <c r="J168" t="s">
        <v>2094</v>
      </c>
      <c r="K168" t="s">
        <v>63</v>
      </c>
      <c r="L168" t="s">
        <v>63</v>
      </c>
      <c r="M168" t="s">
        <v>1532</v>
      </c>
      <c r="O168" t="b">
        <v>1</v>
      </c>
    </row>
    <row r="169" spans="1:15" x14ac:dyDescent="0.3">
      <c r="A169" s="43">
        <f>IF(COUNTIF(FUNDS[FundCode],DEPTS[[#This Row],[FundCode]])&gt;0,0,1)</f>
        <v>0</v>
      </c>
      <c r="B169" s="43">
        <f>IF(COUNTIF(ACTIVITIES[ActivityCode],DEPTS[[#This Row],[ActivityCode]])&gt;0,0,1)</f>
        <v>0</v>
      </c>
      <c r="C169" s="43">
        <f>IF(COUNTIF(LEDGER[LedgerCode],DEPTS[[#This Row],[LedgerCode]])&gt;0,0,1)</f>
        <v>0</v>
      </c>
      <c r="D169" s="43">
        <f>IF(LEN(DEPTS[[#This Row],[DepartmentCode]])&lt;100,0,1)</f>
        <v>0</v>
      </c>
      <c r="E169" s="43">
        <f>IF(LEN(DEPTS[[#This Row],[Title]])&lt;100,0,1)</f>
        <v>0</v>
      </c>
      <c r="F169" s="43">
        <f>SUM(DEPTS[[#This Row],[FundIssue]:[Title length check]])</f>
        <v>0</v>
      </c>
      <c r="G169" t="s">
        <v>2241</v>
      </c>
      <c r="H169" t="s">
        <v>2242</v>
      </c>
      <c r="I169" t="b">
        <v>0</v>
      </c>
      <c r="J169" t="s">
        <v>51</v>
      </c>
      <c r="K169" t="s">
        <v>63</v>
      </c>
      <c r="L169" t="s">
        <v>63</v>
      </c>
      <c r="M169" t="s">
        <v>1966</v>
      </c>
      <c r="O169" t="b">
        <v>1</v>
      </c>
    </row>
    <row r="170" spans="1:15" x14ac:dyDescent="0.3">
      <c r="A170" s="43">
        <f>IF(COUNTIF(FUNDS[FundCode],DEPTS[[#This Row],[FundCode]])&gt;0,0,1)</f>
        <v>0</v>
      </c>
      <c r="B170" s="43">
        <f>IF(COUNTIF(ACTIVITIES[ActivityCode],DEPTS[[#This Row],[ActivityCode]])&gt;0,0,1)</f>
        <v>0</v>
      </c>
      <c r="C170" s="43">
        <f>IF(COUNTIF(LEDGER[LedgerCode],DEPTS[[#This Row],[LedgerCode]])&gt;0,0,1)</f>
        <v>0</v>
      </c>
      <c r="D170" s="43">
        <f>IF(LEN(DEPTS[[#This Row],[DepartmentCode]])&lt;100,0,1)</f>
        <v>0</v>
      </c>
      <c r="E170" s="43">
        <f>IF(LEN(DEPTS[[#This Row],[Title]])&lt;100,0,1)</f>
        <v>0</v>
      </c>
      <c r="F170" s="43">
        <f>SUM(DEPTS[[#This Row],[FundIssue]:[Title length check]])</f>
        <v>0</v>
      </c>
      <c r="G170" t="s">
        <v>2241</v>
      </c>
      <c r="H170" t="s">
        <v>2242</v>
      </c>
      <c r="I170" t="b">
        <v>0</v>
      </c>
      <c r="J170" t="s">
        <v>4155</v>
      </c>
      <c r="K170" t="s">
        <v>63</v>
      </c>
      <c r="L170" t="s">
        <v>63</v>
      </c>
      <c r="M170" t="s">
        <v>1532</v>
      </c>
      <c r="O170" t="b">
        <v>1</v>
      </c>
    </row>
    <row r="171" spans="1:15" x14ac:dyDescent="0.3">
      <c r="A171" s="43">
        <f>IF(COUNTIF(FUNDS[FundCode],DEPTS[[#This Row],[FundCode]])&gt;0,0,1)</f>
        <v>0</v>
      </c>
      <c r="B171" s="43">
        <f>IF(COUNTIF(ACTIVITIES[ActivityCode],DEPTS[[#This Row],[ActivityCode]])&gt;0,0,1)</f>
        <v>0</v>
      </c>
      <c r="C171" s="43">
        <f>IF(COUNTIF(LEDGER[LedgerCode],DEPTS[[#This Row],[LedgerCode]])&gt;0,0,1)</f>
        <v>0</v>
      </c>
      <c r="D171" s="43">
        <f>IF(LEN(DEPTS[[#This Row],[DepartmentCode]])&lt;100,0,1)</f>
        <v>0</v>
      </c>
      <c r="E171" s="43">
        <f>IF(LEN(DEPTS[[#This Row],[Title]])&lt;100,0,1)</f>
        <v>0</v>
      </c>
      <c r="F171" s="43">
        <f>SUM(DEPTS[[#This Row],[FundIssue]:[Title length check]])</f>
        <v>0</v>
      </c>
      <c r="G171" t="s">
        <v>2243</v>
      </c>
      <c r="H171" t="s">
        <v>2244</v>
      </c>
      <c r="I171" t="b">
        <v>0</v>
      </c>
      <c r="J171" t="s">
        <v>51</v>
      </c>
      <c r="K171" t="s">
        <v>63</v>
      </c>
      <c r="L171" t="s">
        <v>63</v>
      </c>
      <c r="M171" t="s">
        <v>1966</v>
      </c>
      <c r="O171" t="b">
        <v>1</v>
      </c>
    </row>
    <row r="172" spans="1:15" x14ac:dyDescent="0.3">
      <c r="A172" s="43">
        <f>IF(COUNTIF(FUNDS[FundCode],DEPTS[[#This Row],[FundCode]])&gt;0,0,1)</f>
        <v>0</v>
      </c>
      <c r="B172" s="43">
        <f>IF(COUNTIF(ACTIVITIES[ActivityCode],DEPTS[[#This Row],[ActivityCode]])&gt;0,0,1)</f>
        <v>0</v>
      </c>
      <c r="C172" s="43">
        <f>IF(COUNTIF(LEDGER[LedgerCode],DEPTS[[#This Row],[LedgerCode]])&gt;0,0,1)</f>
        <v>0</v>
      </c>
      <c r="D172" s="43">
        <f>IF(LEN(DEPTS[[#This Row],[DepartmentCode]])&lt;100,0,1)</f>
        <v>0</v>
      </c>
      <c r="E172" s="43">
        <f>IF(LEN(DEPTS[[#This Row],[Title]])&lt;100,0,1)</f>
        <v>0</v>
      </c>
      <c r="F172" s="43">
        <f>SUM(DEPTS[[#This Row],[FundIssue]:[Title length check]])</f>
        <v>0</v>
      </c>
      <c r="G172" t="s">
        <v>2243</v>
      </c>
      <c r="H172" t="s">
        <v>2244</v>
      </c>
      <c r="I172" t="b">
        <v>0</v>
      </c>
      <c r="J172" t="s">
        <v>4155</v>
      </c>
      <c r="K172" t="s">
        <v>63</v>
      </c>
      <c r="L172" t="s">
        <v>63</v>
      </c>
      <c r="M172" t="s">
        <v>1532</v>
      </c>
      <c r="O172" t="b">
        <v>1</v>
      </c>
    </row>
    <row r="173" spans="1:15" x14ac:dyDescent="0.3">
      <c r="A173" s="43">
        <f>IF(COUNTIF(FUNDS[FundCode],DEPTS[[#This Row],[FundCode]])&gt;0,0,1)</f>
        <v>0</v>
      </c>
      <c r="B173" s="43">
        <f>IF(COUNTIF(ACTIVITIES[ActivityCode],DEPTS[[#This Row],[ActivityCode]])&gt;0,0,1)</f>
        <v>0</v>
      </c>
      <c r="C173" s="43">
        <f>IF(COUNTIF(LEDGER[LedgerCode],DEPTS[[#This Row],[LedgerCode]])&gt;0,0,1)</f>
        <v>0</v>
      </c>
      <c r="D173" s="43">
        <f>IF(LEN(DEPTS[[#This Row],[DepartmentCode]])&lt;100,0,1)</f>
        <v>0</v>
      </c>
      <c r="E173" s="43">
        <f>IF(LEN(DEPTS[[#This Row],[Title]])&lt;100,0,1)</f>
        <v>0</v>
      </c>
      <c r="F173" s="43">
        <f>SUM(DEPTS[[#This Row],[FundIssue]:[Title length check]])</f>
        <v>0</v>
      </c>
      <c r="G173" t="s">
        <v>2243</v>
      </c>
      <c r="H173" t="s">
        <v>2244</v>
      </c>
      <c r="I173" t="b">
        <v>0</v>
      </c>
      <c r="J173" t="s">
        <v>2082</v>
      </c>
      <c r="K173" t="s">
        <v>1963</v>
      </c>
      <c r="L173" t="s">
        <v>63</v>
      </c>
      <c r="M173" t="s">
        <v>1532</v>
      </c>
      <c r="O173" t="b">
        <v>1</v>
      </c>
    </row>
    <row r="174" spans="1:15" x14ac:dyDescent="0.3">
      <c r="A174" s="43">
        <f>IF(COUNTIF(FUNDS[FundCode],DEPTS[[#This Row],[FundCode]])&gt;0,0,1)</f>
        <v>0</v>
      </c>
      <c r="B174" s="43">
        <f>IF(COUNTIF(ACTIVITIES[ActivityCode],DEPTS[[#This Row],[ActivityCode]])&gt;0,0,1)</f>
        <v>0</v>
      </c>
      <c r="C174" s="43">
        <f>IF(COUNTIF(LEDGER[LedgerCode],DEPTS[[#This Row],[LedgerCode]])&gt;0,0,1)</f>
        <v>0</v>
      </c>
      <c r="D174" s="43">
        <f>IF(LEN(DEPTS[[#This Row],[DepartmentCode]])&lt;100,0,1)</f>
        <v>0</v>
      </c>
      <c r="E174" s="43">
        <f>IF(LEN(DEPTS[[#This Row],[Title]])&lt;100,0,1)</f>
        <v>0</v>
      </c>
      <c r="F174" s="43">
        <f>SUM(DEPTS[[#This Row],[FundIssue]:[Title length check]])</f>
        <v>0</v>
      </c>
      <c r="G174" t="s">
        <v>2245</v>
      </c>
      <c r="H174" t="s">
        <v>1138</v>
      </c>
      <c r="I174" t="b">
        <v>0</v>
      </c>
      <c r="J174" t="s">
        <v>2094</v>
      </c>
      <c r="K174" t="s">
        <v>63</v>
      </c>
      <c r="L174" t="s">
        <v>1945</v>
      </c>
      <c r="M174" t="s">
        <v>1532</v>
      </c>
      <c r="O174" t="b">
        <v>1</v>
      </c>
    </row>
    <row r="175" spans="1:15" x14ac:dyDescent="0.3">
      <c r="A175" s="43">
        <f>IF(COUNTIF(FUNDS[FundCode],DEPTS[[#This Row],[FundCode]])&gt;0,0,1)</f>
        <v>0</v>
      </c>
      <c r="B175" s="43">
        <f>IF(COUNTIF(ACTIVITIES[ActivityCode],DEPTS[[#This Row],[ActivityCode]])&gt;0,0,1)</f>
        <v>0</v>
      </c>
      <c r="C175" s="43">
        <f>IF(COUNTIF(LEDGER[LedgerCode],DEPTS[[#This Row],[LedgerCode]])&gt;0,0,1)</f>
        <v>0</v>
      </c>
      <c r="D175" s="43">
        <f>IF(LEN(DEPTS[[#This Row],[DepartmentCode]])&lt;100,0,1)</f>
        <v>0</v>
      </c>
      <c r="E175" s="43">
        <f>IF(LEN(DEPTS[[#This Row],[Title]])&lt;100,0,1)</f>
        <v>0</v>
      </c>
      <c r="F175" s="43">
        <f>SUM(DEPTS[[#This Row],[FundIssue]:[Title length check]])</f>
        <v>0</v>
      </c>
      <c r="G175" t="s">
        <v>2245</v>
      </c>
      <c r="H175" t="s">
        <v>2246</v>
      </c>
      <c r="I175" t="b">
        <v>0</v>
      </c>
      <c r="J175" t="s">
        <v>51</v>
      </c>
      <c r="K175" t="s">
        <v>1963</v>
      </c>
      <c r="L175" t="s">
        <v>1945</v>
      </c>
      <c r="M175" t="s">
        <v>1966</v>
      </c>
      <c r="O175" t="b">
        <v>1</v>
      </c>
    </row>
    <row r="176" spans="1:15" x14ac:dyDescent="0.3">
      <c r="A176" s="43">
        <f>IF(COUNTIF(FUNDS[FundCode],DEPTS[[#This Row],[FundCode]])&gt;0,0,1)</f>
        <v>0</v>
      </c>
      <c r="B176" s="43">
        <f>IF(COUNTIF(ACTIVITIES[ActivityCode],DEPTS[[#This Row],[ActivityCode]])&gt;0,0,1)</f>
        <v>0</v>
      </c>
      <c r="C176" s="43">
        <f>IF(COUNTIF(LEDGER[LedgerCode],DEPTS[[#This Row],[LedgerCode]])&gt;0,0,1)</f>
        <v>0</v>
      </c>
      <c r="D176" s="43">
        <f>IF(LEN(DEPTS[[#This Row],[DepartmentCode]])&lt;100,0,1)</f>
        <v>0</v>
      </c>
      <c r="E176" s="43">
        <f>IF(LEN(DEPTS[[#This Row],[Title]])&lt;100,0,1)</f>
        <v>0</v>
      </c>
      <c r="F176" s="43">
        <f>SUM(DEPTS[[#This Row],[FundIssue]:[Title length check]])</f>
        <v>0</v>
      </c>
      <c r="G176" t="s">
        <v>2245</v>
      </c>
      <c r="H176" t="s">
        <v>2246</v>
      </c>
      <c r="I176" t="b">
        <v>0</v>
      </c>
      <c r="J176" t="s">
        <v>2082</v>
      </c>
      <c r="K176" t="s">
        <v>1963</v>
      </c>
      <c r="L176" t="s">
        <v>1945</v>
      </c>
      <c r="M176" t="s">
        <v>1532</v>
      </c>
      <c r="O176" t="b">
        <v>1</v>
      </c>
    </row>
    <row r="177" spans="1:15" x14ac:dyDescent="0.3">
      <c r="A177" s="43">
        <f>IF(COUNTIF(FUNDS[FundCode],DEPTS[[#This Row],[FundCode]])&gt;0,0,1)</f>
        <v>0</v>
      </c>
      <c r="B177" s="43">
        <f>IF(COUNTIF(ACTIVITIES[ActivityCode],DEPTS[[#This Row],[ActivityCode]])&gt;0,0,1)</f>
        <v>0</v>
      </c>
      <c r="C177" s="43">
        <f>IF(COUNTIF(LEDGER[LedgerCode],DEPTS[[#This Row],[LedgerCode]])&gt;0,0,1)</f>
        <v>0</v>
      </c>
      <c r="D177" s="43">
        <f>IF(LEN(DEPTS[[#This Row],[DepartmentCode]])&lt;100,0,1)</f>
        <v>0</v>
      </c>
      <c r="E177" s="43">
        <f>IF(LEN(DEPTS[[#This Row],[Title]])&lt;100,0,1)</f>
        <v>0</v>
      </c>
      <c r="F177" s="43">
        <f>SUM(DEPTS[[#This Row],[FundIssue]:[Title length check]])</f>
        <v>0</v>
      </c>
      <c r="G177" t="s">
        <v>2245</v>
      </c>
      <c r="H177" t="s">
        <v>2247</v>
      </c>
      <c r="I177" t="b">
        <v>0</v>
      </c>
      <c r="J177" t="s">
        <v>2126</v>
      </c>
      <c r="K177" t="s">
        <v>63</v>
      </c>
      <c r="L177" t="s">
        <v>63</v>
      </c>
      <c r="M177" t="s">
        <v>1532</v>
      </c>
      <c r="O177" t="b">
        <v>1</v>
      </c>
    </row>
    <row r="178" spans="1:15" x14ac:dyDescent="0.3">
      <c r="A178" s="43">
        <f>IF(COUNTIF(FUNDS[FundCode],DEPTS[[#This Row],[FundCode]])&gt;0,0,1)</f>
        <v>0</v>
      </c>
      <c r="B178" s="43">
        <f>IF(COUNTIF(ACTIVITIES[ActivityCode],DEPTS[[#This Row],[ActivityCode]])&gt;0,0,1)</f>
        <v>0</v>
      </c>
      <c r="C178" s="43">
        <f>IF(COUNTIF(LEDGER[LedgerCode],DEPTS[[#This Row],[LedgerCode]])&gt;0,0,1)</f>
        <v>0</v>
      </c>
      <c r="D178" s="43">
        <f>IF(LEN(DEPTS[[#This Row],[DepartmentCode]])&lt;100,0,1)</f>
        <v>0</v>
      </c>
      <c r="E178" s="43">
        <f>IF(LEN(DEPTS[[#This Row],[Title]])&lt;100,0,1)</f>
        <v>0</v>
      </c>
      <c r="F178" s="43">
        <f>SUM(DEPTS[[#This Row],[FundIssue]:[Title length check]])</f>
        <v>0</v>
      </c>
      <c r="G178" t="s">
        <v>2248</v>
      </c>
      <c r="H178" t="s">
        <v>2249</v>
      </c>
      <c r="I178" t="b">
        <v>0</v>
      </c>
      <c r="J178" t="s">
        <v>51</v>
      </c>
      <c r="K178" t="s">
        <v>63</v>
      </c>
      <c r="L178" t="s">
        <v>63</v>
      </c>
      <c r="M178" t="s">
        <v>1966</v>
      </c>
      <c r="O178" t="b">
        <v>1</v>
      </c>
    </row>
    <row r="179" spans="1:15" x14ac:dyDescent="0.3">
      <c r="A179" s="43">
        <f>IF(COUNTIF(FUNDS[FundCode],DEPTS[[#This Row],[FundCode]])&gt;0,0,1)</f>
        <v>0</v>
      </c>
      <c r="B179" s="43">
        <f>IF(COUNTIF(ACTIVITIES[ActivityCode],DEPTS[[#This Row],[ActivityCode]])&gt;0,0,1)</f>
        <v>0</v>
      </c>
      <c r="C179" s="43">
        <f>IF(COUNTIF(LEDGER[LedgerCode],DEPTS[[#This Row],[LedgerCode]])&gt;0,0,1)</f>
        <v>0</v>
      </c>
      <c r="D179" s="43">
        <f>IF(LEN(DEPTS[[#This Row],[DepartmentCode]])&lt;100,0,1)</f>
        <v>0</v>
      </c>
      <c r="E179" s="43">
        <f>IF(LEN(DEPTS[[#This Row],[Title]])&lt;100,0,1)</f>
        <v>0</v>
      </c>
      <c r="F179" s="43">
        <f>SUM(DEPTS[[#This Row],[FundIssue]:[Title length check]])</f>
        <v>0</v>
      </c>
      <c r="G179" t="s">
        <v>2248</v>
      </c>
      <c r="H179" t="s">
        <v>2249</v>
      </c>
      <c r="I179" t="b">
        <v>0</v>
      </c>
      <c r="J179" t="s">
        <v>2094</v>
      </c>
      <c r="K179" t="s">
        <v>63</v>
      </c>
      <c r="L179" t="s">
        <v>63</v>
      </c>
      <c r="M179" t="s">
        <v>1532</v>
      </c>
      <c r="O179" t="b">
        <v>1</v>
      </c>
    </row>
    <row r="180" spans="1:15" x14ac:dyDescent="0.3">
      <c r="A180" s="43">
        <f>IF(COUNTIF(FUNDS[FundCode],DEPTS[[#This Row],[FundCode]])&gt;0,0,1)</f>
        <v>0</v>
      </c>
      <c r="B180" s="43">
        <f>IF(COUNTIF(ACTIVITIES[ActivityCode],DEPTS[[#This Row],[ActivityCode]])&gt;0,0,1)</f>
        <v>0</v>
      </c>
      <c r="C180" s="43">
        <f>IF(COUNTIF(LEDGER[LedgerCode],DEPTS[[#This Row],[LedgerCode]])&gt;0,0,1)</f>
        <v>0</v>
      </c>
      <c r="D180" s="43">
        <f>IF(LEN(DEPTS[[#This Row],[DepartmentCode]])&lt;100,0,1)</f>
        <v>0</v>
      </c>
      <c r="E180" s="43">
        <f>IF(LEN(DEPTS[[#This Row],[Title]])&lt;100,0,1)</f>
        <v>0</v>
      </c>
      <c r="F180" s="43">
        <f>SUM(DEPTS[[#This Row],[FundIssue]:[Title length check]])</f>
        <v>0</v>
      </c>
      <c r="G180" t="s">
        <v>2250</v>
      </c>
      <c r="H180" t="s">
        <v>2251</v>
      </c>
      <c r="I180" t="b">
        <v>0</v>
      </c>
      <c r="J180" t="s">
        <v>51</v>
      </c>
      <c r="K180" t="s">
        <v>63</v>
      </c>
      <c r="L180" t="s">
        <v>63</v>
      </c>
      <c r="M180" t="s">
        <v>1966</v>
      </c>
      <c r="O180" t="b">
        <v>1</v>
      </c>
    </row>
    <row r="181" spans="1:15" x14ac:dyDescent="0.3">
      <c r="A181" s="43">
        <f>IF(COUNTIF(FUNDS[FundCode],DEPTS[[#This Row],[FundCode]])&gt;0,0,1)</f>
        <v>0</v>
      </c>
      <c r="B181" s="43">
        <f>IF(COUNTIF(ACTIVITIES[ActivityCode],DEPTS[[#This Row],[ActivityCode]])&gt;0,0,1)</f>
        <v>0</v>
      </c>
      <c r="C181" s="43">
        <f>IF(COUNTIF(LEDGER[LedgerCode],DEPTS[[#This Row],[LedgerCode]])&gt;0,0,1)</f>
        <v>0</v>
      </c>
      <c r="D181" s="43">
        <f>IF(LEN(DEPTS[[#This Row],[DepartmentCode]])&lt;100,0,1)</f>
        <v>0</v>
      </c>
      <c r="E181" s="43">
        <f>IF(LEN(DEPTS[[#This Row],[Title]])&lt;100,0,1)</f>
        <v>0</v>
      </c>
      <c r="F181" s="43">
        <f>SUM(DEPTS[[#This Row],[FundIssue]:[Title length check]])</f>
        <v>0</v>
      </c>
      <c r="G181" t="s">
        <v>2250</v>
      </c>
      <c r="H181" t="s">
        <v>2251</v>
      </c>
      <c r="I181" t="b">
        <v>0</v>
      </c>
      <c r="J181" t="s">
        <v>2094</v>
      </c>
      <c r="K181" t="s">
        <v>63</v>
      </c>
      <c r="L181" t="s">
        <v>63</v>
      </c>
      <c r="M181" t="s">
        <v>1532</v>
      </c>
      <c r="O181" t="b">
        <v>1</v>
      </c>
    </row>
    <row r="182" spans="1:15" x14ac:dyDescent="0.3">
      <c r="A182" s="43">
        <f>IF(COUNTIF(FUNDS[FundCode],DEPTS[[#This Row],[FundCode]])&gt;0,0,1)</f>
        <v>0</v>
      </c>
      <c r="B182" s="43">
        <f>IF(COUNTIF(ACTIVITIES[ActivityCode],DEPTS[[#This Row],[ActivityCode]])&gt;0,0,1)</f>
        <v>0</v>
      </c>
      <c r="C182" s="43">
        <f>IF(COUNTIF(LEDGER[LedgerCode],DEPTS[[#This Row],[LedgerCode]])&gt;0,0,1)</f>
        <v>0</v>
      </c>
      <c r="D182" s="43">
        <f>IF(LEN(DEPTS[[#This Row],[DepartmentCode]])&lt;100,0,1)</f>
        <v>0</v>
      </c>
      <c r="E182" s="43">
        <f>IF(LEN(DEPTS[[#This Row],[Title]])&lt;100,0,1)</f>
        <v>0</v>
      </c>
      <c r="F182" s="43">
        <f>SUM(DEPTS[[#This Row],[FundIssue]:[Title length check]])</f>
        <v>0</v>
      </c>
      <c r="G182" t="s">
        <v>2250</v>
      </c>
      <c r="H182" t="s">
        <v>2251</v>
      </c>
      <c r="I182" t="b">
        <v>0</v>
      </c>
      <c r="J182" t="s">
        <v>2082</v>
      </c>
      <c r="K182" t="s">
        <v>1963</v>
      </c>
      <c r="L182" t="s">
        <v>63</v>
      </c>
      <c r="M182" t="s">
        <v>1532</v>
      </c>
      <c r="O182" t="b">
        <v>1</v>
      </c>
    </row>
    <row r="183" spans="1:15" x14ac:dyDescent="0.3">
      <c r="A183" s="43">
        <f>IF(COUNTIF(FUNDS[FundCode],DEPTS[[#This Row],[FundCode]])&gt;0,0,1)</f>
        <v>0</v>
      </c>
      <c r="B183" s="43">
        <f>IF(COUNTIF(ACTIVITIES[ActivityCode],DEPTS[[#This Row],[ActivityCode]])&gt;0,0,1)</f>
        <v>0</v>
      </c>
      <c r="C183" s="43">
        <f>IF(COUNTIF(LEDGER[LedgerCode],DEPTS[[#This Row],[LedgerCode]])&gt;0,0,1)</f>
        <v>0</v>
      </c>
      <c r="D183" s="43">
        <f>IF(LEN(DEPTS[[#This Row],[DepartmentCode]])&lt;100,0,1)</f>
        <v>0</v>
      </c>
      <c r="E183" s="43">
        <f>IF(LEN(DEPTS[[#This Row],[Title]])&lt;100,0,1)</f>
        <v>0</v>
      </c>
      <c r="F183" s="43">
        <f>SUM(DEPTS[[#This Row],[FundIssue]:[Title length check]])</f>
        <v>0</v>
      </c>
      <c r="G183" t="s">
        <v>2252</v>
      </c>
      <c r="H183" t="s">
        <v>2253</v>
      </c>
      <c r="I183" t="b">
        <v>0</v>
      </c>
      <c r="J183" t="s">
        <v>51</v>
      </c>
      <c r="K183" t="s">
        <v>63</v>
      </c>
      <c r="L183" t="s">
        <v>63</v>
      </c>
      <c r="M183" t="s">
        <v>1966</v>
      </c>
      <c r="O183" t="b">
        <v>1</v>
      </c>
    </row>
    <row r="184" spans="1:15" x14ac:dyDescent="0.3">
      <c r="A184" s="43">
        <f>IF(COUNTIF(FUNDS[FundCode],DEPTS[[#This Row],[FundCode]])&gt;0,0,1)</f>
        <v>0</v>
      </c>
      <c r="B184" s="43">
        <f>IF(COUNTIF(ACTIVITIES[ActivityCode],DEPTS[[#This Row],[ActivityCode]])&gt;0,0,1)</f>
        <v>0</v>
      </c>
      <c r="C184" s="43">
        <f>IF(COUNTIF(LEDGER[LedgerCode],DEPTS[[#This Row],[LedgerCode]])&gt;0,0,1)</f>
        <v>0</v>
      </c>
      <c r="D184" s="43">
        <f>IF(LEN(DEPTS[[#This Row],[DepartmentCode]])&lt;100,0,1)</f>
        <v>0</v>
      </c>
      <c r="E184" s="43">
        <f>IF(LEN(DEPTS[[#This Row],[Title]])&lt;100,0,1)</f>
        <v>0</v>
      </c>
      <c r="F184" s="43">
        <f>SUM(DEPTS[[#This Row],[FundIssue]:[Title length check]])</f>
        <v>0</v>
      </c>
      <c r="G184" t="s">
        <v>2252</v>
      </c>
      <c r="H184" t="s">
        <v>2253</v>
      </c>
      <c r="I184" t="b">
        <v>0</v>
      </c>
      <c r="J184" t="s">
        <v>4155</v>
      </c>
      <c r="K184" t="s">
        <v>63</v>
      </c>
      <c r="L184" t="s">
        <v>63</v>
      </c>
      <c r="M184" t="s">
        <v>1532</v>
      </c>
      <c r="O184" t="b">
        <v>1</v>
      </c>
    </row>
    <row r="185" spans="1:15" x14ac:dyDescent="0.3">
      <c r="A185" s="43">
        <f>IF(COUNTIF(FUNDS[FundCode],DEPTS[[#This Row],[FundCode]])&gt;0,0,1)</f>
        <v>0</v>
      </c>
      <c r="B185" s="43">
        <f>IF(COUNTIF(ACTIVITIES[ActivityCode],DEPTS[[#This Row],[ActivityCode]])&gt;0,0,1)</f>
        <v>0</v>
      </c>
      <c r="C185" s="43">
        <f>IF(COUNTIF(LEDGER[LedgerCode],DEPTS[[#This Row],[LedgerCode]])&gt;0,0,1)</f>
        <v>0</v>
      </c>
      <c r="D185" s="43">
        <f>IF(LEN(DEPTS[[#This Row],[DepartmentCode]])&lt;100,0,1)</f>
        <v>0</v>
      </c>
      <c r="E185" s="43">
        <f>IF(LEN(DEPTS[[#This Row],[Title]])&lt;100,0,1)</f>
        <v>0</v>
      </c>
      <c r="F185" s="43">
        <f>SUM(DEPTS[[#This Row],[FundIssue]:[Title length check]])</f>
        <v>0</v>
      </c>
      <c r="G185" t="s">
        <v>2254</v>
      </c>
      <c r="H185" t="s">
        <v>2255</v>
      </c>
      <c r="I185" t="b">
        <v>0</v>
      </c>
      <c r="J185" t="s">
        <v>51</v>
      </c>
      <c r="K185" t="s">
        <v>63</v>
      </c>
      <c r="L185" t="s">
        <v>63</v>
      </c>
      <c r="M185" t="s">
        <v>1966</v>
      </c>
      <c r="O185" t="b">
        <v>1</v>
      </c>
    </row>
    <row r="186" spans="1:15" x14ac:dyDescent="0.3">
      <c r="A186" s="43">
        <f>IF(COUNTIF(FUNDS[FundCode],DEPTS[[#This Row],[FundCode]])&gt;0,0,1)</f>
        <v>0</v>
      </c>
      <c r="B186" s="43">
        <f>IF(COUNTIF(ACTIVITIES[ActivityCode],DEPTS[[#This Row],[ActivityCode]])&gt;0,0,1)</f>
        <v>0</v>
      </c>
      <c r="C186" s="43">
        <f>IF(COUNTIF(LEDGER[LedgerCode],DEPTS[[#This Row],[LedgerCode]])&gt;0,0,1)</f>
        <v>0</v>
      </c>
      <c r="D186" s="43">
        <f>IF(LEN(DEPTS[[#This Row],[DepartmentCode]])&lt;100,0,1)</f>
        <v>0</v>
      </c>
      <c r="E186" s="43">
        <f>IF(LEN(DEPTS[[#This Row],[Title]])&lt;100,0,1)</f>
        <v>0</v>
      </c>
      <c r="F186" s="43">
        <f>SUM(DEPTS[[#This Row],[FundIssue]:[Title length check]])</f>
        <v>0</v>
      </c>
      <c r="G186" t="s">
        <v>2254</v>
      </c>
      <c r="H186" t="s">
        <v>2255</v>
      </c>
      <c r="I186" t="b">
        <v>0</v>
      </c>
      <c r="J186" t="s">
        <v>2082</v>
      </c>
      <c r="K186" t="s">
        <v>1963</v>
      </c>
      <c r="L186" t="s">
        <v>1764</v>
      </c>
      <c r="M186" t="s">
        <v>1532</v>
      </c>
      <c r="O186" t="b">
        <v>1</v>
      </c>
    </row>
    <row r="187" spans="1:15" x14ac:dyDescent="0.3">
      <c r="A187" s="43">
        <f>IF(COUNTIF(FUNDS[FundCode],DEPTS[[#This Row],[FundCode]])&gt;0,0,1)</f>
        <v>0</v>
      </c>
      <c r="B187" s="43">
        <f>IF(COUNTIF(ACTIVITIES[ActivityCode],DEPTS[[#This Row],[ActivityCode]])&gt;0,0,1)</f>
        <v>0</v>
      </c>
      <c r="C187" s="43">
        <f>IF(COUNTIF(LEDGER[LedgerCode],DEPTS[[#This Row],[LedgerCode]])&gt;0,0,1)</f>
        <v>0</v>
      </c>
      <c r="D187" s="43">
        <f>IF(LEN(DEPTS[[#This Row],[DepartmentCode]])&lt;100,0,1)</f>
        <v>0</v>
      </c>
      <c r="E187" s="43">
        <f>IF(LEN(DEPTS[[#This Row],[Title]])&lt;100,0,1)</f>
        <v>0</v>
      </c>
      <c r="F187" s="43">
        <f>SUM(DEPTS[[#This Row],[FundIssue]:[Title length check]])</f>
        <v>0</v>
      </c>
      <c r="G187" t="s">
        <v>2256</v>
      </c>
      <c r="H187" t="s">
        <v>2257</v>
      </c>
      <c r="I187" t="b">
        <v>0</v>
      </c>
      <c r="J187" t="s">
        <v>51</v>
      </c>
      <c r="K187" t="s">
        <v>63</v>
      </c>
      <c r="L187" t="s">
        <v>63</v>
      </c>
      <c r="M187" t="s">
        <v>1966</v>
      </c>
      <c r="O187" t="b">
        <v>1</v>
      </c>
    </row>
    <row r="188" spans="1:15" x14ac:dyDescent="0.3">
      <c r="A188" s="43">
        <f>IF(COUNTIF(FUNDS[FundCode],DEPTS[[#This Row],[FundCode]])&gt;0,0,1)</f>
        <v>0</v>
      </c>
      <c r="B188" s="43">
        <f>IF(COUNTIF(ACTIVITIES[ActivityCode],DEPTS[[#This Row],[ActivityCode]])&gt;0,0,1)</f>
        <v>0</v>
      </c>
      <c r="C188" s="43">
        <f>IF(COUNTIF(LEDGER[LedgerCode],DEPTS[[#This Row],[LedgerCode]])&gt;0,0,1)</f>
        <v>0</v>
      </c>
      <c r="D188" s="43">
        <f>IF(LEN(DEPTS[[#This Row],[DepartmentCode]])&lt;100,0,1)</f>
        <v>0</v>
      </c>
      <c r="E188" s="43">
        <f>IF(LEN(DEPTS[[#This Row],[Title]])&lt;100,0,1)</f>
        <v>0</v>
      </c>
      <c r="F188" s="43">
        <f>SUM(DEPTS[[#This Row],[FundIssue]:[Title length check]])</f>
        <v>0</v>
      </c>
      <c r="G188" t="s">
        <v>2256</v>
      </c>
      <c r="H188" t="s">
        <v>2257</v>
      </c>
      <c r="I188" t="b">
        <v>0</v>
      </c>
      <c r="J188" t="s">
        <v>4153</v>
      </c>
      <c r="K188" t="s">
        <v>63</v>
      </c>
      <c r="L188" t="s">
        <v>63</v>
      </c>
      <c r="M188" t="s">
        <v>1532</v>
      </c>
      <c r="O188" t="b">
        <v>1</v>
      </c>
    </row>
    <row r="189" spans="1:15" x14ac:dyDescent="0.3">
      <c r="A189" s="43">
        <f>IF(COUNTIF(FUNDS[FundCode],DEPTS[[#This Row],[FundCode]])&gt;0,0,1)</f>
        <v>0</v>
      </c>
      <c r="B189" s="43">
        <f>IF(COUNTIF(ACTIVITIES[ActivityCode],DEPTS[[#This Row],[ActivityCode]])&gt;0,0,1)</f>
        <v>0</v>
      </c>
      <c r="C189" s="43">
        <f>IF(COUNTIF(LEDGER[LedgerCode],DEPTS[[#This Row],[LedgerCode]])&gt;0,0,1)</f>
        <v>0</v>
      </c>
      <c r="D189" s="43">
        <f>IF(LEN(DEPTS[[#This Row],[DepartmentCode]])&lt;100,0,1)</f>
        <v>0</v>
      </c>
      <c r="E189" s="43">
        <f>IF(LEN(DEPTS[[#This Row],[Title]])&lt;100,0,1)</f>
        <v>0</v>
      </c>
      <c r="F189" s="43">
        <f>SUM(DEPTS[[#This Row],[FundIssue]:[Title length check]])</f>
        <v>0</v>
      </c>
      <c r="G189" t="s">
        <v>2256</v>
      </c>
      <c r="H189" t="s">
        <v>2257</v>
      </c>
      <c r="I189" t="b">
        <v>0</v>
      </c>
      <c r="J189" t="s">
        <v>4329</v>
      </c>
      <c r="K189" t="s">
        <v>1963</v>
      </c>
      <c r="L189" t="s">
        <v>63</v>
      </c>
      <c r="M189" t="s">
        <v>1532</v>
      </c>
      <c r="O189" t="b">
        <v>1</v>
      </c>
    </row>
    <row r="190" spans="1:15" x14ac:dyDescent="0.3">
      <c r="A190" s="43">
        <f>IF(COUNTIF(FUNDS[FundCode],DEPTS[[#This Row],[FundCode]])&gt;0,0,1)</f>
        <v>0</v>
      </c>
      <c r="B190" s="43">
        <f>IF(COUNTIF(ACTIVITIES[ActivityCode],DEPTS[[#This Row],[ActivityCode]])&gt;0,0,1)</f>
        <v>0</v>
      </c>
      <c r="C190" s="43">
        <f>IF(COUNTIF(LEDGER[LedgerCode],DEPTS[[#This Row],[LedgerCode]])&gt;0,0,1)</f>
        <v>0</v>
      </c>
      <c r="D190" s="43">
        <f>IF(LEN(DEPTS[[#This Row],[DepartmentCode]])&lt;100,0,1)</f>
        <v>0</v>
      </c>
      <c r="E190" s="43">
        <f>IF(LEN(DEPTS[[#This Row],[Title]])&lt;100,0,1)</f>
        <v>0</v>
      </c>
      <c r="F190" s="43">
        <f>SUM(DEPTS[[#This Row],[FundIssue]:[Title length check]])</f>
        <v>0</v>
      </c>
      <c r="G190" t="s">
        <v>2258</v>
      </c>
      <c r="H190" t="s">
        <v>2259</v>
      </c>
      <c r="I190" t="b">
        <v>0</v>
      </c>
      <c r="J190" t="s">
        <v>51</v>
      </c>
      <c r="K190" t="s">
        <v>63</v>
      </c>
      <c r="L190" t="s">
        <v>63</v>
      </c>
      <c r="M190" t="s">
        <v>1966</v>
      </c>
      <c r="O190" t="b">
        <v>1</v>
      </c>
    </row>
    <row r="191" spans="1:15" x14ac:dyDescent="0.3">
      <c r="A191" s="43">
        <f>IF(COUNTIF(FUNDS[FundCode],DEPTS[[#This Row],[FundCode]])&gt;0,0,1)</f>
        <v>0</v>
      </c>
      <c r="B191" s="43">
        <f>IF(COUNTIF(ACTIVITIES[ActivityCode],DEPTS[[#This Row],[ActivityCode]])&gt;0,0,1)</f>
        <v>0</v>
      </c>
      <c r="C191" s="43">
        <f>IF(COUNTIF(LEDGER[LedgerCode],DEPTS[[#This Row],[LedgerCode]])&gt;0,0,1)</f>
        <v>0</v>
      </c>
      <c r="D191" s="43">
        <f>IF(LEN(DEPTS[[#This Row],[DepartmentCode]])&lt;100,0,1)</f>
        <v>0</v>
      </c>
      <c r="E191" s="43">
        <f>IF(LEN(DEPTS[[#This Row],[Title]])&lt;100,0,1)</f>
        <v>0</v>
      </c>
      <c r="F191" s="43">
        <f>SUM(DEPTS[[#This Row],[FundIssue]:[Title length check]])</f>
        <v>0</v>
      </c>
      <c r="G191" t="s">
        <v>2258</v>
      </c>
      <c r="H191" t="s">
        <v>2259</v>
      </c>
      <c r="I191" t="b">
        <v>0</v>
      </c>
      <c r="J191" t="s">
        <v>2094</v>
      </c>
      <c r="K191" t="s">
        <v>63</v>
      </c>
      <c r="L191" t="s">
        <v>63</v>
      </c>
      <c r="M191" t="s">
        <v>1532</v>
      </c>
      <c r="O191" t="b">
        <v>1</v>
      </c>
    </row>
    <row r="192" spans="1:15" x14ac:dyDescent="0.3">
      <c r="A192" s="43">
        <f>IF(COUNTIF(FUNDS[FundCode],DEPTS[[#This Row],[FundCode]])&gt;0,0,1)</f>
        <v>0</v>
      </c>
      <c r="B192" s="43">
        <f>IF(COUNTIF(ACTIVITIES[ActivityCode],DEPTS[[#This Row],[ActivityCode]])&gt;0,0,1)</f>
        <v>0</v>
      </c>
      <c r="C192" s="43">
        <f>IF(COUNTIF(LEDGER[LedgerCode],DEPTS[[#This Row],[LedgerCode]])&gt;0,0,1)</f>
        <v>0</v>
      </c>
      <c r="D192" s="43">
        <f>IF(LEN(DEPTS[[#This Row],[DepartmentCode]])&lt;100,0,1)</f>
        <v>0</v>
      </c>
      <c r="E192" s="43">
        <f>IF(LEN(DEPTS[[#This Row],[Title]])&lt;100,0,1)</f>
        <v>0</v>
      </c>
      <c r="F192" s="43">
        <f>SUM(DEPTS[[#This Row],[FundIssue]:[Title length check]])</f>
        <v>0</v>
      </c>
      <c r="G192" t="s">
        <v>2260</v>
      </c>
      <c r="H192" t="s">
        <v>2261</v>
      </c>
      <c r="I192" t="b">
        <v>0</v>
      </c>
      <c r="J192" t="s">
        <v>51</v>
      </c>
      <c r="K192" t="s">
        <v>63</v>
      </c>
      <c r="L192" t="s">
        <v>63</v>
      </c>
      <c r="M192" t="s">
        <v>1966</v>
      </c>
      <c r="O192" t="b">
        <v>1</v>
      </c>
    </row>
    <row r="193" spans="1:15" x14ac:dyDescent="0.3">
      <c r="A193" s="43">
        <f>IF(COUNTIF(FUNDS[FundCode],DEPTS[[#This Row],[FundCode]])&gt;0,0,1)</f>
        <v>0</v>
      </c>
      <c r="B193" s="43">
        <f>IF(COUNTIF(ACTIVITIES[ActivityCode],DEPTS[[#This Row],[ActivityCode]])&gt;0,0,1)</f>
        <v>0</v>
      </c>
      <c r="C193" s="43">
        <f>IF(COUNTIF(LEDGER[LedgerCode],DEPTS[[#This Row],[LedgerCode]])&gt;0,0,1)</f>
        <v>0</v>
      </c>
      <c r="D193" s="43">
        <f>IF(LEN(DEPTS[[#This Row],[DepartmentCode]])&lt;100,0,1)</f>
        <v>0</v>
      </c>
      <c r="E193" s="43">
        <f>IF(LEN(DEPTS[[#This Row],[Title]])&lt;100,0,1)</f>
        <v>0</v>
      </c>
      <c r="F193" s="43">
        <f>SUM(DEPTS[[#This Row],[FundIssue]:[Title length check]])</f>
        <v>0</v>
      </c>
      <c r="G193" t="s">
        <v>2260</v>
      </c>
      <c r="H193" t="s">
        <v>2261</v>
      </c>
      <c r="I193" t="b">
        <v>0</v>
      </c>
      <c r="J193" t="s">
        <v>2094</v>
      </c>
      <c r="K193" t="s">
        <v>63</v>
      </c>
      <c r="L193" t="s">
        <v>63</v>
      </c>
      <c r="M193" t="s">
        <v>1532</v>
      </c>
      <c r="O193" t="b">
        <v>1</v>
      </c>
    </row>
    <row r="194" spans="1:15" x14ac:dyDescent="0.3">
      <c r="A194" s="43">
        <f>IF(COUNTIF(FUNDS[FundCode],DEPTS[[#This Row],[FundCode]])&gt;0,0,1)</f>
        <v>0</v>
      </c>
      <c r="B194" s="43">
        <f>IF(COUNTIF(ACTIVITIES[ActivityCode],DEPTS[[#This Row],[ActivityCode]])&gt;0,0,1)</f>
        <v>0</v>
      </c>
      <c r="C194" s="43">
        <f>IF(COUNTIF(LEDGER[LedgerCode],DEPTS[[#This Row],[LedgerCode]])&gt;0,0,1)</f>
        <v>0</v>
      </c>
      <c r="D194" s="43">
        <f>IF(LEN(DEPTS[[#This Row],[DepartmentCode]])&lt;100,0,1)</f>
        <v>0</v>
      </c>
      <c r="E194" s="43">
        <f>IF(LEN(DEPTS[[#This Row],[Title]])&lt;100,0,1)</f>
        <v>0</v>
      </c>
      <c r="F194" s="43">
        <f>SUM(DEPTS[[#This Row],[FundIssue]:[Title length check]])</f>
        <v>0</v>
      </c>
      <c r="G194" t="s">
        <v>2262</v>
      </c>
      <c r="H194" t="s">
        <v>2263</v>
      </c>
      <c r="I194" t="b">
        <v>0</v>
      </c>
      <c r="J194" t="s">
        <v>51</v>
      </c>
      <c r="K194" t="s">
        <v>63</v>
      </c>
      <c r="L194" t="s">
        <v>63</v>
      </c>
      <c r="M194" t="s">
        <v>1966</v>
      </c>
      <c r="O194" t="b">
        <v>1</v>
      </c>
    </row>
    <row r="195" spans="1:15" x14ac:dyDescent="0.3">
      <c r="A195" s="43">
        <f>IF(COUNTIF(FUNDS[FundCode],DEPTS[[#This Row],[FundCode]])&gt;0,0,1)</f>
        <v>0</v>
      </c>
      <c r="B195" s="43">
        <f>IF(COUNTIF(ACTIVITIES[ActivityCode],DEPTS[[#This Row],[ActivityCode]])&gt;0,0,1)</f>
        <v>0</v>
      </c>
      <c r="C195" s="43">
        <f>IF(COUNTIF(LEDGER[LedgerCode],DEPTS[[#This Row],[LedgerCode]])&gt;0,0,1)</f>
        <v>0</v>
      </c>
      <c r="D195" s="43">
        <f>IF(LEN(DEPTS[[#This Row],[DepartmentCode]])&lt;100,0,1)</f>
        <v>0</v>
      </c>
      <c r="E195" s="43">
        <f>IF(LEN(DEPTS[[#This Row],[Title]])&lt;100,0,1)</f>
        <v>0</v>
      </c>
      <c r="F195" s="43">
        <f>SUM(DEPTS[[#This Row],[FundIssue]:[Title length check]])</f>
        <v>0</v>
      </c>
      <c r="G195" t="s">
        <v>2262</v>
      </c>
      <c r="H195" t="s">
        <v>2263</v>
      </c>
      <c r="I195" t="b">
        <v>0</v>
      </c>
      <c r="J195" t="s">
        <v>2094</v>
      </c>
      <c r="K195" t="s">
        <v>63</v>
      </c>
      <c r="L195" t="s">
        <v>63</v>
      </c>
      <c r="M195" t="s">
        <v>1532</v>
      </c>
      <c r="O195" t="b">
        <v>1</v>
      </c>
    </row>
    <row r="196" spans="1:15" x14ac:dyDescent="0.3">
      <c r="A196" s="43">
        <f>IF(COUNTIF(FUNDS[FundCode],DEPTS[[#This Row],[FundCode]])&gt;0,0,1)</f>
        <v>0</v>
      </c>
      <c r="B196" s="43">
        <f>IF(COUNTIF(ACTIVITIES[ActivityCode],DEPTS[[#This Row],[ActivityCode]])&gt;0,0,1)</f>
        <v>0</v>
      </c>
      <c r="C196" s="43">
        <f>IF(COUNTIF(LEDGER[LedgerCode],DEPTS[[#This Row],[LedgerCode]])&gt;0,0,1)</f>
        <v>0</v>
      </c>
      <c r="D196" s="43">
        <f>IF(LEN(DEPTS[[#This Row],[DepartmentCode]])&lt;100,0,1)</f>
        <v>0</v>
      </c>
      <c r="E196" s="43">
        <f>IF(LEN(DEPTS[[#This Row],[Title]])&lt;100,0,1)</f>
        <v>0</v>
      </c>
      <c r="F196" s="43">
        <f>SUM(DEPTS[[#This Row],[FundIssue]:[Title length check]])</f>
        <v>0</v>
      </c>
      <c r="G196" t="s">
        <v>63</v>
      </c>
      <c r="H196" t="s">
        <v>2264</v>
      </c>
      <c r="I196" t="b">
        <v>1</v>
      </c>
      <c r="K196" t="s">
        <v>63</v>
      </c>
      <c r="L196" t="s">
        <v>63</v>
      </c>
      <c r="M196" t="s">
        <v>63</v>
      </c>
      <c r="O196" t="b">
        <v>1</v>
      </c>
    </row>
    <row r="197" spans="1:15" x14ac:dyDescent="0.3">
      <c r="A197" s="43">
        <f>IF(COUNTIF(FUNDS[FundCode],DEPTS[[#This Row],[FundCode]])&gt;0,0,1)</f>
        <v>0</v>
      </c>
      <c r="B197" s="43">
        <f>IF(COUNTIF(ACTIVITIES[ActivityCode],DEPTS[[#This Row],[ActivityCode]])&gt;0,0,1)</f>
        <v>0</v>
      </c>
      <c r="C197" s="43">
        <f>IF(COUNTIF(LEDGER[LedgerCode],DEPTS[[#This Row],[LedgerCode]])&gt;0,0,1)</f>
        <v>0</v>
      </c>
      <c r="D197" s="43">
        <f>IF(LEN(DEPTS[[#This Row],[DepartmentCode]])&lt;100,0,1)</f>
        <v>0</v>
      </c>
      <c r="E197" s="43">
        <f>IF(LEN(DEPTS[[#This Row],[Title]])&lt;100,0,1)</f>
        <v>0</v>
      </c>
      <c r="F197" s="43">
        <f>SUM(DEPTS[[#This Row],[FundIssue]:[Title length check]])</f>
        <v>0</v>
      </c>
      <c r="G197" t="s">
        <v>2265</v>
      </c>
      <c r="H197" t="s">
        <v>2009</v>
      </c>
      <c r="I197" t="b">
        <v>0</v>
      </c>
      <c r="J197" t="s">
        <v>4333</v>
      </c>
      <c r="K197" t="s">
        <v>63</v>
      </c>
      <c r="L197" t="s">
        <v>63</v>
      </c>
      <c r="M197" t="s">
        <v>1965</v>
      </c>
      <c r="O197" t="b">
        <v>1</v>
      </c>
    </row>
    <row r="198" spans="1:15" x14ac:dyDescent="0.3">
      <c r="A198" s="43">
        <f>IF(COUNTIF(FUNDS[FundCode],DEPTS[[#This Row],[FundCode]])&gt;0,0,1)</f>
        <v>0</v>
      </c>
      <c r="B198" s="43">
        <f>IF(COUNTIF(ACTIVITIES[ActivityCode],DEPTS[[#This Row],[ActivityCode]])&gt;0,0,1)</f>
        <v>0</v>
      </c>
      <c r="C198" s="43">
        <f>IF(COUNTIF(LEDGER[LedgerCode],DEPTS[[#This Row],[LedgerCode]])&gt;0,0,1)</f>
        <v>0</v>
      </c>
      <c r="D198" s="43">
        <f>IF(LEN(DEPTS[[#This Row],[DepartmentCode]])&lt;100,0,1)</f>
        <v>0</v>
      </c>
      <c r="E198" s="43">
        <f>IF(LEN(DEPTS[[#This Row],[Title]])&lt;100,0,1)</f>
        <v>0</v>
      </c>
      <c r="F198" s="43">
        <f>SUM(DEPTS[[#This Row],[FundIssue]:[Title length check]])</f>
        <v>0</v>
      </c>
      <c r="G198" t="s">
        <v>2265</v>
      </c>
      <c r="H198" t="s">
        <v>2009</v>
      </c>
      <c r="I198" t="b">
        <v>0</v>
      </c>
      <c r="J198" t="s">
        <v>2266</v>
      </c>
      <c r="K198" t="s">
        <v>63</v>
      </c>
      <c r="L198" t="s">
        <v>1947</v>
      </c>
      <c r="M198" t="s">
        <v>1965</v>
      </c>
      <c r="O198" t="b">
        <v>1</v>
      </c>
    </row>
    <row r="199" spans="1:15" x14ac:dyDescent="0.3">
      <c r="A199" s="43">
        <f>IF(COUNTIF(FUNDS[FundCode],DEPTS[[#This Row],[FundCode]])&gt;0,0,1)</f>
        <v>0</v>
      </c>
      <c r="B199" s="43">
        <f>IF(COUNTIF(ACTIVITIES[ActivityCode],DEPTS[[#This Row],[ActivityCode]])&gt;0,0,1)</f>
        <v>0</v>
      </c>
      <c r="C199" s="43">
        <f>IF(COUNTIF(LEDGER[LedgerCode],DEPTS[[#This Row],[LedgerCode]])&gt;0,0,1)</f>
        <v>0</v>
      </c>
      <c r="D199" s="43">
        <f>IF(LEN(DEPTS[[#This Row],[DepartmentCode]])&lt;100,0,1)</f>
        <v>0</v>
      </c>
      <c r="E199" s="43">
        <f>IF(LEN(DEPTS[[#This Row],[Title]])&lt;100,0,1)</f>
        <v>0</v>
      </c>
      <c r="F199" s="43">
        <f>SUM(DEPTS[[#This Row],[FundIssue]:[Title length check]])</f>
        <v>0</v>
      </c>
      <c r="G199" t="s">
        <v>2267</v>
      </c>
      <c r="H199" t="s">
        <v>2268</v>
      </c>
      <c r="I199" t="b">
        <v>0</v>
      </c>
      <c r="J199" t="s">
        <v>51</v>
      </c>
      <c r="K199" t="s">
        <v>63</v>
      </c>
      <c r="L199" t="s">
        <v>63</v>
      </c>
      <c r="M199" t="s">
        <v>1966</v>
      </c>
      <c r="O199" t="b">
        <v>1</v>
      </c>
    </row>
    <row r="200" spans="1:15" x14ac:dyDescent="0.3">
      <c r="A200" s="43">
        <f>IF(COUNTIF(FUNDS[FundCode],DEPTS[[#This Row],[FundCode]])&gt;0,0,1)</f>
        <v>0</v>
      </c>
      <c r="B200" s="43">
        <f>IF(COUNTIF(ACTIVITIES[ActivityCode],DEPTS[[#This Row],[ActivityCode]])&gt;0,0,1)</f>
        <v>0</v>
      </c>
      <c r="C200" s="43">
        <f>IF(COUNTIF(LEDGER[LedgerCode],DEPTS[[#This Row],[LedgerCode]])&gt;0,0,1)</f>
        <v>0</v>
      </c>
      <c r="D200" s="43">
        <f>IF(LEN(DEPTS[[#This Row],[DepartmentCode]])&lt;100,0,1)</f>
        <v>0</v>
      </c>
      <c r="E200" s="43">
        <f>IF(LEN(DEPTS[[#This Row],[Title]])&lt;100,0,1)</f>
        <v>0</v>
      </c>
      <c r="F200" s="43">
        <f>SUM(DEPTS[[#This Row],[FundIssue]:[Title length check]])</f>
        <v>0</v>
      </c>
      <c r="G200" t="s">
        <v>2267</v>
      </c>
      <c r="H200" t="s">
        <v>2268</v>
      </c>
      <c r="I200" t="b">
        <v>0</v>
      </c>
      <c r="J200" t="s">
        <v>4326</v>
      </c>
      <c r="K200" t="s">
        <v>63</v>
      </c>
      <c r="L200" t="s">
        <v>63</v>
      </c>
      <c r="M200" t="s">
        <v>1532</v>
      </c>
      <c r="O200" t="b">
        <v>1</v>
      </c>
    </row>
    <row r="201" spans="1:15" x14ac:dyDescent="0.3">
      <c r="A201" s="43">
        <f>IF(COUNTIF(FUNDS[FundCode],DEPTS[[#This Row],[FundCode]])&gt;0,0,1)</f>
        <v>0</v>
      </c>
      <c r="B201" s="43">
        <f>IF(COUNTIF(ACTIVITIES[ActivityCode],DEPTS[[#This Row],[ActivityCode]])&gt;0,0,1)</f>
        <v>0</v>
      </c>
      <c r="C201" s="43">
        <f>IF(COUNTIF(LEDGER[LedgerCode],DEPTS[[#This Row],[LedgerCode]])&gt;0,0,1)</f>
        <v>0</v>
      </c>
      <c r="D201" s="43">
        <f>IF(LEN(DEPTS[[#This Row],[DepartmentCode]])&lt;100,0,1)</f>
        <v>0</v>
      </c>
      <c r="E201" s="43">
        <f>IF(LEN(DEPTS[[#This Row],[Title]])&lt;100,0,1)</f>
        <v>0</v>
      </c>
      <c r="F201" s="43">
        <f>SUM(DEPTS[[#This Row],[FundIssue]:[Title length check]])</f>
        <v>0</v>
      </c>
      <c r="G201" t="s">
        <v>2267</v>
      </c>
      <c r="H201" t="s">
        <v>2268</v>
      </c>
      <c r="I201" t="b">
        <v>0</v>
      </c>
      <c r="J201" t="s">
        <v>4327</v>
      </c>
      <c r="K201" t="s">
        <v>1963</v>
      </c>
      <c r="L201" t="s">
        <v>63</v>
      </c>
      <c r="M201" t="s">
        <v>1532</v>
      </c>
      <c r="O201" t="b">
        <v>1</v>
      </c>
    </row>
    <row r="202" spans="1:15" x14ac:dyDescent="0.3">
      <c r="A202" s="43">
        <f>IF(COUNTIF(FUNDS[FundCode],DEPTS[[#This Row],[FundCode]])&gt;0,0,1)</f>
        <v>0</v>
      </c>
      <c r="B202" s="43">
        <f>IF(COUNTIF(ACTIVITIES[ActivityCode],DEPTS[[#This Row],[ActivityCode]])&gt;0,0,1)</f>
        <v>0</v>
      </c>
      <c r="C202" s="43">
        <f>IF(COUNTIF(LEDGER[LedgerCode],DEPTS[[#This Row],[LedgerCode]])&gt;0,0,1)</f>
        <v>0</v>
      </c>
      <c r="D202" s="43">
        <f>IF(LEN(DEPTS[[#This Row],[DepartmentCode]])&lt;100,0,1)</f>
        <v>0</v>
      </c>
      <c r="E202" s="43">
        <f>IF(LEN(DEPTS[[#This Row],[Title]])&lt;100,0,1)</f>
        <v>0</v>
      </c>
      <c r="F202" s="43">
        <f>SUM(DEPTS[[#This Row],[FundIssue]:[Title length check]])</f>
        <v>0</v>
      </c>
      <c r="G202" t="s">
        <v>2269</v>
      </c>
      <c r="H202" t="s">
        <v>2270</v>
      </c>
      <c r="I202" t="b">
        <v>0</v>
      </c>
      <c r="J202" t="s">
        <v>51</v>
      </c>
      <c r="K202" t="s">
        <v>63</v>
      </c>
      <c r="L202" t="s">
        <v>63</v>
      </c>
      <c r="M202" t="s">
        <v>1966</v>
      </c>
      <c r="O202" t="b">
        <v>1</v>
      </c>
    </row>
    <row r="203" spans="1:15" x14ac:dyDescent="0.3">
      <c r="A203" s="43">
        <f>IF(COUNTIF(FUNDS[FundCode],DEPTS[[#This Row],[FundCode]])&gt;0,0,1)</f>
        <v>0</v>
      </c>
      <c r="B203" s="43">
        <f>IF(COUNTIF(ACTIVITIES[ActivityCode],DEPTS[[#This Row],[ActivityCode]])&gt;0,0,1)</f>
        <v>0</v>
      </c>
      <c r="C203" s="43">
        <f>IF(COUNTIF(LEDGER[LedgerCode],DEPTS[[#This Row],[LedgerCode]])&gt;0,0,1)</f>
        <v>0</v>
      </c>
      <c r="D203" s="43">
        <f>IF(LEN(DEPTS[[#This Row],[DepartmentCode]])&lt;100,0,1)</f>
        <v>0</v>
      </c>
      <c r="E203" s="43">
        <f>IF(LEN(DEPTS[[#This Row],[Title]])&lt;100,0,1)</f>
        <v>0</v>
      </c>
      <c r="F203" s="43">
        <f>SUM(DEPTS[[#This Row],[FundIssue]:[Title length check]])</f>
        <v>0</v>
      </c>
      <c r="G203" t="s">
        <v>2269</v>
      </c>
      <c r="H203" t="s">
        <v>2270</v>
      </c>
      <c r="I203" t="b">
        <v>0</v>
      </c>
      <c r="J203" t="s">
        <v>4155</v>
      </c>
      <c r="K203" t="s">
        <v>63</v>
      </c>
      <c r="L203" t="s">
        <v>63</v>
      </c>
      <c r="M203" t="s">
        <v>1532</v>
      </c>
      <c r="O203" t="b">
        <v>1</v>
      </c>
    </row>
    <row r="204" spans="1:15" x14ac:dyDescent="0.3">
      <c r="A204" s="43">
        <f>IF(COUNTIF(FUNDS[FundCode],DEPTS[[#This Row],[FundCode]])&gt;0,0,1)</f>
        <v>0</v>
      </c>
      <c r="B204" s="43">
        <f>IF(COUNTIF(ACTIVITIES[ActivityCode],DEPTS[[#This Row],[ActivityCode]])&gt;0,0,1)</f>
        <v>0</v>
      </c>
      <c r="C204" s="43">
        <f>IF(COUNTIF(LEDGER[LedgerCode],DEPTS[[#This Row],[LedgerCode]])&gt;0,0,1)</f>
        <v>0</v>
      </c>
      <c r="D204" s="43">
        <f>IF(LEN(DEPTS[[#This Row],[DepartmentCode]])&lt;100,0,1)</f>
        <v>0</v>
      </c>
      <c r="E204" s="43">
        <f>IF(LEN(DEPTS[[#This Row],[Title]])&lt;100,0,1)</f>
        <v>0</v>
      </c>
      <c r="F204" s="43">
        <f>SUM(DEPTS[[#This Row],[FundIssue]:[Title length check]])</f>
        <v>0</v>
      </c>
      <c r="G204" t="s">
        <v>2269</v>
      </c>
      <c r="H204" t="s">
        <v>2270</v>
      </c>
      <c r="I204" t="b">
        <v>0</v>
      </c>
      <c r="J204" t="s">
        <v>2082</v>
      </c>
      <c r="K204" t="s">
        <v>1963</v>
      </c>
      <c r="L204" t="s">
        <v>63</v>
      </c>
      <c r="M204" t="s">
        <v>1532</v>
      </c>
      <c r="O204" t="b">
        <v>1</v>
      </c>
    </row>
    <row r="205" spans="1:15" x14ac:dyDescent="0.3">
      <c r="A205" s="43">
        <f>IF(COUNTIF(FUNDS[FundCode],DEPTS[[#This Row],[FundCode]])&gt;0,0,1)</f>
        <v>0</v>
      </c>
      <c r="B205" s="43">
        <f>IF(COUNTIF(ACTIVITIES[ActivityCode],DEPTS[[#This Row],[ActivityCode]])&gt;0,0,1)</f>
        <v>0</v>
      </c>
      <c r="C205" s="43">
        <f>IF(COUNTIF(LEDGER[LedgerCode],DEPTS[[#This Row],[LedgerCode]])&gt;0,0,1)</f>
        <v>0</v>
      </c>
      <c r="D205" s="43">
        <f>IF(LEN(DEPTS[[#This Row],[DepartmentCode]])&lt;100,0,1)</f>
        <v>0</v>
      </c>
      <c r="E205" s="43">
        <f>IF(LEN(DEPTS[[#This Row],[Title]])&lt;100,0,1)</f>
        <v>0</v>
      </c>
      <c r="F205" s="43">
        <f>SUM(DEPTS[[#This Row],[FundIssue]:[Title length check]])</f>
        <v>0</v>
      </c>
      <c r="G205" t="s">
        <v>2271</v>
      </c>
      <c r="H205" t="s">
        <v>2272</v>
      </c>
      <c r="I205" t="b">
        <v>0</v>
      </c>
      <c r="J205" t="s">
        <v>2082</v>
      </c>
      <c r="K205" t="s">
        <v>1963</v>
      </c>
      <c r="L205" t="s">
        <v>1947</v>
      </c>
      <c r="M205" t="s">
        <v>1965</v>
      </c>
      <c r="O205" t="b">
        <v>1</v>
      </c>
    </row>
    <row r="206" spans="1:15" x14ac:dyDescent="0.3">
      <c r="A206" s="43">
        <f>IF(COUNTIF(FUNDS[FundCode],DEPTS[[#This Row],[FundCode]])&gt;0,0,1)</f>
        <v>0</v>
      </c>
      <c r="B206" s="43">
        <f>IF(COUNTIF(ACTIVITIES[ActivityCode],DEPTS[[#This Row],[ActivityCode]])&gt;0,0,1)</f>
        <v>0</v>
      </c>
      <c r="C206" s="43">
        <f>IF(COUNTIF(LEDGER[LedgerCode],DEPTS[[#This Row],[LedgerCode]])&gt;0,0,1)</f>
        <v>0</v>
      </c>
      <c r="D206" s="43">
        <f>IF(LEN(DEPTS[[#This Row],[DepartmentCode]])&lt;100,0,1)</f>
        <v>0</v>
      </c>
      <c r="E206" s="43">
        <f>IF(LEN(DEPTS[[#This Row],[Title]])&lt;100,0,1)</f>
        <v>0</v>
      </c>
      <c r="F206" s="43">
        <f>SUM(DEPTS[[#This Row],[FundIssue]:[Title length check]])</f>
        <v>0</v>
      </c>
      <c r="G206" t="s">
        <v>2273</v>
      </c>
      <c r="H206" t="s">
        <v>2274</v>
      </c>
      <c r="I206" t="b">
        <v>0</v>
      </c>
      <c r="J206" t="s">
        <v>2275</v>
      </c>
      <c r="K206" t="s">
        <v>1963</v>
      </c>
      <c r="L206" t="s">
        <v>1947</v>
      </c>
      <c r="M206" t="s">
        <v>1965</v>
      </c>
      <c r="O206" t="b">
        <v>1</v>
      </c>
    </row>
    <row r="207" spans="1:15" x14ac:dyDescent="0.3">
      <c r="A207" s="43">
        <f>IF(COUNTIF(FUNDS[FundCode],DEPTS[[#This Row],[FundCode]])&gt;0,0,1)</f>
        <v>0</v>
      </c>
      <c r="B207" s="43">
        <f>IF(COUNTIF(ACTIVITIES[ActivityCode],DEPTS[[#This Row],[ActivityCode]])&gt;0,0,1)</f>
        <v>0</v>
      </c>
      <c r="C207" s="43">
        <f>IF(COUNTIF(LEDGER[LedgerCode],DEPTS[[#This Row],[LedgerCode]])&gt;0,0,1)</f>
        <v>0</v>
      </c>
      <c r="D207" s="43">
        <f>IF(LEN(DEPTS[[#This Row],[DepartmentCode]])&lt;100,0,1)</f>
        <v>0</v>
      </c>
      <c r="E207" s="43">
        <f>IF(LEN(DEPTS[[#This Row],[Title]])&lt;100,0,1)</f>
        <v>0</v>
      </c>
      <c r="F207" s="43">
        <f>SUM(DEPTS[[#This Row],[FundIssue]:[Title length check]])</f>
        <v>0</v>
      </c>
      <c r="G207" t="s">
        <v>2276</v>
      </c>
      <c r="H207" t="s">
        <v>2277</v>
      </c>
      <c r="I207" t="b">
        <v>0</v>
      </c>
      <c r="J207" t="s">
        <v>2278</v>
      </c>
      <c r="K207" t="s">
        <v>1963</v>
      </c>
      <c r="L207" t="s">
        <v>1947</v>
      </c>
      <c r="M207" t="s">
        <v>1965</v>
      </c>
      <c r="O207" t="b">
        <v>1</v>
      </c>
    </row>
    <row r="208" spans="1:15" x14ac:dyDescent="0.3">
      <c r="A208" s="43">
        <f>IF(COUNTIF(FUNDS[FundCode],DEPTS[[#This Row],[FundCode]])&gt;0,0,1)</f>
        <v>0</v>
      </c>
      <c r="B208" s="43">
        <f>IF(COUNTIF(ACTIVITIES[ActivityCode],DEPTS[[#This Row],[ActivityCode]])&gt;0,0,1)</f>
        <v>0</v>
      </c>
      <c r="C208" s="43">
        <f>IF(COUNTIF(LEDGER[LedgerCode],DEPTS[[#This Row],[LedgerCode]])&gt;0,0,1)</f>
        <v>0</v>
      </c>
      <c r="D208" s="43">
        <f>IF(LEN(DEPTS[[#This Row],[DepartmentCode]])&lt;100,0,1)</f>
        <v>0</v>
      </c>
      <c r="E208" s="43">
        <f>IF(LEN(DEPTS[[#This Row],[Title]])&lt;100,0,1)</f>
        <v>0</v>
      </c>
      <c r="F208" s="43">
        <f>SUM(DEPTS[[#This Row],[FundIssue]:[Title length check]])</f>
        <v>0</v>
      </c>
      <c r="G208" t="s">
        <v>2276</v>
      </c>
      <c r="H208" t="s">
        <v>2277</v>
      </c>
      <c r="I208" t="b">
        <v>0</v>
      </c>
      <c r="J208" t="s">
        <v>51</v>
      </c>
      <c r="K208" t="s">
        <v>1963</v>
      </c>
      <c r="L208" t="s">
        <v>1947</v>
      </c>
      <c r="M208" t="s">
        <v>1966</v>
      </c>
      <c r="O208" t="b">
        <v>1</v>
      </c>
    </row>
    <row r="209" spans="1:15" x14ac:dyDescent="0.3">
      <c r="A209" s="43">
        <f>IF(COUNTIF(FUNDS[FundCode],DEPTS[[#This Row],[FundCode]])&gt;0,0,1)</f>
        <v>0</v>
      </c>
      <c r="B209" s="43">
        <f>IF(COUNTIF(ACTIVITIES[ActivityCode],DEPTS[[#This Row],[ActivityCode]])&gt;0,0,1)</f>
        <v>0</v>
      </c>
      <c r="C209" s="43">
        <f>IF(COUNTIF(LEDGER[LedgerCode],DEPTS[[#This Row],[LedgerCode]])&gt;0,0,1)</f>
        <v>0</v>
      </c>
      <c r="D209" s="43">
        <f>IF(LEN(DEPTS[[#This Row],[DepartmentCode]])&lt;100,0,1)</f>
        <v>0</v>
      </c>
      <c r="E209" s="43">
        <f>IF(LEN(DEPTS[[#This Row],[Title]])&lt;100,0,1)</f>
        <v>0</v>
      </c>
      <c r="F209" s="43">
        <f>SUM(DEPTS[[#This Row],[FundIssue]:[Title length check]])</f>
        <v>0</v>
      </c>
      <c r="G209" t="s">
        <v>2279</v>
      </c>
      <c r="H209" t="s">
        <v>2280</v>
      </c>
      <c r="I209" t="b">
        <v>0</v>
      </c>
      <c r="J209" t="s">
        <v>2266</v>
      </c>
      <c r="K209" t="s">
        <v>1963</v>
      </c>
      <c r="L209" t="s">
        <v>1947</v>
      </c>
      <c r="M209" t="s">
        <v>1965</v>
      </c>
      <c r="O209" t="b">
        <v>1</v>
      </c>
    </row>
    <row r="210" spans="1:15" x14ac:dyDescent="0.3">
      <c r="A210" s="43">
        <f>IF(COUNTIF(FUNDS[FundCode],DEPTS[[#This Row],[FundCode]])&gt;0,0,1)</f>
        <v>0</v>
      </c>
      <c r="B210" s="43">
        <f>IF(COUNTIF(ACTIVITIES[ActivityCode],DEPTS[[#This Row],[ActivityCode]])&gt;0,0,1)</f>
        <v>0</v>
      </c>
      <c r="C210" s="43">
        <f>IF(COUNTIF(LEDGER[LedgerCode],DEPTS[[#This Row],[LedgerCode]])&gt;0,0,1)</f>
        <v>0</v>
      </c>
      <c r="D210" s="43">
        <f>IF(LEN(DEPTS[[#This Row],[DepartmentCode]])&lt;100,0,1)</f>
        <v>0</v>
      </c>
      <c r="E210" s="43">
        <f>IF(LEN(DEPTS[[#This Row],[Title]])&lt;100,0,1)</f>
        <v>0</v>
      </c>
      <c r="F210" s="43">
        <f>SUM(DEPTS[[#This Row],[FundIssue]:[Title length check]])</f>
        <v>0</v>
      </c>
      <c r="G210" t="s">
        <v>2281</v>
      </c>
      <c r="H210" t="s">
        <v>2282</v>
      </c>
      <c r="I210" t="b">
        <v>0</v>
      </c>
      <c r="J210" t="s">
        <v>51</v>
      </c>
      <c r="K210" t="s">
        <v>63</v>
      </c>
      <c r="L210" t="s">
        <v>63</v>
      </c>
      <c r="M210" t="s">
        <v>1966</v>
      </c>
      <c r="O210" t="b">
        <v>1</v>
      </c>
    </row>
    <row r="211" spans="1:15" x14ac:dyDescent="0.3">
      <c r="A211" s="43">
        <f>IF(COUNTIF(FUNDS[FundCode],DEPTS[[#This Row],[FundCode]])&gt;0,0,1)</f>
        <v>0</v>
      </c>
      <c r="B211" s="43">
        <f>IF(COUNTIF(ACTIVITIES[ActivityCode],DEPTS[[#This Row],[ActivityCode]])&gt;0,0,1)</f>
        <v>0</v>
      </c>
      <c r="C211" s="43">
        <f>IF(COUNTIF(LEDGER[LedgerCode],DEPTS[[#This Row],[LedgerCode]])&gt;0,0,1)</f>
        <v>0</v>
      </c>
      <c r="D211" s="43">
        <f>IF(LEN(DEPTS[[#This Row],[DepartmentCode]])&lt;100,0,1)</f>
        <v>0</v>
      </c>
      <c r="E211" s="43">
        <f>IF(LEN(DEPTS[[#This Row],[Title]])&lt;100,0,1)</f>
        <v>0</v>
      </c>
      <c r="F211" s="43">
        <f>SUM(DEPTS[[#This Row],[FundIssue]:[Title length check]])</f>
        <v>0</v>
      </c>
      <c r="G211" t="s">
        <v>2283</v>
      </c>
      <c r="H211" t="s">
        <v>2284</v>
      </c>
      <c r="I211" t="b">
        <v>0</v>
      </c>
      <c r="J211" t="s">
        <v>51</v>
      </c>
      <c r="K211" t="s">
        <v>63</v>
      </c>
      <c r="L211" t="s">
        <v>63</v>
      </c>
      <c r="M211" t="s">
        <v>1966</v>
      </c>
      <c r="O211" t="b">
        <v>1</v>
      </c>
    </row>
    <row r="212" spans="1:15" x14ac:dyDescent="0.3">
      <c r="A212" s="43">
        <f>IF(COUNTIF(FUNDS[FundCode],DEPTS[[#This Row],[FundCode]])&gt;0,0,1)</f>
        <v>0</v>
      </c>
      <c r="B212" s="43">
        <f>IF(COUNTIF(ACTIVITIES[ActivityCode],DEPTS[[#This Row],[ActivityCode]])&gt;0,0,1)</f>
        <v>0</v>
      </c>
      <c r="C212" s="43">
        <f>IF(COUNTIF(LEDGER[LedgerCode],DEPTS[[#This Row],[LedgerCode]])&gt;0,0,1)</f>
        <v>0</v>
      </c>
      <c r="D212" s="43">
        <f>IF(LEN(DEPTS[[#This Row],[DepartmentCode]])&lt;100,0,1)</f>
        <v>0</v>
      </c>
      <c r="E212" s="43">
        <f>IF(LEN(DEPTS[[#This Row],[Title]])&lt;100,0,1)</f>
        <v>0</v>
      </c>
      <c r="F212" s="43">
        <f>SUM(DEPTS[[#This Row],[FundIssue]:[Title length check]])</f>
        <v>0</v>
      </c>
      <c r="G212" t="s">
        <v>2285</v>
      </c>
      <c r="H212" t="s">
        <v>2274</v>
      </c>
      <c r="I212" t="b">
        <v>0</v>
      </c>
      <c r="J212" t="s">
        <v>51</v>
      </c>
      <c r="K212" t="s">
        <v>63</v>
      </c>
      <c r="L212" t="s">
        <v>63</v>
      </c>
      <c r="M212" t="s">
        <v>1966</v>
      </c>
      <c r="O212" t="b">
        <v>1</v>
      </c>
    </row>
    <row r="213" spans="1:15" x14ac:dyDescent="0.3">
      <c r="A213" s="43">
        <f>IF(COUNTIF(FUNDS[FundCode],DEPTS[[#This Row],[FundCode]])&gt;0,0,1)</f>
        <v>0</v>
      </c>
      <c r="B213" s="43">
        <f>IF(COUNTIF(ACTIVITIES[ActivityCode],DEPTS[[#This Row],[ActivityCode]])&gt;0,0,1)</f>
        <v>0</v>
      </c>
      <c r="C213" s="43">
        <f>IF(COUNTIF(LEDGER[LedgerCode],DEPTS[[#This Row],[LedgerCode]])&gt;0,0,1)</f>
        <v>0</v>
      </c>
      <c r="D213" s="43">
        <f>IF(LEN(DEPTS[[#This Row],[DepartmentCode]])&lt;100,0,1)</f>
        <v>0</v>
      </c>
      <c r="E213" s="43">
        <f>IF(LEN(DEPTS[[#This Row],[Title]])&lt;100,0,1)</f>
        <v>0</v>
      </c>
      <c r="F213" s="43">
        <f>SUM(DEPTS[[#This Row],[FundIssue]:[Title length check]])</f>
        <v>0</v>
      </c>
      <c r="G213" t="s">
        <v>2286</v>
      </c>
      <c r="H213" t="s">
        <v>2287</v>
      </c>
      <c r="I213" t="b">
        <v>0</v>
      </c>
      <c r="J213" t="s">
        <v>2082</v>
      </c>
      <c r="K213" t="s">
        <v>63</v>
      </c>
      <c r="L213" t="s">
        <v>1947</v>
      </c>
      <c r="M213" t="s">
        <v>1965</v>
      </c>
      <c r="O213" t="b">
        <v>1</v>
      </c>
    </row>
    <row r="214" spans="1:15" x14ac:dyDescent="0.3">
      <c r="A214" s="43">
        <f>IF(COUNTIF(FUNDS[FundCode],DEPTS[[#This Row],[FundCode]])&gt;0,0,1)</f>
        <v>0</v>
      </c>
      <c r="B214" s="43">
        <f>IF(COUNTIF(ACTIVITIES[ActivityCode],DEPTS[[#This Row],[ActivityCode]])&gt;0,0,1)</f>
        <v>0</v>
      </c>
      <c r="C214" s="43">
        <f>IF(COUNTIF(LEDGER[LedgerCode],DEPTS[[#This Row],[LedgerCode]])&gt;0,0,1)</f>
        <v>0</v>
      </c>
      <c r="D214" s="43">
        <f>IF(LEN(DEPTS[[#This Row],[DepartmentCode]])&lt;100,0,1)</f>
        <v>0</v>
      </c>
      <c r="E214" s="43">
        <f>IF(LEN(DEPTS[[#This Row],[Title]])&lt;100,0,1)</f>
        <v>0</v>
      </c>
      <c r="F214" s="43">
        <f>SUM(DEPTS[[#This Row],[FundIssue]:[Title length check]])</f>
        <v>0</v>
      </c>
      <c r="G214" t="s">
        <v>2288</v>
      </c>
      <c r="H214" t="s">
        <v>2289</v>
      </c>
      <c r="I214" t="b">
        <v>0</v>
      </c>
      <c r="J214" t="s">
        <v>2082</v>
      </c>
      <c r="K214" t="s">
        <v>1963</v>
      </c>
      <c r="L214" t="s">
        <v>1947</v>
      </c>
      <c r="M214" t="s">
        <v>1965</v>
      </c>
      <c r="O214" t="b">
        <v>1</v>
      </c>
    </row>
    <row r="215" spans="1:15" x14ac:dyDescent="0.3">
      <c r="A215" s="43">
        <f>IF(COUNTIF(FUNDS[FundCode],DEPTS[[#This Row],[FundCode]])&gt;0,0,1)</f>
        <v>0</v>
      </c>
      <c r="B215" s="43">
        <f>IF(COUNTIF(ACTIVITIES[ActivityCode],DEPTS[[#This Row],[ActivityCode]])&gt;0,0,1)</f>
        <v>0</v>
      </c>
      <c r="C215" s="43">
        <f>IF(COUNTIF(LEDGER[LedgerCode],DEPTS[[#This Row],[LedgerCode]])&gt;0,0,1)</f>
        <v>0</v>
      </c>
      <c r="D215" s="43">
        <f>IF(LEN(DEPTS[[#This Row],[DepartmentCode]])&lt;100,0,1)</f>
        <v>0</v>
      </c>
      <c r="E215" s="43">
        <f>IF(LEN(DEPTS[[#This Row],[Title]])&lt;100,0,1)</f>
        <v>0</v>
      </c>
      <c r="F215" s="43">
        <f>SUM(DEPTS[[#This Row],[FundIssue]:[Title length check]])</f>
        <v>0</v>
      </c>
      <c r="G215" t="s">
        <v>2290</v>
      </c>
      <c r="H215" t="s">
        <v>2291</v>
      </c>
      <c r="I215" t="b">
        <v>0</v>
      </c>
      <c r="J215" t="s">
        <v>2266</v>
      </c>
      <c r="K215" t="s">
        <v>1963</v>
      </c>
      <c r="L215" t="s">
        <v>1947</v>
      </c>
      <c r="M215" t="s">
        <v>1965</v>
      </c>
      <c r="O215" t="b">
        <v>1</v>
      </c>
    </row>
    <row r="216" spans="1:15" x14ac:dyDescent="0.3">
      <c r="A216" s="43">
        <f>IF(COUNTIF(FUNDS[FundCode],DEPTS[[#This Row],[FundCode]])&gt;0,0,1)</f>
        <v>0</v>
      </c>
      <c r="B216" s="43">
        <f>IF(COUNTIF(ACTIVITIES[ActivityCode],DEPTS[[#This Row],[ActivityCode]])&gt;0,0,1)</f>
        <v>0</v>
      </c>
      <c r="C216" s="43">
        <f>IF(COUNTIF(LEDGER[LedgerCode],DEPTS[[#This Row],[LedgerCode]])&gt;0,0,1)</f>
        <v>0</v>
      </c>
      <c r="D216" s="43">
        <f>IF(LEN(DEPTS[[#This Row],[DepartmentCode]])&lt;100,0,1)</f>
        <v>0</v>
      </c>
      <c r="E216" s="43">
        <f>IF(LEN(DEPTS[[#This Row],[Title]])&lt;100,0,1)</f>
        <v>0</v>
      </c>
      <c r="F216" s="43">
        <f>SUM(DEPTS[[#This Row],[FundIssue]:[Title length check]])</f>
        <v>0</v>
      </c>
      <c r="G216" t="s">
        <v>2292</v>
      </c>
      <c r="H216" t="s">
        <v>2293</v>
      </c>
      <c r="I216" t="b">
        <v>0</v>
      </c>
      <c r="J216" t="s">
        <v>2266</v>
      </c>
      <c r="K216" t="s">
        <v>1963</v>
      </c>
      <c r="L216" t="s">
        <v>1947</v>
      </c>
      <c r="M216" t="s">
        <v>1965</v>
      </c>
      <c r="O216" t="b">
        <v>1</v>
      </c>
    </row>
    <row r="217" spans="1:15" x14ac:dyDescent="0.3">
      <c r="A217" s="43">
        <f>IF(COUNTIF(FUNDS[FundCode],DEPTS[[#This Row],[FundCode]])&gt;0,0,1)</f>
        <v>0</v>
      </c>
      <c r="B217" s="43">
        <f>IF(COUNTIF(ACTIVITIES[ActivityCode],DEPTS[[#This Row],[ActivityCode]])&gt;0,0,1)</f>
        <v>0</v>
      </c>
      <c r="C217" s="43">
        <f>IF(COUNTIF(LEDGER[LedgerCode],DEPTS[[#This Row],[LedgerCode]])&gt;0,0,1)</f>
        <v>0</v>
      </c>
      <c r="D217" s="43">
        <f>IF(LEN(DEPTS[[#This Row],[DepartmentCode]])&lt;100,0,1)</f>
        <v>0</v>
      </c>
      <c r="E217" s="43">
        <f>IF(LEN(DEPTS[[#This Row],[Title]])&lt;100,0,1)</f>
        <v>0</v>
      </c>
      <c r="F217" s="43">
        <f>SUM(DEPTS[[#This Row],[FundIssue]:[Title length check]])</f>
        <v>0</v>
      </c>
      <c r="G217" t="s">
        <v>2294</v>
      </c>
      <c r="H217" t="s">
        <v>2295</v>
      </c>
      <c r="I217" t="b">
        <v>0</v>
      </c>
      <c r="J217" t="s">
        <v>2094</v>
      </c>
      <c r="K217" t="s">
        <v>63</v>
      </c>
      <c r="L217" t="s">
        <v>1947</v>
      </c>
      <c r="M217" t="s">
        <v>1965</v>
      </c>
      <c r="O217" t="b">
        <v>1</v>
      </c>
    </row>
    <row r="218" spans="1:15" x14ac:dyDescent="0.3">
      <c r="A218" s="43">
        <f>IF(COUNTIF(FUNDS[FundCode],DEPTS[[#This Row],[FundCode]])&gt;0,0,1)</f>
        <v>0</v>
      </c>
      <c r="B218" s="43">
        <f>IF(COUNTIF(ACTIVITIES[ActivityCode],DEPTS[[#This Row],[ActivityCode]])&gt;0,0,1)</f>
        <v>0</v>
      </c>
      <c r="C218" s="43">
        <f>IF(COUNTIF(LEDGER[LedgerCode],DEPTS[[#This Row],[LedgerCode]])&gt;0,0,1)</f>
        <v>0</v>
      </c>
      <c r="D218" s="43">
        <f>IF(LEN(DEPTS[[#This Row],[DepartmentCode]])&lt;100,0,1)</f>
        <v>0</v>
      </c>
      <c r="E218" s="43">
        <f>IF(LEN(DEPTS[[#This Row],[Title]])&lt;100,0,1)</f>
        <v>0</v>
      </c>
      <c r="F218" s="43">
        <f>SUM(DEPTS[[#This Row],[FundIssue]:[Title length check]])</f>
        <v>0</v>
      </c>
      <c r="G218" t="s">
        <v>2294</v>
      </c>
      <c r="H218" t="s">
        <v>2296</v>
      </c>
      <c r="I218" t="b">
        <v>0</v>
      </c>
      <c r="J218" t="s">
        <v>2082</v>
      </c>
      <c r="K218" t="s">
        <v>1963</v>
      </c>
      <c r="L218" t="s">
        <v>1947</v>
      </c>
      <c r="M218" t="s">
        <v>1965</v>
      </c>
      <c r="O218" t="b">
        <v>1</v>
      </c>
    </row>
    <row r="219" spans="1:15" x14ac:dyDescent="0.3">
      <c r="A219" s="43">
        <f>IF(COUNTIF(FUNDS[FundCode],DEPTS[[#This Row],[FundCode]])&gt;0,0,1)</f>
        <v>0</v>
      </c>
      <c r="B219" s="43">
        <f>IF(COUNTIF(ACTIVITIES[ActivityCode],DEPTS[[#This Row],[ActivityCode]])&gt;0,0,1)</f>
        <v>0</v>
      </c>
      <c r="C219" s="43">
        <f>IF(COUNTIF(LEDGER[LedgerCode],DEPTS[[#This Row],[LedgerCode]])&gt;0,0,1)</f>
        <v>0</v>
      </c>
      <c r="D219" s="43">
        <f>IF(LEN(DEPTS[[#This Row],[DepartmentCode]])&lt;100,0,1)</f>
        <v>0</v>
      </c>
      <c r="E219" s="43">
        <f>IF(LEN(DEPTS[[#This Row],[Title]])&lt;100,0,1)</f>
        <v>0</v>
      </c>
      <c r="F219" s="43">
        <f>SUM(DEPTS[[#This Row],[FundIssue]:[Title length check]])</f>
        <v>0</v>
      </c>
      <c r="G219" t="s">
        <v>2294</v>
      </c>
      <c r="H219" t="s">
        <v>2297</v>
      </c>
      <c r="I219" t="b">
        <v>0</v>
      </c>
      <c r="J219" t="s">
        <v>2126</v>
      </c>
      <c r="K219" t="s">
        <v>63</v>
      </c>
      <c r="L219" t="s">
        <v>63</v>
      </c>
      <c r="M219" t="s">
        <v>1532</v>
      </c>
      <c r="O219" t="b">
        <v>1</v>
      </c>
    </row>
    <row r="220" spans="1:15" x14ac:dyDescent="0.3">
      <c r="A220" s="43">
        <f>IF(COUNTIF(FUNDS[FundCode],DEPTS[[#This Row],[FundCode]])&gt;0,0,1)</f>
        <v>0</v>
      </c>
      <c r="B220" s="43">
        <f>IF(COUNTIF(ACTIVITIES[ActivityCode],DEPTS[[#This Row],[ActivityCode]])&gt;0,0,1)</f>
        <v>0</v>
      </c>
      <c r="C220" s="43">
        <f>IF(COUNTIF(LEDGER[LedgerCode],DEPTS[[#This Row],[LedgerCode]])&gt;0,0,1)</f>
        <v>0</v>
      </c>
      <c r="D220" s="43">
        <f>IF(LEN(DEPTS[[#This Row],[DepartmentCode]])&lt;100,0,1)</f>
        <v>0</v>
      </c>
      <c r="E220" s="43">
        <f>IF(LEN(DEPTS[[#This Row],[Title]])&lt;100,0,1)</f>
        <v>0</v>
      </c>
      <c r="F220" s="43">
        <f>SUM(DEPTS[[#This Row],[FundIssue]:[Title length check]])</f>
        <v>0</v>
      </c>
      <c r="G220" t="s">
        <v>2294</v>
      </c>
      <c r="H220" t="s">
        <v>2297</v>
      </c>
      <c r="I220" t="b">
        <v>0</v>
      </c>
      <c r="J220" t="s">
        <v>2082</v>
      </c>
      <c r="K220" t="s">
        <v>63</v>
      </c>
      <c r="L220" t="s">
        <v>1945</v>
      </c>
      <c r="M220" t="s">
        <v>1532</v>
      </c>
      <c r="O220" t="b">
        <v>1</v>
      </c>
    </row>
    <row r="221" spans="1:15" x14ac:dyDescent="0.3">
      <c r="A221" s="43">
        <f>IF(COUNTIF(FUNDS[FundCode],DEPTS[[#This Row],[FundCode]])&gt;0,0,1)</f>
        <v>0</v>
      </c>
      <c r="B221" s="43">
        <f>IF(COUNTIF(ACTIVITIES[ActivityCode],DEPTS[[#This Row],[ActivityCode]])&gt;0,0,1)</f>
        <v>0</v>
      </c>
      <c r="C221" s="43">
        <f>IF(COUNTIF(LEDGER[LedgerCode],DEPTS[[#This Row],[LedgerCode]])&gt;0,0,1)</f>
        <v>0</v>
      </c>
      <c r="D221" s="43">
        <f>IF(LEN(DEPTS[[#This Row],[DepartmentCode]])&lt;100,0,1)</f>
        <v>0</v>
      </c>
      <c r="E221" s="43">
        <f>IF(LEN(DEPTS[[#This Row],[Title]])&lt;100,0,1)</f>
        <v>0</v>
      </c>
      <c r="F221" s="43">
        <f>SUM(DEPTS[[#This Row],[FundIssue]:[Title length check]])</f>
        <v>0</v>
      </c>
      <c r="G221" t="s">
        <v>2294</v>
      </c>
      <c r="H221" t="s">
        <v>2297</v>
      </c>
      <c r="I221" t="b">
        <v>0</v>
      </c>
      <c r="J221" t="s">
        <v>4334</v>
      </c>
      <c r="K221" t="s">
        <v>63</v>
      </c>
      <c r="L221" t="s">
        <v>1947</v>
      </c>
      <c r="M221" t="s">
        <v>1532</v>
      </c>
      <c r="O221" t="b">
        <v>1</v>
      </c>
    </row>
    <row r="222" spans="1:15" x14ac:dyDescent="0.3">
      <c r="A222" s="43">
        <f>IF(COUNTIF(FUNDS[FundCode],DEPTS[[#This Row],[FundCode]])&gt;0,0,1)</f>
        <v>0</v>
      </c>
      <c r="B222" s="43">
        <f>IF(COUNTIF(ACTIVITIES[ActivityCode],DEPTS[[#This Row],[ActivityCode]])&gt;0,0,1)</f>
        <v>0</v>
      </c>
      <c r="C222" s="43">
        <f>IF(COUNTIF(LEDGER[LedgerCode],DEPTS[[#This Row],[LedgerCode]])&gt;0,0,1)</f>
        <v>0</v>
      </c>
      <c r="D222" s="43">
        <f>IF(LEN(DEPTS[[#This Row],[DepartmentCode]])&lt;100,0,1)</f>
        <v>0</v>
      </c>
      <c r="E222" s="43">
        <f>IF(LEN(DEPTS[[#This Row],[Title]])&lt;100,0,1)</f>
        <v>0</v>
      </c>
      <c r="F222" s="43">
        <f>SUM(DEPTS[[#This Row],[FundIssue]:[Title length check]])</f>
        <v>0</v>
      </c>
      <c r="G222" t="s">
        <v>2294</v>
      </c>
      <c r="H222" t="s">
        <v>2297</v>
      </c>
      <c r="I222" t="b">
        <v>0</v>
      </c>
      <c r="J222" t="s">
        <v>2200</v>
      </c>
      <c r="K222" t="s">
        <v>1963</v>
      </c>
      <c r="L222" t="s">
        <v>1947</v>
      </c>
      <c r="M222" t="s">
        <v>1965</v>
      </c>
      <c r="O222" t="b">
        <v>1</v>
      </c>
    </row>
    <row r="223" spans="1:15" x14ac:dyDescent="0.3">
      <c r="A223" s="43">
        <f>IF(COUNTIF(FUNDS[FundCode],DEPTS[[#This Row],[FundCode]])&gt;0,0,1)</f>
        <v>0</v>
      </c>
      <c r="B223" s="43">
        <f>IF(COUNTIF(ACTIVITIES[ActivityCode],DEPTS[[#This Row],[ActivityCode]])&gt;0,0,1)</f>
        <v>0</v>
      </c>
      <c r="C223" s="43">
        <f>IF(COUNTIF(LEDGER[LedgerCode],DEPTS[[#This Row],[LedgerCode]])&gt;0,0,1)</f>
        <v>0</v>
      </c>
      <c r="D223" s="43">
        <f>IF(LEN(DEPTS[[#This Row],[DepartmentCode]])&lt;100,0,1)</f>
        <v>0</v>
      </c>
      <c r="E223" s="43">
        <f>IF(LEN(DEPTS[[#This Row],[Title]])&lt;100,0,1)</f>
        <v>0</v>
      </c>
      <c r="F223" s="43">
        <f>SUM(DEPTS[[#This Row],[FundIssue]:[Title length check]])</f>
        <v>0</v>
      </c>
      <c r="G223" t="s">
        <v>2294</v>
      </c>
      <c r="H223" t="s">
        <v>2297</v>
      </c>
      <c r="I223" t="b">
        <v>0</v>
      </c>
      <c r="J223" t="s">
        <v>51</v>
      </c>
      <c r="K223" t="s">
        <v>1963</v>
      </c>
      <c r="L223" t="s">
        <v>1947</v>
      </c>
      <c r="M223" t="s">
        <v>1966</v>
      </c>
      <c r="O223" t="b">
        <v>1</v>
      </c>
    </row>
    <row r="224" spans="1:15" x14ac:dyDescent="0.3">
      <c r="A224" s="43">
        <f>IF(COUNTIF(FUNDS[FundCode],DEPTS[[#This Row],[FundCode]])&gt;0,0,1)</f>
        <v>0</v>
      </c>
      <c r="B224" s="43">
        <f>IF(COUNTIF(ACTIVITIES[ActivityCode],DEPTS[[#This Row],[ActivityCode]])&gt;0,0,1)</f>
        <v>0</v>
      </c>
      <c r="C224" s="43">
        <f>IF(COUNTIF(LEDGER[LedgerCode],DEPTS[[#This Row],[LedgerCode]])&gt;0,0,1)</f>
        <v>0</v>
      </c>
      <c r="D224" s="43">
        <f>IF(LEN(DEPTS[[#This Row],[DepartmentCode]])&lt;100,0,1)</f>
        <v>0</v>
      </c>
      <c r="E224" s="43">
        <f>IF(LEN(DEPTS[[#This Row],[Title]])&lt;100,0,1)</f>
        <v>0</v>
      </c>
      <c r="F224" s="43">
        <f>SUM(DEPTS[[#This Row],[FundIssue]:[Title length check]])</f>
        <v>0</v>
      </c>
      <c r="G224" t="s">
        <v>2294</v>
      </c>
      <c r="H224" t="s">
        <v>2297</v>
      </c>
      <c r="I224" t="b">
        <v>0</v>
      </c>
      <c r="J224" t="s">
        <v>2275</v>
      </c>
      <c r="K224" t="s">
        <v>1963</v>
      </c>
      <c r="L224" t="s">
        <v>1947</v>
      </c>
      <c r="M224" t="s">
        <v>1532</v>
      </c>
      <c r="O224" t="b">
        <v>1</v>
      </c>
    </row>
    <row r="225" spans="1:15" x14ac:dyDescent="0.3">
      <c r="A225" s="43">
        <f>IF(COUNTIF(FUNDS[FundCode],DEPTS[[#This Row],[FundCode]])&gt;0,0,1)</f>
        <v>0</v>
      </c>
      <c r="B225" s="43">
        <f>IF(COUNTIF(ACTIVITIES[ActivityCode],DEPTS[[#This Row],[ActivityCode]])&gt;0,0,1)</f>
        <v>0</v>
      </c>
      <c r="C225" s="43">
        <f>IF(COUNTIF(LEDGER[LedgerCode],DEPTS[[#This Row],[LedgerCode]])&gt;0,0,1)</f>
        <v>0</v>
      </c>
      <c r="D225" s="43">
        <f>IF(LEN(DEPTS[[#This Row],[DepartmentCode]])&lt;100,0,1)</f>
        <v>0</v>
      </c>
      <c r="E225" s="43">
        <f>IF(LEN(DEPTS[[#This Row],[Title]])&lt;100,0,1)</f>
        <v>0</v>
      </c>
      <c r="F225" s="43">
        <f>SUM(DEPTS[[#This Row],[FundIssue]:[Title length check]])</f>
        <v>0</v>
      </c>
      <c r="G225" t="s">
        <v>2294</v>
      </c>
      <c r="H225" t="s">
        <v>4335</v>
      </c>
      <c r="I225" t="b">
        <v>0</v>
      </c>
      <c r="J225" t="s">
        <v>4336</v>
      </c>
      <c r="K225" t="s">
        <v>1963</v>
      </c>
      <c r="L225" t="s">
        <v>1947</v>
      </c>
      <c r="M225" t="s">
        <v>1965</v>
      </c>
      <c r="O225" t="b">
        <v>1</v>
      </c>
    </row>
    <row r="226" spans="1:15" x14ac:dyDescent="0.3">
      <c r="A226" s="43">
        <f>IF(COUNTIF(FUNDS[FundCode],DEPTS[[#This Row],[FundCode]])&gt;0,0,1)</f>
        <v>0</v>
      </c>
      <c r="B226" s="43">
        <f>IF(COUNTIF(ACTIVITIES[ActivityCode],DEPTS[[#This Row],[ActivityCode]])&gt;0,0,1)</f>
        <v>0</v>
      </c>
      <c r="C226" s="43">
        <f>IF(COUNTIF(LEDGER[LedgerCode],DEPTS[[#This Row],[LedgerCode]])&gt;0,0,1)</f>
        <v>0</v>
      </c>
      <c r="D226" s="43">
        <f>IF(LEN(DEPTS[[#This Row],[DepartmentCode]])&lt;100,0,1)</f>
        <v>0</v>
      </c>
      <c r="E226" s="43">
        <f>IF(LEN(DEPTS[[#This Row],[Title]])&lt;100,0,1)</f>
        <v>0</v>
      </c>
      <c r="F226" s="43">
        <f>SUM(DEPTS[[#This Row],[FundIssue]:[Title length check]])</f>
        <v>0</v>
      </c>
      <c r="G226" t="s">
        <v>2294</v>
      </c>
      <c r="H226" t="s">
        <v>2298</v>
      </c>
      <c r="I226" t="b">
        <v>0</v>
      </c>
      <c r="J226" t="s">
        <v>2299</v>
      </c>
      <c r="K226" t="s">
        <v>1963</v>
      </c>
      <c r="L226" t="s">
        <v>1945</v>
      </c>
      <c r="M226" t="s">
        <v>1965</v>
      </c>
      <c r="O226" t="b">
        <v>1</v>
      </c>
    </row>
    <row r="227" spans="1:15" x14ac:dyDescent="0.3">
      <c r="A227" s="43">
        <f>IF(COUNTIF(FUNDS[FundCode],DEPTS[[#This Row],[FundCode]])&gt;0,0,1)</f>
        <v>0</v>
      </c>
      <c r="B227" s="43">
        <f>IF(COUNTIF(ACTIVITIES[ActivityCode],DEPTS[[#This Row],[ActivityCode]])&gt;0,0,1)</f>
        <v>0</v>
      </c>
      <c r="C227" s="43">
        <f>IF(COUNTIF(LEDGER[LedgerCode],DEPTS[[#This Row],[LedgerCode]])&gt;0,0,1)</f>
        <v>0</v>
      </c>
      <c r="D227" s="43">
        <f>IF(LEN(DEPTS[[#This Row],[DepartmentCode]])&lt;100,0,1)</f>
        <v>0</v>
      </c>
      <c r="E227" s="43">
        <f>IF(LEN(DEPTS[[#This Row],[Title]])&lt;100,0,1)</f>
        <v>0</v>
      </c>
      <c r="F227" s="43">
        <f>SUM(DEPTS[[#This Row],[FundIssue]:[Title length check]])</f>
        <v>0</v>
      </c>
      <c r="G227" t="s">
        <v>2294</v>
      </c>
      <c r="H227" t="s">
        <v>2298</v>
      </c>
      <c r="I227" t="b">
        <v>0</v>
      </c>
      <c r="J227" t="s">
        <v>2089</v>
      </c>
      <c r="K227" t="s">
        <v>1963</v>
      </c>
      <c r="L227" t="s">
        <v>1947</v>
      </c>
      <c r="M227" t="s">
        <v>1965</v>
      </c>
      <c r="O227" t="b">
        <v>1</v>
      </c>
    </row>
    <row r="228" spans="1:15" x14ac:dyDescent="0.3">
      <c r="A228" s="43">
        <f>IF(COUNTIF(FUNDS[FundCode],DEPTS[[#This Row],[FundCode]])&gt;0,0,1)</f>
        <v>0</v>
      </c>
      <c r="B228" s="43">
        <f>IF(COUNTIF(ACTIVITIES[ActivityCode],DEPTS[[#This Row],[ActivityCode]])&gt;0,0,1)</f>
        <v>0</v>
      </c>
      <c r="C228" s="43">
        <f>IF(COUNTIF(LEDGER[LedgerCode],DEPTS[[#This Row],[LedgerCode]])&gt;0,0,1)</f>
        <v>0</v>
      </c>
      <c r="D228" s="43">
        <f>IF(LEN(DEPTS[[#This Row],[DepartmentCode]])&lt;100,0,1)</f>
        <v>0</v>
      </c>
      <c r="E228" s="43">
        <f>IF(LEN(DEPTS[[#This Row],[Title]])&lt;100,0,1)</f>
        <v>0</v>
      </c>
      <c r="F228" s="43">
        <f>SUM(DEPTS[[#This Row],[FundIssue]:[Title length check]])</f>
        <v>0</v>
      </c>
      <c r="G228" t="s">
        <v>2300</v>
      </c>
      <c r="H228" t="s">
        <v>2301</v>
      </c>
      <c r="I228" t="b">
        <v>0</v>
      </c>
      <c r="J228" t="s">
        <v>2126</v>
      </c>
      <c r="K228" t="s">
        <v>63</v>
      </c>
      <c r="L228" t="s">
        <v>63</v>
      </c>
      <c r="M228" t="s">
        <v>1532</v>
      </c>
      <c r="O228" t="b">
        <v>1</v>
      </c>
    </row>
    <row r="229" spans="1:15" x14ac:dyDescent="0.3">
      <c r="A229" s="43">
        <f>IF(COUNTIF(FUNDS[FundCode],DEPTS[[#This Row],[FundCode]])&gt;0,0,1)</f>
        <v>0</v>
      </c>
      <c r="B229" s="43">
        <f>IF(COUNTIF(ACTIVITIES[ActivityCode],DEPTS[[#This Row],[ActivityCode]])&gt;0,0,1)</f>
        <v>0</v>
      </c>
      <c r="C229" s="43">
        <f>IF(COUNTIF(LEDGER[LedgerCode],DEPTS[[#This Row],[LedgerCode]])&gt;0,0,1)</f>
        <v>0</v>
      </c>
      <c r="D229" s="43">
        <f>IF(LEN(DEPTS[[#This Row],[DepartmentCode]])&lt;100,0,1)</f>
        <v>0</v>
      </c>
      <c r="E229" s="43">
        <f>IF(LEN(DEPTS[[#This Row],[Title]])&lt;100,0,1)</f>
        <v>0</v>
      </c>
      <c r="F229" s="43">
        <f>SUM(DEPTS[[#This Row],[FundIssue]:[Title length check]])</f>
        <v>0</v>
      </c>
      <c r="G229" t="s">
        <v>2300</v>
      </c>
      <c r="H229" t="s">
        <v>2301</v>
      </c>
      <c r="I229" t="b">
        <v>0</v>
      </c>
      <c r="J229" t="s">
        <v>4337</v>
      </c>
      <c r="K229" t="s">
        <v>63</v>
      </c>
      <c r="L229" t="s">
        <v>1764</v>
      </c>
      <c r="M229" t="s">
        <v>1532</v>
      </c>
      <c r="O229" t="b">
        <v>1</v>
      </c>
    </row>
    <row r="230" spans="1:15" x14ac:dyDescent="0.3">
      <c r="A230" s="43">
        <f>IF(COUNTIF(FUNDS[FundCode],DEPTS[[#This Row],[FundCode]])&gt;0,0,1)</f>
        <v>0</v>
      </c>
      <c r="B230" s="43">
        <f>IF(COUNTIF(ACTIVITIES[ActivityCode],DEPTS[[#This Row],[ActivityCode]])&gt;0,0,1)</f>
        <v>0</v>
      </c>
      <c r="C230" s="43">
        <f>IF(COUNTIF(LEDGER[LedgerCode],DEPTS[[#This Row],[LedgerCode]])&gt;0,0,1)</f>
        <v>0</v>
      </c>
      <c r="D230" s="43">
        <f>IF(LEN(DEPTS[[#This Row],[DepartmentCode]])&lt;100,0,1)</f>
        <v>0</v>
      </c>
      <c r="E230" s="43">
        <f>IF(LEN(DEPTS[[#This Row],[Title]])&lt;100,0,1)</f>
        <v>0</v>
      </c>
      <c r="F230" s="43">
        <f>SUM(DEPTS[[#This Row],[FundIssue]:[Title length check]])</f>
        <v>0</v>
      </c>
      <c r="G230" t="s">
        <v>2300</v>
      </c>
      <c r="H230" t="s">
        <v>2301</v>
      </c>
      <c r="I230" t="b">
        <v>0</v>
      </c>
      <c r="J230" t="s">
        <v>51</v>
      </c>
      <c r="K230" t="s">
        <v>1963</v>
      </c>
      <c r="L230" t="s">
        <v>1764</v>
      </c>
      <c r="M230" t="s">
        <v>1966</v>
      </c>
      <c r="O230" t="b">
        <v>1</v>
      </c>
    </row>
    <row r="231" spans="1:15" x14ac:dyDescent="0.3">
      <c r="A231" s="43">
        <f>IF(COUNTIF(FUNDS[FundCode],DEPTS[[#This Row],[FundCode]])&gt;0,0,1)</f>
        <v>0</v>
      </c>
      <c r="B231" s="43">
        <f>IF(COUNTIF(ACTIVITIES[ActivityCode],DEPTS[[#This Row],[ActivityCode]])&gt;0,0,1)</f>
        <v>0</v>
      </c>
      <c r="C231" s="43">
        <f>IF(COUNTIF(LEDGER[LedgerCode],DEPTS[[#This Row],[LedgerCode]])&gt;0,0,1)</f>
        <v>0</v>
      </c>
      <c r="D231" s="43">
        <f>IF(LEN(DEPTS[[#This Row],[DepartmentCode]])&lt;100,0,1)</f>
        <v>0</v>
      </c>
      <c r="E231" s="43">
        <f>IF(LEN(DEPTS[[#This Row],[Title]])&lt;100,0,1)</f>
        <v>0</v>
      </c>
      <c r="F231" s="43">
        <f>SUM(DEPTS[[#This Row],[FundIssue]:[Title length check]])</f>
        <v>0</v>
      </c>
      <c r="G231" t="s">
        <v>2302</v>
      </c>
      <c r="H231" t="s">
        <v>2303</v>
      </c>
      <c r="I231" t="b">
        <v>0</v>
      </c>
      <c r="J231" t="s">
        <v>51</v>
      </c>
      <c r="K231" t="s">
        <v>63</v>
      </c>
      <c r="L231" t="s">
        <v>63</v>
      </c>
      <c r="M231" t="s">
        <v>1966</v>
      </c>
      <c r="O231" t="b">
        <v>1</v>
      </c>
    </row>
    <row r="232" spans="1:15" x14ac:dyDescent="0.3">
      <c r="A232" s="43">
        <f>IF(COUNTIF(FUNDS[FundCode],DEPTS[[#This Row],[FundCode]])&gt;0,0,1)</f>
        <v>0</v>
      </c>
      <c r="B232" s="43">
        <f>IF(COUNTIF(ACTIVITIES[ActivityCode],DEPTS[[#This Row],[ActivityCode]])&gt;0,0,1)</f>
        <v>0</v>
      </c>
      <c r="C232" s="43">
        <f>IF(COUNTIF(LEDGER[LedgerCode],DEPTS[[#This Row],[LedgerCode]])&gt;0,0,1)</f>
        <v>0</v>
      </c>
      <c r="D232" s="43">
        <f>IF(LEN(DEPTS[[#This Row],[DepartmentCode]])&lt;100,0,1)</f>
        <v>0</v>
      </c>
      <c r="E232" s="43">
        <f>IF(LEN(DEPTS[[#This Row],[Title]])&lt;100,0,1)</f>
        <v>0</v>
      </c>
      <c r="F232" s="43">
        <f>SUM(DEPTS[[#This Row],[FundIssue]:[Title length check]])</f>
        <v>0</v>
      </c>
      <c r="G232" t="s">
        <v>2302</v>
      </c>
      <c r="H232" t="s">
        <v>2303</v>
      </c>
      <c r="I232" t="b">
        <v>0</v>
      </c>
      <c r="J232" t="s">
        <v>4326</v>
      </c>
      <c r="K232" t="s">
        <v>63</v>
      </c>
      <c r="L232" t="s">
        <v>63</v>
      </c>
      <c r="M232" t="s">
        <v>1532</v>
      </c>
      <c r="O232" t="b">
        <v>1</v>
      </c>
    </row>
    <row r="233" spans="1:15" x14ac:dyDescent="0.3">
      <c r="A233" s="43">
        <f>IF(COUNTIF(FUNDS[FundCode],DEPTS[[#This Row],[FundCode]])&gt;0,0,1)</f>
        <v>0</v>
      </c>
      <c r="B233" s="43">
        <f>IF(COUNTIF(ACTIVITIES[ActivityCode],DEPTS[[#This Row],[ActivityCode]])&gt;0,0,1)</f>
        <v>0</v>
      </c>
      <c r="C233" s="43">
        <f>IF(COUNTIF(LEDGER[LedgerCode],DEPTS[[#This Row],[LedgerCode]])&gt;0,0,1)</f>
        <v>0</v>
      </c>
      <c r="D233" s="43">
        <f>IF(LEN(DEPTS[[#This Row],[DepartmentCode]])&lt;100,0,1)</f>
        <v>0</v>
      </c>
      <c r="E233" s="43">
        <f>IF(LEN(DEPTS[[#This Row],[Title]])&lt;100,0,1)</f>
        <v>0</v>
      </c>
      <c r="F233" s="43">
        <f>SUM(DEPTS[[#This Row],[FundIssue]:[Title length check]])</f>
        <v>0</v>
      </c>
      <c r="G233" t="s">
        <v>2302</v>
      </c>
      <c r="H233" t="s">
        <v>2303</v>
      </c>
      <c r="I233" t="b">
        <v>0</v>
      </c>
      <c r="J233" t="s">
        <v>4327</v>
      </c>
      <c r="K233" t="s">
        <v>1963</v>
      </c>
      <c r="L233" t="s">
        <v>63</v>
      </c>
      <c r="M233" t="s">
        <v>1532</v>
      </c>
      <c r="O233" t="b">
        <v>1</v>
      </c>
    </row>
    <row r="234" spans="1:15" x14ac:dyDescent="0.3">
      <c r="A234" s="43">
        <f>IF(COUNTIF(FUNDS[FundCode],DEPTS[[#This Row],[FundCode]])&gt;0,0,1)</f>
        <v>0</v>
      </c>
      <c r="B234" s="43">
        <f>IF(COUNTIF(ACTIVITIES[ActivityCode],DEPTS[[#This Row],[ActivityCode]])&gt;0,0,1)</f>
        <v>0</v>
      </c>
      <c r="C234" s="43">
        <f>IF(COUNTIF(LEDGER[LedgerCode],DEPTS[[#This Row],[LedgerCode]])&gt;0,0,1)</f>
        <v>0</v>
      </c>
      <c r="D234" s="43">
        <f>IF(LEN(DEPTS[[#This Row],[DepartmentCode]])&lt;100,0,1)</f>
        <v>0</v>
      </c>
      <c r="E234" s="43">
        <f>IF(LEN(DEPTS[[#This Row],[Title]])&lt;100,0,1)</f>
        <v>0</v>
      </c>
      <c r="F234" s="43">
        <f>SUM(DEPTS[[#This Row],[FundIssue]:[Title length check]])</f>
        <v>0</v>
      </c>
      <c r="G234" t="s">
        <v>2304</v>
      </c>
      <c r="H234" t="s">
        <v>2305</v>
      </c>
      <c r="I234" t="b">
        <v>0</v>
      </c>
      <c r="J234" t="s">
        <v>2082</v>
      </c>
      <c r="K234" t="s">
        <v>1963</v>
      </c>
      <c r="L234" t="s">
        <v>1947</v>
      </c>
      <c r="M234" t="s">
        <v>1965</v>
      </c>
      <c r="O234" t="b">
        <v>1</v>
      </c>
    </row>
    <row r="235" spans="1:15" x14ac:dyDescent="0.3">
      <c r="A235" s="43">
        <f>IF(COUNTIF(FUNDS[FundCode],DEPTS[[#This Row],[FundCode]])&gt;0,0,1)</f>
        <v>0</v>
      </c>
      <c r="B235" s="43">
        <f>IF(COUNTIF(ACTIVITIES[ActivityCode],DEPTS[[#This Row],[ActivityCode]])&gt;0,0,1)</f>
        <v>0</v>
      </c>
      <c r="C235" s="43">
        <f>IF(COUNTIF(LEDGER[LedgerCode],DEPTS[[#This Row],[LedgerCode]])&gt;0,0,1)</f>
        <v>0</v>
      </c>
      <c r="D235" s="43">
        <f>IF(LEN(DEPTS[[#This Row],[DepartmentCode]])&lt;100,0,1)</f>
        <v>0</v>
      </c>
      <c r="E235" s="43">
        <f>IF(LEN(DEPTS[[#This Row],[Title]])&lt;100,0,1)</f>
        <v>0</v>
      </c>
      <c r="F235" s="43">
        <f>SUM(DEPTS[[#This Row],[FundIssue]:[Title length check]])</f>
        <v>0</v>
      </c>
      <c r="G235" t="s">
        <v>2306</v>
      </c>
      <c r="H235" t="s">
        <v>2307</v>
      </c>
      <c r="I235" t="b">
        <v>0</v>
      </c>
      <c r="J235" t="s">
        <v>51</v>
      </c>
      <c r="K235" t="s">
        <v>63</v>
      </c>
      <c r="L235" t="s">
        <v>63</v>
      </c>
      <c r="M235" t="s">
        <v>1966</v>
      </c>
      <c r="O235" t="b">
        <v>1</v>
      </c>
    </row>
    <row r="236" spans="1:15" x14ac:dyDescent="0.3">
      <c r="A236" s="43">
        <f>IF(COUNTIF(FUNDS[FundCode],DEPTS[[#This Row],[FundCode]])&gt;0,0,1)</f>
        <v>0</v>
      </c>
      <c r="B236" s="43">
        <f>IF(COUNTIF(ACTIVITIES[ActivityCode],DEPTS[[#This Row],[ActivityCode]])&gt;0,0,1)</f>
        <v>0</v>
      </c>
      <c r="C236" s="43">
        <f>IF(COUNTIF(LEDGER[LedgerCode],DEPTS[[#This Row],[LedgerCode]])&gt;0,0,1)</f>
        <v>0</v>
      </c>
      <c r="D236" s="43">
        <f>IF(LEN(DEPTS[[#This Row],[DepartmentCode]])&lt;100,0,1)</f>
        <v>0</v>
      </c>
      <c r="E236" s="43">
        <f>IF(LEN(DEPTS[[#This Row],[Title]])&lt;100,0,1)</f>
        <v>0</v>
      </c>
      <c r="F236" s="43">
        <f>SUM(DEPTS[[#This Row],[FundIssue]:[Title length check]])</f>
        <v>0</v>
      </c>
      <c r="G236" t="s">
        <v>2306</v>
      </c>
      <c r="H236" t="s">
        <v>2307</v>
      </c>
      <c r="I236" t="b">
        <v>0</v>
      </c>
      <c r="J236" t="s">
        <v>4326</v>
      </c>
      <c r="K236" t="s">
        <v>63</v>
      </c>
      <c r="L236" t="s">
        <v>63</v>
      </c>
      <c r="M236" t="s">
        <v>1532</v>
      </c>
      <c r="O236" t="b">
        <v>1</v>
      </c>
    </row>
    <row r="237" spans="1:15" x14ac:dyDescent="0.3">
      <c r="A237" s="43">
        <f>IF(COUNTIF(FUNDS[FundCode],DEPTS[[#This Row],[FundCode]])&gt;0,0,1)</f>
        <v>0</v>
      </c>
      <c r="B237" s="43">
        <f>IF(COUNTIF(ACTIVITIES[ActivityCode],DEPTS[[#This Row],[ActivityCode]])&gt;0,0,1)</f>
        <v>0</v>
      </c>
      <c r="C237" s="43">
        <f>IF(COUNTIF(LEDGER[LedgerCode],DEPTS[[#This Row],[LedgerCode]])&gt;0,0,1)</f>
        <v>0</v>
      </c>
      <c r="D237" s="43">
        <f>IF(LEN(DEPTS[[#This Row],[DepartmentCode]])&lt;100,0,1)</f>
        <v>0</v>
      </c>
      <c r="E237" s="43">
        <f>IF(LEN(DEPTS[[#This Row],[Title]])&lt;100,0,1)</f>
        <v>0</v>
      </c>
      <c r="F237" s="43">
        <f>SUM(DEPTS[[#This Row],[FundIssue]:[Title length check]])</f>
        <v>0</v>
      </c>
      <c r="G237" t="s">
        <v>2306</v>
      </c>
      <c r="H237" t="s">
        <v>2307</v>
      </c>
      <c r="I237" t="b">
        <v>0</v>
      </c>
      <c r="J237" t="s">
        <v>4327</v>
      </c>
      <c r="K237" t="s">
        <v>1963</v>
      </c>
      <c r="L237" t="s">
        <v>63</v>
      </c>
      <c r="M237" t="s">
        <v>1532</v>
      </c>
      <c r="O237" t="b">
        <v>1</v>
      </c>
    </row>
    <row r="238" spans="1:15" x14ac:dyDescent="0.3">
      <c r="A238" s="43">
        <f>IF(COUNTIF(FUNDS[FundCode],DEPTS[[#This Row],[FundCode]])&gt;0,0,1)</f>
        <v>0</v>
      </c>
      <c r="B238" s="43">
        <f>IF(COUNTIF(ACTIVITIES[ActivityCode],DEPTS[[#This Row],[ActivityCode]])&gt;0,0,1)</f>
        <v>0</v>
      </c>
      <c r="C238" s="43">
        <f>IF(COUNTIF(LEDGER[LedgerCode],DEPTS[[#This Row],[LedgerCode]])&gt;0,0,1)</f>
        <v>0</v>
      </c>
      <c r="D238" s="43">
        <f>IF(LEN(DEPTS[[#This Row],[DepartmentCode]])&lt;100,0,1)</f>
        <v>0</v>
      </c>
      <c r="E238" s="43">
        <f>IF(LEN(DEPTS[[#This Row],[Title]])&lt;100,0,1)</f>
        <v>0</v>
      </c>
      <c r="F238" s="43">
        <f>SUM(DEPTS[[#This Row],[FundIssue]:[Title length check]])</f>
        <v>0</v>
      </c>
      <c r="G238" t="s">
        <v>2308</v>
      </c>
      <c r="H238" t="s">
        <v>2309</v>
      </c>
      <c r="I238" t="b">
        <v>0</v>
      </c>
      <c r="J238" t="s">
        <v>51</v>
      </c>
      <c r="K238" t="s">
        <v>63</v>
      </c>
      <c r="L238" t="s">
        <v>63</v>
      </c>
      <c r="M238" t="s">
        <v>1966</v>
      </c>
      <c r="O238" t="b">
        <v>1</v>
      </c>
    </row>
    <row r="239" spans="1:15" x14ac:dyDescent="0.3">
      <c r="A239" s="43">
        <f>IF(COUNTIF(FUNDS[FundCode],DEPTS[[#This Row],[FundCode]])&gt;0,0,1)</f>
        <v>0</v>
      </c>
      <c r="B239" s="43">
        <f>IF(COUNTIF(ACTIVITIES[ActivityCode],DEPTS[[#This Row],[ActivityCode]])&gt;0,0,1)</f>
        <v>0</v>
      </c>
      <c r="C239" s="43">
        <f>IF(COUNTIF(LEDGER[LedgerCode],DEPTS[[#This Row],[LedgerCode]])&gt;0,0,1)</f>
        <v>0</v>
      </c>
      <c r="D239" s="43">
        <f>IF(LEN(DEPTS[[#This Row],[DepartmentCode]])&lt;100,0,1)</f>
        <v>0</v>
      </c>
      <c r="E239" s="43">
        <f>IF(LEN(DEPTS[[#This Row],[Title]])&lt;100,0,1)</f>
        <v>0</v>
      </c>
      <c r="F239" s="43">
        <f>SUM(DEPTS[[#This Row],[FundIssue]:[Title length check]])</f>
        <v>0</v>
      </c>
      <c r="G239" t="s">
        <v>2308</v>
      </c>
      <c r="H239" t="s">
        <v>2309</v>
      </c>
      <c r="I239" t="b">
        <v>0</v>
      </c>
      <c r="J239" t="s">
        <v>4326</v>
      </c>
      <c r="K239" t="s">
        <v>63</v>
      </c>
      <c r="L239" t="s">
        <v>63</v>
      </c>
      <c r="M239" t="s">
        <v>1532</v>
      </c>
      <c r="O239" t="b">
        <v>1</v>
      </c>
    </row>
    <row r="240" spans="1:15" x14ac:dyDescent="0.3">
      <c r="A240" s="43">
        <f>IF(COUNTIF(FUNDS[FundCode],DEPTS[[#This Row],[FundCode]])&gt;0,0,1)</f>
        <v>0</v>
      </c>
      <c r="B240" s="43">
        <f>IF(COUNTIF(ACTIVITIES[ActivityCode],DEPTS[[#This Row],[ActivityCode]])&gt;0,0,1)</f>
        <v>0</v>
      </c>
      <c r="C240" s="43">
        <f>IF(COUNTIF(LEDGER[LedgerCode],DEPTS[[#This Row],[LedgerCode]])&gt;0,0,1)</f>
        <v>0</v>
      </c>
      <c r="D240" s="43">
        <f>IF(LEN(DEPTS[[#This Row],[DepartmentCode]])&lt;100,0,1)</f>
        <v>0</v>
      </c>
      <c r="E240" s="43">
        <f>IF(LEN(DEPTS[[#This Row],[Title]])&lt;100,0,1)</f>
        <v>0</v>
      </c>
      <c r="F240" s="43">
        <f>SUM(DEPTS[[#This Row],[FundIssue]:[Title length check]])</f>
        <v>0</v>
      </c>
      <c r="G240" t="s">
        <v>2308</v>
      </c>
      <c r="H240" t="s">
        <v>2309</v>
      </c>
      <c r="I240" t="b">
        <v>0</v>
      </c>
      <c r="J240" t="s">
        <v>4327</v>
      </c>
      <c r="K240" t="s">
        <v>1963</v>
      </c>
      <c r="L240" t="s">
        <v>63</v>
      </c>
      <c r="M240" t="s">
        <v>1532</v>
      </c>
      <c r="O240" t="b">
        <v>1</v>
      </c>
    </row>
    <row r="241" spans="1:15" x14ac:dyDescent="0.3">
      <c r="A241" s="43">
        <f>IF(COUNTIF(FUNDS[FundCode],DEPTS[[#This Row],[FundCode]])&gt;0,0,1)</f>
        <v>0</v>
      </c>
      <c r="B241" s="43">
        <f>IF(COUNTIF(ACTIVITIES[ActivityCode],DEPTS[[#This Row],[ActivityCode]])&gt;0,0,1)</f>
        <v>0</v>
      </c>
      <c r="C241" s="43">
        <f>IF(COUNTIF(LEDGER[LedgerCode],DEPTS[[#This Row],[LedgerCode]])&gt;0,0,1)</f>
        <v>0</v>
      </c>
      <c r="D241" s="43">
        <f>IF(LEN(DEPTS[[#This Row],[DepartmentCode]])&lt;100,0,1)</f>
        <v>0</v>
      </c>
      <c r="E241" s="43">
        <f>IF(LEN(DEPTS[[#This Row],[Title]])&lt;100,0,1)</f>
        <v>0</v>
      </c>
      <c r="F241" s="43">
        <f>SUM(DEPTS[[#This Row],[FundIssue]:[Title length check]])</f>
        <v>0</v>
      </c>
      <c r="G241" t="s">
        <v>2310</v>
      </c>
      <c r="H241" t="s">
        <v>2311</v>
      </c>
      <c r="I241" t="b">
        <v>0</v>
      </c>
      <c r="J241" t="s">
        <v>2082</v>
      </c>
      <c r="K241" t="s">
        <v>1963</v>
      </c>
      <c r="L241" t="s">
        <v>1947</v>
      </c>
      <c r="M241" t="s">
        <v>1965</v>
      </c>
      <c r="O241" t="b">
        <v>1</v>
      </c>
    </row>
    <row r="242" spans="1:15" x14ac:dyDescent="0.3">
      <c r="A242" s="43">
        <f>IF(COUNTIF(FUNDS[FundCode],DEPTS[[#This Row],[FundCode]])&gt;0,0,1)</f>
        <v>0</v>
      </c>
      <c r="B242" s="43">
        <f>IF(COUNTIF(ACTIVITIES[ActivityCode],DEPTS[[#This Row],[ActivityCode]])&gt;0,0,1)</f>
        <v>0</v>
      </c>
      <c r="C242" s="43">
        <f>IF(COUNTIF(LEDGER[LedgerCode],DEPTS[[#This Row],[LedgerCode]])&gt;0,0,1)</f>
        <v>0</v>
      </c>
      <c r="D242" s="43">
        <f>IF(LEN(DEPTS[[#This Row],[DepartmentCode]])&lt;100,0,1)</f>
        <v>0</v>
      </c>
      <c r="E242" s="43">
        <f>IF(LEN(DEPTS[[#This Row],[Title]])&lt;100,0,1)</f>
        <v>0</v>
      </c>
      <c r="F242" s="43">
        <f>SUM(DEPTS[[#This Row],[FundIssue]:[Title length check]])</f>
        <v>0</v>
      </c>
      <c r="G242" t="s">
        <v>2312</v>
      </c>
      <c r="H242" t="s">
        <v>2313</v>
      </c>
      <c r="I242" t="b">
        <v>0</v>
      </c>
      <c r="J242" t="s">
        <v>51</v>
      </c>
      <c r="K242" t="s">
        <v>63</v>
      </c>
      <c r="L242" t="s">
        <v>63</v>
      </c>
      <c r="M242" t="s">
        <v>1966</v>
      </c>
      <c r="O242" t="b">
        <v>1</v>
      </c>
    </row>
    <row r="243" spans="1:15" x14ac:dyDescent="0.3">
      <c r="A243" s="43">
        <f>IF(COUNTIF(FUNDS[FundCode],DEPTS[[#This Row],[FundCode]])&gt;0,0,1)</f>
        <v>0</v>
      </c>
      <c r="B243" s="43">
        <f>IF(COUNTIF(ACTIVITIES[ActivityCode],DEPTS[[#This Row],[ActivityCode]])&gt;0,0,1)</f>
        <v>0</v>
      </c>
      <c r="C243" s="43">
        <f>IF(COUNTIF(LEDGER[LedgerCode],DEPTS[[#This Row],[LedgerCode]])&gt;0,0,1)</f>
        <v>0</v>
      </c>
      <c r="D243" s="43">
        <f>IF(LEN(DEPTS[[#This Row],[DepartmentCode]])&lt;100,0,1)</f>
        <v>0</v>
      </c>
      <c r="E243" s="43">
        <f>IF(LEN(DEPTS[[#This Row],[Title]])&lt;100,0,1)</f>
        <v>0</v>
      </c>
      <c r="F243" s="43">
        <f>SUM(DEPTS[[#This Row],[FundIssue]:[Title length check]])</f>
        <v>0</v>
      </c>
      <c r="G243" t="s">
        <v>2312</v>
      </c>
      <c r="H243" t="s">
        <v>2313</v>
      </c>
      <c r="I243" t="b">
        <v>0</v>
      </c>
      <c r="J243" t="s">
        <v>4326</v>
      </c>
      <c r="K243" t="s">
        <v>63</v>
      </c>
      <c r="L243" t="s">
        <v>63</v>
      </c>
      <c r="M243" t="s">
        <v>1532</v>
      </c>
      <c r="O243" t="b">
        <v>1</v>
      </c>
    </row>
    <row r="244" spans="1:15" x14ac:dyDescent="0.3">
      <c r="A244" s="43">
        <f>IF(COUNTIF(FUNDS[FundCode],DEPTS[[#This Row],[FundCode]])&gt;0,0,1)</f>
        <v>0</v>
      </c>
      <c r="B244" s="43">
        <f>IF(COUNTIF(ACTIVITIES[ActivityCode],DEPTS[[#This Row],[ActivityCode]])&gt;0,0,1)</f>
        <v>0</v>
      </c>
      <c r="C244" s="43">
        <f>IF(COUNTIF(LEDGER[LedgerCode],DEPTS[[#This Row],[LedgerCode]])&gt;0,0,1)</f>
        <v>0</v>
      </c>
      <c r="D244" s="43">
        <f>IF(LEN(DEPTS[[#This Row],[DepartmentCode]])&lt;100,0,1)</f>
        <v>0</v>
      </c>
      <c r="E244" s="43">
        <f>IF(LEN(DEPTS[[#This Row],[Title]])&lt;100,0,1)</f>
        <v>0</v>
      </c>
      <c r="F244" s="43">
        <f>SUM(DEPTS[[#This Row],[FundIssue]:[Title length check]])</f>
        <v>0</v>
      </c>
      <c r="G244" t="s">
        <v>2312</v>
      </c>
      <c r="H244" t="s">
        <v>2313</v>
      </c>
      <c r="I244" t="b">
        <v>0</v>
      </c>
      <c r="J244" t="s">
        <v>4327</v>
      </c>
      <c r="K244" t="s">
        <v>1963</v>
      </c>
      <c r="L244" t="s">
        <v>63</v>
      </c>
      <c r="M244" t="s">
        <v>1532</v>
      </c>
      <c r="O244" t="b">
        <v>1</v>
      </c>
    </row>
    <row r="245" spans="1:15" x14ac:dyDescent="0.3">
      <c r="A245" s="43">
        <f>IF(COUNTIF(FUNDS[FundCode],DEPTS[[#This Row],[FundCode]])&gt;0,0,1)</f>
        <v>0</v>
      </c>
      <c r="B245" s="43">
        <f>IF(COUNTIF(ACTIVITIES[ActivityCode],DEPTS[[#This Row],[ActivityCode]])&gt;0,0,1)</f>
        <v>0</v>
      </c>
      <c r="C245" s="43">
        <f>IF(COUNTIF(LEDGER[LedgerCode],DEPTS[[#This Row],[LedgerCode]])&gt;0,0,1)</f>
        <v>0</v>
      </c>
      <c r="D245" s="43">
        <f>IF(LEN(DEPTS[[#This Row],[DepartmentCode]])&lt;100,0,1)</f>
        <v>0</v>
      </c>
      <c r="E245" s="43">
        <f>IF(LEN(DEPTS[[#This Row],[Title]])&lt;100,0,1)</f>
        <v>0</v>
      </c>
      <c r="F245" s="43">
        <f>SUM(DEPTS[[#This Row],[FundIssue]:[Title length check]])</f>
        <v>0</v>
      </c>
      <c r="G245" t="s">
        <v>2314</v>
      </c>
      <c r="H245" t="s">
        <v>2315</v>
      </c>
      <c r="I245" t="b">
        <v>0</v>
      </c>
      <c r="J245" t="s">
        <v>51</v>
      </c>
      <c r="K245" t="s">
        <v>63</v>
      </c>
      <c r="L245" t="s">
        <v>63</v>
      </c>
      <c r="M245" t="s">
        <v>1966</v>
      </c>
      <c r="O245" t="b">
        <v>1</v>
      </c>
    </row>
    <row r="246" spans="1:15" x14ac:dyDescent="0.3">
      <c r="A246" s="43">
        <f>IF(COUNTIF(FUNDS[FundCode],DEPTS[[#This Row],[FundCode]])&gt;0,0,1)</f>
        <v>0</v>
      </c>
      <c r="B246" s="43">
        <f>IF(COUNTIF(ACTIVITIES[ActivityCode],DEPTS[[#This Row],[ActivityCode]])&gt;0,0,1)</f>
        <v>0</v>
      </c>
      <c r="C246" s="43">
        <f>IF(COUNTIF(LEDGER[LedgerCode],DEPTS[[#This Row],[LedgerCode]])&gt;0,0,1)</f>
        <v>0</v>
      </c>
      <c r="D246" s="43">
        <f>IF(LEN(DEPTS[[#This Row],[DepartmentCode]])&lt;100,0,1)</f>
        <v>0</v>
      </c>
      <c r="E246" s="43">
        <f>IF(LEN(DEPTS[[#This Row],[Title]])&lt;100,0,1)</f>
        <v>0</v>
      </c>
      <c r="F246" s="43">
        <f>SUM(DEPTS[[#This Row],[FundIssue]:[Title length check]])</f>
        <v>0</v>
      </c>
      <c r="G246" t="s">
        <v>2314</v>
      </c>
      <c r="H246" t="s">
        <v>2315</v>
      </c>
      <c r="I246" t="b">
        <v>0</v>
      </c>
      <c r="J246" t="s">
        <v>4326</v>
      </c>
      <c r="K246" t="s">
        <v>63</v>
      </c>
      <c r="L246" t="s">
        <v>63</v>
      </c>
      <c r="M246" t="s">
        <v>1532</v>
      </c>
      <c r="O246" t="b">
        <v>1</v>
      </c>
    </row>
    <row r="247" spans="1:15" x14ac:dyDescent="0.3">
      <c r="A247" s="43">
        <f>IF(COUNTIF(FUNDS[FundCode],DEPTS[[#This Row],[FundCode]])&gt;0,0,1)</f>
        <v>0</v>
      </c>
      <c r="B247" s="43">
        <f>IF(COUNTIF(ACTIVITIES[ActivityCode],DEPTS[[#This Row],[ActivityCode]])&gt;0,0,1)</f>
        <v>0</v>
      </c>
      <c r="C247" s="43">
        <f>IF(COUNTIF(LEDGER[LedgerCode],DEPTS[[#This Row],[LedgerCode]])&gt;0,0,1)</f>
        <v>0</v>
      </c>
      <c r="D247" s="43">
        <f>IF(LEN(DEPTS[[#This Row],[DepartmentCode]])&lt;100,0,1)</f>
        <v>0</v>
      </c>
      <c r="E247" s="43">
        <f>IF(LEN(DEPTS[[#This Row],[Title]])&lt;100,0,1)</f>
        <v>0</v>
      </c>
      <c r="F247" s="43">
        <f>SUM(DEPTS[[#This Row],[FundIssue]:[Title length check]])</f>
        <v>0</v>
      </c>
      <c r="G247" t="s">
        <v>2314</v>
      </c>
      <c r="H247" t="s">
        <v>2315</v>
      </c>
      <c r="I247" t="b">
        <v>0</v>
      </c>
      <c r="J247" t="s">
        <v>4327</v>
      </c>
      <c r="K247" t="s">
        <v>1963</v>
      </c>
      <c r="L247" t="s">
        <v>63</v>
      </c>
      <c r="M247" t="s">
        <v>1532</v>
      </c>
      <c r="O247" t="b">
        <v>1</v>
      </c>
    </row>
    <row r="248" spans="1:15" x14ac:dyDescent="0.3">
      <c r="A248" s="43">
        <f>IF(COUNTIF(FUNDS[FundCode],DEPTS[[#This Row],[FundCode]])&gt;0,0,1)</f>
        <v>0</v>
      </c>
      <c r="B248" s="43">
        <f>IF(COUNTIF(ACTIVITIES[ActivityCode],DEPTS[[#This Row],[ActivityCode]])&gt;0,0,1)</f>
        <v>0</v>
      </c>
      <c r="C248" s="43">
        <f>IF(COUNTIF(LEDGER[LedgerCode],DEPTS[[#This Row],[LedgerCode]])&gt;0,0,1)</f>
        <v>0</v>
      </c>
      <c r="D248" s="43">
        <f>IF(LEN(DEPTS[[#This Row],[DepartmentCode]])&lt;100,0,1)</f>
        <v>0</v>
      </c>
      <c r="E248" s="43">
        <f>IF(LEN(DEPTS[[#This Row],[Title]])&lt;100,0,1)</f>
        <v>0</v>
      </c>
      <c r="F248" s="43">
        <f>SUM(DEPTS[[#This Row],[FundIssue]:[Title length check]])</f>
        <v>0</v>
      </c>
      <c r="G248" t="s">
        <v>2316</v>
      </c>
      <c r="H248" t="s">
        <v>2317</v>
      </c>
      <c r="I248" t="b">
        <v>0</v>
      </c>
      <c r="J248" t="s">
        <v>51</v>
      </c>
      <c r="K248" t="s">
        <v>63</v>
      </c>
      <c r="L248" t="s">
        <v>63</v>
      </c>
      <c r="M248" t="s">
        <v>1966</v>
      </c>
      <c r="O248" t="b">
        <v>1</v>
      </c>
    </row>
    <row r="249" spans="1:15" x14ac:dyDescent="0.3">
      <c r="A249" s="43">
        <f>IF(COUNTIF(FUNDS[FundCode],DEPTS[[#This Row],[FundCode]])&gt;0,0,1)</f>
        <v>0</v>
      </c>
      <c r="B249" s="43">
        <f>IF(COUNTIF(ACTIVITIES[ActivityCode],DEPTS[[#This Row],[ActivityCode]])&gt;0,0,1)</f>
        <v>0</v>
      </c>
      <c r="C249" s="43">
        <f>IF(COUNTIF(LEDGER[LedgerCode],DEPTS[[#This Row],[LedgerCode]])&gt;0,0,1)</f>
        <v>0</v>
      </c>
      <c r="D249" s="43">
        <f>IF(LEN(DEPTS[[#This Row],[DepartmentCode]])&lt;100,0,1)</f>
        <v>0</v>
      </c>
      <c r="E249" s="43">
        <f>IF(LEN(DEPTS[[#This Row],[Title]])&lt;100,0,1)</f>
        <v>0</v>
      </c>
      <c r="F249" s="43">
        <f>SUM(DEPTS[[#This Row],[FundIssue]:[Title length check]])</f>
        <v>0</v>
      </c>
      <c r="G249" t="s">
        <v>2316</v>
      </c>
      <c r="H249" t="s">
        <v>2317</v>
      </c>
      <c r="I249" t="b">
        <v>0</v>
      </c>
      <c r="J249" t="s">
        <v>2082</v>
      </c>
      <c r="K249" t="s">
        <v>1963</v>
      </c>
      <c r="L249" t="s">
        <v>1764</v>
      </c>
      <c r="M249" t="s">
        <v>1532</v>
      </c>
      <c r="O249" t="b">
        <v>1</v>
      </c>
    </row>
    <row r="250" spans="1:15" x14ac:dyDescent="0.3">
      <c r="A250" s="43">
        <f>IF(COUNTIF(FUNDS[FundCode],DEPTS[[#This Row],[FundCode]])&gt;0,0,1)</f>
        <v>0</v>
      </c>
      <c r="B250" s="43">
        <f>IF(COUNTIF(ACTIVITIES[ActivityCode],DEPTS[[#This Row],[ActivityCode]])&gt;0,0,1)</f>
        <v>0</v>
      </c>
      <c r="C250" s="43">
        <f>IF(COUNTIF(LEDGER[LedgerCode],DEPTS[[#This Row],[LedgerCode]])&gt;0,0,1)</f>
        <v>0</v>
      </c>
      <c r="D250" s="43">
        <f>IF(LEN(DEPTS[[#This Row],[DepartmentCode]])&lt;100,0,1)</f>
        <v>0</v>
      </c>
      <c r="E250" s="43">
        <f>IF(LEN(DEPTS[[#This Row],[Title]])&lt;100,0,1)</f>
        <v>0</v>
      </c>
      <c r="F250" s="43">
        <f>SUM(DEPTS[[#This Row],[FundIssue]:[Title length check]])</f>
        <v>0</v>
      </c>
      <c r="G250" t="s">
        <v>2318</v>
      </c>
      <c r="H250" t="s">
        <v>2319</v>
      </c>
      <c r="I250" t="b">
        <v>0</v>
      </c>
      <c r="J250" t="s">
        <v>51</v>
      </c>
      <c r="K250" t="s">
        <v>63</v>
      </c>
      <c r="L250" t="s">
        <v>63</v>
      </c>
      <c r="M250" t="s">
        <v>1966</v>
      </c>
      <c r="O250" t="b">
        <v>1</v>
      </c>
    </row>
    <row r="251" spans="1:15" x14ac:dyDescent="0.3">
      <c r="A251" s="43">
        <f>IF(COUNTIF(FUNDS[FundCode],DEPTS[[#This Row],[FundCode]])&gt;0,0,1)</f>
        <v>0</v>
      </c>
      <c r="B251" s="43">
        <f>IF(COUNTIF(ACTIVITIES[ActivityCode],DEPTS[[#This Row],[ActivityCode]])&gt;0,0,1)</f>
        <v>0</v>
      </c>
      <c r="C251" s="43">
        <f>IF(COUNTIF(LEDGER[LedgerCode],DEPTS[[#This Row],[LedgerCode]])&gt;0,0,1)</f>
        <v>0</v>
      </c>
      <c r="D251" s="43">
        <f>IF(LEN(DEPTS[[#This Row],[DepartmentCode]])&lt;100,0,1)</f>
        <v>0</v>
      </c>
      <c r="E251" s="43">
        <f>IF(LEN(DEPTS[[#This Row],[Title]])&lt;100,0,1)</f>
        <v>0</v>
      </c>
      <c r="F251" s="43">
        <f>SUM(DEPTS[[#This Row],[FundIssue]:[Title length check]])</f>
        <v>0</v>
      </c>
      <c r="G251" t="s">
        <v>2318</v>
      </c>
      <c r="H251" t="s">
        <v>2319</v>
      </c>
      <c r="I251" t="b">
        <v>0</v>
      </c>
      <c r="J251" t="s">
        <v>2082</v>
      </c>
      <c r="K251" t="s">
        <v>1963</v>
      </c>
      <c r="L251" t="s">
        <v>1941</v>
      </c>
      <c r="M251" t="s">
        <v>1532</v>
      </c>
      <c r="O251" t="b">
        <v>1</v>
      </c>
    </row>
    <row r="252" spans="1:15" x14ac:dyDescent="0.3">
      <c r="A252" s="43">
        <f>IF(COUNTIF(FUNDS[FundCode],DEPTS[[#This Row],[FundCode]])&gt;0,0,1)</f>
        <v>0</v>
      </c>
      <c r="B252" s="43">
        <f>IF(COUNTIF(ACTIVITIES[ActivityCode],DEPTS[[#This Row],[ActivityCode]])&gt;0,0,1)</f>
        <v>0</v>
      </c>
      <c r="C252" s="43">
        <f>IF(COUNTIF(LEDGER[LedgerCode],DEPTS[[#This Row],[LedgerCode]])&gt;0,0,1)</f>
        <v>0</v>
      </c>
      <c r="D252" s="43">
        <f>IF(LEN(DEPTS[[#This Row],[DepartmentCode]])&lt;100,0,1)</f>
        <v>0</v>
      </c>
      <c r="E252" s="43">
        <f>IF(LEN(DEPTS[[#This Row],[Title]])&lt;100,0,1)</f>
        <v>0</v>
      </c>
      <c r="F252" s="43">
        <f>SUM(DEPTS[[#This Row],[FundIssue]:[Title length check]])</f>
        <v>0</v>
      </c>
      <c r="G252" t="s">
        <v>2320</v>
      </c>
      <c r="H252" t="s">
        <v>2321</v>
      </c>
      <c r="I252" t="b">
        <v>0</v>
      </c>
      <c r="J252" t="s">
        <v>51</v>
      </c>
      <c r="K252" t="s">
        <v>63</v>
      </c>
      <c r="L252" t="s">
        <v>1945</v>
      </c>
      <c r="M252" t="s">
        <v>1966</v>
      </c>
      <c r="O252" t="b">
        <v>1</v>
      </c>
    </row>
    <row r="253" spans="1:15" x14ac:dyDescent="0.3">
      <c r="A253" s="43">
        <f>IF(COUNTIF(FUNDS[FundCode],DEPTS[[#This Row],[FundCode]])&gt;0,0,1)</f>
        <v>0</v>
      </c>
      <c r="B253" s="43">
        <f>IF(COUNTIF(ACTIVITIES[ActivityCode],DEPTS[[#This Row],[ActivityCode]])&gt;0,0,1)</f>
        <v>0</v>
      </c>
      <c r="C253" s="43">
        <f>IF(COUNTIF(LEDGER[LedgerCode],DEPTS[[#This Row],[LedgerCode]])&gt;0,0,1)</f>
        <v>0</v>
      </c>
      <c r="D253" s="43">
        <f>IF(LEN(DEPTS[[#This Row],[DepartmentCode]])&lt;100,0,1)</f>
        <v>0</v>
      </c>
      <c r="E253" s="43">
        <f>IF(LEN(DEPTS[[#This Row],[Title]])&lt;100,0,1)</f>
        <v>0</v>
      </c>
      <c r="F253" s="43">
        <f>SUM(DEPTS[[#This Row],[FundIssue]:[Title length check]])</f>
        <v>0</v>
      </c>
      <c r="G253" t="s">
        <v>2320</v>
      </c>
      <c r="H253" t="s">
        <v>2321</v>
      </c>
      <c r="I253" t="b">
        <v>0</v>
      </c>
      <c r="J253" t="s">
        <v>4332</v>
      </c>
      <c r="K253" t="s">
        <v>63</v>
      </c>
      <c r="L253" t="s">
        <v>1945</v>
      </c>
      <c r="M253" t="s">
        <v>1532</v>
      </c>
      <c r="O253" t="b">
        <v>1</v>
      </c>
    </row>
    <row r="254" spans="1:15" x14ac:dyDescent="0.3">
      <c r="A254" s="43">
        <f>IF(COUNTIF(FUNDS[FundCode],DEPTS[[#This Row],[FundCode]])&gt;0,0,1)</f>
        <v>0</v>
      </c>
      <c r="B254" s="43">
        <f>IF(COUNTIF(ACTIVITIES[ActivityCode],DEPTS[[#This Row],[ActivityCode]])&gt;0,0,1)</f>
        <v>0</v>
      </c>
      <c r="C254" s="43">
        <f>IF(COUNTIF(LEDGER[LedgerCode],DEPTS[[#This Row],[LedgerCode]])&gt;0,0,1)</f>
        <v>0</v>
      </c>
      <c r="D254" s="43">
        <f>IF(LEN(DEPTS[[#This Row],[DepartmentCode]])&lt;100,0,1)</f>
        <v>0</v>
      </c>
      <c r="E254" s="43">
        <f>IF(LEN(DEPTS[[#This Row],[Title]])&lt;100,0,1)</f>
        <v>0</v>
      </c>
      <c r="F254" s="43">
        <f>SUM(DEPTS[[#This Row],[FundIssue]:[Title length check]])</f>
        <v>0</v>
      </c>
      <c r="G254" t="s">
        <v>2320</v>
      </c>
      <c r="H254" t="s">
        <v>2321</v>
      </c>
      <c r="I254" t="b">
        <v>0</v>
      </c>
      <c r="J254" t="s">
        <v>4329</v>
      </c>
      <c r="K254" t="s">
        <v>1963</v>
      </c>
      <c r="L254" t="s">
        <v>1945</v>
      </c>
      <c r="M254" t="s">
        <v>1532</v>
      </c>
      <c r="O254" t="b">
        <v>1</v>
      </c>
    </row>
    <row r="255" spans="1:15" x14ac:dyDescent="0.3">
      <c r="A255" s="43">
        <f>IF(COUNTIF(FUNDS[FundCode],DEPTS[[#This Row],[FundCode]])&gt;0,0,1)</f>
        <v>0</v>
      </c>
      <c r="B255" s="43">
        <f>IF(COUNTIF(ACTIVITIES[ActivityCode],DEPTS[[#This Row],[ActivityCode]])&gt;0,0,1)</f>
        <v>0</v>
      </c>
      <c r="C255" s="43">
        <f>IF(COUNTIF(LEDGER[LedgerCode],DEPTS[[#This Row],[LedgerCode]])&gt;0,0,1)</f>
        <v>0</v>
      </c>
      <c r="D255" s="43">
        <f>IF(LEN(DEPTS[[#This Row],[DepartmentCode]])&lt;100,0,1)</f>
        <v>0</v>
      </c>
      <c r="E255" s="43">
        <f>IF(LEN(DEPTS[[#This Row],[Title]])&lt;100,0,1)</f>
        <v>0</v>
      </c>
      <c r="F255" s="43">
        <f>SUM(DEPTS[[#This Row],[FundIssue]:[Title length check]])</f>
        <v>0</v>
      </c>
      <c r="G255" t="s">
        <v>2322</v>
      </c>
      <c r="H255" t="s">
        <v>2323</v>
      </c>
      <c r="I255" t="b">
        <v>0</v>
      </c>
      <c r="J255" t="s">
        <v>2200</v>
      </c>
      <c r="K255" t="s">
        <v>63</v>
      </c>
      <c r="L255" t="s">
        <v>1945</v>
      </c>
      <c r="M255" t="s">
        <v>1532</v>
      </c>
      <c r="O255" t="b">
        <v>1</v>
      </c>
    </row>
    <row r="256" spans="1:15" x14ac:dyDescent="0.3">
      <c r="A256" s="43">
        <f>IF(COUNTIF(FUNDS[FundCode],DEPTS[[#This Row],[FundCode]])&gt;0,0,1)</f>
        <v>0</v>
      </c>
      <c r="B256" s="43">
        <f>IF(COUNTIF(ACTIVITIES[ActivityCode],DEPTS[[#This Row],[ActivityCode]])&gt;0,0,1)</f>
        <v>0</v>
      </c>
      <c r="C256" s="43">
        <f>IF(COUNTIF(LEDGER[LedgerCode],DEPTS[[#This Row],[LedgerCode]])&gt;0,0,1)</f>
        <v>0</v>
      </c>
      <c r="D256" s="43">
        <f>IF(LEN(DEPTS[[#This Row],[DepartmentCode]])&lt;100,0,1)</f>
        <v>0</v>
      </c>
      <c r="E256" s="43">
        <f>IF(LEN(DEPTS[[#This Row],[Title]])&lt;100,0,1)</f>
        <v>0</v>
      </c>
      <c r="F256" s="43">
        <f>SUM(DEPTS[[#This Row],[FundIssue]:[Title length check]])</f>
        <v>0</v>
      </c>
      <c r="G256" t="s">
        <v>2322</v>
      </c>
      <c r="H256" t="s">
        <v>2324</v>
      </c>
      <c r="I256" t="b">
        <v>0</v>
      </c>
      <c r="J256" t="s">
        <v>2299</v>
      </c>
      <c r="K256" t="s">
        <v>63</v>
      </c>
      <c r="L256" t="s">
        <v>1945</v>
      </c>
      <c r="M256" t="s">
        <v>1532</v>
      </c>
      <c r="O256" t="b">
        <v>1</v>
      </c>
    </row>
    <row r="257" spans="1:15" x14ac:dyDescent="0.3">
      <c r="A257" s="43">
        <f>IF(COUNTIF(FUNDS[FundCode],DEPTS[[#This Row],[FundCode]])&gt;0,0,1)</f>
        <v>0</v>
      </c>
      <c r="B257" s="43">
        <f>IF(COUNTIF(ACTIVITIES[ActivityCode],DEPTS[[#This Row],[ActivityCode]])&gt;0,0,1)</f>
        <v>0</v>
      </c>
      <c r="C257" s="43">
        <f>IF(COUNTIF(LEDGER[LedgerCode],DEPTS[[#This Row],[LedgerCode]])&gt;0,0,1)</f>
        <v>0</v>
      </c>
      <c r="D257" s="43">
        <f>IF(LEN(DEPTS[[#This Row],[DepartmentCode]])&lt;100,0,1)</f>
        <v>0</v>
      </c>
      <c r="E257" s="43">
        <f>IF(LEN(DEPTS[[#This Row],[Title]])&lt;100,0,1)</f>
        <v>0</v>
      </c>
      <c r="F257" s="43">
        <f>SUM(DEPTS[[#This Row],[FundIssue]:[Title length check]])</f>
        <v>0</v>
      </c>
      <c r="G257" t="s">
        <v>2322</v>
      </c>
      <c r="H257" t="s">
        <v>2325</v>
      </c>
      <c r="I257" t="b">
        <v>0</v>
      </c>
      <c r="J257" t="s">
        <v>51</v>
      </c>
      <c r="K257" t="s">
        <v>63</v>
      </c>
      <c r="L257" t="s">
        <v>1945</v>
      </c>
      <c r="M257" t="s">
        <v>1966</v>
      </c>
      <c r="O257" t="b">
        <v>1</v>
      </c>
    </row>
    <row r="258" spans="1:15" x14ac:dyDescent="0.3">
      <c r="A258" s="43">
        <f>IF(COUNTIF(FUNDS[FundCode],DEPTS[[#This Row],[FundCode]])&gt;0,0,1)</f>
        <v>0</v>
      </c>
      <c r="B258" s="43">
        <f>IF(COUNTIF(ACTIVITIES[ActivityCode],DEPTS[[#This Row],[ActivityCode]])&gt;0,0,1)</f>
        <v>0</v>
      </c>
      <c r="C258" s="43">
        <f>IF(COUNTIF(LEDGER[LedgerCode],DEPTS[[#This Row],[LedgerCode]])&gt;0,0,1)</f>
        <v>0</v>
      </c>
      <c r="D258" s="43">
        <f>IF(LEN(DEPTS[[#This Row],[DepartmentCode]])&lt;100,0,1)</f>
        <v>0</v>
      </c>
      <c r="E258" s="43">
        <f>IF(LEN(DEPTS[[#This Row],[Title]])&lt;100,0,1)</f>
        <v>0</v>
      </c>
      <c r="F258" s="43">
        <f>SUM(DEPTS[[#This Row],[FundIssue]:[Title length check]])</f>
        <v>0</v>
      </c>
      <c r="G258" t="s">
        <v>2322</v>
      </c>
      <c r="H258" t="s">
        <v>2325</v>
      </c>
      <c r="I258" t="b">
        <v>0</v>
      </c>
      <c r="J258" t="s">
        <v>4338</v>
      </c>
      <c r="K258" t="s">
        <v>63</v>
      </c>
      <c r="L258" t="s">
        <v>1945</v>
      </c>
      <c r="M258" t="s">
        <v>1532</v>
      </c>
      <c r="O258" t="b">
        <v>1</v>
      </c>
    </row>
    <row r="259" spans="1:15" x14ac:dyDescent="0.3">
      <c r="A259" s="43">
        <f>IF(COUNTIF(FUNDS[FundCode],DEPTS[[#This Row],[FundCode]])&gt;0,0,1)</f>
        <v>0</v>
      </c>
      <c r="B259" s="43">
        <f>IF(COUNTIF(ACTIVITIES[ActivityCode],DEPTS[[#This Row],[ActivityCode]])&gt;0,0,1)</f>
        <v>0</v>
      </c>
      <c r="C259" s="43">
        <f>IF(COUNTIF(LEDGER[LedgerCode],DEPTS[[#This Row],[LedgerCode]])&gt;0,0,1)</f>
        <v>0</v>
      </c>
      <c r="D259" s="43">
        <f>IF(LEN(DEPTS[[#This Row],[DepartmentCode]])&lt;100,0,1)</f>
        <v>0</v>
      </c>
      <c r="E259" s="43">
        <f>IF(LEN(DEPTS[[#This Row],[Title]])&lt;100,0,1)</f>
        <v>0</v>
      </c>
      <c r="F259" s="43">
        <f>SUM(DEPTS[[#This Row],[FundIssue]:[Title length check]])</f>
        <v>0</v>
      </c>
      <c r="G259" t="s">
        <v>2322</v>
      </c>
      <c r="H259" t="s">
        <v>2326</v>
      </c>
      <c r="I259" t="b">
        <v>0</v>
      </c>
      <c r="J259" t="s">
        <v>2266</v>
      </c>
      <c r="K259" t="s">
        <v>63</v>
      </c>
      <c r="L259" t="s">
        <v>1945</v>
      </c>
      <c r="M259" t="s">
        <v>1532</v>
      </c>
      <c r="O259" t="b">
        <v>1</v>
      </c>
    </row>
    <row r="260" spans="1:15" x14ac:dyDescent="0.3">
      <c r="A260" s="43">
        <f>IF(COUNTIF(FUNDS[FundCode],DEPTS[[#This Row],[FundCode]])&gt;0,0,1)</f>
        <v>0</v>
      </c>
      <c r="B260" s="43">
        <f>IF(COUNTIF(ACTIVITIES[ActivityCode],DEPTS[[#This Row],[ActivityCode]])&gt;0,0,1)</f>
        <v>0</v>
      </c>
      <c r="C260" s="43">
        <f>IF(COUNTIF(LEDGER[LedgerCode],DEPTS[[#This Row],[LedgerCode]])&gt;0,0,1)</f>
        <v>0</v>
      </c>
      <c r="D260" s="43">
        <f>IF(LEN(DEPTS[[#This Row],[DepartmentCode]])&lt;100,0,1)</f>
        <v>0</v>
      </c>
      <c r="E260" s="43">
        <f>IF(LEN(DEPTS[[#This Row],[Title]])&lt;100,0,1)</f>
        <v>0</v>
      </c>
      <c r="F260" s="43">
        <f>SUM(DEPTS[[#This Row],[FundIssue]:[Title length check]])</f>
        <v>0</v>
      </c>
      <c r="G260" t="s">
        <v>2327</v>
      </c>
      <c r="H260" t="s">
        <v>2328</v>
      </c>
      <c r="I260" t="b">
        <v>0</v>
      </c>
      <c r="J260" t="s">
        <v>51</v>
      </c>
      <c r="K260" t="s">
        <v>63</v>
      </c>
      <c r="L260" t="s">
        <v>63</v>
      </c>
      <c r="M260" t="s">
        <v>1966</v>
      </c>
      <c r="O260" t="b">
        <v>1</v>
      </c>
    </row>
    <row r="261" spans="1:15" x14ac:dyDescent="0.3">
      <c r="A261" s="43">
        <f>IF(COUNTIF(FUNDS[FundCode],DEPTS[[#This Row],[FundCode]])&gt;0,0,1)</f>
        <v>0</v>
      </c>
      <c r="B261" s="43">
        <f>IF(COUNTIF(ACTIVITIES[ActivityCode],DEPTS[[#This Row],[ActivityCode]])&gt;0,0,1)</f>
        <v>0</v>
      </c>
      <c r="C261" s="43">
        <f>IF(COUNTIF(LEDGER[LedgerCode],DEPTS[[#This Row],[LedgerCode]])&gt;0,0,1)</f>
        <v>0</v>
      </c>
      <c r="D261" s="43">
        <f>IF(LEN(DEPTS[[#This Row],[DepartmentCode]])&lt;100,0,1)</f>
        <v>0</v>
      </c>
      <c r="E261" s="43">
        <f>IF(LEN(DEPTS[[#This Row],[Title]])&lt;100,0,1)</f>
        <v>0</v>
      </c>
      <c r="F261" s="43">
        <f>SUM(DEPTS[[#This Row],[FundIssue]:[Title length check]])</f>
        <v>0</v>
      </c>
      <c r="G261" t="s">
        <v>2327</v>
      </c>
      <c r="H261" t="s">
        <v>2328</v>
      </c>
      <c r="I261" t="b">
        <v>0</v>
      </c>
      <c r="J261" t="s">
        <v>2329</v>
      </c>
      <c r="K261" t="s">
        <v>63</v>
      </c>
      <c r="L261" t="s">
        <v>63</v>
      </c>
      <c r="M261" t="s">
        <v>1532</v>
      </c>
      <c r="O261" t="b">
        <v>1</v>
      </c>
    </row>
    <row r="262" spans="1:15" x14ac:dyDescent="0.3">
      <c r="A262" s="43">
        <f>IF(COUNTIF(FUNDS[FundCode],DEPTS[[#This Row],[FundCode]])&gt;0,0,1)</f>
        <v>0</v>
      </c>
      <c r="B262" s="43">
        <f>IF(COUNTIF(ACTIVITIES[ActivityCode],DEPTS[[#This Row],[ActivityCode]])&gt;0,0,1)</f>
        <v>0</v>
      </c>
      <c r="C262" s="43">
        <f>IF(COUNTIF(LEDGER[LedgerCode],DEPTS[[#This Row],[LedgerCode]])&gt;0,0,1)</f>
        <v>0</v>
      </c>
      <c r="D262" s="43">
        <f>IF(LEN(DEPTS[[#This Row],[DepartmentCode]])&lt;100,0,1)</f>
        <v>0</v>
      </c>
      <c r="E262" s="43">
        <f>IF(LEN(DEPTS[[#This Row],[Title]])&lt;100,0,1)</f>
        <v>0</v>
      </c>
      <c r="F262" s="43">
        <f>SUM(DEPTS[[#This Row],[FundIssue]:[Title length check]])</f>
        <v>0</v>
      </c>
      <c r="G262" t="s">
        <v>2330</v>
      </c>
      <c r="H262" t="s">
        <v>2331</v>
      </c>
      <c r="I262" t="b">
        <v>0</v>
      </c>
      <c r="J262" t="s">
        <v>51</v>
      </c>
      <c r="K262" t="s">
        <v>63</v>
      </c>
      <c r="L262" t="s">
        <v>63</v>
      </c>
      <c r="M262" t="s">
        <v>1966</v>
      </c>
      <c r="O262" t="b">
        <v>1</v>
      </c>
    </row>
    <row r="263" spans="1:15" x14ac:dyDescent="0.3">
      <c r="A263" s="43">
        <f>IF(COUNTIF(FUNDS[FundCode],DEPTS[[#This Row],[FundCode]])&gt;0,0,1)</f>
        <v>0</v>
      </c>
      <c r="B263" s="43">
        <f>IF(COUNTIF(ACTIVITIES[ActivityCode],DEPTS[[#This Row],[ActivityCode]])&gt;0,0,1)</f>
        <v>0</v>
      </c>
      <c r="C263" s="43">
        <f>IF(COUNTIF(LEDGER[LedgerCode],DEPTS[[#This Row],[LedgerCode]])&gt;0,0,1)</f>
        <v>0</v>
      </c>
      <c r="D263" s="43">
        <f>IF(LEN(DEPTS[[#This Row],[DepartmentCode]])&lt;100,0,1)</f>
        <v>0</v>
      </c>
      <c r="E263" s="43">
        <f>IF(LEN(DEPTS[[#This Row],[Title]])&lt;100,0,1)</f>
        <v>0</v>
      </c>
      <c r="F263" s="43">
        <f>SUM(DEPTS[[#This Row],[FundIssue]:[Title length check]])</f>
        <v>0</v>
      </c>
      <c r="G263" t="s">
        <v>2330</v>
      </c>
      <c r="H263" t="s">
        <v>2331</v>
      </c>
      <c r="I263" t="b">
        <v>0</v>
      </c>
      <c r="J263" t="s">
        <v>4326</v>
      </c>
      <c r="K263" t="s">
        <v>63</v>
      </c>
      <c r="L263" t="s">
        <v>63</v>
      </c>
      <c r="M263" t="s">
        <v>1532</v>
      </c>
      <c r="O263" t="b">
        <v>1</v>
      </c>
    </row>
    <row r="264" spans="1:15" x14ac:dyDescent="0.3">
      <c r="A264" s="43">
        <f>IF(COUNTIF(FUNDS[FundCode],DEPTS[[#This Row],[FundCode]])&gt;0,0,1)</f>
        <v>0</v>
      </c>
      <c r="B264" s="43">
        <f>IF(COUNTIF(ACTIVITIES[ActivityCode],DEPTS[[#This Row],[ActivityCode]])&gt;0,0,1)</f>
        <v>0</v>
      </c>
      <c r="C264" s="43">
        <f>IF(COUNTIF(LEDGER[LedgerCode],DEPTS[[#This Row],[LedgerCode]])&gt;0,0,1)</f>
        <v>0</v>
      </c>
      <c r="D264" s="43">
        <f>IF(LEN(DEPTS[[#This Row],[DepartmentCode]])&lt;100,0,1)</f>
        <v>0</v>
      </c>
      <c r="E264" s="43">
        <f>IF(LEN(DEPTS[[#This Row],[Title]])&lt;100,0,1)</f>
        <v>0</v>
      </c>
      <c r="F264" s="43">
        <f>SUM(DEPTS[[#This Row],[FundIssue]:[Title length check]])</f>
        <v>0</v>
      </c>
      <c r="G264" t="s">
        <v>2330</v>
      </c>
      <c r="H264" t="s">
        <v>2331</v>
      </c>
      <c r="I264" t="b">
        <v>0</v>
      </c>
      <c r="J264" t="s">
        <v>4327</v>
      </c>
      <c r="K264" t="s">
        <v>1963</v>
      </c>
      <c r="L264" t="s">
        <v>63</v>
      </c>
      <c r="M264" t="s">
        <v>1532</v>
      </c>
      <c r="O264" t="b">
        <v>1</v>
      </c>
    </row>
    <row r="265" spans="1:15" x14ac:dyDescent="0.3">
      <c r="A265" s="43">
        <f>IF(COUNTIF(FUNDS[FundCode],DEPTS[[#This Row],[FundCode]])&gt;0,0,1)</f>
        <v>0</v>
      </c>
      <c r="B265" s="43">
        <f>IF(COUNTIF(ACTIVITIES[ActivityCode],DEPTS[[#This Row],[ActivityCode]])&gt;0,0,1)</f>
        <v>0</v>
      </c>
      <c r="C265" s="43">
        <f>IF(COUNTIF(LEDGER[LedgerCode],DEPTS[[#This Row],[LedgerCode]])&gt;0,0,1)</f>
        <v>0</v>
      </c>
      <c r="D265" s="43">
        <f>IF(LEN(DEPTS[[#This Row],[DepartmentCode]])&lt;100,0,1)</f>
        <v>0</v>
      </c>
      <c r="E265" s="43">
        <f>IF(LEN(DEPTS[[#This Row],[Title]])&lt;100,0,1)</f>
        <v>0</v>
      </c>
      <c r="F265" s="43">
        <f>SUM(DEPTS[[#This Row],[FundIssue]:[Title length check]])</f>
        <v>0</v>
      </c>
      <c r="G265" t="s">
        <v>2332</v>
      </c>
      <c r="H265" t="s">
        <v>2333</v>
      </c>
      <c r="I265" t="b">
        <v>0</v>
      </c>
      <c r="J265" t="s">
        <v>51</v>
      </c>
      <c r="K265" t="s">
        <v>63</v>
      </c>
      <c r="L265" t="s">
        <v>63</v>
      </c>
      <c r="M265" t="s">
        <v>1532</v>
      </c>
      <c r="O265" t="b">
        <v>1</v>
      </c>
    </row>
    <row r="266" spans="1:15" x14ac:dyDescent="0.3">
      <c r="A266" s="43">
        <f>IF(COUNTIF(FUNDS[FundCode],DEPTS[[#This Row],[FundCode]])&gt;0,0,1)</f>
        <v>0</v>
      </c>
      <c r="B266" s="43">
        <f>IF(COUNTIF(ACTIVITIES[ActivityCode],DEPTS[[#This Row],[ActivityCode]])&gt;0,0,1)</f>
        <v>0</v>
      </c>
      <c r="C266" s="43">
        <f>IF(COUNTIF(LEDGER[LedgerCode],DEPTS[[#This Row],[LedgerCode]])&gt;0,0,1)</f>
        <v>0</v>
      </c>
      <c r="D266" s="43">
        <f>IF(LEN(DEPTS[[#This Row],[DepartmentCode]])&lt;100,0,1)</f>
        <v>0</v>
      </c>
      <c r="E266" s="43">
        <f>IF(LEN(DEPTS[[#This Row],[Title]])&lt;100,0,1)</f>
        <v>0</v>
      </c>
      <c r="F266" s="43">
        <f>SUM(DEPTS[[#This Row],[FundIssue]:[Title length check]])</f>
        <v>0</v>
      </c>
      <c r="G266" t="s">
        <v>2332</v>
      </c>
      <c r="H266" t="s">
        <v>2333</v>
      </c>
      <c r="I266" t="b">
        <v>0</v>
      </c>
      <c r="J266" t="s">
        <v>51</v>
      </c>
      <c r="K266" t="s">
        <v>1963</v>
      </c>
      <c r="L266" t="s">
        <v>63</v>
      </c>
      <c r="M266" t="s">
        <v>1966</v>
      </c>
      <c r="O266" t="b">
        <v>1</v>
      </c>
    </row>
    <row r="267" spans="1:15" x14ac:dyDescent="0.3">
      <c r="A267" s="43">
        <f>IF(COUNTIF(FUNDS[FundCode],DEPTS[[#This Row],[FundCode]])&gt;0,0,1)</f>
        <v>0</v>
      </c>
      <c r="B267" s="43">
        <f>IF(COUNTIF(ACTIVITIES[ActivityCode],DEPTS[[#This Row],[ActivityCode]])&gt;0,0,1)</f>
        <v>0</v>
      </c>
      <c r="C267" s="43">
        <f>IF(COUNTIF(LEDGER[LedgerCode],DEPTS[[#This Row],[LedgerCode]])&gt;0,0,1)</f>
        <v>0</v>
      </c>
      <c r="D267" s="43">
        <f>IF(LEN(DEPTS[[#This Row],[DepartmentCode]])&lt;100,0,1)</f>
        <v>0</v>
      </c>
      <c r="E267" s="43">
        <f>IF(LEN(DEPTS[[#This Row],[Title]])&lt;100,0,1)</f>
        <v>0</v>
      </c>
      <c r="F267" s="43">
        <f>SUM(DEPTS[[#This Row],[FundIssue]:[Title length check]])</f>
        <v>0</v>
      </c>
      <c r="G267" t="s">
        <v>2334</v>
      </c>
      <c r="H267" t="s">
        <v>2335</v>
      </c>
      <c r="I267" t="b">
        <v>0</v>
      </c>
      <c r="J267" t="s">
        <v>51</v>
      </c>
      <c r="K267" t="s">
        <v>63</v>
      </c>
      <c r="L267" t="s">
        <v>63</v>
      </c>
      <c r="M267" t="s">
        <v>1966</v>
      </c>
      <c r="O267" t="b">
        <v>1</v>
      </c>
    </row>
    <row r="268" spans="1:15" x14ac:dyDescent="0.3">
      <c r="A268" s="43">
        <f>IF(COUNTIF(FUNDS[FundCode],DEPTS[[#This Row],[FundCode]])&gt;0,0,1)</f>
        <v>0</v>
      </c>
      <c r="B268" s="43">
        <f>IF(COUNTIF(ACTIVITIES[ActivityCode],DEPTS[[#This Row],[ActivityCode]])&gt;0,0,1)</f>
        <v>0</v>
      </c>
      <c r="C268" s="43">
        <f>IF(COUNTIF(LEDGER[LedgerCode],DEPTS[[#This Row],[LedgerCode]])&gt;0,0,1)</f>
        <v>0</v>
      </c>
      <c r="D268" s="43">
        <f>IF(LEN(DEPTS[[#This Row],[DepartmentCode]])&lt;100,0,1)</f>
        <v>0</v>
      </c>
      <c r="E268" s="43">
        <f>IF(LEN(DEPTS[[#This Row],[Title]])&lt;100,0,1)</f>
        <v>0</v>
      </c>
      <c r="F268" s="43">
        <f>SUM(DEPTS[[#This Row],[FundIssue]:[Title length check]])</f>
        <v>0</v>
      </c>
      <c r="G268" t="s">
        <v>2336</v>
      </c>
      <c r="H268" t="s">
        <v>2337</v>
      </c>
      <c r="I268" t="b">
        <v>0</v>
      </c>
      <c r="J268" t="s">
        <v>51</v>
      </c>
      <c r="K268" t="s">
        <v>63</v>
      </c>
      <c r="L268" t="s">
        <v>63</v>
      </c>
      <c r="M268" t="s">
        <v>1966</v>
      </c>
      <c r="O268" t="b">
        <v>1</v>
      </c>
    </row>
    <row r="269" spans="1:15" x14ac:dyDescent="0.3">
      <c r="A269" s="43">
        <f>IF(COUNTIF(FUNDS[FundCode],DEPTS[[#This Row],[FundCode]])&gt;0,0,1)</f>
        <v>0</v>
      </c>
      <c r="B269" s="43">
        <f>IF(COUNTIF(ACTIVITIES[ActivityCode],DEPTS[[#This Row],[ActivityCode]])&gt;0,0,1)</f>
        <v>0</v>
      </c>
      <c r="C269" s="43">
        <f>IF(COUNTIF(LEDGER[LedgerCode],DEPTS[[#This Row],[LedgerCode]])&gt;0,0,1)</f>
        <v>0</v>
      </c>
      <c r="D269" s="43">
        <f>IF(LEN(DEPTS[[#This Row],[DepartmentCode]])&lt;100,0,1)</f>
        <v>0</v>
      </c>
      <c r="E269" s="43">
        <f>IF(LEN(DEPTS[[#This Row],[Title]])&lt;100,0,1)</f>
        <v>0</v>
      </c>
      <c r="F269" s="43">
        <f>SUM(DEPTS[[#This Row],[FundIssue]:[Title length check]])</f>
        <v>0</v>
      </c>
      <c r="G269" t="s">
        <v>2338</v>
      </c>
      <c r="H269" t="s">
        <v>2339</v>
      </c>
      <c r="I269" t="b">
        <v>0</v>
      </c>
      <c r="J269" t="s">
        <v>51</v>
      </c>
      <c r="K269" t="s">
        <v>63</v>
      </c>
      <c r="L269" t="s">
        <v>63</v>
      </c>
      <c r="M269" t="s">
        <v>1966</v>
      </c>
      <c r="O269" t="b">
        <v>1</v>
      </c>
    </row>
    <row r="270" spans="1:15" x14ac:dyDescent="0.3">
      <c r="A270" s="43">
        <f>IF(COUNTIF(FUNDS[FundCode],DEPTS[[#This Row],[FundCode]])&gt;0,0,1)</f>
        <v>0</v>
      </c>
      <c r="B270" s="43">
        <f>IF(COUNTIF(ACTIVITIES[ActivityCode],DEPTS[[#This Row],[ActivityCode]])&gt;0,0,1)</f>
        <v>0</v>
      </c>
      <c r="C270" s="43">
        <f>IF(COUNTIF(LEDGER[LedgerCode],DEPTS[[#This Row],[LedgerCode]])&gt;0,0,1)</f>
        <v>0</v>
      </c>
      <c r="D270" s="43">
        <f>IF(LEN(DEPTS[[#This Row],[DepartmentCode]])&lt;100,0,1)</f>
        <v>0</v>
      </c>
      <c r="E270" s="43">
        <f>IF(LEN(DEPTS[[#This Row],[Title]])&lt;100,0,1)</f>
        <v>0</v>
      </c>
      <c r="F270" s="43">
        <f>SUM(DEPTS[[#This Row],[FundIssue]:[Title length check]])</f>
        <v>0</v>
      </c>
      <c r="G270" t="s">
        <v>2340</v>
      </c>
      <c r="H270" t="s">
        <v>2341</v>
      </c>
      <c r="I270" t="b">
        <v>0</v>
      </c>
      <c r="J270" t="s">
        <v>51</v>
      </c>
      <c r="K270" t="s">
        <v>63</v>
      </c>
      <c r="L270" t="s">
        <v>63</v>
      </c>
      <c r="M270" t="s">
        <v>1966</v>
      </c>
      <c r="O270" t="b">
        <v>1</v>
      </c>
    </row>
    <row r="271" spans="1:15" x14ac:dyDescent="0.3">
      <c r="A271" s="43">
        <f>IF(COUNTIF(FUNDS[FundCode],DEPTS[[#This Row],[FundCode]])&gt;0,0,1)</f>
        <v>0</v>
      </c>
      <c r="B271" s="43">
        <f>IF(COUNTIF(ACTIVITIES[ActivityCode],DEPTS[[#This Row],[ActivityCode]])&gt;0,0,1)</f>
        <v>0</v>
      </c>
      <c r="C271" s="43">
        <f>IF(COUNTIF(LEDGER[LedgerCode],DEPTS[[#This Row],[LedgerCode]])&gt;0,0,1)</f>
        <v>0</v>
      </c>
      <c r="D271" s="43">
        <f>IF(LEN(DEPTS[[#This Row],[DepartmentCode]])&lt;100,0,1)</f>
        <v>0</v>
      </c>
      <c r="E271" s="43">
        <f>IF(LEN(DEPTS[[#This Row],[Title]])&lt;100,0,1)</f>
        <v>0</v>
      </c>
      <c r="F271" s="43">
        <f>SUM(DEPTS[[#This Row],[FundIssue]:[Title length check]])</f>
        <v>0</v>
      </c>
      <c r="G271" t="s">
        <v>2342</v>
      </c>
      <c r="H271" t="s">
        <v>2343</v>
      </c>
      <c r="I271" t="b">
        <v>0</v>
      </c>
      <c r="J271" t="s">
        <v>51</v>
      </c>
      <c r="K271" t="s">
        <v>63</v>
      </c>
      <c r="L271" t="s">
        <v>63</v>
      </c>
      <c r="M271" t="s">
        <v>1966</v>
      </c>
      <c r="O271" t="b">
        <v>1</v>
      </c>
    </row>
    <row r="272" spans="1:15" x14ac:dyDescent="0.3">
      <c r="A272" s="43">
        <f>IF(COUNTIF(FUNDS[FundCode],DEPTS[[#This Row],[FundCode]])&gt;0,0,1)</f>
        <v>0</v>
      </c>
      <c r="B272" s="43">
        <f>IF(COUNTIF(ACTIVITIES[ActivityCode],DEPTS[[#This Row],[ActivityCode]])&gt;0,0,1)</f>
        <v>0</v>
      </c>
      <c r="C272" s="43">
        <f>IF(COUNTIF(LEDGER[LedgerCode],DEPTS[[#This Row],[LedgerCode]])&gt;0,0,1)</f>
        <v>0</v>
      </c>
      <c r="D272" s="43">
        <f>IF(LEN(DEPTS[[#This Row],[DepartmentCode]])&lt;100,0,1)</f>
        <v>0</v>
      </c>
      <c r="E272" s="43">
        <f>IF(LEN(DEPTS[[#This Row],[Title]])&lt;100,0,1)</f>
        <v>0</v>
      </c>
      <c r="F272" s="43">
        <f>SUM(DEPTS[[#This Row],[FundIssue]:[Title length check]])</f>
        <v>0</v>
      </c>
      <c r="G272" t="s">
        <v>2344</v>
      </c>
      <c r="H272" t="s">
        <v>2345</v>
      </c>
      <c r="I272" t="b">
        <v>0</v>
      </c>
      <c r="J272" t="s">
        <v>51</v>
      </c>
      <c r="K272" t="s">
        <v>63</v>
      </c>
      <c r="L272" t="s">
        <v>63</v>
      </c>
      <c r="M272" t="s">
        <v>1966</v>
      </c>
      <c r="O272" t="b">
        <v>1</v>
      </c>
    </row>
    <row r="273" spans="1:15" x14ac:dyDescent="0.3">
      <c r="A273" s="43">
        <f>IF(COUNTIF(FUNDS[FundCode],DEPTS[[#This Row],[FundCode]])&gt;0,0,1)</f>
        <v>0</v>
      </c>
      <c r="B273" s="43">
        <f>IF(COUNTIF(ACTIVITIES[ActivityCode],DEPTS[[#This Row],[ActivityCode]])&gt;0,0,1)</f>
        <v>0</v>
      </c>
      <c r="C273" s="43">
        <f>IF(COUNTIF(LEDGER[LedgerCode],DEPTS[[#This Row],[LedgerCode]])&gt;0,0,1)</f>
        <v>0</v>
      </c>
      <c r="D273" s="43">
        <f>IF(LEN(DEPTS[[#This Row],[DepartmentCode]])&lt;100,0,1)</f>
        <v>0</v>
      </c>
      <c r="E273" s="43">
        <f>IF(LEN(DEPTS[[#This Row],[Title]])&lt;100,0,1)</f>
        <v>0</v>
      </c>
      <c r="F273" s="43">
        <f>SUM(DEPTS[[#This Row],[FundIssue]:[Title length check]])</f>
        <v>0</v>
      </c>
      <c r="G273" t="s">
        <v>2346</v>
      </c>
      <c r="H273" t="s">
        <v>2347</v>
      </c>
      <c r="I273" t="b">
        <v>0</v>
      </c>
      <c r="J273" t="s">
        <v>51</v>
      </c>
      <c r="K273" t="s">
        <v>63</v>
      </c>
      <c r="L273" t="s">
        <v>63</v>
      </c>
      <c r="M273" t="s">
        <v>1966</v>
      </c>
      <c r="O273" t="b">
        <v>1</v>
      </c>
    </row>
    <row r="274" spans="1:15" x14ac:dyDescent="0.3">
      <c r="A274" s="43">
        <f>IF(COUNTIF(FUNDS[FundCode],DEPTS[[#This Row],[FundCode]])&gt;0,0,1)</f>
        <v>0</v>
      </c>
      <c r="B274" s="43">
        <f>IF(COUNTIF(ACTIVITIES[ActivityCode],DEPTS[[#This Row],[ActivityCode]])&gt;0,0,1)</f>
        <v>0</v>
      </c>
      <c r="C274" s="43">
        <f>IF(COUNTIF(LEDGER[LedgerCode],DEPTS[[#This Row],[LedgerCode]])&gt;0,0,1)</f>
        <v>0</v>
      </c>
      <c r="D274" s="43">
        <f>IF(LEN(DEPTS[[#This Row],[DepartmentCode]])&lt;100,0,1)</f>
        <v>0</v>
      </c>
      <c r="E274" s="43">
        <f>IF(LEN(DEPTS[[#This Row],[Title]])&lt;100,0,1)</f>
        <v>0</v>
      </c>
      <c r="F274" s="43">
        <f>SUM(DEPTS[[#This Row],[FundIssue]:[Title length check]])</f>
        <v>0</v>
      </c>
      <c r="G274" t="s">
        <v>2348</v>
      </c>
      <c r="H274" t="s">
        <v>2349</v>
      </c>
      <c r="I274" t="b">
        <v>0</v>
      </c>
      <c r="J274" t="s">
        <v>51</v>
      </c>
      <c r="K274" t="s">
        <v>63</v>
      </c>
      <c r="L274" t="s">
        <v>63</v>
      </c>
      <c r="M274" t="s">
        <v>1966</v>
      </c>
      <c r="O274" t="b">
        <v>1</v>
      </c>
    </row>
    <row r="275" spans="1:15" x14ac:dyDescent="0.3">
      <c r="A275" s="43">
        <f>IF(COUNTIF(FUNDS[FundCode],DEPTS[[#This Row],[FundCode]])&gt;0,0,1)</f>
        <v>0</v>
      </c>
      <c r="B275" s="43">
        <f>IF(COUNTIF(ACTIVITIES[ActivityCode],DEPTS[[#This Row],[ActivityCode]])&gt;0,0,1)</f>
        <v>0</v>
      </c>
      <c r="C275" s="43">
        <f>IF(COUNTIF(LEDGER[LedgerCode],DEPTS[[#This Row],[LedgerCode]])&gt;0,0,1)</f>
        <v>0</v>
      </c>
      <c r="D275" s="43">
        <f>IF(LEN(DEPTS[[#This Row],[DepartmentCode]])&lt;100,0,1)</f>
        <v>0</v>
      </c>
      <c r="E275" s="43">
        <f>IF(LEN(DEPTS[[#This Row],[Title]])&lt;100,0,1)</f>
        <v>0</v>
      </c>
      <c r="F275" s="43">
        <f>SUM(DEPTS[[#This Row],[FundIssue]:[Title length check]])</f>
        <v>0</v>
      </c>
      <c r="G275" t="s">
        <v>2350</v>
      </c>
      <c r="H275" t="s">
        <v>2351</v>
      </c>
      <c r="I275" t="b">
        <v>0</v>
      </c>
      <c r="J275" t="s">
        <v>51</v>
      </c>
      <c r="K275" t="s">
        <v>63</v>
      </c>
      <c r="L275" t="s">
        <v>63</v>
      </c>
      <c r="M275" t="s">
        <v>1966</v>
      </c>
      <c r="O275" t="b">
        <v>1</v>
      </c>
    </row>
    <row r="276" spans="1:15" x14ac:dyDescent="0.3">
      <c r="A276" s="43">
        <f>IF(COUNTIF(FUNDS[FundCode],DEPTS[[#This Row],[FundCode]])&gt;0,0,1)</f>
        <v>0</v>
      </c>
      <c r="B276" s="43">
        <f>IF(COUNTIF(ACTIVITIES[ActivityCode],DEPTS[[#This Row],[ActivityCode]])&gt;0,0,1)</f>
        <v>0</v>
      </c>
      <c r="C276" s="43">
        <f>IF(COUNTIF(LEDGER[LedgerCode],DEPTS[[#This Row],[LedgerCode]])&gt;0,0,1)</f>
        <v>0</v>
      </c>
      <c r="D276" s="43">
        <f>IF(LEN(DEPTS[[#This Row],[DepartmentCode]])&lt;100,0,1)</f>
        <v>0</v>
      </c>
      <c r="E276" s="43">
        <f>IF(LEN(DEPTS[[#This Row],[Title]])&lt;100,0,1)</f>
        <v>0</v>
      </c>
      <c r="F276" s="43">
        <f>SUM(DEPTS[[#This Row],[FundIssue]:[Title length check]])</f>
        <v>0</v>
      </c>
      <c r="G276" t="s">
        <v>2352</v>
      </c>
      <c r="H276" t="s">
        <v>2353</v>
      </c>
      <c r="I276" t="b">
        <v>0</v>
      </c>
      <c r="J276" t="s">
        <v>51</v>
      </c>
      <c r="K276" t="s">
        <v>63</v>
      </c>
      <c r="L276" t="s">
        <v>63</v>
      </c>
      <c r="M276" t="s">
        <v>1966</v>
      </c>
      <c r="O276" t="b">
        <v>1</v>
      </c>
    </row>
    <row r="277" spans="1:15" x14ac:dyDescent="0.3">
      <c r="A277" s="43">
        <f>IF(COUNTIF(FUNDS[FundCode],DEPTS[[#This Row],[FundCode]])&gt;0,0,1)</f>
        <v>0</v>
      </c>
      <c r="B277" s="43">
        <f>IF(COUNTIF(ACTIVITIES[ActivityCode],DEPTS[[#This Row],[ActivityCode]])&gt;0,0,1)</f>
        <v>0</v>
      </c>
      <c r="C277" s="43">
        <f>IF(COUNTIF(LEDGER[LedgerCode],DEPTS[[#This Row],[LedgerCode]])&gt;0,0,1)</f>
        <v>0</v>
      </c>
      <c r="D277" s="43">
        <f>IF(LEN(DEPTS[[#This Row],[DepartmentCode]])&lt;100,0,1)</f>
        <v>0</v>
      </c>
      <c r="E277" s="43">
        <f>IF(LEN(DEPTS[[#This Row],[Title]])&lt;100,0,1)</f>
        <v>0</v>
      </c>
      <c r="F277" s="43">
        <f>SUM(DEPTS[[#This Row],[FundIssue]:[Title length check]])</f>
        <v>0</v>
      </c>
      <c r="G277" t="s">
        <v>2354</v>
      </c>
      <c r="H277" t="s">
        <v>2355</v>
      </c>
      <c r="I277" t="b">
        <v>0</v>
      </c>
      <c r="J277" t="s">
        <v>51</v>
      </c>
      <c r="K277" t="s">
        <v>63</v>
      </c>
      <c r="L277" t="s">
        <v>63</v>
      </c>
      <c r="M277" t="s">
        <v>1966</v>
      </c>
      <c r="O277" t="b">
        <v>1</v>
      </c>
    </row>
    <row r="278" spans="1:15" x14ac:dyDescent="0.3">
      <c r="A278" s="43">
        <f>IF(COUNTIF(FUNDS[FundCode],DEPTS[[#This Row],[FundCode]])&gt;0,0,1)</f>
        <v>0</v>
      </c>
      <c r="B278" s="43">
        <f>IF(COUNTIF(ACTIVITIES[ActivityCode],DEPTS[[#This Row],[ActivityCode]])&gt;0,0,1)</f>
        <v>0</v>
      </c>
      <c r="C278" s="43">
        <f>IF(COUNTIF(LEDGER[LedgerCode],DEPTS[[#This Row],[LedgerCode]])&gt;0,0,1)</f>
        <v>0</v>
      </c>
      <c r="D278" s="43">
        <f>IF(LEN(DEPTS[[#This Row],[DepartmentCode]])&lt;100,0,1)</f>
        <v>0</v>
      </c>
      <c r="E278" s="43">
        <f>IF(LEN(DEPTS[[#This Row],[Title]])&lt;100,0,1)</f>
        <v>0</v>
      </c>
      <c r="F278" s="43">
        <f>SUM(DEPTS[[#This Row],[FundIssue]:[Title length check]])</f>
        <v>0</v>
      </c>
      <c r="G278" t="s">
        <v>2356</v>
      </c>
      <c r="H278" t="s">
        <v>2357</v>
      </c>
      <c r="I278" t="b">
        <v>0</v>
      </c>
      <c r="J278" t="s">
        <v>51</v>
      </c>
      <c r="K278" t="s">
        <v>63</v>
      </c>
      <c r="L278" t="s">
        <v>63</v>
      </c>
      <c r="M278" t="s">
        <v>1966</v>
      </c>
      <c r="O278" t="b">
        <v>1</v>
      </c>
    </row>
    <row r="279" spans="1:15" x14ac:dyDescent="0.3">
      <c r="A279" s="43">
        <f>IF(COUNTIF(FUNDS[FundCode],DEPTS[[#This Row],[FundCode]])&gt;0,0,1)</f>
        <v>0</v>
      </c>
      <c r="B279" s="43">
        <f>IF(COUNTIF(ACTIVITIES[ActivityCode],DEPTS[[#This Row],[ActivityCode]])&gt;0,0,1)</f>
        <v>0</v>
      </c>
      <c r="C279" s="43">
        <f>IF(COUNTIF(LEDGER[LedgerCode],DEPTS[[#This Row],[LedgerCode]])&gt;0,0,1)</f>
        <v>0</v>
      </c>
      <c r="D279" s="43">
        <f>IF(LEN(DEPTS[[#This Row],[DepartmentCode]])&lt;100,0,1)</f>
        <v>0</v>
      </c>
      <c r="E279" s="43">
        <f>IF(LEN(DEPTS[[#This Row],[Title]])&lt;100,0,1)</f>
        <v>0</v>
      </c>
      <c r="F279" s="43">
        <f>SUM(DEPTS[[#This Row],[FundIssue]:[Title length check]])</f>
        <v>0</v>
      </c>
      <c r="G279" t="s">
        <v>2358</v>
      </c>
      <c r="H279" t="s">
        <v>2359</v>
      </c>
      <c r="I279" t="b">
        <v>0</v>
      </c>
      <c r="J279" t="s">
        <v>51</v>
      </c>
      <c r="K279" t="s">
        <v>63</v>
      </c>
      <c r="L279" t="s">
        <v>63</v>
      </c>
      <c r="M279" t="s">
        <v>1966</v>
      </c>
      <c r="O279" t="b">
        <v>1</v>
      </c>
    </row>
    <row r="280" spans="1:15" x14ac:dyDescent="0.3">
      <c r="A280" s="43">
        <f>IF(COUNTIF(FUNDS[FundCode],DEPTS[[#This Row],[FundCode]])&gt;0,0,1)</f>
        <v>0</v>
      </c>
      <c r="B280" s="43">
        <f>IF(COUNTIF(ACTIVITIES[ActivityCode],DEPTS[[#This Row],[ActivityCode]])&gt;0,0,1)</f>
        <v>0</v>
      </c>
      <c r="C280" s="43">
        <f>IF(COUNTIF(LEDGER[LedgerCode],DEPTS[[#This Row],[LedgerCode]])&gt;0,0,1)</f>
        <v>0</v>
      </c>
      <c r="D280" s="43">
        <f>IF(LEN(DEPTS[[#This Row],[DepartmentCode]])&lt;100,0,1)</f>
        <v>0</v>
      </c>
      <c r="E280" s="43">
        <f>IF(LEN(DEPTS[[#This Row],[Title]])&lt;100,0,1)</f>
        <v>0</v>
      </c>
      <c r="F280" s="43">
        <f>SUM(DEPTS[[#This Row],[FundIssue]:[Title length check]])</f>
        <v>0</v>
      </c>
      <c r="G280" t="s">
        <v>2360</v>
      </c>
      <c r="H280" t="s">
        <v>2361</v>
      </c>
      <c r="I280" t="b">
        <v>0</v>
      </c>
      <c r="J280" t="s">
        <v>51</v>
      </c>
      <c r="K280" t="s">
        <v>63</v>
      </c>
      <c r="L280" t="s">
        <v>63</v>
      </c>
      <c r="M280" t="s">
        <v>1966</v>
      </c>
      <c r="O280" t="b">
        <v>1</v>
      </c>
    </row>
    <row r="281" spans="1:15" x14ac:dyDescent="0.3">
      <c r="A281" s="43">
        <f>IF(COUNTIF(FUNDS[FundCode],DEPTS[[#This Row],[FundCode]])&gt;0,0,1)</f>
        <v>0</v>
      </c>
      <c r="B281" s="43">
        <f>IF(COUNTIF(ACTIVITIES[ActivityCode],DEPTS[[#This Row],[ActivityCode]])&gt;0,0,1)</f>
        <v>0</v>
      </c>
      <c r="C281" s="43">
        <f>IF(COUNTIF(LEDGER[LedgerCode],DEPTS[[#This Row],[LedgerCode]])&gt;0,0,1)</f>
        <v>0</v>
      </c>
      <c r="D281" s="43">
        <f>IF(LEN(DEPTS[[#This Row],[DepartmentCode]])&lt;100,0,1)</f>
        <v>0</v>
      </c>
      <c r="E281" s="43">
        <f>IF(LEN(DEPTS[[#This Row],[Title]])&lt;100,0,1)</f>
        <v>0</v>
      </c>
      <c r="F281" s="43">
        <f>SUM(DEPTS[[#This Row],[FundIssue]:[Title length check]])</f>
        <v>0</v>
      </c>
      <c r="G281" t="s">
        <v>2362</v>
      </c>
      <c r="H281" t="s">
        <v>2363</v>
      </c>
      <c r="I281" t="b">
        <v>0</v>
      </c>
      <c r="J281" t="s">
        <v>51</v>
      </c>
      <c r="K281" t="s">
        <v>63</v>
      </c>
      <c r="L281" t="s">
        <v>63</v>
      </c>
      <c r="M281" t="s">
        <v>1966</v>
      </c>
      <c r="O281" t="b">
        <v>1</v>
      </c>
    </row>
    <row r="282" spans="1:15" x14ac:dyDescent="0.3">
      <c r="A282" s="43">
        <f>IF(COUNTIF(FUNDS[FundCode],DEPTS[[#This Row],[FundCode]])&gt;0,0,1)</f>
        <v>0</v>
      </c>
      <c r="B282" s="43">
        <f>IF(COUNTIF(ACTIVITIES[ActivityCode],DEPTS[[#This Row],[ActivityCode]])&gt;0,0,1)</f>
        <v>0</v>
      </c>
      <c r="C282" s="43">
        <f>IF(COUNTIF(LEDGER[LedgerCode],DEPTS[[#This Row],[LedgerCode]])&gt;0,0,1)</f>
        <v>0</v>
      </c>
      <c r="D282" s="43">
        <f>IF(LEN(DEPTS[[#This Row],[DepartmentCode]])&lt;100,0,1)</f>
        <v>0</v>
      </c>
      <c r="E282" s="43">
        <f>IF(LEN(DEPTS[[#This Row],[Title]])&lt;100,0,1)</f>
        <v>0</v>
      </c>
      <c r="F282" s="43">
        <f>SUM(DEPTS[[#This Row],[FundIssue]:[Title length check]])</f>
        <v>0</v>
      </c>
      <c r="G282" t="s">
        <v>2364</v>
      </c>
      <c r="H282" t="s">
        <v>2365</v>
      </c>
      <c r="I282" t="b">
        <v>0</v>
      </c>
      <c r="J282" t="s">
        <v>51</v>
      </c>
      <c r="K282" t="s">
        <v>63</v>
      </c>
      <c r="L282" t="s">
        <v>63</v>
      </c>
      <c r="M282" t="s">
        <v>1966</v>
      </c>
      <c r="O282" t="b">
        <v>1</v>
      </c>
    </row>
    <row r="283" spans="1:15" x14ac:dyDescent="0.3">
      <c r="A283" s="43">
        <f>IF(COUNTIF(FUNDS[FundCode],DEPTS[[#This Row],[FundCode]])&gt;0,0,1)</f>
        <v>0</v>
      </c>
      <c r="B283" s="43">
        <f>IF(COUNTIF(ACTIVITIES[ActivityCode],DEPTS[[#This Row],[ActivityCode]])&gt;0,0,1)</f>
        <v>0</v>
      </c>
      <c r="C283" s="43">
        <f>IF(COUNTIF(LEDGER[LedgerCode],DEPTS[[#This Row],[LedgerCode]])&gt;0,0,1)</f>
        <v>0</v>
      </c>
      <c r="D283" s="43">
        <f>IF(LEN(DEPTS[[#This Row],[DepartmentCode]])&lt;100,0,1)</f>
        <v>0</v>
      </c>
      <c r="E283" s="43">
        <f>IF(LEN(DEPTS[[#This Row],[Title]])&lt;100,0,1)</f>
        <v>0</v>
      </c>
      <c r="F283" s="43">
        <f>SUM(DEPTS[[#This Row],[FundIssue]:[Title length check]])</f>
        <v>0</v>
      </c>
      <c r="G283" t="s">
        <v>2366</v>
      </c>
      <c r="H283" t="s">
        <v>2367</v>
      </c>
      <c r="I283" t="b">
        <v>0</v>
      </c>
      <c r="J283" t="s">
        <v>51</v>
      </c>
      <c r="K283" t="s">
        <v>63</v>
      </c>
      <c r="L283" t="s">
        <v>63</v>
      </c>
      <c r="M283" t="s">
        <v>1966</v>
      </c>
      <c r="O283" t="b">
        <v>1</v>
      </c>
    </row>
    <row r="284" spans="1:15" x14ac:dyDescent="0.3">
      <c r="A284" s="43">
        <f>IF(COUNTIF(FUNDS[FundCode],DEPTS[[#This Row],[FundCode]])&gt;0,0,1)</f>
        <v>0</v>
      </c>
      <c r="B284" s="43">
        <f>IF(COUNTIF(ACTIVITIES[ActivityCode],DEPTS[[#This Row],[ActivityCode]])&gt;0,0,1)</f>
        <v>0</v>
      </c>
      <c r="C284" s="43">
        <f>IF(COUNTIF(LEDGER[LedgerCode],DEPTS[[#This Row],[LedgerCode]])&gt;0,0,1)</f>
        <v>0</v>
      </c>
      <c r="D284" s="43">
        <f>IF(LEN(DEPTS[[#This Row],[DepartmentCode]])&lt;100,0,1)</f>
        <v>0</v>
      </c>
      <c r="E284" s="43">
        <f>IF(LEN(DEPTS[[#This Row],[Title]])&lt;100,0,1)</f>
        <v>0</v>
      </c>
      <c r="F284" s="43">
        <f>SUM(DEPTS[[#This Row],[FundIssue]:[Title length check]])</f>
        <v>0</v>
      </c>
      <c r="G284" t="s">
        <v>2368</v>
      </c>
      <c r="H284" t="s">
        <v>2369</v>
      </c>
      <c r="I284" t="b">
        <v>0</v>
      </c>
      <c r="J284" t="s">
        <v>51</v>
      </c>
      <c r="K284" t="s">
        <v>63</v>
      </c>
      <c r="L284" t="s">
        <v>63</v>
      </c>
      <c r="M284" t="s">
        <v>1966</v>
      </c>
      <c r="O284" t="b">
        <v>1</v>
      </c>
    </row>
    <row r="285" spans="1:15" x14ac:dyDescent="0.3">
      <c r="A285" s="43">
        <f>IF(COUNTIF(FUNDS[FundCode],DEPTS[[#This Row],[FundCode]])&gt;0,0,1)</f>
        <v>0</v>
      </c>
      <c r="B285" s="43">
        <f>IF(COUNTIF(ACTIVITIES[ActivityCode],DEPTS[[#This Row],[ActivityCode]])&gt;0,0,1)</f>
        <v>0</v>
      </c>
      <c r="C285" s="43">
        <f>IF(COUNTIF(LEDGER[LedgerCode],DEPTS[[#This Row],[LedgerCode]])&gt;0,0,1)</f>
        <v>0</v>
      </c>
      <c r="D285" s="43">
        <f>IF(LEN(DEPTS[[#This Row],[DepartmentCode]])&lt;100,0,1)</f>
        <v>0</v>
      </c>
      <c r="E285" s="43">
        <f>IF(LEN(DEPTS[[#This Row],[Title]])&lt;100,0,1)</f>
        <v>0</v>
      </c>
      <c r="F285" s="43">
        <f>SUM(DEPTS[[#This Row],[FundIssue]:[Title length check]])</f>
        <v>0</v>
      </c>
      <c r="G285" t="s">
        <v>2370</v>
      </c>
      <c r="H285" t="s">
        <v>2371</v>
      </c>
      <c r="I285" t="b">
        <v>0</v>
      </c>
      <c r="J285" t="s">
        <v>51</v>
      </c>
      <c r="K285" t="s">
        <v>63</v>
      </c>
      <c r="L285" t="s">
        <v>63</v>
      </c>
      <c r="M285" t="s">
        <v>1966</v>
      </c>
      <c r="O285" t="b">
        <v>1</v>
      </c>
    </row>
    <row r="286" spans="1:15" x14ac:dyDescent="0.3">
      <c r="A286" s="43">
        <f>IF(COUNTIF(FUNDS[FundCode],DEPTS[[#This Row],[FundCode]])&gt;0,0,1)</f>
        <v>0</v>
      </c>
      <c r="B286" s="43">
        <f>IF(COUNTIF(ACTIVITIES[ActivityCode],DEPTS[[#This Row],[ActivityCode]])&gt;0,0,1)</f>
        <v>0</v>
      </c>
      <c r="C286" s="43">
        <f>IF(COUNTIF(LEDGER[LedgerCode],DEPTS[[#This Row],[LedgerCode]])&gt;0,0,1)</f>
        <v>0</v>
      </c>
      <c r="D286" s="43">
        <f>IF(LEN(DEPTS[[#This Row],[DepartmentCode]])&lt;100,0,1)</f>
        <v>0</v>
      </c>
      <c r="E286" s="43">
        <f>IF(LEN(DEPTS[[#This Row],[Title]])&lt;100,0,1)</f>
        <v>0</v>
      </c>
      <c r="F286" s="43">
        <f>SUM(DEPTS[[#This Row],[FundIssue]:[Title length check]])</f>
        <v>0</v>
      </c>
      <c r="G286" t="s">
        <v>2372</v>
      </c>
      <c r="H286" t="s">
        <v>2373</v>
      </c>
      <c r="I286" t="b">
        <v>0</v>
      </c>
      <c r="J286" t="s">
        <v>51</v>
      </c>
      <c r="K286" t="s">
        <v>63</v>
      </c>
      <c r="L286" t="s">
        <v>63</v>
      </c>
      <c r="M286" t="s">
        <v>1966</v>
      </c>
      <c r="O286" t="b">
        <v>1</v>
      </c>
    </row>
    <row r="287" spans="1:15" x14ac:dyDescent="0.3">
      <c r="A287" s="43">
        <f>IF(COUNTIF(FUNDS[FundCode],DEPTS[[#This Row],[FundCode]])&gt;0,0,1)</f>
        <v>0</v>
      </c>
      <c r="B287" s="43">
        <f>IF(COUNTIF(ACTIVITIES[ActivityCode],DEPTS[[#This Row],[ActivityCode]])&gt;0,0,1)</f>
        <v>0</v>
      </c>
      <c r="C287" s="43">
        <f>IF(COUNTIF(LEDGER[LedgerCode],DEPTS[[#This Row],[LedgerCode]])&gt;0,0,1)</f>
        <v>0</v>
      </c>
      <c r="D287" s="43">
        <f>IF(LEN(DEPTS[[#This Row],[DepartmentCode]])&lt;100,0,1)</f>
        <v>0</v>
      </c>
      <c r="E287" s="43">
        <f>IF(LEN(DEPTS[[#This Row],[Title]])&lt;100,0,1)</f>
        <v>0</v>
      </c>
      <c r="F287" s="43">
        <f>SUM(DEPTS[[#This Row],[FundIssue]:[Title length check]])</f>
        <v>0</v>
      </c>
      <c r="G287" t="s">
        <v>2374</v>
      </c>
      <c r="H287" t="s">
        <v>2375</v>
      </c>
      <c r="I287" t="b">
        <v>0</v>
      </c>
      <c r="J287" t="s">
        <v>51</v>
      </c>
      <c r="K287" t="s">
        <v>63</v>
      </c>
      <c r="L287" t="s">
        <v>63</v>
      </c>
      <c r="M287" t="s">
        <v>1966</v>
      </c>
      <c r="O287" t="b">
        <v>1</v>
      </c>
    </row>
    <row r="288" spans="1:15" x14ac:dyDescent="0.3">
      <c r="A288" s="43">
        <f>IF(COUNTIF(FUNDS[FundCode],DEPTS[[#This Row],[FundCode]])&gt;0,0,1)</f>
        <v>0</v>
      </c>
      <c r="B288" s="43">
        <f>IF(COUNTIF(ACTIVITIES[ActivityCode],DEPTS[[#This Row],[ActivityCode]])&gt;0,0,1)</f>
        <v>0</v>
      </c>
      <c r="C288" s="43">
        <f>IF(COUNTIF(LEDGER[LedgerCode],DEPTS[[#This Row],[LedgerCode]])&gt;0,0,1)</f>
        <v>0</v>
      </c>
      <c r="D288" s="43">
        <f>IF(LEN(DEPTS[[#This Row],[DepartmentCode]])&lt;100,0,1)</f>
        <v>0</v>
      </c>
      <c r="E288" s="43">
        <f>IF(LEN(DEPTS[[#This Row],[Title]])&lt;100,0,1)</f>
        <v>0</v>
      </c>
      <c r="F288" s="43">
        <f>SUM(DEPTS[[#This Row],[FundIssue]:[Title length check]])</f>
        <v>0</v>
      </c>
      <c r="G288" t="s">
        <v>2376</v>
      </c>
      <c r="H288" t="s">
        <v>2377</v>
      </c>
      <c r="I288" t="b">
        <v>0</v>
      </c>
      <c r="J288" t="s">
        <v>51</v>
      </c>
      <c r="K288" t="s">
        <v>63</v>
      </c>
      <c r="L288" t="s">
        <v>63</v>
      </c>
      <c r="M288" t="s">
        <v>1966</v>
      </c>
      <c r="O288" t="b">
        <v>1</v>
      </c>
    </row>
    <row r="289" spans="1:15" x14ac:dyDescent="0.3">
      <c r="A289" s="43">
        <f>IF(COUNTIF(FUNDS[FundCode],DEPTS[[#This Row],[FundCode]])&gt;0,0,1)</f>
        <v>0</v>
      </c>
      <c r="B289" s="43">
        <f>IF(COUNTIF(ACTIVITIES[ActivityCode],DEPTS[[#This Row],[ActivityCode]])&gt;0,0,1)</f>
        <v>0</v>
      </c>
      <c r="C289" s="43">
        <f>IF(COUNTIF(LEDGER[LedgerCode],DEPTS[[#This Row],[LedgerCode]])&gt;0,0,1)</f>
        <v>0</v>
      </c>
      <c r="D289" s="43">
        <f>IF(LEN(DEPTS[[#This Row],[DepartmentCode]])&lt;100,0,1)</f>
        <v>0</v>
      </c>
      <c r="E289" s="43">
        <f>IF(LEN(DEPTS[[#This Row],[Title]])&lt;100,0,1)</f>
        <v>0</v>
      </c>
      <c r="F289" s="43">
        <f>SUM(DEPTS[[#This Row],[FundIssue]:[Title length check]])</f>
        <v>0</v>
      </c>
      <c r="G289" t="s">
        <v>2378</v>
      </c>
      <c r="H289" t="s">
        <v>2379</v>
      </c>
      <c r="I289" t="b">
        <v>0</v>
      </c>
      <c r="J289" t="s">
        <v>51</v>
      </c>
      <c r="K289" t="s">
        <v>63</v>
      </c>
      <c r="L289" t="s">
        <v>63</v>
      </c>
      <c r="M289" t="s">
        <v>1966</v>
      </c>
      <c r="O289" t="b">
        <v>1</v>
      </c>
    </row>
    <row r="290" spans="1:15" x14ac:dyDescent="0.3">
      <c r="A290" s="43">
        <f>IF(COUNTIF(FUNDS[FundCode],DEPTS[[#This Row],[FundCode]])&gt;0,0,1)</f>
        <v>0</v>
      </c>
      <c r="B290" s="43">
        <f>IF(COUNTIF(ACTIVITIES[ActivityCode],DEPTS[[#This Row],[ActivityCode]])&gt;0,0,1)</f>
        <v>0</v>
      </c>
      <c r="C290" s="43">
        <f>IF(COUNTIF(LEDGER[LedgerCode],DEPTS[[#This Row],[LedgerCode]])&gt;0,0,1)</f>
        <v>0</v>
      </c>
      <c r="D290" s="43">
        <f>IF(LEN(DEPTS[[#This Row],[DepartmentCode]])&lt;100,0,1)</f>
        <v>0</v>
      </c>
      <c r="E290" s="43">
        <f>IF(LEN(DEPTS[[#This Row],[Title]])&lt;100,0,1)</f>
        <v>0</v>
      </c>
      <c r="F290" s="43">
        <f>SUM(DEPTS[[#This Row],[FundIssue]:[Title length check]])</f>
        <v>0</v>
      </c>
      <c r="G290" t="s">
        <v>2380</v>
      </c>
      <c r="H290" t="s">
        <v>2381</v>
      </c>
      <c r="I290" t="b">
        <v>0</v>
      </c>
      <c r="J290" t="s">
        <v>51</v>
      </c>
      <c r="K290" t="s">
        <v>63</v>
      </c>
      <c r="L290" t="s">
        <v>63</v>
      </c>
      <c r="M290" t="s">
        <v>1966</v>
      </c>
      <c r="O290" t="b">
        <v>1</v>
      </c>
    </row>
    <row r="291" spans="1:15" x14ac:dyDescent="0.3">
      <c r="A291" s="43">
        <f>IF(COUNTIF(FUNDS[FundCode],DEPTS[[#This Row],[FundCode]])&gt;0,0,1)</f>
        <v>0</v>
      </c>
      <c r="B291" s="43">
        <f>IF(COUNTIF(ACTIVITIES[ActivityCode],DEPTS[[#This Row],[ActivityCode]])&gt;0,0,1)</f>
        <v>0</v>
      </c>
      <c r="C291" s="43">
        <f>IF(COUNTIF(LEDGER[LedgerCode],DEPTS[[#This Row],[LedgerCode]])&gt;0,0,1)</f>
        <v>0</v>
      </c>
      <c r="D291" s="43">
        <f>IF(LEN(DEPTS[[#This Row],[DepartmentCode]])&lt;100,0,1)</f>
        <v>0</v>
      </c>
      <c r="E291" s="43">
        <f>IF(LEN(DEPTS[[#This Row],[Title]])&lt;100,0,1)</f>
        <v>0</v>
      </c>
      <c r="F291" s="43">
        <f>SUM(DEPTS[[#This Row],[FundIssue]:[Title length check]])</f>
        <v>0</v>
      </c>
      <c r="G291" t="s">
        <v>2382</v>
      </c>
      <c r="H291" t="s">
        <v>2383</v>
      </c>
      <c r="I291" t="b">
        <v>0</v>
      </c>
      <c r="J291" t="s">
        <v>51</v>
      </c>
      <c r="K291" t="s">
        <v>63</v>
      </c>
      <c r="L291" t="s">
        <v>63</v>
      </c>
      <c r="M291" t="s">
        <v>1966</v>
      </c>
      <c r="O291" t="b">
        <v>1</v>
      </c>
    </row>
    <row r="292" spans="1:15" x14ac:dyDescent="0.3">
      <c r="A292" s="43">
        <f>IF(COUNTIF(FUNDS[FundCode],DEPTS[[#This Row],[FundCode]])&gt;0,0,1)</f>
        <v>0</v>
      </c>
      <c r="B292" s="43">
        <f>IF(COUNTIF(ACTIVITIES[ActivityCode],DEPTS[[#This Row],[ActivityCode]])&gt;0,0,1)</f>
        <v>0</v>
      </c>
      <c r="C292" s="43">
        <f>IF(COUNTIF(LEDGER[LedgerCode],DEPTS[[#This Row],[LedgerCode]])&gt;0,0,1)</f>
        <v>0</v>
      </c>
      <c r="D292" s="43">
        <f>IF(LEN(DEPTS[[#This Row],[DepartmentCode]])&lt;100,0,1)</f>
        <v>0</v>
      </c>
      <c r="E292" s="43">
        <f>IF(LEN(DEPTS[[#This Row],[Title]])&lt;100,0,1)</f>
        <v>0</v>
      </c>
      <c r="F292" s="43">
        <f>SUM(DEPTS[[#This Row],[FundIssue]:[Title length check]])</f>
        <v>0</v>
      </c>
      <c r="G292" t="s">
        <v>2384</v>
      </c>
      <c r="H292" t="s">
        <v>2385</v>
      </c>
      <c r="I292" t="b">
        <v>0</v>
      </c>
      <c r="J292" t="s">
        <v>51</v>
      </c>
      <c r="K292" t="s">
        <v>63</v>
      </c>
      <c r="L292" t="s">
        <v>63</v>
      </c>
      <c r="M292" t="s">
        <v>1966</v>
      </c>
      <c r="O292" t="b">
        <v>1</v>
      </c>
    </row>
    <row r="293" spans="1:15" x14ac:dyDescent="0.3">
      <c r="A293" s="43">
        <f>IF(COUNTIF(FUNDS[FundCode],DEPTS[[#This Row],[FundCode]])&gt;0,0,1)</f>
        <v>0</v>
      </c>
      <c r="B293" s="43">
        <f>IF(COUNTIF(ACTIVITIES[ActivityCode],DEPTS[[#This Row],[ActivityCode]])&gt;0,0,1)</f>
        <v>0</v>
      </c>
      <c r="C293" s="43">
        <f>IF(COUNTIF(LEDGER[LedgerCode],DEPTS[[#This Row],[LedgerCode]])&gt;0,0,1)</f>
        <v>0</v>
      </c>
      <c r="D293" s="43">
        <f>IF(LEN(DEPTS[[#This Row],[DepartmentCode]])&lt;100,0,1)</f>
        <v>0</v>
      </c>
      <c r="E293" s="43">
        <f>IF(LEN(DEPTS[[#This Row],[Title]])&lt;100,0,1)</f>
        <v>0</v>
      </c>
      <c r="F293" s="43">
        <f>SUM(DEPTS[[#This Row],[FundIssue]:[Title length check]])</f>
        <v>0</v>
      </c>
      <c r="G293" t="s">
        <v>2386</v>
      </c>
      <c r="H293" t="s">
        <v>2387</v>
      </c>
      <c r="I293" t="b">
        <v>0</v>
      </c>
      <c r="J293" t="s">
        <v>51</v>
      </c>
      <c r="K293" t="s">
        <v>63</v>
      </c>
      <c r="L293" t="s">
        <v>63</v>
      </c>
      <c r="M293" t="s">
        <v>1966</v>
      </c>
      <c r="O293" t="b">
        <v>1</v>
      </c>
    </row>
    <row r="294" spans="1:15" x14ac:dyDescent="0.3">
      <c r="A294" s="43">
        <f>IF(COUNTIF(FUNDS[FundCode],DEPTS[[#This Row],[FundCode]])&gt;0,0,1)</f>
        <v>0</v>
      </c>
      <c r="B294" s="43">
        <f>IF(COUNTIF(ACTIVITIES[ActivityCode],DEPTS[[#This Row],[ActivityCode]])&gt;0,0,1)</f>
        <v>0</v>
      </c>
      <c r="C294" s="43">
        <f>IF(COUNTIF(LEDGER[LedgerCode],DEPTS[[#This Row],[LedgerCode]])&gt;0,0,1)</f>
        <v>0</v>
      </c>
      <c r="D294" s="43">
        <f>IF(LEN(DEPTS[[#This Row],[DepartmentCode]])&lt;100,0,1)</f>
        <v>0</v>
      </c>
      <c r="E294" s="43">
        <f>IF(LEN(DEPTS[[#This Row],[Title]])&lt;100,0,1)</f>
        <v>0</v>
      </c>
      <c r="F294" s="43">
        <f>SUM(DEPTS[[#This Row],[FundIssue]:[Title length check]])</f>
        <v>0</v>
      </c>
      <c r="G294" t="s">
        <v>2388</v>
      </c>
      <c r="H294" t="s">
        <v>2389</v>
      </c>
      <c r="I294" t="b">
        <v>0</v>
      </c>
      <c r="J294" t="s">
        <v>51</v>
      </c>
      <c r="K294" t="s">
        <v>63</v>
      </c>
      <c r="L294" t="s">
        <v>63</v>
      </c>
      <c r="M294" t="s">
        <v>1966</v>
      </c>
      <c r="O294" t="b">
        <v>1</v>
      </c>
    </row>
    <row r="295" spans="1:15" x14ac:dyDescent="0.3">
      <c r="A295" s="43">
        <f>IF(COUNTIF(FUNDS[FundCode],DEPTS[[#This Row],[FundCode]])&gt;0,0,1)</f>
        <v>0</v>
      </c>
      <c r="B295" s="43">
        <f>IF(COUNTIF(ACTIVITIES[ActivityCode],DEPTS[[#This Row],[ActivityCode]])&gt;0,0,1)</f>
        <v>0</v>
      </c>
      <c r="C295" s="43">
        <f>IF(COUNTIF(LEDGER[LedgerCode],DEPTS[[#This Row],[LedgerCode]])&gt;0,0,1)</f>
        <v>0</v>
      </c>
      <c r="D295" s="43">
        <f>IF(LEN(DEPTS[[#This Row],[DepartmentCode]])&lt;100,0,1)</f>
        <v>0</v>
      </c>
      <c r="E295" s="43">
        <f>IF(LEN(DEPTS[[#This Row],[Title]])&lt;100,0,1)</f>
        <v>0</v>
      </c>
      <c r="F295" s="43">
        <f>SUM(DEPTS[[#This Row],[FundIssue]:[Title length check]])</f>
        <v>0</v>
      </c>
      <c r="G295" t="s">
        <v>2390</v>
      </c>
      <c r="H295" t="s">
        <v>2391</v>
      </c>
      <c r="I295" t="b">
        <v>0</v>
      </c>
      <c r="J295" t="s">
        <v>51</v>
      </c>
      <c r="K295" t="s">
        <v>63</v>
      </c>
      <c r="L295" t="s">
        <v>63</v>
      </c>
      <c r="M295" t="s">
        <v>1966</v>
      </c>
      <c r="O295" t="b">
        <v>1</v>
      </c>
    </row>
    <row r="296" spans="1:15" x14ac:dyDescent="0.3">
      <c r="A296" s="43">
        <f>IF(COUNTIF(FUNDS[FundCode],DEPTS[[#This Row],[FundCode]])&gt;0,0,1)</f>
        <v>0</v>
      </c>
      <c r="B296" s="43">
        <f>IF(COUNTIF(ACTIVITIES[ActivityCode],DEPTS[[#This Row],[ActivityCode]])&gt;0,0,1)</f>
        <v>0</v>
      </c>
      <c r="C296" s="43">
        <f>IF(COUNTIF(LEDGER[LedgerCode],DEPTS[[#This Row],[LedgerCode]])&gt;0,0,1)</f>
        <v>0</v>
      </c>
      <c r="D296" s="43">
        <f>IF(LEN(DEPTS[[#This Row],[DepartmentCode]])&lt;100,0,1)</f>
        <v>0</v>
      </c>
      <c r="E296" s="43">
        <f>IF(LEN(DEPTS[[#This Row],[Title]])&lt;100,0,1)</f>
        <v>0</v>
      </c>
      <c r="F296" s="43">
        <f>SUM(DEPTS[[#This Row],[FundIssue]:[Title length check]])</f>
        <v>0</v>
      </c>
      <c r="G296" t="s">
        <v>2392</v>
      </c>
      <c r="H296" t="s">
        <v>2393</v>
      </c>
      <c r="I296" t="b">
        <v>0</v>
      </c>
      <c r="J296" t="s">
        <v>51</v>
      </c>
      <c r="K296" t="s">
        <v>63</v>
      </c>
      <c r="L296" t="s">
        <v>63</v>
      </c>
      <c r="M296" t="s">
        <v>1966</v>
      </c>
      <c r="O296" t="b">
        <v>1</v>
      </c>
    </row>
    <row r="297" spans="1:15" x14ac:dyDescent="0.3">
      <c r="A297" s="43">
        <f>IF(COUNTIF(FUNDS[FundCode],DEPTS[[#This Row],[FundCode]])&gt;0,0,1)</f>
        <v>0</v>
      </c>
      <c r="B297" s="43">
        <f>IF(COUNTIF(ACTIVITIES[ActivityCode],DEPTS[[#This Row],[ActivityCode]])&gt;0,0,1)</f>
        <v>0</v>
      </c>
      <c r="C297" s="43">
        <f>IF(COUNTIF(LEDGER[LedgerCode],DEPTS[[#This Row],[LedgerCode]])&gt;0,0,1)</f>
        <v>0</v>
      </c>
      <c r="D297" s="43">
        <f>IF(LEN(DEPTS[[#This Row],[DepartmentCode]])&lt;100,0,1)</f>
        <v>0</v>
      </c>
      <c r="E297" s="43">
        <f>IF(LEN(DEPTS[[#This Row],[Title]])&lt;100,0,1)</f>
        <v>0</v>
      </c>
      <c r="F297" s="43">
        <f>SUM(DEPTS[[#This Row],[FundIssue]:[Title length check]])</f>
        <v>0</v>
      </c>
      <c r="G297" t="s">
        <v>2394</v>
      </c>
      <c r="H297" t="s">
        <v>2395</v>
      </c>
      <c r="I297" t="b">
        <v>0</v>
      </c>
      <c r="J297" t="s">
        <v>51</v>
      </c>
      <c r="K297" t="s">
        <v>63</v>
      </c>
      <c r="L297" t="s">
        <v>63</v>
      </c>
      <c r="M297" t="s">
        <v>1966</v>
      </c>
      <c r="O297" t="b">
        <v>1</v>
      </c>
    </row>
    <row r="298" spans="1:15" x14ac:dyDescent="0.3">
      <c r="A298" s="43">
        <f>IF(COUNTIF(FUNDS[FundCode],DEPTS[[#This Row],[FundCode]])&gt;0,0,1)</f>
        <v>0</v>
      </c>
      <c r="B298" s="43">
        <f>IF(COUNTIF(ACTIVITIES[ActivityCode],DEPTS[[#This Row],[ActivityCode]])&gt;0,0,1)</f>
        <v>0</v>
      </c>
      <c r="C298" s="43">
        <f>IF(COUNTIF(LEDGER[LedgerCode],DEPTS[[#This Row],[LedgerCode]])&gt;0,0,1)</f>
        <v>0</v>
      </c>
      <c r="D298" s="43">
        <f>IF(LEN(DEPTS[[#This Row],[DepartmentCode]])&lt;100,0,1)</f>
        <v>0</v>
      </c>
      <c r="E298" s="43">
        <f>IF(LEN(DEPTS[[#This Row],[Title]])&lt;100,0,1)</f>
        <v>0</v>
      </c>
      <c r="F298" s="43">
        <f>SUM(DEPTS[[#This Row],[FundIssue]:[Title length check]])</f>
        <v>0</v>
      </c>
      <c r="G298" t="s">
        <v>2396</v>
      </c>
      <c r="H298" t="s">
        <v>2397</v>
      </c>
      <c r="I298" t="b">
        <v>0</v>
      </c>
      <c r="J298" t="s">
        <v>51</v>
      </c>
      <c r="K298" t="s">
        <v>63</v>
      </c>
      <c r="L298" t="s">
        <v>63</v>
      </c>
      <c r="M298" t="s">
        <v>1966</v>
      </c>
      <c r="O298" t="b">
        <v>1</v>
      </c>
    </row>
    <row r="299" spans="1:15" x14ac:dyDescent="0.3">
      <c r="A299" s="43">
        <f>IF(COUNTIF(FUNDS[FundCode],DEPTS[[#This Row],[FundCode]])&gt;0,0,1)</f>
        <v>0</v>
      </c>
      <c r="B299" s="43">
        <f>IF(COUNTIF(ACTIVITIES[ActivityCode],DEPTS[[#This Row],[ActivityCode]])&gt;0,0,1)</f>
        <v>0</v>
      </c>
      <c r="C299" s="43">
        <f>IF(COUNTIF(LEDGER[LedgerCode],DEPTS[[#This Row],[LedgerCode]])&gt;0,0,1)</f>
        <v>0</v>
      </c>
      <c r="D299" s="43">
        <f>IF(LEN(DEPTS[[#This Row],[DepartmentCode]])&lt;100,0,1)</f>
        <v>0</v>
      </c>
      <c r="E299" s="43">
        <f>IF(LEN(DEPTS[[#This Row],[Title]])&lt;100,0,1)</f>
        <v>0</v>
      </c>
      <c r="F299" s="43">
        <f>SUM(DEPTS[[#This Row],[FundIssue]:[Title length check]])</f>
        <v>0</v>
      </c>
      <c r="G299" t="s">
        <v>2398</v>
      </c>
      <c r="H299" t="s">
        <v>2399</v>
      </c>
      <c r="I299" t="b">
        <v>0</v>
      </c>
      <c r="J299" t="s">
        <v>51</v>
      </c>
      <c r="K299" t="s">
        <v>63</v>
      </c>
      <c r="L299" t="s">
        <v>63</v>
      </c>
      <c r="M299" t="s">
        <v>1966</v>
      </c>
      <c r="O299" t="b">
        <v>1</v>
      </c>
    </row>
    <row r="300" spans="1:15" x14ac:dyDescent="0.3">
      <c r="A300" s="43">
        <f>IF(COUNTIF(FUNDS[FundCode],DEPTS[[#This Row],[FundCode]])&gt;0,0,1)</f>
        <v>0</v>
      </c>
      <c r="B300" s="43">
        <f>IF(COUNTIF(ACTIVITIES[ActivityCode],DEPTS[[#This Row],[ActivityCode]])&gt;0,0,1)</f>
        <v>0</v>
      </c>
      <c r="C300" s="43">
        <f>IF(COUNTIF(LEDGER[LedgerCode],DEPTS[[#This Row],[LedgerCode]])&gt;0,0,1)</f>
        <v>0</v>
      </c>
      <c r="D300" s="43">
        <f>IF(LEN(DEPTS[[#This Row],[DepartmentCode]])&lt;100,0,1)</f>
        <v>0</v>
      </c>
      <c r="E300" s="43">
        <f>IF(LEN(DEPTS[[#This Row],[Title]])&lt;100,0,1)</f>
        <v>0</v>
      </c>
      <c r="F300" s="43">
        <f>SUM(DEPTS[[#This Row],[FundIssue]:[Title length check]])</f>
        <v>0</v>
      </c>
      <c r="G300" t="s">
        <v>2400</v>
      </c>
      <c r="H300" t="s">
        <v>2401</v>
      </c>
      <c r="I300" t="b">
        <v>0</v>
      </c>
      <c r="J300" t="s">
        <v>51</v>
      </c>
      <c r="K300" t="s">
        <v>63</v>
      </c>
      <c r="L300" t="s">
        <v>63</v>
      </c>
      <c r="M300" t="s">
        <v>1966</v>
      </c>
      <c r="O300" t="b">
        <v>1</v>
      </c>
    </row>
    <row r="301" spans="1:15" x14ac:dyDescent="0.3">
      <c r="A301" s="43">
        <f>IF(COUNTIF(FUNDS[FundCode],DEPTS[[#This Row],[FundCode]])&gt;0,0,1)</f>
        <v>0</v>
      </c>
      <c r="B301" s="43">
        <f>IF(COUNTIF(ACTIVITIES[ActivityCode],DEPTS[[#This Row],[ActivityCode]])&gt;0,0,1)</f>
        <v>0</v>
      </c>
      <c r="C301" s="43">
        <f>IF(COUNTIF(LEDGER[LedgerCode],DEPTS[[#This Row],[LedgerCode]])&gt;0,0,1)</f>
        <v>0</v>
      </c>
      <c r="D301" s="43">
        <f>IF(LEN(DEPTS[[#This Row],[DepartmentCode]])&lt;100,0,1)</f>
        <v>0</v>
      </c>
      <c r="E301" s="43">
        <f>IF(LEN(DEPTS[[#This Row],[Title]])&lt;100,0,1)</f>
        <v>0</v>
      </c>
      <c r="F301" s="43">
        <f>SUM(DEPTS[[#This Row],[FundIssue]:[Title length check]])</f>
        <v>0</v>
      </c>
      <c r="G301" t="s">
        <v>2402</v>
      </c>
      <c r="H301" t="s">
        <v>2403</v>
      </c>
      <c r="I301" t="b">
        <v>0</v>
      </c>
      <c r="J301" t="s">
        <v>51</v>
      </c>
      <c r="K301" t="s">
        <v>63</v>
      </c>
      <c r="L301" t="s">
        <v>63</v>
      </c>
      <c r="M301" t="s">
        <v>1966</v>
      </c>
      <c r="O301" t="b">
        <v>1</v>
      </c>
    </row>
    <row r="302" spans="1:15" x14ac:dyDescent="0.3">
      <c r="A302" s="43">
        <f>IF(COUNTIF(FUNDS[FundCode],DEPTS[[#This Row],[FundCode]])&gt;0,0,1)</f>
        <v>0</v>
      </c>
      <c r="B302" s="43">
        <f>IF(COUNTIF(ACTIVITIES[ActivityCode],DEPTS[[#This Row],[ActivityCode]])&gt;0,0,1)</f>
        <v>0</v>
      </c>
      <c r="C302" s="43">
        <f>IF(COUNTIF(LEDGER[LedgerCode],DEPTS[[#This Row],[LedgerCode]])&gt;0,0,1)</f>
        <v>0</v>
      </c>
      <c r="D302" s="43">
        <f>IF(LEN(DEPTS[[#This Row],[DepartmentCode]])&lt;100,0,1)</f>
        <v>0</v>
      </c>
      <c r="E302" s="43">
        <f>IF(LEN(DEPTS[[#This Row],[Title]])&lt;100,0,1)</f>
        <v>0</v>
      </c>
      <c r="F302" s="43">
        <f>SUM(DEPTS[[#This Row],[FundIssue]:[Title length check]])</f>
        <v>0</v>
      </c>
      <c r="G302" t="s">
        <v>2404</v>
      </c>
      <c r="H302" t="s">
        <v>2405</v>
      </c>
      <c r="I302" t="b">
        <v>0</v>
      </c>
      <c r="J302" t="s">
        <v>51</v>
      </c>
      <c r="K302" t="s">
        <v>63</v>
      </c>
      <c r="L302" t="s">
        <v>63</v>
      </c>
      <c r="M302" t="s">
        <v>1966</v>
      </c>
      <c r="O302" t="b">
        <v>1</v>
      </c>
    </row>
    <row r="303" spans="1:15" x14ac:dyDescent="0.3">
      <c r="A303" s="43">
        <f>IF(COUNTIF(FUNDS[FundCode],DEPTS[[#This Row],[FundCode]])&gt;0,0,1)</f>
        <v>0</v>
      </c>
      <c r="B303" s="43">
        <f>IF(COUNTIF(ACTIVITIES[ActivityCode],DEPTS[[#This Row],[ActivityCode]])&gt;0,0,1)</f>
        <v>0</v>
      </c>
      <c r="C303" s="43">
        <f>IF(COUNTIF(LEDGER[LedgerCode],DEPTS[[#This Row],[LedgerCode]])&gt;0,0,1)</f>
        <v>0</v>
      </c>
      <c r="D303" s="43">
        <f>IF(LEN(DEPTS[[#This Row],[DepartmentCode]])&lt;100,0,1)</f>
        <v>0</v>
      </c>
      <c r="E303" s="43">
        <f>IF(LEN(DEPTS[[#This Row],[Title]])&lt;100,0,1)</f>
        <v>0</v>
      </c>
      <c r="F303" s="43">
        <f>SUM(DEPTS[[#This Row],[FundIssue]:[Title length check]])</f>
        <v>0</v>
      </c>
      <c r="G303" t="s">
        <v>2406</v>
      </c>
      <c r="H303" t="s">
        <v>2407</v>
      </c>
      <c r="I303" t="b">
        <v>0</v>
      </c>
      <c r="J303" t="s">
        <v>51</v>
      </c>
      <c r="K303" t="s">
        <v>63</v>
      </c>
      <c r="L303" t="s">
        <v>63</v>
      </c>
      <c r="M303" t="s">
        <v>1532</v>
      </c>
      <c r="O303" t="b">
        <v>1</v>
      </c>
    </row>
    <row r="304" spans="1:15" x14ac:dyDescent="0.3">
      <c r="A304" s="43">
        <f>IF(COUNTIF(FUNDS[FundCode],DEPTS[[#This Row],[FundCode]])&gt;0,0,1)</f>
        <v>0</v>
      </c>
      <c r="B304" s="43">
        <f>IF(COUNTIF(ACTIVITIES[ActivityCode],DEPTS[[#This Row],[ActivityCode]])&gt;0,0,1)</f>
        <v>0</v>
      </c>
      <c r="C304" s="43">
        <f>IF(COUNTIF(LEDGER[LedgerCode],DEPTS[[#This Row],[LedgerCode]])&gt;0,0,1)</f>
        <v>0</v>
      </c>
      <c r="D304" s="43">
        <f>IF(LEN(DEPTS[[#This Row],[DepartmentCode]])&lt;100,0,1)</f>
        <v>0</v>
      </c>
      <c r="E304" s="43">
        <f>IF(LEN(DEPTS[[#This Row],[Title]])&lt;100,0,1)</f>
        <v>0</v>
      </c>
      <c r="F304" s="43">
        <f>SUM(DEPTS[[#This Row],[FundIssue]:[Title length check]])</f>
        <v>0</v>
      </c>
      <c r="G304" t="s">
        <v>2408</v>
      </c>
      <c r="H304" t="s">
        <v>2409</v>
      </c>
      <c r="I304" t="b">
        <v>0</v>
      </c>
      <c r="J304" t="s">
        <v>51</v>
      </c>
      <c r="K304" t="s">
        <v>63</v>
      </c>
      <c r="L304" t="s">
        <v>63</v>
      </c>
      <c r="M304" t="s">
        <v>1966</v>
      </c>
      <c r="O304" t="b">
        <v>1</v>
      </c>
    </row>
    <row r="305" spans="1:15" x14ac:dyDescent="0.3">
      <c r="A305" s="43">
        <f>IF(COUNTIF(FUNDS[FundCode],DEPTS[[#This Row],[FundCode]])&gt;0,0,1)</f>
        <v>0</v>
      </c>
      <c r="B305" s="43">
        <f>IF(COUNTIF(ACTIVITIES[ActivityCode],DEPTS[[#This Row],[ActivityCode]])&gt;0,0,1)</f>
        <v>0</v>
      </c>
      <c r="C305" s="43">
        <f>IF(COUNTIF(LEDGER[LedgerCode],DEPTS[[#This Row],[LedgerCode]])&gt;0,0,1)</f>
        <v>0</v>
      </c>
      <c r="D305" s="43">
        <f>IF(LEN(DEPTS[[#This Row],[DepartmentCode]])&lt;100,0,1)</f>
        <v>0</v>
      </c>
      <c r="E305" s="43">
        <f>IF(LEN(DEPTS[[#This Row],[Title]])&lt;100,0,1)</f>
        <v>0</v>
      </c>
      <c r="F305" s="43">
        <f>SUM(DEPTS[[#This Row],[FundIssue]:[Title length check]])</f>
        <v>0</v>
      </c>
      <c r="G305" t="s">
        <v>2410</v>
      </c>
      <c r="H305" t="s">
        <v>2411</v>
      </c>
      <c r="I305" t="b">
        <v>0</v>
      </c>
      <c r="J305" t="s">
        <v>51</v>
      </c>
      <c r="K305" t="s">
        <v>63</v>
      </c>
      <c r="L305" t="s">
        <v>63</v>
      </c>
      <c r="M305" t="s">
        <v>1966</v>
      </c>
      <c r="O305" t="b">
        <v>1</v>
      </c>
    </row>
    <row r="306" spans="1:15" x14ac:dyDescent="0.3">
      <c r="A306" s="43">
        <f>IF(COUNTIF(FUNDS[FundCode],DEPTS[[#This Row],[FundCode]])&gt;0,0,1)</f>
        <v>0</v>
      </c>
      <c r="B306" s="43">
        <f>IF(COUNTIF(ACTIVITIES[ActivityCode],DEPTS[[#This Row],[ActivityCode]])&gt;0,0,1)</f>
        <v>0</v>
      </c>
      <c r="C306" s="43">
        <f>IF(COUNTIF(LEDGER[LedgerCode],DEPTS[[#This Row],[LedgerCode]])&gt;0,0,1)</f>
        <v>0</v>
      </c>
      <c r="D306" s="43">
        <f>IF(LEN(DEPTS[[#This Row],[DepartmentCode]])&lt;100,0,1)</f>
        <v>0</v>
      </c>
      <c r="E306" s="43">
        <f>IF(LEN(DEPTS[[#This Row],[Title]])&lt;100,0,1)</f>
        <v>0</v>
      </c>
      <c r="F306" s="43">
        <f>SUM(DEPTS[[#This Row],[FundIssue]:[Title length check]])</f>
        <v>0</v>
      </c>
      <c r="G306" t="s">
        <v>2412</v>
      </c>
      <c r="H306" t="s">
        <v>2413</v>
      </c>
      <c r="I306" t="b">
        <v>0</v>
      </c>
      <c r="J306" t="s">
        <v>51</v>
      </c>
      <c r="K306" t="s">
        <v>63</v>
      </c>
      <c r="L306" t="s">
        <v>63</v>
      </c>
      <c r="M306" t="s">
        <v>1966</v>
      </c>
      <c r="O306" t="b">
        <v>1</v>
      </c>
    </row>
    <row r="307" spans="1:15" x14ac:dyDescent="0.3">
      <c r="A307" s="43">
        <f>IF(COUNTIF(FUNDS[FundCode],DEPTS[[#This Row],[FundCode]])&gt;0,0,1)</f>
        <v>0</v>
      </c>
      <c r="B307" s="43">
        <f>IF(COUNTIF(ACTIVITIES[ActivityCode],DEPTS[[#This Row],[ActivityCode]])&gt;0,0,1)</f>
        <v>0</v>
      </c>
      <c r="C307" s="43">
        <f>IF(COUNTIF(LEDGER[LedgerCode],DEPTS[[#This Row],[LedgerCode]])&gt;0,0,1)</f>
        <v>0</v>
      </c>
      <c r="D307" s="43">
        <f>IF(LEN(DEPTS[[#This Row],[DepartmentCode]])&lt;100,0,1)</f>
        <v>0</v>
      </c>
      <c r="E307" s="43">
        <f>IF(LEN(DEPTS[[#This Row],[Title]])&lt;100,0,1)</f>
        <v>0</v>
      </c>
      <c r="F307" s="43">
        <f>SUM(DEPTS[[#This Row],[FundIssue]:[Title length check]])</f>
        <v>0</v>
      </c>
      <c r="G307" t="s">
        <v>2414</v>
      </c>
      <c r="H307" t="s">
        <v>2415</v>
      </c>
      <c r="I307" t="b">
        <v>0</v>
      </c>
      <c r="J307" t="s">
        <v>51</v>
      </c>
      <c r="K307" t="s">
        <v>63</v>
      </c>
      <c r="L307" t="s">
        <v>63</v>
      </c>
      <c r="M307" t="s">
        <v>1966</v>
      </c>
      <c r="O307" t="b">
        <v>1</v>
      </c>
    </row>
    <row r="308" spans="1:15" x14ac:dyDescent="0.3">
      <c r="A308" s="43">
        <f>IF(COUNTIF(FUNDS[FundCode],DEPTS[[#This Row],[FundCode]])&gt;0,0,1)</f>
        <v>0</v>
      </c>
      <c r="B308" s="43">
        <f>IF(COUNTIF(ACTIVITIES[ActivityCode],DEPTS[[#This Row],[ActivityCode]])&gt;0,0,1)</f>
        <v>0</v>
      </c>
      <c r="C308" s="43">
        <f>IF(COUNTIF(LEDGER[LedgerCode],DEPTS[[#This Row],[LedgerCode]])&gt;0,0,1)</f>
        <v>0</v>
      </c>
      <c r="D308" s="43">
        <f>IF(LEN(DEPTS[[#This Row],[DepartmentCode]])&lt;100,0,1)</f>
        <v>0</v>
      </c>
      <c r="E308" s="43">
        <f>IF(LEN(DEPTS[[#This Row],[Title]])&lt;100,0,1)</f>
        <v>0</v>
      </c>
      <c r="F308" s="43">
        <f>SUM(DEPTS[[#This Row],[FundIssue]:[Title length check]])</f>
        <v>0</v>
      </c>
      <c r="G308" t="s">
        <v>2416</v>
      </c>
      <c r="H308" t="s">
        <v>2417</v>
      </c>
      <c r="I308" t="b">
        <v>0</v>
      </c>
      <c r="J308" t="s">
        <v>2126</v>
      </c>
      <c r="K308" t="s">
        <v>1963</v>
      </c>
      <c r="L308" t="s">
        <v>1947</v>
      </c>
      <c r="M308" t="s">
        <v>1965</v>
      </c>
      <c r="O308" t="b">
        <v>1</v>
      </c>
    </row>
    <row r="309" spans="1:15" x14ac:dyDescent="0.3">
      <c r="A309" s="43">
        <f>IF(COUNTIF(FUNDS[FundCode],DEPTS[[#This Row],[FundCode]])&gt;0,0,1)</f>
        <v>0</v>
      </c>
      <c r="B309" s="43">
        <f>IF(COUNTIF(ACTIVITIES[ActivityCode],DEPTS[[#This Row],[ActivityCode]])&gt;0,0,1)</f>
        <v>0</v>
      </c>
      <c r="C309" s="43">
        <f>IF(COUNTIF(LEDGER[LedgerCode],DEPTS[[#This Row],[LedgerCode]])&gt;0,0,1)</f>
        <v>0</v>
      </c>
      <c r="D309" s="43">
        <f>IF(LEN(DEPTS[[#This Row],[DepartmentCode]])&lt;100,0,1)</f>
        <v>0</v>
      </c>
      <c r="E309" s="43">
        <f>IF(LEN(DEPTS[[#This Row],[Title]])&lt;100,0,1)</f>
        <v>0</v>
      </c>
      <c r="F309" s="43">
        <f>SUM(DEPTS[[#This Row],[FundIssue]:[Title length check]])</f>
        <v>0</v>
      </c>
      <c r="G309" t="s">
        <v>2416</v>
      </c>
      <c r="H309" t="s">
        <v>2418</v>
      </c>
      <c r="I309" t="b">
        <v>0</v>
      </c>
      <c r="J309" t="s">
        <v>2200</v>
      </c>
      <c r="K309" t="s">
        <v>1963</v>
      </c>
      <c r="L309" t="s">
        <v>1947</v>
      </c>
      <c r="M309" t="s">
        <v>1965</v>
      </c>
      <c r="O309" t="b">
        <v>1</v>
      </c>
    </row>
    <row r="310" spans="1:15" x14ac:dyDescent="0.3">
      <c r="A310" s="43">
        <f>IF(COUNTIF(FUNDS[FundCode],DEPTS[[#This Row],[FundCode]])&gt;0,0,1)</f>
        <v>0</v>
      </c>
      <c r="B310" s="43">
        <f>IF(COUNTIF(ACTIVITIES[ActivityCode],DEPTS[[#This Row],[ActivityCode]])&gt;0,0,1)</f>
        <v>0</v>
      </c>
      <c r="C310" s="43">
        <f>IF(COUNTIF(LEDGER[LedgerCode],DEPTS[[#This Row],[LedgerCode]])&gt;0,0,1)</f>
        <v>0</v>
      </c>
      <c r="D310" s="43">
        <f>IF(LEN(DEPTS[[#This Row],[DepartmentCode]])&lt;100,0,1)</f>
        <v>0</v>
      </c>
      <c r="E310" s="43">
        <f>IF(LEN(DEPTS[[#This Row],[Title]])&lt;100,0,1)</f>
        <v>0</v>
      </c>
      <c r="F310" s="43">
        <f>SUM(DEPTS[[#This Row],[FundIssue]:[Title length check]])</f>
        <v>0</v>
      </c>
      <c r="G310" t="s">
        <v>2416</v>
      </c>
      <c r="H310" t="s">
        <v>2419</v>
      </c>
      <c r="I310" t="b">
        <v>0</v>
      </c>
      <c r="J310" t="s">
        <v>2094</v>
      </c>
      <c r="K310" t="s">
        <v>1963</v>
      </c>
      <c r="L310" t="s">
        <v>1945</v>
      </c>
      <c r="M310" t="s">
        <v>1965</v>
      </c>
      <c r="O310" t="b">
        <v>1</v>
      </c>
    </row>
    <row r="311" spans="1:15" x14ac:dyDescent="0.3">
      <c r="A311" s="43">
        <f>IF(COUNTIF(FUNDS[FundCode],DEPTS[[#This Row],[FundCode]])&gt;0,0,1)</f>
        <v>0</v>
      </c>
      <c r="B311" s="43">
        <f>IF(COUNTIF(ACTIVITIES[ActivityCode],DEPTS[[#This Row],[ActivityCode]])&gt;0,0,1)</f>
        <v>0</v>
      </c>
      <c r="C311" s="43">
        <f>IF(COUNTIF(LEDGER[LedgerCode],DEPTS[[#This Row],[LedgerCode]])&gt;0,0,1)</f>
        <v>0</v>
      </c>
      <c r="D311" s="43">
        <f>IF(LEN(DEPTS[[#This Row],[DepartmentCode]])&lt;100,0,1)</f>
        <v>0</v>
      </c>
      <c r="E311" s="43">
        <f>IF(LEN(DEPTS[[#This Row],[Title]])&lt;100,0,1)</f>
        <v>0</v>
      </c>
      <c r="F311" s="43">
        <f>SUM(DEPTS[[#This Row],[FundIssue]:[Title length check]])</f>
        <v>0</v>
      </c>
      <c r="G311" t="s">
        <v>2416</v>
      </c>
      <c r="H311" t="s">
        <v>2420</v>
      </c>
      <c r="I311" t="b">
        <v>0</v>
      </c>
      <c r="J311" t="s">
        <v>4339</v>
      </c>
      <c r="K311" t="s">
        <v>1963</v>
      </c>
      <c r="L311" t="s">
        <v>1945</v>
      </c>
      <c r="M311" t="s">
        <v>1965</v>
      </c>
      <c r="O311" t="b">
        <v>1</v>
      </c>
    </row>
    <row r="312" spans="1:15" x14ac:dyDescent="0.3">
      <c r="A312" s="43">
        <f>IF(COUNTIF(FUNDS[FundCode],DEPTS[[#This Row],[FundCode]])&gt;0,0,1)</f>
        <v>0</v>
      </c>
      <c r="B312" s="43">
        <f>IF(COUNTIF(ACTIVITIES[ActivityCode],DEPTS[[#This Row],[ActivityCode]])&gt;0,0,1)</f>
        <v>0</v>
      </c>
      <c r="C312" s="43">
        <f>IF(COUNTIF(LEDGER[LedgerCode],DEPTS[[#This Row],[LedgerCode]])&gt;0,0,1)</f>
        <v>0</v>
      </c>
      <c r="D312" s="43">
        <f>IF(LEN(DEPTS[[#This Row],[DepartmentCode]])&lt;100,0,1)</f>
        <v>0</v>
      </c>
      <c r="E312" s="43">
        <f>IF(LEN(DEPTS[[#This Row],[Title]])&lt;100,0,1)</f>
        <v>0</v>
      </c>
      <c r="F312" s="43">
        <f>SUM(DEPTS[[#This Row],[FundIssue]:[Title length check]])</f>
        <v>0</v>
      </c>
      <c r="G312" t="s">
        <v>2421</v>
      </c>
      <c r="H312" t="s">
        <v>2422</v>
      </c>
      <c r="I312" t="b">
        <v>0</v>
      </c>
      <c r="J312" t="s">
        <v>4340</v>
      </c>
      <c r="K312" t="s">
        <v>1963</v>
      </c>
      <c r="L312" t="s">
        <v>1947</v>
      </c>
      <c r="M312" t="s">
        <v>1965</v>
      </c>
      <c r="O312" t="b">
        <v>1</v>
      </c>
    </row>
    <row r="313" spans="1:15" x14ac:dyDescent="0.3">
      <c r="A313" s="43">
        <f>IF(COUNTIF(FUNDS[FundCode],DEPTS[[#This Row],[FundCode]])&gt;0,0,1)</f>
        <v>0</v>
      </c>
      <c r="B313" s="43">
        <f>IF(COUNTIF(ACTIVITIES[ActivityCode],DEPTS[[#This Row],[ActivityCode]])&gt;0,0,1)</f>
        <v>0</v>
      </c>
      <c r="C313" s="43">
        <f>IF(COUNTIF(LEDGER[LedgerCode],DEPTS[[#This Row],[LedgerCode]])&gt;0,0,1)</f>
        <v>0</v>
      </c>
      <c r="D313" s="43">
        <f>IF(LEN(DEPTS[[#This Row],[DepartmentCode]])&lt;100,0,1)</f>
        <v>0</v>
      </c>
      <c r="E313" s="43">
        <f>IF(LEN(DEPTS[[#This Row],[Title]])&lt;100,0,1)</f>
        <v>0</v>
      </c>
      <c r="F313" s="43">
        <f>SUM(DEPTS[[#This Row],[FundIssue]:[Title length check]])</f>
        <v>0</v>
      </c>
      <c r="G313" t="s">
        <v>2423</v>
      </c>
      <c r="H313" t="s">
        <v>2424</v>
      </c>
      <c r="I313" t="b">
        <v>0</v>
      </c>
      <c r="J313" t="s">
        <v>4341</v>
      </c>
      <c r="K313" t="s">
        <v>1963</v>
      </c>
      <c r="L313" t="s">
        <v>1947</v>
      </c>
      <c r="M313" t="s">
        <v>1965</v>
      </c>
      <c r="O313" t="b">
        <v>1</v>
      </c>
    </row>
    <row r="314" spans="1:15" x14ac:dyDescent="0.3">
      <c r="A314" s="43">
        <f>IF(COUNTIF(FUNDS[FundCode],DEPTS[[#This Row],[FundCode]])&gt;0,0,1)</f>
        <v>0</v>
      </c>
      <c r="B314" s="43">
        <f>IF(COUNTIF(ACTIVITIES[ActivityCode],DEPTS[[#This Row],[ActivityCode]])&gt;0,0,1)</f>
        <v>0</v>
      </c>
      <c r="C314" s="43">
        <f>IF(COUNTIF(LEDGER[LedgerCode],DEPTS[[#This Row],[LedgerCode]])&gt;0,0,1)</f>
        <v>0</v>
      </c>
      <c r="D314" s="43">
        <f>IF(LEN(DEPTS[[#This Row],[DepartmentCode]])&lt;100,0,1)</f>
        <v>0</v>
      </c>
      <c r="E314" s="43">
        <f>IF(LEN(DEPTS[[#This Row],[Title]])&lt;100,0,1)</f>
        <v>0</v>
      </c>
      <c r="F314" s="43">
        <f>SUM(DEPTS[[#This Row],[FundIssue]:[Title length check]])</f>
        <v>0</v>
      </c>
      <c r="G314" t="s">
        <v>2425</v>
      </c>
      <c r="H314" t="s">
        <v>2426</v>
      </c>
      <c r="I314" t="b">
        <v>0</v>
      </c>
      <c r="J314" t="s">
        <v>51</v>
      </c>
      <c r="K314" t="s">
        <v>63</v>
      </c>
      <c r="L314" t="s">
        <v>63</v>
      </c>
      <c r="M314" t="s">
        <v>1966</v>
      </c>
      <c r="O314" t="b">
        <v>1</v>
      </c>
    </row>
    <row r="315" spans="1:15" x14ac:dyDescent="0.3">
      <c r="A315" s="43">
        <f>IF(COUNTIF(FUNDS[FundCode],DEPTS[[#This Row],[FundCode]])&gt;0,0,1)</f>
        <v>0</v>
      </c>
      <c r="B315" s="43">
        <f>IF(COUNTIF(ACTIVITIES[ActivityCode],DEPTS[[#This Row],[ActivityCode]])&gt;0,0,1)</f>
        <v>0</v>
      </c>
      <c r="C315" s="43">
        <f>IF(COUNTIF(LEDGER[LedgerCode],DEPTS[[#This Row],[LedgerCode]])&gt;0,0,1)</f>
        <v>0</v>
      </c>
      <c r="D315" s="43">
        <f>IF(LEN(DEPTS[[#This Row],[DepartmentCode]])&lt;100,0,1)</f>
        <v>0</v>
      </c>
      <c r="E315" s="43">
        <f>IF(LEN(DEPTS[[#This Row],[Title]])&lt;100,0,1)</f>
        <v>0</v>
      </c>
      <c r="F315" s="43">
        <f>SUM(DEPTS[[#This Row],[FundIssue]:[Title length check]])</f>
        <v>0</v>
      </c>
      <c r="G315" t="s">
        <v>2425</v>
      </c>
      <c r="H315" t="s">
        <v>2426</v>
      </c>
      <c r="I315" t="b">
        <v>0</v>
      </c>
      <c r="J315" t="s">
        <v>4342</v>
      </c>
      <c r="K315" t="s">
        <v>63</v>
      </c>
      <c r="L315" t="s">
        <v>63</v>
      </c>
      <c r="M315" t="s">
        <v>1532</v>
      </c>
      <c r="O315" t="b">
        <v>1</v>
      </c>
    </row>
    <row r="316" spans="1:15" x14ac:dyDescent="0.3">
      <c r="A316" s="43">
        <f>IF(COUNTIF(FUNDS[FundCode],DEPTS[[#This Row],[FundCode]])&gt;0,0,1)</f>
        <v>0</v>
      </c>
      <c r="B316" s="43">
        <f>IF(COUNTIF(ACTIVITIES[ActivityCode],DEPTS[[#This Row],[ActivityCode]])&gt;0,0,1)</f>
        <v>0</v>
      </c>
      <c r="C316" s="43">
        <f>IF(COUNTIF(LEDGER[LedgerCode],DEPTS[[#This Row],[LedgerCode]])&gt;0,0,1)</f>
        <v>0</v>
      </c>
      <c r="D316" s="43">
        <f>IF(LEN(DEPTS[[#This Row],[DepartmentCode]])&lt;100,0,1)</f>
        <v>0</v>
      </c>
      <c r="E316" s="43">
        <f>IF(LEN(DEPTS[[#This Row],[Title]])&lt;100,0,1)</f>
        <v>0</v>
      </c>
      <c r="F316" s="43">
        <f>SUM(DEPTS[[#This Row],[FundIssue]:[Title length check]])</f>
        <v>0</v>
      </c>
      <c r="G316" t="s">
        <v>2425</v>
      </c>
      <c r="H316" t="s">
        <v>2426</v>
      </c>
      <c r="I316" t="b">
        <v>0</v>
      </c>
      <c r="J316" t="s">
        <v>4343</v>
      </c>
      <c r="K316" t="s">
        <v>1963</v>
      </c>
      <c r="L316" t="s">
        <v>63</v>
      </c>
      <c r="M316" t="s">
        <v>1532</v>
      </c>
      <c r="O316" t="b">
        <v>1</v>
      </c>
    </row>
    <row r="317" spans="1:15" x14ac:dyDescent="0.3">
      <c r="A317" s="43">
        <f>IF(COUNTIF(FUNDS[FundCode],DEPTS[[#This Row],[FundCode]])&gt;0,0,1)</f>
        <v>0</v>
      </c>
      <c r="B317" s="43">
        <f>IF(COUNTIF(ACTIVITIES[ActivityCode],DEPTS[[#This Row],[ActivityCode]])&gt;0,0,1)</f>
        <v>0</v>
      </c>
      <c r="C317" s="43">
        <f>IF(COUNTIF(LEDGER[LedgerCode],DEPTS[[#This Row],[LedgerCode]])&gt;0,0,1)</f>
        <v>0</v>
      </c>
      <c r="D317" s="43">
        <f>IF(LEN(DEPTS[[#This Row],[DepartmentCode]])&lt;100,0,1)</f>
        <v>0</v>
      </c>
      <c r="E317" s="43">
        <f>IF(LEN(DEPTS[[#This Row],[Title]])&lt;100,0,1)</f>
        <v>0</v>
      </c>
      <c r="F317" s="43">
        <f>SUM(DEPTS[[#This Row],[FundIssue]:[Title length check]])</f>
        <v>0</v>
      </c>
      <c r="G317" t="s">
        <v>2427</v>
      </c>
      <c r="H317" t="s">
        <v>2428</v>
      </c>
      <c r="I317" t="b">
        <v>0</v>
      </c>
      <c r="J317" t="s">
        <v>51</v>
      </c>
      <c r="K317" t="s">
        <v>63</v>
      </c>
      <c r="L317" t="s">
        <v>63</v>
      </c>
      <c r="M317" t="s">
        <v>1966</v>
      </c>
      <c r="O317" t="b">
        <v>1</v>
      </c>
    </row>
    <row r="318" spans="1:15" x14ac:dyDescent="0.3">
      <c r="A318" s="43">
        <f>IF(COUNTIF(FUNDS[FundCode],DEPTS[[#This Row],[FundCode]])&gt;0,0,1)</f>
        <v>0</v>
      </c>
      <c r="B318" s="43">
        <f>IF(COUNTIF(ACTIVITIES[ActivityCode],DEPTS[[#This Row],[ActivityCode]])&gt;0,0,1)</f>
        <v>0</v>
      </c>
      <c r="C318" s="43">
        <f>IF(COUNTIF(LEDGER[LedgerCode],DEPTS[[#This Row],[LedgerCode]])&gt;0,0,1)</f>
        <v>0</v>
      </c>
      <c r="D318" s="43">
        <f>IF(LEN(DEPTS[[#This Row],[DepartmentCode]])&lt;100,0,1)</f>
        <v>0</v>
      </c>
      <c r="E318" s="43">
        <f>IF(LEN(DEPTS[[#This Row],[Title]])&lt;100,0,1)</f>
        <v>0</v>
      </c>
      <c r="F318" s="43">
        <f>SUM(DEPTS[[#This Row],[FundIssue]:[Title length check]])</f>
        <v>0</v>
      </c>
      <c r="G318" t="s">
        <v>2427</v>
      </c>
      <c r="H318" t="s">
        <v>2428</v>
      </c>
      <c r="I318" t="b">
        <v>0</v>
      </c>
      <c r="J318" t="s">
        <v>4342</v>
      </c>
      <c r="K318" t="s">
        <v>63</v>
      </c>
      <c r="L318" t="s">
        <v>63</v>
      </c>
      <c r="M318" t="s">
        <v>1532</v>
      </c>
      <c r="O318" t="b">
        <v>1</v>
      </c>
    </row>
    <row r="319" spans="1:15" x14ac:dyDescent="0.3">
      <c r="A319" s="43">
        <f>IF(COUNTIF(FUNDS[FundCode],DEPTS[[#This Row],[FundCode]])&gt;0,0,1)</f>
        <v>0</v>
      </c>
      <c r="B319" s="43">
        <f>IF(COUNTIF(ACTIVITIES[ActivityCode],DEPTS[[#This Row],[ActivityCode]])&gt;0,0,1)</f>
        <v>0</v>
      </c>
      <c r="C319" s="43">
        <f>IF(COUNTIF(LEDGER[LedgerCode],DEPTS[[#This Row],[LedgerCode]])&gt;0,0,1)</f>
        <v>0</v>
      </c>
      <c r="D319" s="43">
        <f>IF(LEN(DEPTS[[#This Row],[DepartmentCode]])&lt;100,0,1)</f>
        <v>0</v>
      </c>
      <c r="E319" s="43">
        <f>IF(LEN(DEPTS[[#This Row],[Title]])&lt;100,0,1)</f>
        <v>0</v>
      </c>
      <c r="F319" s="43">
        <f>SUM(DEPTS[[#This Row],[FundIssue]:[Title length check]])</f>
        <v>0</v>
      </c>
      <c r="G319" t="s">
        <v>2427</v>
      </c>
      <c r="H319" t="s">
        <v>2428</v>
      </c>
      <c r="I319" t="b">
        <v>0</v>
      </c>
      <c r="J319" t="s">
        <v>4343</v>
      </c>
      <c r="K319" t="s">
        <v>1963</v>
      </c>
      <c r="L319" t="s">
        <v>63</v>
      </c>
      <c r="M319" t="s">
        <v>1532</v>
      </c>
      <c r="O319" t="b">
        <v>1</v>
      </c>
    </row>
    <row r="320" spans="1:15" x14ac:dyDescent="0.3">
      <c r="A320" s="43">
        <f>IF(COUNTIF(FUNDS[FundCode],DEPTS[[#This Row],[FundCode]])&gt;0,0,1)</f>
        <v>0</v>
      </c>
      <c r="B320" s="43">
        <f>IF(COUNTIF(ACTIVITIES[ActivityCode],DEPTS[[#This Row],[ActivityCode]])&gt;0,0,1)</f>
        <v>0</v>
      </c>
      <c r="C320" s="43">
        <f>IF(COUNTIF(LEDGER[LedgerCode],DEPTS[[#This Row],[LedgerCode]])&gt;0,0,1)</f>
        <v>0</v>
      </c>
      <c r="D320" s="43">
        <f>IF(LEN(DEPTS[[#This Row],[DepartmentCode]])&lt;100,0,1)</f>
        <v>0</v>
      </c>
      <c r="E320" s="43">
        <f>IF(LEN(DEPTS[[#This Row],[Title]])&lt;100,0,1)</f>
        <v>0</v>
      </c>
      <c r="F320" s="43">
        <f>SUM(DEPTS[[#This Row],[FundIssue]:[Title length check]])</f>
        <v>0</v>
      </c>
      <c r="G320" t="s">
        <v>2429</v>
      </c>
      <c r="H320" t="s">
        <v>2430</v>
      </c>
      <c r="I320" t="b">
        <v>0</v>
      </c>
      <c r="J320" t="s">
        <v>51</v>
      </c>
      <c r="K320" t="s">
        <v>63</v>
      </c>
      <c r="L320" t="s">
        <v>63</v>
      </c>
      <c r="M320" t="s">
        <v>1966</v>
      </c>
      <c r="O320" t="b">
        <v>1</v>
      </c>
    </row>
    <row r="321" spans="1:15" x14ac:dyDescent="0.3">
      <c r="A321" s="43">
        <f>IF(COUNTIF(FUNDS[FundCode],DEPTS[[#This Row],[FundCode]])&gt;0,0,1)</f>
        <v>0</v>
      </c>
      <c r="B321" s="43">
        <f>IF(COUNTIF(ACTIVITIES[ActivityCode],DEPTS[[#This Row],[ActivityCode]])&gt;0,0,1)</f>
        <v>0</v>
      </c>
      <c r="C321" s="43">
        <f>IF(COUNTIF(LEDGER[LedgerCode],DEPTS[[#This Row],[LedgerCode]])&gt;0,0,1)</f>
        <v>0</v>
      </c>
      <c r="D321" s="43">
        <f>IF(LEN(DEPTS[[#This Row],[DepartmentCode]])&lt;100,0,1)</f>
        <v>0</v>
      </c>
      <c r="E321" s="43">
        <f>IF(LEN(DEPTS[[#This Row],[Title]])&lt;100,0,1)</f>
        <v>0</v>
      </c>
      <c r="F321" s="43">
        <f>SUM(DEPTS[[#This Row],[FundIssue]:[Title length check]])</f>
        <v>0</v>
      </c>
      <c r="G321" t="s">
        <v>2429</v>
      </c>
      <c r="H321" t="s">
        <v>2430</v>
      </c>
      <c r="I321" t="b">
        <v>0</v>
      </c>
      <c r="J321" t="s">
        <v>4342</v>
      </c>
      <c r="K321" t="s">
        <v>63</v>
      </c>
      <c r="L321" t="s">
        <v>63</v>
      </c>
      <c r="M321" t="s">
        <v>1532</v>
      </c>
      <c r="O321" t="b">
        <v>1</v>
      </c>
    </row>
    <row r="322" spans="1:15" x14ac:dyDescent="0.3">
      <c r="A322" s="43">
        <f>IF(COUNTIF(FUNDS[FundCode],DEPTS[[#This Row],[FundCode]])&gt;0,0,1)</f>
        <v>0</v>
      </c>
      <c r="B322" s="43">
        <f>IF(COUNTIF(ACTIVITIES[ActivityCode],DEPTS[[#This Row],[ActivityCode]])&gt;0,0,1)</f>
        <v>0</v>
      </c>
      <c r="C322" s="43">
        <f>IF(COUNTIF(LEDGER[LedgerCode],DEPTS[[#This Row],[LedgerCode]])&gt;0,0,1)</f>
        <v>0</v>
      </c>
      <c r="D322" s="43">
        <f>IF(LEN(DEPTS[[#This Row],[DepartmentCode]])&lt;100,0,1)</f>
        <v>0</v>
      </c>
      <c r="E322" s="43">
        <f>IF(LEN(DEPTS[[#This Row],[Title]])&lt;100,0,1)</f>
        <v>0</v>
      </c>
      <c r="F322" s="43">
        <f>SUM(DEPTS[[#This Row],[FundIssue]:[Title length check]])</f>
        <v>0</v>
      </c>
      <c r="G322" t="s">
        <v>2429</v>
      </c>
      <c r="H322" t="s">
        <v>2430</v>
      </c>
      <c r="I322" t="b">
        <v>0</v>
      </c>
      <c r="J322" t="s">
        <v>4343</v>
      </c>
      <c r="K322" t="s">
        <v>1963</v>
      </c>
      <c r="L322" t="s">
        <v>63</v>
      </c>
      <c r="M322" t="s">
        <v>1532</v>
      </c>
      <c r="O322" t="b">
        <v>1</v>
      </c>
    </row>
    <row r="323" spans="1:15" x14ac:dyDescent="0.3">
      <c r="A323" s="43">
        <f>IF(COUNTIF(FUNDS[FundCode],DEPTS[[#This Row],[FundCode]])&gt;0,0,1)</f>
        <v>0</v>
      </c>
      <c r="B323" s="43">
        <f>IF(COUNTIF(ACTIVITIES[ActivityCode],DEPTS[[#This Row],[ActivityCode]])&gt;0,0,1)</f>
        <v>0</v>
      </c>
      <c r="C323" s="43">
        <f>IF(COUNTIF(LEDGER[LedgerCode],DEPTS[[#This Row],[LedgerCode]])&gt;0,0,1)</f>
        <v>0</v>
      </c>
      <c r="D323" s="43">
        <f>IF(LEN(DEPTS[[#This Row],[DepartmentCode]])&lt;100,0,1)</f>
        <v>0</v>
      </c>
      <c r="E323" s="43">
        <f>IF(LEN(DEPTS[[#This Row],[Title]])&lt;100,0,1)</f>
        <v>0</v>
      </c>
      <c r="F323" s="43">
        <f>SUM(DEPTS[[#This Row],[FundIssue]:[Title length check]])</f>
        <v>0</v>
      </c>
      <c r="G323" t="s">
        <v>2431</v>
      </c>
      <c r="H323" t="s">
        <v>2432</v>
      </c>
      <c r="I323" t="b">
        <v>0</v>
      </c>
      <c r="J323" t="s">
        <v>51</v>
      </c>
      <c r="K323" t="s">
        <v>63</v>
      </c>
      <c r="L323" t="s">
        <v>63</v>
      </c>
      <c r="M323" t="s">
        <v>1966</v>
      </c>
      <c r="O323" t="b">
        <v>1</v>
      </c>
    </row>
    <row r="324" spans="1:15" x14ac:dyDescent="0.3">
      <c r="A324" s="43">
        <f>IF(COUNTIF(FUNDS[FundCode],DEPTS[[#This Row],[FundCode]])&gt;0,0,1)</f>
        <v>0</v>
      </c>
      <c r="B324" s="43">
        <f>IF(COUNTIF(ACTIVITIES[ActivityCode],DEPTS[[#This Row],[ActivityCode]])&gt;0,0,1)</f>
        <v>0</v>
      </c>
      <c r="C324" s="43">
        <f>IF(COUNTIF(LEDGER[LedgerCode],DEPTS[[#This Row],[LedgerCode]])&gt;0,0,1)</f>
        <v>0</v>
      </c>
      <c r="D324" s="43">
        <f>IF(LEN(DEPTS[[#This Row],[DepartmentCode]])&lt;100,0,1)</f>
        <v>0</v>
      </c>
      <c r="E324" s="43">
        <f>IF(LEN(DEPTS[[#This Row],[Title]])&lt;100,0,1)</f>
        <v>0</v>
      </c>
      <c r="F324" s="43">
        <f>SUM(DEPTS[[#This Row],[FundIssue]:[Title length check]])</f>
        <v>0</v>
      </c>
      <c r="G324" t="s">
        <v>2431</v>
      </c>
      <c r="H324" t="s">
        <v>2432</v>
      </c>
      <c r="I324" t="b">
        <v>0</v>
      </c>
      <c r="J324" t="s">
        <v>4342</v>
      </c>
      <c r="K324" t="s">
        <v>63</v>
      </c>
      <c r="L324" t="s">
        <v>63</v>
      </c>
      <c r="M324" t="s">
        <v>1532</v>
      </c>
      <c r="O324" t="b">
        <v>1</v>
      </c>
    </row>
    <row r="325" spans="1:15" x14ac:dyDescent="0.3">
      <c r="A325" s="43">
        <f>IF(COUNTIF(FUNDS[FundCode],DEPTS[[#This Row],[FundCode]])&gt;0,0,1)</f>
        <v>0</v>
      </c>
      <c r="B325" s="43">
        <f>IF(COUNTIF(ACTIVITIES[ActivityCode],DEPTS[[#This Row],[ActivityCode]])&gt;0,0,1)</f>
        <v>0</v>
      </c>
      <c r="C325" s="43">
        <f>IF(COUNTIF(LEDGER[LedgerCode],DEPTS[[#This Row],[LedgerCode]])&gt;0,0,1)</f>
        <v>0</v>
      </c>
      <c r="D325" s="43">
        <f>IF(LEN(DEPTS[[#This Row],[DepartmentCode]])&lt;100,0,1)</f>
        <v>0</v>
      </c>
      <c r="E325" s="43">
        <f>IF(LEN(DEPTS[[#This Row],[Title]])&lt;100,0,1)</f>
        <v>0</v>
      </c>
      <c r="F325" s="43">
        <f>SUM(DEPTS[[#This Row],[FundIssue]:[Title length check]])</f>
        <v>0</v>
      </c>
      <c r="G325" t="s">
        <v>2431</v>
      </c>
      <c r="H325" t="s">
        <v>2432</v>
      </c>
      <c r="I325" t="b">
        <v>0</v>
      </c>
      <c r="J325" t="s">
        <v>4343</v>
      </c>
      <c r="K325" t="s">
        <v>1963</v>
      </c>
      <c r="L325" t="s">
        <v>63</v>
      </c>
      <c r="M325" t="s">
        <v>1532</v>
      </c>
      <c r="O325" t="b">
        <v>1</v>
      </c>
    </row>
    <row r="326" spans="1:15" x14ac:dyDescent="0.3">
      <c r="A326" s="43">
        <f>IF(COUNTIF(FUNDS[FundCode],DEPTS[[#This Row],[FundCode]])&gt;0,0,1)</f>
        <v>0</v>
      </c>
      <c r="B326" s="43">
        <f>IF(COUNTIF(ACTIVITIES[ActivityCode],DEPTS[[#This Row],[ActivityCode]])&gt;0,0,1)</f>
        <v>0</v>
      </c>
      <c r="C326" s="43">
        <f>IF(COUNTIF(LEDGER[LedgerCode],DEPTS[[#This Row],[LedgerCode]])&gt;0,0,1)</f>
        <v>0</v>
      </c>
      <c r="D326" s="43">
        <f>IF(LEN(DEPTS[[#This Row],[DepartmentCode]])&lt;100,0,1)</f>
        <v>0</v>
      </c>
      <c r="E326" s="43">
        <f>IF(LEN(DEPTS[[#This Row],[Title]])&lt;100,0,1)</f>
        <v>0</v>
      </c>
      <c r="F326" s="43">
        <f>SUM(DEPTS[[#This Row],[FundIssue]:[Title length check]])</f>
        <v>0</v>
      </c>
      <c r="G326" t="s">
        <v>2433</v>
      </c>
      <c r="H326" t="s">
        <v>2434</v>
      </c>
      <c r="I326" t="b">
        <v>0</v>
      </c>
      <c r="J326" t="s">
        <v>4327</v>
      </c>
      <c r="K326" t="s">
        <v>1963</v>
      </c>
      <c r="L326" t="s">
        <v>63</v>
      </c>
      <c r="M326" t="s">
        <v>1532</v>
      </c>
      <c r="O326" t="b">
        <v>1</v>
      </c>
    </row>
    <row r="327" spans="1:15" x14ac:dyDescent="0.3">
      <c r="A327" s="43">
        <f>IF(COUNTIF(FUNDS[FundCode],DEPTS[[#This Row],[FundCode]])&gt;0,0,1)</f>
        <v>0</v>
      </c>
      <c r="B327" s="43">
        <f>IF(COUNTIF(ACTIVITIES[ActivityCode],DEPTS[[#This Row],[ActivityCode]])&gt;0,0,1)</f>
        <v>0</v>
      </c>
      <c r="C327" s="43">
        <f>IF(COUNTIF(LEDGER[LedgerCode],DEPTS[[#This Row],[LedgerCode]])&gt;0,0,1)</f>
        <v>0</v>
      </c>
      <c r="D327" s="43">
        <f>IF(LEN(DEPTS[[#This Row],[DepartmentCode]])&lt;100,0,1)</f>
        <v>0</v>
      </c>
      <c r="E327" s="43">
        <f>IF(LEN(DEPTS[[#This Row],[Title]])&lt;100,0,1)</f>
        <v>0</v>
      </c>
      <c r="F327" s="43">
        <f>SUM(DEPTS[[#This Row],[FundIssue]:[Title length check]])</f>
        <v>0</v>
      </c>
      <c r="G327" t="s">
        <v>2433</v>
      </c>
      <c r="H327" t="s">
        <v>2435</v>
      </c>
      <c r="I327" t="b">
        <v>0</v>
      </c>
      <c r="J327" t="s">
        <v>51</v>
      </c>
      <c r="K327" t="s">
        <v>63</v>
      </c>
      <c r="L327" t="s">
        <v>63</v>
      </c>
      <c r="M327" t="s">
        <v>1966</v>
      </c>
      <c r="O327" t="b">
        <v>1</v>
      </c>
    </row>
    <row r="328" spans="1:15" x14ac:dyDescent="0.3">
      <c r="A328" s="43">
        <f>IF(COUNTIF(FUNDS[FundCode],DEPTS[[#This Row],[FundCode]])&gt;0,0,1)</f>
        <v>0</v>
      </c>
      <c r="B328" s="43">
        <f>IF(COUNTIF(ACTIVITIES[ActivityCode],DEPTS[[#This Row],[ActivityCode]])&gt;0,0,1)</f>
        <v>0</v>
      </c>
      <c r="C328" s="43">
        <f>IF(COUNTIF(LEDGER[LedgerCode],DEPTS[[#This Row],[LedgerCode]])&gt;0,0,1)</f>
        <v>0</v>
      </c>
      <c r="D328" s="43">
        <f>IF(LEN(DEPTS[[#This Row],[DepartmentCode]])&lt;100,0,1)</f>
        <v>0</v>
      </c>
      <c r="E328" s="43">
        <f>IF(LEN(DEPTS[[#This Row],[Title]])&lt;100,0,1)</f>
        <v>0</v>
      </c>
      <c r="F328" s="43">
        <f>SUM(DEPTS[[#This Row],[FundIssue]:[Title length check]])</f>
        <v>0</v>
      </c>
      <c r="G328" t="s">
        <v>2433</v>
      </c>
      <c r="H328" t="s">
        <v>2435</v>
      </c>
      <c r="I328" t="b">
        <v>0</v>
      </c>
      <c r="J328" t="s">
        <v>4342</v>
      </c>
      <c r="K328" t="s">
        <v>63</v>
      </c>
      <c r="L328" t="s">
        <v>63</v>
      </c>
      <c r="M328" t="s">
        <v>1532</v>
      </c>
      <c r="O328" t="b">
        <v>1</v>
      </c>
    </row>
    <row r="329" spans="1:15" x14ac:dyDescent="0.3">
      <c r="A329" s="43">
        <f>IF(COUNTIF(FUNDS[FundCode],DEPTS[[#This Row],[FundCode]])&gt;0,0,1)</f>
        <v>0</v>
      </c>
      <c r="B329" s="43">
        <f>IF(COUNTIF(ACTIVITIES[ActivityCode],DEPTS[[#This Row],[ActivityCode]])&gt;0,0,1)</f>
        <v>0</v>
      </c>
      <c r="C329" s="43">
        <f>IF(COUNTIF(LEDGER[LedgerCode],DEPTS[[#This Row],[LedgerCode]])&gt;0,0,1)</f>
        <v>0</v>
      </c>
      <c r="D329" s="43">
        <f>IF(LEN(DEPTS[[#This Row],[DepartmentCode]])&lt;100,0,1)</f>
        <v>0</v>
      </c>
      <c r="E329" s="43">
        <f>IF(LEN(DEPTS[[#This Row],[Title]])&lt;100,0,1)</f>
        <v>0</v>
      </c>
      <c r="F329" s="43">
        <f>SUM(DEPTS[[#This Row],[FundIssue]:[Title length check]])</f>
        <v>0</v>
      </c>
      <c r="G329" t="s">
        <v>2433</v>
      </c>
      <c r="H329" t="s">
        <v>2435</v>
      </c>
      <c r="I329" t="b">
        <v>0</v>
      </c>
      <c r="J329" t="s">
        <v>2094</v>
      </c>
      <c r="K329" t="s">
        <v>1963</v>
      </c>
      <c r="L329" t="s">
        <v>63</v>
      </c>
      <c r="M329" t="s">
        <v>1532</v>
      </c>
      <c r="O329" t="b">
        <v>1</v>
      </c>
    </row>
    <row r="330" spans="1:15" x14ac:dyDescent="0.3">
      <c r="A330" s="43">
        <f>IF(COUNTIF(FUNDS[FundCode],DEPTS[[#This Row],[FundCode]])&gt;0,0,1)</f>
        <v>0</v>
      </c>
      <c r="B330" s="43">
        <f>IF(COUNTIF(ACTIVITIES[ActivityCode],DEPTS[[#This Row],[ActivityCode]])&gt;0,0,1)</f>
        <v>0</v>
      </c>
      <c r="C330" s="43">
        <f>IF(COUNTIF(LEDGER[LedgerCode],DEPTS[[#This Row],[LedgerCode]])&gt;0,0,1)</f>
        <v>0</v>
      </c>
      <c r="D330" s="43">
        <f>IF(LEN(DEPTS[[#This Row],[DepartmentCode]])&lt;100,0,1)</f>
        <v>0</v>
      </c>
      <c r="E330" s="43">
        <f>IF(LEN(DEPTS[[#This Row],[Title]])&lt;100,0,1)</f>
        <v>0</v>
      </c>
      <c r="F330" s="43">
        <f>SUM(DEPTS[[#This Row],[FundIssue]:[Title length check]])</f>
        <v>0</v>
      </c>
      <c r="G330" t="s">
        <v>2436</v>
      </c>
      <c r="H330" t="s">
        <v>2437</v>
      </c>
      <c r="I330" t="b">
        <v>0</v>
      </c>
      <c r="J330" t="s">
        <v>51</v>
      </c>
      <c r="K330" t="s">
        <v>63</v>
      </c>
      <c r="L330" t="s">
        <v>63</v>
      </c>
      <c r="M330" t="s">
        <v>1966</v>
      </c>
      <c r="O330" t="b">
        <v>1</v>
      </c>
    </row>
    <row r="331" spans="1:15" x14ac:dyDescent="0.3">
      <c r="A331" s="43">
        <f>IF(COUNTIF(FUNDS[FundCode],DEPTS[[#This Row],[FundCode]])&gt;0,0,1)</f>
        <v>0</v>
      </c>
      <c r="B331" s="43">
        <f>IF(COUNTIF(ACTIVITIES[ActivityCode],DEPTS[[#This Row],[ActivityCode]])&gt;0,0,1)</f>
        <v>0</v>
      </c>
      <c r="C331" s="43">
        <f>IF(COUNTIF(LEDGER[LedgerCode],DEPTS[[#This Row],[LedgerCode]])&gt;0,0,1)</f>
        <v>0</v>
      </c>
      <c r="D331" s="43">
        <f>IF(LEN(DEPTS[[#This Row],[DepartmentCode]])&lt;100,0,1)</f>
        <v>0</v>
      </c>
      <c r="E331" s="43">
        <f>IF(LEN(DEPTS[[#This Row],[Title]])&lt;100,0,1)</f>
        <v>0</v>
      </c>
      <c r="F331" s="43">
        <f>SUM(DEPTS[[#This Row],[FundIssue]:[Title length check]])</f>
        <v>0</v>
      </c>
      <c r="G331" t="s">
        <v>2438</v>
      </c>
      <c r="H331" t="s">
        <v>1942</v>
      </c>
      <c r="I331" t="b">
        <v>0</v>
      </c>
      <c r="J331" t="s">
        <v>51</v>
      </c>
      <c r="K331" t="s">
        <v>63</v>
      </c>
      <c r="L331" t="s">
        <v>63</v>
      </c>
      <c r="M331" t="s">
        <v>1966</v>
      </c>
      <c r="O331" t="b">
        <v>1</v>
      </c>
    </row>
    <row r="332" spans="1:15" x14ac:dyDescent="0.3">
      <c r="A332" s="43">
        <f>IF(COUNTIF(FUNDS[FundCode],DEPTS[[#This Row],[FundCode]])&gt;0,0,1)</f>
        <v>0</v>
      </c>
      <c r="B332" s="43">
        <f>IF(COUNTIF(ACTIVITIES[ActivityCode],DEPTS[[#This Row],[ActivityCode]])&gt;0,0,1)</f>
        <v>0</v>
      </c>
      <c r="C332" s="43">
        <f>IF(COUNTIF(LEDGER[LedgerCode],DEPTS[[#This Row],[LedgerCode]])&gt;0,0,1)</f>
        <v>0</v>
      </c>
      <c r="D332" s="43">
        <f>IF(LEN(DEPTS[[#This Row],[DepartmentCode]])&lt;100,0,1)</f>
        <v>0</v>
      </c>
      <c r="E332" s="43">
        <f>IF(LEN(DEPTS[[#This Row],[Title]])&lt;100,0,1)</f>
        <v>0</v>
      </c>
      <c r="F332" s="43">
        <f>SUM(DEPTS[[#This Row],[FundIssue]:[Title length check]])</f>
        <v>0</v>
      </c>
      <c r="G332" t="s">
        <v>2438</v>
      </c>
      <c r="H332" t="s">
        <v>1942</v>
      </c>
      <c r="I332" t="b">
        <v>0</v>
      </c>
      <c r="J332" t="s">
        <v>4342</v>
      </c>
      <c r="K332" t="s">
        <v>63</v>
      </c>
      <c r="L332" t="s">
        <v>63</v>
      </c>
      <c r="M332" t="s">
        <v>1532</v>
      </c>
      <c r="O332" t="b">
        <v>1</v>
      </c>
    </row>
    <row r="333" spans="1:15" x14ac:dyDescent="0.3">
      <c r="A333" s="43">
        <f>IF(COUNTIF(FUNDS[FundCode],DEPTS[[#This Row],[FundCode]])&gt;0,0,1)</f>
        <v>0</v>
      </c>
      <c r="B333" s="43">
        <f>IF(COUNTIF(ACTIVITIES[ActivityCode],DEPTS[[#This Row],[ActivityCode]])&gt;0,0,1)</f>
        <v>0</v>
      </c>
      <c r="C333" s="43">
        <f>IF(COUNTIF(LEDGER[LedgerCode],DEPTS[[#This Row],[LedgerCode]])&gt;0,0,1)</f>
        <v>0</v>
      </c>
      <c r="D333" s="43">
        <f>IF(LEN(DEPTS[[#This Row],[DepartmentCode]])&lt;100,0,1)</f>
        <v>0</v>
      </c>
      <c r="E333" s="43">
        <f>IF(LEN(DEPTS[[#This Row],[Title]])&lt;100,0,1)</f>
        <v>0</v>
      </c>
      <c r="F333" s="43">
        <f>SUM(DEPTS[[#This Row],[FundIssue]:[Title length check]])</f>
        <v>0</v>
      </c>
      <c r="G333" t="s">
        <v>2438</v>
      </c>
      <c r="H333" t="s">
        <v>1942</v>
      </c>
      <c r="I333" t="b">
        <v>0</v>
      </c>
      <c r="J333" t="s">
        <v>4343</v>
      </c>
      <c r="K333" t="s">
        <v>1963</v>
      </c>
      <c r="L333" t="s">
        <v>63</v>
      </c>
      <c r="M333" t="s">
        <v>1532</v>
      </c>
      <c r="O333" t="b">
        <v>1</v>
      </c>
    </row>
    <row r="334" spans="1:15" x14ac:dyDescent="0.3">
      <c r="A334" s="43">
        <f>IF(COUNTIF(FUNDS[FundCode],DEPTS[[#This Row],[FundCode]])&gt;0,0,1)</f>
        <v>0</v>
      </c>
      <c r="B334" s="43">
        <f>IF(COUNTIF(ACTIVITIES[ActivityCode],DEPTS[[#This Row],[ActivityCode]])&gt;0,0,1)</f>
        <v>0</v>
      </c>
      <c r="C334" s="43">
        <f>IF(COUNTIF(LEDGER[LedgerCode],DEPTS[[#This Row],[LedgerCode]])&gt;0,0,1)</f>
        <v>0</v>
      </c>
      <c r="D334" s="43">
        <f>IF(LEN(DEPTS[[#This Row],[DepartmentCode]])&lt;100,0,1)</f>
        <v>0</v>
      </c>
      <c r="E334" s="43">
        <f>IF(LEN(DEPTS[[#This Row],[Title]])&lt;100,0,1)</f>
        <v>0</v>
      </c>
      <c r="F334" s="43">
        <f>SUM(DEPTS[[#This Row],[FundIssue]:[Title length check]])</f>
        <v>0</v>
      </c>
      <c r="G334" t="s">
        <v>2439</v>
      </c>
      <c r="H334" t="s">
        <v>2440</v>
      </c>
      <c r="I334" t="b">
        <v>0</v>
      </c>
      <c r="J334" t="s">
        <v>51</v>
      </c>
      <c r="K334" t="s">
        <v>63</v>
      </c>
      <c r="L334" t="s">
        <v>63</v>
      </c>
      <c r="M334" t="s">
        <v>1966</v>
      </c>
      <c r="O334" t="b">
        <v>1</v>
      </c>
    </row>
    <row r="335" spans="1:15" x14ac:dyDescent="0.3">
      <c r="A335" s="43">
        <f>IF(COUNTIF(FUNDS[FundCode],DEPTS[[#This Row],[FundCode]])&gt;0,0,1)</f>
        <v>0</v>
      </c>
      <c r="B335" s="43">
        <f>IF(COUNTIF(ACTIVITIES[ActivityCode],DEPTS[[#This Row],[ActivityCode]])&gt;0,0,1)</f>
        <v>0</v>
      </c>
      <c r="C335" s="43">
        <f>IF(COUNTIF(LEDGER[LedgerCode],DEPTS[[#This Row],[LedgerCode]])&gt;0,0,1)</f>
        <v>0</v>
      </c>
      <c r="D335" s="43">
        <f>IF(LEN(DEPTS[[#This Row],[DepartmentCode]])&lt;100,0,1)</f>
        <v>0</v>
      </c>
      <c r="E335" s="43">
        <f>IF(LEN(DEPTS[[#This Row],[Title]])&lt;100,0,1)</f>
        <v>0</v>
      </c>
      <c r="F335" s="43">
        <f>SUM(DEPTS[[#This Row],[FundIssue]:[Title length check]])</f>
        <v>0</v>
      </c>
      <c r="G335" t="s">
        <v>2439</v>
      </c>
      <c r="H335" t="s">
        <v>2440</v>
      </c>
      <c r="I335" t="b">
        <v>0</v>
      </c>
      <c r="J335" t="s">
        <v>4326</v>
      </c>
      <c r="K335" t="s">
        <v>63</v>
      </c>
      <c r="L335" t="s">
        <v>63</v>
      </c>
      <c r="M335" t="s">
        <v>1532</v>
      </c>
      <c r="O335" t="b">
        <v>1</v>
      </c>
    </row>
    <row r="336" spans="1:15" x14ac:dyDescent="0.3">
      <c r="A336" s="43">
        <f>IF(COUNTIF(FUNDS[FundCode],DEPTS[[#This Row],[FundCode]])&gt;0,0,1)</f>
        <v>0</v>
      </c>
      <c r="B336" s="43">
        <f>IF(COUNTIF(ACTIVITIES[ActivityCode],DEPTS[[#This Row],[ActivityCode]])&gt;0,0,1)</f>
        <v>0</v>
      </c>
      <c r="C336" s="43">
        <f>IF(COUNTIF(LEDGER[LedgerCode],DEPTS[[#This Row],[LedgerCode]])&gt;0,0,1)</f>
        <v>0</v>
      </c>
      <c r="D336" s="43">
        <f>IF(LEN(DEPTS[[#This Row],[DepartmentCode]])&lt;100,0,1)</f>
        <v>0</v>
      </c>
      <c r="E336" s="43">
        <f>IF(LEN(DEPTS[[#This Row],[Title]])&lt;100,0,1)</f>
        <v>0</v>
      </c>
      <c r="F336" s="43">
        <f>SUM(DEPTS[[#This Row],[FundIssue]:[Title length check]])</f>
        <v>0</v>
      </c>
      <c r="G336" t="s">
        <v>2439</v>
      </c>
      <c r="H336" t="s">
        <v>2440</v>
      </c>
      <c r="I336" t="b">
        <v>0</v>
      </c>
      <c r="J336" t="s">
        <v>4327</v>
      </c>
      <c r="K336" t="s">
        <v>1963</v>
      </c>
      <c r="L336" t="s">
        <v>63</v>
      </c>
      <c r="M336" t="s">
        <v>1532</v>
      </c>
      <c r="O336" t="b">
        <v>1</v>
      </c>
    </row>
    <row r="337" spans="1:15" x14ac:dyDescent="0.3">
      <c r="A337" s="43">
        <f>IF(COUNTIF(FUNDS[FundCode],DEPTS[[#This Row],[FundCode]])&gt;0,0,1)</f>
        <v>0</v>
      </c>
      <c r="B337" s="43">
        <f>IF(COUNTIF(ACTIVITIES[ActivityCode],DEPTS[[#This Row],[ActivityCode]])&gt;0,0,1)</f>
        <v>0</v>
      </c>
      <c r="C337" s="43">
        <f>IF(COUNTIF(LEDGER[LedgerCode],DEPTS[[#This Row],[LedgerCode]])&gt;0,0,1)</f>
        <v>0</v>
      </c>
      <c r="D337" s="43">
        <f>IF(LEN(DEPTS[[#This Row],[DepartmentCode]])&lt;100,0,1)</f>
        <v>0</v>
      </c>
      <c r="E337" s="43">
        <f>IF(LEN(DEPTS[[#This Row],[Title]])&lt;100,0,1)</f>
        <v>0</v>
      </c>
      <c r="F337" s="43">
        <f>SUM(DEPTS[[#This Row],[FundIssue]:[Title length check]])</f>
        <v>0</v>
      </c>
      <c r="G337" t="s">
        <v>2441</v>
      </c>
      <c r="H337" t="s">
        <v>2442</v>
      </c>
      <c r="I337" t="b">
        <v>0</v>
      </c>
      <c r="J337" t="s">
        <v>51</v>
      </c>
      <c r="K337" t="s">
        <v>63</v>
      </c>
      <c r="L337" t="s">
        <v>63</v>
      </c>
      <c r="M337" t="s">
        <v>1966</v>
      </c>
      <c r="O337" t="b">
        <v>1</v>
      </c>
    </row>
    <row r="338" spans="1:15" x14ac:dyDescent="0.3">
      <c r="A338" s="43">
        <f>IF(COUNTIF(FUNDS[FundCode],DEPTS[[#This Row],[FundCode]])&gt;0,0,1)</f>
        <v>0</v>
      </c>
      <c r="B338" s="43">
        <f>IF(COUNTIF(ACTIVITIES[ActivityCode],DEPTS[[#This Row],[ActivityCode]])&gt;0,0,1)</f>
        <v>0</v>
      </c>
      <c r="C338" s="43">
        <f>IF(COUNTIF(LEDGER[LedgerCode],DEPTS[[#This Row],[LedgerCode]])&gt;0,0,1)</f>
        <v>0</v>
      </c>
      <c r="D338" s="43">
        <f>IF(LEN(DEPTS[[#This Row],[DepartmentCode]])&lt;100,0,1)</f>
        <v>0</v>
      </c>
      <c r="E338" s="43">
        <f>IF(LEN(DEPTS[[#This Row],[Title]])&lt;100,0,1)</f>
        <v>0</v>
      </c>
      <c r="F338" s="43">
        <f>SUM(DEPTS[[#This Row],[FundIssue]:[Title length check]])</f>
        <v>0</v>
      </c>
      <c r="G338" t="s">
        <v>2441</v>
      </c>
      <c r="H338" t="s">
        <v>2442</v>
      </c>
      <c r="I338" t="b">
        <v>0</v>
      </c>
      <c r="J338" t="s">
        <v>4326</v>
      </c>
      <c r="K338" t="s">
        <v>63</v>
      </c>
      <c r="L338" t="s">
        <v>63</v>
      </c>
      <c r="M338" t="s">
        <v>1532</v>
      </c>
      <c r="O338" t="b">
        <v>1</v>
      </c>
    </row>
    <row r="339" spans="1:15" x14ac:dyDescent="0.3">
      <c r="A339" s="43">
        <f>IF(COUNTIF(FUNDS[FundCode],DEPTS[[#This Row],[FundCode]])&gt;0,0,1)</f>
        <v>0</v>
      </c>
      <c r="B339" s="43">
        <f>IF(COUNTIF(ACTIVITIES[ActivityCode],DEPTS[[#This Row],[ActivityCode]])&gt;0,0,1)</f>
        <v>0</v>
      </c>
      <c r="C339" s="43">
        <f>IF(COUNTIF(LEDGER[LedgerCode],DEPTS[[#This Row],[LedgerCode]])&gt;0,0,1)</f>
        <v>0</v>
      </c>
      <c r="D339" s="43">
        <f>IF(LEN(DEPTS[[#This Row],[DepartmentCode]])&lt;100,0,1)</f>
        <v>0</v>
      </c>
      <c r="E339" s="43">
        <f>IF(LEN(DEPTS[[#This Row],[Title]])&lt;100,0,1)</f>
        <v>0</v>
      </c>
      <c r="F339" s="43">
        <f>SUM(DEPTS[[#This Row],[FundIssue]:[Title length check]])</f>
        <v>0</v>
      </c>
      <c r="G339" t="s">
        <v>2441</v>
      </c>
      <c r="H339" t="s">
        <v>2442</v>
      </c>
      <c r="I339" t="b">
        <v>0</v>
      </c>
      <c r="J339" t="s">
        <v>4327</v>
      </c>
      <c r="K339" t="s">
        <v>1963</v>
      </c>
      <c r="L339" t="s">
        <v>63</v>
      </c>
      <c r="M339" t="s">
        <v>1532</v>
      </c>
      <c r="O339" t="b">
        <v>1</v>
      </c>
    </row>
    <row r="340" spans="1:15" x14ac:dyDescent="0.3">
      <c r="A340" s="43">
        <f>IF(COUNTIF(FUNDS[FundCode],DEPTS[[#This Row],[FundCode]])&gt;0,0,1)</f>
        <v>0</v>
      </c>
      <c r="B340" s="43">
        <f>IF(COUNTIF(ACTIVITIES[ActivityCode],DEPTS[[#This Row],[ActivityCode]])&gt;0,0,1)</f>
        <v>0</v>
      </c>
      <c r="C340" s="43">
        <f>IF(COUNTIF(LEDGER[LedgerCode],DEPTS[[#This Row],[LedgerCode]])&gt;0,0,1)</f>
        <v>0</v>
      </c>
      <c r="D340" s="43">
        <f>IF(LEN(DEPTS[[#This Row],[DepartmentCode]])&lt;100,0,1)</f>
        <v>0</v>
      </c>
      <c r="E340" s="43">
        <f>IF(LEN(DEPTS[[#This Row],[Title]])&lt;100,0,1)</f>
        <v>0</v>
      </c>
      <c r="F340" s="43">
        <f>SUM(DEPTS[[#This Row],[FundIssue]:[Title length check]])</f>
        <v>0</v>
      </c>
      <c r="G340" t="s">
        <v>2443</v>
      </c>
      <c r="H340" t="s">
        <v>2434</v>
      </c>
      <c r="I340" t="b">
        <v>0</v>
      </c>
      <c r="J340" t="s">
        <v>51</v>
      </c>
      <c r="K340" t="s">
        <v>63</v>
      </c>
      <c r="L340" t="s">
        <v>63</v>
      </c>
      <c r="M340" t="s">
        <v>1966</v>
      </c>
      <c r="O340" t="b">
        <v>1</v>
      </c>
    </row>
    <row r="341" spans="1:15" x14ac:dyDescent="0.3">
      <c r="A341" s="43">
        <f>IF(COUNTIF(FUNDS[FundCode],DEPTS[[#This Row],[FundCode]])&gt;0,0,1)</f>
        <v>0</v>
      </c>
      <c r="B341" s="43">
        <f>IF(COUNTIF(ACTIVITIES[ActivityCode],DEPTS[[#This Row],[ActivityCode]])&gt;0,0,1)</f>
        <v>0</v>
      </c>
      <c r="C341" s="43">
        <f>IF(COUNTIF(LEDGER[LedgerCode],DEPTS[[#This Row],[LedgerCode]])&gt;0,0,1)</f>
        <v>0</v>
      </c>
      <c r="D341" s="43">
        <f>IF(LEN(DEPTS[[#This Row],[DepartmentCode]])&lt;100,0,1)</f>
        <v>0</v>
      </c>
      <c r="E341" s="43">
        <f>IF(LEN(DEPTS[[#This Row],[Title]])&lt;100,0,1)</f>
        <v>0</v>
      </c>
      <c r="F341" s="43">
        <f>SUM(DEPTS[[#This Row],[FundIssue]:[Title length check]])</f>
        <v>0</v>
      </c>
      <c r="G341" t="s">
        <v>2443</v>
      </c>
      <c r="H341" t="s">
        <v>2434</v>
      </c>
      <c r="I341" t="b">
        <v>0</v>
      </c>
      <c r="J341" t="s">
        <v>4326</v>
      </c>
      <c r="K341" t="s">
        <v>63</v>
      </c>
      <c r="L341" t="s">
        <v>63</v>
      </c>
      <c r="M341" t="s">
        <v>1532</v>
      </c>
      <c r="O341" t="b">
        <v>1</v>
      </c>
    </row>
    <row r="342" spans="1:15" x14ac:dyDescent="0.3">
      <c r="A342" s="43">
        <f>IF(COUNTIF(FUNDS[FundCode],DEPTS[[#This Row],[FundCode]])&gt;0,0,1)</f>
        <v>0</v>
      </c>
      <c r="B342" s="43">
        <f>IF(COUNTIF(ACTIVITIES[ActivityCode],DEPTS[[#This Row],[ActivityCode]])&gt;0,0,1)</f>
        <v>0</v>
      </c>
      <c r="C342" s="43">
        <f>IF(COUNTIF(LEDGER[LedgerCode],DEPTS[[#This Row],[LedgerCode]])&gt;0,0,1)</f>
        <v>0</v>
      </c>
      <c r="D342" s="43">
        <f>IF(LEN(DEPTS[[#This Row],[DepartmentCode]])&lt;100,0,1)</f>
        <v>0</v>
      </c>
      <c r="E342" s="43">
        <f>IF(LEN(DEPTS[[#This Row],[Title]])&lt;100,0,1)</f>
        <v>0</v>
      </c>
      <c r="F342" s="43">
        <f>SUM(DEPTS[[#This Row],[FundIssue]:[Title length check]])</f>
        <v>0</v>
      </c>
      <c r="G342" t="s">
        <v>2443</v>
      </c>
      <c r="H342" t="s">
        <v>2434</v>
      </c>
      <c r="I342" t="b">
        <v>0</v>
      </c>
      <c r="J342" t="s">
        <v>4327</v>
      </c>
      <c r="K342" t="s">
        <v>1963</v>
      </c>
      <c r="L342" t="s">
        <v>63</v>
      </c>
      <c r="M342" t="s">
        <v>1532</v>
      </c>
      <c r="O342" t="b">
        <v>1</v>
      </c>
    </row>
    <row r="343" spans="1:15" x14ac:dyDescent="0.3">
      <c r="A343" s="43">
        <f>IF(COUNTIF(FUNDS[FundCode],DEPTS[[#This Row],[FundCode]])&gt;0,0,1)</f>
        <v>0</v>
      </c>
      <c r="B343" s="43">
        <f>IF(COUNTIF(ACTIVITIES[ActivityCode],DEPTS[[#This Row],[ActivityCode]])&gt;0,0,1)</f>
        <v>0</v>
      </c>
      <c r="C343" s="43">
        <f>IF(COUNTIF(LEDGER[LedgerCode],DEPTS[[#This Row],[LedgerCode]])&gt;0,0,1)</f>
        <v>0</v>
      </c>
      <c r="D343" s="43">
        <f>IF(LEN(DEPTS[[#This Row],[DepartmentCode]])&lt;100,0,1)</f>
        <v>0</v>
      </c>
      <c r="E343" s="43">
        <f>IF(LEN(DEPTS[[#This Row],[Title]])&lt;100,0,1)</f>
        <v>0</v>
      </c>
      <c r="F343" s="43">
        <f>SUM(DEPTS[[#This Row],[FundIssue]:[Title length check]])</f>
        <v>0</v>
      </c>
      <c r="G343" t="s">
        <v>1955</v>
      </c>
      <c r="H343" t="s">
        <v>2444</v>
      </c>
      <c r="I343" t="b">
        <v>0</v>
      </c>
      <c r="J343" t="s">
        <v>2126</v>
      </c>
      <c r="K343" t="s">
        <v>63</v>
      </c>
      <c r="L343" t="s">
        <v>63</v>
      </c>
      <c r="M343" t="s">
        <v>1532</v>
      </c>
      <c r="O343" t="b">
        <v>1</v>
      </c>
    </row>
    <row r="344" spans="1:15" x14ac:dyDescent="0.3">
      <c r="A344" s="43">
        <f>IF(COUNTIF(FUNDS[FundCode],DEPTS[[#This Row],[FundCode]])&gt;0,0,1)</f>
        <v>0</v>
      </c>
      <c r="B344" s="43">
        <f>IF(COUNTIF(ACTIVITIES[ActivityCode],DEPTS[[#This Row],[ActivityCode]])&gt;0,0,1)</f>
        <v>0</v>
      </c>
      <c r="C344" s="43">
        <f>IF(COUNTIF(LEDGER[LedgerCode],DEPTS[[#This Row],[LedgerCode]])&gt;0,0,1)</f>
        <v>0</v>
      </c>
      <c r="D344" s="43">
        <f>IF(LEN(DEPTS[[#This Row],[DepartmentCode]])&lt;100,0,1)</f>
        <v>0</v>
      </c>
      <c r="E344" s="43">
        <f>IF(LEN(DEPTS[[#This Row],[Title]])&lt;100,0,1)</f>
        <v>0</v>
      </c>
      <c r="F344" s="43">
        <f>SUM(DEPTS[[#This Row],[FundIssue]:[Title length check]])</f>
        <v>0</v>
      </c>
      <c r="G344" t="s">
        <v>1955</v>
      </c>
      <c r="H344" t="s">
        <v>2444</v>
      </c>
      <c r="I344" t="b">
        <v>0</v>
      </c>
      <c r="J344" t="s">
        <v>4330</v>
      </c>
      <c r="K344" t="s">
        <v>63</v>
      </c>
      <c r="L344" t="s">
        <v>1949</v>
      </c>
      <c r="M344" t="s">
        <v>1532</v>
      </c>
      <c r="O344" t="b">
        <v>1</v>
      </c>
    </row>
    <row r="345" spans="1:15" x14ac:dyDescent="0.3">
      <c r="A345" s="43">
        <f>IF(COUNTIF(FUNDS[FundCode],DEPTS[[#This Row],[FundCode]])&gt;0,0,1)</f>
        <v>0</v>
      </c>
      <c r="B345" s="43">
        <f>IF(COUNTIF(ACTIVITIES[ActivityCode],DEPTS[[#This Row],[ActivityCode]])&gt;0,0,1)</f>
        <v>0</v>
      </c>
      <c r="C345" s="43">
        <f>IF(COUNTIF(LEDGER[LedgerCode],DEPTS[[#This Row],[LedgerCode]])&gt;0,0,1)</f>
        <v>0</v>
      </c>
      <c r="D345" s="43">
        <f>IF(LEN(DEPTS[[#This Row],[DepartmentCode]])&lt;100,0,1)</f>
        <v>0</v>
      </c>
      <c r="E345" s="43">
        <f>IF(LEN(DEPTS[[#This Row],[Title]])&lt;100,0,1)</f>
        <v>0</v>
      </c>
      <c r="F345" s="43">
        <f>SUM(DEPTS[[#This Row],[FundIssue]:[Title length check]])</f>
        <v>0</v>
      </c>
      <c r="G345" t="s">
        <v>1955</v>
      </c>
      <c r="H345" t="s">
        <v>2444</v>
      </c>
      <c r="I345" t="b">
        <v>0</v>
      </c>
      <c r="J345" t="s">
        <v>51</v>
      </c>
      <c r="K345" t="s">
        <v>1963</v>
      </c>
      <c r="L345" t="s">
        <v>1949</v>
      </c>
      <c r="M345" t="s">
        <v>1966</v>
      </c>
      <c r="O345" t="b">
        <v>1</v>
      </c>
    </row>
    <row r="346" spans="1:15" x14ac:dyDescent="0.3">
      <c r="A346" s="43">
        <f>IF(COUNTIF(FUNDS[FundCode],DEPTS[[#This Row],[FundCode]])&gt;0,0,1)</f>
        <v>0</v>
      </c>
      <c r="B346" s="43">
        <f>IF(COUNTIF(ACTIVITIES[ActivityCode],DEPTS[[#This Row],[ActivityCode]])&gt;0,0,1)</f>
        <v>0</v>
      </c>
      <c r="C346" s="43">
        <f>IF(COUNTIF(LEDGER[LedgerCode],DEPTS[[#This Row],[LedgerCode]])&gt;0,0,1)</f>
        <v>0</v>
      </c>
      <c r="D346" s="43">
        <f>IF(LEN(DEPTS[[#This Row],[DepartmentCode]])&lt;100,0,1)</f>
        <v>0</v>
      </c>
      <c r="E346" s="43">
        <f>IF(LEN(DEPTS[[#This Row],[Title]])&lt;100,0,1)</f>
        <v>0</v>
      </c>
      <c r="F346" s="43">
        <f>SUM(DEPTS[[#This Row],[FundIssue]:[Title length check]])</f>
        <v>0</v>
      </c>
      <c r="G346" t="s">
        <v>2445</v>
      </c>
      <c r="H346" t="s">
        <v>2446</v>
      </c>
      <c r="I346" t="b">
        <v>0</v>
      </c>
      <c r="J346" t="s">
        <v>51</v>
      </c>
      <c r="K346" t="s">
        <v>63</v>
      </c>
      <c r="L346" t="s">
        <v>63</v>
      </c>
      <c r="M346" t="s">
        <v>1966</v>
      </c>
      <c r="O346" t="b">
        <v>1</v>
      </c>
    </row>
    <row r="347" spans="1:15" x14ac:dyDescent="0.3">
      <c r="A347" s="43">
        <f>IF(COUNTIF(FUNDS[FundCode],DEPTS[[#This Row],[FundCode]])&gt;0,0,1)</f>
        <v>0</v>
      </c>
      <c r="B347" s="43">
        <f>IF(COUNTIF(ACTIVITIES[ActivityCode],DEPTS[[#This Row],[ActivityCode]])&gt;0,0,1)</f>
        <v>0</v>
      </c>
      <c r="C347" s="43">
        <f>IF(COUNTIF(LEDGER[LedgerCode],DEPTS[[#This Row],[LedgerCode]])&gt;0,0,1)</f>
        <v>0</v>
      </c>
      <c r="D347" s="43">
        <f>IF(LEN(DEPTS[[#This Row],[DepartmentCode]])&lt;100,0,1)</f>
        <v>0</v>
      </c>
      <c r="E347" s="43">
        <f>IF(LEN(DEPTS[[#This Row],[Title]])&lt;100,0,1)</f>
        <v>0</v>
      </c>
      <c r="F347" s="43">
        <f>SUM(DEPTS[[#This Row],[FundIssue]:[Title length check]])</f>
        <v>0</v>
      </c>
      <c r="G347" t="s">
        <v>2445</v>
      </c>
      <c r="H347" t="s">
        <v>2446</v>
      </c>
      <c r="I347" t="b">
        <v>0</v>
      </c>
      <c r="J347" t="s">
        <v>4326</v>
      </c>
      <c r="K347" t="s">
        <v>63</v>
      </c>
      <c r="L347" t="s">
        <v>63</v>
      </c>
      <c r="M347" t="s">
        <v>1532</v>
      </c>
      <c r="O347" t="b">
        <v>1</v>
      </c>
    </row>
    <row r="348" spans="1:15" x14ac:dyDescent="0.3">
      <c r="A348" s="43">
        <f>IF(COUNTIF(FUNDS[FundCode],DEPTS[[#This Row],[FundCode]])&gt;0,0,1)</f>
        <v>0</v>
      </c>
      <c r="B348" s="43">
        <f>IF(COUNTIF(ACTIVITIES[ActivityCode],DEPTS[[#This Row],[ActivityCode]])&gt;0,0,1)</f>
        <v>0</v>
      </c>
      <c r="C348" s="43">
        <f>IF(COUNTIF(LEDGER[LedgerCode],DEPTS[[#This Row],[LedgerCode]])&gt;0,0,1)</f>
        <v>0</v>
      </c>
      <c r="D348" s="43">
        <f>IF(LEN(DEPTS[[#This Row],[DepartmentCode]])&lt;100,0,1)</f>
        <v>0</v>
      </c>
      <c r="E348" s="43">
        <f>IF(LEN(DEPTS[[#This Row],[Title]])&lt;100,0,1)</f>
        <v>0</v>
      </c>
      <c r="F348" s="43">
        <f>SUM(DEPTS[[#This Row],[FundIssue]:[Title length check]])</f>
        <v>0</v>
      </c>
      <c r="G348" t="s">
        <v>2445</v>
      </c>
      <c r="H348" t="s">
        <v>2446</v>
      </c>
      <c r="I348" t="b">
        <v>0</v>
      </c>
      <c r="J348" t="s">
        <v>4327</v>
      </c>
      <c r="K348" t="s">
        <v>1963</v>
      </c>
      <c r="L348" t="s">
        <v>63</v>
      </c>
      <c r="M348" t="s">
        <v>1532</v>
      </c>
      <c r="O348" t="b">
        <v>1</v>
      </c>
    </row>
    <row r="349" spans="1:15" x14ac:dyDescent="0.3">
      <c r="A349" s="43">
        <f>IF(COUNTIF(FUNDS[FundCode],DEPTS[[#This Row],[FundCode]])&gt;0,0,1)</f>
        <v>0</v>
      </c>
      <c r="B349" s="43">
        <f>IF(COUNTIF(ACTIVITIES[ActivityCode],DEPTS[[#This Row],[ActivityCode]])&gt;0,0,1)</f>
        <v>0</v>
      </c>
      <c r="C349" s="43">
        <f>IF(COUNTIF(LEDGER[LedgerCode],DEPTS[[#This Row],[LedgerCode]])&gt;0,0,1)</f>
        <v>0</v>
      </c>
      <c r="D349" s="43">
        <f>IF(LEN(DEPTS[[#This Row],[DepartmentCode]])&lt;100,0,1)</f>
        <v>0</v>
      </c>
      <c r="E349" s="43">
        <f>IF(LEN(DEPTS[[#This Row],[Title]])&lt;100,0,1)</f>
        <v>0</v>
      </c>
      <c r="F349" s="43">
        <f>SUM(DEPTS[[#This Row],[FundIssue]:[Title length check]])</f>
        <v>0</v>
      </c>
      <c r="G349" t="s">
        <v>2447</v>
      </c>
      <c r="H349" t="s">
        <v>2448</v>
      </c>
      <c r="I349" t="b">
        <v>0</v>
      </c>
      <c r="J349" t="s">
        <v>51</v>
      </c>
      <c r="K349" t="s">
        <v>1963</v>
      </c>
      <c r="L349" t="s">
        <v>63</v>
      </c>
      <c r="M349" t="s">
        <v>1532</v>
      </c>
      <c r="O349" t="b">
        <v>1</v>
      </c>
    </row>
    <row r="350" spans="1:15" x14ac:dyDescent="0.3">
      <c r="A350" s="43">
        <f>IF(COUNTIF(FUNDS[FundCode],DEPTS[[#This Row],[FundCode]])&gt;0,0,1)</f>
        <v>0</v>
      </c>
      <c r="B350" s="43">
        <f>IF(COUNTIF(ACTIVITIES[ActivityCode],DEPTS[[#This Row],[ActivityCode]])&gt;0,0,1)</f>
        <v>0</v>
      </c>
      <c r="C350" s="43">
        <f>IF(COUNTIF(LEDGER[LedgerCode],DEPTS[[#This Row],[LedgerCode]])&gt;0,0,1)</f>
        <v>0</v>
      </c>
      <c r="D350" s="43">
        <f>IF(LEN(DEPTS[[#This Row],[DepartmentCode]])&lt;100,0,1)</f>
        <v>0</v>
      </c>
      <c r="E350" s="43">
        <f>IF(LEN(DEPTS[[#This Row],[Title]])&lt;100,0,1)</f>
        <v>0</v>
      </c>
      <c r="F350" s="43">
        <f>SUM(DEPTS[[#This Row],[FundIssue]:[Title length check]])</f>
        <v>0</v>
      </c>
      <c r="G350" t="s">
        <v>1959</v>
      </c>
      <c r="H350" t="s">
        <v>1960</v>
      </c>
      <c r="I350" t="b">
        <v>0</v>
      </c>
      <c r="J350" t="s">
        <v>2299</v>
      </c>
      <c r="K350" t="s">
        <v>63</v>
      </c>
      <c r="L350" t="s">
        <v>1949</v>
      </c>
      <c r="M350" t="s">
        <v>1532</v>
      </c>
      <c r="O350" t="b">
        <v>1</v>
      </c>
    </row>
    <row r="351" spans="1:15" x14ac:dyDescent="0.3">
      <c r="A351" s="43">
        <f>IF(COUNTIF(FUNDS[FundCode],DEPTS[[#This Row],[FundCode]])&gt;0,0,1)</f>
        <v>0</v>
      </c>
      <c r="B351" s="43">
        <f>IF(COUNTIF(ACTIVITIES[ActivityCode],DEPTS[[#This Row],[ActivityCode]])&gt;0,0,1)</f>
        <v>0</v>
      </c>
      <c r="C351" s="43">
        <f>IF(COUNTIF(LEDGER[LedgerCode],DEPTS[[#This Row],[LedgerCode]])&gt;0,0,1)</f>
        <v>0</v>
      </c>
      <c r="D351" s="43">
        <f>IF(LEN(DEPTS[[#This Row],[DepartmentCode]])&lt;100,0,1)</f>
        <v>0</v>
      </c>
      <c r="E351" s="43">
        <f>IF(LEN(DEPTS[[#This Row],[Title]])&lt;100,0,1)</f>
        <v>0</v>
      </c>
      <c r="F351" s="43">
        <f>SUM(DEPTS[[#This Row],[FundIssue]:[Title length check]])</f>
        <v>0</v>
      </c>
      <c r="G351" t="s">
        <v>1959</v>
      </c>
      <c r="H351" t="s">
        <v>1960</v>
      </c>
      <c r="I351" t="b">
        <v>0</v>
      </c>
      <c r="J351" t="s">
        <v>2449</v>
      </c>
      <c r="K351" t="s">
        <v>1959</v>
      </c>
      <c r="L351" t="s">
        <v>1949</v>
      </c>
      <c r="M351" t="s">
        <v>1532</v>
      </c>
      <c r="O351" t="b">
        <v>1</v>
      </c>
    </row>
    <row r="352" spans="1:15" x14ac:dyDescent="0.3">
      <c r="A352" s="43">
        <f>IF(COUNTIF(FUNDS[FundCode],DEPTS[[#This Row],[FundCode]])&gt;0,0,1)</f>
        <v>0</v>
      </c>
      <c r="B352" s="43">
        <f>IF(COUNTIF(ACTIVITIES[ActivityCode],DEPTS[[#This Row],[ActivityCode]])&gt;0,0,1)</f>
        <v>0</v>
      </c>
      <c r="C352" s="43">
        <f>IF(COUNTIF(LEDGER[LedgerCode],DEPTS[[#This Row],[LedgerCode]])&gt;0,0,1)</f>
        <v>0</v>
      </c>
      <c r="D352" s="43">
        <f>IF(LEN(DEPTS[[#This Row],[DepartmentCode]])&lt;100,0,1)</f>
        <v>0</v>
      </c>
      <c r="E352" s="43">
        <f>IF(LEN(DEPTS[[#This Row],[Title]])&lt;100,0,1)</f>
        <v>0</v>
      </c>
      <c r="F352" s="43">
        <f>SUM(DEPTS[[#This Row],[FundIssue]:[Title length check]])</f>
        <v>0</v>
      </c>
      <c r="G352" t="s">
        <v>4923</v>
      </c>
      <c r="H352" t="s">
        <v>1960</v>
      </c>
      <c r="I352" t="b">
        <v>0</v>
      </c>
      <c r="J352" t="s">
        <v>51</v>
      </c>
      <c r="K352" t="s">
        <v>63</v>
      </c>
      <c r="L352" t="s">
        <v>1949</v>
      </c>
      <c r="M352" t="s">
        <v>1532</v>
      </c>
      <c r="O352" t="b">
        <v>1</v>
      </c>
    </row>
    <row r="353" spans="1:15" x14ac:dyDescent="0.3">
      <c r="A353" s="43">
        <f>IF(COUNTIF(FUNDS[FundCode],DEPTS[[#This Row],[FundCode]])&gt;0,0,1)</f>
        <v>0</v>
      </c>
      <c r="B353" s="43">
        <f>IF(COUNTIF(ACTIVITIES[ActivityCode],DEPTS[[#This Row],[ActivityCode]])&gt;0,0,1)</f>
        <v>0</v>
      </c>
      <c r="C353" s="43">
        <f>IF(COUNTIF(LEDGER[LedgerCode],DEPTS[[#This Row],[LedgerCode]])&gt;0,0,1)</f>
        <v>0</v>
      </c>
      <c r="D353" s="43">
        <f>IF(LEN(DEPTS[[#This Row],[DepartmentCode]])&lt;100,0,1)</f>
        <v>0</v>
      </c>
      <c r="E353" s="43">
        <f>IF(LEN(DEPTS[[#This Row],[Title]])&lt;100,0,1)</f>
        <v>0</v>
      </c>
      <c r="F353" s="43">
        <f>SUM(DEPTS[[#This Row],[FundIssue]:[Title length check]])</f>
        <v>0</v>
      </c>
      <c r="G353" t="s">
        <v>2450</v>
      </c>
      <c r="H353" t="s">
        <v>2451</v>
      </c>
      <c r="I353" t="b">
        <v>0</v>
      </c>
      <c r="J353" t="s">
        <v>2200</v>
      </c>
      <c r="K353" t="s">
        <v>63</v>
      </c>
      <c r="L353" t="s">
        <v>63</v>
      </c>
      <c r="M353" t="s">
        <v>1532</v>
      </c>
      <c r="O353" t="b">
        <v>1</v>
      </c>
    </row>
    <row r="354" spans="1:15" x14ac:dyDescent="0.3">
      <c r="A354" s="43">
        <f>IF(COUNTIF(FUNDS[FundCode],DEPTS[[#This Row],[FundCode]])&gt;0,0,1)</f>
        <v>0</v>
      </c>
      <c r="B354" s="43">
        <f>IF(COUNTIF(ACTIVITIES[ActivityCode],DEPTS[[#This Row],[ActivityCode]])&gt;0,0,1)</f>
        <v>0</v>
      </c>
      <c r="C354" s="43">
        <f>IF(COUNTIF(LEDGER[LedgerCode],DEPTS[[#This Row],[LedgerCode]])&gt;0,0,1)</f>
        <v>0</v>
      </c>
      <c r="D354" s="43">
        <f>IF(LEN(DEPTS[[#This Row],[DepartmentCode]])&lt;100,0,1)</f>
        <v>0</v>
      </c>
      <c r="E354" s="43">
        <f>IF(LEN(DEPTS[[#This Row],[Title]])&lt;100,0,1)</f>
        <v>0</v>
      </c>
      <c r="F354" s="43">
        <f>SUM(DEPTS[[#This Row],[FundIssue]:[Title length check]])</f>
        <v>0</v>
      </c>
      <c r="G354" t="s">
        <v>2452</v>
      </c>
      <c r="H354" t="s">
        <v>2453</v>
      </c>
      <c r="I354" t="b">
        <v>0</v>
      </c>
      <c r="J354" t="s">
        <v>51</v>
      </c>
      <c r="K354" t="s">
        <v>63</v>
      </c>
      <c r="L354" t="s">
        <v>63</v>
      </c>
      <c r="M354" t="s">
        <v>1966</v>
      </c>
      <c r="O354" t="b">
        <v>1</v>
      </c>
    </row>
    <row r="355" spans="1:15" x14ac:dyDescent="0.3">
      <c r="A355" s="43">
        <f>IF(COUNTIF(FUNDS[FundCode],DEPTS[[#This Row],[FundCode]])&gt;0,0,1)</f>
        <v>0</v>
      </c>
      <c r="B355" s="43">
        <f>IF(COUNTIF(ACTIVITIES[ActivityCode],DEPTS[[#This Row],[ActivityCode]])&gt;0,0,1)</f>
        <v>0</v>
      </c>
      <c r="C355" s="43">
        <f>IF(COUNTIF(LEDGER[LedgerCode],DEPTS[[#This Row],[LedgerCode]])&gt;0,0,1)</f>
        <v>0</v>
      </c>
      <c r="D355" s="43">
        <f>IF(LEN(DEPTS[[#This Row],[DepartmentCode]])&lt;100,0,1)</f>
        <v>0</v>
      </c>
      <c r="E355" s="43">
        <f>IF(LEN(DEPTS[[#This Row],[Title]])&lt;100,0,1)</f>
        <v>0</v>
      </c>
      <c r="F355" s="43">
        <f>SUM(DEPTS[[#This Row],[FundIssue]:[Title length check]])</f>
        <v>0</v>
      </c>
      <c r="G355" t="s">
        <v>2452</v>
      </c>
      <c r="H355" t="s">
        <v>2453</v>
      </c>
      <c r="I355" t="b">
        <v>0</v>
      </c>
      <c r="J355" t="s">
        <v>4326</v>
      </c>
      <c r="K355" t="s">
        <v>63</v>
      </c>
      <c r="L355" t="s">
        <v>63</v>
      </c>
      <c r="M355" t="s">
        <v>1532</v>
      </c>
      <c r="O355" t="b">
        <v>1</v>
      </c>
    </row>
    <row r="356" spans="1:15" x14ac:dyDescent="0.3">
      <c r="A356" s="43">
        <f>IF(COUNTIF(FUNDS[FundCode],DEPTS[[#This Row],[FundCode]])&gt;0,0,1)</f>
        <v>0</v>
      </c>
      <c r="B356" s="43">
        <f>IF(COUNTIF(ACTIVITIES[ActivityCode],DEPTS[[#This Row],[ActivityCode]])&gt;0,0,1)</f>
        <v>0</v>
      </c>
      <c r="C356" s="43">
        <f>IF(COUNTIF(LEDGER[LedgerCode],DEPTS[[#This Row],[LedgerCode]])&gt;0,0,1)</f>
        <v>0</v>
      </c>
      <c r="D356" s="43">
        <f>IF(LEN(DEPTS[[#This Row],[DepartmentCode]])&lt;100,0,1)</f>
        <v>0</v>
      </c>
      <c r="E356" s="43">
        <f>IF(LEN(DEPTS[[#This Row],[Title]])&lt;100,0,1)</f>
        <v>0</v>
      </c>
      <c r="F356" s="43">
        <f>SUM(DEPTS[[#This Row],[FundIssue]:[Title length check]])</f>
        <v>0</v>
      </c>
      <c r="G356" t="s">
        <v>2452</v>
      </c>
      <c r="H356" t="s">
        <v>2453</v>
      </c>
      <c r="I356" t="b">
        <v>0</v>
      </c>
      <c r="J356" t="s">
        <v>4327</v>
      </c>
      <c r="K356" t="s">
        <v>1963</v>
      </c>
      <c r="L356" t="s">
        <v>63</v>
      </c>
      <c r="M356" t="s">
        <v>1532</v>
      </c>
      <c r="O356" t="b">
        <v>1</v>
      </c>
    </row>
    <row r="357" spans="1:15" x14ac:dyDescent="0.3">
      <c r="A357" s="43">
        <f>IF(COUNTIF(FUNDS[FundCode],DEPTS[[#This Row],[FundCode]])&gt;0,0,1)</f>
        <v>0</v>
      </c>
      <c r="B357" s="43">
        <f>IF(COUNTIF(ACTIVITIES[ActivityCode],DEPTS[[#This Row],[ActivityCode]])&gt;0,0,1)</f>
        <v>0</v>
      </c>
      <c r="C357" s="43">
        <f>IF(COUNTIF(LEDGER[LedgerCode],DEPTS[[#This Row],[LedgerCode]])&gt;0,0,1)</f>
        <v>0</v>
      </c>
      <c r="D357" s="43">
        <f>IF(LEN(DEPTS[[#This Row],[DepartmentCode]])&lt;100,0,1)</f>
        <v>0</v>
      </c>
      <c r="E357" s="43">
        <f>IF(LEN(DEPTS[[#This Row],[Title]])&lt;100,0,1)</f>
        <v>0</v>
      </c>
      <c r="F357" s="43">
        <f>SUM(DEPTS[[#This Row],[FundIssue]:[Title length check]])</f>
        <v>0</v>
      </c>
      <c r="G357" t="s">
        <v>2454</v>
      </c>
      <c r="H357" t="s">
        <v>2455</v>
      </c>
      <c r="I357" t="b">
        <v>0</v>
      </c>
      <c r="J357" t="s">
        <v>2126</v>
      </c>
      <c r="K357" t="s">
        <v>63</v>
      </c>
      <c r="L357" t="s">
        <v>63</v>
      </c>
      <c r="M357" t="s">
        <v>1532</v>
      </c>
      <c r="O357" t="b">
        <v>1</v>
      </c>
    </row>
    <row r="358" spans="1:15" x14ac:dyDescent="0.3">
      <c r="A358" s="43">
        <f>IF(COUNTIF(FUNDS[FundCode],DEPTS[[#This Row],[FundCode]])&gt;0,0,1)</f>
        <v>0</v>
      </c>
      <c r="B358" s="43">
        <f>IF(COUNTIF(ACTIVITIES[ActivityCode],DEPTS[[#This Row],[ActivityCode]])&gt;0,0,1)</f>
        <v>0</v>
      </c>
      <c r="C358" s="43">
        <f>IF(COUNTIF(LEDGER[LedgerCode],DEPTS[[#This Row],[LedgerCode]])&gt;0,0,1)</f>
        <v>0</v>
      </c>
      <c r="D358" s="43">
        <f>IF(LEN(DEPTS[[#This Row],[DepartmentCode]])&lt;100,0,1)</f>
        <v>0</v>
      </c>
      <c r="E358" s="43">
        <f>IF(LEN(DEPTS[[#This Row],[Title]])&lt;100,0,1)</f>
        <v>0</v>
      </c>
      <c r="F358" s="43">
        <f>SUM(DEPTS[[#This Row],[FundIssue]:[Title length check]])</f>
        <v>0</v>
      </c>
      <c r="G358" t="s">
        <v>2454</v>
      </c>
      <c r="H358" t="s">
        <v>2455</v>
      </c>
      <c r="I358" t="b">
        <v>0</v>
      </c>
      <c r="J358" t="s">
        <v>2094</v>
      </c>
      <c r="K358" t="s">
        <v>63</v>
      </c>
      <c r="L358" t="s">
        <v>1945</v>
      </c>
      <c r="M358" t="s">
        <v>1532</v>
      </c>
      <c r="O358" t="b">
        <v>1</v>
      </c>
    </row>
    <row r="359" spans="1:15" x14ac:dyDescent="0.3">
      <c r="A359" s="43">
        <f>IF(COUNTIF(FUNDS[FundCode],DEPTS[[#This Row],[FundCode]])&gt;0,0,1)</f>
        <v>0</v>
      </c>
      <c r="B359" s="43">
        <f>IF(COUNTIF(ACTIVITIES[ActivityCode],DEPTS[[#This Row],[ActivityCode]])&gt;0,0,1)</f>
        <v>0</v>
      </c>
      <c r="C359" s="43">
        <f>IF(COUNTIF(LEDGER[LedgerCode],DEPTS[[#This Row],[LedgerCode]])&gt;0,0,1)</f>
        <v>0</v>
      </c>
      <c r="D359" s="43">
        <f>IF(LEN(DEPTS[[#This Row],[DepartmentCode]])&lt;100,0,1)</f>
        <v>0</v>
      </c>
      <c r="E359" s="43">
        <f>IF(LEN(DEPTS[[#This Row],[Title]])&lt;100,0,1)</f>
        <v>0</v>
      </c>
      <c r="F359" s="43">
        <f>SUM(DEPTS[[#This Row],[FundIssue]:[Title length check]])</f>
        <v>0</v>
      </c>
      <c r="G359" t="s">
        <v>2454</v>
      </c>
      <c r="H359" t="s">
        <v>2455</v>
      </c>
      <c r="I359" t="b">
        <v>0</v>
      </c>
      <c r="J359" t="s">
        <v>51</v>
      </c>
      <c r="K359" t="s">
        <v>1963</v>
      </c>
      <c r="L359" t="s">
        <v>1945</v>
      </c>
      <c r="M359" t="s">
        <v>1966</v>
      </c>
      <c r="O359" t="b">
        <v>1</v>
      </c>
    </row>
    <row r="360" spans="1:15" x14ac:dyDescent="0.3">
      <c r="A360" s="43">
        <f>IF(COUNTIF(FUNDS[FundCode],DEPTS[[#This Row],[FundCode]])&gt;0,0,1)</f>
        <v>0</v>
      </c>
      <c r="B360" s="43">
        <f>IF(COUNTIF(ACTIVITIES[ActivityCode],DEPTS[[#This Row],[ActivityCode]])&gt;0,0,1)</f>
        <v>0</v>
      </c>
      <c r="C360" s="43">
        <f>IF(COUNTIF(LEDGER[LedgerCode],DEPTS[[#This Row],[LedgerCode]])&gt;0,0,1)</f>
        <v>0</v>
      </c>
      <c r="D360" s="43">
        <f>IF(LEN(DEPTS[[#This Row],[DepartmentCode]])&lt;100,0,1)</f>
        <v>0</v>
      </c>
      <c r="E360" s="43">
        <f>IF(LEN(DEPTS[[#This Row],[Title]])&lt;100,0,1)</f>
        <v>0</v>
      </c>
      <c r="F360" s="43">
        <f>SUM(DEPTS[[#This Row],[FundIssue]:[Title length check]])</f>
        <v>0</v>
      </c>
      <c r="G360" t="s">
        <v>2454</v>
      </c>
      <c r="H360" t="s">
        <v>2455</v>
      </c>
      <c r="I360" t="b">
        <v>0</v>
      </c>
      <c r="J360" t="s">
        <v>2082</v>
      </c>
      <c r="K360" t="s">
        <v>1963</v>
      </c>
      <c r="L360" t="s">
        <v>1945</v>
      </c>
      <c r="M360" t="s">
        <v>1532</v>
      </c>
      <c r="O360" t="b">
        <v>1</v>
      </c>
    </row>
    <row r="361" spans="1:15" x14ac:dyDescent="0.3">
      <c r="A361" s="43">
        <f>IF(COUNTIF(FUNDS[FundCode],DEPTS[[#This Row],[FundCode]])&gt;0,0,1)</f>
        <v>0</v>
      </c>
      <c r="B361" s="43">
        <f>IF(COUNTIF(ACTIVITIES[ActivityCode],DEPTS[[#This Row],[ActivityCode]])&gt;0,0,1)</f>
        <v>0</v>
      </c>
      <c r="C361" s="43">
        <f>IF(COUNTIF(LEDGER[LedgerCode],DEPTS[[#This Row],[LedgerCode]])&gt;0,0,1)</f>
        <v>0</v>
      </c>
      <c r="D361" s="43">
        <f>IF(LEN(DEPTS[[#This Row],[DepartmentCode]])&lt;100,0,1)</f>
        <v>0</v>
      </c>
      <c r="E361" s="43">
        <f>IF(LEN(DEPTS[[#This Row],[Title]])&lt;100,0,1)</f>
        <v>0</v>
      </c>
      <c r="F361" s="43">
        <f>SUM(DEPTS[[#This Row],[FundIssue]:[Title length check]])</f>
        <v>0</v>
      </c>
      <c r="G361" t="s">
        <v>2456</v>
      </c>
      <c r="H361" t="s">
        <v>2457</v>
      </c>
      <c r="I361" t="b">
        <v>0</v>
      </c>
      <c r="J361" t="s">
        <v>51</v>
      </c>
      <c r="K361" t="s">
        <v>63</v>
      </c>
      <c r="L361" t="s">
        <v>63</v>
      </c>
      <c r="M361" t="s">
        <v>1966</v>
      </c>
      <c r="O361" t="b">
        <v>1</v>
      </c>
    </row>
    <row r="362" spans="1:15" x14ac:dyDescent="0.3">
      <c r="A362" s="43">
        <f>IF(COUNTIF(FUNDS[FundCode],DEPTS[[#This Row],[FundCode]])&gt;0,0,1)</f>
        <v>0</v>
      </c>
      <c r="B362" s="43">
        <f>IF(COUNTIF(ACTIVITIES[ActivityCode],DEPTS[[#This Row],[ActivityCode]])&gt;0,0,1)</f>
        <v>0</v>
      </c>
      <c r="C362" s="43">
        <f>IF(COUNTIF(LEDGER[LedgerCode],DEPTS[[#This Row],[LedgerCode]])&gt;0,0,1)</f>
        <v>0</v>
      </c>
      <c r="D362" s="43">
        <f>IF(LEN(DEPTS[[#This Row],[DepartmentCode]])&lt;100,0,1)</f>
        <v>0</v>
      </c>
      <c r="E362" s="43">
        <f>IF(LEN(DEPTS[[#This Row],[Title]])&lt;100,0,1)</f>
        <v>0</v>
      </c>
      <c r="F362" s="43">
        <f>SUM(DEPTS[[#This Row],[FundIssue]:[Title length check]])</f>
        <v>0</v>
      </c>
      <c r="G362" t="s">
        <v>2456</v>
      </c>
      <c r="H362" t="s">
        <v>2457</v>
      </c>
      <c r="I362" t="b">
        <v>0</v>
      </c>
      <c r="J362" t="s">
        <v>4326</v>
      </c>
      <c r="K362" t="s">
        <v>63</v>
      </c>
      <c r="L362" t="s">
        <v>63</v>
      </c>
      <c r="M362" t="s">
        <v>1532</v>
      </c>
      <c r="O362" t="b">
        <v>1</v>
      </c>
    </row>
    <row r="363" spans="1:15" x14ac:dyDescent="0.3">
      <c r="A363" s="43">
        <f>IF(COUNTIF(FUNDS[FundCode],DEPTS[[#This Row],[FundCode]])&gt;0,0,1)</f>
        <v>0</v>
      </c>
      <c r="B363" s="43">
        <f>IF(COUNTIF(ACTIVITIES[ActivityCode],DEPTS[[#This Row],[ActivityCode]])&gt;0,0,1)</f>
        <v>0</v>
      </c>
      <c r="C363" s="43">
        <f>IF(COUNTIF(LEDGER[LedgerCode],DEPTS[[#This Row],[LedgerCode]])&gt;0,0,1)</f>
        <v>0</v>
      </c>
      <c r="D363" s="43">
        <f>IF(LEN(DEPTS[[#This Row],[DepartmentCode]])&lt;100,0,1)</f>
        <v>0</v>
      </c>
      <c r="E363" s="43">
        <f>IF(LEN(DEPTS[[#This Row],[Title]])&lt;100,0,1)</f>
        <v>0</v>
      </c>
      <c r="F363" s="43">
        <f>SUM(DEPTS[[#This Row],[FundIssue]:[Title length check]])</f>
        <v>0</v>
      </c>
      <c r="G363" t="s">
        <v>2456</v>
      </c>
      <c r="H363" t="s">
        <v>2457</v>
      </c>
      <c r="I363" t="b">
        <v>0</v>
      </c>
      <c r="J363" t="s">
        <v>4327</v>
      </c>
      <c r="K363" t="s">
        <v>1963</v>
      </c>
      <c r="L363" t="s">
        <v>63</v>
      </c>
      <c r="M363" t="s">
        <v>1532</v>
      </c>
      <c r="O363" t="b">
        <v>1</v>
      </c>
    </row>
    <row r="364" spans="1:15" x14ac:dyDescent="0.3">
      <c r="A364" s="43">
        <f>IF(COUNTIF(FUNDS[FundCode],DEPTS[[#This Row],[FundCode]])&gt;0,0,1)</f>
        <v>0</v>
      </c>
      <c r="B364" s="43">
        <f>IF(COUNTIF(ACTIVITIES[ActivityCode],DEPTS[[#This Row],[ActivityCode]])&gt;0,0,1)</f>
        <v>0</v>
      </c>
      <c r="C364" s="43">
        <f>IF(COUNTIF(LEDGER[LedgerCode],DEPTS[[#This Row],[LedgerCode]])&gt;0,0,1)</f>
        <v>0</v>
      </c>
      <c r="D364" s="43">
        <f>IF(LEN(DEPTS[[#This Row],[DepartmentCode]])&lt;100,0,1)</f>
        <v>0</v>
      </c>
      <c r="E364" s="43">
        <f>IF(LEN(DEPTS[[#This Row],[Title]])&lt;100,0,1)</f>
        <v>0</v>
      </c>
      <c r="F364" s="43">
        <f>SUM(DEPTS[[#This Row],[FundIssue]:[Title length check]])</f>
        <v>0</v>
      </c>
      <c r="G364" t="s">
        <v>2458</v>
      </c>
      <c r="H364" t="s">
        <v>2459</v>
      </c>
      <c r="I364" t="b">
        <v>0</v>
      </c>
      <c r="J364" t="s">
        <v>51</v>
      </c>
      <c r="K364" t="s">
        <v>63</v>
      </c>
      <c r="L364" t="s">
        <v>63</v>
      </c>
      <c r="M364" t="s">
        <v>1966</v>
      </c>
      <c r="O364" t="b">
        <v>1</v>
      </c>
    </row>
    <row r="365" spans="1:15" x14ac:dyDescent="0.3">
      <c r="A365" s="43">
        <f>IF(COUNTIF(FUNDS[FundCode],DEPTS[[#This Row],[FundCode]])&gt;0,0,1)</f>
        <v>0</v>
      </c>
      <c r="B365" s="43">
        <f>IF(COUNTIF(ACTIVITIES[ActivityCode],DEPTS[[#This Row],[ActivityCode]])&gt;0,0,1)</f>
        <v>0</v>
      </c>
      <c r="C365" s="43">
        <f>IF(COUNTIF(LEDGER[LedgerCode],DEPTS[[#This Row],[LedgerCode]])&gt;0,0,1)</f>
        <v>0</v>
      </c>
      <c r="D365" s="43">
        <f>IF(LEN(DEPTS[[#This Row],[DepartmentCode]])&lt;100,0,1)</f>
        <v>0</v>
      </c>
      <c r="E365" s="43">
        <f>IF(LEN(DEPTS[[#This Row],[Title]])&lt;100,0,1)</f>
        <v>0</v>
      </c>
      <c r="F365" s="43">
        <f>SUM(DEPTS[[#This Row],[FundIssue]:[Title length check]])</f>
        <v>0</v>
      </c>
      <c r="G365" t="s">
        <v>2458</v>
      </c>
      <c r="H365" t="s">
        <v>2459</v>
      </c>
      <c r="I365" t="b">
        <v>0</v>
      </c>
      <c r="J365" t="s">
        <v>4326</v>
      </c>
      <c r="K365" t="s">
        <v>63</v>
      </c>
      <c r="L365" t="s">
        <v>63</v>
      </c>
      <c r="M365" t="s">
        <v>1532</v>
      </c>
      <c r="O365" t="b">
        <v>1</v>
      </c>
    </row>
    <row r="366" spans="1:15" x14ac:dyDescent="0.3">
      <c r="A366" s="43">
        <f>IF(COUNTIF(FUNDS[FundCode],DEPTS[[#This Row],[FundCode]])&gt;0,0,1)</f>
        <v>0</v>
      </c>
      <c r="B366" s="43">
        <f>IF(COUNTIF(ACTIVITIES[ActivityCode],DEPTS[[#This Row],[ActivityCode]])&gt;0,0,1)</f>
        <v>0</v>
      </c>
      <c r="C366" s="43">
        <f>IF(COUNTIF(LEDGER[LedgerCode],DEPTS[[#This Row],[LedgerCode]])&gt;0,0,1)</f>
        <v>0</v>
      </c>
      <c r="D366" s="43">
        <f>IF(LEN(DEPTS[[#This Row],[DepartmentCode]])&lt;100,0,1)</f>
        <v>0</v>
      </c>
      <c r="E366" s="43">
        <f>IF(LEN(DEPTS[[#This Row],[Title]])&lt;100,0,1)</f>
        <v>0</v>
      </c>
      <c r="F366" s="43">
        <f>SUM(DEPTS[[#This Row],[FundIssue]:[Title length check]])</f>
        <v>0</v>
      </c>
      <c r="G366" t="s">
        <v>2458</v>
      </c>
      <c r="H366" t="s">
        <v>2459</v>
      </c>
      <c r="I366" t="b">
        <v>0</v>
      </c>
      <c r="J366" t="s">
        <v>4327</v>
      </c>
      <c r="K366" t="s">
        <v>1963</v>
      </c>
      <c r="L366" t="s">
        <v>63</v>
      </c>
      <c r="M366" t="s">
        <v>1532</v>
      </c>
      <c r="O366" t="b">
        <v>1</v>
      </c>
    </row>
    <row r="367" spans="1:15" x14ac:dyDescent="0.3">
      <c r="A367" s="43">
        <f>IF(COUNTIF(FUNDS[FundCode],DEPTS[[#This Row],[FundCode]])&gt;0,0,1)</f>
        <v>0</v>
      </c>
      <c r="B367" s="43">
        <f>IF(COUNTIF(ACTIVITIES[ActivityCode],DEPTS[[#This Row],[ActivityCode]])&gt;0,0,1)</f>
        <v>0</v>
      </c>
      <c r="C367" s="43">
        <f>IF(COUNTIF(LEDGER[LedgerCode],DEPTS[[#This Row],[LedgerCode]])&gt;0,0,1)</f>
        <v>0</v>
      </c>
      <c r="D367" s="43">
        <f>IF(LEN(DEPTS[[#This Row],[DepartmentCode]])&lt;100,0,1)</f>
        <v>0</v>
      </c>
      <c r="E367" s="43">
        <f>IF(LEN(DEPTS[[#This Row],[Title]])&lt;100,0,1)</f>
        <v>0</v>
      </c>
      <c r="F367" s="43">
        <f>SUM(DEPTS[[#This Row],[FundIssue]:[Title length check]])</f>
        <v>0</v>
      </c>
      <c r="G367" t="s">
        <v>2460</v>
      </c>
      <c r="H367" t="s">
        <v>2461</v>
      </c>
      <c r="I367" t="b">
        <v>0</v>
      </c>
      <c r="J367" t="s">
        <v>51</v>
      </c>
      <c r="K367" t="s">
        <v>63</v>
      </c>
      <c r="L367" t="s">
        <v>63</v>
      </c>
      <c r="M367" t="s">
        <v>1966</v>
      </c>
      <c r="O367" t="b">
        <v>1</v>
      </c>
    </row>
    <row r="368" spans="1:15" x14ac:dyDescent="0.3">
      <c r="A368" s="43">
        <f>IF(COUNTIF(FUNDS[FundCode],DEPTS[[#This Row],[FundCode]])&gt;0,0,1)</f>
        <v>0</v>
      </c>
      <c r="B368" s="43">
        <f>IF(COUNTIF(ACTIVITIES[ActivityCode],DEPTS[[#This Row],[ActivityCode]])&gt;0,0,1)</f>
        <v>0</v>
      </c>
      <c r="C368" s="43">
        <f>IF(COUNTIF(LEDGER[LedgerCode],DEPTS[[#This Row],[LedgerCode]])&gt;0,0,1)</f>
        <v>0</v>
      </c>
      <c r="D368" s="43">
        <f>IF(LEN(DEPTS[[#This Row],[DepartmentCode]])&lt;100,0,1)</f>
        <v>0</v>
      </c>
      <c r="E368" s="43">
        <f>IF(LEN(DEPTS[[#This Row],[Title]])&lt;100,0,1)</f>
        <v>0</v>
      </c>
      <c r="F368" s="43">
        <f>SUM(DEPTS[[#This Row],[FundIssue]:[Title length check]])</f>
        <v>0</v>
      </c>
      <c r="G368" t="s">
        <v>2460</v>
      </c>
      <c r="H368" t="s">
        <v>2461</v>
      </c>
      <c r="I368" t="b">
        <v>0</v>
      </c>
      <c r="J368" t="s">
        <v>4326</v>
      </c>
      <c r="K368" t="s">
        <v>63</v>
      </c>
      <c r="L368" t="s">
        <v>63</v>
      </c>
      <c r="M368" t="s">
        <v>1532</v>
      </c>
      <c r="O368" t="b">
        <v>1</v>
      </c>
    </row>
    <row r="369" spans="1:15" x14ac:dyDescent="0.3">
      <c r="A369" s="43">
        <f>IF(COUNTIF(FUNDS[FundCode],DEPTS[[#This Row],[FundCode]])&gt;0,0,1)</f>
        <v>0</v>
      </c>
      <c r="B369" s="43">
        <f>IF(COUNTIF(ACTIVITIES[ActivityCode],DEPTS[[#This Row],[ActivityCode]])&gt;0,0,1)</f>
        <v>0</v>
      </c>
      <c r="C369" s="43">
        <f>IF(COUNTIF(LEDGER[LedgerCode],DEPTS[[#This Row],[LedgerCode]])&gt;0,0,1)</f>
        <v>0</v>
      </c>
      <c r="D369" s="43">
        <f>IF(LEN(DEPTS[[#This Row],[DepartmentCode]])&lt;100,0,1)</f>
        <v>0</v>
      </c>
      <c r="E369" s="43">
        <f>IF(LEN(DEPTS[[#This Row],[Title]])&lt;100,0,1)</f>
        <v>0</v>
      </c>
      <c r="F369" s="43">
        <f>SUM(DEPTS[[#This Row],[FundIssue]:[Title length check]])</f>
        <v>0</v>
      </c>
      <c r="G369" t="s">
        <v>2460</v>
      </c>
      <c r="H369" t="s">
        <v>2461</v>
      </c>
      <c r="I369" t="b">
        <v>0</v>
      </c>
      <c r="J369" t="s">
        <v>4327</v>
      </c>
      <c r="K369" t="s">
        <v>1963</v>
      </c>
      <c r="L369" t="s">
        <v>63</v>
      </c>
      <c r="M369" t="s">
        <v>1532</v>
      </c>
      <c r="O369" t="b">
        <v>1</v>
      </c>
    </row>
    <row r="370" spans="1:15" x14ac:dyDescent="0.3">
      <c r="A370" s="43">
        <f>IF(COUNTIF(FUNDS[FundCode],DEPTS[[#This Row],[FundCode]])&gt;0,0,1)</f>
        <v>0</v>
      </c>
      <c r="B370" s="43">
        <f>IF(COUNTIF(ACTIVITIES[ActivityCode],DEPTS[[#This Row],[ActivityCode]])&gt;0,0,1)</f>
        <v>0</v>
      </c>
      <c r="C370" s="43">
        <f>IF(COUNTIF(LEDGER[LedgerCode],DEPTS[[#This Row],[LedgerCode]])&gt;0,0,1)</f>
        <v>0</v>
      </c>
      <c r="D370" s="43">
        <f>IF(LEN(DEPTS[[#This Row],[DepartmentCode]])&lt;100,0,1)</f>
        <v>0</v>
      </c>
      <c r="E370" s="43">
        <f>IF(LEN(DEPTS[[#This Row],[Title]])&lt;100,0,1)</f>
        <v>0</v>
      </c>
      <c r="F370" s="43">
        <f>SUM(DEPTS[[#This Row],[FundIssue]:[Title length check]])</f>
        <v>0</v>
      </c>
      <c r="G370" t="s">
        <v>2462</v>
      </c>
      <c r="H370" t="s">
        <v>2463</v>
      </c>
      <c r="I370" t="b">
        <v>0</v>
      </c>
      <c r="J370" t="s">
        <v>51</v>
      </c>
      <c r="K370" t="s">
        <v>63</v>
      </c>
      <c r="L370" t="s">
        <v>63</v>
      </c>
      <c r="M370" t="s">
        <v>1966</v>
      </c>
      <c r="O370" t="b">
        <v>1</v>
      </c>
    </row>
    <row r="371" spans="1:15" x14ac:dyDescent="0.3">
      <c r="A371" s="43">
        <f>IF(COUNTIF(FUNDS[FundCode],DEPTS[[#This Row],[FundCode]])&gt;0,0,1)</f>
        <v>0</v>
      </c>
      <c r="B371" s="43">
        <f>IF(COUNTIF(ACTIVITIES[ActivityCode],DEPTS[[#This Row],[ActivityCode]])&gt;0,0,1)</f>
        <v>0</v>
      </c>
      <c r="C371" s="43">
        <f>IF(COUNTIF(LEDGER[LedgerCode],DEPTS[[#This Row],[LedgerCode]])&gt;0,0,1)</f>
        <v>0</v>
      </c>
      <c r="D371" s="43">
        <f>IF(LEN(DEPTS[[#This Row],[DepartmentCode]])&lt;100,0,1)</f>
        <v>0</v>
      </c>
      <c r="E371" s="43">
        <f>IF(LEN(DEPTS[[#This Row],[Title]])&lt;100,0,1)</f>
        <v>0</v>
      </c>
      <c r="F371" s="43">
        <f>SUM(DEPTS[[#This Row],[FundIssue]:[Title length check]])</f>
        <v>0</v>
      </c>
      <c r="G371" t="s">
        <v>2462</v>
      </c>
      <c r="H371" t="s">
        <v>2463</v>
      </c>
      <c r="I371" t="b">
        <v>0</v>
      </c>
      <c r="J371" t="s">
        <v>4326</v>
      </c>
      <c r="K371" t="s">
        <v>63</v>
      </c>
      <c r="L371" t="s">
        <v>63</v>
      </c>
      <c r="M371" t="s">
        <v>1532</v>
      </c>
      <c r="O371" t="b">
        <v>1</v>
      </c>
    </row>
    <row r="372" spans="1:15" x14ac:dyDescent="0.3">
      <c r="A372" s="43">
        <f>IF(COUNTIF(FUNDS[FundCode],DEPTS[[#This Row],[FundCode]])&gt;0,0,1)</f>
        <v>0</v>
      </c>
      <c r="B372" s="43">
        <f>IF(COUNTIF(ACTIVITIES[ActivityCode],DEPTS[[#This Row],[ActivityCode]])&gt;0,0,1)</f>
        <v>0</v>
      </c>
      <c r="C372" s="43">
        <f>IF(COUNTIF(LEDGER[LedgerCode],DEPTS[[#This Row],[LedgerCode]])&gt;0,0,1)</f>
        <v>0</v>
      </c>
      <c r="D372" s="43">
        <f>IF(LEN(DEPTS[[#This Row],[DepartmentCode]])&lt;100,0,1)</f>
        <v>0</v>
      </c>
      <c r="E372" s="43">
        <f>IF(LEN(DEPTS[[#This Row],[Title]])&lt;100,0,1)</f>
        <v>0</v>
      </c>
      <c r="F372" s="43">
        <f>SUM(DEPTS[[#This Row],[FundIssue]:[Title length check]])</f>
        <v>0</v>
      </c>
      <c r="G372" t="s">
        <v>2462</v>
      </c>
      <c r="H372" t="s">
        <v>2463</v>
      </c>
      <c r="I372" t="b">
        <v>0</v>
      </c>
      <c r="J372" t="s">
        <v>4327</v>
      </c>
      <c r="K372" t="s">
        <v>1963</v>
      </c>
      <c r="L372" t="s">
        <v>63</v>
      </c>
      <c r="M372" t="s">
        <v>1532</v>
      </c>
      <c r="O372" t="b">
        <v>1</v>
      </c>
    </row>
    <row r="373" spans="1:15" x14ac:dyDescent="0.3">
      <c r="A373" s="43">
        <f>IF(COUNTIF(FUNDS[FundCode],DEPTS[[#This Row],[FundCode]])&gt;0,0,1)</f>
        <v>0</v>
      </c>
      <c r="B373" s="43">
        <f>IF(COUNTIF(ACTIVITIES[ActivityCode],DEPTS[[#This Row],[ActivityCode]])&gt;0,0,1)</f>
        <v>0</v>
      </c>
      <c r="C373" s="43">
        <f>IF(COUNTIF(LEDGER[LedgerCode],DEPTS[[#This Row],[LedgerCode]])&gt;0,0,1)</f>
        <v>0</v>
      </c>
      <c r="D373" s="43">
        <f>IF(LEN(DEPTS[[#This Row],[DepartmentCode]])&lt;100,0,1)</f>
        <v>0</v>
      </c>
      <c r="E373" s="43">
        <f>IF(LEN(DEPTS[[#This Row],[Title]])&lt;100,0,1)</f>
        <v>0</v>
      </c>
      <c r="F373" s="43">
        <f>SUM(DEPTS[[#This Row],[FundIssue]:[Title length check]])</f>
        <v>0</v>
      </c>
      <c r="G373" t="s">
        <v>1943</v>
      </c>
      <c r="H373" t="s">
        <v>1944</v>
      </c>
      <c r="I373" t="b">
        <v>0</v>
      </c>
      <c r="J373" t="s">
        <v>51</v>
      </c>
      <c r="K373" t="s">
        <v>63</v>
      </c>
      <c r="L373" t="s">
        <v>63</v>
      </c>
      <c r="M373" t="s">
        <v>1966</v>
      </c>
      <c r="O373" t="b">
        <v>1</v>
      </c>
    </row>
    <row r="374" spans="1:15" x14ac:dyDescent="0.3">
      <c r="A374" s="43">
        <f>IF(COUNTIF(FUNDS[FundCode],DEPTS[[#This Row],[FundCode]])&gt;0,0,1)</f>
        <v>0</v>
      </c>
      <c r="B374" s="43">
        <f>IF(COUNTIF(ACTIVITIES[ActivityCode],DEPTS[[#This Row],[ActivityCode]])&gt;0,0,1)</f>
        <v>0</v>
      </c>
      <c r="C374" s="43">
        <f>IF(COUNTIF(LEDGER[LedgerCode],DEPTS[[#This Row],[LedgerCode]])&gt;0,0,1)</f>
        <v>0</v>
      </c>
      <c r="D374" s="43">
        <f>IF(LEN(DEPTS[[#This Row],[DepartmentCode]])&lt;100,0,1)</f>
        <v>0</v>
      </c>
      <c r="E374" s="43">
        <f>IF(LEN(DEPTS[[#This Row],[Title]])&lt;100,0,1)</f>
        <v>0</v>
      </c>
      <c r="F374" s="43">
        <f>SUM(DEPTS[[#This Row],[FundIssue]:[Title length check]])</f>
        <v>0</v>
      </c>
      <c r="G374" t="s">
        <v>1943</v>
      </c>
      <c r="H374" t="s">
        <v>1944</v>
      </c>
      <c r="I374" t="b">
        <v>0</v>
      </c>
      <c r="J374" t="s">
        <v>4326</v>
      </c>
      <c r="K374" t="s">
        <v>63</v>
      </c>
      <c r="L374" t="s">
        <v>63</v>
      </c>
      <c r="M374" t="s">
        <v>1532</v>
      </c>
      <c r="O374" t="b">
        <v>1</v>
      </c>
    </row>
    <row r="375" spans="1:15" x14ac:dyDescent="0.3">
      <c r="A375" s="43">
        <f>IF(COUNTIF(FUNDS[FundCode],DEPTS[[#This Row],[FundCode]])&gt;0,0,1)</f>
        <v>0</v>
      </c>
      <c r="B375" s="43">
        <f>IF(COUNTIF(ACTIVITIES[ActivityCode],DEPTS[[#This Row],[ActivityCode]])&gt;0,0,1)</f>
        <v>0</v>
      </c>
      <c r="C375" s="43">
        <f>IF(COUNTIF(LEDGER[LedgerCode],DEPTS[[#This Row],[LedgerCode]])&gt;0,0,1)</f>
        <v>0</v>
      </c>
      <c r="D375" s="43">
        <f>IF(LEN(DEPTS[[#This Row],[DepartmentCode]])&lt;100,0,1)</f>
        <v>0</v>
      </c>
      <c r="E375" s="43">
        <f>IF(LEN(DEPTS[[#This Row],[Title]])&lt;100,0,1)</f>
        <v>0</v>
      </c>
      <c r="F375" s="43">
        <f>SUM(DEPTS[[#This Row],[FundIssue]:[Title length check]])</f>
        <v>0</v>
      </c>
      <c r="G375" t="s">
        <v>1943</v>
      </c>
      <c r="H375" t="s">
        <v>1944</v>
      </c>
      <c r="I375" t="b">
        <v>0</v>
      </c>
      <c r="J375" t="s">
        <v>4327</v>
      </c>
      <c r="K375" t="s">
        <v>1963</v>
      </c>
      <c r="L375" t="s">
        <v>63</v>
      </c>
      <c r="M375" t="s">
        <v>1532</v>
      </c>
      <c r="O375" t="b">
        <v>1</v>
      </c>
    </row>
    <row r="376" spans="1:15" x14ac:dyDescent="0.3">
      <c r="A376" s="43">
        <f>IF(COUNTIF(FUNDS[FundCode],DEPTS[[#This Row],[FundCode]])&gt;0,0,1)</f>
        <v>0</v>
      </c>
      <c r="B376" s="43">
        <f>IF(COUNTIF(ACTIVITIES[ActivityCode],DEPTS[[#This Row],[ActivityCode]])&gt;0,0,1)</f>
        <v>0</v>
      </c>
      <c r="C376" s="43">
        <f>IF(COUNTIF(LEDGER[LedgerCode],DEPTS[[#This Row],[LedgerCode]])&gt;0,0,1)</f>
        <v>0</v>
      </c>
      <c r="D376" s="43">
        <f>IF(LEN(DEPTS[[#This Row],[DepartmentCode]])&lt;100,0,1)</f>
        <v>0</v>
      </c>
      <c r="E376" s="43">
        <f>IF(LEN(DEPTS[[#This Row],[Title]])&lt;100,0,1)</f>
        <v>0</v>
      </c>
      <c r="F376" s="43">
        <f>SUM(DEPTS[[#This Row],[FundIssue]:[Title length check]])</f>
        <v>0</v>
      </c>
      <c r="G376" t="s">
        <v>2464</v>
      </c>
      <c r="H376" t="s">
        <v>2465</v>
      </c>
      <c r="I376" t="b">
        <v>0</v>
      </c>
      <c r="J376" t="s">
        <v>51</v>
      </c>
      <c r="K376" t="s">
        <v>63</v>
      </c>
      <c r="L376" t="s">
        <v>63</v>
      </c>
      <c r="M376" t="s">
        <v>1966</v>
      </c>
      <c r="O376" t="b">
        <v>1</v>
      </c>
    </row>
    <row r="377" spans="1:15" x14ac:dyDescent="0.3">
      <c r="A377" s="43">
        <f>IF(COUNTIF(FUNDS[FundCode],DEPTS[[#This Row],[FundCode]])&gt;0,0,1)</f>
        <v>0</v>
      </c>
      <c r="B377" s="43">
        <f>IF(COUNTIF(ACTIVITIES[ActivityCode],DEPTS[[#This Row],[ActivityCode]])&gt;0,0,1)</f>
        <v>0</v>
      </c>
      <c r="C377" s="43">
        <f>IF(COUNTIF(LEDGER[LedgerCode],DEPTS[[#This Row],[LedgerCode]])&gt;0,0,1)</f>
        <v>0</v>
      </c>
      <c r="D377" s="43">
        <f>IF(LEN(DEPTS[[#This Row],[DepartmentCode]])&lt;100,0,1)</f>
        <v>0</v>
      </c>
      <c r="E377" s="43">
        <f>IF(LEN(DEPTS[[#This Row],[Title]])&lt;100,0,1)</f>
        <v>0</v>
      </c>
      <c r="F377" s="43">
        <f>SUM(DEPTS[[#This Row],[FundIssue]:[Title length check]])</f>
        <v>0</v>
      </c>
      <c r="G377" t="s">
        <v>2464</v>
      </c>
      <c r="H377" t="s">
        <v>2465</v>
      </c>
      <c r="I377" t="b">
        <v>0</v>
      </c>
      <c r="J377" t="s">
        <v>4342</v>
      </c>
      <c r="K377" t="s">
        <v>63</v>
      </c>
      <c r="L377" t="s">
        <v>63</v>
      </c>
      <c r="M377" t="s">
        <v>1532</v>
      </c>
      <c r="O377" t="b">
        <v>1</v>
      </c>
    </row>
    <row r="378" spans="1:15" x14ac:dyDescent="0.3">
      <c r="A378" s="43">
        <f>IF(COUNTIF(FUNDS[FundCode],DEPTS[[#This Row],[FundCode]])&gt;0,0,1)</f>
        <v>0</v>
      </c>
      <c r="B378" s="43">
        <f>IF(COUNTIF(ACTIVITIES[ActivityCode],DEPTS[[#This Row],[ActivityCode]])&gt;0,0,1)</f>
        <v>0</v>
      </c>
      <c r="C378" s="43">
        <f>IF(COUNTIF(LEDGER[LedgerCode],DEPTS[[#This Row],[LedgerCode]])&gt;0,0,1)</f>
        <v>0</v>
      </c>
      <c r="D378" s="43">
        <f>IF(LEN(DEPTS[[#This Row],[DepartmentCode]])&lt;100,0,1)</f>
        <v>0</v>
      </c>
      <c r="E378" s="43">
        <f>IF(LEN(DEPTS[[#This Row],[Title]])&lt;100,0,1)</f>
        <v>0</v>
      </c>
      <c r="F378" s="43">
        <f>SUM(DEPTS[[#This Row],[FundIssue]:[Title length check]])</f>
        <v>0</v>
      </c>
      <c r="G378" t="s">
        <v>2464</v>
      </c>
      <c r="H378" t="s">
        <v>2465</v>
      </c>
      <c r="I378" t="b">
        <v>0</v>
      </c>
      <c r="J378" t="s">
        <v>4343</v>
      </c>
      <c r="K378" t="s">
        <v>1963</v>
      </c>
      <c r="L378" t="s">
        <v>63</v>
      </c>
      <c r="M378" t="s">
        <v>1532</v>
      </c>
      <c r="O378" t="b">
        <v>1</v>
      </c>
    </row>
    <row r="379" spans="1:15" x14ac:dyDescent="0.3">
      <c r="A379" s="43">
        <f>IF(COUNTIF(FUNDS[FundCode],DEPTS[[#This Row],[FundCode]])&gt;0,0,1)</f>
        <v>0</v>
      </c>
      <c r="B379" s="43">
        <f>IF(COUNTIF(ACTIVITIES[ActivityCode],DEPTS[[#This Row],[ActivityCode]])&gt;0,0,1)</f>
        <v>0</v>
      </c>
      <c r="C379" s="43">
        <f>IF(COUNTIF(LEDGER[LedgerCode],DEPTS[[#This Row],[LedgerCode]])&gt;0,0,1)</f>
        <v>0</v>
      </c>
      <c r="D379" s="43">
        <f>IF(LEN(DEPTS[[#This Row],[DepartmentCode]])&lt;100,0,1)</f>
        <v>0</v>
      </c>
      <c r="E379" s="43">
        <f>IF(LEN(DEPTS[[#This Row],[Title]])&lt;100,0,1)</f>
        <v>0</v>
      </c>
      <c r="F379" s="43">
        <f>SUM(DEPTS[[#This Row],[FundIssue]:[Title length check]])</f>
        <v>0</v>
      </c>
      <c r="G379" t="s">
        <v>2466</v>
      </c>
      <c r="H379" t="s">
        <v>2467</v>
      </c>
      <c r="I379" t="b">
        <v>0</v>
      </c>
      <c r="J379" t="s">
        <v>51</v>
      </c>
      <c r="K379" t="s">
        <v>63</v>
      </c>
      <c r="L379" t="s">
        <v>63</v>
      </c>
      <c r="M379" t="s">
        <v>1966</v>
      </c>
      <c r="O379" t="b">
        <v>1</v>
      </c>
    </row>
    <row r="380" spans="1:15" x14ac:dyDescent="0.3">
      <c r="A380" s="43">
        <f>IF(COUNTIF(FUNDS[FundCode],DEPTS[[#This Row],[FundCode]])&gt;0,0,1)</f>
        <v>0</v>
      </c>
      <c r="B380" s="43">
        <f>IF(COUNTIF(ACTIVITIES[ActivityCode],DEPTS[[#This Row],[ActivityCode]])&gt;0,0,1)</f>
        <v>0</v>
      </c>
      <c r="C380" s="43">
        <f>IF(COUNTIF(LEDGER[LedgerCode],DEPTS[[#This Row],[LedgerCode]])&gt;0,0,1)</f>
        <v>0</v>
      </c>
      <c r="D380" s="43">
        <f>IF(LEN(DEPTS[[#This Row],[DepartmentCode]])&lt;100,0,1)</f>
        <v>0</v>
      </c>
      <c r="E380" s="43">
        <f>IF(LEN(DEPTS[[#This Row],[Title]])&lt;100,0,1)</f>
        <v>0</v>
      </c>
      <c r="F380" s="43">
        <f>SUM(DEPTS[[#This Row],[FundIssue]:[Title length check]])</f>
        <v>0</v>
      </c>
      <c r="G380" t="s">
        <v>2466</v>
      </c>
      <c r="H380" t="s">
        <v>2467</v>
      </c>
      <c r="I380" t="b">
        <v>0</v>
      </c>
      <c r="J380" t="s">
        <v>4326</v>
      </c>
      <c r="K380" t="s">
        <v>63</v>
      </c>
      <c r="L380" t="s">
        <v>63</v>
      </c>
      <c r="M380" t="s">
        <v>1532</v>
      </c>
      <c r="O380" t="b">
        <v>1</v>
      </c>
    </row>
    <row r="381" spans="1:15" x14ac:dyDescent="0.3">
      <c r="A381" s="43">
        <f>IF(COUNTIF(FUNDS[FundCode],DEPTS[[#This Row],[FundCode]])&gt;0,0,1)</f>
        <v>0</v>
      </c>
      <c r="B381" s="43">
        <f>IF(COUNTIF(ACTIVITIES[ActivityCode],DEPTS[[#This Row],[ActivityCode]])&gt;0,0,1)</f>
        <v>0</v>
      </c>
      <c r="C381" s="43">
        <f>IF(COUNTIF(LEDGER[LedgerCode],DEPTS[[#This Row],[LedgerCode]])&gt;0,0,1)</f>
        <v>0</v>
      </c>
      <c r="D381" s="43">
        <f>IF(LEN(DEPTS[[#This Row],[DepartmentCode]])&lt;100,0,1)</f>
        <v>0</v>
      </c>
      <c r="E381" s="43">
        <f>IF(LEN(DEPTS[[#This Row],[Title]])&lt;100,0,1)</f>
        <v>0</v>
      </c>
      <c r="F381" s="43">
        <f>SUM(DEPTS[[#This Row],[FundIssue]:[Title length check]])</f>
        <v>0</v>
      </c>
      <c r="G381" t="s">
        <v>2466</v>
      </c>
      <c r="H381" t="s">
        <v>2467</v>
      </c>
      <c r="I381" t="b">
        <v>0</v>
      </c>
      <c r="J381" t="s">
        <v>4327</v>
      </c>
      <c r="K381" t="s">
        <v>1963</v>
      </c>
      <c r="L381" t="s">
        <v>63</v>
      </c>
      <c r="M381" t="s">
        <v>1532</v>
      </c>
      <c r="O381" t="b">
        <v>1</v>
      </c>
    </row>
    <row r="382" spans="1:15" x14ac:dyDescent="0.3">
      <c r="A382" s="43">
        <f>IF(COUNTIF(FUNDS[FundCode],DEPTS[[#This Row],[FundCode]])&gt;0,0,1)</f>
        <v>0</v>
      </c>
      <c r="B382" s="43">
        <f>IF(COUNTIF(ACTIVITIES[ActivityCode],DEPTS[[#This Row],[ActivityCode]])&gt;0,0,1)</f>
        <v>0</v>
      </c>
      <c r="C382" s="43">
        <f>IF(COUNTIF(LEDGER[LedgerCode],DEPTS[[#This Row],[LedgerCode]])&gt;0,0,1)</f>
        <v>0</v>
      </c>
      <c r="D382" s="43">
        <f>IF(LEN(DEPTS[[#This Row],[DepartmentCode]])&lt;100,0,1)</f>
        <v>0</v>
      </c>
      <c r="E382" s="43">
        <f>IF(LEN(DEPTS[[#This Row],[Title]])&lt;100,0,1)</f>
        <v>0</v>
      </c>
      <c r="F382" s="43">
        <f>SUM(DEPTS[[#This Row],[FundIssue]:[Title length check]])</f>
        <v>0</v>
      </c>
      <c r="G382" t="s">
        <v>2468</v>
      </c>
      <c r="H382" t="s">
        <v>2469</v>
      </c>
      <c r="I382" t="b">
        <v>0</v>
      </c>
      <c r="J382" t="s">
        <v>51</v>
      </c>
      <c r="K382" t="s">
        <v>63</v>
      </c>
      <c r="L382" t="s">
        <v>63</v>
      </c>
      <c r="M382" t="s">
        <v>1966</v>
      </c>
      <c r="O382" t="b">
        <v>1</v>
      </c>
    </row>
    <row r="383" spans="1:15" x14ac:dyDescent="0.3">
      <c r="A383" s="43">
        <f>IF(COUNTIF(FUNDS[FundCode],DEPTS[[#This Row],[FundCode]])&gt;0,0,1)</f>
        <v>0</v>
      </c>
      <c r="B383" s="43">
        <f>IF(COUNTIF(ACTIVITIES[ActivityCode],DEPTS[[#This Row],[ActivityCode]])&gt;0,0,1)</f>
        <v>0</v>
      </c>
      <c r="C383" s="43">
        <f>IF(COUNTIF(LEDGER[LedgerCode],DEPTS[[#This Row],[LedgerCode]])&gt;0,0,1)</f>
        <v>0</v>
      </c>
      <c r="D383" s="43">
        <f>IF(LEN(DEPTS[[#This Row],[DepartmentCode]])&lt;100,0,1)</f>
        <v>0</v>
      </c>
      <c r="E383" s="43">
        <f>IF(LEN(DEPTS[[#This Row],[Title]])&lt;100,0,1)</f>
        <v>0</v>
      </c>
      <c r="F383" s="43">
        <f>SUM(DEPTS[[#This Row],[FundIssue]:[Title length check]])</f>
        <v>0</v>
      </c>
      <c r="G383" t="s">
        <v>2468</v>
      </c>
      <c r="H383" t="s">
        <v>2469</v>
      </c>
      <c r="I383" t="b">
        <v>0</v>
      </c>
      <c r="J383" t="s">
        <v>4326</v>
      </c>
      <c r="K383" t="s">
        <v>63</v>
      </c>
      <c r="L383" t="s">
        <v>63</v>
      </c>
      <c r="M383" t="s">
        <v>1532</v>
      </c>
      <c r="O383" t="b">
        <v>1</v>
      </c>
    </row>
    <row r="384" spans="1:15" x14ac:dyDescent="0.3">
      <c r="A384" s="43">
        <f>IF(COUNTIF(FUNDS[FundCode],DEPTS[[#This Row],[FundCode]])&gt;0,0,1)</f>
        <v>0</v>
      </c>
      <c r="B384" s="43">
        <f>IF(COUNTIF(ACTIVITIES[ActivityCode],DEPTS[[#This Row],[ActivityCode]])&gt;0,0,1)</f>
        <v>0</v>
      </c>
      <c r="C384" s="43">
        <f>IF(COUNTIF(LEDGER[LedgerCode],DEPTS[[#This Row],[LedgerCode]])&gt;0,0,1)</f>
        <v>0</v>
      </c>
      <c r="D384" s="43">
        <f>IF(LEN(DEPTS[[#This Row],[DepartmentCode]])&lt;100,0,1)</f>
        <v>0</v>
      </c>
      <c r="E384" s="43">
        <f>IF(LEN(DEPTS[[#This Row],[Title]])&lt;100,0,1)</f>
        <v>0</v>
      </c>
      <c r="F384" s="43">
        <f>SUM(DEPTS[[#This Row],[FundIssue]:[Title length check]])</f>
        <v>0</v>
      </c>
      <c r="G384" t="s">
        <v>2468</v>
      </c>
      <c r="H384" t="s">
        <v>2469</v>
      </c>
      <c r="I384" t="b">
        <v>0</v>
      </c>
      <c r="J384" t="s">
        <v>4327</v>
      </c>
      <c r="K384" t="s">
        <v>1963</v>
      </c>
      <c r="L384" t="s">
        <v>63</v>
      </c>
      <c r="M384" t="s">
        <v>1532</v>
      </c>
      <c r="O384" t="b">
        <v>1</v>
      </c>
    </row>
    <row r="385" spans="1:15" x14ac:dyDescent="0.3">
      <c r="A385" s="43">
        <f>IF(COUNTIF(FUNDS[FundCode],DEPTS[[#This Row],[FundCode]])&gt;0,0,1)</f>
        <v>0</v>
      </c>
      <c r="B385" s="43">
        <f>IF(COUNTIF(ACTIVITIES[ActivityCode],DEPTS[[#This Row],[ActivityCode]])&gt;0,0,1)</f>
        <v>0</v>
      </c>
      <c r="C385" s="43">
        <f>IF(COUNTIF(LEDGER[LedgerCode],DEPTS[[#This Row],[LedgerCode]])&gt;0,0,1)</f>
        <v>0</v>
      </c>
      <c r="D385" s="43">
        <f>IF(LEN(DEPTS[[#This Row],[DepartmentCode]])&lt;100,0,1)</f>
        <v>0</v>
      </c>
      <c r="E385" s="43">
        <f>IF(LEN(DEPTS[[#This Row],[Title]])&lt;100,0,1)</f>
        <v>0</v>
      </c>
      <c r="F385" s="43">
        <f>SUM(DEPTS[[#This Row],[FundIssue]:[Title length check]])</f>
        <v>0</v>
      </c>
      <c r="G385" t="s">
        <v>2470</v>
      </c>
      <c r="H385" t="s">
        <v>1999</v>
      </c>
      <c r="I385" t="b">
        <v>0</v>
      </c>
      <c r="J385" t="s">
        <v>51</v>
      </c>
      <c r="K385" t="s">
        <v>63</v>
      </c>
      <c r="L385" t="s">
        <v>63</v>
      </c>
      <c r="M385" t="s">
        <v>1966</v>
      </c>
      <c r="O385" t="b">
        <v>1</v>
      </c>
    </row>
    <row r="386" spans="1:15" x14ac:dyDescent="0.3">
      <c r="A386" s="43">
        <f>IF(COUNTIF(FUNDS[FundCode],DEPTS[[#This Row],[FundCode]])&gt;0,0,1)</f>
        <v>0</v>
      </c>
      <c r="B386" s="43">
        <f>IF(COUNTIF(ACTIVITIES[ActivityCode],DEPTS[[#This Row],[ActivityCode]])&gt;0,0,1)</f>
        <v>0</v>
      </c>
      <c r="C386" s="43">
        <f>IF(COUNTIF(LEDGER[LedgerCode],DEPTS[[#This Row],[LedgerCode]])&gt;0,0,1)</f>
        <v>0</v>
      </c>
      <c r="D386" s="43">
        <f>IF(LEN(DEPTS[[#This Row],[DepartmentCode]])&lt;100,0,1)</f>
        <v>0</v>
      </c>
      <c r="E386" s="43">
        <f>IF(LEN(DEPTS[[#This Row],[Title]])&lt;100,0,1)</f>
        <v>0</v>
      </c>
      <c r="F386" s="43">
        <f>SUM(DEPTS[[#This Row],[FundIssue]:[Title length check]])</f>
        <v>0</v>
      </c>
      <c r="G386" t="s">
        <v>2470</v>
      </c>
      <c r="H386" t="s">
        <v>1999</v>
      </c>
      <c r="I386" t="b">
        <v>0</v>
      </c>
      <c r="J386" t="s">
        <v>4326</v>
      </c>
      <c r="K386" t="s">
        <v>63</v>
      </c>
      <c r="L386" t="s">
        <v>63</v>
      </c>
      <c r="M386" t="s">
        <v>1532</v>
      </c>
      <c r="O386" t="b">
        <v>1</v>
      </c>
    </row>
    <row r="387" spans="1:15" x14ac:dyDescent="0.3">
      <c r="A387" s="43">
        <f>IF(COUNTIF(FUNDS[FundCode],DEPTS[[#This Row],[FundCode]])&gt;0,0,1)</f>
        <v>0</v>
      </c>
      <c r="B387" s="43">
        <f>IF(COUNTIF(ACTIVITIES[ActivityCode],DEPTS[[#This Row],[ActivityCode]])&gt;0,0,1)</f>
        <v>0</v>
      </c>
      <c r="C387" s="43">
        <f>IF(COUNTIF(LEDGER[LedgerCode],DEPTS[[#This Row],[LedgerCode]])&gt;0,0,1)</f>
        <v>0</v>
      </c>
      <c r="D387" s="43">
        <f>IF(LEN(DEPTS[[#This Row],[DepartmentCode]])&lt;100,0,1)</f>
        <v>0</v>
      </c>
      <c r="E387" s="43">
        <f>IF(LEN(DEPTS[[#This Row],[Title]])&lt;100,0,1)</f>
        <v>0</v>
      </c>
      <c r="F387" s="43">
        <f>SUM(DEPTS[[#This Row],[FundIssue]:[Title length check]])</f>
        <v>0</v>
      </c>
      <c r="G387" t="s">
        <v>2470</v>
      </c>
      <c r="H387" t="s">
        <v>1999</v>
      </c>
      <c r="I387" t="b">
        <v>0</v>
      </c>
      <c r="J387" t="s">
        <v>4327</v>
      </c>
      <c r="K387" t="s">
        <v>1963</v>
      </c>
      <c r="L387" t="s">
        <v>63</v>
      </c>
      <c r="M387" t="s">
        <v>1532</v>
      </c>
      <c r="O387" t="b">
        <v>1</v>
      </c>
    </row>
    <row r="388" spans="1:15" x14ac:dyDescent="0.3">
      <c r="A388" s="43">
        <f>IF(COUNTIF(FUNDS[FundCode],DEPTS[[#This Row],[FundCode]])&gt;0,0,1)</f>
        <v>0</v>
      </c>
      <c r="B388" s="43">
        <f>IF(COUNTIF(ACTIVITIES[ActivityCode],DEPTS[[#This Row],[ActivityCode]])&gt;0,0,1)</f>
        <v>0</v>
      </c>
      <c r="C388" s="43">
        <f>IF(COUNTIF(LEDGER[LedgerCode],DEPTS[[#This Row],[LedgerCode]])&gt;0,0,1)</f>
        <v>0</v>
      </c>
      <c r="D388" s="43">
        <f>IF(LEN(DEPTS[[#This Row],[DepartmentCode]])&lt;100,0,1)</f>
        <v>0</v>
      </c>
      <c r="E388" s="43">
        <f>IF(LEN(DEPTS[[#This Row],[Title]])&lt;100,0,1)</f>
        <v>0</v>
      </c>
      <c r="F388" s="43">
        <f>SUM(DEPTS[[#This Row],[FundIssue]:[Title length check]])</f>
        <v>0</v>
      </c>
      <c r="G388" t="s">
        <v>2471</v>
      </c>
      <c r="H388" t="s">
        <v>2472</v>
      </c>
      <c r="I388" t="b">
        <v>0</v>
      </c>
      <c r="J388" t="s">
        <v>51</v>
      </c>
      <c r="K388" t="s">
        <v>1963</v>
      </c>
      <c r="L388" t="s">
        <v>1947</v>
      </c>
      <c r="M388" t="s">
        <v>1965</v>
      </c>
      <c r="O388" t="b">
        <v>1</v>
      </c>
    </row>
    <row r="389" spans="1:15" x14ac:dyDescent="0.3">
      <c r="A389" s="43">
        <f>IF(COUNTIF(FUNDS[FundCode],DEPTS[[#This Row],[FundCode]])&gt;0,0,1)</f>
        <v>0</v>
      </c>
      <c r="B389" s="43">
        <f>IF(COUNTIF(ACTIVITIES[ActivityCode],DEPTS[[#This Row],[ActivityCode]])&gt;0,0,1)</f>
        <v>0</v>
      </c>
      <c r="C389" s="43">
        <f>IF(COUNTIF(LEDGER[LedgerCode],DEPTS[[#This Row],[LedgerCode]])&gt;0,0,1)</f>
        <v>0</v>
      </c>
      <c r="D389" s="43">
        <f>IF(LEN(DEPTS[[#This Row],[DepartmentCode]])&lt;100,0,1)</f>
        <v>0</v>
      </c>
      <c r="E389" s="43">
        <f>IF(LEN(DEPTS[[#This Row],[Title]])&lt;100,0,1)</f>
        <v>0</v>
      </c>
      <c r="F389" s="43">
        <f>SUM(DEPTS[[#This Row],[FundIssue]:[Title length check]])</f>
        <v>0</v>
      </c>
      <c r="G389" t="s">
        <v>2473</v>
      </c>
      <c r="H389" t="s">
        <v>2474</v>
      </c>
      <c r="I389" t="b">
        <v>0</v>
      </c>
      <c r="J389" t="s">
        <v>51</v>
      </c>
      <c r="K389" t="s">
        <v>1963</v>
      </c>
      <c r="L389" t="s">
        <v>1947</v>
      </c>
      <c r="M389" t="s">
        <v>1965</v>
      </c>
      <c r="O389" t="b">
        <v>1</v>
      </c>
    </row>
    <row r="390" spans="1:15" x14ac:dyDescent="0.3">
      <c r="A390" s="43">
        <f>IF(COUNTIF(FUNDS[FundCode],DEPTS[[#This Row],[FundCode]])&gt;0,0,1)</f>
        <v>0</v>
      </c>
      <c r="B390" s="43">
        <f>IF(COUNTIF(ACTIVITIES[ActivityCode],DEPTS[[#This Row],[ActivityCode]])&gt;0,0,1)</f>
        <v>0</v>
      </c>
      <c r="C390" s="43">
        <f>IF(COUNTIF(LEDGER[LedgerCode],DEPTS[[#This Row],[LedgerCode]])&gt;0,0,1)</f>
        <v>0</v>
      </c>
      <c r="D390" s="43">
        <f>IF(LEN(DEPTS[[#This Row],[DepartmentCode]])&lt;100,0,1)</f>
        <v>0</v>
      </c>
      <c r="E390" s="43">
        <f>IF(LEN(DEPTS[[#This Row],[Title]])&lt;100,0,1)</f>
        <v>0</v>
      </c>
      <c r="F390" s="43">
        <f>SUM(DEPTS[[#This Row],[FundIssue]:[Title length check]])</f>
        <v>0</v>
      </c>
      <c r="G390" t="s">
        <v>2475</v>
      </c>
      <c r="H390" t="s">
        <v>2476</v>
      </c>
      <c r="I390" t="b">
        <v>0</v>
      </c>
      <c r="J390" t="s">
        <v>51</v>
      </c>
      <c r="K390" t="s">
        <v>1963</v>
      </c>
      <c r="L390" t="s">
        <v>1947</v>
      </c>
      <c r="M390" t="s">
        <v>1965</v>
      </c>
      <c r="O390" t="b">
        <v>1</v>
      </c>
    </row>
    <row r="391" spans="1:15" x14ac:dyDescent="0.3">
      <c r="A391" s="43">
        <f>IF(COUNTIF(FUNDS[FundCode],DEPTS[[#This Row],[FundCode]])&gt;0,0,1)</f>
        <v>0</v>
      </c>
      <c r="B391" s="43">
        <f>IF(COUNTIF(ACTIVITIES[ActivityCode],DEPTS[[#This Row],[ActivityCode]])&gt;0,0,1)</f>
        <v>0</v>
      </c>
      <c r="C391" s="43">
        <f>IF(COUNTIF(LEDGER[LedgerCode],DEPTS[[#This Row],[LedgerCode]])&gt;0,0,1)</f>
        <v>0</v>
      </c>
      <c r="D391" s="43">
        <f>IF(LEN(DEPTS[[#This Row],[DepartmentCode]])&lt;100,0,1)</f>
        <v>0</v>
      </c>
      <c r="E391" s="43">
        <f>IF(LEN(DEPTS[[#This Row],[Title]])&lt;100,0,1)</f>
        <v>0</v>
      </c>
      <c r="F391" s="43">
        <f>SUM(DEPTS[[#This Row],[FundIssue]:[Title length check]])</f>
        <v>0</v>
      </c>
      <c r="G391" t="s">
        <v>2477</v>
      </c>
      <c r="H391" t="s">
        <v>2478</v>
      </c>
      <c r="I391" t="b">
        <v>0</v>
      </c>
      <c r="J391" t="s">
        <v>51</v>
      </c>
      <c r="K391" t="s">
        <v>63</v>
      </c>
      <c r="L391" t="s">
        <v>63</v>
      </c>
      <c r="M391" t="s">
        <v>1965</v>
      </c>
      <c r="O391" t="b">
        <v>1</v>
      </c>
    </row>
    <row r="392" spans="1:15" x14ac:dyDescent="0.3">
      <c r="A392" s="43">
        <f>IF(COUNTIF(FUNDS[FundCode],DEPTS[[#This Row],[FundCode]])&gt;0,0,1)</f>
        <v>0</v>
      </c>
      <c r="B392" s="43">
        <f>IF(COUNTIF(ACTIVITIES[ActivityCode],DEPTS[[#This Row],[ActivityCode]])&gt;0,0,1)</f>
        <v>0</v>
      </c>
      <c r="C392" s="43">
        <f>IF(COUNTIF(LEDGER[LedgerCode],DEPTS[[#This Row],[LedgerCode]])&gt;0,0,1)</f>
        <v>0</v>
      </c>
      <c r="D392" s="43">
        <f>IF(LEN(DEPTS[[#This Row],[DepartmentCode]])&lt;100,0,1)</f>
        <v>0</v>
      </c>
      <c r="E392" s="43">
        <f>IF(LEN(DEPTS[[#This Row],[Title]])&lt;100,0,1)</f>
        <v>0</v>
      </c>
      <c r="F392" s="43">
        <f>SUM(DEPTS[[#This Row],[FundIssue]:[Title length check]])</f>
        <v>0</v>
      </c>
      <c r="G392" t="s">
        <v>2479</v>
      </c>
      <c r="H392" t="s">
        <v>2480</v>
      </c>
      <c r="I392" t="b">
        <v>0</v>
      </c>
      <c r="J392" t="s">
        <v>51</v>
      </c>
      <c r="K392" t="s">
        <v>63</v>
      </c>
      <c r="L392" t="s">
        <v>63</v>
      </c>
      <c r="M392" t="s">
        <v>1966</v>
      </c>
      <c r="O392" t="b">
        <v>1</v>
      </c>
    </row>
    <row r="393" spans="1:15" x14ac:dyDescent="0.3">
      <c r="A393" s="43">
        <f>IF(COUNTIF(FUNDS[FundCode],DEPTS[[#This Row],[FundCode]])&gt;0,0,1)</f>
        <v>0</v>
      </c>
      <c r="B393" s="43">
        <f>IF(COUNTIF(ACTIVITIES[ActivityCode],DEPTS[[#This Row],[ActivityCode]])&gt;0,0,1)</f>
        <v>0</v>
      </c>
      <c r="C393" s="43">
        <f>IF(COUNTIF(LEDGER[LedgerCode],DEPTS[[#This Row],[LedgerCode]])&gt;0,0,1)</f>
        <v>0</v>
      </c>
      <c r="D393" s="43">
        <f>IF(LEN(DEPTS[[#This Row],[DepartmentCode]])&lt;100,0,1)</f>
        <v>0</v>
      </c>
      <c r="E393" s="43">
        <f>IF(LEN(DEPTS[[#This Row],[Title]])&lt;100,0,1)</f>
        <v>0</v>
      </c>
      <c r="F393" s="43">
        <f>SUM(DEPTS[[#This Row],[FundIssue]:[Title length check]])</f>
        <v>0</v>
      </c>
      <c r="G393" t="s">
        <v>2479</v>
      </c>
      <c r="H393" t="s">
        <v>2480</v>
      </c>
      <c r="I393" t="b">
        <v>0</v>
      </c>
      <c r="J393" t="s">
        <v>4326</v>
      </c>
      <c r="K393" t="s">
        <v>63</v>
      </c>
      <c r="L393" t="s">
        <v>63</v>
      </c>
      <c r="M393" t="s">
        <v>1532</v>
      </c>
      <c r="O393" t="b">
        <v>1</v>
      </c>
    </row>
    <row r="394" spans="1:15" x14ac:dyDescent="0.3">
      <c r="A394" s="43">
        <f>IF(COUNTIF(FUNDS[FundCode],DEPTS[[#This Row],[FundCode]])&gt;0,0,1)</f>
        <v>0</v>
      </c>
      <c r="B394" s="43">
        <f>IF(COUNTIF(ACTIVITIES[ActivityCode],DEPTS[[#This Row],[ActivityCode]])&gt;0,0,1)</f>
        <v>0</v>
      </c>
      <c r="C394" s="43">
        <f>IF(COUNTIF(LEDGER[LedgerCode],DEPTS[[#This Row],[LedgerCode]])&gt;0,0,1)</f>
        <v>0</v>
      </c>
      <c r="D394" s="43">
        <f>IF(LEN(DEPTS[[#This Row],[DepartmentCode]])&lt;100,0,1)</f>
        <v>0</v>
      </c>
      <c r="E394" s="43">
        <f>IF(LEN(DEPTS[[#This Row],[Title]])&lt;100,0,1)</f>
        <v>0</v>
      </c>
      <c r="F394" s="43">
        <f>SUM(DEPTS[[#This Row],[FundIssue]:[Title length check]])</f>
        <v>0</v>
      </c>
      <c r="G394" t="s">
        <v>2479</v>
      </c>
      <c r="H394" t="s">
        <v>2480</v>
      </c>
      <c r="I394" t="b">
        <v>0</v>
      </c>
      <c r="J394" t="s">
        <v>4327</v>
      </c>
      <c r="K394" t="s">
        <v>1963</v>
      </c>
      <c r="L394" t="s">
        <v>63</v>
      </c>
      <c r="M394" t="s">
        <v>1532</v>
      </c>
      <c r="O394" t="b">
        <v>1</v>
      </c>
    </row>
    <row r="395" spans="1:15" x14ac:dyDescent="0.3">
      <c r="A395" s="43">
        <f>IF(COUNTIF(FUNDS[FundCode],DEPTS[[#This Row],[FundCode]])&gt;0,0,1)</f>
        <v>0</v>
      </c>
      <c r="B395" s="43">
        <f>IF(COUNTIF(ACTIVITIES[ActivityCode],DEPTS[[#This Row],[ActivityCode]])&gt;0,0,1)</f>
        <v>0</v>
      </c>
      <c r="C395" s="43">
        <f>IF(COUNTIF(LEDGER[LedgerCode],DEPTS[[#This Row],[LedgerCode]])&gt;0,0,1)</f>
        <v>0</v>
      </c>
      <c r="D395" s="43">
        <f>IF(LEN(DEPTS[[#This Row],[DepartmentCode]])&lt;100,0,1)</f>
        <v>0</v>
      </c>
      <c r="E395" s="43">
        <f>IF(LEN(DEPTS[[#This Row],[Title]])&lt;100,0,1)</f>
        <v>0</v>
      </c>
      <c r="F395" s="43">
        <f>SUM(DEPTS[[#This Row],[FundIssue]:[Title length check]])</f>
        <v>0</v>
      </c>
      <c r="G395" t="s">
        <v>2481</v>
      </c>
      <c r="H395" t="s">
        <v>1568</v>
      </c>
      <c r="I395" t="b">
        <v>0</v>
      </c>
      <c r="J395" t="s">
        <v>51</v>
      </c>
      <c r="K395" t="s">
        <v>63</v>
      </c>
      <c r="L395" t="s">
        <v>63</v>
      </c>
      <c r="M395" t="s">
        <v>1966</v>
      </c>
      <c r="O395" t="b">
        <v>1</v>
      </c>
    </row>
    <row r="396" spans="1:15" x14ac:dyDescent="0.3">
      <c r="A396" s="43">
        <f>IF(COUNTIF(FUNDS[FundCode],DEPTS[[#This Row],[FundCode]])&gt;0,0,1)</f>
        <v>0</v>
      </c>
      <c r="B396" s="43">
        <f>IF(COUNTIF(ACTIVITIES[ActivityCode],DEPTS[[#This Row],[ActivityCode]])&gt;0,0,1)</f>
        <v>0</v>
      </c>
      <c r="C396" s="43">
        <f>IF(COUNTIF(LEDGER[LedgerCode],DEPTS[[#This Row],[LedgerCode]])&gt;0,0,1)</f>
        <v>0</v>
      </c>
      <c r="D396" s="43">
        <f>IF(LEN(DEPTS[[#This Row],[DepartmentCode]])&lt;100,0,1)</f>
        <v>0</v>
      </c>
      <c r="E396" s="43">
        <f>IF(LEN(DEPTS[[#This Row],[Title]])&lt;100,0,1)</f>
        <v>0</v>
      </c>
      <c r="F396" s="43">
        <f>SUM(DEPTS[[#This Row],[FundIssue]:[Title length check]])</f>
        <v>0</v>
      </c>
      <c r="G396" t="s">
        <v>2481</v>
      </c>
      <c r="H396" t="s">
        <v>1568</v>
      </c>
      <c r="I396" t="b">
        <v>0</v>
      </c>
      <c r="J396" t="s">
        <v>4155</v>
      </c>
      <c r="K396" t="s">
        <v>63</v>
      </c>
      <c r="L396" t="s">
        <v>63</v>
      </c>
      <c r="M396" t="s">
        <v>1532</v>
      </c>
      <c r="O396" t="b">
        <v>1</v>
      </c>
    </row>
    <row r="397" spans="1:15" x14ac:dyDescent="0.3">
      <c r="A397" s="43">
        <f>IF(COUNTIF(FUNDS[FundCode],DEPTS[[#This Row],[FundCode]])&gt;0,0,1)</f>
        <v>0</v>
      </c>
      <c r="B397" s="43">
        <f>IF(COUNTIF(ACTIVITIES[ActivityCode],DEPTS[[#This Row],[ActivityCode]])&gt;0,0,1)</f>
        <v>0</v>
      </c>
      <c r="C397" s="43">
        <f>IF(COUNTIF(LEDGER[LedgerCode],DEPTS[[#This Row],[LedgerCode]])&gt;0,0,1)</f>
        <v>0</v>
      </c>
      <c r="D397" s="43">
        <f>IF(LEN(DEPTS[[#This Row],[DepartmentCode]])&lt;100,0,1)</f>
        <v>0</v>
      </c>
      <c r="E397" s="43">
        <f>IF(LEN(DEPTS[[#This Row],[Title]])&lt;100,0,1)</f>
        <v>0</v>
      </c>
      <c r="F397" s="43">
        <f>SUM(DEPTS[[#This Row],[FundIssue]:[Title length check]])</f>
        <v>0</v>
      </c>
      <c r="G397" t="s">
        <v>2481</v>
      </c>
      <c r="H397" t="s">
        <v>1568</v>
      </c>
      <c r="I397" t="b">
        <v>0</v>
      </c>
      <c r="J397" t="s">
        <v>2082</v>
      </c>
      <c r="K397" t="s">
        <v>1963</v>
      </c>
      <c r="L397" t="s">
        <v>63</v>
      </c>
      <c r="M397" t="s">
        <v>1532</v>
      </c>
      <c r="O397" t="b">
        <v>1</v>
      </c>
    </row>
    <row r="398" spans="1:15" x14ac:dyDescent="0.3">
      <c r="A398" s="43">
        <f>IF(COUNTIF(FUNDS[FundCode],DEPTS[[#This Row],[FundCode]])&gt;0,0,1)</f>
        <v>0</v>
      </c>
      <c r="B398" s="43">
        <f>IF(COUNTIF(ACTIVITIES[ActivityCode],DEPTS[[#This Row],[ActivityCode]])&gt;0,0,1)</f>
        <v>0</v>
      </c>
      <c r="C398" s="43">
        <f>IF(COUNTIF(LEDGER[LedgerCode],DEPTS[[#This Row],[LedgerCode]])&gt;0,0,1)</f>
        <v>0</v>
      </c>
      <c r="D398" s="43">
        <f>IF(LEN(DEPTS[[#This Row],[DepartmentCode]])&lt;100,0,1)</f>
        <v>0</v>
      </c>
      <c r="E398" s="43">
        <f>IF(LEN(DEPTS[[#This Row],[Title]])&lt;100,0,1)</f>
        <v>0</v>
      </c>
      <c r="F398" s="43">
        <f>SUM(DEPTS[[#This Row],[FundIssue]:[Title length check]])</f>
        <v>0</v>
      </c>
      <c r="G398" t="s">
        <v>2482</v>
      </c>
      <c r="H398" t="s">
        <v>1980</v>
      </c>
      <c r="I398" t="b">
        <v>0</v>
      </c>
      <c r="J398" t="s">
        <v>4326</v>
      </c>
      <c r="K398" t="s">
        <v>63</v>
      </c>
      <c r="L398" t="s">
        <v>63</v>
      </c>
      <c r="M398" t="s">
        <v>1532</v>
      </c>
      <c r="O398" t="b">
        <v>1</v>
      </c>
    </row>
    <row r="399" spans="1:15" x14ac:dyDescent="0.3">
      <c r="A399" s="43">
        <f>IF(COUNTIF(FUNDS[FundCode],DEPTS[[#This Row],[FundCode]])&gt;0,0,1)</f>
        <v>0</v>
      </c>
      <c r="B399" s="43">
        <f>IF(COUNTIF(ACTIVITIES[ActivityCode],DEPTS[[#This Row],[ActivityCode]])&gt;0,0,1)</f>
        <v>0</v>
      </c>
      <c r="C399" s="43">
        <f>IF(COUNTIF(LEDGER[LedgerCode],DEPTS[[#This Row],[LedgerCode]])&gt;0,0,1)</f>
        <v>0</v>
      </c>
      <c r="D399" s="43">
        <f>IF(LEN(DEPTS[[#This Row],[DepartmentCode]])&lt;100,0,1)</f>
        <v>0</v>
      </c>
      <c r="E399" s="43">
        <f>IF(LEN(DEPTS[[#This Row],[Title]])&lt;100,0,1)</f>
        <v>0</v>
      </c>
      <c r="F399" s="43">
        <f>SUM(DEPTS[[#This Row],[FundIssue]:[Title length check]])</f>
        <v>0</v>
      </c>
      <c r="G399" t="s">
        <v>2482</v>
      </c>
      <c r="H399" t="s">
        <v>1980</v>
      </c>
      <c r="I399" t="b">
        <v>0</v>
      </c>
      <c r="J399" t="s">
        <v>4327</v>
      </c>
      <c r="K399" t="s">
        <v>1963</v>
      </c>
      <c r="L399" t="s">
        <v>63</v>
      </c>
      <c r="M399" t="s">
        <v>1532</v>
      </c>
      <c r="O399" t="b">
        <v>1</v>
      </c>
    </row>
    <row r="400" spans="1:15" x14ac:dyDescent="0.3">
      <c r="A400" s="43">
        <f>IF(COUNTIF(FUNDS[FundCode],DEPTS[[#This Row],[FundCode]])&gt;0,0,1)</f>
        <v>0</v>
      </c>
      <c r="B400" s="43">
        <f>IF(COUNTIF(ACTIVITIES[ActivityCode],DEPTS[[#This Row],[ActivityCode]])&gt;0,0,1)</f>
        <v>0</v>
      </c>
      <c r="C400" s="43">
        <f>IF(COUNTIF(LEDGER[LedgerCode],DEPTS[[#This Row],[LedgerCode]])&gt;0,0,1)</f>
        <v>0</v>
      </c>
      <c r="D400" s="43">
        <f>IF(LEN(DEPTS[[#This Row],[DepartmentCode]])&lt;100,0,1)</f>
        <v>0</v>
      </c>
      <c r="E400" s="43">
        <f>IF(LEN(DEPTS[[#This Row],[Title]])&lt;100,0,1)</f>
        <v>0</v>
      </c>
      <c r="F400" s="43">
        <f>SUM(DEPTS[[#This Row],[FundIssue]:[Title length check]])</f>
        <v>0</v>
      </c>
      <c r="G400" t="s">
        <v>4924</v>
      </c>
      <c r="H400" t="s">
        <v>1980</v>
      </c>
      <c r="I400" t="b">
        <v>0</v>
      </c>
      <c r="J400" t="s">
        <v>51</v>
      </c>
      <c r="K400" t="s">
        <v>63</v>
      </c>
      <c r="L400" t="s">
        <v>63</v>
      </c>
      <c r="M400" t="s">
        <v>1532</v>
      </c>
      <c r="O400" t="b">
        <v>1</v>
      </c>
    </row>
    <row r="401" spans="1:15" x14ac:dyDescent="0.3">
      <c r="A401" s="43">
        <f>IF(COUNTIF(FUNDS[FundCode],DEPTS[[#This Row],[FundCode]])&gt;0,0,1)</f>
        <v>0</v>
      </c>
      <c r="B401" s="43">
        <f>IF(COUNTIF(ACTIVITIES[ActivityCode],DEPTS[[#This Row],[ActivityCode]])&gt;0,0,1)</f>
        <v>0</v>
      </c>
      <c r="C401" s="43">
        <f>IF(COUNTIF(LEDGER[LedgerCode],DEPTS[[#This Row],[LedgerCode]])&gt;0,0,1)</f>
        <v>0</v>
      </c>
      <c r="D401" s="43">
        <f>IF(LEN(DEPTS[[#This Row],[DepartmentCode]])&lt;100,0,1)</f>
        <v>0</v>
      </c>
      <c r="E401" s="43">
        <f>IF(LEN(DEPTS[[#This Row],[Title]])&lt;100,0,1)</f>
        <v>0</v>
      </c>
      <c r="F401" s="43">
        <f>SUM(DEPTS[[#This Row],[FundIssue]:[Title length check]])</f>
        <v>0</v>
      </c>
      <c r="G401" t="s">
        <v>2483</v>
      </c>
      <c r="H401" t="s">
        <v>2484</v>
      </c>
      <c r="I401" t="b">
        <v>0</v>
      </c>
      <c r="J401" t="s">
        <v>4326</v>
      </c>
      <c r="K401" t="s">
        <v>63</v>
      </c>
      <c r="L401" t="s">
        <v>63</v>
      </c>
      <c r="M401" t="s">
        <v>1532</v>
      </c>
      <c r="O401" t="b">
        <v>1</v>
      </c>
    </row>
    <row r="402" spans="1:15" x14ac:dyDescent="0.3">
      <c r="A402" s="43">
        <f>IF(COUNTIF(FUNDS[FundCode],DEPTS[[#This Row],[FundCode]])&gt;0,0,1)</f>
        <v>0</v>
      </c>
      <c r="B402" s="43">
        <f>IF(COUNTIF(ACTIVITIES[ActivityCode],DEPTS[[#This Row],[ActivityCode]])&gt;0,0,1)</f>
        <v>0</v>
      </c>
      <c r="C402" s="43">
        <f>IF(COUNTIF(LEDGER[LedgerCode],DEPTS[[#This Row],[LedgerCode]])&gt;0,0,1)</f>
        <v>0</v>
      </c>
      <c r="D402" s="43">
        <f>IF(LEN(DEPTS[[#This Row],[DepartmentCode]])&lt;100,0,1)</f>
        <v>0</v>
      </c>
      <c r="E402" s="43">
        <f>IF(LEN(DEPTS[[#This Row],[Title]])&lt;100,0,1)</f>
        <v>0</v>
      </c>
      <c r="F402" s="43">
        <f>SUM(DEPTS[[#This Row],[FundIssue]:[Title length check]])</f>
        <v>0</v>
      </c>
      <c r="G402" t="s">
        <v>2483</v>
      </c>
      <c r="H402" t="s">
        <v>2484</v>
      </c>
      <c r="I402" t="b">
        <v>0</v>
      </c>
      <c r="J402" t="s">
        <v>4327</v>
      </c>
      <c r="K402" t="s">
        <v>1963</v>
      </c>
      <c r="L402" t="s">
        <v>63</v>
      </c>
      <c r="M402" t="s">
        <v>1532</v>
      </c>
      <c r="O402" t="b">
        <v>1</v>
      </c>
    </row>
    <row r="403" spans="1:15" x14ac:dyDescent="0.3">
      <c r="A403" s="43">
        <f>IF(COUNTIF(FUNDS[FundCode],DEPTS[[#This Row],[FundCode]])&gt;0,0,1)</f>
        <v>0</v>
      </c>
      <c r="B403" s="43">
        <f>IF(COUNTIF(ACTIVITIES[ActivityCode],DEPTS[[#This Row],[ActivityCode]])&gt;0,0,1)</f>
        <v>0</v>
      </c>
      <c r="C403" s="43">
        <f>IF(COUNTIF(LEDGER[LedgerCode],DEPTS[[#This Row],[LedgerCode]])&gt;0,0,1)</f>
        <v>0</v>
      </c>
      <c r="D403" s="43">
        <f>IF(LEN(DEPTS[[#This Row],[DepartmentCode]])&lt;100,0,1)</f>
        <v>0</v>
      </c>
      <c r="E403" s="43">
        <f>IF(LEN(DEPTS[[#This Row],[Title]])&lt;100,0,1)</f>
        <v>0</v>
      </c>
      <c r="F403" s="43">
        <f>SUM(DEPTS[[#This Row],[FundIssue]:[Title length check]])</f>
        <v>0</v>
      </c>
      <c r="G403" t="s">
        <v>4925</v>
      </c>
      <c r="H403" t="s">
        <v>2484</v>
      </c>
      <c r="I403" t="b">
        <v>0</v>
      </c>
      <c r="J403" t="s">
        <v>51</v>
      </c>
      <c r="K403" t="s">
        <v>63</v>
      </c>
      <c r="L403" t="s">
        <v>63</v>
      </c>
      <c r="M403" t="s">
        <v>1532</v>
      </c>
      <c r="O403" t="b">
        <v>1</v>
      </c>
    </row>
    <row r="404" spans="1:15" x14ac:dyDescent="0.3">
      <c r="A404" s="43">
        <f>IF(COUNTIF(FUNDS[FundCode],DEPTS[[#This Row],[FundCode]])&gt;0,0,1)</f>
        <v>0</v>
      </c>
      <c r="B404" s="43">
        <f>IF(COUNTIF(ACTIVITIES[ActivityCode],DEPTS[[#This Row],[ActivityCode]])&gt;0,0,1)</f>
        <v>0</v>
      </c>
      <c r="C404" s="43">
        <f>IF(COUNTIF(LEDGER[LedgerCode],DEPTS[[#This Row],[LedgerCode]])&gt;0,0,1)</f>
        <v>0</v>
      </c>
      <c r="D404" s="43">
        <f>IF(LEN(DEPTS[[#This Row],[DepartmentCode]])&lt;100,0,1)</f>
        <v>0</v>
      </c>
      <c r="E404" s="43">
        <f>IF(LEN(DEPTS[[#This Row],[Title]])&lt;100,0,1)</f>
        <v>0</v>
      </c>
      <c r="F404" s="43">
        <f>SUM(DEPTS[[#This Row],[FundIssue]:[Title length check]])</f>
        <v>0</v>
      </c>
      <c r="G404" t="s">
        <v>2485</v>
      </c>
      <c r="H404" t="s">
        <v>1224</v>
      </c>
      <c r="I404" t="b">
        <v>0</v>
      </c>
      <c r="J404" t="s">
        <v>51</v>
      </c>
      <c r="K404" t="s">
        <v>63</v>
      </c>
      <c r="L404" t="s">
        <v>63</v>
      </c>
      <c r="M404" t="s">
        <v>1966</v>
      </c>
      <c r="O404" t="b">
        <v>1</v>
      </c>
    </row>
    <row r="405" spans="1:15" x14ac:dyDescent="0.3">
      <c r="A405" s="43">
        <f>IF(COUNTIF(FUNDS[FundCode],DEPTS[[#This Row],[FundCode]])&gt;0,0,1)</f>
        <v>0</v>
      </c>
      <c r="B405" s="43">
        <f>IF(COUNTIF(ACTIVITIES[ActivityCode],DEPTS[[#This Row],[ActivityCode]])&gt;0,0,1)</f>
        <v>0</v>
      </c>
      <c r="C405" s="43">
        <f>IF(COUNTIF(LEDGER[LedgerCode],DEPTS[[#This Row],[LedgerCode]])&gt;0,0,1)</f>
        <v>0</v>
      </c>
      <c r="D405" s="43">
        <f>IF(LEN(DEPTS[[#This Row],[DepartmentCode]])&lt;100,0,1)</f>
        <v>0</v>
      </c>
      <c r="E405" s="43">
        <f>IF(LEN(DEPTS[[#This Row],[Title]])&lt;100,0,1)</f>
        <v>0</v>
      </c>
      <c r="F405" s="43">
        <f>SUM(DEPTS[[#This Row],[FundIssue]:[Title length check]])</f>
        <v>0</v>
      </c>
      <c r="G405" t="s">
        <v>2485</v>
      </c>
      <c r="H405" t="s">
        <v>1224</v>
      </c>
      <c r="I405" t="b">
        <v>0</v>
      </c>
      <c r="J405" t="s">
        <v>2126</v>
      </c>
      <c r="K405" t="s">
        <v>63</v>
      </c>
      <c r="L405" t="s">
        <v>63</v>
      </c>
      <c r="M405" t="s">
        <v>1532</v>
      </c>
      <c r="O405" t="b">
        <v>1</v>
      </c>
    </row>
    <row r="406" spans="1:15" x14ac:dyDescent="0.3">
      <c r="A406" s="43">
        <f>IF(COUNTIF(FUNDS[FundCode],DEPTS[[#This Row],[FundCode]])&gt;0,0,1)</f>
        <v>0</v>
      </c>
      <c r="B406" s="43">
        <f>IF(COUNTIF(ACTIVITIES[ActivityCode],DEPTS[[#This Row],[ActivityCode]])&gt;0,0,1)</f>
        <v>0</v>
      </c>
      <c r="C406" s="43">
        <f>IF(COUNTIF(LEDGER[LedgerCode],DEPTS[[#This Row],[LedgerCode]])&gt;0,0,1)</f>
        <v>0</v>
      </c>
      <c r="D406" s="43">
        <f>IF(LEN(DEPTS[[#This Row],[DepartmentCode]])&lt;100,0,1)</f>
        <v>0</v>
      </c>
      <c r="E406" s="43">
        <f>IF(LEN(DEPTS[[#This Row],[Title]])&lt;100,0,1)</f>
        <v>0</v>
      </c>
      <c r="F406" s="43">
        <f>SUM(DEPTS[[#This Row],[FundIssue]:[Title length check]])</f>
        <v>0</v>
      </c>
      <c r="G406" t="s">
        <v>2486</v>
      </c>
      <c r="H406" t="s">
        <v>2487</v>
      </c>
      <c r="I406" t="b">
        <v>0</v>
      </c>
      <c r="J406" t="s">
        <v>51</v>
      </c>
      <c r="K406" t="s">
        <v>63</v>
      </c>
      <c r="L406" t="s">
        <v>63</v>
      </c>
      <c r="M406" t="s">
        <v>1966</v>
      </c>
      <c r="O406" t="b">
        <v>1</v>
      </c>
    </row>
    <row r="407" spans="1:15" x14ac:dyDescent="0.3">
      <c r="A407" s="43">
        <f>IF(COUNTIF(FUNDS[FundCode],DEPTS[[#This Row],[FundCode]])&gt;0,0,1)</f>
        <v>0</v>
      </c>
      <c r="B407" s="43">
        <f>IF(COUNTIF(ACTIVITIES[ActivityCode],DEPTS[[#This Row],[ActivityCode]])&gt;0,0,1)</f>
        <v>0</v>
      </c>
      <c r="C407" s="43">
        <f>IF(COUNTIF(LEDGER[LedgerCode],DEPTS[[#This Row],[LedgerCode]])&gt;0,0,1)</f>
        <v>0</v>
      </c>
      <c r="D407" s="43">
        <f>IF(LEN(DEPTS[[#This Row],[DepartmentCode]])&lt;100,0,1)</f>
        <v>0</v>
      </c>
      <c r="E407" s="43">
        <f>IF(LEN(DEPTS[[#This Row],[Title]])&lt;100,0,1)</f>
        <v>0</v>
      </c>
      <c r="F407" s="43">
        <f>SUM(DEPTS[[#This Row],[FundIssue]:[Title length check]])</f>
        <v>0</v>
      </c>
      <c r="G407" t="s">
        <v>2486</v>
      </c>
      <c r="H407" t="s">
        <v>2487</v>
      </c>
      <c r="I407" t="b">
        <v>0</v>
      </c>
      <c r="J407" t="s">
        <v>4155</v>
      </c>
      <c r="K407" t="s">
        <v>63</v>
      </c>
      <c r="L407" t="s">
        <v>63</v>
      </c>
      <c r="M407" t="s">
        <v>1532</v>
      </c>
      <c r="O407" t="b">
        <v>1</v>
      </c>
    </row>
    <row r="408" spans="1:15" x14ac:dyDescent="0.3">
      <c r="A408" s="43">
        <f>IF(COUNTIF(FUNDS[FundCode],DEPTS[[#This Row],[FundCode]])&gt;0,0,1)</f>
        <v>0</v>
      </c>
      <c r="B408" s="43">
        <f>IF(COUNTIF(ACTIVITIES[ActivityCode],DEPTS[[#This Row],[ActivityCode]])&gt;0,0,1)</f>
        <v>0</v>
      </c>
      <c r="C408" s="43">
        <f>IF(COUNTIF(LEDGER[LedgerCode],DEPTS[[#This Row],[LedgerCode]])&gt;0,0,1)</f>
        <v>0</v>
      </c>
      <c r="D408" s="43">
        <f>IF(LEN(DEPTS[[#This Row],[DepartmentCode]])&lt;100,0,1)</f>
        <v>0</v>
      </c>
      <c r="E408" s="43">
        <f>IF(LEN(DEPTS[[#This Row],[Title]])&lt;100,0,1)</f>
        <v>0</v>
      </c>
      <c r="F408" s="43">
        <f>SUM(DEPTS[[#This Row],[FundIssue]:[Title length check]])</f>
        <v>0</v>
      </c>
      <c r="G408" t="s">
        <v>2486</v>
      </c>
      <c r="H408" t="s">
        <v>2487</v>
      </c>
      <c r="I408" t="b">
        <v>0</v>
      </c>
      <c r="J408" t="s">
        <v>2082</v>
      </c>
      <c r="K408" t="s">
        <v>1963</v>
      </c>
      <c r="L408" t="s">
        <v>63</v>
      </c>
      <c r="M408" t="s">
        <v>1532</v>
      </c>
      <c r="O408" t="b">
        <v>1</v>
      </c>
    </row>
    <row r="409" spans="1:15" x14ac:dyDescent="0.3">
      <c r="A409" s="43">
        <f>IF(COUNTIF(FUNDS[FundCode],DEPTS[[#This Row],[FundCode]])&gt;0,0,1)</f>
        <v>0</v>
      </c>
      <c r="B409" s="43">
        <f>IF(COUNTIF(ACTIVITIES[ActivityCode],DEPTS[[#This Row],[ActivityCode]])&gt;0,0,1)</f>
        <v>0</v>
      </c>
      <c r="C409" s="43">
        <f>IF(COUNTIF(LEDGER[LedgerCode],DEPTS[[#This Row],[LedgerCode]])&gt;0,0,1)</f>
        <v>0</v>
      </c>
      <c r="D409" s="43">
        <f>IF(LEN(DEPTS[[#This Row],[DepartmentCode]])&lt;100,0,1)</f>
        <v>0</v>
      </c>
      <c r="E409" s="43">
        <f>IF(LEN(DEPTS[[#This Row],[Title]])&lt;100,0,1)</f>
        <v>0</v>
      </c>
      <c r="F409" s="43">
        <f>SUM(DEPTS[[#This Row],[FundIssue]:[Title length check]])</f>
        <v>0</v>
      </c>
      <c r="G409" t="s">
        <v>2488</v>
      </c>
      <c r="H409" t="s">
        <v>2489</v>
      </c>
      <c r="I409" t="b">
        <v>0</v>
      </c>
      <c r="J409" t="s">
        <v>4326</v>
      </c>
      <c r="K409" t="s">
        <v>63</v>
      </c>
      <c r="L409" t="s">
        <v>63</v>
      </c>
      <c r="M409" t="s">
        <v>1532</v>
      </c>
      <c r="O409" t="b">
        <v>1</v>
      </c>
    </row>
    <row r="410" spans="1:15" x14ac:dyDescent="0.3">
      <c r="A410" s="43">
        <f>IF(COUNTIF(FUNDS[FundCode],DEPTS[[#This Row],[FundCode]])&gt;0,0,1)</f>
        <v>0</v>
      </c>
      <c r="B410" s="43">
        <f>IF(COUNTIF(ACTIVITIES[ActivityCode],DEPTS[[#This Row],[ActivityCode]])&gt;0,0,1)</f>
        <v>0</v>
      </c>
      <c r="C410" s="43">
        <f>IF(COUNTIF(LEDGER[LedgerCode],DEPTS[[#This Row],[LedgerCode]])&gt;0,0,1)</f>
        <v>0</v>
      </c>
      <c r="D410" s="43">
        <f>IF(LEN(DEPTS[[#This Row],[DepartmentCode]])&lt;100,0,1)</f>
        <v>0</v>
      </c>
      <c r="E410" s="43">
        <f>IF(LEN(DEPTS[[#This Row],[Title]])&lt;100,0,1)</f>
        <v>0</v>
      </c>
      <c r="F410" s="43">
        <f>SUM(DEPTS[[#This Row],[FundIssue]:[Title length check]])</f>
        <v>0</v>
      </c>
      <c r="G410" t="s">
        <v>2488</v>
      </c>
      <c r="H410" t="s">
        <v>2489</v>
      </c>
      <c r="I410" t="b">
        <v>0</v>
      </c>
      <c r="J410" t="s">
        <v>4327</v>
      </c>
      <c r="K410" t="s">
        <v>1963</v>
      </c>
      <c r="L410" t="s">
        <v>63</v>
      </c>
      <c r="M410" t="s">
        <v>1532</v>
      </c>
      <c r="O410" t="b">
        <v>1</v>
      </c>
    </row>
    <row r="411" spans="1:15" x14ac:dyDescent="0.3">
      <c r="A411" s="43">
        <f>IF(COUNTIF(FUNDS[FundCode],DEPTS[[#This Row],[FundCode]])&gt;0,0,1)</f>
        <v>0</v>
      </c>
      <c r="B411" s="43">
        <f>IF(COUNTIF(ACTIVITIES[ActivityCode],DEPTS[[#This Row],[ActivityCode]])&gt;0,0,1)</f>
        <v>0</v>
      </c>
      <c r="C411" s="43">
        <f>IF(COUNTIF(LEDGER[LedgerCode],DEPTS[[#This Row],[LedgerCode]])&gt;0,0,1)</f>
        <v>0</v>
      </c>
      <c r="D411" s="43">
        <f>IF(LEN(DEPTS[[#This Row],[DepartmentCode]])&lt;100,0,1)</f>
        <v>0</v>
      </c>
      <c r="E411" s="43">
        <f>IF(LEN(DEPTS[[#This Row],[Title]])&lt;100,0,1)</f>
        <v>0</v>
      </c>
      <c r="F411" s="43">
        <f>SUM(DEPTS[[#This Row],[FundIssue]:[Title length check]])</f>
        <v>0</v>
      </c>
      <c r="G411" t="s">
        <v>4926</v>
      </c>
      <c r="H411" t="s">
        <v>2489</v>
      </c>
      <c r="I411" t="b">
        <v>0</v>
      </c>
      <c r="J411" t="s">
        <v>51</v>
      </c>
      <c r="K411" t="s">
        <v>63</v>
      </c>
      <c r="L411" t="s">
        <v>63</v>
      </c>
      <c r="M411" t="s">
        <v>1532</v>
      </c>
      <c r="O411" t="b">
        <v>1</v>
      </c>
    </row>
    <row r="412" spans="1:15" x14ac:dyDescent="0.3">
      <c r="A412" s="43">
        <f>IF(COUNTIF(FUNDS[FundCode],DEPTS[[#This Row],[FundCode]])&gt;0,0,1)</f>
        <v>0</v>
      </c>
      <c r="B412" s="43">
        <f>IF(COUNTIF(ACTIVITIES[ActivityCode],DEPTS[[#This Row],[ActivityCode]])&gt;0,0,1)</f>
        <v>0</v>
      </c>
      <c r="C412" s="43">
        <f>IF(COUNTIF(LEDGER[LedgerCode],DEPTS[[#This Row],[LedgerCode]])&gt;0,0,1)</f>
        <v>0</v>
      </c>
      <c r="D412" s="43">
        <f>IF(LEN(DEPTS[[#This Row],[DepartmentCode]])&lt;100,0,1)</f>
        <v>0</v>
      </c>
      <c r="E412" s="43">
        <f>IF(LEN(DEPTS[[#This Row],[Title]])&lt;100,0,1)</f>
        <v>0</v>
      </c>
      <c r="F412" s="43">
        <f>SUM(DEPTS[[#This Row],[FundIssue]:[Title length check]])</f>
        <v>0</v>
      </c>
      <c r="G412" t="s">
        <v>2490</v>
      </c>
      <c r="H412" t="s">
        <v>2491</v>
      </c>
      <c r="I412" t="b">
        <v>0</v>
      </c>
      <c r="J412" t="s">
        <v>2200</v>
      </c>
      <c r="K412" t="s">
        <v>1953</v>
      </c>
      <c r="L412" t="s">
        <v>63</v>
      </c>
      <c r="M412" t="s">
        <v>1532</v>
      </c>
      <c r="O412" t="b">
        <v>1</v>
      </c>
    </row>
    <row r="413" spans="1:15" x14ac:dyDescent="0.3">
      <c r="A413" s="43">
        <f>IF(COUNTIF(FUNDS[FundCode],DEPTS[[#This Row],[FundCode]])&gt;0,0,1)</f>
        <v>0</v>
      </c>
      <c r="B413" s="43">
        <f>IF(COUNTIF(ACTIVITIES[ActivityCode],DEPTS[[#This Row],[ActivityCode]])&gt;0,0,1)</f>
        <v>0</v>
      </c>
      <c r="C413" s="43">
        <f>IF(COUNTIF(LEDGER[LedgerCode],DEPTS[[#This Row],[LedgerCode]])&gt;0,0,1)</f>
        <v>0</v>
      </c>
      <c r="D413" s="43">
        <f>IF(LEN(DEPTS[[#This Row],[DepartmentCode]])&lt;100,0,1)</f>
        <v>0</v>
      </c>
      <c r="E413" s="43">
        <f>IF(LEN(DEPTS[[#This Row],[Title]])&lt;100,0,1)</f>
        <v>0</v>
      </c>
      <c r="F413" s="43">
        <f>SUM(DEPTS[[#This Row],[FundIssue]:[Title length check]])</f>
        <v>0</v>
      </c>
      <c r="G413" t="s">
        <v>2490</v>
      </c>
      <c r="H413" t="s">
        <v>2492</v>
      </c>
      <c r="I413" t="b">
        <v>0</v>
      </c>
      <c r="J413" t="s">
        <v>51</v>
      </c>
      <c r="K413" t="s">
        <v>63</v>
      </c>
      <c r="L413" t="s">
        <v>63</v>
      </c>
      <c r="M413" t="s">
        <v>1966</v>
      </c>
      <c r="O413" t="b">
        <v>1</v>
      </c>
    </row>
    <row r="414" spans="1:15" x14ac:dyDescent="0.3">
      <c r="A414" s="43">
        <f>IF(COUNTIF(FUNDS[FundCode],DEPTS[[#This Row],[FundCode]])&gt;0,0,1)</f>
        <v>0</v>
      </c>
      <c r="B414" s="43">
        <f>IF(COUNTIF(ACTIVITIES[ActivityCode],DEPTS[[#This Row],[ActivityCode]])&gt;0,0,1)</f>
        <v>0</v>
      </c>
      <c r="C414" s="43">
        <f>IF(COUNTIF(LEDGER[LedgerCode],DEPTS[[#This Row],[LedgerCode]])&gt;0,0,1)</f>
        <v>0</v>
      </c>
      <c r="D414" s="43">
        <f>IF(LEN(DEPTS[[#This Row],[DepartmentCode]])&lt;100,0,1)</f>
        <v>0</v>
      </c>
      <c r="E414" s="43">
        <f>IF(LEN(DEPTS[[#This Row],[Title]])&lt;100,0,1)</f>
        <v>0</v>
      </c>
      <c r="F414" s="43">
        <f>SUM(DEPTS[[#This Row],[FundIssue]:[Title length check]])</f>
        <v>0</v>
      </c>
      <c r="G414" t="s">
        <v>2490</v>
      </c>
      <c r="H414" t="s">
        <v>2492</v>
      </c>
      <c r="I414" t="b">
        <v>0</v>
      </c>
      <c r="J414" t="s">
        <v>4153</v>
      </c>
      <c r="K414" t="s">
        <v>63</v>
      </c>
      <c r="L414" t="s">
        <v>63</v>
      </c>
      <c r="M414" t="s">
        <v>1532</v>
      </c>
      <c r="O414" t="b">
        <v>1</v>
      </c>
    </row>
    <row r="415" spans="1:15" x14ac:dyDescent="0.3">
      <c r="A415" s="43">
        <f>IF(COUNTIF(FUNDS[FundCode],DEPTS[[#This Row],[FundCode]])&gt;0,0,1)</f>
        <v>0</v>
      </c>
      <c r="B415" s="43">
        <f>IF(COUNTIF(ACTIVITIES[ActivityCode],DEPTS[[#This Row],[ActivityCode]])&gt;0,0,1)</f>
        <v>0</v>
      </c>
      <c r="C415" s="43">
        <f>IF(COUNTIF(LEDGER[LedgerCode],DEPTS[[#This Row],[LedgerCode]])&gt;0,0,1)</f>
        <v>0</v>
      </c>
      <c r="D415" s="43">
        <f>IF(LEN(DEPTS[[#This Row],[DepartmentCode]])&lt;100,0,1)</f>
        <v>0</v>
      </c>
      <c r="E415" s="43">
        <f>IF(LEN(DEPTS[[#This Row],[Title]])&lt;100,0,1)</f>
        <v>0</v>
      </c>
      <c r="F415" s="43">
        <f>SUM(DEPTS[[#This Row],[FundIssue]:[Title length check]])</f>
        <v>0</v>
      </c>
      <c r="G415" t="s">
        <v>2490</v>
      </c>
      <c r="H415" t="s">
        <v>2492</v>
      </c>
      <c r="I415" t="b">
        <v>0</v>
      </c>
      <c r="J415" t="s">
        <v>4340</v>
      </c>
      <c r="K415" t="s">
        <v>1953</v>
      </c>
      <c r="L415" t="s">
        <v>63</v>
      </c>
      <c r="M415" t="s">
        <v>1532</v>
      </c>
      <c r="O415" t="b">
        <v>1</v>
      </c>
    </row>
    <row r="416" spans="1:15" x14ac:dyDescent="0.3">
      <c r="A416" s="43">
        <f>IF(COUNTIF(FUNDS[FundCode],DEPTS[[#This Row],[FundCode]])&gt;0,0,1)</f>
        <v>0</v>
      </c>
      <c r="B416" s="43">
        <f>IF(COUNTIF(ACTIVITIES[ActivityCode],DEPTS[[#This Row],[ActivityCode]])&gt;0,0,1)</f>
        <v>0</v>
      </c>
      <c r="C416" s="43">
        <f>IF(COUNTIF(LEDGER[LedgerCode],DEPTS[[#This Row],[LedgerCode]])&gt;0,0,1)</f>
        <v>0</v>
      </c>
      <c r="D416" s="43">
        <f>IF(LEN(DEPTS[[#This Row],[DepartmentCode]])&lt;100,0,1)</f>
        <v>0</v>
      </c>
      <c r="E416" s="43">
        <f>IF(LEN(DEPTS[[#This Row],[Title]])&lt;100,0,1)</f>
        <v>0</v>
      </c>
      <c r="F416" s="43">
        <f>SUM(DEPTS[[#This Row],[FundIssue]:[Title length check]])</f>
        <v>0</v>
      </c>
      <c r="G416" t="s">
        <v>2493</v>
      </c>
      <c r="H416" t="s">
        <v>2494</v>
      </c>
      <c r="I416" t="b">
        <v>0</v>
      </c>
      <c r="J416" t="s">
        <v>51</v>
      </c>
      <c r="K416" t="s">
        <v>63</v>
      </c>
      <c r="L416" t="s">
        <v>63</v>
      </c>
      <c r="M416" t="s">
        <v>1966</v>
      </c>
      <c r="O416" t="b">
        <v>1</v>
      </c>
    </row>
    <row r="417" spans="1:15" x14ac:dyDescent="0.3">
      <c r="A417" s="43">
        <f>IF(COUNTIF(FUNDS[FundCode],DEPTS[[#This Row],[FundCode]])&gt;0,0,1)</f>
        <v>0</v>
      </c>
      <c r="B417" s="43">
        <f>IF(COUNTIF(ACTIVITIES[ActivityCode],DEPTS[[#This Row],[ActivityCode]])&gt;0,0,1)</f>
        <v>0</v>
      </c>
      <c r="C417" s="43">
        <f>IF(COUNTIF(LEDGER[LedgerCode],DEPTS[[#This Row],[LedgerCode]])&gt;0,0,1)</f>
        <v>0</v>
      </c>
      <c r="D417" s="43">
        <f>IF(LEN(DEPTS[[#This Row],[DepartmentCode]])&lt;100,0,1)</f>
        <v>0</v>
      </c>
      <c r="E417" s="43">
        <f>IF(LEN(DEPTS[[#This Row],[Title]])&lt;100,0,1)</f>
        <v>0</v>
      </c>
      <c r="F417" s="43">
        <f>SUM(DEPTS[[#This Row],[FundIssue]:[Title length check]])</f>
        <v>0</v>
      </c>
      <c r="G417" t="s">
        <v>2493</v>
      </c>
      <c r="H417" t="s">
        <v>2494</v>
      </c>
      <c r="I417" t="b">
        <v>0</v>
      </c>
      <c r="J417" t="s">
        <v>2082</v>
      </c>
      <c r="K417" t="s">
        <v>1963</v>
      </c>
      <c r="L417" t="s">
        <v>1764</v>
      </c>
      <c r="M417" t="s">
        <v>1532</v>
      </c>
      <c r="O417" t="b">
        <v>1</v>
      </c>
    </row>
    <row r="418" spans="1:15" x14ac:dyDescent="0.3">
      <c r="A418" s="43">
        <f>IF(COUNTIF(FUNDS[FundCode],DEPTS[[#This Row],[FundCode]])&gt;0,0,1)</f>
        <v>0</v>
      </c>
      <c r="B418" s="43">
        <f>IF(COUNTIF(ACTIVITIES[ActivityCode],DEPTS[[#This Row],[ActivityCode]])&gt;0,0,1)</f>
        <v>0</v>
      </c>
      <c r="C418" s="43">
        <f>IF(COUNTIF(LEDGER[LedgerCode],DEPTS[[#This Row],[LedgerCode]])&gt;0,0,1)</f>
        <v>0</v>
      </c>
      <c r="D418" s="43">
        <f>IF(LEN(DEPTS[[#This Row],[DepartmentCode]])&lt;100,0,1)</f>
        <v>0</v>
      </c>
      <c r="E418" s="43">
        <f>IF(LEN(DEPTS[[#This Row],[Title]])&lt;100,0,1)</f>
        <v>0</v>
      </c>
      <c r="F418" s="43">
        <f>SUM(DEPTS[[#This Row],[FundIssue]:[Title length check]])</f>
        <v>0</v>
      </c>
      <c r="G418" t="s">
        <v>2495</v>
      </c>
      <c r="H418" t="s">
        <v>2496</v>
      </c>
      <c r="I418" t="b">
        <v>0</v>
      </c>
      <c r="J418" t="s">
        <v>4326</v>
      </c>
      <c r="K418" t="s">
        <v>63</v>
      </c>
      <c r="L418" t="s">
        <v>63</v>
      </c>
      <c r="M418" t="s">
        <v>1532</v>
      </c>
      <c r="O418" t="b">
        <v>1</v>
      </c>
    </row>
    <row r="419" spans="1:15" x14ac:dyDescent="0.3">
      <c r="A419" s="43">
        <f>IF(COUNTIF(FUNDS[FundCode],DEPTS[[#This Row],[FundCode]])&gt;0,0,1)</f>
        <v>0</v>
      </c>
      <c r="B419" s="43">
        <f>IF(COUNTIF(ACTIVITIES[ActivityCode],DEPTS[[#This Row],[ActivityCode]])&gt;0,0,1)</f>
        <v>0</v>
      </c>
      <c r="C419" s="43">
        <f>IF(COUNTIF(LEDGER[LedgerCode],DEPTS[[#This Row],[LedgerCode]])&gt;0,0,1)</f>
        <v>0</v>
      </c>
      <c r="D419" s="43">
        <f>IF(LEN(DEPTS[[#This Row],[DepartmentCode]])&lt;100,0,1)</f>
        <v>0</v>
      </c>
      <c r="E419" s="43">
        <f>IF(LEN(DEPTS[[#This Row],[Title]])&lt;100,0,1)</f>
        <v>0</v>
      </c>
      <c r="F419" s="43">
        <f>SUM(DEPTS[[#This Row],[FundIssue]:[Title length check]])</f>
        <v>0</v>
      </c>
      <c r="G419" t="s">
        <v>2495</v>
      </c>
      <c r="H419" t="s">
        <v>2496</v>
      </c>
      <c r="I419" t="b">
        <v>0</v>
      </c>
      <c r="J419" t="s">
        <v>4327</v>
      </c>
      <c r="K419" t="s">
        <v>1963</v>
      </c>
      <c r="L419" t="s">
        <v>63</v>
      </c>
      <c r="M419" t="s">
        <v>1532</v>
      </c>
      <c r="O419" t="b">
        <v>1</v>
      </c>
    </row>
    <row r="420" spans="1:15" x14ac:dyDescent="0.3">
      <c r="A420" s="43">
        <f>IF(COUNTIF(FUNDS[FundCode],DEPTS[[#This Row],[FundCode]])&gt;0,0,1)</f>
        <v>0</v>
      </c>
      <c r="B420" s="43">
        <f>IF(COUNTIF(ACTIVITIES[ActivityCode],DEPTS[[#This Row],[ActivityCode]])&gt;0,0,1)</f>
        <v>0</v>
      </c>
      <c r="C420" s="43">
        <f>IF(COUNTIF(LEDGER[LedgerCode],DEPTS[[#This Row],[LedgerCode]])&gt;0,0,1)</f>
        <v>0</v>
      </c>
      <c r="D420" s="43">
        <f>IF(LEN(DEPTS[[#This Row],[DepartmentCode]])&lt;100,0,1)</f>
        <v>0</v>
      </c>
      <c r="E420" s="43">
        <f>IF(LEN(DEPTS[[#This Row],[Title]])&lt;100,0,1)</f>
        <v>0</v>
      </c>
      <c r="F420" s="43">
        <f>SUM(DEPTS[[#This Row],[FundIssue]:[Title length check]])</f>
        <v>0</v>
      </c>
      <c r="G420" t="s">
        <v>4927</v>
      </c>
      <c r="H420" t="s">
        <v>2496</v>
      </c>
      <c r="I420" t="b">
        <v>0</v>
      </c>
      <c r="J420" t="s">
        <v>51</v>
      </c>
      <c r="K420" t="s">
        <v>63</v>
      </c>
      <c r="L420" t="s">
        <v>63</v>
      </c>
      <c r="M420" t="s">
        <v>1532</v>
      </c>
      <c r="O420" t="b">
        <v>1</v>
      </c>
    </row>
    <row r="421" spans="1:15" x14ac:dyDescent="0.3">
      <c r="A421" s="43">
        <f>IF(COUNTIF(FUNDS[FundCode],DEPTS[[#This Row],[FundCode]])&gt;0,0,1)</f>
        <v>0</v>
      </c>
      <c r="B421" s="43">
        <f>IF(COUNTIF(ACTIVITIES[ActivityCode],DEPTS[[#This Row],[ActivityCode]])&gt;0,0,1)</f>
        <v>0</v>
      </c>
      <c r="C421" s="43">
        <f>IF(COUNTIF(LEDGER[LedgerCode],DEPTS[[#This Row],[LedgerCode]])&gt;0,0,1)</f>
        <v>0</v>
      </c>
      <c r="D421" s="43">
        <f>IF(LEN(DEPTS[[#This Row],[DepartmentCode]])&lt;100,0,1)</f>
        <v>0</v>
      </c>
      <c r="E421" s="43">
        <f>IF(LEN(DEPTS[[#This Row],[Title]])&lt;100,0,1)</f>
        <v>0</v>
      </c>
      <c r="F421" s="43">
        <f>SUM(DEPTS[[#This Row],[FundIssue]:[Title length check]])</f>
        <v>0</v>
      </c>
      <c r="G421" t="s">
        <v>2497</v>
      </c>
      <c r="H421" t="s">
        <v>2498</v>
      </c>
      <c r="I421" t="b">
        <v>0</v>
      </c>
      <c r="J421" t="s">
        <v>51</v>
      </c>
      <c r="K421" t="s">
        <v>63</v>
      </c>
      <c r="L421" t="s">
        <v>63</v>
      </c>
      <c r="M421" t="s">
        <v>1966</v>
      </c>
      <c r="O421" t="b">
        <v>1</v>
      </c>
    </row>
    <row r="422" spans="1:15" x14ac:dyDescent="0.3">
      <c r="A422" s="43">
        <f>IF(COUNTIF(FUNDS[FundCode],DEPTS[[#This Row],[FundCode]])&gt;0,0,1)</f>
        <v>0</v>
      </c>
      <c r="B422" s="43">
        <f>IF(COUNTIF(ACTIVITIES[ActivityCode],DEPTS[[#This Row],[ActivityCode]])&gt;0,0,1)</f>
        <v>0</v>
      </c>
      <c r="C422" s="43">
        <f>IF(COUNTIF(LEDGER[LedgerCode],DEPTS[[#This Row],[LedgerCode]])&gt;0,0,1)</f>
        <v>0</v>
      </c>
      <c r="D422" s="43">
        <f>IF(LEN(DEPTS[[#This Row],[DepartmentCode]])&lt;100,0,1)</f>
        <v>0</v>
      </c>
      <c r="E422" s="43">
        <f>IF(LEN(DEPTS[[#This Row],[Title]])&lt;100,0,1)</f>
        <v>0</v>
      </c>
      <c r="F422" s="43">
        <f>SUM(DEPTS[[#This Row],[FundIssue]:[Title length check]])</f>
        <v>0</v>
      </c>
      <c r="G422" t="s">
        <v>2497</v>
      </c>
      <c r="H422" t="s">
        <v>2498</v>
      </c>
      <c r="I422" t="b">
        <v>0</v>
      </c>
      <c r="J422" t="s">
        <v>4326</v>
      </c>
      <c r="K422" t="s">
        <v>63</v>
      </c>
      <c r="L422" t="s">
        <v>63</v>
      </c>
      <c r="M422" t="s">
        <v>1532</v>
      </c>
      <c r="O422" t="b">
        <v>1</v>
      </c>
    </row>
    <row r="423" spans="1:15" x14ac:dyDescent="0.3">
      <c r="A423" s="43">
        <f>IF(COUNTIF(FUNDS[FundCode],DEPTS[[#This Row],[FundCode]])&gt;0,0,1)</f>
        <v>0</v>
      </c>
      <c r="B423" s="43">
        <f>IF(COUNTIF(ACTIVITIES[ActivityCode],DEPTS[[#This Row],[ActivityCode]])&gt;0,0,1)</f>
        <v>0</v>
      </c>
      <c r="C423" s="43">
        <f>IF(COUNTIF(LEDGER[LedgerCode],DEPTS[[#This Row],[LedgerCode]])&gt;0,0,1)</f>
        <v>0</v>
      </c>
      <c r="D423" s="43">
        <f>IF(LEN(DEPTS[[#This Row],[DepartmentCode]])&lt;100,0,1)</f>
        <v>0</v>
      </c>
      <c r="E423" s="43">
        <f>IF(LEN(DEPTS[[#This Row],[Title]])&lt;100,0,1)</f>
        <v>0</v>
      </c>
      <c r="F423" s="43">
        <f>SUM(DEPTS[[#This Row],[FundIssue]:[Title length check]])</f>
        <v>0</v>
      </c>
      <c r="G423" t="s">
        <v>2497</v>
      </c>
      <c r="H423" t="s">
        <v>2498</v>
      </c>
      <c r="I423" t="b">
        <v>0</v>
      </c>
      <c r="J423" t="s">
        <v>4327</v>
      </c>
      <c r="K423" t="s">
        <v>1963</v>
      </c>
      <c r="L423" t="s">
        <v>63</v>
      </c>
      <c r="M423" t="s">
        <v>1532</v>
      </c>
      <c r="O423" t="b">
        <v>1</v>
      </c>
    </row>
    <row r="424" spans="1:15" x14ac:dyDescent="0.3">
      <c r="A424" s="43">
        <f>IF(COUNTIF(FUNDS[FundCode],DEPTS[[#This Row],[FundCode]])&gt;0,0,1)</f>
        <v>0</v>
      </c>
      <c r="B424" s="43">
        <f>IF(COUNTIF(ACTIVITIES[ActivityCode],DEPTS[[#This Row],[ActivityCode]])&gt;0,0,1)</f>
        <v>0</v>
      </c>
      <c r="C424" s="43">
        <f>IF(COUNTIF(LEDGER[LedgerCode],DEPTS[[#This Row],[LedgerCode]])&gt;0,0,1)</f>
        <v>0</v>
      </c>
      <c r="D424" s="43">
        <f>IF(LEN(DEPTS[[#This Row],[DepartmentCode]])&lt;100,0,1)</f>
        <v>0</v>
      </c>
      <c r="E424" s="43">
        <f>IF(LEN(DEPTS[[#This Row],[Title]])&lt;100,0,1)</f>
        <v>0</v>
      </c>
      <c r="F424" s="43">
        <f>SUM(DEPTS[[#This Row],[FundIssue]:[Title length check]])</f>
        <v>0</v>
      </c>
      <c r="G424" t="s">
        <v>2499</v>
      </c>
      <c r="H424" t="s">
        <v>2500</v>
      </c>
      <c r="I424" t="b">
        <v>0</v>
      </c>
      <c r="J424" t="s">
        <v>51</v>
      </c>
      <c r="K424" t="s">
        <v>63</v>
      </c>
      <c r="L424" t="s">
        <v>63</v>
      </c>
      <c r="M424" t="s">
        <v>1966</v>
      </c>
      <c r="O424" t="b">
        <v>1</v>
      </c>
    </row>
    <row r="425" spans="1:15" x14ac:dyDescent="0.3">
      <c r="A425" s="43">
        <f>IF(COUNTIF(FUNDS[FundCode],DEPTS[[#This Row],[FundCode]])&gt;0,0,1)</f>
        <v>0</v>
      </c>
      <c r="B425" s="43">
        <f>IF(COUNTIF(ACTIVITIES[ActivityCode],DEPTS[[#This Row],[ActivityCode]])&gt;0,0,1)</f>
        <v>0</v>
      </c>
      <c r="C425" s="43">
        <f>IF(COUNTIF(LEDGER[LedgerCode],DEPTS[[#This Row],[LedgerCode]])&gt;0,0,1)</f>
        <v>0</v>
      </c>
      <c r="D425" s="43">
        <f>IF(LEN(DEPTS[[#This Row],[DepartmentCode]])&lt;100,0,1)</f>
        <v>0</v>
      </c>
      <c r="E425" s="43">
        <f>IF(LEN(DEPTS[[#This Row],[Title]])&lt;100,0,1)</f>
        <v>0</v>
      </c>
      <c r="F425" s="43">
        <f>SUM(DEPTS[[#This Row],[FundIssue]:[Title length check]])</f>
        <v>0</v>
      </c>
      <c r="G425" t="s">
        <v>2499</v>
      </c>
      <c r="H425" t="s">
        <v>2500</v>
      </c>
      <c r="I425" t="b">
        <v>0</v>
      </c>
      <c r="J425" t="s">
        <v>4326</v>
      </c>
      <c r="K425" t="s">
        <v>63</v>
      </c>
      <c r="L425" t="s">
        <v>63</v>
      </c>
      <c r="M425" t="s">
        <v>1532</v>
      </c>
      <c r="O425" t="b">
        <v>1</v>
      </c>
    </row>
    <row r="426" spans="1:15" x14ac:dyDescent="0.3">
      <c r="A426" s="43">
        <f>IF(COUNTIF(FUNDS[FundCode],DEPTS[[#This Row],[FundCode]])&gt;0,0,1)</f>
        <v>0</v>
      </c>
      <c r="B426" s="43">
        <f>IF(COUNTIF(ACTIVITIES[ActivityCode],DEPTS[[#This Row],[ActivityCode]])&gt;0,0,1)</f>
        <v>0</v>
      </c>
      <c r="C426" s="43">
        <f>IF(COUNTIF(LEDGER[LedgerCode],DEPTS[[#This Row],[LedgerCode]])&gt;0,0,1)</f>
        <v>0</v>
      </c>
      <c r="D426" s="43">
        <f>IF(LEN(DEPTS[[#This Row],[DepartmentCode]])&lt;100,0,1)</f>
        <v>0</v>
      </c>
      <c r="E426" s="43">
        <f>IF(LEN(DEPTS[[#This Row],[Title]])&lt;100,0,1)</f>
        <v>0</v>
      </c>
      <c r="F426" s="43">
        <f>SUM(DEPTS[[#This Row],[FundIssue]:[Title length check]])</f>
        <v>0</v>
      </c>
      <c r="G426" t="s">
        <v>2499</v>
      </c>
      <c r="H426" t="s">
        <v>2500</v>
      </c>
      <c r="I426" t="b">
        <v>0</v>
      </c>
      <c r="J426" t="s">
        <v>4327</v>
      </c>
      <c r="K426" t="s">
        <v>1963</v>
      </c>
      <c r="L426" t="s">
        <v>63</v>
      </c>
      <c r="M426" t="s">
        <v>1532</v>
      </c>
      <c r="O426" t="b">
        <v>1</v>
      </c>
    </row>
    <row r="427" spans="1:15" x14ac:dyDescent="0.3">
      <c r="A427" s="43">
        <f>IF(COUNTIF(FUNDS[FundCode],DEPTS[[#This Row],[FundCode]])&gt;0,0,1)</f>
        <v>0</v>
      </c>
      <c r="B427" s="43">
        <f>IF(COUNTIF(ACTIVITIES[ActivityCode],DEPTS[[#This Row],[ActivityCode]])&gt;0,0,1)</f>
        <v>0</v>
      </c>
      <c r="C427" s="43">
        <f>IF(COUNTIF(LEDGER[LedgerCode],DEPTS[[#This Row],[LedgerCode]])&gt;0,0,1)</f>
        <v>0</v>
      </c>
      <c r="D427" s="43">
        <f>IF(LEN(DEPTS[[#This Row],[DepartmentCode]])&lt;100,0,1)</f>
        <v>0</v>
      </c>
      <c r="E427" s="43">
        <f>IF(LEN(DEPTS[[#This Row],[Title]])&lt;100,0,1)</f>
        <v>0</v>
      </c>
      <c r="F427" s="43">
        <f>SUM(DEPTS[[#This Row],[FundIssue]:[Title length check]])</f>
        <v>0</v>
      </c>
      <c r="G427" t="s">
        <v>2501</v>
      </c>
      <c r="H427" t="s">
        <v>2502</v>
      </c>
      <c r="I427" t="b">
        <v>0</v>
      </c>
      <c r="J427" t="s">
        <v>51</v>
      </c>
      <c r="K427" t="s">
        <v>63</v>
      </c>
      <c r="L427" t="s">
        <v>63</v>
      </c>
      <c r="M427" t="s">
        <v>1966</v>
      </c>
      <c r="O427" t="b">
        <v>1</v>
      </c>
    </row>
    <row r="428" spans="1:15" x14ac:dyDescent="0.3">
      <c r="A428" s="43">
        <f>IF(COUNTIF(FUNDS[FundCode],DEPTS[[#This Row],[FundCode]])&gt;0,0,1)</f>
        <v>0</v>
      </c>
      <c r="B428" s="43">
        <f>IF(COUNTIF(ACTIVITIES[ActivityCode],DEPTS[[#This Row],[ActivityCode]])&gt;0,0,1)</f>
        <v>0</v>
      </c>
      <c r="C428" s="43">
        <f>IF(COUNTIF(LEDGER[LedgerCode],DEPTS[[#This Row],[LedgerCode]])&gt;0,0,1)</f>
        <v>0</v>
      </c>
      <c r="D428" s="43">
        <f>IF(LEN(DEPTS[[#This Row],[DepartmentCode]])&lt;100,0,1)</f>
        <v>0</v>
      </c>
      <c r="E428" s="43">
        <f>IF(LEN(DEPTS[[#This Row],[Title]])&lt;100,0,1)</f>
        <v>0</v>
      </c>
      <c r="F428" s="43">
        <f>SUM(DEPTS[[#This Row],[FundIssue]:[Title length check]])</f>
        <v>0</v>
      </c>
      <c r="G428" t="s">
        <v>2501</v>
      </c>
      <c r="H428" t="s">
        <v>2502</v>
      </c>
      <c r="I428" t="b">
        <v>0</v>
      </c>
      <c r="J428" t="s">
        <v>4155</v>
      </c>
      <c r="K428" t="s">
        <v>63</v>
      </c>
      <c r="L428" t="s">
        <v>63</v>
      </c>
      <c r="M428" t="s">
        <v>1532</v>
      </c>
      <c r="O428" t="b">
        <v>1</v>
      </c>
    </row>
    <row r="429" spans="1:15" x14ac:dyDescent="0.3">
      <c r="A429" s="43">
        <f>IF(COUNTIF(FUNDS[FundCode],DEPTS[[#This Row],[FundCode]])&gt;0,0,1)</f>
        <v>0</v>
      </c>
      <c r="B429" s="43">
        <f>IF(COUNTIF(ACTIVITIES[ActivityCode],DEPTS[[#This Row],[ActivityCode]])&gt;0,0,1)</f>
        <v>0</v>
      </c>
      <c r="C429" s="43">
        <f>IF(COUNTIF(LEDGER[LedgerCode],DEPTS[[#This Row],[LedgerCode]])&gt;0,0,1)</f>
        <v>0</v>
      </c>
      <c r="D429" s="43">
        <f>IF(LEN(DEPTS[[#This Row],[DepartmentCode]])&lt;100,0,1)</f>
        <v>0</v>
      </c>
      <c r="E429" s="43">
        <f>IF(LEN(DEPTS[[#This Row],[Title]])&lt;100,0,1)</f>
        <v>0</v>
      </c>
      <c r="F429" s="43">
        <f>SUM(DEPTS[[#This Row],[FundIssue]:[Title length check]])</f>
        <v>0</v>
      </c>
      <c r="G429" t="s">
        <v>2501</v>
      </c>
      <c r="H429" t="s">
        <v>2502</v>
      </c>
      <c r="I429" t="b">
        <v>0</v>
      </c>
      <c r="J429" t="s">
        <v>2082</v>
      </c>
      <c r="K429" t="s">
        <v>1963</v>
      </c>
      <c r="L429" t="s">
        <v>63</v>
      </c>
      <c r="M429" t="s">
        <v>1532</v>
      </c>
      <c r="O429" t="b">
        <v>1</v>
      </c>
    </row>
    <row r="430" spans="1:15" x14ac:dyDescent="0.3">
      <c r="A430" s="43">
        <f>IF(COUNTIF(FUNDS[FundCode],DEPTS[[#This Row],[FundCode]])&gt;0,0,1)</f>
        <v>0</v>
      </c>
      <c r="B430" s="43">
        <f>IF(COUNTIF(ACTIVITIES[ActivityCode],DEPTS[[#This Row],[ActivityCode]])&gt;0,0,1)</f>
        <v>0</v>
      </c>
      <c r="C430" s="43">
        <f>IF(COUNTIF(LEDGER[LedgerCode],DEPTS[[#This Row],[LedgerCode]])&gt;0,0,1)</f>
        <v>0</v>
      </c>
      <c r="D430" s="43">
        <f>IF(LEN(DEPTS[[#This Row],[DepartmentCode]])&lt;100,0,1)</f>
        <v>0</v>
      </c>
      <c r="E430" s="43">
        <f>IF(LEN(DEPTS[[#This Row],[Title]])&lt;100,0,1)</f>
        <v>0</v>
      </c>
      <c r="F430" s="43">
        <f>SUM(DEPTS[[#This Row],[FundIssue]:[Title length check]])</f>
        <v>0</v>
      </c>
      <c r="G430" t="s">
        <v>2503</v>
      </c>
      <c r="H430" t="s">
        <v>2504</v>
      </c>
      <c r="I430" t="b">
        <v>0</v>
      </c>
      <c r="J430" t="s">
        <v>51</v>
      </c>
      <c r="K430" t="s">
        <v>1963</v>
      </c>
      <c r="L430" t="s">
        <v>1945</v>
      </c>
      <c r="M430" t="s">
        <v>1532</v>
      </c>
      <c r="O430" t="b">
        <v>1</v>
      </c>
    </row>
    <row r="431" spans="1:15" x14ac:dyDescent="0.3">
      <c r="A431" s="43">
        <f>IF(COUNTIF(FUNDS[FundCode],DEPTS[[#This Row],[FundCode]])&gt;0,0,1)</f>
        <v>0</v>
      </c>
      <c r="B431" s="43">
        <f>IF(COUNTIF(ACTIVITIES[ActivityCode],DEPTS[[#This Row],[ActivityCode]])&gt;0,0,1)</f>
        <v>0</v>
      </c>
      <c r="C431" s="43">
        <f>IF(COUNTIF(LEDGER[LedgerCode],DEPTS[[#This Row],[LedgerCode]])&gt;0,0,1)</f>
        <v>0</v>
      </c>
      <c r="D431" s="43">
        <f>IF(LEN(DEPTS[[#This Row],[DepartmentCode]])&lt;100,0,1)</f>
        <v>0</v>
      </c>
      <c r="E431" s="43">
        <f>IF(LEN(DEPTS[[#This Row],[Title]])&lt;100,0,1)</f>
        <v>0</v>
      </c>
      <c r="F431" s="43">
        <f>SUM(DEPTS[[#This Row],[FundIssue]:[Title length check]])</f>
        <v>0</v>
      </c>
      <c r="G431" t="s">
        <v>2505</v>
      </c>
      <c r="H431" t="s">
        <v>2506</v>
      </c>
      <c r="I431" t="b">
        <v>0</v>
      </c>
      <c r="J431" t="s">
        <v>51</v>
      </c>
      <c r="K431" t="s">
        <v>63</v>
      </c>
      <c r="L431" t="s">
        <v>63</v>
      </c>
      <c r="M431" t="s">
        <v>1966</v>
      </c>
      <c r="O431" t="b">
        <v>1</v>
      </c>
    </row>
    <row r="432" spans="1:15" x14ac:dyDescent="0.3">
      <c r="A432" s="43">
        <f>IF(COUNTIF(FUNDS[FundCode],DEPTS[[#This Row],[FundCode]])&gt;0,0,1)</f>
        <v>0</v>
      </c>
      <c r="B432" s="43">
        <f>IF(COUNTIF(ACTIVITIES[ActivityCode],DEPTS[[#This Row],[ActivityCode]])&gt;0,0,1)</f>
        <v>0</v>
      </c>
      <c r="C432" s="43">
        <f>IF(COUNTIF(LEDGER[LedgerCode],DEPTS[[#This Row],[LedgerCode]])&gt;0,0,1)</f>
        <v>0</v>
      </c>
      <c r="D432" s="43">
        <f>IF(LEN(DEPTS[[#This Row],[DepartmentCode]])&lt;100,0,1)</f>
        <v>0</v>
      </c>
      <c r="E432" s="43">
        <f>IF(LEN(DEPTS[[#This Row],[Title]])&lt;100,0,1)</f>
        <v>0</v>
      </c>
      <c r="F432" s="43">
        <f>SUM(DEPTS[[#This Row],[FundIssue]:[Title length check]])</f>
        <v>0</v>
      </c>
      <c r="G432" t="s">
        <v>2505</v>
      </c>
      <c r="H432" t="s">
        <v>2506</v>
      </c>
      <c r="I432" t="b">
        <v>0</v>
      </c>
      <c r="J432" t="s">
        <v>4155</v>
      </c>
      <c r="K432" t="s">
        <v>63</v>
      </c>
      <c r="L432" t="s">
        <v>63</v>
      </c>
      <c r="M432" t="s">
        <v>1532</v>
      </c>
      <c r="O432" t="b">
        <v>1</v>
      </c>
    </row>
    <row r="433" spans="1:15" x14ac:dyDescent="0.3">
      <c r="A433" s="43">
        <f>IF(COUNTIF(FUNDS[FundCode],DEPTS[[#This Row],[FundCode]])&gt;0,0,1)</f>
        <v>0</v>
      </c>
      <c r="B433" s="43">
        <f>IF(COUNTIF(ACTIVITIES[ActivityCode],DEPTS[[#This Row],[ActivityCode]])&gt;0,0,1)</f>
        <v>0</v>
      </c>
      <c r="C433" s="43">
        <f>IF(COUNTIF(LEDGER[LedgerCode],DEPTS[[#This Row],[LedgerCode]])&gt;0,0,1)</f>
        <v>0</v>
      </c>
      <c r="D433" s="43">
        <f>IF(LEN(DEPTS[[#This Row],[DepartmentCode]])&lt;100,0,1)</f>
        <v>0</v>
      </c>
      <c r="E433" s="43">
        <f>IF(LEN(DEPTS[[#This Row],[Title]])&lt;100,0,1)</f>
        <v>0</v>
      </c>
      <c r="F433" s="43">
        <f>SUM(DEPTS[[#This Row],[FundIssue]:[Title length check]])</f>
        <v>0</v>
      </c>
      <c r="G433" t="s">
        <v>2505</v>
      </c>
      <c r="H433" t="s">
        <v>2506</v>
      </c>
      <c r="I433" t="b">
        <v>0</v>
      </c>
      <c r="J433" t="s">
        <v>2082</v>
      </c>
      <c r="K433" t="s">
        <v>1963</v>
      </c>
      <c r="L433" t="s">
        <v>63</v>
      </c>
      <c r="M433" t="s">
        <v>1532</v>
      </c>
      <c r="O433" t="b">
        <v>1</v>
      </c>
    </row>
    <row r="434" spans="1:15" x14ac:dyDescent="0.3">
      <c r="A434" s="43">
        <f>IF(COUNTIF(FUNDS[FundCode],DEPTS[[#This Row],[FundCode]])&gt;0,0,1)</f>
        <v>0</v>
      </c>
      <c r="B434" s="43">
        <f>IF(COUNTIF(ACTIVITIES[ActivityCode],DEPTS[[#This Row],[ActivityCode]])&gt;0,0,1)</f>
        <v>0</v>
      </c>
      <c r="C434" s="43">
        <f>IF(COUNTIF(LEDGER[LedgerCode],DEPTS[[#This Row],[LedgerCode]])&gt;0,0,1)</f>
        <v>0</v>
      </c>
      <c r="D434" s="43">
        <f>IF(LEN(DEPTS[[#This Row],[DepartmentCode]])&lt;100,0,1)</f>
        <v>0</v>
      </c>
      <c r="E434" s="43">
        <f>IF(LEN(DEPTS[[#This Row],[Title]])&lt;100,0,1)</f>
        <v>0</v>
      </c>
      <c r="F434" s="43">
        <f>SUM(DEPTS[[#This Row],[FundIssue]:[Title length check]])</f>
        <v>0</v>
      </c>
      <c r="G434" t="s">
        <v>2507</v>
      </c>
      <c r="H434" t="s">
        <v>2508</v>
      </c>
      <c r="I434" t="b">
        <v>0</v>
      </c>
      <c r="J434" t="s">
        <v>51</v>
      </c>
      <c r="K434" t="s">
        <v>63</v>
      </c>
      <c r="L434" t="s">
        <v>63</v>
      </c>
      <c r="M434" t="s">
        <v>1966</v>
      </c>
      <c r="O434" t="b">
        <v>1</v>
      </c>
    </row>
    <row r="435" spans="1:15" x14ac:dyDescent="0.3">
      <c r="A435" s="43">
        <f>IF(COUNTIF(FUNDS[FundCode],DEPTS[[#This Row],[FundCode]])&gt;0,0,1)</f>
        <v>0</v>
      </c>
      <c r="B435" s="43">
        <f>IF(COUNTIF(ACTIVITIES[ActivityCode],DEPTS[[#This Row],[ActivityCode]])&gt;0,0,1)</f>
        <v>0</v>
      </c>
      <c r="C435" s="43">
        <f>IF(COUNTIF(LEDGER[LedgerCode],DEPTS[[#This Row],[LedgerCode]])&gt;0,0,1)</f>
        <v>0</v>
      </c>
      <c r="D435" s="43">
        <f>IF(LEN(DEPTS[[#This Row],[DepartmentCode]])&lt;100,0,1)</f>
        <v>0</v>
      </c>
      <c r="E435" s="43">
        <f>IF(LEN(DEPTS[[#This Row],[Title]])&lt;100,0,1)</f>
        <v>0</v>
      </c>
      <c r="F435" s="43">
        <f>SUM(DEPTS[[#This Row],[FundIssue]:[Title length check]])</f>
        <v>0</v>
      </c>
      <c r="G435" t="s">
        <v>2507</v>
      </c>
      <c r="H435" t="s">
        <v>2508</v>
      </c>
      <c r="I435" t="b">
        <v>0</v>
      </c>
      <c r="J435" t="s">
        <v>2082</v>
      </c>
      <c r="K435" t="s">
        <v>1963</v>
      </c>
      <c r="L435" t="s">
        <v>1764</v>
      </c>
      <c r="M435" t="s">
        <v>1532</v>
      </c>
      <c r="O435" t="b">
        <v>1</v>
      </c>
    </row>
    <row r="436" spans="1:15" x14ac:dyDescent="0.3">
      <c r="A436" s="43">
        <f>IF(COUNTIF(FUNDS[FundCode],DEPTS[[#This Row],[FundCode]])&gt;0,0,1)</f>
        <v>0</v>
      </c>
      <c r="B436" s="43">
        <f>IF(COUNTIF(ACTIVITIES[ActivityCode],DEPTS[[#This Row],[ActivityCode]])&gt;0,0,1)</f>
        <v>0</v>
      </c>
      <c r="C436" s="43">
        <f>IF(COUNTIF(LEDGER[LedgerCode],DEPTS[[#This Row],[LedgerCode]])&gt;0,0,1)</f>
        <v>0</v>
      </c>
      <c r="D436" s="43">
        <f>IF(LEN(DEPTS[[#This Row],[DepartmentCode]])&lt;100,0,1)</f>
        <v>0</v>
      </c>
      <c r="E436" s="43">
        <f>IF(LEN(DEPTS[[#This Row],[Title]])&lt;100,0,1)</f>
        <v>0</v>
      </c>
      <c r="F436" s="43">
        <f>SUM(DEPTS[[#This Row],[FundIssue]:[Title length check]])</f>
        <v>0</v>
      </c>
      <c r="G436" t="s">
        <v>2509</v>
      </c>
      <c r="H436" t="s">
        <v>2510</v>
      </c>
      <c r="I436" t="b">
        <v>0</v>
      </c>
      <c r="J436" t="s">
        <v>51</v>
      </c>
      <c r="K436" t="s">
        <v>63</v>
      </c>
      <c r="L436" t="s">
        <v>63</v>
      </c>
      <c r="M436" t="s">
        <v>1966</v>
      </c>
      <c r="O436" t="b">
        <v>1</v>
      </c>
    </row>
    <row r="437" spans="1:15" x14ac:dyDescent="0.3">
      <c r="A437" s="43">
        <f>IF(COUNTIF(FUNDS[FundCode],DEPTS[[#This Row],[FundCode]])&gt;0,0,1)</f>
        <v>0</v>
      </c>
      <c r="B437" s="43">
        <f>IF(COUNTIF(ACTIVITIES[ActivityCode],DEPTS[[#This Row],[ActivityCode]])&gt;0,0,1)</f>
        <v>0</v>
      </c>
      <c r="C437" s="43">
        <f>IF(COUNTIF(LEDGER[LedgerCode],DEPTS[[#This Row],[LedgerCode]])&gt;0,0,1)</f>
        <v>0</v>
      </c>
      <c r="D437" s="43">
        <f>IF(LEN(DEPTS[[#This Row],[DepartmentCode]])&lt;100,0,1)</f>
        <v>0</v>
      </c>
      <c r="E437" s="43">
        <f>IF(LEN(DEPTS[[#This Row],[Title]])&lt;100,0,1)</f>
        <v>0</v>
      </c>
      <c r="F437" s="43">
        <f>SUM(DEPTS[[#This Row],[FundIssue]:[Title length check]])</f>
        <v>0</v>
      </c>
      <c r="G437" t="s">
        <v>2509</v>
      </c>
      <c r="H437" t="s">
        <v>2510</v>
      </c>
      <c r="I437" t="b">
        <v>0</v>
      </c>
      <c r="J437" t="s">
        <v>2094</v>
      </c>
      <c r="K437" t="s">
        <v>63</v>
      </c>
      <c r="L437" t="s">
        <v>63</v>
      </c>
      <c r="M437" t="s">
        <v>1532</v>
      </c>
      <c r="O437" t="b">
        <v>1</v>
      </c>
    </row>
    <row r="438" spans="1:15" x14ac:dyDescent="0.3">
      <c r="A438" s="43">
        <f>IF(COUNTIF(FUNDS[FundCode],DEPTS[[#This Row],[FundCode]])&gt;0,0,1)</f>
        <v>0</v>
      </c>
      <c r="B438" s="43">
        <f>IF(COUNTIF(ACTIVITIES[ActivityCode],DEPTS[[#This Row],[ActivityCode]])&gt;0,0,1)</f>
        <v>0</v>
      </c>
      <c r="C438" s="43">
        <f>IF(COUNTIF(LEDGER[LedgerCode],DEPTS[[#This Row],[LedgerCode]])&gt;0,0,1)</f>
        <v>0</v>
      </c>
      <c r="D438" s="43">
        <f>IF(LEN(DEPTS[[#This Row],[DepartmentCode]])&lt;100,0,1)</f>
        <v>0</v>
      </c>
      <c r="E438" s="43">
        <f>IF(LEN(DEPTS[[#This Row],[Title]])&lt;100,0,1)</f>
        <v>0</v>
      </c>
      <c r="F438" s="43">
        <f>SUM(DEPTS[[#This Row],[FundIssue]:[Title length check]])</f>
        <v>0</v>
      </c>
      <c r="G438" t="s">
        <v>2509</v>
      </c>
      <c r="H438" t="s">
        <v>2510</v>
      </c>
      <c r="I438" t="b">
        <v>0</v>
      </c>
      <c r="J438" t="s">
        <v>2082</v>
      </c>
      <c r="K438" t="s">
        <v>1963</v>
      </c>
      <c r="L438" t="s">
        <v>63</v>
      </c>
      <c r="M438" t="s">
        <v>1532</v>
      </c>
      <c r="O438" t="b">
        <v>1</v>
      </c>
    </row>
    <row r="439" spans="1:15" x14ac:dyDescent="0.3">
      <c r="A439" s="43">
        <f>IF(COUNTIF(FUNDS[FundCode],DEPTS[[#This Row],[FundCode]])&gt;0,0,1)</f>
        <v>0</v>
      </c>
      <c r="B439" s="43">
        <f>IF(COUNTIF(ACTIVITIES[ActivityCode],DEPTS[[#This Row],[ActivityCode]])&gt;0,0,1)</f>
        <v>0</v>
      </c>
      <c r="C439" s="43">
        <f>IF(COUNTIF(LEDGER[LedgerCode],DEPTS[[#This Row],[LedgerCode]])&gt;0,0,1)</f>
        <v>0</v>
      </c>
      <c r="D439" s="43">
        <f>IF(LEN(DEPTS[[#This Row],[DepartmentCode]])&lt;100,0,1)</f>
        <v>0</v>
      </c>
      <c r="E439" s="43">
        <f>IF(LEN(DEPTS[[#This Row],[Title]])&lt;100,0,1)</f>
        <v>0</v>
      </c>
      <c r="F439" s="43">
        <f>SUM(DEPTS[[#This Row],[FundIssue]:[Title length check]])</f>
        <v>0</v>
      </c>
      <c r="G439" t="s">
        <v>2511</v>
      </c>
      <c r="H439" t="s">
        <v>2512</v>
      </c>
      <c r="I439" t="b">
        <v>0</v>
      </c>
      <c r="J439" t="s">
        <v>2082</v>
      </c>
      <c r="K439" t="s">
        <v>1963</v>
      </c>
      <c r="L439" t="s">
        <v>1764</v>
      </c>
      <c r="M439" t="s">
        <v>1532</v>
      </c>
      <c r="O439" t="b">
        <v>1</v>
      </c>
    </row>
    <row r="440" spans="1:15" x14ac:dyDescent="0.3">
      <c r="A440" s="43">
        <f>IF(COUNTIF(FUNDS[FundCode],DEPTS[[#This Row],[FundCode]])&gt;0,0,1)</f>
        <v>0</v>
      </c>
      <c r="B440" s="43">
        <f>IF(COUNTIF(ACTIVITIES[ActivityCode],DEPTS[[#This Row],[ActivityCode]])&gt;0,0,1)</f>
        <v>0</v>
      </c>
      <c r="C440" s="43">
        <f>IF(COUNTIF(LEDGER[LedgerCode],DEPTS[[#This Row],[LedgerCode]])&gt;0,0,1)</f>
        <v>0</v>
      </c>
      <c r="D440" s="43">
        <f>IF(LEN(DEPTS[[#This Row],[DepartmentCode]])&lt;100,0,1)</f>
        <v>0</v>
      </c>
      <c r="E440" s="43">
        <f>IF(LEN(DEPTS[[#This Row],[Title]])&lt;100,0,1)</f>
        <v>0</v>
      </c>
      <c r="F440" s="43">
        <f>SUM(DEPTS[[#This Row],[FundIssue]:[Title length check]])</f>
        <v>0</v>
      </c>
      <c r="G440" t="s">
        <v>2511</v>
      </c>
      <c r="H440" t="s">
        <v>2513</v>
      </c>
      <c r="I440" t="b">
        <v>0</v>
      </c>
      <c r="J440" t="s">
        <v>51</v>
      </c>
      <c r="K440" t="s">
        <v>63</v>
      </c>
      <c r="L440" t="s">
        <v>63</v>
      </c>
      <c r="M440" t="s">
        <v>1966</v>
      </c>
      <c r="O440" t="b">
        <v>1</v>
      </c>
    </row>
    <row r="441" spans="1:15" x14ac:dyDescent="0.3">
      <c r="A441" s="43">
        <f>IF(COUNTIF(FUNDS[FundCode],DEPTS[[#This Row],[FundCode]])&gt;0,0,1)</f>
        <v>0</v>
      </c>
      <c r="B441" s="43">
        <f>IF(COUNTIF(ACTIVITIES[ActivityCode],DEPTS[[#This Row],[ActivityCode]])&gt;0,0,1)</f>
        <v>0</v>
      </c>
      <c r="C441" s="43">
        <f>IF(COUNTIF(LEDGER[LedgerCode],DEPTS[[#This Row],[LedgerCode]])&gt;0,0,1)</f>
        <v>0</v>
      </c>
      <c r="D441" s="43">
        <f>IF(LEN(DEPTS[[#This Row],[DepartmentCode]])&lt;100,0,1)</f>
        <v>0</v>
      </c>
      <c r="E441" s="43">
        <f>IF(LEN(DEPTS[[#This Row],[Title]])&lt;100,0,1)</f>
        <v>0</v>
      </c>
      <c r="F441" s="43">
        <f>SUM(DEPTS[[#This Row],[FundIssue]:[Title length check]])</f>
        <v>0</v>
      </c>
      <c r="G441" t="s">
        <v>2514</v>
      </c>
      <c r="H441" t="s">
        <v>2515</v>
      </c>
      <c r="I441" t="b">
        <v>0</v>
      </c>
      <c r="J441" t="s">
        <v>51</v>
      </c>
      <c r="K441" t="s">
        <v>63</v>
      </c>
      <c r="L441" t="s">
        <v>63</v>
      </c>
      <c r="M441" t="s">
        <v>1966</v>
      </c>
      <c r="O441" t="b">
        <v>1</v>
      </c>
    </row>
    <row r="442" spans="1:15" x14ac:dyDescent="0.3">
      <c r="A442" s="43">
        <f>IF(COUNTIF(FUNDS[FundCode],DEPTS[[#This Row],[FundCode]])&gt;0,0,1)</f>
        <v>0</v>
      </c>
      <c r="B442" s="43">
        <f>IF(COUNTIF(ACTIVITIES[ActivityCode],DEPTS[[#This Row],[ActivityCode]])&gt;0,0,1)</f>
        <v>0</v>
      </c>
      <c r="C442" s="43">
        <f>IF(COUNTIF(LEDGER[LedgerCode],DEPTS[[#This Row],[LedgerCode]])&gt;0,0,1)</f>
        <v>0</v>
      </c>
      <c r="D442" s="43">
        <f>IF(LEN(DEPTS[[#This Row],[DepartmentCode]])&lt;100,0,1)</f>
        <v>0</v>
      </c>
      <c r="E442" s="43">
        <f>IF(LEN(DEPTS[[#This Row],[Title]])&lt;100,0,1)</f>
        <v>0</v>
      </c>
      <c r="F442" s="43">
        <f>SUM(DEPTS[[#This Row],[FundIssue]:[Title length check]])</f>
        <v>0</v>
      </c>
      <c r="G442" t="s">
        <v>2514</v>
      </c>
      <c r="H442" t="s">
        <v>2515</v>
      </c>
      <c r="I442" t="b">
        <v>0</v>
      </c>
      <c r="J442" t="s">
        <v>4326</v>
      </c>
      <c r="K442" t="s">
        <v>63</v>
      </c>
      <c r="L442" t="s">
        <v>63</v>
      </c>
      <c r="M442" t="s">
        <v>1532</v>
      </c>
      <c r="O442" t="b">
        <v>1</v>
      </c>
    </row>
    <row r="443" spans="1:15" x14ac:dyDescent="0.3">
      <c r="A443" s="43">
        <f>IF(COUNTIF(FUNDS[FundCode],DEPTS[[#This Row],[FundCode]])&gt;0,0,1)</f>
        <v>0</v>
      </c>
      <c r="B443" s="43">
        <f>IF(COUNTIF(ACTIVITIES[ActivityCode],DEPTS[[#This Row],[ActivityCode]])&gt;0,0,1)</f>
        <v>0</v>
      </c>
      <c r="C443" s="43">
        <f>IF(COUNTIF(LEDGER[LedgerCode],DEPTS[[#This Row],[LedgerCode]])&gt;0,0,1)</f>
        <v>0</v>
      </c>
      <c r="D443" s="43">
        <f>IF(LEN(DEPTS[[#This Row],[DepartmentCode]])&lt;100,0,1)</f>
        <v>0</v>
      </c>
      <c r="E443" s="43">
        <f>IF(LEN(DEPTS[[#This Row],[Title]])&lt;100,0,1)</f>
        <v>0</v>
      </c>
      <c r="F443" s="43">
        <f>SUM(DEPTS[[#This Row],[FundIssue]:[Title length check]])</f>
        <v>0</v>
      </c>
      <c r="G443" t="s">
        <v>2514</v>
      </c>
      <c r="H443" t="s">
        <v>2515</v>
      </c>
      <c r="I443" t="b">
        <v>0</v>
      </c>
      <c r="J443" t="s">
        <v>4327</v>
      </c>
      <c r="K443" t="s">
        <v>1963</v>
      </c>
      <c r="L443" t="s">
        <v>63</v>
      </c>
      <c r="M443" t="s">
        <v>1532</v>
      </c>
      <c r="O443" t="b">
        <v>1</v>
      </c>
    </row>
    <row r="444" spans="1:15" x14ac:dyDescent="0.3">
      <c r="A444" s="43">
        <f>IF(COUNTIF(FUNDS[FundCode],DEPTS[[#This Row],[FundCode]])&gt;0,0,1)</f>
        <v>0</v>
      </c>
      <c r="B444" s="43">
        <f>IF(COUNTIF(ACTIVITIES[ActivityCode],DEPTS[[#This Row],[ActivityCode]])&gt;0,0,1)</f>
        <v>0</v>
      </c>
      <c r="C444" s="43">
        <f>IF(COUNTIF(LEDGER[LedgerCode],DEPTS[[#This Row],[LedgerCode]])&gt;0,0,1)</f>
        <v>0</v>
      </c>
      <c r="D444" s="43">
        <f>IF(LEN(DEPTS[[#This Row],[DepartmentCode]])&lt;100,0,1)</f>
        <v>0</v>
      </c>
      <c r="E444" s="43">
        <f>IF(LEN(DEPTS[[#This Row],[Title]])&lt;100,0,1)</f>
        <v>0</v>
      </c>
      <c r="F444" s="43">
        <f>SUM(DEPTS[[#This Row],[FundIssue]:[Title length check]])</f>
        <v>0</v>
      </c>
      <c r="G444" t="s">
        <v>1968</v>
      </c>
      <c r="H444" t="s">
        <v>2516</v>
      </c>
      <c r="I444" t="b">
        <v>0</v>
      </c>
      <c r="J444" t="s">
        <v>2126</v>
      </c>
      <c r="K444" t="s">
        <v>63</v>
      </c>
      <c r="L444" t="s">
        <v>63</v>
      </c>
      <c r="M444" t="s">
        <v>1532</v>
      </c>
      <c r="O444" t="b">
        <v>1</v>
      </c>
    </row>
    <row r="445" spans="1:15" x14ac:dyDescent="0.3">
      <c r="A445" s="43">
        <f>IF(COUNTIF(FUNDS[FundCode],DEPTS[[#This Row],[FundCode]])&gt;0,0,1)</f>
        <v>0</v>
      </c>
      <c r="B445" s="43">
        <f>IF(COUNTIF(ACTIVITIES[ActivityCode],DEPTS[[#This Row],[ActivityCode]])&gt;0,0,1)</f>
        <v>0</v>
      </c>
      <c r="C445" s="43">
        <f>IF(COUNTIF(LEDGER[LedgerCode],DEPTS[[#This Row],[LedgerCode]])&gt;0,0,1)</f>
        <v>0</v>
      </c>
      <c r="D445" s="43">
        <f>IF(LEN(DEPTS[[#This Row],[DepartmentCode]])&lt;100,0,1)</f>
        <v>0</v>
      </c>
      <c r="E445" s="43">
        <f>IF(LEN(DEPTS[[#This Row],[Title]])&lt;100,0,1)</f>
        <v>0</v>
      </c>
      <c r="F445" s="43">
        <f>SUM(DEPTS[[#This Row],[FundIssue]:[Title length check]])</f>
        <v>0</v>
      </c>
      <c r="G445" t="s">
        <v>1968</v>
      </c>
      <c r="H445" t="s">
        <v>2516</v>
      </c>
      <c r="I445" t="b">
        <v>0</v>
      </c>
      <c r="J445" t="s">
        <v>4337</v>
      </c>
      <c r="K445" t="s">
        <v>63</v>
      </c>
      <c r="L445" t="s">
        <v>1764</v>
      </c>
      <c r="M445" t="s">
        <v>1532</v>
      </c>
      <c r="O445" t="b">
        <v>1</v>
      </c>
    </row>
    <row r="446" spans="1:15" x14ac:dyDescent="0.3">
      <c r="A446" s="43">
        <f>IF(COUNTIF(FUNDS[FundCode],DEPTS[[#This Row],[FundCode]])&gt;0,0,1)</f>
        <v>0</v>
      </c>
      <c r="B446" s="43">
        <f>IF(COUNTIF(ACTIVITIES[ActivityCode],DEPTS[[#This Row],[ActivityCode]])&gt;0,0,1)</f>
        <v>0</v>
      </c>
      <c r="C446" s="43">
        <f>IF(COUNTIF(LEDGER[LedgerCode],DEPTS[[#This Row],[LedgerCode]])&gt;0,0,1)</f>
        <v>0</v>
      </c>
      <c r="D446" s="43">
        <f>IF(LEN(DEPTS[[#This Row],[DepartmentCode]])&lt;100,0,1)</f>
        <v>0</v>
      </c>
      <c r="E446" s="43">
        <f>IF(LEN(DEPTS[[#This Row],[Title]])&lt;100,0,1)</f>
        <v>0</v>
      </c>
      <c r="F446" s="43">
        <f>SUM(DEPTS[[#This Row],[FundIssue]:[Title length check]])</f>
        <v>0</v>
      </c>
      <c r="G446" t="s">
        <v>1968</v>
      </c>
      <c r="H446" t="s">
        <v>2516</v>
      </c>
      <c r="I446" t="b">
        <v>0</v>
      </c>
      <c r="J446" t="s">
        <v>51</v>
      </c>
      <c r="K446" t="s">
        <v>1963</v>
      </c>
      <c r="L446" t="s">
        <v>1764</v>
      </c>
      <c r="M446" t="s">
        <v>1966</v>
      </c>
      <c r="O446" t="b">
        <v>1</v>
      </c>
    </row>
    <row r="447" spans="1:15" x14ac:dyDescent="0.3">
      <c r="A447" s="43">
        <f>IF(COUNTIF(FUNDS[FundCode],DEPTS[[#This Row],[FundCode]])&gt;0,0,1)</f>
        <v>0</v>
      </c>
      <c r="B447" s="43">
        <f>IF(COUNTIF(ACTIVITIES[ActivityCode],DEPTS[[#This Row],[ActivityCode]])&gt;0,0,1)</f>
        <v>0</v>
      </c>
      <c r="C447" s="43">
        <f>IF(COUNTIF(LEDGER[LedgerCode],DEPTS[[#This Row],[LedgerCode]])&gt;0,0,1)</f>
        <v>0</v>
      </c>
      <c r="D447" s="43">
        <f>IF(LEN(DEPTS[[#This Row],[DepartmentCode]])&lt;100,0,1)</f>
        <v>0</v>
      </c>
      <c r="E447" s="43">
        <f>IF(LEN(DEPTS[[#This Row],[Title]])&lt;100,0,1)</f>
        <v>0</v>
      </c>
      <c r="F447" s="43">
        <f>SUM(DEPTS[[#This Row],[FundIssue]:[Title length check]])</f>
        <v>0</v>
      </c>
      <c r="G447" t="s">
        <v>2517</v>
      </c>
      <c r="H447" t="s">
        <v>2518</v>
      </c>
      <c r="I447" t="b">
        <v>0</v>
      </c>
      <c r="J447" t="s">
        <v>2299</v>
      </c>
      <c r="K447" t="s">
        <v>63</v>
      </c>
      <c r="L447" t="s">
        <v>1945</v>
      </c>
      <c r="M447" t="s">
        <v>1532</v>
      </c>
      <c r="O447" t="b">
        <v>1</v>
      </c>
    </row>
    <row r="448" spans="1:15" x14ac:dyDescent="0.3">
      <c r="A448" s="43">
        <f>IF(COUNTIF(FUNDS[FundCode],DEPTS[[#This Row],[FundCode]])&gt;0,0,1)</f>
        <v>0</v>
      </c>
      <c r="B448" s="43">
        <f>IF(COUNTIF(ACTIVITIES[ActivityCode],DEPTS[[#This Row],[ActivityCode]])&gt;0,0,1)</f>
        <v>0</v>
      </c>
      <c r="C448" s="43">
        <f>IF(COUNTIF(LEDGER[LedgerCode],DEPTS[[#This Row],[LedgerCode]])&gt;0,0,1)</f>
        <v>0</v>
      </c>
      <c r="D448" s="43">
        <f>IF(LEN(DEPTS[[#This Row],[DepartmentCode]])&lt;100,0,1)</f>
        <v>0</v>
      </c>
      <c r="E448" s="43">
        <f>IF(LEN(DEPTS[[#This Row],[Title]])&lt;100,0,1)</f>
        <v>0</v>
      </c>
      <c r="F448" s="43">
        <f>SUM(DEPTS[[#This Row],[FundIssue]:[Title length check]])</f>
        <v>0</v>
      </c>
      <c r="G448" t="s">
        <v>2517</v>
      </c>
      <c r="H448" t="s">
        <v>2518</v>
      </c>
      <c r="I448" t="b">
        <v>0</v>
      </c>
      <c r="J448" t="s">
        <v>51</v>
      </c>
      <c r="K448" t="s">
        <v>1963</v>
      </c>
      <c r="L448" t="s">
        <v>1945</v>
      </c>
      <c r="M448" t="s">
        <v>1966</v>
      </c>
      <c r="O448" t="b">
        <v>1</v>
      </c>
    </row>
    <row r="449" spans="1:15" x14ac:dyDescent="0.3">
      <c r="A449" s="43">
        <f>IF(COUNTIF(FUNDS[FundCode],DEPTS[[#This Row],[FundCode]])&gt;0,0,1)</f>
        <v>0</v>
      </c>
      <c r="B449" s="43">
        <f>IF(COUNTIF(ACTIVITIES[ActivityCode],DEPTS[[#This Row],[ActivityCode]])&gt;0,0,1)</f>
        <v>0</v>
      </c>
      <c r="C449" s="43">
        <f>IF(COUNTIF(LEDGER[LedgerCode],DEPTS[[#This Row],[LedgerCode]])&gt;0,0,1)</f>
        <v>0</v>
      </c>
      <c r="D449" s="43">
        <f>IF(LEN(DEPTS[[#This Row],[DepartmentCode]])&lt;100,0,1)</f>
        <v>0</v>
      </c>
      <c r="E449" s="43">
        <f>IF(LEN(DEPTS[[#This Row],[Title]])&lt;100,0,1)</f>
        <v>0</v>
      </c>
      <c r="F449" s="43">
        <f>SUM(DEPTS[[#This Row],[FundIssue]:[Title length check]])</f>
        <v>0</v>
      </c>
      <c r="G449" t="s">
        <v>2519</v>
      </c>
      <c r="H449" t="s">
        <v>2520</v>
      </c>
      <c r="I449" t="b">
        <v>0</v>
      </c>
      <c r="J449" t="s">
        <v>51</v>
      </c>
      <c r="K449" t="s">
        <v>63</v>
      </c>
      <c r="L449" t="s">
        <v>63</v>
      </c>
      <c r="M449" t="s">
        <v>1966</v>
      </c>
      <c r="O449" t="b">
        <v>1</v>
      </c>
    </row>
    <row r="450" spans="1:15" x14ac:dyDescent="0.3">
      <c r="A450" s="43">
        <f>IF(COUNTIF(FUNDS[FundCode],DEPTS[[#This Row],[FundCode]])&gt;0,0,1)</f>
        <v>0</v>
      </c>
      <c r="B450" s="43">
        <f>IF(COUNTIF(ACTIVITIES[ActivityCode],DEPTS[[#This Row],[ActivityCode]])&gt;0,0,1)</f>
        <v>0</v>
      </c>
      <c r="C450" s="43">
        <f>IF(COUNTIF(LEDGER[LedgerCode],DEPTS[[#This Row],[LedgerCode]])&gt;0,0,1)</f>
        <v>0</v>
      </c>
      <c r="D450" s="43">
        <f>IF(LEN(DEPTS[[#This Row],[DepartmentCode]])&lt;100,0,1)</f>
        <v>0</v>
      </c>
      <c r="E450" s="43">
        <f>IF(LEN(DEPTS[[#This Row],[Title]])&lt;100,0,1)</f>
        <v>0</v>
      </c>
      <c r="F450" s="43">
        <f>SUM(DEPTS[[#This Row],[FundIssue]:[Title length check]])</f>
        <v>0</v>
      </c>
      <c r="G450" t="s">
        <v>2519</v>
      </c>
      <c r="H450" t="s">
        <v>2520</v>
      </c>
      <c r="I450" t="b">
        <v>0</v>
      </c>
      <c r="J450" t="s">
        <v>4344</v>
      </c>
      <c r="K450" t="s">
        <v>63</v>
      </c>
      <c r="L450" t="s">
        <v>63</v>
      </c>
      <c r="M450" t="s">
        <v>1532</v>
      </c>
      <c r="O450" t="b">
        <v>1</v>
      </c>
    </row>
    <row r="451" spans="1:15" x14ac:dyDescent="0.3">
      <c r="A451" s="43">
        <f>IF(COUNTIF(FUNDS[FundCode],DEPTS[[#This Row],[FundCode]])&gt;0,0,1)</f>
        <v>0</v>
      </c>
      <c r="B451" s="43">
        <f>IF(COUNTIF(ACTIVITIES[ActivityCode],DEPTS[[#This Row],[ActivityCode]])&gt;0,0,1)</f>
        <v>0</v>
      </c>
      <c r="C451" s="43">
        <f>IF(COUNTIF(LEDGER[LedgerCode],DEPTS[[#This Row],[LedgerCode]])&gt;0,0,1)</f>
        <v>0</v>
      </c>
      <c r="D451" s="43">
        <f>IF(LEN(DEPTS[[#This Row],[DepartmentCode]])&lt;100,0,1)</f>
        <v>0</v>
      </c>
      <c r="E451" s="43">
        <f>IF(LEN(DEPTS[[#This Row],[Title]])&lt;100,0,1)</f>
        <v>0</v>
      </c>
      <c r="F451" s="43">
        <f>SUM(DEPTS[[#This Row],[FundIssue]:[Title length check]])</f>
        <v>0</v>
      </c>
      <c r="G451" t="s">
        <v>2519</v>
      </c>
      <c r="H451" t="s">
        <v>2520</v>
      </c>
      <c r="I451" t="b">
        <v>0</v>
      </c>
      <c r="J451" t="s">
        <v>51</v>
      </c>
      <c r="K451" t="s">
        <v>1963</v>
      </c>
      <c r="L451" t="s">
        <v>63</v>
      </c>
      <c r="M451" t="s">
        <v>1532</v>
      </c>
      <c r="O451" t="b">
        <v>1</v>
      </c>
    </row>
    <row r="452" spans="1:15" x14ac:dyDescent="0.3">
      <c r="A452" s="43">
        <f>IF(COUNTIF(FUNDS[FundCode],DEPTS[[#This Row],[FundCode]])&gt;0,0,1)</f>
        <v>0</v>
      </c>
      <c r="B452" s="43">
        <f>IF(COUNTIF(ACTIVITIES[ActivityCode],DEPTS[[#This Row],[ActivityCode]])&gt;0,0,1)</f>
        <v>0</v>
      </c>
      <c r="C452" s="43">
        <f>IF(COUNTIF(LEDGER[LedgerCode],DEPTS[[#This Row],[LedgerCode]])&gt;0,0,1)</f>
        <v>0</v>
      </c>
      <c r="D452" s="43">
        <f>IF(LEN(DEPTS[[#This Row],[DepartmentCode]])&lt;100,0,1)</f>
        <v>0</v>
      </c>
      <c r="E452" s="43">
        <f>IF(LEN(DEPTS[[#This Row],[Title]])&lt;100,0,1)</f>
        <v>0</v>
      </c>
      <c r="F452" s="43">
        <f>SUM(DEPTS[[#This Row],[FundIssue]:[Title length check]])</f>
        <v>0</v>
      </c>
      <c r="G452" t="s">
        <v>2522</v>
      </c>
      <c r="H452" t="s">
        <v>2523</v>
      </c>
      <c r="I452" t="b">
        <v>0</v>
      </c>
      <c r="J452" t="s">
        <v>51</v>
      </c>
      <c r="K452" t="s">
        <v>63</v>
      </c>
      <c r="L452" t="s">
        <v>63</v>
      </c>
      <c r="M452" t="s">
        <v>1966</v>
      </c>
      <c r="O452" t="b">
        <v>1</v>
      </c>
    </row>
    <row r="453" spans="1:15" x14ac:dyDescent="0.3">
      <c r="A453" s="43">
        <f>IF(COUNTIF(FUNDS[FundCode],DEPTS[[#This Row],[FundCode]])&gt;0,0,1)</f>
        <v>0</v>
      </c>
      <c r="B453" s="43">
        <f>IF(COUNTIF(ACTIVITIES[ActivityCode],DEPTS[[#This Row],[ActivityCode]])&gt;0,0,1)</f>
        <v>0</v>
      </c>
      <c r="C453" s="43">
        <f>IF(COUNTIF(LEDGER[LedgerCode],DEPTS[[#This Row],[LedgerCode]])&gt;0,0,1)</f>
        <v>0</v>
      </c>
      <c r="D453" s="43">
        <f>IF(LEN(DEPTS[[#This Row],[DepartmentCode]])&lt;100,0,1)</f>
        <v>0</v>
      </c>
      <c r="E453" s="43">
        <f>IF(LEN(DEPTS[[#This Row],[Title]])&lt;100,0,1)</f>
        <v>0</v>
      </c>
      <c r="F453" s="43">
        <f>SUM(DEPTS[[#This Row],[FundIssue]:[Title length check]])</f>
        <v>0</v>
      </c>
      <c r="G453" t="s">
        <v>2522</v>
      </c>
      <c r="H453" t="s">
        <v>2523</v>
      </c>
      <c r="I453" t="b">
        <v>0</v>
      </c>
      <c r="J453" t="s">
        <v>4155</v>
      </c>
      <c r="K453" t="s">
        <v>63</v>
      </c>
      <c r="L453" t="s">
        <v>63</v>
      </c>
      <c r="M453" t="s">
        <v>1532</v>
      </c>
      <c r="O453" t="b">
        <v>1</v>
      </c>
    </row>
    <row r="454" spans="1:15" x14ac:dyDescent="0.3">
      <c r="A454" s="43">
        <f>IF(COUNTIF(FUNDS[FundCode],DEPTS[[#This Row],[FundCode]])&gt;0,0,1)</f>
        <v>0</v>
      </c>
      <c r="B454" s="43">
        <f>IF(COUNTIF(ACTIVITIES[ActivityCode],DEPTS[[#This Row],[ActivityCode]])&gt;0,0,1)</f>
        <v>0</v>
      </c>
      <c r="C454" s="43">
        <f>IF(COUNTIF(LEDGER[LedgerCode],DEPTS[[#This Row],[LedgerCode]])&gt;0,0,1)</f>
        <v>0</v>
      </c>
      <c r="D454" s="43">
        <f>IF(LEN(DEPTS[[#This Row],[DepartmentCode]])&lt;100,0,1)</f>
        <v>0</v>
      </c>
      <c r="E454" s="43">
        <f>IF(LEN(DEPTS[[#This Row],[Title]])&lt;100,0,1)</f>
        <v>0</v>
      </c>
      <c r="F454" s="43">
        <f>SUM(DEPTS[[#This Row],[FundIssue]:[Title length check]])</f>
        <v>0</v>
      </c>
      <c r="G454" t="s">
        <v>2522</v>
      </c>
      <c r="H454" t="s">
        <v>2524</v>
      </c>
      <c r="I454" t="b">
        <v>0</v>
      </c>
      <c r="J454" t="s">
        <v>2082</v>
      </c>
      <c r="K454" t="s">
        <v>1963</v>
      </c>
      <c r="L454" t="s">
        <v>63</v>
      </c>
      <c r="M454" t="s">
        <v>1532</v>
      </c>
      <c r="O454" t="b">
        <v>1</v>
      </c>
    </row>
  </sheetData>
  <mergeCells count="1">
    <mergeCell ref="G1:O1"/>
  </mergeCells>
  <phoneticPr fontId="2" type="noConversion"/>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4335F-6823-475D-AE03-B368B32C2812}">
  <sheetPr codeName="Sheet41">
    <tabColor theme="0" tint="-0.249977111117893"/>
  </sheetPr>
  <dimension ref="A1:N92"/>
  <sheetViews>
    <sheetView zoomScaleNormal="100" workbookViewId="0">
      <pane ySplit="1" topLeftCell="A74" activePane="bottomLeft" state="frozen"/>
      <selection pane="bottomLeft" activeCell="E87" sqref="E87"/>
    </sheetView>
  </sheetViews>
  <sheetFormatPr defaultRowHeight="14.4" x14ac:dyDescent="0.3"/>
  <cols>
    <col min="1" max="1" width="19" bestFit="1" customWidth="1"/>
    <col min="2" max="2" width="19" customWidth="1"/>
    <col min="3" max="4" width="17.88671875" customWidth="1"/>
    <col min="5" max="5" width="36.109375" bestFit="1" customWidth="1"/>
    <col min="6" max="6" width="52.33203125" bestFit="1" customWidth="1"/>
    <col min="7" max="7" width="21.33203125" customWidth="1"/>
    <col min="8" max="8" width="14.5546875" customWidth="1"/>
    <col min="9" max="9" width="16.5546875" customWidth="1"/>
    <col min="10" max="10" width="12.5546875" customWidth="1"/>
    <col min="11" max="11" width="21" customWidth="1"/>
    <col min="12" max="12" width="13.33203125" customWidth="1"/>
    <col min="13" max="13" width="19.88671875" customWidth="1"/>
    <col min="14" max="14" width="20.109375" bestFit="1" customWidth="1"/>
  </cols>
  <sheetData>
    <row r="1" spans="1:14" x14ac:dyDescent="0.3">
      <c r="A1" s="17" t="s">
        <v>888</v>
      </c>
      <c r="B1" s="17" t="s">
        <v>882</v>
      </c>
      <c r="C1" s="17" t="s">
        <v>911</v>
      </c>
      <c r="D1" s="17" t="s">
        <v>1380</v>
      </c>
      <c r="E1" s="3" t="s">
        <v>912</v>
      </c>
      <c r="F1" s="3" t="s">
        <v>62</v>
      </c>
      <c r="G1" s="3" t="s">
        <v>913</v>
      </c>
      <c r="H1" s="3" t="s">
        <v>914</v>
      </c>
      <c r="I1" s="3" t="s">
        <v>915</v>
      </c>
      <c r="J1" s="3" t="s">
        <v>871</v>
      </c>
      <c r="K1" s="3" t="s">
        <v>904</v>
      </c>
      <c r="L1" s="3" t="s">
        <v>905</v>
      </c>
      <c r="M1" s="8" t="s">
        <v>916</v>
      </c>
      <c r="N1" s="8" t="s">
        <v>1431</v>
      </c>
    </row>
    <row r="2" spans="1:14" x14ac:dyDescent="0.3">
      <c r="A2" s="18" t="s">
        <v>898</v>
      </c>
      <c r="B2" s="18"/>
      <c r="C2" s="18"/>
      <c r="D2" s="18"/>
      <c r="E2" s="9" t="s">
        <v>921</v>
      </c>
      <c r="F2" s="2" t="s">
        <v>922</v>
      </c>
      <c r="G2" s="9" t="s">
        <v>923</v>
      </c>
      <c r="H2" s="2" t="s">
        <v>861</v>
      </c>
      <c r="I2" s="2" t="s">
        <v>65</v>
      </c>
      <c r="J2" s="2"/>
      <c r="K2" s="2" t="b">
        <v>1</v>
      </c>
      <c r="L2" s="2"/>
      <c r="M2" s="2" t="b">
        <v>1</v>
      </c>
      <c r="N2" s="2" t="b">
        <v>0</v>
      </c>
    </row>
    <row r="3" spans="1:14" x14ac:dyDescent="0.3">
      <c r="A3" s="18" t="s">
        <v>898</v>
      </c>
      <c r="B3" s="18"/>
      <c r="C3" s="18"/>
      <c r="D3" s="18"/>
      <c r="E3" s="9" t="s">
        <v>924</v>
      </c>
      <c r="F3" s="2" t="s">
        <v>925</v>
      </c>
      <c r="G3" s="2" t="s">
        <v>923</v>
      </c>
      <c r="H3" s="2" t="s">
        <v>861</v>
      </c>
      <c r="I3" s="2" t="s">
        <v>65</v>
      </c>
      <c r="J3" s="2"/>
      <c r="K3" s="2" t="b">
        <v>1</v>
      </c>
      <c r="L3" s="2"/>
      <c r="M3" s="2" t="b">
        <v>1</v>
      </c>
      <c r="N3" s="2" t="b">
        <v>0</v>
      </c>
    </row>
    <row r="4" spans="1:14" x14ac:dyDescent="0.3">
      <c r="A4" s="18" t="s">
        <v>898</v>
      </c>
      <c r="B4" s="18"/>
      <c r="C4" s="18"/>
      <c r="D4" s="18"/>
      <c r="E4" s="9" t="s">
        <v>926</v>
      </c>
      <c r="F4" s="2" t="s">
        <v>927</v>
      </c>
      <c r="G4" s="2" t="s">
        <v>923</v>
      </c>
      <c r="H4" s="2" t="s">
        <v>861</v>
      </c>
      <c r="I4" s="2" t="s">
        <v>65</v>
      </c>
      <c r="J4" s="2"/>
      <c r="K4" s="2" t="b">
        <v>1</v>
      </c>
      <c r="L4" s="2"/>
      <c r="M4" s="2" t="b">
        <v>1</v>
      </c>
      <c r="N4" s="2" t="b">
        <v>0</v>
      </c>
    </row>
    <row r="5" spans="1:14" x14ac:dyDescent="0.3">
      <c r="A5" s="18" t="s">
        <v>898</v>
      </c>
      <c r="B5" s="18"/>
      <c r="C5" s="18"/>
      <c r="D5" s="18"/>
      <c r="E5" s="9" t="s">
        <v>1528</v>
      </c>
      <c r="F5" s="2" t="s">
        <v>1524</v>
      </c>
      <c r="G5" s="2" t="s">
        <v>923</v>
      </c>
      <c r="H5" s="2" t="s">
        <v>861</v>
      </c>
      <c r="I5" s="2" t="s">
        <v>65</v>
      </c>
      <c r="J5" s="2"/>
      <c r="K5" s="2" t="b">
        <v>1</v>
      </c>
      <c r="L5" s="2"/>
      <c r="M5" s="2" t="b">
        <v>1</v>
      </c>
      <c r="N5" s="2" t="b">
        <v>0</v>
      </c>
    </row>
    <row r="6" spans="1:14" x14ac:dyDescent="0.3">
      <c r="A6" s="18" t="s">
        <v>898</v>
      </c>
      <c r="B6" s="18"/>
      <c r="C6" s="18"/>
      <c r="D6" s="18"/>
      <c r="E6" s="9" t="s">
        <v>928</v>
      </c>
      <c r="F6" s="2" t="s">
        <v>929</v>
      </c>
      <c r="G6" s="2" t="s">
        <v>923</v>
      </c>
      <c r="H6" s="2" t="s">
        <v>861</v>
      </c>
      <c r="I6" s="2" t="s">
        <v>65</v>
      </c>
      <c r="J6" s="2"/>
      <c r="K6" s="2" t="b">
        <v>1</v>
      </c>
      <c r="L6" s="2"/>
      <c r="M6" s="2" t="b">
        <v>1</v>
      </c>
      <c r="N6" s="2" t="b">
        <v>0</v>
      </c>
    </row>
    <row r="7" spans="1:14" x14ac:dyDescent="0.3">
      <c r="A7" s="18" t="s">
        <v>898</v>
      </c>
      <c r="B7" s="18"/>
      <c r="C7" s="18"/>
      <c r="D7" s="18"/>
      <c r="E7" s="9" t="s">
        <v>1373</v>
      </c>
      <c r="F7" s="2" t="s">
        <v>1374</v>
      </c>
      <c r="G7" s="2" t="s">
        <v>923</v>
      </c>
      <c r="H7" s="2" t="s">
        <v>861</v>
      </c>
      <c r="I7" s="2" t="s">
        <v>65</v>
      </c>
      <c r="J7" s="2"/>
      <c r="K7" s="2" t="b">
        <v>1</v>
      </c>
      <c r="L7" s="2"/>
      <c r="M7" s="2" t="b">
        <v>1</v>
      </c>
      <c r="N7" s="2" t="b">
        <v>0</v>
      </c>
    </row>
    <row r="8" spans="1:14" x14ac:dyDescent="0.3">
      <c r="A8" s="18" t="s">
        <v>898</v>
      </c>
      <c r="B8" s="18"/>
      <c r="C8" s="18"/>
      <c r="D8" s="18"/>
      <c r="E8" s="9" t="s">
        <v>1710</v>
      </c>
      <c r="F8" s="2" t="s">
        <v>1711</v>
      </c>
      <c r="G8" s="2" t="s">
        <v>923</v>
      </c>
      <c r="H8" s="2" t="s">
        <v>65</v>
      </c>
      <c r="I8" s="2" t="s">
        <v>65</v>
      </c>
      <c r="J8" s="2"/>
      <c r="K8" s="2" t="b">
        <v>1</v>
      </c>
      <c r="L8" s="2"/>
      <c r="M8" s="2" t="b">
        <v>1</v>
      </c>
      <c r="N8" s="2" t="b">
        <v>0</v>
      </c>
    </row>
    <row r="9" spans="1:14" x14ac:dyDescent="0.3">
      <c r="A9" s="18" t="s">
        <v>898</v>
      </c>
      <c r="B9" s="18"/>
      <c r="C9" s="18"/>
      <c r="D9" s="18"/>
      <c r="E9" s="9" t="s">
        <v>930</v>
      </c>
      <c r="F9" s="2" t="s">
        <v>931</v>
      </c>
      <c r="G9" s="2" t="s">
        <v>923</v>
      </c>
      <c r="H9" s="2" t="s">
        <v>861</v>
      </c>
      <c r="I9" s="2" t="s">
        <v>65</v>
      </c>
      <c r="J9" s="2"/>
      <c r="K9" s="2" t="b">
        <v>1</v>
      </c>
      <c r="L9" s="2"/>
      <c r="M9" s="2" t="b">
        <v>1</v>
      </c>
      <c r="N9" s="2" t="b">
        <v>0</v>
      </c>
    </row>
    <row r="10" spans="1:14" x14ac:dyDescent="0.3">
      <c r="A10" s="18" t="s">
        <v>898</v>
      </c>
      <c r="B10" s="18"/>
      <c r="C10" s="18"/>
      <c r="D10" s="18"/>
      <c r="E10" s="9" t="s">
        <v>932</v>
      </c>
      <c r="F10" s="2" t="s">
        <v>933</v>
      </c>
      <c r="G10" s="2" t="s">
        <v>923</v>
      </c>
      <c r="H10" s="2" t="s">
        <v>861</v>
      </c>
      <c r="I10" s="2" t="s">
        <v>65</v>
      </c>
      <c r="J10" s="2"/>
      <c r="K10" s="2" t="b">
        <v>1</v>
      </c>
      <c r="L10" s="2"/>
      <c r="M10" s="2" t="b">
        <v>1</v>
      </c>
      <c r="N10" s="2" t="b">
        <v>0</v>
      </c>
    </row>
    <row r="11" spans="1:14" x14ac:dyDescent="0.3">
      <c r="A11" s="18" t="s">
        <v>898</v>
      </c>
      <c r="B11" s="18"/>
      <c r="C11" s="18"/>
      <c r="D11" s="18"/>
      <c r="E11" s="9" t="s">
        <v>934</v>
      </c>
      <c r="F11" s="2" t="s">
        <v>935</v>
      </c>
      <c r="G11" s="2" t="s">
        <v>923</v>
      </c>
      <c r="H11" s="2" t="s">
        <v>861</v>
      </c>
      <c r="I11" s="2" t="s">
        <v>65</v>
      </c>
      <c r="J11" s="2"/>
      <c r="K11" s="2" t="b">
        <v>1</v>
      </c>
      <c r="L11" s="2"/>
      <c r="M11" s="2" t="b">
        <v>1</v>
      </c>
      <c r="N11" s="2" t="b">
        <v>0</v>
      </c>
    </row>
    <row r="12" spans="1:14" x14ac:dyDescent="0.3">
      <c r="A12" s="18" t="s">
        <v>898</v>
      </c>
      <c r="B12" s="18"/>
      <c r="C12" s="18"/>
      <c r="D12" s="18"/>
      <c r="E12" s="9" t="s">
        <v>936</v>
      </c>
      <c r="F12" s="2" t="s">
        <v>937</v>
      </c>
      <c r="G12" s="2" t="s">
        <v>923</v>
      </c>
      <c r="H12" s="2" t="s">
        <v>861</v>
      </c>
      <c r="I12" s="2" t="s">
        <v>65</v>
      </c>
      <c r="J12" s="2"/>
      <c r="K12" s="2" t="b">
        <v>1</v>
      </c>
      <c r="L12" s="2"/>
      <c r="M12" s="2" t="b">
        <v>1</v>
      </c>
      <c r="N12" s="2" t="b">
        <v>0</v>
      </c>
    </row>
    <row r="13" spans="1:14" x14ac:dyDescent="0.3">
      <c r="A13" s="18" t="s">
        <v>898</v>
      </c>
      <c r="B13" s="18"/>
      <c r="C13" s="18"/>
      <c r="D13" s="18"/>
      <c r="E13" s="9" t="s">
        <v>1435</v>
      </c>
      <c r="F13" s="2" t="s">
        <v>1436</v>
      </c>
      <c r="G13" s="2" t="s">
        <v>923</v>
      </c>
      <c r="H13" s="2" t="s">
        <v>1437</v>
      </c>
      <c r="I13" s="2" t="s">
        <v>65</v>
      </c>
      <c r="J13" s="2"/>
      <c r="K13" s="2" t="b">
        <v>1</v>
      </c>
      <c r="L13" s="2"/>
      <c r="M13" s="2" t="b">
        <v>1</v>
      </c>
      <c r="N13" s="2" t="b">
        <v>0</v>
      </c>
    </row>
    <row r="14" spans="1:14" x14ac:dyDescent="0.3">
      <c r="A14" s="18" t="s">
        <v>898</v>
      </c>
      <c r="B14" s="18"/>
      <c r="C14" s="18"/>
      <c r="D14" s="18"/>
      <c r="E14" s="9" t="s">
        <v>1438</v>
      </c>
      <c r="F14" s="2" t="s">
        <v>1439</v>
      </c>
      <c r="G14" s="2" t="s">
        <v>923</v>
      </c>
      <c r="H14" s="2" t="s">
        <v>1437</v>
      </c>
      <c r="I14" s="2" t="s">
        <v>65</v>
      </c>
      <c r="J14" s="2"/>
      <c r="K14" s="2" t="b">
        <v>1</v>
      </c>
      <c r="L14" s="2"/>
      <c r="M14" s="2" t="b">
        <v>1</v>
      </c>
      <c r="N14" s="2" t="b">
        <v>0</v>
      </c>
    </row>
    <row r="15" spans="1:14" x14ac:dyDescent="0.3">
      <c r="A15" s="18" t="s">
        <v>898</v>
      </c>
      <c r="B15" s="18"/>
      <c r="C15" s="18"/>
      <c r="D15" s="18"/>
      <c r="E15" s="9" t="s">
        <v>1440</v>
      </c>
      <c r="F15" s="2" t="s">
        <v>1441</v>
      </c>
      <c r="G15" s="2" t="s">
        <v>923</v>
      </c>
      <c r="H15" s="2" t="s">
        <v>1437</v>
      </c>
      <c r="I15" s="2" t="s">
        <v>65</v>
      </c>
      <c r="J15" s="2"/>
      <c r="K15" s="2" t="b">
        <v>1</v>
      </c>
      <c r="L15" s="2"/>
      <c r="M15" s="2" t="b">
        <v>1</v>
      </c>
      <c r="N15" s="2" t="b">
        <v>0</v>
      </c>
    </row>
    <row r="16" spans="1:14" x14ac:dyDescent="0.3">
      <c r="A16" s="18" t="s">
        <v>898</v>
      </c>
      <c r="B16" s="18"/>
      <c r="C16" s="18"/>
      <c r="D16" s="18"/>
      <c r="E16" s="9" t="s">
        <v>1529</v>
      </c>
      <c r="F16" s="2" t="s">
        <v>1525</v>
      </c>
      <c r="G16" s="2" t="s">
        <v>923</v>
      </c>
      <c r="H16" s="2" t="s">
        <v>1437</v>
      </c>
      <c r="I16" s="2" t="s">
        <v>65</v>
      </c>
      <c r="J16" s="2"/>
      <c r="K16" s="2" t="b">
        <v>1</v>
      </c>
      <c r="L16" s="2"/>
      <c r="M16" s="2" t="b">
        <v>1</v>
      </c>
      <c r="N16" s="2" t="b">
        <v>0</v>
      </c>
    </row>
    <row r="17" spans="1:14" x14ac:dyDescent="0.3">
      <c r="A17" s="18" t="s">
        <v>898</v>
      </c>
      <c r="B17" s="18"/>
      <c r="C17" s="18"/>
      <c r="D17" s="18"/>
      <c r="E17" s="9" t="s">
        <v>1442</v>
      </c>
      <c r="F17" s="2" t="s">
        <v>1443</v>
      </c>
      <c r="G17" s="2" t="s">
        <v>923</v>
      </c>
      <c r="H17" s="2" t="s">
        <v>1437</v>
      </c>
      <c r="I17" s="2" t="s">
        <v>65</v>
      </c>
      <c r="J17" s="2"/>
      <c r="K17" s="2" t="b">
        <v>1</v>
      </c>
      <c r="L17" s="2"/>
      <c r="M17" s="2" t="b">
        <v>1</v>
      </c>
      <c r="N17" s="2" t="b">
        <v>0</v>
      </c>
    </row>
    <row r="18" spans="1:14" x14ac:dyDescent="0.3">
      <c r="A18" s="18" t="s">
        <v>898</v>
      </c>
      <c r="B18" s="18"/>
      <c r="C18" s="18"/>
      <c r="D18" s="18"/>
      <c r="E18" s="9" t="s">
        <v>1444</v>
      </c>
      <c r="F18" s="2" t="s">
        <v>1445</v>
      </c>
      <c r="G18" s="2" t="s">
        <v>923</v>
      </c>
      <c r="H18" s="2" t="s">
        <v>1437</v>
      </c>
      <c r="I18" s="2" t="s">
        <v>65</v>
      </c>
      <c r="J18" s="2"/>
      <c r="K18" s="2" t="b">
        <v>1</v>
      </c>
      <c r="L18" s="2"/>
      <c r="M18" s="2" t="b">
        <v>1</v>
      </c>
      <c r="N18" s="2" t="b">
        <v>0</v>
      </c>
    </row>
    <row r="19" spans="1:14" x14ac:dyDescent="0.3">
      <c r="A19" s="18" t="s">
        <v>898</v>
      </c>
      <c r="B19" s="18"/>
      <c r="C19" s="18"/>
      <c r="D19" s="18"/>
      <c r="E19" s="9" t="s">
        <v>1712</v>
      </c>
      <c r="F19" s="2" t="s">
        <v>1713</v>
      </c>
      <c r="G19" s="2" t="s">
        <v>923</v>
      </c>
      <c r="H19" s="2" t="s">
        <v>65</v>
      </c>
      <c r="I19" s="2" t="s">
        <v>65</v>
      </c>
      <c r="J19" s="2"/>
      <c r="K19" s="2" t="b">
        <v>1</v>
      </c>
      <c r="L19" s="2"/>
      <c r="M19" s="2" t="b">
        <v>1</v>
      </c>
      <c r="N19" s="2" t="b">
        <v>0</v>
      </c>
    </row>
    <row r="20" spans="1:14" x14ac:dyDescent="0.3">
      <c r="A20" s="18" t="s">
        <v>898</v>
      </c>
      <c r="B20" s="18"/>
      <c r="C20" s="18"/>
      <c r="D20" s="18"/>
      <c r="E20" s="9" t="s">
        <v>1446</v>
      </c>
      <c r="F20" s="2" t="s">
        <v>1447</v>
      </c>
      <c r="G20" s="2" t="s">
        <v>923</v>
      </c>
      <c r="H20" s="2" t="s">
        <v>1437</v>
      </c>
      <c r="I20" s="2" t="s">
        <v>65</v>
      </c>
      <c r="J20" s="2"/>
      <c r="K20" s="2" t="b">
        <v>1</v>
      </c>
      <c r="L20" s="2"/>
      <c r="M20" s="2" t="b">
        <v>1</v>
      </c>
      <c r="N20" s="2" t="b">
        <v>0</v>
      </c>
    </row>
    <row r="21" spans="1:14" x14ac:dyDescent="0.3">
      <c r="A21" s="18" t="s">
        <v>898</v>
      </c>
      <c r="B21" s="18"/>
      <c r="C21" s="18"/>
      <c r="D21" s="18"/>
      <c r="E21" s="9" t="s">
        <v>1448</v>
      </c>
      <c r="F21" s="2" t="s">
        <v>1449</v>
      </c>
      <c r="G21" s="2" t="s">
        <v>923</v>
      </c>
      <c r="H21" s="2" t="s">
        <v>1437</v>
      </c>
      <c r="I21" s="2" t="s">
        <v>65</v>
      </c>
      <c r="J21" s="2"/>
      <c r="K21" s="2" t="b">
        <v>1</v>
      </c>
      <c r="L21" s="2"/>
      <c r="M21" s="2" t="b">
        <v>1</v>
      </c>
      <c r="N21" s="2" t="b">
        <v>0</v>
      </c>
    </row>
    <row r="22" spans="1:14" x14ac:dyDescent="0.3">
      <c r="A22" s="18" t="s">
        <v>898</v>
      </c>
      <c r="B22" s="18"/>
      <c r="C22" s="18"/>
      <c r="D22" s="18"/>
      <c r="E22" s="9" t="s">
        <v>1450</v>
      </c>
      <c r="F22" s="2" t="s">
        <v>1451</v>
      </c>
      <c r="G22" s="2" t="s">
        <v>923</v>
      </c>
      <c r="H22" s="2" t="s">
        <v>1437</v>
      </c>
      <c r="I22" s="2" t="s">
        <v>65</v>
      </c>
      <c r="J22" s="2"/>
      <c r="K22" s="2" t="b">
        <v>1</v>
      </c>
      <c r="L22" s="2"/>
      <c r="M22" s="2" t="b">
        <v>1</v>
      </c>
      <c r="N22" s="2" t="b">
        <v>0</v>
      </c>
    </row>
    <row r="23" spans="1:14" x14ac:dyDescent="0.3">
      <c r="A23" s="18" t="s">
        <v>898</v>
      </c>
      <c r="B23" s="18"/>
      <c r="C23" s="18"/>
      <c r="D23" s="18"/>
      <c r="E23" s="9" t="s">
        <v>1452</v>
      </c>
      <c r="F23" s="2" t="s">
        <v>1453</v>
      </c>
      <c r="G23" s="2" t="s">
        <v>923</v>
      </c>
      <c r="H23" s="2" t="s">
        <v>1437</v>
      </c>
      <c r="I23" s="2" t="s">
        <v>65</v>
      </c>
      <c r="J23" s="2"/>
      <c r="K23" s="2" t="b">
        <v>1</v>
      </c>
      <c r="L23" s="2"/>
      <c r="M23" s="2" t="b">
        <v>1</v>
      </c>
      <c r="N23" s="2" t="b">
        <v>0</v>
      </c>
    </row>
    <row r="24" spans="1:14" x14ac:dyDescent="0.3">
      <c r="A24" s="18" t="s">
        <v>898</v>
      </c>
      <c r="B24" s="18"/>
      <c r="C24" s="18"/>
      <c r="D24" s="18"/>
      <c r="E24" s="9" t="s">
        <v>1454</v>
      </c>
      <c r="F24" s="2" t="s">
        <v>1455</v>
      </c>
      <c r="G24" s="2" t="s">
        <v>923</v>
      </c>
      <c r="H24" s="2" t="s">
        <v>1437</v>
      </c>
      <c r="I24" s="2" t="s">
        <v>65</v>
      </c>
      <c r="J24" s="2"/>
      <c r="K24" s="2" t="b">
        <v>1</v>
      </c>
      <c r="L24" s="2"/>
      <c r="M24" s="2" t="b">
        <v>1</v>
      </c>
      <c r="N24" s="2" t="b">
        <v>0</v>
      </c>
    </row>
    <row r="25" spans="1:14" x14ac:dyDescent="0.3">
      <c r="A25" s="18" t="s">
        <v>898</v>
      </c>
      <c r="B25" s="18"/>
      <c r="C25" s="18"/>
      <c r="D25" s="18"/>
      <c r="E25" s="9" t="s">
        <v>1456</v>
      </c>
      <c r="F25" s="2" t="s">
        <v>1457</v>
      </c>
      <c r="G25" s="2" t="s">
        <v>923</v>
      </c>
      <c r="H25" s="2" t="s">
        <v>1437</v>
      </c>
      <c r="I25" s="2" t="s">
        <v>65</v>
      </c>
      <c r="J25" s="2"/>
      <c r="K25" s="2" t="b">
        <v>1</v>
      </c>
      <c r="L25" s="2"/>
      <c r="M25" s="2" t="b">
        <v>1</v>
      </c>
      <c r="N25" s="2" t="b">
        <v>0</v>
      </c>
    </row>
    <row r="26" spans="1:14" x14ac:dyDescent="0.3">
      <c r="A26" s="18" t="s">
        <v>898</v>
      </c>
      <c r="B26" s="18"/>
      <c r="C26" s="18"/>
      <c r="D26" s="18"/>
      <c r="E26" s="9" t="s">
        <v>1458</v>
      </c>
      <c r="F26" s="2" t="s">
        <v>1459</v>
      </c>
      <c r="G26" s="2" t="s">
        <v>923</v>
      </c>
      <c r="H26" s="2" t="s">
        <v>1460</v>
      </c>
      <c r="I26" s="2" t="s">
        <v>65</v>
      </c>
      <c r="J26" s="2"/>
      <c r="K26" s="2" t="b">
        <v>1</v>
      </c>
      <c r="L26" s="2"/>
      <c r="M26" s="2" t="b">
        <v>1</v>
      </c>
      <c r="N26" s="2" t="b">
        <v>0</v>
      </c>
    </row>
    <row r="27" spans="1:14" x14ac:dyDescent="0.3">
      <c r="A27" s="18" t="s">
        <v>898</v>
      </c>
      <c r="B27" s="18"/>
      <c r="C27" s="18"/>
      <c r="D27" s="18"/>
      <c r="E27" s="9" t="s">
        <v>1461</v>
      </c>
      <c r="F27" s="2" t="s">
        <v>1462</v>
      </c>
      <c r="G27" s="2" t="s">
        <v>923</v>
      </c>
      <c r="H27" s="2" t="s">
        <v>1437</v>
      </c>
      <c r="I27" s="2" t="s">
        <v>65</v>
      </c>
      <c r="J27" s="2"/>
      <c r="K27" s="2" t="b">
        <v>1</v>
      </c>
      <c r="L27" s="2"/>
      <c r="M27" s="2" t="b">
        <v>1</v>
      </c>
      <c r="N27" s="2" t="b">
        <v>0</v>
      </c>
    </row>
    <row r="28" spans="1:14" x14ac:dyDescent="0.3">
      <c r="A28" s="18" t="s">
        <v>898</v>
      </c>
      <c r="B28" s="18"/>
      <c r="C28" s="18"/>
      <c r="D28" s="18"/>
      <c r="E28" s="9" t="s">
        <v>1463</v>
      </c>
      <c r="F28" s="2" t="s">
        <v>1464</v>
      </c>
      <c r="G28" s="2" t="s">
        <v>923</v>
      </c>
      <c r="H28" s="2" t="s">
        <v>1437</v>
      </c>
      <c r="I28" s="2" t="s">
        <v>65</v>
      </c>
      <c r="J28" s="2"/>
      <c r="K28" s="2" t="b">
        <v>1</v>
      </c>
      <c r="L28" s="2"/>
      <c r="M28" s="2" t="b">
        <v>1</v>
      </c>
      <c r="N28" s="2" t="b">
        <v>0</v>
      </c>
    </row>
    <row r="29" spans="1:14" x14ac:dyDescent="0.3">
      <c r="A29" s="18" t="s">
        <v>898</v>
      </c>
      <c r="B29" s="18"/>
      <c r="C29" s="18"/>
      <c r="D29" s="18"/>
      <c r="E29" s="9" t="s">
        <v>1465</v>
      </c>
      <c r="F29" s="2" t="s">
        <v>1466</v>
      </c>
      <c r="G29" s="2" t="s">
        <v>923</v>
      </c>
      <c r="H29" s="2" t="s">
        <v>1437</v>
      </c>
      <c r="I29" s="2" t="s">
        <v>65</v>
      </c>
      <c r="J29" s="2"/>
      <c r="K29" s="2" t="b">
        <v>1</v>
      </c>
      <c r="L29" s="2"/>
      <c r="M29" s="2" t="b">
        <v>1</v>
      </c>
      <c r="N29" s="2" t="b">
        <v>0</v>
      </c>
    </row>
    <row r="30" spans="1:14" x14ac:dyDescent="0.3">
      <c r="A30" s="18" t="s">
        <v>898</v>
      </c>
      <c r="B30" s="18"/>
      <c r="C30" s="18"/>
      <c r="D30" s="18"/>
      <c r="E30" s="9" t="s">
        <v>1467</v>
      </c>
      <c r="F30" s="2" t="s">
        <v>1468</v>
      </c>
      <c r="G30" s="2" t="s">
        <v>923</v>
      </c>
      <c r="H30" s="2" t="s">
        <v>1437</v>
      </c>
      <c r="I30" s="2" t="s">
        <v>65</v>
      </c>
      <c r="J30" s="2"/>
      <c r="K30" s="2" t="b">
        <v>1</v>
      </c>
      <c r="L30" s="2"/>
      <c r="M30" s="2" t="b">
        <v>1</v>
      </c>
      <c r="N30" s="2" t="b">
        <v>0</v>
      </c>
    </row>
    <row r="31" spans="1:14" x14ac:dyDescent="0.3">
      <c r="A31" s="18" t="s">
        <v>898</v>
      </c>
      <c r="B31" s="18"/>
      <c r="C31" s="18"/>
      <c r="D31" s="18"/>
      <c r="E31" s="9" t="s">
        <v>1469</v>
      </c>
      <c r="F31" s="2" t="s">
        <v>1470</v>
      </c>
      <c r="G31" s="2" t="s">
        <v>923</v>
      </c>
      <c r="H31" s="2" t="s">
        <v>1437</v>
      </c>
      <c r="I31" s="2" t="s">
        <v>65</v>
      </c>
      <c r="J31" s="2"/>
      <c r="K31" s="2" t="b">
        <v>1</v>
      </c>
      <c r="L31" s="2"/>
      <c r="M31" s="2" t="b">
        <v>1</v>
      </c>
      <c r="N31" s="2" t="b">
        <v>0</v>
      </c>
    </row>
    <row r="32" spans="1:14" x14ac:dyDescent="0.3">
      <c r="A32" s="18" t="s">
        <v>898</v>
      </c>
      <c r="B32" s="18"/>
      <c r="C32" s="18"/>
      <c r="D32" s="18"/>
      <c r="E32" s="9" t="s">
        <v>1471</v>
      </c>
      <c r="F32" s="2" t="s">
        <v>1472</v>
      </c>
      <c r="G32" s="2" t="s">
        <v>923</v>
      </c>
      <c r="H32" s="2" t="s">
        <v>1437</v>
      </c>
      <c r="I32" s="2" t="s">
        <v>65</v>
      </c>
      <c r="J32" s="2"/>
      <c r="K32" s="2" t="b">
        <v>1</v>
      </c>
      <c r="L32" s="2"/>
      <c r="M32" s="2" t="b">
        <v>1</v>
      </c>
      <c r="N32" s="2" t="b">
        <v>0</v>
      </c>
    </row>
    <row r="33" spans="1:14" x14ac:dyDescent="0.3">
      <c r="A33" s="18" t="s">
        <v>898</v>
      </c>
      <c r="B33" s="18"/>
      <c r="C33" s="18"/>
      <c r="D33" s="18"/>
      <c r="E33" s="9" t="s">
        <v>1473</v>
      </c>
      <c r="F33" s="2" t="s">
        <v>1474</v>
      </c>
      <c r="G33" s="2" t="s">
        <v>923</v>
      </c>
      <c r="H33" s="2" t="s">
        <v>1460</v>
      </c>
      <c r="I33" s="2" t="s">
        <v>65</v>
      </c>
      <c r="J33" s="2"/>
      <c r="K33" s="2" t="b">
        <v>1</v>
      </c>
      <c r="L33" s="2"/>
      <c r="M33" s="2" t="b">
        <v>1</v>
      </c>
      <c r="N33" s="2" t="b">
        <v>0</v>
      </c>
    </row>
    <row r="34" spans="1:14" x14ac:dyDescent="0.3">
      <c r="A34" s="18" t="s">
        <v>898</v>
      </c>
      <c r="B34" s="18"/>
      <c r="C34" s="18"/>
      <c r="D34" s="18"/>
      <c r="E34" s="9" t="s">
        <v>1475</v>
      </c>
      <c r="F34" s="2" t="s">
        <v>1476</v>
      </c>
      <c r="G34" s="2" t="s">
        <v>923</v>
      </c>
      <c r="H34" s="2" t="s">
        <v>1437</v>
      </c>
      <c r="I34" s="2" t="s">
        <v>65</v>
      </c>
      <c r="J34" s="2"/>
      <c r="K34" s="2" t="b">
        <v>1</v>
      </c>
      <c r="L34" s="2"/>
      <c r="M34" s="2" t="b">
        <v>1</v>
      </c>
      <c r="N34" s="2" t="b">
        <v>0</v>
      </c>
    </row>
    <row r="35" spans="1:14" x14ac:dyDescent="0.3">
      <c r="A35" s="18" t="s">
        <v>898</v>
      </c>
      <c r="B35" s="18"/>
      <c r="C35" s="18"/>
      <c r="D35" s="18"/>
      <c r="E35" s="9" t="s">
        <v>938</v>
      </c>
      <c r="F35" s="2" t="s">
        <v>939</v>
      </c>
      <c r="G35" s="2" t="s">
        <v>923</v>
      </c>
      <c r="H35" s="2" t="s">
        <v>861</v>
      </c>
      <c r="I35" s="2" t="s">
        <v>65</v>
      </c>
      <c r="J35" s="2"/>
      <c r="K35" s="2" t="b">
        <v>1</v>
      </c>
      <c r="L35" s="2"/>
      <c r="M35" s="2" t="b">
        <v>1</v>
      </c>
      <c r="N35" s="2" t="b">
        <v>0</v>
      </c>
    </row>
    <row r="36" spans="1:14" x14ac:dyDescent="0.3">
      <c r="A36" s="18" t="s">
        <v>898</v>
      </c>
      <c r="B36" s="18"/>
      <c r="C36" s="18"/>
      <c r="D36" s="18"/>
      <c r="E36" s="9" t="s">
        <v>942</v>
      </c>
      <c r="F36" s="2" t="s">
        <v>943</v>
      </c>
      <c r="G36" s="2" t="s">
        <v>923</v>
      </c>
      <c r="H36" s="2" t="s">
        <v>861</v>
      </c>
      <c r="I36" s="2" t="s">
        <v>65</v>
      </c>
      <c r="J36" s="2"/>
      <c r="K36" s="2" t="b">
        <v>1</v>
      </c>
      <c r="L36" s="2"/>
      <c r="M36" s="2" t="b">
        <v>1</v>
      </c>
      <c r="N36" s="2" t="b">
        <v>0</v>
      </c>
    </row>
    <row r="37" spans="1:14" x14ac:dyDescent="0.3">
      <c r="A37" s="18" t="s">
        <v>898</v>
      </c>
      <c r="B37" s="18"/>
      <c r="C37" s="18"/>
      <c r="D37" s="18"/>
      <c r="E37" s="9" t="s">
        <v>940</v>
      </c>
      <c r="F37" s="2" t="s">
        <v>941</v>
      </c>
      <c r="G37" s="2" t="s">
        <v>923</v>
      </c>
      <c r="H37" s="2" t="s">
        <v>859</v>
      </c>
      <c r="I37" s="2" t="s">
        <v>65</v>
      </c>
      <c r="J37" s="2"/>
      <c r="K37" s="2" t="b">
        <v>1</v>
      </c>
      <c r="L37" s="2"/>
      <c r="M37" s="2" t="b">
        <v>1</v>
      </c>
      <c r="N37" s="2" t="b">
        <v>0</v>
      </c>
    </row>
    <row r="38" spans="1:14" x14ac:dyDescent="0.3">
      <c r="A38" s="18" t="s">
        <v>898</v>
      </c>
      <c r="B38" s="18"/>
      <c r="C38" s="18"/>
      <c r="D38" s="18"/>
      <c r="E38" s="9" t="s">
        <v>944</v>
      </c>
      <c r="F38" s="2" t="s">
        <v>945</v>
      </c>
      <c r="G38" s="2" t="s">
        <v>923</v>
      </c>
      <c r="H38" s="2" t="s">
        <v>861</v>
      </c>
      <c r="I38" s="2" t="s">
        <v>65</v>
      </c>
      <c r="J38" s="2"/>
      <c r="K38" s="2" t="b">
        <v>1</v>
      </c>
      <c r="L38" s="2"/>
      <c r="M38" s="2" t="b">
        <v>1</v>
      </c>
      <c r="N38" s="2" t="b">
        <v>0</v>
      </c>
    </row>
    <row r="39" spans="1:14" x14ac:dyDescent="0.3">
      <c r="A39" s="18" t="s">
        <v>898</v>
      </c>
      <c r="B39" s="18"/>
      <c r="C39" s="18"/>
      <c r="D39" s="18"/>
      <c r="E39" s="9" t="s">
        <v>946</v>
      </c>
      <c r="F39" s="2" t="s">
        <v>947</v>
      </c>
      <c r="G39" s="2" t="s">
        <v>923</v>
      </c>
      <c r="H39" s="2" t="s">
        <v>861</v>
      </c>
      <c r="I39" s="2" t="s">
        <v>65</v>
      </c>
      <c r="J39" s="2"/>
      <c r="K39" s="2" t="b">
        <v>1</v>
      </c>
      <c r="L39" s="2"/>
      <c r="M39" s="2" t="b">
        <v>1</v>
      </c>
      <c r="N39" s="2" t="b">
        <v>0</v>
      </c>
    </row>
    <row r="40" spans="1:14" x14ac:dyDescent="0.3">
      <c r="A40" s="18" t="s">
        <v>898</v>
      </c>
      <c r="B40" s="18"/>
      <c r="C40" s="18"/>
      <c r="D40" s="18"/>
      <c r="E40" s="9" t="s">
        <v>948</v>
      </c>
      <c r="F40" s="2" t="s">
        <v>949</v>
      </c>
      <c r="G40" s="2" t="s">
        <v>923</v>
      </c>
      <c r="H40" s="2" t="s">
        <v>861</v>
      </c>
      <c r="I40" s="2" t="s">
        <v>65</v>
      </c>
      <c r="J40" s="2"/>
      <c r="K40" s="2" t="b">
        <v>1</v>
      </c>
      <c r="L40" s="2"/>
      <c r="M40" s="2" t="b">
        <v>1</v>
      </c>
      <c r="N40" s="2" t="b">
        <v>0</v>
      </c>
    </row>
    <row r="41" spans="1:14" x14ac:dyDescent="0.3">
      <c r="A41" s="18" t="s">
        <v>898</v>
      </c>
      <c r="B41" s="18"/>
      <c r="C41" s="18"/>
      <c r="D41" s="18"/>
      <c r="E41" s="9" t="s">
        <v>950</v>
      </c>
      <c r="F41" s="2" t="s">
        <v>951</v>
      </c>
      <c r="G41" s="2" t="s">
        <v>923</v>
      </c>
      <c r="H41" s="2" t="s">
        <v>861</v>
      </c>
      <c r="I41" s="2" t="s">
        <v>65</v>
      </c>
      <c r="J41" s="2"/>
      <c r="K41" s="2" t="b">
        <v>1</v>
      </c>
      <c r="L41" s="2"/>
      <c r="M41" s="2" t="b">
        <v>1</v>
      </c>
      <c r="N41" s="2" t="b">
        <v>0</v>
      </c>
    </row>
    <row r="42" spans="1:14" x14ac:dyDescent="0.3">
      <c r="A42" s="18" t="s">
        <v>898</v>
      </c>
      <c r="B42" s="18"/>
      <c r="C42" s="18"/>
      <c r="D42" s="18"/>
      <c r="E42" s="9" t="s">
        <v>952</v>
      </c>
      <c r="F42" s="2" t="s">
        <v>953</v>
      </c>
      <c r="G42" s="2" t="s">
        <v>923</v>
      </c>
      <c r="H42" s="2" t="s">
        <v>861</v>
      </c>
      <c r="I42" s="2" t="s">
        <v>65</v>
      </c>
      <c r="J42" s="2"/>
      <c r="K42" s="2" t="b">
        <v>1</v>
      </c>
      <c r="L42" s="2"/>
      <c r="M42" s="2" t="b">
        <v>1</v>
      </c>
      <c r="N42" s="2" t="b">
        <v>0</v>
      </c>
    </row>
    <row r="43" spans="1:14" x14ac:dyDescent="0.3">
      <c r="A43" s="18" t="s">
        <v>898</v>
      </c>
      <c r="B43" s="18"/>
      <c r="C43" s="18"/>
      <c r="D43" s="18"/>
      <c r="E43" s="9" t="s">
        <v>954</v>
      </c>
      <c r="F43" s="2" t="s">
        <v>955</v>
      </c>
      <c r="G43" s="2" t="s">
        <v>923</v>
      </c>
      <c r="H43" s="2" t="s">
        <v>861</v>
      </c>
      <c r="I43" s="2" t="s">
        <v>65</v>
      </c>
      <c r="J43" s="2"/>
      <c r="K43" s="2" t="b">
        <v>1</v>
      </c>
      <c r="L43" s="2"/>
      <c r="M43" s="2" t="b">
        <v>1</v>
      </c>
      <c r="N43" s="2" t="b">
        <v>0</v>
      </c>
    </row>
    <row r="44" spans="1:14" x14ac:dyDescent="0.3">
      <c r="A44" s="18" t="s">
        <v>898</v>
      </c>
      <c r="B44" s="18"/>
      <c r="C44" s="18"/>
      <c r="D44" s="18"/>
      <c r="E44" s="9" t="s">
        <v>956</v>
      </c>
      <c r="F44" s="2" t="s">
        <v>860</v>
      </c>
      <c r="G44" s="2" t="s">
        <v>923</v>
      </c>
      <c r="H44" s="2" t="s">
        <v>859</v>
      </c>
      <c r="I44" s="2" t="s">
        <v>65</v>
      </c>
      <c r="J44" s="2"/>
      <c r="K44" s="2" t="b">
        <v>1</v>
      </c>
      <c r="L44" s="2"/>
      <c r="M44" s="2" t="b">
        <v>1</v>
      </c>
      <c r="N44" s="2" t="b">
        <v>0</v>
      </c>
    </row>
    <row r="45" spans="1:14" x14ac:dyDescent="0.3">
      <c r="A45" s="18" t="s">
        <v>898</v>
      </c>
      <c r="B45" s="18"/>
      <c r="C45" s="18"/>
      <c r="D45" s="18"/>
      <c r="E45" s="9" t="s">
        <v>957</v>
      </c>
      <c r="F45" s="2" t="s">
        <v>958</v>
      </c>
      <c r="G45" s="2" t="s">
        <v>923</v>
      </c>
      <c r="H45" s="2" t="s">
        <v>861</v>
      </c>
      <c r="I45" s="2" t="s">
        <v>65</v>
      </c>
      <c r="J45" s="2"/>
      <c r="K45" s="2" t="b">
        <v>1</v>
      </c>
      <c r="L45" s="2"/>
      <c r="M45" s="2" t="b">
        <v>1</v>
      </c>
      <c r="N45" s="2" t="b">
        <v>0</v>
      </c>
    </row>
    <row r="46" spans="1:14" x14ac:dyDescent="0.3">
      <c r="A46" s="18" t="s">
        <v>898</v>
      </c>
      <c r="B46" s="18"/>
      <c r="C46" s="18"/>
      <c r="D46" s="18"/>
      <c r="E46" s="9" t="s">
        <v>959</v>
      </c>
      <c r="F46" s="2" t="s">
        <v>960</v>
      </c>
      <c r="G46" s="2" t="s">
        <v>923</v>
      </c>
      <c r="H46" s="2" t="s">
        <v>65</v>
      </c>
      <c r="I46" s="2" t="s">
        <v>65</v>
      </c>
      <c r="J46" s="2"/>
      <c r="K46" s="2" t="b">
        <v>1</v>
      </c>
      <c r="L46" s="2"/>
      <c r="M46" s="2" t="b">
        <v>1</v>
      </c>
      <c r="N46" s="2" t="b">
        <v>0</v>
      </c>
    </row>
    <row r="47" spans="1:14" x14ac:dyDescent="0.3">
      <c r="A47" s="18" t="s">
        <v>898</v>
      </c>
      <c r="B47" s="18"/>
      <c r="C47" s="18"/>
      <c r="D47" s="18"/>
      <c r="E47" s="9" t="s">
        <v>961</v>
      </c>
      <c r="F47" s="2" t="s">
        <v>962</v>
      </c>
      <c r="G47" s="2" t="s">
        <v>923</v>
      </c>
      <c r="H47" s="2" t="s">
        <v>65</v>
      </c>
      <c r="I47" s="2" t="s">
        <v>65</v>
      </c>
      <c r="J47" s="2"/>
      <c r="K47" s="2" t="b">
        <v>1</v>
      </c>
      <c r="L47" s="2"/>
      <c r="M47" s="2" t="b">
        <v>1</v>
      </c>
      <c r="N47" s="2" t="b">
        <v>0</v>
      </c>
    </row>
    <row r="48" spans="1:14" x14ac:dyDescent="0.3">
      <c r="A48" s="18" t="s">
        <v>898</v>
      </c>
      <c r="B48" s="18"/>
      <c r="C48" s="18"/>
      <c r="D48" s="18"/>
      <c r="E48" s="9" t="s">
        <v>966</v>
      </c>
      <c r="F48" s="2" t="s">
        <v>967</v>
      </c>
      <c r="G48" s="2" t="s">
        <v>923</v>
      </c>
      <c r="H48" s="2" t="s">
        <v>65</v>
      </c>
      <c r="I48" s="2" t="s">
        <v>65</v>
      </c>
      <c r="J48" s="2"/>
      <c r="K48" s="2" t="b">
        <v>1</v>
      </c>
      <c r="L48" s="2"/>
      <c r="M48" s="2" t="b">
        <v>1</v>
      </c>
      <c r="N48" s="2" t="b">
        <v>0</v>
      </c>
    </row>
    <row r="49" spans="1:14" x14ac:dyDescent="0.3">
      <c r="A49" s="18" t="s">
        <v>898</v>
      </c>
      <c r="B49" s="18"/>
      <c r="C49" s="18"/>
      <c r="D49" s="18"/>
      <c r="E49" s="9" t="s">
        <v>968</v>
      </c>
      <c r="F49" s="2" t="s">
        <v>969</v>
      </c>
      <c r="G49" s="2" t="s">
        <v>923</v>
      </c>
      <c r="H49" s="2" t="s">
        <v>857</v>
      </c>
      <c r="I49" s="2" t="s">
        <v>65</v>
      </c>
      <c r="J49" s="2"/>
      <c r="K49" s="2" t="b">
        <v>1</v>
      </c>
      <c r="L49" s="2"/>
      <c r="M49" s="2" t="b">
        <v>1</v>
      </c>
      <c r="N49" s="2" t="b">
        <v>0</v>
      </c>
    </row>
    <row r="50" spans="1:14" x14ac:dyDescent="0.3">
      <c r="A50" s="18" t="s">
        <v>898</v>
      </c>
      <c r="B50" s="18"/>
      <c r="C50" s="18"/>
      <c r="D50" s="18"/>
      <c r="E50" s="9" t="s">
        <v>970</v>
      </c>
      <c r="F50" s="2" t="s">
        <v>971</v>
      </c>
      <c r="G50" s="2" t="s">
        <v>923</v>
      </c>
      <c r="H50" s="2" t="s">
        <v>857</v>
      </c>
      <c r="I50" s="2" t="s">
        <v>65</v>
      </c>
      <c r="J50" s="2"/>
      <c r="K50" s="2" t="b">
        <v>1</v>
      </c>
      <c r="L50" s="2"/>
      <c r="M50" s="2" t="b">
        <v>1</v>
      </c>
      <c r="N50" s="2" t="b">
        <v>0</v>
      </c>
    </row>
    <row r="51" spans="1:14" x14ac:dyDescent="0.3">
      <c r="A51" s="18" t="s">
        <v>898</v>
      </c>
      <c r="B51" s="18"/>
      <c r="C51" s="18"/>
      <c r="D51" s="18"/>
      <c r="E51" s="9" t="s">
        <v>972</v>
      </c>
      <c r="F51" s="2" t="s">
        <v>973</v>
      </c>
      <c r="G51" s="2" t="s">
        <v>923</v>
      </c>
      <c r="H51" s="2" t="s">
        <v>857</v>
      </c>
      <c r="I51" s="2" t="s">
        <v>65</v>
      </c>
      <c r="J51" s="2"/>
      <c r="K51" s="2" t="b">
        <v>1</v>
      </c>
      <c r="L51" s="2"/>
      <c r="M51" s="2" t="b">
        <v>1</v>
      </c>
      <c r="N51" s="2" t="b">
        <v>0</v>
      </c>
    </row>
    <row r="52" spans="1:14" x14ac:dyDescent="0.3">
      <c r="A52" s="18" t="s">
        <v>898</v>
      </c>
      <c r="B52" s="18"/>
      <c r="C52" s="18"/>
      <c r="D52" s="18"/>
      <c r="E52" s="9" t="s">
        <v>1530</v>
      </c>
      <c r="F52" s="2" t="s">
        <v>1526</v>
      </c>
      <c r="G52" s="2" t="s">
        <v>923</v>
      </c>
      <c r="H52" s="2" t="s">
        <v>857</v>
      </c>
      <c r="I52" s="2" t="s">
        <v>65</v>
      </c>
      <c r="J52" s="2"/>
      <c r="K52" s="2" t="b">
        <v>1</v>
      </c>
      <c r="L52" s="2"/>
      <c r="M52" s="2" t="b">
        <v>1</v>
      </c>
      <c r="N52" s="2" t="b">
        <v>0</v>
      </c>
    </row>
    <row r="53" spans="1:14" x14ac:dyDescent="0.3">
      <c r="A53" s="18" t="s">
        <v>898</v>
      </c>
      <c r="B53" s="18"/>
      <c r="C53" s="18"/>
      <c r="D53" s="18"/>
      <c r="E53" s="9" t="s">
        <v>974</v>
      </c>
      <c r="F53" s="2" t="s">
        <v>975</v>
      </c>
      <c r="G53" s="2" t="s">
        <v>923</v>
      </c>
      <c r="H53" s="2" t="s">
        <v>857</v>
      </c>
      <c r="I53" s="2" t="s">
        <v>65</v>
      </c>
      <c r="J53" s="2"/>
      <c r="K53" s="2" t="b">
        <v>1</v>
      </c>
      <c r="L53" s="2"/>
      <c r="M53" s="2" t="b">
        <v>1</v>
      </c>
      <c r="N53" s="2" t="b">
        <v>0</v>
      </c>
    </row>
    <row r="54" spans="1:14" x14ac:dyDescent="0.3">
      <c r="A54" s="18" t="s">
        <v>898</v>
      </c>
      <c r="B54" s="18"/>
      <c r="C54" s="18"/>
      <c r="D54" s="18"/>
      <c r="E54" s="9" t="s">
        <v>1375</v>
      </c>
      <c r="F54" s="2" t="s">
        <v>1376</v>
      </c>
      <c r="G54" s="2" t="s">
        <v>923</v>
      </c>
      <c r="H54" s="2" t="s">
        <v>857</v>
      </c>
      <c r="I54" s="2" t="s">
        <v>65</v>
      </c>
      <c r="J54" s="2"/>
      <c r="K54" s="2" t="b">
        <v>1</v>
      </c>
      <c r="L54" s="2"/>
      <c r="M54" s="2" t="b">
        <v>1</v>
      </c>
      <c r="N54" s="2" t="b">
        <v>0</v>
      </c>
    </row>
    <row r="55" spans="1:14" x14ac:dyDescent="0.3">
      <c r="A55" s="18" t="s">
        <v>898</v>
      </c>
      <c r="B55" s="18"/>
      <c r="C55" s="18"/>
      <c r="D55" s="18"/>
      <c r="E55" s="9" t="s">
        <v>1714</v>
      </c>
      <c r="F55" s="2" t="s">
        <v>1715</v>
      </c>
      <c r="G55" s="2" t="s">
        <v>923</v>
      </c>
      <c r="H55" s="2" t="s">
        <v>65</v>
      </c>
      <c r="I55" s="2" t="s">
        <v>65</v>
      </c>
      <c r="J55" s="2"/>
      <c r="K55" s="2" t="b">
        <v>1</v>
      </c>
      <c r="L55" s="2"/>
      <c r="M55" s="2" t="b">
        <v>1</v>
      </c>
      <c r="N55" s="2" t="b">
        <v>0</v>
      </c>
    </row>
    <row r="56" spans="1:14" x14ac:dyDescent="0.3">
      <c r="A56" s="18" t="s">
        <v>898</v>
      </c>
      <c r="B56" s="18"/>
      <c r="C56" s="18"/>
      <c r="D56" s="18"/>
      <c r="E56" s="9" t="s">
        <v>976</v>
      </c>
      <c r="F56" s="2" t="s">
        <v>977</v>
      </c>
      <c r="G56" s="2" t="s">
        <v>923</v>
      </c>
      <c r="H56" s="2" t="s">
        <v>857</v>
      </c>
      <c r="I56" s="2" t="s">
        <v>65</v>
      </c>
      <c r="J56" s="2"/>
      <c r="K56" s="2" t="b">
        <v>1</v>
      </c>
      <c r="L56" s="2"/>
      <c r="M56" s="2" t="b">
        <v>1</v>
      </c>
      <c r="N56" s="2" t="b">
        <v>0</v>
      </c>
    </row>
    <row r="57" spans="1:14" x14ac:dyDescent="0.3">
      <c r="A57" s="18" t="s">
        <v>898</v>
      </c>
      <c r="B57" s="18"/>
      <c r="C57" s="18"/>
      <c r="D57" s="18"/>
      <c r="E57" s="9" t="s">
        <v>978</v>
      </c>
      <c r="F57" s="2" t="s">
        <v>979</v>
      </c>
      <c r="G57" s="2" t="s">
        <v>923</v>
      </c>
      <c r="H57" s="2" t="s">
        <v>857</v>
      </c>
      <c r="I57" s="2" t="s">
        <v>65</v>
      </c>
      <c r="J57" s="2"/>
      <c r="K57" s="2" t="b">
        <v>1</v>
      </c>
      <c r="L57" s="2"/>
      <c r="M57" s="2" t="b">
        <v>1</v>
      </c>
      <c r="N57" s="2" t="b">
        <v>0</v>
      </c>
    </row>
    <row r="58" spans="1:14" x14ac:dyDescent="0.3">
      <c r="A58" s="18" t="s">
        <v>898</v>
      </c>
      <c r="B58" s="18"/>
      <c r="C58" s="18"/>
      <c r="D58" s="18"/>
      <c r="E58" s="9" t="s">
        <v>980</v>
      </c>
      <c r="F58" s="2" t="s">
        <v>981</v>
      </c>
      <c r="G58" s="2" t="s">
        <v>923</v>
      </c>
      <c r="H58" s="2" t="s">
        <v>857</v>
      </c>
      <c r="I58" s="2" t="s">
        <v>65</v>
      </c>
      <c r="J58" s="2"/>
      <c r="K58" s="2" t="b">
        <v>1</v>
      </c>
      <c r="L58" s="2"/>
      <c r="M58" s="2" t="b">
        <v>1</v>
      </c>
      <c r="N58" s="2" t="b">
        <v>0</v>
      </c>
    </row>
    <row r="59" spans="1:14" x14ac:dyDescent="0.3">
      <c r="A59" s="18" t="s">
        <v>898</v>
      </c>
      <c r="B59" s="18"/>
      <c r="C59" s="18"/>
      <c r="D59" s="18"/>
      <c r="E59" s="9" t="s">
        <v>982</v>
      </c>
      <c r="F59" s="2" t="s">
        <v>983</v>
      </c>
      <c r="G59" s="2" t="s">
        <v>923</v>
      </c>
      <c r="H59" s="2" t="s">
        <v>857</v>
      </c>
      <c r="I59" s="2" t="s">
        <v>65</v>
      </c>
      <c r="J59" s="2"/>
      <c r="K59" s="2" t="b">
        <v>1</v>
      </c>
      <c r="L59" s="2"/>
      <c r="M59" s="2" t="b">
        <v>1</v>
      </c>
      <c r="N59" s="2" t="b">
        <v>0</v>
      </c>
    </row>
    <row r="60" spans="1:14" x14ac:dyDescent="0.3">
      <c r="A60" s="18" t="s">
        <v>898</v>
      </c>
      <c r="B60" s="18"/>
      <c r="C60" s="18"/>
      <c r="D60" s="18"/>
      <c r="E60" s="9" t="s">
        <v>1477</v>
      </c>
      <c r="F60" s="2" t="s">
        <v>1478</v>
      </c>
      <c r="G60" s="2" t="s">
        <v>923</v>
      </c>
      <c r="H60" s="2" t="s">
        <v>1479</v>
      </c>
      <c r="I60" s="2" t="s">
        <v>65</v>
      </c>
      <c r="J60" s="2"/>
      <c r="K60" s="2" t="b">
        <v>1</v>
      </c>
      <c r="L60" s="2"/>
      <c r="M60" s="2" t="b">
        <v>1</v>
      </c>
      <c r="N60" s="2" t="b">
        <v>0</v>
      </c>
    </row>
    <row r="61" spans="1:14" x14ac:dyDescent="0.3">
      <c r="A61" s="18" t="s">
        <v>898</v>
      </c>
      <c r="B61" s="18"/>
      <c r="C61" s="18"/>
      <c r="D61" s="18"/>
      <c r="E61" s="9" t="s">
        <v>1480</v>
      </c>
      <c r="F61" s="2" t="s">
        <v>1481</v>
      </c>
      <c r="G61" s="2" t="s">
        <v>923</v>
      </c>
      <c r="H61" s="2" t="s">
        <v>1479</v>
      </c>
      <c r="I61" s="2" t="s">
        <v>65</v>
      </c>
      <c r="J61" s="2"/>
      <c r="K61" s="2" t="b">
        <v>1</v>
      </c>
      <c r="L61" s="2"/>
      <c r="M61" s="2" t="b">
        <v>1</v>
      </c>
      <c r="N61" s="2" t="b">
        <v>0</v>
      </c>
    </row>
    <row r="62" spans="1:14" x14ac:dyDescent="0.3">
      <c r="A62" s="18" t="s">
        <v>898</v>
      </c>
      <c r="B62" s="18"/>
      <c r="C62" s="18"/>
      <c r="D62" s="18"/>
      <c r="E62" s="9" t="s">
        <v>1482</v>
      </c>
      <c r="F62" s="2" t="s">
        <v>1483</v>
      </c>
      <c r="G62" s="2" t="s">
        <v>923</v>
      </c>
      <c r="H62" s="2" t="s">
        <v>1479</v>
      </c>
      <c r="I62" s="2" t="s">
        <v>65</v>
      </c>
      <c r="J62" s="2"/>
      <c r="K62" s="2" t="b">
        <v>1</v>
      </c>
      <c r="L62" s="2"/>
      <c r="M62" s="2" t="b">
        <v>1</v>
      </c>
      <c r="N62" s="2" t="b">
        <v>0</v>
      </c>
    </row>
    <row r="63" spans="1:14" x14ac:dyDescent="0.3">
      <c r="A63" s="18" t="s">
        <v>898</v>
      </c>
      <c r="B63" s="18"/>
      <c r="C63" s="18"/>
      <c r="D63" s="18"/>
      <c r="E63" s="9" t="s">
        <v>1531</v>
      </c>
      <c r="F63" s="2" t="s">
        <v>1527</v>
      </c>
      <c r="G63" s="2" t="s">
        <v>923</v>
      </c>
      <c r="H63" s="2" t="s">
        <v>1479</v>
      </c>
      <c r="I63" s="2" t="s">
        <v>65</v>
      </c>
      <c r="J63" s="2"/>
      <c r="K63" s="2" t="b">
        <v>1</v>
      </c>
      <c r="L63" s="2"/>
      <c r="M63" s="2" t="b">
        <v>1</v>
      </c>
      <c r="N63" s="2" t="b">
        <v>0</v>
      </c>
    </row>
    <row r="64" spans="1:14" x14ac:dyDescent="0.3">
      <c r="A64" s="18" t="s">
        <v>898</v>
      </c>
      <c r="B64" s="18"/>
      <c r="C64" s="18"/>
      <c r="D64" s="18"/>
      <c r="E64" s="9" t="s">
        <v>1484</v>
      </c>
      <c r="F64" s="2" t="s">
        <v>1485</v>
      </c>
      <c r="G64" s="2" t="s">
        <v>923</v>
      </c>
      <c r="H64" s="2" t="s">
        <v>1479</v>
      </c>
      <c r="I64" s="2" t="s">
        <v>65</v>
      </c>
      <c r="J64" s="2"/>
      <c r="K64" s="2" t="b">
        <v>1</v>
      </c>
      <c r="L64" s="2"/>
      <c r="M64" s="2" t="b">
        <v>1</v>
      </c>
      <c r="N64" s="2" t="b">
        <v>0</v>
      </c>
    </row>
    <row r="65" spans="1:14" x14ac:dyDescent="0.3">
      <c r="A65" s="18" t="s">
        <v>898</v>
      </c>
      <c r="B65" s="18"/>
      <c r="C65" s="18"/>
      <c r="D65" s="18"/>
      <c r="E65" s="9" t="s">
        <v>1486</v>
      </c>
      <c r="F65" s="2" t="s">
        <v>1487</v>
      </c>
      <c r="G65" s="2" t="s">
        <v>923</v>
      </c>
      <c r="H65" s="2" t="s">
        <v>1479</v>
      </c>
      <c r="I65" s="2" t="s">
        <v>65</v>
      </c>
      <c r="J65" s="2"/>
      <c r="K65" s="2" t="b">
        <v>1</v>
      </c>
      <c r="L65" s="2"/>
      <c r="M65" s="2" t="b">
        <v>1</v>
      </c>
      <c r="N65" s="2" t="b">
        <v>0</v>
      </c>
    </row>
    <row r="66" spans="1:14" x14ac:dyDescent="0.3">
      <c r="A66" s="18" t="s">
        <v>898</v>
      </c>
      <c r="B66" s="18"/>
      <c r="C66" s="18"/>
      <c r="D66" s="18"/>
      <c r="E66" s="9" t="s">
        <v>1716</v>
      </c>
      <c r="F66" s="2" t="s">
        <v>1717</v>
      </c>
      <c r="G66" s="2" t="s">
        <v>923</v>
      </c>
      <c r="H66" s="2" t="s">
        <v>65</v>
      </c>
      <c r="I66" s="2" t="s">
        <v>65</v>
      </c>
      <c r="J66" s="2"/>
      <c r="K66" s="2" t="b">
        <v>1</v>
      </c>
      <c r="L66" s="2"/>
      <c r="M66" s="2" t="b">
        <v>1</v>
      </c>
      <c r="N66" s="2" t="b">
        <v>0</v>
      </c>
    </row>
    <row r="67" spans="1:14" x14ac:dyDescent="0.3">
      <c r="A67" s="18" t="s">
        <v>898</v>
      </c>
      <c r="B67" s="18"/>
      <c r="C67" s="18"/>
      <c r="D67" s="18"/>
      <c r="E67" s="9" t="s">
        <v>1488</v>
      </c>
      <c r="F67" s="2" t="s">
        <v>1489</v>
      </c>
      <c r="G67" s="2" t="s">
        <v>923</v>
      </c>
      <c r="H67" s="2" t="s">
        <v>1479</v>
      </c>
      <c r="I67" s="2" t="s">
        <v>65</v>
      </c>
      <c r="J67" s="2"/>
      <c r="K67" s="2" t="b">
        <v>1</v>
      </c>
      <c r="L67" s="2"/>
      <c r="M67" s="2" t="b">
        <v>1</v>
      </c>
      <c r="N67" s="2" t="b">
        <v>0</v>
      </c>
    </row>
    <row r="68" spans="1:14" x14ac:dyDescent="0.3">
      <c r="A68" s="18" t="s">
        <v>898</v>
      </c>
      <c r="B68" s="18"/>
      <c r="C68" s="18"/>
      <c r="D68" s="18"/>
      <c r="E68" s="9" t="s">
        <v>1490</v>
      </c>
      <c r="F68" s="2" t="s">
        <v>1491</v>
      </c>
      <c r="G68" s="2" t="s">
        <v>923</v>
      </c>
      <c r="H68" s="2" t="s">
        <v>1479</v>
      </c>
      <c r="I68" s="2" t="s">
        <v>65</v>
      </c>
      <c r="J68" s="2"/>
      <c r="K68" s="2" t="b">
        <v>1</v>
      </c>
      <c r="L68" s="2"/>
      <c r="M68" s="2" t="b">
        <v>1</v>
      </c>
      <c r="N68" s="2" t="b">
        <v>0</v>
      </c>
    </row>
    <row r="69" spans="1:14" x14ac:dyDescent="0.3">
      <c r="A69" s="18" t="s">
        <v>898</v>
      </c>
      <c r="B69" s="18"/>
      <c r="C69" s="18"/>
      <c r="D69" s="18"/>
      <c r="E69" s="9" t="s">
        <v>1492</v>
      </c>
      <c r="F69" s="2" t="s">
        <v>1493</v>
      </c>
      <c r="G69" s="2" t="s">
        <v>923</v>
      </c>
      <c r="H69" s="2" t="s">
        <v>1479</v>
      </c>
      <c r="I69" s="2" t="s">
        <v>65</v>
      </c>
      <c r="J69" s="2"/>
      <c r="K69" s="2" t="b">
        <v>1</v>
      </c>
      <c r="L69" s="2"/>
      <c r="M69" s="2" t="b">
        <v>1</v>
      </c>
      <c r="N69" s="2" t="b">
        <v>0</v>
      </c>
    </row>
    <row r="70" spans="1:14" x14ac:dyDescent="0.3">
      <c r="A70" s="18" t="s">
        <v>898</v>
      </c>
      <c r="B70" s="18"/>
      <c r="C70" s="18"/>
      <c r="D70" s="18"/>
      <c r="E70" s="9" t="s">
        <v>1494</v>
      </c>
      <c r="F70" s="2" t="s">
        <v>1495</v>
      </c>
      <c r="G70" s="2" t="s">
        <v>923</v>
      </c>
      <c r="H70" s="2" t="s">
        <v>1479</v>
      </c>
      <c r="I70" s="2" t="s">
        <v>65</v>
      </c>
      <c r="J70" s="2"/>
      <c r="K70" s="2" t="b">
        <v>1</v>
      </c>
      <c r="L70" s="2"/>
      <c r="M70" s="2" t="b">
        <v>1</v>
      </c>
      <c r="N70" s="2" t="b">
        <v>0</v>
      </c>
    </row>
    <row r="71" spans="1:14" x14ac:dyDescent="0.3">
      <c r="A71" s="18" t="s">
        <v>898</v>
      </c>
      <c r="B71" s="18"/>
      <c r="C71" s="18"/>
      <c r="D71" s="18"/>
      <c r="E71" s="9" t="s">
        <v>1496</v>
      </c>
      <c r="F71" s="2" t="s">
        <v>1497</v>
      </c>
      <c r="G71" s="2" t="s">
        <v>923</v>
      </c>
      <c r="H71" s="2" t="s">
        <v>1479</v>
      </c>
      <c r="I71" s="2" t="s">
        <v>65</v>
      </c>
      <c r="J71" s="2"/>
      <c r="K71" s="2" t="b">
        <v>1</v>
      </c>
      <c r="L71" s="2"/>
      <c r="M71" s="2" t="b">
        <v>1</v>
      </c>
      <c r="N71" s="2" t="b">
        <v>0</v>
      </c>
    </row>
    <row r="72" spans="1:14" x14ac:dyDescent="0.3">
      <c r="A72" s="18" t="s">
        <v>898</v>
      </c>
      <c r="B72" s="18"/>
      <c r="C72" s="18"/>
      <c r="D72" s="18"/>
      <c r="E72" s="9" t="s">
        <v>1498</v>
      </c>
      <c r="F72" s="2" t="s">
        <v>1499</v>
      </c>
      <c r="G72" s="2" t="s">
        <v>923</v>
      </c>
      <c r="H72" s="2" t="s">
        <v>1479</v>
      </c>
      <c r="I72" s="2" t="s">
        <v>65</v>
      </c>
      <c r="J72" s="2"/>
      <c r="K72" s="2" t="b">
        <v>1</v>
      </c>
      <c r="L72" s="2"/>
      <c r="M72" s="2" t="b">
        <v>1</v>
      </c>
      <c r="N72" s="2" t="b">
        <v>0</v>
      </c>
    </row>
    <row r="73" spans="1:14" x14ac:dyDescent="0.3">
      <c r="A73" s="18" t="s">
        <v>898</v>
      </c>
      <c r="B73" s="18"/>
      <c r="C73" s="18"/>
      <c r="D73" s="18"/>
      <c r="E73" s="9" t="s">
        <v>1500</v>
      </c>
      <c r="F73" s="2" t="s">
        <v>1501</v>
      </c>
      <c r="G73" s="2" t="s">
        <v>923</v>
      </c>
      <c r="H73" s="2" t="s">
        <v>1502</v>
      </c>
      <c r="I73" s="2" t="s">
        <v>65</v>
      </c>
      <c r="J73" s="2"/>
      <c r="K73" s="2" t="b">
        <v>1</v>
      </c>
      <c r="L73" s="2"/>
      <c r="M73" s="2" t="b">
        <v>1</v>
      </c>
      <c r="N73" s="2" t="b">
        <v>0</v>
      </c>
    </row>
    <row r="74" spans="1:14" x14ac:dyDescent="0.3">
      <c r="A74" s="18" t="s">
        <v>898</v>
      </c>
      <c r="B74" s="18"/>
      <c r="C74" s="18"/>
      <c r="D74" s="18"/>
      <c r="E74" s="9" t="s">
        <v>1503</v>
      </c>
      <c r="F74" s="2" t="s">
        <v>1504</v>
      </c>
      <c r="G74" s="2" t="s">
        <v>923</v>
      </c>
      <c r="H74" s="2" t="s">
        <v>1479</v>
      </c>
      <c r="I74" s="2" t="s">
        <v>65</v>
      </c>
      <c r="J74" s="2"/>
      <c r="K74" s="2" t="b">
        <v>1</v>
      </c>
      <c r="L74" s="2"/>
      <c r="M74" s="2" t="b">
        <v>1</v>
      </c>
      <c r="N74" s="2" t="b">
        <v>0</v>
      </c>
    </row>
    <row r="75" spans="1:14" x14ac:dyDescent="0.3">
      <c r="A75" s="18" t="s">
        <v>898</v>
      </c>
      <c r="B75" s="18"/>
      <c r="C75" s="18"/>
      <c r="D75" s="18"/>
      <c r="E75" s="9" t="s">
        <v>1505</v>
      </c>
      <c r="F75" s="2" t="s">
        <v>1506</v>
      </c>
      <c r="G75" s="2" t="s">
        <v>923</v>
      </c>
      <c r="H75" s="2" t="s">
        <v>1479</v>
      </c>
      <c r="I75" s="2" t="s">
        <v>65</v>
      </c>
      <c r="J75" s="2"/>
      <c r="K75" s="2" t="b">
        <v>1</v>
      </c>
      <c r="L75" s="2"/>
      <c r="M75" s="2" t="b">
        <v>1</v>
      </c>
      <c r="N75" s="2" t="b">
        <v>0</v>
      </c>
    </row>
    <row r="76" spans="1:14" x14ac:dyDescent="0.3">
      <c r="A76" s="18" t="s">
        <v>898</v>
      </c>
      <c r="B76" s="18"/>
      <c r="C76" s="18"/>
      <c r="D76" s="18"/>
      <c r="E76" s="9" t="s">
        <v>1507</v>
      </c>
      <c r="F76" s="2" t="s">
        <v>1508</v>
      </c>
      <c r="G76" s="2" t="s">
        <v>923</v>
      </c>
      <c r="H76" s="2" t="s">
        <v>1479</v>
      </c>
      <c r="I76" s="2" t="s">
        <v>65</v>
      </c>
      <c r="J76" s="2"/>
      <c r="K76" s="2" t="b">
        <v>1</v>
      </c>
      <c r="L76" s="2"/>
      <c r="M76" s="2" t="b">
        <v>1</v>
      </c>
      <c r="N76" s="2" t="b">
        <v>0</v>
      </c>
    </row>
    <row r="77" spans="1:14" x14ac:dyDescent="0.3">
      <c r="A77" s="18" t="s">
        <v>898</v>
      </c>
      <c r="B77" s="18"/>
      <c r="C77" s="18"/>
      <c r="D77" s="18"/>
      <c r="E77" s="9" t="s">
        <v>1509</v>
      </c>
      <c r="F77" s="2" t="s">
        <v>1510</v>
      </c>
      <c r="G77" s="2" t="s">
        <v>923</v>
      </c>
      <c r="H77" s="2" t="s">
        <v>1479</v>
      </c>
      <c r="I77" s="2" t="s">
        <v>65</v>
      </c>
      <c r="J77" s="2"/>
      <c r="K77" s="2" t="b">
        <v>1</v>
      </c>
      <c r="L77" s="2"/>
      <c r="M77" s="2" t="b">
        <v>1</v>
      </c>
      <c r="N77" s="2" t="b">
        <v>0</v>
      </c>
    </row>
    <row r="78" spans="1:14" x14ac:dyDescent="0.3">
      <c r="A78" s="18" t="s">
        <v>898</v>
      </c>
      <c r="B78" s="18"/>
      <c r="C78" s="18"/>
      <c r="D78" s="18"/>
      <c r="E78" s="9" t="s">
        <v>1511</v>
      </c>
      <c r="F78" s="2" t="s">
        <v>1512</v>
      </c>
      <c r="G78" s="2" t="s">
        <v>923</v>
      </c>
      <c r="H78" s="2" t="s">
        <v>1479</v>
      </c>
      <c r="I78" s="2" t="s">
        <v>65</v>
      </c>
      <c r="J78" s="2"/>
      <c r="K78" s="2" t="b">
        <v>1</v>
      </c>
      <c r="L78" s="2"/>
      <c r="M78" s="2" t="b">
        <v>1</v>
      </c>
      <c r="N78" s="2" t="b">
        <v>0</v>
      </c>
    </row>
    <row r="79" spans="1:14" x14ac:dyDescent="0.3">
      <c r="A79" s="18" t="s">
        <v>898</v>
      </c>
      <c r="B79" s="18"/>
      <c r="C79" s="18"/>
      <c r="D79" s="18"/>
      <c r="E79" s="9" t="s">
        <v>1513</v>
      </c>
      <c r="F79" s="2" t="s">
        <v>1514</v>
      </c>
      <c r="G79" s="2" t="s">
        <v>923</v>
      </c>
      <c r="H79" s="2" t="s">
        <v>1479</v>
      </c>
      <c r="I79" s="2" t="s">
        <v>65</v>
      </c>
      <c r="J79" s="2"/>
      <c r="K79" s="2" t="b">
        <v>1</v>
      </c>
      <c r="L79" s="2"/>
      <c r="M79" s="2" t="b">
        <v>1</v>
      </c>
      <c r="N79" s="2" t="b">
        <v>0</v>
      </c>
    </row>
    <row r="80" spans="1:14" x14ac:dyDescent="0.3">
      <c r="A80" s="18" t="s">
        <v>898</v>
      </c>
      <c r="B80" s="18"/>
      <c r="C80" s="18"/>
      <c r="D80" s="18"/>
      <c r="E80" s="9" t="s">
        <v>1515</v>
      </c>
      <c r="F80" s="2" t="s">
        <v>1516</v>
      </c>
      <c r="G80" s="2" t="s">
        <v>923</v>
      </c>
      <c r="H80" s="2" t="s">
        <v>1502</v>
      </c>
      <c r="I80" s="2" t="s">
        <v>65</v>
      </c>
      <c r="J80" s="2"/>
      <c r="K80" s="2" t="b">
        <v>1</v>
      </c>
      <c r="L80" s="2"/>
      <c r="M80" s="2" t="b">
        <v>1</v>
      </c>
      <c r="N80" s="2" t="b">
        <v>0</v>
      </c>
    </row>
    <row r="81" spans="1:14" x14ac:dyDescent="0.3">
      <c r="A81" s="18" t="s">
        <v>898</v>
      </c>
      <c r="B81" s="18"/>
      <c r="C81" s="18"/>
      <c r="D81" s="18"/>
      <c r="E81" s="9" t="s">
        <v>1517</v>
      </c>
      <c r="F81" s="2" t="s">
        <v>1518</v>
      </c>
      <c r="G81" s="2" t="s">
        <v>923</v>
      </c>
      <c r="H81" s="2" t="s">
        <v>1479</v>
      </c>
      <c r="I81" s="2" t="s">
        <v>65</v>
      </c>
      <c r="J81" s="2"/>
      <c r="K81" s="2" t="b">
        <v>1</v>
      </c>
      <c r="L81" s="2"/>
      <c r="M81" s="2" t="b">
        <v>1</v>
      </c>
      <c r="N81" s="2" t="b">
        <v>0</v>
      </c>
    </row>
    <row r="82" spans="1:14" x14ac:dyDescent="0.3">
      <c r="A82" s="18" t="s">
        <v>898</v>
      </c>
      <c r="B82" s="18"/>
      <c r="C82" s="18"/>
      <c r="D82" s="18"/>
      <c r="E82" s="9" t="s">
        <v>984</v>
      </c>
      <c r="F82" s="2" t="s">
        <v>985</v>
      </c>
      <c r="G82" s="2" t="s">
        <v>923</v>
      </c>
      <c r="H82" s="2" t="s">
        <v>857</v>
      </c>
      <c r="I82" s="2" t="s">
        <v>65</v>
      </c>
      <c r="J82" s="2"/>
      <c r="K82" s="2" t="b">
        <v>1</v>
      </c>
      <c r="L82" s="2"/>
      <c r="M82" s="2" t="b">
        <v>1</v>
      </c>
      <c r="N82" s="2" t="b">
        <v>0</v>
      </c>
    </row>
    <row r="83" spans="1:14" x14ac:dyDescent="0.3">
      <c r="A83" s="18" t="s">
        <v>898</v>
      </c>
      <c r="B83" s="18"/>
      <c r="C83" s="18"/>
      <c r="D83" s="18"/>
      <c r="E83" s="9" t="s">
        <v>988</v>
      </c>
      <c r="F83" s="2" t="s">
        <v>989</v>
      </c>
      <c r="G83" s="2" t="s">
        <v>923</v>
      </c>
      <c r="H83" s="2" t="s">
        <v>857</v>
      </c>
      <c r="I83" s="2" t="s">
        <v>65</v>
      </c>
      <c r="J83" s="2"/>
      <c r="K83" s="2" t="b">
        <v>1</v>
      </c>
      <c r="L83" s="2"/>
      <c r="M83" s="2" t="b">
        <v>1</v>
      </c>
      <c r="N83" s="2" t="b">
        <v>0</v>
      </c>
    </row>
    <row r="84" spans="1:14" x14ac:dyDescent="0.3">
      <c r="A84" s="18" t="s">
        <v>898</v>
      </c>
      <c r="B84" s="18"/>
      <c r="C84" s="18"/>
      <c r="D84" s="18"/>
      <c r="E84" s="9" t="s">
        <v>986</v>
      </c>
      <c r="F84" s="2" t="s">
        <v>987</v>
      </c>
      <c r="G84" s="2" t="s">
        <v>923</v>
      </c>
      <c r="H84" s="2" t="s">
        <v>855</v>
      </c>
      <c r="I84" s="2" t="s">
        <v>65</v>
      </c>
      <c r="J84" s="2"/>
      <c r="K84" s="2" t="b">
        <v>1</v>
      </c>
      <c r="L84" s="2"/>
      <c r="M84" s="2" t="b">
        <v>1</v>
      </c>
      <c r="N84" s="2" t="b">
        <v>0</v>
      </c>
    </row>
    <row r="85" spans="1:14" x14ac:dyDescent="0.3">
      <c r="A85" s="18" t="s">
        <v>898</v>
      </c>
      <c r="B85" s="18"/>
      <c r="C85" s="18"/>
      <c r="D85" s="18"/>
      <c r="E85" s="9" t="s">
        <v>990</v>
      </c>
      <c r="F85" s="2" t="s">
        <v>991</v>
      </c>
      <c r="G85" s="2" t="s">
        <v>923</v>
      </c>
      <c r="H85" s="2" t="s">
        <v>857</v>
      </c>
      <c r="I85" s="2" t="s">
        <v>65</v>
      </c>
      <c r="J85" s="2"/>
      <c r="K85" s="2" t="b">
        <v>1</v>
      </c>
      <c r="L85" s="2"/>
      <c r="M85" s="2" t="b">
        <v>1</v>
      </c>
      <c r="N85" s="2" t="b">
        <v>0</v>
      </c>
    </row>
    <row r="86" spans="1:14" x14ac:dyDescent="0.3">
      <c r="A86" s="18" t="s">
        <v>898</v>
      </c>
      <c r="B86" s="18"/>
      <c r="C86" s="18"/>
      <c r="D86" s="18"/>
      <c r="E86" s="9" t="s">
        <v>992</v>
      </c>
      <c r="F86" s="2" t="s">
        <v>993</v>
      </c>
      <c r="G86" s="2" t="s">
        <v>923</v>
      </c>
      <c r="H86" s="2" t="s">
        <v>857</v>
      </c>
      <c r="I86" s="2" t="s">
        <v>65</v>
      </c>
      <c r="J86" s="2"/>
      <c r="K86" s="2" t="b">
        <v>1</v>
      </c>
      <c r="L86" s="2"/>
      <c r="M86" s="2" t="b">
        <v>1</v>
      </c>
      <c r="N86" s="2" t="b">
        <v>0</v>
      </c>
    </row>
    <row r="87" spans="1:14" x14ac:dyDescent="0.3">
      <c r="A87" s="18" t="s">
        <v>898</v>
      </c>
      <c r="B87" s="18"/>
      <c r="C87" s="18"/>
      <c r="D87" s="18"/>
      <c r="E87" s="9" t="s">
        <v>994</v>
      </c>
      <c r="F87" s="2" t="s">
        <v>995</v>
      </c>
      <c r="G87" s="2" t="s">
        <v>923</v>
      </c>
      <c r="H87" s="2" t="s">
        <v>857</v>
      </c>
      <c r="I87" s="2" t="s">
        <v>65</v>
      </c>
      <c r="J87" s="2"/>
      <c r="K87" s="2" t="b">
        <v>1</v>
      </c>
      <c r="L87" s="2"/>
      <c r="M87" s="2" t="b">
        <v>1</v>
      </c>
      <c r="N87" s="2" t="b">
        <v>0</v>
      </c>
    </row>
    <row r="88" spans="1:14" x14ac:dyDescent="0.3">
      <c r="A88" s="18" t="s">
        <v>898</v>
      </c>
      <c r="B88" s="18"/>
      <c r="C88" s="18"/>
      <c r="D88" s="18"/>
      <c r="E88" s="9" t="s">
        <v>996</v>
      </c>
      <c r="F88" s="2" t="s">
        <v>997</v>
      </c>
      <c r="G88" s="2" t="s">
        <v>923</v>
      </c>
      <c r="H88" s="2" t="s">
        <v>857</v>
      </c>
      <c r="I88" s="2" t="s">
        <v>65</v>
      </c>
      <c r="J88" s="2"/>
      <c r="K88" s="2" t="b">
        <v>1</v>
      </c>
      <c r="L88" s="2"/>
      <c r="M88" s="2" t="b">
        <v>1</v>
      </c>
      <c r="N88" s="2" t="b">
        <v>0</v>
      </c>
    </row>
    <row r="89" spans="1:14" x14ac:dyDescent="0.3">
      <c r="A89" s="18" t="s">
        <v>898</v>
      </c>
      <c r="B89" s="18"/>
      <c r="C89" s="18"/>
      <c r="D89" s="18"/>
      <c r="E89" s="9" t="s">
        <v>998</v>
      </c>
      <c r="F89" s="2" t="s">
        <v>999</v>
      </c>
      <c r="G89" s="2" t="s">
        <v>923</v>
      </c>
      <c r="H89" s="2" t="s">
        <v>857</v>
      </c>
      <c r="I89" s="2" t="s">
        <v>65</v>
      </c>
      <c r="J89" s="2"/>
      <c r="K89" s="2" t="b">
        <v>1</v>
      </c>
      <c r="L89" s="2"/>
      <c r="M89" s="2" t="b">
        <v>1</v>
      </c>
      <c r="N89" s="2" t="b">
        <v>0</v>
      </c>
    </row>
    <row r="90" spans="1:14" x14ac:dyDescent="0.3">
      <c r="A90" s="18" t="s">
        <v>898</v>
      </c>
      <c r="B90" s="18"/>
      <c r="C90" s="18"/>
      <c r="D90" s="18"/>
      <c r="E90" s="9" t="s">
        <v>1000</v>
      </c>
      <c r="F90" s="2" t="s">
        <v>1001</v>
      </c>
      <c r="G90" s="2" t="s">
        <v>923</v>
      </c>
      <c r="H90" s="2" t="s">
        <v>857</v>
      </c>
      <c r="I90" s="2" t="s">
        <v>65</v>
      </c>
      <c r="J90" s="2"/>
      <c r="K90" s="2" t="b">
        <v>1</v>
      </c>
      <c r="L90" s="2"/>
      <c r="M90" s="2" t="b">
        <v>1</v>
      </c>
      <c r="N90" s="2" t="b">
        <v>0</v>
      </c>
    </row>
    <row r="91" spans="1:14" x14ac:dyDescent="0.3">
      <c r="A91" s="18" t="s">
        <v>898</v>
      </c>
      <c r="B91" s="18"/>
      <c r="C91" s="18"/>
      <c r="D91" s="18"/>
      <c r="E91" s="9" t="s">
        <v>1002</v>
      </c>
      <c r="F91" s="2" t="s">
        <v>856</v>
      </c>
      <c r="G91" s="2" t="s">
        <v>923</v>
      </c>
      <c r="H91" s="2" t="s">
        <v>855</v>
      </c>
      <c r="I91" s="2" t="s">
        <v>65</v>
      </c>
      <c r="J91" s="2"/>
      <c r="K91" s="2" t="b">
        <v>1</v>
      </c>
      <c r="L91" s="2"/>
      <c r="M91" s="2" t="b">
        <v>1</v>
      </c>
      <c r="N91" s="2" t="b">
        <v>0</v>
      </c>
    </row>
    <row r="92" spans="1:14" x14ac:dyDescent="0.3">
      <c r="A92" s="18" t="s">
        <v>898</v>
      </c>
      <c r="B92" s="18"/>
      <c r="C92" s="18"/>
      <c r="D92" s="18"/>
      <c r="E92" s="9" t="s">
        <v>1003</v>
      </c>
      <c r="F92" s="2" t="s">
        <v>1004</v>
      </c>
      <c r="G92" s="2" t="s">
        <v>923</v>
      </c>
      <c r="H92" s="2" t="s">
        <v>857</v>
      </c>
      <c r="I92" s="2" t="s">
        <v>65</v>
      </c>
      <c r="J92" s="2"/>
      <c r="K92" s="2" t="b">
        <v>1</v>
      </c>
      <c r="L92" s="2"/>
      <c r="M92" s="2" t="b">
        <v>1</v>
      </c>
      <c r="N92" s="2" t="b">
        <v>0</v>
      </c>
    </row>
  </sheetData>
  <dataConsolidate/>
  <phoneticPr fontId="2" type="noConversion"/>
  <conditionalFormatting sqref="E1:E1048576">
    <cfRule type="duplicateValues" dxfId="25" priority="1"/>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512474DE-F560-4A5D-A6EE-D73C8434E73D}">
          <x14:formula1>
            <xm:f>Validation!$A$10:$A$14</xm:f>
          </x14:formula1>
          <xm:sqref>C2:C92</xm:sqref>
        </x14:dataValidation>
        <x14:dataValidation type="list" allowBlank="1" showInputMessage="1" showErrorMessage="1" xr:uid="{A65DC4CD-62FF-4762-A2AE-1D4827025C59}">
          <x14:formula1>
            <xm:f>'CustGroup'!#REF!</xm:f>
          </x14:formula1>
          <xm:sqref>I2:I92</xm:sqref>
        </x14:dataValidation>
        <x14:dataValidation type="list" allowBlank="1" showInputMessage="1" showErrorMessage="1" xr:uid="{464DE130-5D75-48A1-83C3-FA141E1437D4}">
          <x14:formula1>
            <xm:f>Validation!$G$2:$G$3</xm:f>
          </x14:formula1>
          <xm:sqref>K2:K92 M2:M92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907E-19B7-4E1A-9F7F-D7EA3BC14B79}">
  <sheetPr codeName="Sheet16">
    <tabColor theme="9" tint="0.39997558519241921"/>
  </sheetPr>
  <dimension ref="A1:Z96"/>
  <sheetViews>
    <sheetView topLeftCell="O1" zoomScale="90" zoomScaleNormal="90" workbookViewId="0">
      <pane ySplit="1" topLeftCell="A65" activePane="bottomLeft" state="frozen"/>
      <selection pane="bottomLeft" activeCell="Q98" sqref="Q98"/>
    </sheetView>
  </sheetViews>
  <sheetFormatPr defaultRowHeight="14.4" outlineLevelCol="1" x14ac:dyDescent="0.3"/>
  <cols>
    <col min="1" max="1" width="13.88671875" hidden="1" customWidth="1" outlineLevel="1"/>
    <col min="2" max="2" width="21" hidden="1" customWidth="1" outlineLevel="1"/>
    <col min="3" max="3" width="13.88671875" hidden="1" customWidth="1" outlineLevel="1"/>
    <col min="4" max="4" width="15.5546875" hidden="1" customWidth="1" outlineLevel="1"/>
    <col min="5" max="5" width="11.33203125" hidden="1" customWidth="1" outlineLevel="1"/>
    <col min="6" max="6" width="11" hidden="1" customWidth="1" outlineLevel="1"/>
    <col min="7" max="8" width="12" hidden="1" customWidth="1" outlineLevel="1"/>
    <col min="9" max="11" width="20" hidden="1" customWidth="1" outlineLevel="1"/>
    <col min="12" max="14" width="19" hidden="1" customWidth="1" outlineLevel="1"/>
    <col min="15" max="15" width="16.6640625" bestFit="1" customWidth="1" collapsed="1"/>
    <col min="16" max="16" width="24.44140625" bestFit="1" customWidth="1"/>
    <col min="17" max="17" width="51.88671875" bestFit="1" customWidth="1"/>
    <col min="18" max="18" width="24" bestFit="1" customWidth="1"/>
    <col min="19" max="19" width="16.33203125" bestFit="1" customWidth="1"/>
    <col min="20" max="20" width="18.44140625" bestFit="1" customWidth="1"/>
    <col min="21" max="21" width="13.88671875" bestFit="1" customWidth="1"/>
    <col min="22" max="22" width="23.109375" bestFit="1" customWidth="1"/>
    <col min="23" max="23" width="14.5546875" bestFit="1" customWidth="1"/>
    <col min="24" max="24" width="22.109375" bestFit="1" customWidth="1"/>
    <col min="25" max="25" width="20.109375" bestFit="1" customWidth="1"/>
    <col min="26" max="26" width="22.109375" bestFit="1" customWidth="1"/>
    <col min="27" max="27" width="38.5546875" customWidth="1"/>
    <col min="28" max="28" width="15.5546875" bestFit="1" customWidth="1"/>
    <col min="29" max="29" width="23.33203125" bestFit="1" customWidth="1"/>
    <col min="30" max="30" width="16.5546875" bestFit="1" customWidth="1"/>
    <col min="31" max="31" width="17.88671875" bestFit="1" customWidth="1"/>
    <col min="32" max="32" width="26.5546875" bestFit="1" customWidth="1"/>
    <col min="33" max="33" width="22.33203125" bestFit="1" customWidth="1"/>
    <col min="34" max="34" width="14.109375" bestFit="1" customWidth="1"/>
    <col min="35" max="35" width="21.5546875" bestFit="1" customWidth="1"/>
    <col min="36" max="36" width="20.5546875" bestFit="1" customWidth="1"/>
    <col min="37" max="37" width="15.5546875" bestFit="1" customWidth="1"/>
  </cols>
  <sheetData>
    <row r="1" spans="1:26" x14ac:dyDescent="0.3">
      <c r="A1" s="47" t="s">
        <v>902</v>
      </c>
      <c r="B1" s="45" t="s">
        <v>1338</v>
      </c>
      <c r="C1" s="45" t="s">
        <v>906</v>
      </c>
      <c r="D1" s="45" t="s">
        <v>907</v>
      </c>
      <c r="E1" s="45" t="s">
        <v>908</v>
      </c>
      <c r="F1" s="45" t="s">
        <v>909</v>
      </c>
      <c r="G1" s="45" t="s">
        <v>910</v>
      </c>
      <c r="H1" s="46" t="s">
        <v>1607</v>
      </c>
      <c r="I1" s="46" t="s">
        <v>1367</v>
      </c>
      <c r="J1" s="46" t="s">
        <v>1762</v>
      </c>
      <c r="K1" s="46" t="s">
        <v>1763</v>
      </c>
      <c r="L1" s="46" t="s">
        <v>1368</v>
      </c>
      <c r="M1" s="46" t="s">
        <v>1432</v>
      </c>
      <c r="N1" s="46" t="s">
        <v>1725</v>
      </c>
      <c r="O1" s="46" t="s">
        <v>886</v>
      </c>
      <c r="P1" t="s">
        <v>912</v>
      </c>
      <c r="Q1" t="s">
        <v>62</v>
      </c>
      <c r="R1" t="s">
        <v>913</v>
      </c>
      <c r="S1" t="s">
        <v>1377</v>
      </c>
      <c r="T1" t="s">
        <v>915</v>
      </c>
      <c r="U1" t="s">
        <v>871</v>
      </c>
      <c r="V1" t="s">
        <v>904</v>
      </c>
      <c r="W1" t="s">
        <v>905</v>
      </c>
      <c r="X1" t="s">
        <v>916</v>
      </c>
      <c r="Y1" t="s">
        <v>1431</v>
      </c>
      <c r="Z1" t="s">
        <v>1767</v>
      </c>
    </row>
    <row r="2" spans="1:26" x14ac:dyDescent="0.3">
      <c r="A2" s="92">
        <f>IF(COUNTIF(LEDGER[LedgerCode],FC_import[[#This Row],[LedgerCode]])&gt;0,0,1)</f>
        <v>0</v>
      </c>
      <c r="B2" s="79">
        <f>IF(COUNTIF(Table_System_Grouping_Codes[groupingCodeCode],FC_import[[#This Row],[GroupingCode]])&gt;0,0,1)</f>
        <v>0</v>
      </c>
      <c r="C2" s="48">
        <f>IF(COUNTIF(CUSTGROUP[CustomGroupingCode],FC_import[[#This Row],[CustomGrouping]])&gt;0,0,1)</f>
        <v>0</v>
      </c>
      <c r="D2" s="48" cm="1">
        <f t="array" ref="D2">IF(FC_import[[#This Row],[AvailableToAllSchools]]=TRUE,0,COUNTA(_xlfn.TEXTSPLIT(FC_import[[#This Row],[SchoolCodes]],",",,TRUE))-SUM(COUNTIF(SCHOOLS[SchoolCode],_xlfn.TEXTSPLIT(FC_import[[#This Row],[SchoolCodes]],",",,TRUE))))</f>
        <v>0</v>
      </c>
      <c r="E2" s="48">
        <f>IF(FC_import[[#This Row],[FinanceCodeTypeCode]]="BUDGET",0,COUNTIF(P:P,P2)-1)</f>
        <v>0</v>
      </c>
      <c r="F2" s="48">
        <f>IF(FC_import[[#This Row],[FinanceCodeTypeCode]]="BUDGET",0,COUNTIF(Q:Q,Q2)-1)</f>
        <v>0</v>
      </c>
      <c r="G2" s="48">
        <f>COUNTIF(Lookup!$A$2:$A$7,R2)-1</f>
        <v>0</v>
      </c>
      <c r="H2" s="43">
        <f>IF(OR(FC_import[[#This Row],[FinanceCodeEnabled]]=TRUE,FC_import[[#This Row],[FinanceCodeEnabled]]=FALSE),0,1)</f>
        <v>0</v>
      </c>
      <c r="I2" s="43">
        <f>IF(LEN(FC_import[[#This Row],[FinanceCode]])&lt;100,0,1)</f>
        <v>0</v>
      </c>
      <c r="J2" s="43">
        <f>IF(TRIM(FC_import[[#This Row],[Title]])="",1,0)</f>
        <v>0</v>
      </c>
      <c r="K2" s="43">
        <f>IF(TRIM(FC_import[[#This Row],[FinanceCode]])="",1,0)</f>
        <v>0</v>
      </c>
      <c r="L2" s="43">
        <f>IF(LEN(FC_import[[#This Row],[Title]])&lt;100,0,1)</f>
        <v>0</v>
      </c>
      <c r="M2" s="43">
        <f>IF(ISBLANK(FC_import[[#This Row],[BalanceToScenario]]),1,0)</f>
        <v>0</v>
      </c>
      <c r="N2" s="43">
        <f>IF(SUBSTITUTE(TEXT(FC_import[[#This Row],[FinanceCode]],10)," ","")=TEXT(FC_import[[#This Row],[FinanceCode]],10),0,1)</f>
        <v>0</v>
      </c>
      <c r="O2" s="43">
        <f t="shared" ref="O2:O33" si="0">SUM(A2:C2,E2:N2)</f>
        <v>0</v>
      </c>
      <c r="P2" t="s">
        <v>921</v>
      </c>
      <c r="Q2" t="s">
        <v>922</v>
      </c>
      <c r="R2" t="s">
        <v>923</v>
      </c>
      <c r="S2" t="s">
        <v>861</v>
      </c>
      <c r="T2" t="s">
        <v>65</v>
      </c>
      <c r="U2" s="111" t="s">
        <v>1532</v>
      </c>
      <c r="V2" t="b">
        <v>1</v>
      </c>
      <c r="X2" t="b">
        <v>1</v>
      </c>
      <c r="Y2" t="b">
        <v>0</v>
      </c>
      <c r="Z2" t="b">
        <f>FALSE</f>
        <v>0</v>
      </c>
    </row>
    <row r="3" spans="1:26" x14ac:dyDescent="0.3">
      <c r="A3" s="43">
        <f>IF(COUNTIF(LEDGER[LedgerCode],FC_import[[#This Row],[LedgerCode]])&gt;0,0,1)</f>
        <v>0</v>
      </c>
      <c r="B3" s="48">
        <f>IF(COUNTIF(Table_System_Grouping_Codes[groupingCodeCode],FC_import[[#This Row],[GroupingCode]])&gt;0,0,1)</f>
        <v>0</v>
      </c>
      <c r="C3" s="43">
        <f>IF(COUNTIF(CUSTGROUP[CustomGroupingCode],FC_import[[#This Row],[CustomGrouping]])&gt;0,0,1)</f>
        <v>0</v>
      </c>
      <c r="D3" s="43" cm="1">
        <f t="array" ref="D3">IF(FC_import[[#This Row],[AvailableToAllSchools]]=TRUE,0,COUNTA(_xlfn.TEXTSPLIT(FC_import[[#This Row],[SchoolCodes]],",",,TRUE))-SUM(COUNTIF(SCHOOLS[SchoolCode],_xlfn.TEXTSPLIT(FC_import[[#This Row],[SchoolCodes]],",",,TRUE))))</f>
        <v>0</v>
      </c>
      <c r="E3" s="43">
        <f>IF(FC_import[[#This Row],[FinanceCodeTypeCode]]="BUDGET",0,COUNTIF(P:P,P3)-1)</f>
        <v>0</v>
      </c>
      <c r="F3" s="43">
        <f>IF(FC_import[[#This Row],[FinanceCodeTypeCode]]="BUDGET",0,COUNTIF(Q:Q,Q3)-1)</f>
        <v>0</v>
      </c>
      <c r="G3" s="43">
        <f>COUNTIF(Lookup!$A$2:$A$7,R3)-1</f>
        <v>0</v>
      </c>
      <c r="H3" s="43">
        <f>IF(OR(FC_import[[#This Row],[FinanceCodeEnabled]]=TRUE,FC_import[[#This Row],[FinanceCodeEnabled]]=FALSE),0,1)</f>
        <v>0</v>
      </c>
      <c r="I3" s="43">
        <f>IF(LEN(FC_import[[#This Row],[FinanceCode]])&lt;100,0,1)</f>
        <v>0</v>
      </c>
      <c r="J3" s="43">
        <f>IF(TRIM(FC_import[[#This Row],[Title]])="",1,0)</f>
        <v>0</v>
      </c>
      <c r="K3" s="43">
        <f>IF(TRIM(FC_import[[#This Row],[FinanceCode]])="",1,0)</f>
        <v>0</v>
      </c>
      <c r="L3" s="43">
        <f>IF(LEN(FC_import[[#This Row],[Title]])&lt;100,0,1)</f>
        <v>0</v>
      </c>
      <c r="M3" s="43">
        <f>IF(ISBLANK(FC_import[[#This Row],[BalanceToScenario]]),1,0)</f>
        <v>0</v>
      </c>
      <c r="N3" s="43">
        <f>IF(SUBSTITUTE(TEXT(FC_import[[#This Row],[FinanceCode]],10)," ","")=TEXT(FC_import[[#This Row],[FinanceCode]],10),0,1)</f>
        <v>0</v>
      </c>
      <c r="O3" s="43">
        <f t="shared" si="0"/>
        <v>0</v>
      </c>
      <c r="P3" t="s">
        <v>924</v>
      </c>
      <c r="Q3" t="s">
        <v>925</v>
      </c>
      <c r="R3" t="s">
        <v>923</v>
      </c>
      <c r="S3" t="s">
        <v>861</v>
      </c>
      <c r="T3" t="s">
        <v>65</v>
      </c>
      <c r="U3" s="111" t="s">
        <v>1532</v>
      </c>
      <c r="V3" t="b">
        <v>1</v>
      </c>
      <c r="X3" t="b">
        <v>1</v>
      </c>
      <c r="Y3" t="b">
        <v>0</v>
      </c>
      <c r="Z3" t="b">
        <f>FALSE</f>
        <v>0</v>
      </c>
    </row>
    <row r="4" spans="1:26" x14ac:dyDescent="0.3">
      <c r="A4" s="43">
        <f>IF(COUNTIF(LEDGER[LedgerCode],FC_import[[#This Row],[LedgerCode]])&gt;0,0,1)</f>
        <v>0</v>
      </c>
      <c r="B4" s="48">
        <f>IF(COUNTIF(Table_System_Grouping_Codes[groupingCodeCode],FC_import[[#This Row],[GroupingCode]])&gt;0,0,1)</f>
        <v>0</v>
      </c>
      <c r="C4" s="43">
        <f>IF(COUNTIF(CUSTGROUP[CustomGroupingCode],FC_import[[#This Row],[CustomGrouping]])&gt;0,0,1)</f>
        <v>0</v>
      </c>
      <c r="D4" s="43" cm="1">
        <f t="array" ref="D4">IF(FC_import[[#This Row],[AvailableToAllSchools]]=TRUE,0,COUNTA(_xlfn.TEXTSPLIT(FC_import[[#This Row],[SchoolCodes]],",",,TRUE))-SUM(COUNTIF(SCHOOLS[SchoolCode],_xlfn.TEXTSPLIT(FC_import[[#This Row],[SchoolCodes]],",",,TRUE))))</f>
        <v>0</v>
      </c>
      <c r="E4" s="43">
        <f>IF(FC_import[[#This Row],[FinanceCodeTypeCode]]="BUDGET",0,COUNTIF(P:P,P4)-1)</f>
        <v>0</v>
      </c>
      <c r="F4" s="43">
        <f>IF(FC_import[[#This Row],[FinanceCodeTypeCode]]="BUDGET",0,COUNTIF(Q:Q,Q4)-1)</f>
        <v>0</v>
      </c>
      <c r="G4" s="43">
        <f>COUNTIF(Lookup!$A$2:$A$7,R4)-1</f>
        <v>0</v>
      </c>
      <c r="H4" s="43">
        <f>IF(OR(FC_import[[#This Row],[FinanceCodeEnabled]]=TRUE,FC_import[[#This Row],[FinanceCodeEnabled]]=FALSE),0,1)</f>
        <v>0</v>
      </c>
      <c r="I4" s="43">
        <f>IF(LEN(FC_import[[#This Row],[FinanceCode]])&lt;100,0,1)</f>
        <v>0</v>
      </c>
      <c r="J4" s="43">
        <f>IF(TRIM(FC_import[[#This Row],[Title]])="",1,0)</f>
        <v>0</v>
      </c>
      <c r="K4" s="43">
        <f>IF(TRIM(FC_import[[#This Row],[FinanceCode]])="",1,0)</f>
        <v>0</v>
      </c>
      <c r="L4" s="43">
        <f>IF(LEN(FC_import[[#This Row],[Title]])&lt;100,0,1)</f>
        <v>0</v>
      </c>
      <c r="M4" s="43">
        <f>IF(ISBLANK(FC_import[[#This Row],[BalanceToScenario]]),1,0)</f>
        <v>0</v>
      </c>
      <c r="N4" s="43">
        <f>IF(SUBSTITUTE(TEXT(FC_import[[#This Row],[FinanceCode]],10)," ","")=TEXT(FC_import[[#This Row],[FinanceCode]],10),0,1)</f>
        <v>0</v>
      </c>
      <c r="O4" s="43">
        <f t="shared" si="0"/>
        <v>0</v>
      </c>
      <c r="P4" t="s">
        <v>926</v>
      </c>
      <c r="Q4" t="s">
        <v>927</v>
      </c>
      <c r="R4" t="s">
        <v>923</v>
      </c>
      <c r="S4" t="s">
        <v>861</v>
      </c>
      <c r="T4" t="s">
        <v>65</v>
      </c>
      <c r="U4" s="111" t="s">
        <v>1532</v>
      </c>
      <c r="V4" t="b">
        <v>1</v>
      </c>
      <c r="X4" t="b">
        <v>1</v>
      </c>
      <c r="Y4" t="b">
        <v>0</v>
      </c>
      <c r="Z4" t="b">
        <f>FALSE</f>
        <v>0</v>
      </c>
    </row>
    <row r="5" spans="1:26" x14ac:dyDescent="0.3">
      <c r="A5" s="43">
        <f>IF(COUNTIF(LEDGER[LedgerCode],FC_import[[#This Row],[LedgerCode]])&gt;0,0,1)</f>
        <v>0</v>
      </c>
      <c r="B5" s="48">
        <f>IF(COUNTIF(Table_System_Grouping_Codes[groupingCodeCode],FC_import[[#This Row],[GroupingCode]])&gt;0,0,1)</f>
        <v>0</v>
      </c>
      <c r="C5" s="43">
        <f>IF(COUNTIF(CUSTGROUP[CustomGroupingCode],FC_import[[#This Row],[CustomGrouping]])&gt;0,0,1)</f>
        <v>0</v>
      </c>
      <c r="D5" s="43" cm="1">
        <f t="array" ref="D5">IF(FC_import[[#This Row],[AvailableToAllSchools]]=TRUE,0,COUNTA(_xlfn.TEXTSPLIT(FC_import[[#This Row],[SchoolCodes]],",",,TRUE))-SUM(COUNTIF(SCHOOLS[SchoolCode],_xlfn.TEXTSPLIT(FC_import[[#This Row],[SchoolCodes]],",",,TRUE))))</f>
        <v>0</v>
      </c>
      <c r="E5" s="43">
        <f>IF(FC_import[[#This Row],[FinanceCodeTypeCode]]="BUDGET",0,COUNTIF(P:P,P5)-1)</f>
        <v>0</v>
      </c>
      <c r="F5" s="43">
        <f>IF(FC_import[[#This Row],[FinanceCodeTypeCode]]="BUDGET",0,COUNTIF(Q:Q,Q5)-1)</f>
        <v>0</v>
      </c>
      <c r="G5" s="43">
        <f>COUNTIF(Lookup!$A$2:$A$7,R5)-1</f>
        <v>0</v>
      </c>
      <c r="H5" s="43">
        <f>IF(OR(FC_import[[#This Row],[FinanceCodeEnabled]]=TRUE,FC_import[[#This Row],[FinanceCodeEnabled]]=FALSE),0,1)</f>
        <v>0</v>
      </c>
      <c r="I5" s="43">
        <f>IF(LEN(FC_import[[#This Row],[FinanceCode]])&lt;100,0,1)</f>
        <v>0</v>
      </c>
      <c r="J5" s="43">
        <f>IF(TRIM(FC_import[[#This Row],[Title]])="",1,0)</f>
        <v>0</v>
      </c>
      <c r="K5" s="43">
        <f>IF(TRIM(FC_import[[#This Row],[FinanceCode]])="",1,0)</f>
        <v>0</v>
      </c>
      <c r="L5" s="43">
        <f>IF(LEN(FC_import[[#This Row],[Title]])&lt;100,0,1)</f>
        <v>0</v>
      </c>
      <c r="M5" s="43">
        <f>IF(ISBLANK(FC_import[[#This Row],[BalanceToScenario]]),1,0)</f>
        <v>0</v>
      </c>
      <c r="N5" s="43">
        <f>IF(SUBSTITUTE(TEXT(FC_import[[#This Row],[FinanceCode]],10)," ","")=TEXT(FC_import[[#This Row],[FinanceCode]],10),0,1)</f>
        <v>0</v>
      </c>
      <c r="O5" s="43">
        <f t="shared" si="0"/>
        <v>0</v>
      </c>
      <c r="P5" t="s">
        <v>1528</v>
      </c>
      <c r="Q5" t="s">
        <v>1524</v>
      </c>
      <c r="R5" t="s">
        <v>923</v>
      </c>
      <c r="S5" t="s">
        <v>861</v>
      </c>
      <c r="T5" t="s">
        <v>65</v>
      </c>
      <c r="U5" s="111" t="s">
        <v>1532</v>
      </c>
      <c r="V5" t="b">
        <v>1</v>
      </c>
      <c r="X5" t="b">
        <v>1</v>
      </c>
      <c r="Y5" t="b">
        <v>0</v>
      </c>
      <c r="Z5" t="b">
        <f>FALSE</f>
        <v>0</v>
      </c>
    </row>
    <row r="6" spans="1:26" x14ac:dyDescent="0.3">
      <c r="A6" s="43">
        <f>IF(COUNTIF(LEDGER[LedgerCode],FC_import[[#This Row],[LedgerCode]])&gt;0,0,1)</f>
        <v>0</v>
      </c>
      <c r="B6" s="48">
        <f>IF(COUNTIF(Table_System_Grouping_Codes[groupingCodeCode],FC_import[[#This Row],[GroupingCode]])&gt;0,0,1)</f>
        <v>0</v>
      </c>
      <c r="C6" s="43">
        <f>IF(COUNTIF(CUSTGROUP[CustomGroupingCode],FC_import[[#This Row],[CustomGrouping]])&gt;0,0,1)</f>
        <v>0</v>
      </c>
      <c r="D6" s="43" cm="1">
        <f t="array" ref="D6">IF(FC_import[[#This Row],[AvailableToAllSchools]]=TRUE,0,COUNTA(_xlfn.TEXTSPLIT(FC_import[[#This Row],[SchoolCodes]],",",,TRUE))-SUM(COUNTIF(SCHOOLS[SchoolCode],_xlfn.TEXTSPLIT(FC_import[[#This Row],[SchoolCodes]],",",,TRUE))))</f>
        <v>0</v>
      </c>
      <c r="E6" s="43">
        <f>IF(FC_import[[#This Row],[FinanceCodeTypeCode]]="BUDGET",0,COUNTIF(P:P,P6)-1)</f>
        <v>0</v>
      </c>
      <c r="F6" s="43">
        <f>IF(FC_import[[#This Row],[FinanceCodeTypeCode]]="BUDGET",0,COUNTIF(Q:Q,Q6)-1)</f>
        <v>0</v>
      </c>
      <c r="G6" s="43">
        <f>COUNTIF(Lookup!$A$2:$A$7,R6)-1</f>
        <v>0</v>
      </c>
      <c r="H6" s="43">
        <f>IF(OR(FC_import[[#This Row],[FinanceCodeEnabled]]=TRUE,FC_import[[#This Row],[FinanceCodeEnabled]]=FALSE),0,1)</f>
        <v>0</v>
      </c>
      <c r="I6" s="43">
        <f>IF(LEN(FC_import[[#This Row],[FinanceCode]])&lt;100,0,1)</f>
        <v>0</v>
      </c>
      <c r="J6" s="43">
        <f>IF(TRIM(FC_import[[#This Row],[Title]])="",1,0)</f>
        <v>0</v>
      </c>
      <c r="K6" s="43">
        <f>IF(TRIM(FC_import[[#This Row],[FinanceCode]])="",1,0)</f>
        <v>0</v>
      </c>
      <c r="L6" s="43">
        <f>IF(LEN(FC_import[[#This Row],[Title]])&lt;100,0,1)</f>
        <v>0</v>
      </c>
      <c r="M6" s="43">
        <f>IF(ISBLANK(FC_import[[#This Row],[BalanceToScenario]]),1,0)</f>
        <v>0</v>
      </c>
      <c r="N6" s="43">
        <f>IF(SUBSTITUTE(TEXT(FC_import[[#This Row],[FinanceCode]],10)," ","")=TEXT(FC_import[[#This Row],[FinanceCode]],10),0,1)</f>
        <v>0</v>
      </c>
      <c r="O6" s="43">
        <f t="shared" si="0"/>
        <v>0</v>
      </c>
      <c r="P6" t="s">
        <v>928</v>
      </c>
      <c r="Q6" t="s">
        <v>929</v>
      </c>
      <c r="R6" t="s">
        <v>923</v>
      </c>
      <c r="S6" t="s">
        <v>861</v>
      </c>
      <c r="T6" t="s">
        <v>65</v>
      </c>
      <c r="U6" s="111" t="s">
        <v>1532</v>
      </c>
      <c r="V6" t="b">
        <v>1</v>
      </c>
      <c r="X6" t="b">
        <v>1</v>
      </c>
      <c r="Y6" t="b">
        <v>0</v>
      </c>
      <c r="Z6" t="b">
        <f>FALSE</f>
        <v>0</v>
      </c>
    </row>
    <row r="7" spans="1:26" x14ac:dyDescent="0.3">
      <c r="A7" s="43">
        <f>IF(COUNTIF(LEDGER[LedgerCode],FC_import[[#This Row],[LedgerCode]])&gt;0,0,1)</f>
        <v>0</v>
      </c>
      <c r="B7" s="48">
        <f>IF(COUNTIF(Table_System_Grouping_Codes[groupingCodeCode],FC_import[[#This Row],[GroupingCode]])&gt;0,0,1)</f>
        <v>0</v>
      </c>
      <c r="C7" s="43">
        <f>IF(COUNTIF(CUSTGROUP[CustomGroupingCode],FC_import[[#This Row],[CustomGrouping]])&gt;0,0,1)</f>
        <v>0</v>
      </c>
      <c r="D7" s="43" cm="1">
        <f t="array" ref="D7">IF(FC_import[[#This Row],[AvailableToAllSchools]]=TRUE,0,COUNTA(_xlfn.TEXTSPLIT(FC_import[[#This Row],[SchoolCodes]],",",,TRUE))-SUM(COUNTIF(SCHOOLS[SchoolCode],_xlfn.TEXTSPLIT(FC_import[[#This Row],[SchoolCodes]],",",,TRUE))))</f>
        <v>0</v>
      </c>
      <c r="E7" s="43">
        <f>IF(FC_import[[#This Row],[FinanceCodeTypeCode]]="BUDGET",0,COUNTIF(P:P,P7)-1)</f>
        <v>0</v>
      </c>
      <c r="F7" s="43">
        <f>IF(FC_import[[#This Row],[FinanceCodeTypeCode]]="BUDGET",0,COUNTIF(Q:Q,Q7)-1)</f>
        <v>0</v>
      </c>
      <c r="G7" s="43">
        <f>COUNTIF(Lookup!$A$2:$A$7,R7)-1</f>
        <v>0</v>
      </c>
      <c r="H7" s="43">
        <f>IF(OR(FC_import[[#This Row],[FinanceCodeEnabled]]=TRUE,FC_import[[#This Row],[FinanceCodeEnabled]]=FALSE),0,1)</f>
        <v>0</v>
      </c>
      <c r="I7" s="43">
        <f>IF(LEN(FC_import[[#This Row],[FinanceCode]])&lt;100,0,1)</f>
        <v>0</v>
      </c>
      <c r="J7" s="43">
        <f>IF(TRIM(FC_import[[#This Row],[Title]])="",1,0)</f>
        <v>0</v>
      </c>
      <c r="K7" s="43">
        <f>IF(TRIM(FC_import[[#This Row],[FinanceCode]])="",1,0)</f>
        <v>0</v>
      </c>
      <c r="L7" s="43">
        <f>IF(LEN(FC_import[[#This Row],[Title]])&lt;100,0,1)</f>
        <v>0</v>
      </c>
      <c r="M7" s="43">
        <f>IF(ISBLANK(FC_import[[#This Row],[BalanceToScenario]]),1,0)</f>
        <v>0</v>
      </c>
      <c r="N7" s="43">
        <f>IF(SUBSTITUTE(TEXT(FC_import[[#This Row],[FinanceCode]],10)," ","")=TEXT(FC_import[[#This Row],[FinanceCode]],10),0,1)</f>
        <v>0</v>
      </c>
      <c r="O7" s="43">
        <f t="shared" si="0"/>
        <v>0</v>
      </c>
      <c r="P7" t="s">
        <v>1373</v>
      </c>
      <c r="Q7" t="s">
        <v>1374</v>
      </c>
      <c r="R7" t="s">
        <v>923</v>
      </c>
      <c r="S7" t="s">
        <v>861</v>
      </c>
      <c r="T7" t="s">
        <v>65</v>
      </c>
      <c r="U7" s="111" t="s">
        <v>1532</v>
      </c>
      <c r="V7" t="b">
        <v>1</v>
      </c>
      <c r="X7" t="b">
        <v>1</v>
      </c>
      <c r="Y7" t="b">
        <v>0</v>
      </c>
      <c r="Z7" t="b">
        <f>FALSE</f>
        <v>0</v>
      </c>
    </row>
    <row r="8" spans="1:26" x14ac:dyDescent="0.3">
      <c r="A8" s="43">
        <f>IF(COUNTIF(LEDGER[LedgerCode],FC_import[[#This Row],[LedgerCode]])&gt;0,0,1)</f>
        <v>0</v>
      </c>
      <c r="B8" s="48">
        <f>IF(COUNTIF(Table_System_Grouping_Codes[groupingCodeCode],FC_import[[#This Row],[GroupingCode]])&gt;0,0,1)</f>
        <v>0</v>
      </c>
      <c r="C8" s="43">
        <f>IF(COUNTIF(CUSTGROUP[CustomGroupingCode],FC_import[[#This Row],[CustomGrouping]])&gt;0,0,1)</f>
        <v>0</v>
      </c>
      <c r="D8" s="43" cm="1">
        <f t="array" ref="D8">IF(FC_import[[#This Row],[AvailableToAllSchools]]=TRUE,0,COUNTA(_xlfn.TEXTSPLIT(FC_import[[#This Row],[SchoolCodes]],",",,TRUE))-SUM(COUNTIF(SCHOOLS[SchoolCode],_xlfn.TEXTSPLIT(FC_import[[#This Row],[SchoolCodes]],",",,TRUE))))</f>
        <v>0</v>
      </c>
      <c r="E8" s="43">
        <f>IF(FC_import[[#This Row],[FinanceCodeTypeCode]]="BUDGET",0,COUNTIF(P:P,P8)-1)</f>
        <v>0</v>
      </c>
      <c r="F8" s="43">
        <f>IF(FC_import[[#This Row],[FinanceCodeTypeCode]]="BUDGET",0,COUNTIF(Q:Q,Q8)-1)</f>
        <v>0</v>
      </c>
      <c r="G8" s="43">
        <f>COUNTIF(Lookup!$A$2:$A$7,R8)-1</f>
        <v>0</v>
      </c>
      <c r="H8" s="43">
        <f>IF(OR(FC_import[[#This Row],[FinanceCodeEnabled]]=TRUE,FC_import[[#This Row],[FinanceCodeEnabled]]=FALSE),0,1)</f>
        <v>0</v>
      </c>
      <c r="I8" s="43">
        <f>IF(LEN(FC_import[[#This Row],[FinanceCode]])&lt;100,0,1)</f>
        <v>0</v>
      </c>
      <c r="J8" s="43">
        <f>IF(TRIM(FC_import[[#This Row],[Title]])="",1,0)</f>
        <v>0</v>
      </c>
      <c r="K8" s="43">
        <f>IF(TRIM(FC_import[[#This Row],[FinanceCode]])="",1,0)</f>
        <v>0</v>
      </c>
      <c r="L8" s="43">
        <f>IF(LEN(FC_import[[#This Row],[Title]])&lt;100,0,1)</f>
        <v>0</v>
      </c>
      <c r="M8" s="43">
        <f>IF(ISBLANK(FC_import[[#This Row],[BalanceToScenario]]),1,0)</f>
        <v>0</v>
      </c>
      <c r="N8" s="43">
        <f>IF(SUBSTITUTE(TEXT(FC_import[[#This Row],[FinanceCode]],10)," ","")=TEXT(FC_import[[#This Row],[FinanceCode]],10),0,1)</f>
        <v>0</v>
      </c>
      <c r="O8" s="43">
        <f t="shared" si="0"/>
        <v>0</v>
      </c>
      <c r="P8" t="s">
        <v>1710</v>
      </c>
      <c r="Q8" t="s">
        <v>1711</v>
      </c>
      <c r="R8" t="s">
        <v>923</v>
      </c>
      <c r="S8" t="s">
        <v>65</v>
      </c>
      <c r="T8" t="s">
        <v>65</v>
      </c>
      <c r="U8" s="111" t="s">
        <v>1532</v>
      </c>
      <c r="V8" t="b">
        <v>1</v>
      </c>
      <c r="X8" t="b">
        <v>1</v>
      </c>
      <c r="Y8" t="b">
        <v>0</v>
      </c>
      <c r="Z8" t="b">
        <f>FALSE</f>
        <v>0</v>
      </c>
    </row>
    <row r="9" spans="1:26" x14ac:dyDescent="0.3">
      <c r="A9" s="43">
        <f>IF(COUNTIF(LEDGER[LedgerCode],FC_import[[#This Row],[LedgerCode]])&gt;0,0,1)</f>
        <v>0</v>
      </c>
      <c r="B9" s="48">
        <f>IF(COUNTIF(Table_System_Grouping_Codes[groupingCodeCode],FC_import[[#This Row],[GroupingCode]])&gt;0,0,1)</f>
        <v>0</v>
      </c>
      <c r="C9" s="43">
        <f>IF(COUNTIF(CUSTGROUP[CustomGroupingCode],FC_import[[#This Row],[CustomGrouping]])&gt;0,0,1)</f>
        <v>0</v>
      </c>
      <c r="D9" s="43" cm="1">
        <f t="array" ref="D9">IF(FC_import[[#This Row],[AvailableToAllSchools]]=TRUE,0,COUNTA(_xlfn.TEXTSPLIT(FC_import[[#This Row],[SchoolCodes]],",",,TRUE))-SUM(COUNTIF(SCHOOLS[SchoolCode],_xlfn.TEXTSPLIT(FC_import[[#This Row],[SchoolCodes]],",",,TRUE))))</f>
        <v>0</v>
      </c>
      <c r="E9" s="43">
        <f>IF(FC_import[[#This Row],[FinanceCodeTypeCode]]="BUDGET",0,COUNTIF(P:P,P9)-1)</f>
        <v>0</v>
      </c>
      <c r="F9" s="43">
        <f>IF(FC_import[[#This Row],[FinanceCodeTypeCode]]="BUDGET",0,COUNTIF(Q:Q,Q9)-1)</f>
        <v>0</v>
      </c>
      <c r="G9" s="43">
        <f>COUNTIF(Lookup!$A$2:$A$7,R9)-1</f>
        <v>0</v>
      </c>
      <c r="H9" s="43">
        <f>IF(OR(FC_import[[#This Row],[FinanceCodeEnabled]]=TRUE,FC_import[[#This Row],[FinanceCodeEnabled]]=FALSE),0,1)</f>
        <v>0</v>
      </c>
      <c r="I9" s="43">
        <f>IF(LEN(FC_import[[#This Row],[FinanceCode]])&lt;100,0,1)</f>
        <v>0</v>
      </c>
      <c r="J9" s="43">
        <f>IF(TRIM(FC_import[[#This Row],[Title]])="",1,0)</f>
        <v>0</v>
      </c>
      <c r="K9" s="43">
        <f>IF(TRIM(FC_import[[#This Row],[FinanceCode]])="",1,0)</f>
        <v>0</v>
      </c>
      <c r="L9" s="43">
        <f>IF(LEN(FC_import[[#This Row],[Title]])&lt;100,0,1)</f>
        <v>0</v>
      </c>
      <c r="M9" s="43">
        <f>IF(ISBLANK(FC_import[[#This Row],[BalanceToScenario]]),1,0)</f>
        <v>0</v>
      </c>
      <c r="N9" s="43">
        <f>IF(SUBSTITUTE(TEXT(FC_import[[#This Row],[FinanceCode]],10)," ","")=TEXT(FC_import[[#This Row],[FinanceCode]],10),0,1)</f>
        <v>0</v>
      </c>
      <c r="O9" s="43">
        <f t="shared" si="0"/>
        <v>0</v>
      </c>
      <c r="P9" t="s">
        <v>930</v>
      </c>
      <c r="Q9" t="s">
        <v>931</v>
      </c>
      <c r="R9" t="s">
        <v>923</v>
      </c>
      <c r="S9" t="s">
        <v>861</v>
      </c>
      <c r="T9" t="s">
        <v>65</v>
      </c>
      <c r="U9" s="111" t="s">
        <v>1532</v>
      </c>
      <c r="V9" t="b">
        <v>1</v>
      </c>
      <c r="X9" t="b">
        <v>1</v>
      </c>
      <c r="Y9" t="b">
        <v>0</v>
      </c>
      <c r="Z9" t="b">
        <f>FALSE</f>
        <v>0</v>
      </c>
    </row>
    <row r="10" spans="1:26" x14ac:dyDescent="0.3">
      <c r="A10" s="43">
        <f>IF(COUNTIF(LEDGER[LedgerCode],FC_import[[#This Row],[LedgerCode]])&gt;0,0,1)</f>
        <v>0</v>
      </c>
      <c r="B10" s="48">
        <f>IF(COUNTIF(Table_System_Grouping_Codes[groupingCodeCode],FC_import[[#This Row],[GroupingCode]])&gt;0,0,1)</f>
        <v>0</v>
      </c>
      <c r="C10" s="43">
        <f>IF(COUNTIF(CUSTGROUP[CustomGroupingCode],FC_import[[#This Row],[CustomGrouping]])&gt;0,0,1)</f>
        <v>0</v>
      </c>
      <c r="D10" s="43" cm="1">
        <f t="array" ref="D10">IF(FC_import[[#This Row],[AvailableToAllSchools]]=TRUE,0,COUNTA(_xlfn.TEXTSPLIT(FC_import[[#This Row],[SchoolCodes]],",",,TRUE))-SUM(COUNTIF(SCHOOLS[SchoolCode],_xlfn.TEXTSPLIT(FC_import[[#This Row],[SchoolCodes]],",",,TRUE))))</f>
        <v>0</v>
      </c>
      <c r="E10" s="43">
        <f>IF(FC_import[[#This Row],[FinanceCodeTypeCode]]="BUDGET",0,COUNTIF(P:P,P10)-1)</f>
        <v>0</v>
      </c>
      <c r="F10" s="43">
        <f>IF(FC_import[[#This Row],[FinanceCodeTypeCode]]="BUDGET",0,COUNTIF(Q:Q,Q10)-1)</f>
        <v>0</v>
      </c>
      <c r="G10" s="43">
        <f>COUNTIF(Lookup!$A$2:$A$7,R10)-1</f>
        <v>0</v>
      </c>
      <c r="H10" s="43">
        <f>IF(OR(FC_import[[#This Row],[FinanceCodeEnabled]]=TRUE,FC_import[[#This Row],[FinanceCodeEnabled]]=FALSE),0,1)</f>
        <v>0</v>
      </c>
      <c r="I10" s="43">
        <f>IF(LEN(FC_import[[#This Row],[FinanceCode]])&lt;100,0,1)</f>
        <v>0</v>
      </c>
      <c r="J10" s="43">
        <f>IF(TRIM(FC_import[[#This Row],[Title]])="",1,0)</f>
        <v>0</v>
      </c>
      <c r="K10" s="43">
        <f>IF(TRIM(FC_import[[#This Row],[FinanceCode]])="",1,0)</f>
        <v>0</v>
      </c>
      <c r="L10" s="43">
        <f>IF(LEN(FC_import[[#This Row],[Title]])&lt;100,0,1)</f>
        <v>0</v>
      </c>
      <c r="M10" s="43">
        <f>IF(ISBLANK(FC_import[[#This Row],[BalanceToScenario]]),1,0)</f>
        <v>0</v>
      </c>
      <c r="N10" s="43">
        <f>IF(SUBSTITUTE(TEXT(FC_import[[#This Row],[FinanceCode]],10)," ","")=TEXT(FC_import[[#This Row],[FinanceCode]],10),0,1)</f>
        <v>0</v>
      </c>
      <c r="O10" s="43">
        <f t="shared" si="0"/>
        <v>0</v>
      </c>
      <c r="P10" t="s">
        <v>932</v>
      </c>
      <c r="Q10" t="s">
        <v>933</v>
      </c>
      <c r="R10" t="s">
        <v>923</v>
      </c>
      <c r="S10" t="s">
        <v>861</v>
      </c>
      <c r="T10" t="s">
        <v>65</v>
      </c>
      <c r="U10" s="111" t="s">
        <v>1532</v>
      </c>
      <c r="V10" t="b">
        <v>1</v>
      </c>
      <c r="X10" t="b">
        <v>1</v>
      </c>
      <c r="Y10" t="b">
        <v>0</v>
      </c>
      <c r="Z10" t="b">
        <f>FALSE</f>
        <v>0</v>
      </c>
    </row>
    <row r="11" spans="1:26" x14ac:dyDescent="0.3">
      <c r="A11" s="43">
        <f>IF(COUNTIF(LEDGER[LedgerCode],FC_import[[#This Row],[LedgerCode]])&gt;0,0,1)</f>
        <v>0</v>
      </c>
      <c r="B11" s="48">
        <f>IF(COUNTIF(Table_System_Grouping_Codes[groupingCodeCode],FC_import[[#This Row],[GroupingCode]])&gt;0,0,1)</f>
        <v>0</v>
      </c>
      <c r="C11" s="43">
        <f>IF(COUNTIF(CUSTGROUP[CustomGroupingCode],FC_import[[#This Row],[CustomGrouping]])&gt;0,0,1)</f>
        <v>0</v>
      </c>
      <c r="D11" s="43" cm="1">
        <f t="array" ref="D11">IF(FC_import[[#This Row],[AvailableToAllSchools]]=TRUE,0,COUNTA(_xlfn.TEXTSPLIT(FC_import[[#This Row],[SchoolCodes]],",",,TRUE))-SUM(COUNTIF(SCHOOLS[SchoolCode],_xlfn.TEXTSPLIT(FC_import[[#This Row],[SchoolCodes]],",",,TRUE))))</f>
        <v>0</v>
      </c>
      <c r="E11" s="43">
        <f>IF(FC_import[[#This Row],[FinanceCodeTypeCode]]="BUDGET",0,COUNTIF(P:P,P11)-1)</f>
        <v>0</v>
      </c>
      <c r="F11" s="43">
        <f>IF(FC_import[[#This Row],[FinanceCodeTypeCode]]="BUDGET",0,COUNTIF(Q:Q,Q11)-1)</f>
        <v>0</v>
      </c>
      <c r="G11" s="43">
        <f>COUNTIF(Lookup!$A$2:$A$7,R11)-1</f>
        <v>0</v>
      </c>
      <c r="H11" s="43">
        <f>IF(OR(FC_import[[#This Row],[FinanceCodeEnabled]]=TRUE,FC_import[[#This Row],[FinanceCodeEnabled]]=FALSE),0,1)</f>
        <v>0</v>
      </c>
      <c r="I11" s="43">
        <f>IF(LEN(FC_import[[#This Row],[FinanceCode]])&lt;100,0,1)</f>
        <v>0</v>
      </c>
      <c r="J11" s="43">
        <f>IF(TRIM(FC_import[[#This Row],[Title]])="",1,0)</f>
        <v>0</v>
      </c>
      <c r="K11" s="43">
        <f>IF(TRIM(FC_import[[#This Row],[FinanceCode]])="",1,0)</f>
        <v>0</v>
      </c>
      <c r="L11" s="43">
        <f>IF(LEN(FC_import[[#This Row],[Title]])&lt;100,0,1)</f>
        <v>0</v>
      </c>
      <c r="M11" s="43">
        <f>IF(ISBLANK(FC_import[[#This Row],[BalanceToScenario]]),1,0)</f>
        <v>0</v>
      </c>
      <c r="N11" s="43">
        <f>IF(SUBSTITUTE(TEXT(FC_import[[#This Row],[FinanceCode]],10)," ","")=TEXT(FC_import[[#This Row],[FinanceCode]],10),0,1)</f>
        <v>0</v>
      </c>
      <c r="O11" s="43">
        <f t="shared" si="0"/>
        <v>0</v>
      </c>
      <c r="P11" t="s">
        <v>934</v>
      </c>
      <c r="Q11" t="s">
        <v>935</v>
      </c>
      <c r="R11" t="s">
        <v>923</v>
      </c>
      <c r="S11" t="s">
        <v>861</v>
      </c>
      <c r="T11" t="s">
        <v>65</v>
      </c>
      <c r="U11" s="111" t="s">
        <v>1532</v>
      </c>
      <c r="V11" t="b">
        <v>1</v>
      </c>
      <c r="X11" t="b">
        <v>1</v>
      </c>
      <c r="Y11" t="b">
        <v>0</v>
      </c>
      <c r="Z11" t="b">
        <f>FALSE</f>
        <v>0</v>
      </c>
    </row>
    <row r="12" spans="1:26" x14ac:dyDescent="0.3">
      <c r="A12" s="43">
        <f>IF(COUNTIF(LEDGER[LedgerCode],FC_import[[#This Row],[LedgerCode]])&gt;0,0,1)</f>
        <v>0</v>
      </c>
      <c r="B12" s="48">
        <f>IF(COUNTIF(Table_System_Grouping_Codes[groupingCodeCode],FC_import[[#This Row],[GroupingCode]])&gt;0,0,1)</f>
        <v>0</v>
      </c>
      <c r="C12" s="43">
        <f>IF(COUNTIF(CUSTGROUP[CustomGroupingCode],FC_import[[#This Row],[CustomGrouping]])&gt;0,0,1)</f>
        <v>0</v>
      </c>
      <c r="D12" s="43" cm="1">
        <f t="array" ref="D12">IF(FC_import[[#This Row],[AvailableToAllSchools]]=TRUE,0,COUNTA(_xlfn.TEXTSPLIT(FC_import[[#This Row],[SchoolCodes]],",",,TRUE))-SUM(COUNTIF(SCHOOLS[SchoolCode],_xlfn.TEXTSPLIT(FC_import[[#This Row],[SchoolCodes]],",",,TRUE))))</f>
        <v>0</v>
      </c>
      <c r="E12" s="43">
        <f>IF(FC_import[[#This Row],[FinanceCodeTypeCode]]="BUDGET",0,COUNTIF(P:P,P12)-1)</f>
        <v>0</v>
      </c>
      <c r="F12" s="43">
        <f>IF(FC_import[[#This Row],[FinanceCodeTypeCode]]="BUDGET",0,COUNTIF(Q:Q,Q12)-1)</f>
        <v>0</v>
      </c>
      <c r="G12" s="43">
        <f>COUNTIF(Lookup!$A$2:$A$7,R12)-1</f>
        <v>0</v>
      </c>
      <c r="H12" s="43">
        <f>IF(OR(FC_import[[#This Row],[FinanceCodeEnabled]]=TRUE,FC_import[[#This Row],[FinanceCodeEnabled]]=FALSE),0,1)</f>
        <v>0</v>
      </c>
      <c r="I12" s="43">
        <f>IF(LEN(FC_import[[#This Row],[FinanceCode]])&lt;100,0,1)</f>
        <v>0</v>
      </c>
      <c r="J12" s="43">
        <f>IF(TRIM(FC_import[[#This Row],[Title]])="",1,0)</f>
        <v>0</v>
      </c>
      <c r="K12" s="43">
        <f>IF(TRIM(FC_import[[#This Row],[FinanceCode]])="",1,0)</f>
        <v>0</v>
      </c>
      <c r="L12" s="43">
        <f>IF(LEN(FC_import[[#This Row],[Title]])&lt;100,0,1)</f>
        <v>0</v>
      </c>
      <c r="M12" s="43">
        <f>IF(ISBLANK(FC_import[[#This Row],[BalanceToScenario]]),1,0)</f>
        <v>0</v>
      </c>
      <c r="N12" s="43">
        <f>IF(SUBSTITUTE(TEXT(FC_import[[#This Row],[FinanceCode]],10)," ","")=TEXT(FC_import[[#This Row],[FinanceCode]],10),0,1)</f>
        <v>0</v>
      </c>
      <c r="O12" s="43">
        <f t="shared" si="0"/>
        <v>0</v>
      </c>
      <c r="P12" t="s">
        <v>936</v>
      </c>
      <c r="Q12" t="s">
        <v>937</v>
      </c>
      <c r="R12" t="s">
        <v>923</v>
      </c>
      <c r="S12" t="s">
        <v>861</v>
      </c>
      <c r="T12" t="s">
        <v>65</v>
      </c>
      <c r="U12" s="111" t="s">
        <v>1532</v>
      </c>
      <c r="V12" t="b">
        <v>1</v>
      </c>
      <c r="X12" t="b">
        <v>1</v>
      </c>
      <c r="Y12" t="b">
        <v>0</v>
      </c>
      <c r="Z12" t="b">
        <f>FALSE</f>
        <v>0</v>
      </c>
    </row>
    <row r="13" spans="1:26" x14ac:dyDescent="0.3">
      <c r="A13" s="43">
        <f>IF(COUNTIF(LEDGER[LedgerCode],FC_import[[#This Row],[LedgerCode]])&gt;0,0,1)</f>
        <v>0</v>
      </c>
      <c r="B13" s="48">
        <f>IF(COUNTIF(Table_System_Grouping_Codes[groupingCodeCode],FC_import[[#This Row],[GroupingCode]])&gt;0,0,1)</f>
        <v>0</v>
      </c>
      <c r="C13" s="43">
        <f>IF(COUNTIF(CUSTGROUP[CustomGroupingCode],FC_import[[#This Row],[CustomGrouping]])&gt;0,0,1)</f>
        <v>0</v>
      </c>
      <c r="D13" s="43" cm="1">
        <f t="array" ref="D13">IF(FC_import[[#This Row],[AvailableToAllSchools]]=TRUE,0,COUNTA(_xlfn.TEXTSPLIT(FC_import[[#This Row],[SchoolCodes]],",",,TRUE))-SUM(COUNTIF(SCHOOLS[SchoolCode],_xlfn.TEXTSPLIT(FC_import[[#This Row],[SchoolCodes]],",",,TRUE))))</f>
        <v>0</v>
      </c>
      <c r="E13" s="43">
        <f>IF(FC_import[[#This Row],[FinanceCodeTypeCode]]="BUDGET",0,COUNTIF(P:P,P13)-1)</f>
        <v>0</v>
      </c>
      <c r="F13" s="43">
        <f>IF(FC_import[[#This Row],[FinanceCodeTypeCode]]="BUDGET",0,COUNTIF(Q:Q,Q13)-1)</f>
        <v>0</v>
      </c>
      <c r="G13" s="43">
        <f>COUNTIF(Lookup!$A$2:$A$7,R13)-1</f>
        <v>0</v>
      </c>
      <c r="H13" s="43">
        <f>IF(OR(FC_import[[#This Row],[FinanceCodeEnabled]]=TRUE,FC_import[[#This Row],[FinanceCodeEnabled]]=FALSE),0,1)</f>
        <v>0</v>
      </c>
      <c r="I13" s="43">
        <f>IF(LEN(FC_import[[#This Row],[FinanceCode]])&lt;100,0,1)</f>
        <v>0</v>
      </c>
      <c r="J13" s="43">
        <f>IF(TRIM(FC_import[[#This Row],[Title]])="",1,0)</f>
        <v>0</v>
      </c>
      <c r="K13" s="43">
        <f>IF(TRIM(FC_import[[#This Row],[FinanceCode]])="",1,0)</f>
        <v>0</v>
      </c>
      <c r="L13" s="43">
        <f>IF(LEN(FC_import[[#This Row],[Title]])&lt;100,0,1)</f>
        <v>0</v>
      </c>
      <c r="M13" s="43">
        <f>IF(ISBLANK(FC_import[[#This Row],[BalanceToScenario]]),1,0)</f>
        <v>0</v>
      </c>
      <c r="N13" s="43">
        <f>IF(SUBSTITUTE(TEXT(FC_import[[#This Row],[FinanceCode]],10)," ","")=TEXT(FC_import[[#This Row],[FinanceCode]],10),0,1)</f>
        <v>0</v>
      </c>
      <c r="O13" s="43">
        <f t="shared" si="0"/>
        <v>0</v>
      </c>
      <c r="P13" t="s">
        <v>1435</v>
      </c>
      <c r="Q13" t="s">
        <v>1436</v>
      </c>
      <c r="R13" t="s">
        <v>923</v>
      </c>
      <c r="S13" t="s">
        <v>1437</v>
      </c>
      <c r="T13" t="s">
        <v>65</v>
      </c>
      <c r="U13" s="111" t="s">
        <v>1532</v>
      </c>
      <c r="V13" t="b">
        <v>1</v>
      </c>
      <c r="X13" t="b">
        <v>1</v>
      </c>
      <c r="Y13" t="b">
        <v>0</v>
      </c>
      <c r="Z13" t="b">
        <f>FALSE</f>
        <v>0</v>
      </c>
    </row>
    <row r="14" spans="1:26" x14ac:dyDescent="0.3">
      <c r="A14" s="43">
        <f>IF(COUNTIF(LEDGER[LedgerCode],FC_import[[#This Row],[LedgerCode]])&gt;0,0,1)</f>
        <v>0</v>
      </c>
      <c r="B14" s="48">
        <f>IF(COUNTIF(Table_System_Grouping_Codes[groupingCodeCode],FC_import[[#This Row],[GroupingCode]])&gt;0,0,1)</f>
        <v>0</v>
      </c>
      <c r="C14" s="43">
        <f>IF(COUNTIF(CUSTGROUP[CustomGroupingCode],FC_import[[#This Row],[CustomGrouping]])&gt;0,0,1)</f>
        <v>0</v>
      </c>
      <c r="D14" s="43" cm="1">
        <f t="array" ref="D14">IF(FC_import[[#This Row],[AvailableToAllSchools]]=TRUE,0,COUNTA(_xlfn.TEXTSPLIT(FC_import[[#This Row],[SchoolCodes]],",",,TRUE))-SUM(COUNTIF(SCHOOLS[SchoolCode],_xlfn.TEXTSPLIT(FC_import[[#This Row],[SchoolCodes]],",",,TRUE))))</f>
        <v>0</v>
      </c>
      <c r="E14" s="43">
        <f>IF(FC_import[[#This Row],[FinanceCodeTypeCode]]="BUDGET",0,COUNTIF(P:P,P14)-1)</f>
        <v>0</v>
      </c>
      <c r="F14" s="43">
        <f>IF(FC_import[[#This Row],[FinanceCodeTypeCode]]="BUDGET",0,COUNTIF(Q:Q,Q14)-1)</f>
        <v>0</v>
      </c>
      <c r="G14" s="43">
        <f>COUNTIF(Lookup!$A$2:$A$7,R14)-1</f>
        <v>0</v>
      </c>
      <c r="H14" s="43">
        <f>IF(OR(FC_import[[#This Row],[FinanceCodeEnabled]]=TRUE,FC_import[[#This Row],[FinanceCodeEnabled]]=FALSE),0,1)</f>
        <v>0</v>
      </c>
      <c r="I14" s="43">
        <f>IF(LEN(FC_import[[#This Row],[FinanceCode]])&lt;100,0,1)</f>
        <v>0</v>
      </c>
      <c r="J14" s="43">
        <f>IF(TRIM(FC_import[[#This Row],[Title]])="",1,0)</f>
        <v>0</v>
      </c>
      <c r="K14" s="43">
        <f>IF(TRIM(FC_import[[#This Row],[FinanceCode]])="",1,0)</f>
        <v>0</v>
      </c>
      <c r="L14" s="43">
        <f>IF(LEN(FC_import[[#This Row],[Title]])&lt;100,0,1)</f>
        <v>0</v>
      </c>
      <c r="M14" s="43">
        <f>IF(ISBLANK(FC_import[[#This Row],[BalanceToScenario]]),1,0)</f>
        <v>0</v>
      </c>
      <c r="N14" s="43">
        <f>IF(SUBSTITUTE(TEXT(FC_import[[#This Row],[FinanceCode]],10)," ","")=TEXT(FC_import[[#This Row],[FinanceCode]],10),0,1)</f>
        <v>0</v>
      </c>
      <c r="O14" s="43">
        <f t="shared" si="0"/>
        <v>0</v>
      </c>
      <c r="P14" t="s">
        <v>1438</v>
      </c>
      <c r="Q14" t="s">
        <v>1439</v>
      </c>
      <c r="R14" t="s">
        <v>923</v>
      </c>
      <c r="S14" t="s">
        <v>1437</v>
      </c>
      <c r="T14" t="s">
        <v>65</v>
      </c>
      <c r="U14" s="111" t="s">
        <v>1532</v>
      </c>
      <c r="V14" t="b">
        <v>1</v>
      </c>
      <c r="X14" t="b">
        <v>1</v>
      </c>
      <c r="Y14" t="b">
        <v>0</v>
      </c>
      <c r="Z14" t="b">
        <f>FALSE</f>
        <v>0</v>
      </c>
    </row>
    <row r="15" spans="1:26" x14ac:dyDescent="0.3">
      <c r="A15" s="43">
        <f>IF(COUNTIF(LEDGER[LedgerCode],FC_import[[#This Row],[LedgerCode]])&gt;0,0,1)</f>
        <v>0</v>
      </c>
      <c r="B15" s="48">
        <f>IF(COUNTIF(Table_System_Grouping_Codes[groupingCodeCode],FC_import[[#This Row],[GroupingCode]])&gt;0,0,1)</f>
        <v>0</v>
      </c>
      <c r="C15" s="43">
        <f>IF(COUNTIF(CUSTGROUP[CustomGroupingCode],FC_import[[#This Row],[CustomGrouping]])&gt;0,0,1)</f>
        <v>0</v>
      </c>
      <c r="D15" s="43" cm="1">
        <f t="array" ref="D15">IF(FC_import[[#This Row],[AvailableToAllSchools]]=TRUE,0,COUNTA(_xlfn.TEXTSPLIT(FC_import[[#This Row],[SchoolCodes]],",",,TRUE))-SUM(COUNTIF(SCHOOLS[SchoolCode],_xlfn.TEXTSPLIT(FC_import[[#This Row],[SchoolCodes]],",",,TRUE))))</f>
        <v>0</v>
      </c>
      <c r="E15" s="43">
        <f>IF(FC_import[[#This Row],[FinanceCodeTypeCode]]="BUDGET",0,COUNTIF(P:P,P15)-1)</f>
        <v>0</v>
      </c>
      <c r="F15" s="43">
        <f>IF(FC_import[[#This Row],[FinanceCodeTypeCode]]="BUDGET",0,COUNTIF(Q:Q,Q15)-1)</f>
        <v>0</v>
      </c>
      <c r="G15" s="43">
        <f>COUNTIF(Lookup!$A$2:$A$7,R15)-1</f>
        <v>0</v>
      </c>
      <c r="H15" s="43">
        <f>IF(OR(FC_import[[#This Row],[FinanceCodeEnabled]]=TRUE,FC_import[[#This Row],[FinanceCodeEnabled]]=FALSE),0,1)</f>
        <v>0</v>
      </c>
      <c r="I15" s="43">
        <f>IF(LEN(FC_import[[#This Row],[FinanceCode]])&lt;100,0,1)</f>
        <v>0</v>
      </c>
      <c r="J15" s="43">
        <f>IF(TRIM(FC_import[[#This Row],[Title]])="",1,0)</f>
        <v>0</v>
      </c>
      <c r="K15" s="43">
        <f>IF(TRIM(FC_import[[#This Row],[FinanceCode]])="",1,0)</f>
        <v>0</v>
      </c>
      <c r="L15" s="43">
        <f>IF(LEN(FC_import[[#This Row],[Title]])&lt;100,0,1)</f>
        <v>0</v>
      </c>
      <c r="M15" s="43">
        <f>IF(ISBLANK(FC_import[[#This Row],[BalanceToScenario]]),1,0)</f>
        <v>0</v>
      </c>
      <c r="N15" s="43">
        <f>IF(SUBSTITUTE(TEXT(FC_import[[#This Row],[FinanceCode]],10)," ","")=TEXT(FC_import[[#This Row],[FinanceCode]],10),0,1)</f>
        <v>0</v>
      </c>
      <c r="O15" s="43">
        <f t="shared" si="0"/>
        <v>0</v>
      </c>
      <c r="P15" t="s">
        <v>1440</v>
      </c>
      <c r="Q15" t="s">
        <v>1441</v>
      </c>
      <c r="R15" t="s">
        <v>923</v>
      </c>
      <c r="S15" t="s">
        <v>1437</v>
      </c>
      <c r="T15" t="s">
        <v>65</v>
      </c>
      <c r="U15" s="111" t="s">
        <v>1532</v>
      </c>
      <c r="V15" t="b">
        <v>1</v>
      </c>
      <c r="X15" t="b">
        <v>1</v>
      </c>
      <c r="Y15" t="b">
        <v>0</v>
      </c>
      <c r="Z15" t="b">
        <f>FALSE</f>
        <v>0</v>
      </c>
    </row>
    <row r="16" spans="1:26" x14ac:dyDescent="0.3">
      <c r="A16" s="43">
        <f>IF(COUNTIF(LEDGER[LedgerCode],FC_import[[#This Row],[LedgerCode]])&gt;0,0,1)</f>
        <v>0</v>
      </c>
      <c r="B16" s="48">
        <f>IF(COUNTIF(Table_System_Grouping_Codes[groupingCodeCode],FC_import[[#This Row],[GroupingCode]])&gt;0,0,1)</f>
        <v>0</v>
      </c>
      <c r="C16" s="43">
        <f>IF(COUNTIF(CUSTGROUP[CustomGroupingCode],FC_import[[#This Row],[CustomGrouping]])&gt;0,0,1)</f>
        <v>0</v>
      </c>
      <c r="D16" s="43" cm="1">
        <f t="array" ref="D16">IF(FC_import[[#This Row],[AvailableToAllSchools]]=TRUE,0,COUNTA(_xlfn.TEXTSPLIT(FC_import[[#This Row],[SchoolCodes]],",",,TRUE))-SUM(COUNTIF(SCHOOLS[SchoolCode],_xlfn.TEXTSPLIT(FC_import[[#This Row],[SchoolCodes]],",",,TRUE))))</f>
        <v>0</v>
      </c>
      <c r="E16" s="43">
        <f>IF(FC_import[[#This Row],[FinanceCodeTypeCode]]="BUDGET",0,COUNTIF(P:P,P16)-1)</f>
        <v>0</v>
      </c>
      <c r="F16" s="43">
        <f>IF(FC_import[[#This Row],[FinanceCodeTypeCode]]="BUDGET",0,COUNTIF(Q:Q,Q16)-1)</f>
        <v>0</v>
      </c>
      <c r="G16" s="43">
        <f>COUNTIF(Lookup!$A$2:$A$7,R16)-1</f>
        <v>0</v>
      </c>
      <c r="H16" s="43">
        <f>IF(OR(FC_import[[#This Row],[FinanceCodeEnabled]]=TRUE,FC_import[[#This Row],[FinanceCodeEnabled]]=FALSE),0,1)</f>
        <v>0</v>
      </c>
      <c r="I16" s="43">
        <f>IF(LEN(FC_import[[#This Row],[FinanceCode]])&lt;100,0,1)</f>
        <v>0</v>
      </c>
      <c r="J16" s="43">
        <f>IF(TRIM(FC_import[[#This Row],[Title]])="",1,0)</f>
        <v>0</v>
      </c>
      <c r="K16" s="43">
        <f>IF(TRIM(FC_import[[#This Row],[FinanceCode]])="",1,0)</f>
        <v>0</v>
      </c>
      <c r="L16" s="43">
        <f>IF(LEN(FC_import[[#This Row],[Title]])&lt;100,0,1)</f>
        <v>0</v>
      </c>
      <c r="M16" s="43">
        <f>IF(ISBLANK(FC_import[[#This Row],[BalanceToScenario]]),1,0)</f>
        <v>0</v>
      </c>
      <c r="N16" s="43">
        <f>IF(SUBSTITUTE(TEXT(FC_import[[#This Row],[FinanceCode]],10)," ","")=TEXT(FC_import[[#This Row],[FinanceCode]],10),0,1)</f>
        <v>0</v>
      </c>
      <c r="O16" s="43">
        <f t="shared" si="0"/>
        <v>0</v>
      </c>
      <c r="P16" t="s">
        <v>1529</v>
      </c>
      <c r="Q16" t="s">
        <v>1525</v>
      </c>
      <c r="R16" t="s">
        <v>923</v>
      </c>
      <c r="S16" t="s">
        <v>1437</v>
      </c>
      <c r="T16" t="s">
        <v>65</v>
      </c>
      <c r="U16" s="111" t="s">
        <v>1532</v>
      </c>
      <c r="V16" t="b">
        <v>1</v>
      </c>
      <c r="X16" t="b">
        <v>1</v>
      </c>
      <c r="Y16" t="b">
        <v>0</v>
      </c>
      <c r="Z16" t="b">
        <f>FALSE</f>
        <v>0</v>
      </c>
    </row>
    <row r="17" spans="1:26" x14ac:dyDescent="0.3">
      <c r="A17" s="43">
        <f>IF(COUNTIF(LEDGER[LedgerCode],FC_import[[#This Row],[LedgerCode]])&gt;0,0,1)</f>
        <v>0</v>
      </c>
      <c r="B17" s="48">
        <f>IF(COUNTIF(Table_System_Grouping_Codes[groupingCodeCode],FC_import[[#This Row],[GroupingCode]])&gt;0,0,1)</f>
        <v>0</v>
      </c>
      <c r="C17" s="43">
        <f>IF(COUNTIF(CUSTGROUP[CustomGroupingCode],FC_import[[#This Row],[CustomGrouping]])&gt;0,0,1)</f>
        <v>0</v>
      </c>
      <c r="D17" s="43" cm="1">
        <f t="array" ref="D17">IF(FC_import[[#This Row],[AvailableToAllSchools]]=TRUE,0,COUNTA(_xlfn.TEXTSPLIT(FC_import[[#This Row],[SchoolCodes]],",",,TRUE))-SUM(COUNTIF(SCHOOLS[SchoolCode],_xlfn.TEXTSPLIT(FC_import[[#This Row],[SchoolCodes]],",",,TRUE))))</f>
        <v>0</v>
      </c>
      <c r="E17" s="43">
        <f>IF(FC_import[[#This Row],[FinanceCodeTypeCode]]="BUDGET",0,COUNTIF(P:P,P17)-1)</f>
        <v>0</v>
      </c>
      <c r="F17" s="43">
        <f>IF(FC_import[[#This Row],[FinanceCodeTypeCode]]="BUDGET",0,COUNTIF(Q:Q,Q17)-1)</f>
        <v>0</v>
      </c>
      <c r="G17" s="43">
        <f>COUNTIF(Lookup!$A$2:$A$7,R17)-1</f>
        <v>0</v>
      </c>
      <c r="H17" s="43">
        <f>IF(OR(FC_import[[#This Row],[FinanceCodeEnabled]]=TRUE,FC_import[[#This Row],[FinanceCodeEnabled]]=FALSE),0,1)</f>
        <v>0</v>
      </c>
      <c r="I17" s="43">
        <f>IF(LEN(FC_import[[#This Row],[FinanceCode]])&lt;100,0,1)</f>
        <v>0</v>
      </c>
      <c r="J17" s="43">
        <f>IF(TRIM(FC_import[[#This Row],[Title]])="",1,0)</f>
        <v>0</v>
      </c>
      <c r="K17" s="43">
        <f>IF(TRIM(FC_import[[#This Row],[FinanceCode]])="",1,0)</f>
        <v>0</v>
      </c>
      <c r="L17" s="43">
        <f>IF(LEN(FC_import[[#This Row],[Title]])&lt;100,0,1)</f>
        <v>0</v>
      </c>
      <c r="M17" s="43">
        <f>IF(ISBLANK(FC_import[[#This Row],[BalanceToScenario]]),1,0)</f>
        <v>0</v>
      </c>
      <c r="N17" s="43">
        <f>IF(SUBSTITUTE(TEXT(FC_import[[#This Row],[FinanceCode]],10)," ","")=TEXT(FC_import[[#This Row],[FinanceCode]],10),0,1)</f>
        <v>0</v>
      </c>
      <c r="O17" s="43">
        <f t="shared" si="0"/>
        <v>0</v>
      </c>
      <c r="P17" t="s">
        <v>1442</v>
      </c>
      <c r="Q17" t="s">
        <v>1443</v>
      </c>
      <c r="R17" t="s">
        <v>923</v>
      </c>
      <c r="S17" t="s">
        <v>1437</v>
      </c>
      <c r="T17" t="s">
        <v>65</v>
      </c>
      <c r="U17" s="111" t="s">
        <v>1532</v>
      </c>
      <c r="V17" t="b">
        <v>1</v>
      </c>
      <c r="X17" t="b">
        <v>1</v>
      </c>
      <c r="Y17" t="b">
        <v>0</v>
      </c>
      <c r="Z17" t="b">
        <f>FALSE</f>
        <v>0</v>
      </c>
    </row>
    <row r="18" spans="1:26" x14ac:dyDescent="0.3">
      <c r="A18" s="43">
        <f>IF(COUNTIF(LEDGER[LedgerCode],FC_import[[#This Row],[LedgerCode]])&gt;0,0,1)</f>
        <v>0</v>
      </c>
      <c r="B18" s="48">
        <f>IF(COUNTIF(Table_System_Grouping_Codes[groupingCodeCode],FC_import[[#This Row],[GroupingCode]])&gt;0,0,1)</f>
        <v>0</v>
      </c>
      <c r="C18" s="43">
        <f>IF(COUNTIF(CUSTGROUP[CustomGroupingCode],FC_import[[#This Row],[CustomGrouping]])&gt;0,0,1)</f>
        <v>0</v>
      </c>
      <c r="D18" s="43" cm="1">
        <f t="array" ref="D18">IF(FC_import[[#This Row],[AvailableToAllSchools]]=TRUE,0,COUNTA(_xlfn.TEXTSPLIT(FC_import[[#This Row],[SchoolCodes]],",",,TRUE))-SUM(COUNTIF(SCHOOLS[SchoolCode],_xlfn.TEXTSPLIT(FC_import[[#This Row],[SchoolCodes]],",",,TRUE))))</f>
        <v>0</v>
      </c>
      <c r="E18" s="43">
        <f>IF(FC_import[[#This Row],[FinanceCodeTypeCode]]="BUDGET",0,COUNTIF(P:P,P18)-1)</f>
        <v>0</v>
      </c>
      <c r="F18" s="43">
        <f>IF(FC_import[[#This Row],[FinanceCodeTypeCode]]="BUDGET",0,COUNTIF(Q:Q,Q18)-1)</f>
        <v>0</v>
      </c>
      <c r="G18" s="43">
        <f>COUNTIF(Lookup!$A$2:$A$7,R18)-1</f>
        <v>0</v>
      </c>
      <c r="H18" s="43">
        <f>IF(OR(FC_import[[#This Row],[FinanceCodeEnabled]]=TRUE,FC_import[[#This Row],[FinanceCodeEnabled]]=FALSE),0,1)</f>
        <v>0</v>
      </c>
      <c r="I18" s="43">
        <f>IF(LEN(FC_import[[#This Row],[FinanceCode]])&lt;100,0,1)</f>
        <v>0</v>
      </c>
      <c r="J18" s="43">
        <f>IF(TRIM(FC_import[[#This Row],[Title]])="",1,0)</f>
        <v>0</v>
      </c>
      <c r="K18" s="43">
        <f>IF(TRIM(FC_import[[#This Row],[FinanceCode]])="",1,0)</f>
        <v>0</v>
      </c>
      <c r="L18" s="43">
        <f>IF(LEN(FC_import[[#This Row],[Title]])&lt;100,0,1)</f>
        <v>0</v>
      </c>
      <c r="M18" s="43">
        <f>IF(ISBLANK(FC_import[[#This Row],[BalanceToScenario]]),1,0)</f>
        <v>0</v>
      </c>
      <c r="N18" s="43">
        <f>IF(SUBSTITUTE(TEXT(FC_import[[#This Row],[FinanceCode]],10)," ","")=TEXT(FC_import[[#This Row],[FinanceCode]],10),0,1)</f>
        <v>0</v>
      </c>
      <c r="O18" s="43">
        <f t="shared" si="0"/>
        <v>0</v>
      </c>
      <c r="P18" t="s">
        <v>1444</v>
      </c>
      <c r="Q18" t="s">
        <v>1445</v>
      </c>
      <c r="R18" t="s">
        <v>923</v>
      </c>
      <c r="S18" t="s">
        <v>1437</v>
      </c>
      <c r="T18" t="s">
        <v>65</v>
      </c>
      <c r="U18" s="111" t="s">
        <v>1532</v>
      </c>
      <c r="V18" t="b">
        <v>1</v>
      </c>
      <c r="X18" t="b">
        <v>1</v>
      </c>
      <c r="Y18" t="b">
        <v>0</v>
      </c>
      <c r="Z18" t="b">
        <f>FALSE</f>
        <v>0</v>
      </c>
    </row>
    <row r="19" spans="1:26" x14ac:dyDescent="0.3">
      <c r="A19" s="43">
        <f>IF(COUNTIF(LEDGER[LedgerCode],FC_import[[#This Row],[LedgerCode]])&gt;0,0,1)</f>
        <v>0</v>
      </c>
      <c r="B19" s="48">
        <f>IF(COUNTIF(Table_System_Grouping_Codes[groupingCodeCode],FC_import[[#This Row],[GroupingCode]])&gt;0,0,1)</f>
        <v>0</v>
      </c>
      <c r="C19" s="43">
        <f>IF(COUNTIF(CUSTGROUP[CustomGroupingCode],FC_import[[#This Row],[CustomGrouping]])&gt;0,0,1)</f>
        <v>0</v>
      </c>
      <c r="D19" s="43" cm="1">
        <f t="array" ref="D19">IF(FC_import[[#This Row],[AvailableToAllSchools]]=TRUE,0,COUNTA(_xlfn.TEXTSPLIT(FC_import[[#This Row],[SchoolCodes]],",",,TRUE))-SUM(COUNTIF(SCHOOLS[SchoolCode],_xlfn.TEXTSPLIT(FC_import[[#This Row],[SchoolCodes]],",",,TRUE))))</f>
        <v>0</v>
      </c>
      <c r="E19" s="43">
        <f>IF(FC_import[[#This Row],[FinanceCodeTypeCode]]="BUDGET",0,COUNTIF(P:P,P19)-1)</f>
        <v>0</v>
      </c>
      <c r="F19" s="43">
        <f>IF(FC_import[[#This Row],[FinanceCodeTypeCode]]="BUDGET",0,COUNTIF(Q:Q,Q19)-1)</f>
        <v>0</v>
      </c>
      <c r="G19" s="43">
        <f>COUNTIF(Lookup!$A$2:$A$7,R19)-1</f>
        <v>0</v>
      </c>
      <c r="H19" s="43">
        <f>IF(OR(FC_import[[#This Row],[FinanceCodeEnabled]]=TRUE,FC_import[[#This Row],[FinanceCodeEnabled]]=FALSE),0,1)</f>
        <v>0</v>
      </c>
      <c r="I19" s="43">
        <f>IF(LEN(FC_import[[#This Row],[FinanceCode]])&lt;100,0,1)</f>
        <v>0</v>
      </c>
      <c r="J19" s="43">
        <f>IF(TRIM(FC_import[[#This Row],[Title]])="",1,0)</f>
        <v>0</v>
      </c>
      <c r="K19" s="43">
        <f>IF(TRIM(FC_import[[#This Row],[FinanceCode]])="",1,0)</f>
        <v>0</v>
      </c>
      <c r="L19" s="43">
        <f>IF(LEN(FC_import[[#This Row],[Title]])&lt;100,0,1)</f>
        <v>0</v>
      </c>
      <c r="M19" s="43">
        <f>IF(ISBLANK(FC_import[[#This Row],[BalanceToScenario]]),1,0)</f>
        <v>0</v>
      </c>
      <c r="N19" s="43">
        <f>IF(SUBSTITUTE(TEXT(FC_import[[#This Row],[FinanceCode]],10)," ","")=TEXT(FC_import[[#This Row],[FinanceCode]],10),0,1)</f>
        <v>0</v>
      </c>
      <c r="O19" s="43">
        <f t="shared" si="0"/>
        <v>0</v>
      </c>
      <c r="P19" t="s">
        <v>1712</v>
      </c>
      <c r="Q19" t="s">
        <v>1713</v>
      </c>
      <c r="R19" t="s">
        <v>923</v>
      </c>
      <c r="S19" t="s">
        <v>65</v>
      </c>
      <c r="T19" t="s">
        <v>65</v>
      </c>
      <c r="U19" s="111" t="s">
        <v>1532</v>
      </c>
      <c r="V19" t="b">
        <v>1</v>
      </c>
      <c r="X19" t="b">
        <v>1</v>
      </c>
      <c r="Y19" t="b">
        <v>0</v>
      </c>
      <c r="Z19" t="b">
        <f>FALSE</f>
        <v>0</v>
      </c>
    </row>
    <row r="20" spans="1:26" x14ac:dyDescent="0.3">
      <c r="A20" s="43">
        <f>IF(COUNTIF(LEDGER[LedgerCode],FC_import[[#This Row],[LedgerCode]])&gt;0,0,1)</f>
        <v>0</v>
      </c>
      <c r="B20" s="48">
        <f>IF(COUNTIF(Table_System_Grouping_Codes[groupingCodeCode],FC_import[[#This Row],[GroupingCode]])&gt;0,0,1)</f>
        <v>0</v>
      </c>
      <c r="C20" s="43">
        <f>IF(COUNTIF(CUSTGROUP[CustomGroupingCode],FC_import[[#This Row],[CustomGrouping]])&gt;0,0,1)</f>
        <v>0</v>
      </c>
      <c r="D20" s="43" cm="1">
        <f t="array" ref="D20">IF(FC_import[[#This Row],[AvailableToAllSchools]]=TRUE,0,COUNTA(_xlfn.TEXTSPLIT(FC_import[[#This Row],[SchoolCodes]],",",,TRUE))-SUM(COUNTIF(SCHOOLS[SchoolCode],_xlfn.TEXTSPLIT(FC_import[[#This Row],[SchoolCodes]],",",,TRUE))))</f>
        <v>0</v>
      </c>
      <c r="E20" s="43">
        <f>IF(FC_import[[#This Row],[FinanceCodeTypeCode]]="BUDGET",0,COUNTIF(P:P,P20)-1)</f>
        <v>0</v>
      </c>
      <c r="F20" s="43">
        <f>IF(FC_import[[#This Row],[FinanceCodeTypeCode]]="BUDGET",0,COUNTIF(Q:Q,Q20)-1)</f>
        <v>0</v>
      </c>
      <c r="G20" s="43">
        <f>COUNTIF(Lookup!$A$2:$A$7,R20)-1</f>
        <v>0</v>
      </c>
      <c r="H20" s="43">
        <f>IF(OR(FC_import[[#This Row],[FinanceCodeEnabled]]=TRUE,FC_import[[#This Row],[FinanceCodeEnabled]]=FALSE),0,1)</f>
        <v>0</v>
      </c>
      <c r="I20" s="43">
        <f>IF(LEN(FC_import[[#This Row],[FinanceCode]])&lt;100,0,1)</f>
        <v>0</v>
      </c>
      <c r="J20" s="43">
        <f>IF(TRIM(FC_import[[#This Row],[Title]])="",1,0)</f>
        <v>0</v>
      </c>
      <c r="K20" s="43">
        <f>IF(TRIM(FC_import[[#This Row],[FinanceCode]])="",1,0)</f>
        <v>0</v>
      </c>
      <c r="L20" s="43">
        <f>IF(LEN(FC_import[[#This Row],[Title]])&lt;100,0,1)</f>
        <v>0</v>
      </c>
      <c r="M20" s="43">
        <f>IF(ISBLANK(FC_import[[#This Row],[BalanceToScenario]]),1,0)</f>
        <v>0</v>
      </c>
      <c r="N20" s="43">
        <f>IF(SUBSTITUTE(TEXT(FC_import[[#This Row],[FinanceCode]],10)," ","")=TEXT(FC_import[[#This Row],[FinanceCode]],10),0,1)</f>
        <v>0</v>
      </c>
      <c r="O20" s="43">
        <f t="shared" si="0"/>
        <v>0</v>
      </c>
      <c r="P20" t="s">
        <v>1446</v>
      </c>
      <c r="Q20" t="s">
        <v>1447</v>
      </c>
      <c r="R20" t="s">
        <v>923</v>
      </c>
      <c r="S20" t="s">
        <v>1437</v>
      </c>
      <c r="T20" t="s">
        <v>65</v>
      </c>
      <c r="U20" s="111" t="s">
        <v>1532</v>
      </c>
      <c r="V20" t="b">
        <v>1</v>
      </c>
      <c r="X20" t="b">
        <v>1</v>
      </c>
      <c r="Y20" t="b">
        <v>0</v>
      </c>
      <c r="Z20" t="b">
        <f>FALSE</f>
        <v>0</v>
      </c>
    </row>
    <row r="21" spans="1:26" x14ac:dyDescent="0.3">
      <c r="A21" s="43">
        <f>IF(COUNTIF(LEDGER[LedgerCode],FC_import[[#This Row],[LedgerCode]])&gt;0,0,1)</f>
        <v>0</v>
      </c>
      <c r="B21" s="48">
        <f>IF(COUNTIF(Table_System_Grouping_Codes[groupingCodeCode],FC_import[[#This Row],[GroupingCode]])&gt;0,0,1)</f>
        <v>0</v>
      </c>
      <c r="C21" s="43">
        <f>IF(COUNTIF(CUSTGROUP[CustomGroupingCode],FC_import[[#This Row],[CustomGrouping]])&gt;0,0,1)</f>
        <v>0</v>
      </c>
      <c r="D21" s="43" cm="1">
        <f t="array" ref="D21">IF(FC_import[[#This Row],[AvailableToAllSchools]]=TRUE,0,COUNTA(_xlfn.TEXTSPLIT(FC_import[[#This Row],[SchoolCodes]],",",,TRUE))-SUM(COUNTIF(SCHOOLS[SchoolCode],_xlfn.TEXTSPLIT(FC_import[[#This Row],[SchoolCodes]],",",,TRUE))))</f>
        <v>0</v>
      </c>
      <c r="E21" s="43">
        <f>IF(FC_import[[#This Row],[FinanceCodeTypeCode]]="BUDGET",0,COUNTIF(P:P,P21)-1)</f>
        <v>0</v>
      </c>
      <c r="F21" s="43">
        <f>IF(FC_import[[#This Row],[FinanceCodeTypeCode]]="BUDGET",0,COUNTIF(Q:Q,Q21)-1)</f>
        <v>0</v>
      </c>
      <c r="G21" s="43">
        <f>COUNTIF(Lookup!$A$2:$A$7,R21)-1</f>
        <v>0</v>
      </c>
      <c r="H21" s="43">
        <f>IF(OR(FC_import[[#This Row],[FinanceCodeEnabled]]=TRUE,FC_import[[#This Row],[FinanceCodeEnabled]]=FALSE),0,1)</f>
        <v>0</v>
      </c>
      <c r="I21" s="43">
        <f>IF(LEN(FC_import[[#This Row],[FinanceCode]])&lt;100,0,1)</f>
        <v>0</v>
      </c>
      <c r="J21" s="43">
        <f>IF(TRIM(FC_import[[#This Row],[Title]])="",1,0)</f>
        <v>0</v>
      </c>
      <c r="K21" s="43">
        <f>IF(TRIM(FC_import[[#This Row],[FinanceCode]])="",1,0)</f>
        <v>0</v>
      </c>
      <c r="L21" s="43">
        <f>IF(LEN(FC_import[[#This Row],[Title]])&lt;100,0,1)</f>
        <v>0</v>
      </c>
      <c r="M21" s="43">
        <f>IF(ISBLANK(FC_import[[#This Row],[BalanceToScenario]]),1,0)</f>
        <v>0</v>
      </c>
      <c r="N21" s="43">
        <f>IF(SUBSTITUTE(TEXT(FC_import[[#This Row],[FinanceCode]],10)," ","")=TEXT(FC_import[[#This Row],[FinanceCode]],10),0,1)</f>
        <v>0</v>
      </c>
      <c r="O21" s="43">
        <f t="shared" si="0"/>
        <v>0</v>
      </c>
      <c r="P21" t="s">
        <v>1448</v>
      </c>
      <c r="Q21" t="s">
        <v>1449</v>
      </c>
      <c r="R21" t="s">
        <v>923</v>
      </c>
      <c r="S21" t="s">
        <v>1437</v>
      </c>
      <c r="T21" t="s">
        <v>65</v>
      </c>
      <c r="U21" s="111" t="s">
        <v>1532</v>
      </c>
      <c r="V21" t="b">
        <v>1</v>
      </c>
      <c r="X21" t="b">
        <v>1</v>
      </c>
      <c r="Y21" t="b">
        <v>0</v>
      </c>
      <c r="Z21" t="b">
        <f>FALSE</f>
        <v>0</v>
      </c>
    </row>
    <row r="22" spans="1:26" x14ac:dyDescent="0.3">
      <c r="A22" s="43">
        <f>IF(COUNTIF(LEDGER[LedgerCode],FC_import[[#This Row],[LedgerCode]])&gt;0,0,1)</f>
        <v>0</v>
      </c>
      <c r="B22" s="48">
        <f>IF(COUNTIF(Table_System_Grouping_Codes[groupingCodeCode],FC_import[[#This Row],[GroupingCode]])&gt;0,0,1)</f>
        <v>0</v>
      </c>
      <c r="C22" s="43">
        <f>IF(COUNTIF(CUSTGROUP[CustomGroupingCode],FC_import[[#This Row],[CustomGrouping]])&gt;0,0,1)</f>
        <v>0</v>
      </c>
      <c r="D22" s="43" cm="1">
        <f t="array" ref="D22">IF(FC_import[[#This Row],[AvailableToAllSchools]]=TRUE,0,COUNTA(_xlfn.TEXTSPLIT(FC_import[[#This Row],[SchoolCodes]],",",,TRUE))-SUM(COUNTIF(SCHOOLS[SchoolCode],_xlfn.TEXTSPLIT(FC_import[[#This Row],[SchoolCodes]],",",,TRUE))))</f>
        <v>0</v>
      </c>
      <c r="E22" s="43">
        <f>IF(FC_import[[#This Row],[FinanceCodeTypeCode]]="BUDGET",0,COUNTIF(P:P,P22)-1)</f>
        <v>0</v>
      </c>
      <c r="F22" s="43">
        <f>IF(FC_import[[#This Row],[FinanceCodeTypeCode]]="BUDGET",0,COUNTIF(Q:Q,Q22)-1)</f>
        <v>0</v>
      </c>
      <c r="G22" s="43">
        <f>COUNTIF(Lookup!$A$2:$A$7,R22)-1</f>
        <v>0</v>
      </c>
      <c r="H22" s="43">
        <f>IF(OR(FC_import[[#This Row],[FinanceCodeEnabled]]=TRUE,FC_import[[#This Row],[FinanceCodeEnabled]]=FALSE),0,1)</f>
        <v>0</v>
      </c>
      <c r="I22" s="43">
        <f>IF(LEN(FC_import[[#This Row],[FinanceCode]])&lt;100,0,1)</f>
        <v>0</v>
      </c>
      <c r="J22" s="43">
        <f>IF(TRIM(FC_import[[#This Row],[Title]])="",1,0)</f>
        <v>0</v>
      </c>
      <c r="K22" s="43">
        <f>IF(TRIM(FC_import[[#This Row],[FinanceCode]])="",1,0)</f>
        <v>0</v>
      </c>
      <c r="L22" s="43">
        <f>IF(LEN(FC_import[[#This Row],[Title]])&lt;100,0,1)</f>
        <v>0</v>
      </c>
      <c r="M22" s="43">
        <f>IF(ISBLANK(FC_import[[#This Row],[BalanceToScenario]]),1,0)</f>
        <v>0</v>
      </c>
      <c r="N22" s="43">
        <f>IF(SUBSTITUTE(TEXT(FC_import[[#This Row],[FinanceCode]],10)," ","")=TEXT(FC_import[[#This Row],[FinanceCode]],10),0,1)</f>
        <v>0</v>
      </c>
      <c r="O22" s="43">
        <f t="shared" si="0"/>
        <v>0</v>
      </c>
      <c r="P22" t="s">
        <v>1450</v>
      </c>
      <c r="Q22" t="s">
        <v>1451</v>
      </c>
      <c r="R22" t="s">
        <v>923</v>
      </c>
      <c r="S22" t="s">
        <v>1437</v>
      </c>
      <c r="T22" t="s">
        <v>65</v>
      </c>
      <c r="U22" s="111" t="s">
        <v>1532</v>
      </c>
      <c r="V22" t="b">
        <v>1</v>
      </c>
      <c r="X22" t="b">
        <v>1</v>
      </c>
      <c r="Y22" t="b">
        <v>0</v>
      </c>
      <c r="Z22" t="b">
        <f>FALSE</f>
        <v>0</v>
      </c>
    </row>
    <row r="23" spans="1:26" x14ac:dyDescent="0.3">
      <c r="A23" s="43">
        <f>IF(COUNTIF(LEDGER[LedgerCode],FC_import[[#This Row],[LedgerCode]])&gt;0,0,1)</f>
        <v>0</v>
      </c>
      <c r="B23" s="48">
        <f>IF(COUNTIF(Table_System_Grouping_Codes[groupingCodeCode],FC_import[[#This Row],[GroupingCode]])&gt;0,0,1)</f>
        <v>0</v>
      </c>
      <c r="C23" s="43">
        <f>IF(COUNTIF(CUSTGROUP[CustomGroupingCode],FC_import[[#This Row],[CustomGrouping]])&gt;0,0,1)</f>
        <v>0</v>
      </c>
      <c r="D23" s="43" cm="1">
        <f t="array" ref="D23">IF(FC_import[[#This Row],[AvailableToAllSchools]]=TRUE,0,COUNTA(_xlfn.TEXTSPLIT(FC_import[[#This Row],[SchoolCodes]],",",,TRUE))-SUM(COUNTIF(SCHOOLS[SchoolCode],_xlfn.TEXTSPLIT(FC_import[[#This Row],[SchoolCodes]],",",,TRUE))))</f>
        <v>0</v>
      </c>
      <c r="E23" s="43">
        <f>IF(FC_import[[#This Row],[FinanceCodeTypeCode]]="BUDGET",0,COUNTIF(P:P,P23)-1)</f>
        <v>0</v>
      </c>
      <c r="F23" s="43">
        <f>IF(FC_import[[#This Row],[FinanceCodeTypeCode]]="BUDGET",0,COUNTIF(Q:Q,Q23)-1)</f>
        <v>0</v>
      </c>
      <c r="G23" s="43">
        <f>COUNTIF(Lookup!$A$2:$A$7,R23)-1</f>
        <v>0</v>
      </c>
      <c r="H23" s="43">
        <f>IF(OR(FC_import[[#This Row],[FinanceCodeEnabled]]=TRUE,FC_import[[#This Row],[FinanceCodeEnabled]]=FALSE),0,1)</f>
        <v>0</v>
      </c>
      <c r="I23" s="43">
        <f>IF(LEN(FC_import[[#This Row],[FinanceCode]])&lt;100,0,1)</f>
        <v>0</v>
      </c>
      <c r="J23" s="43">
        <f>IF(TRIM(FC_import[[#This Row],[Title]])="",1,0)</f>
        <v>0</v>
      </c>
      <c r="K23" s="43">
        <f>IF(TRIM(FC_import[[#This Row],[FinanceCode]])="",1,0)</f>
        <v>0</v>
      </c>
      <c r="L23" s="43">
        <f>IF(LEN(FC_import[[#This Row],[Title]])&lt;100,0,1)</f>
        <v>0</v>
      </c>
      <c r="M23" s="43">
        <f>IF(ISBLANK(FC_import[[#This Row],[BalanceToScenario]]),1,0)</f>
        <v>0</v>
      </c>
      <c r="N23" s="43">
        <f>IF(SUBSTITUTE(TEXT(FC_import[[#This Row],[FinanceCode]],10)," ","")=TEXT(FC_import[[#This Row],[FinanceCode]],10),0,1)</f>
        <v>0</v>
      </c>
      <c r="O23" s="43">
        <f t="shared" si="0"/>
        <v>0</v>
      </c>
      <c r="P23" t="s">
        <v>1452</v>
      </c>
      <c r="Q23" t="s">
        <v>1453</v>
      </c>
      <c r="R23" t="s">
        <v>923</v>
      </c>
      <c r="S23" t="s">
        <v>1437</v>
      </c>
      <c r="T23" t="s">
        <v>65</v>
      </c>
      <c r="U23" s="111" t="s">
        <v>1532</v>
      </c>
      <c r="V23" t="b">
        <v>1</v>
      </c>
      <c r="X23" t="b">
        <v>1</v>
      </c>
      <c r="Y23" t="b">
        <v>0</v>
      </c>
      <c r="Z23" t="b">
        <f>FALSE</f>
        <v>0</v>
      </c>
    </row>
    <row r="24" spans="1:26" x14ac:dyDescent="0.3">
      <c r="A24" s="43">
        <f>IF(COUNTIF(LEDGER[LedgerCode],FC_import[[#This Row],[LedgerCode]])&gt;0,0,1)</f>
        <v>0</v>
      </c>
      <c r="B24" s="48">
        <f>IF(COUNTIF(Table_System_Grouping_Codes[groupingCodeCode],FC_import[[#This Row],[GroupingCode]])&gt;0,0,1)</f>
        <v>0</v>
      </c>
      <c r="C24" s="43">
        <f>IF(COUNTIF(CUSTGROUP[CustomGroupingCode],FC_import[[#This Row],[CustomGrouping]])&gt;0,0,1)</f>
        <v>0</v>
      </c>
      <c r="D24" s="43" cm="1">
        <f t="array" ref="D24">IF(FC_import[[#This Row],[AvailableToAllSchools]]=TRUE,0,COUNTA(_xlfn.TEXTSPLIT(FC_import[[#This Row],[SchoolCodes]],",",,TRUE))-SUM(COUNTIF(SCHOOLS[SchoolCode],_xlfn.TEXTSPLIT(FC_import[[#This Row],[SchoolCodes]],",",,TRUE))))</f>
        <v>0</v>
      </c>
      <c r="E24" s="43">
        <f>IF(FC_import[[#This Row],[FinanceCodeTypeCode]]="BUDGET",0,COUNTIF(P:P,P24)-1)</f>
        <v>0</v>
      </c>
      <c r="F24" s="43">
        <f>IF(FC_import[[#This Row],[FinanceCodeTypeCode]]="BUDGET",0,COUNTIF(Q:Q,Q24)-1)</f>
        <v>0</v>
      </c>
      <c r="G24" s="43">
        <f>COUNTIF(Lookup!$A$2:$A$7,R24)-1</f>
        <v>0</v>
      </c>
      <c r="H24" s="43">
        <f>IF(OR(FC_import[[#This Row],[FinanceCodeEnabled]]=TRUE,FC_import[[#This Row],[FinanceCodeEnabled]]=FALSE),0,1)</f>
        <v>0</v>
      </c>
      <c r="I24" s="43">
        <f>IF(LEN(FC_import[[#This Row],[FinanceCode]])&lt;100,0,1)</f>
        <v>0</v>
      </c>
      <c r="J24" s="43">
        <f>IF(TRIM(FC_import[[#This Row],[Title]])="",1,0)</f>
        <v>0</v>
      </c>
      <c r="K24" s="43">
        <f>IF(TRIM(FC_import[[#This Row],[FinanceCode]])="",1,0)</f>
        <v>0</v>
      </c>
      <c r="L24" s="43">
        <f>IF(LEN(FC_import[[#This Row],[Title]])&lt;100,0,1)</f>
        <v>0</v>
      </c>
      <c r="M24" s="43">
        <f>IF(ISBLANK(FC_import[[#This Row],[BalanceToScenario]]),1,0)</f>
        <v>0</v>
      </c>
      <c r="N24" s="43">
        <f>IF(SUBSTITUTE(TEXT(FC_import[[#This Row],[FinanceCode]],10)," ","")=TEXT(FC_import[[#This Row],[FinanceCode]],10),0,1)</f>
        <v>0</v>
      </c>
      <c r="O24" s="43">
        <f t="shared" si="0"/>
        <v>0</v>
      </c>
      <c r="P24" t="s">
        <v>1454</v>
      </c>
      <c r="Q24" t="s">
        <v>1455</v>
      </c>
      <c r="R24" t="s">
        <v>923</v>
      </c>
      <c r="S24" t="s">
        <v>1437</v>
      </c>
      <c r="T24" t="s">
        <v>65</v>
      </c>
      <c r="U24" s="111" t="s">
        <v>1532</v>
      </c>
      <c r="V24" t="b">
        <v>1</v>
      </c>
      <c r="X24" t="b">
        <v>1</v>
      </c>
      <c r="Y24" t="b">
        <v>0</v>
      </c>
      <c r="Z24" t="b">
        <f>FALSE</f>
        <v>0</v>
      </c>
    </row>
    <row r="25" spans="1:26" x14ac:dyDescent="0.3">
      <c r="A25" s="43">
        <f>IF(COUNTIF(LEDGER[LedgerCode],FC_import[[#This Row],[LedgerCode]])&gt;0,0,1)</f>
        <v>0</v>
      </c>
      <c r="B25" s="48">
        <f>IF(COUNTIF(Table_System_Grouping_Codes[groupingCodeCode],FC_import[[#This Row],[GroupingCode]])&gt;0,0,1)</f>
        <v>0</v>
      </c>
      <c r="C25" s="43">
        <f>IF(COUNTIF(CUSTGROUP[CustomGroupingCode],FC_import[[#This Row],[CustomGrouping]])&gt;0,0,1)</f>
        <v>0</v>
      </c>
      <c r="D25" s="43" cm="1">
        <f t="array" ref="D25">IF(FC_import[[#This Row],[AvailableToAllSchools]]=TRUE,0,COUNTA(_xlfn.TEXTSPLIT(FC_import[[#This Row],[SchoolCodes]],",",,TRUE))-SUM(COUNTIF(SCHOOLS[SchoolCode],_xlfn.TEXTSPLIT(FC_import[[#This Row],[SchoolCodes]],",",,TRUE))))</f>
        <v>0</v>
      </c>
      <c r="E25" s="43">
        <f>IF(FC_import[[#This Row],[FinanceCodeTypeCode]]="BUDGET",0,COUNTIF(P:P,P25)-1)</f>
        <v>0</v>
      </c>
      <c r="F25" s="43">
        <f>IF(FC_import[[#This Row],[FinanceCodeTypeCode]]="BUDGET",0,COUNTIF(Q:Q,Q25)-1)</f>
        <v>0</v>
      </c>
      <c r="G25" s="43">
        <f>COUNTIF(Lookup!$A$2:$A$7,R25)-1</f>
        <v>0</v>
      </c>
      <c r="H25" s="43">
        <f>IF(OR(FC_import[[#This Row],[FinanceCodeEnabled]]=TRUE,FC_import[[#This Row],[FinanceCodeEnabled]]=FALSE),0,1)</f>
        <v>0</v>
      </c>
      <c r="I25" s="43">
        <f>IF(LEN(FC_import[[#This Row],[FinanceCode]])&lt;100,0,1)</f>
        <v>0</v>
      </c>
      <c r="J25" s="43">
        <f>IF(TRIM(FC_import[[#This Row],[Title]])="",1,0)</f>
        <v>0</v>
      </c>
      <c r="K25" s="43">
        <f>IF(TRIM(FC_import[[#This Row],[FinanceCode]])="",1,0)</f>
        <v>0</v>
      </c>
      <c r="L25" s="43">
        <f>IF(LEN(FC_import[[#This Row],[Title]])&lt;100,0,1)</f>
        <v>0</v>
      </c>
      <c r="M25" s="43">
        <f>IF(ISBLANK(FC_import[[#This Row],[BalanceToScenario]]),1,0)</f>
        <v>0</v>
      </c>
      <c r="N25" s="43">
        <f>IF(SUBSTITUTE(TEXT(FC_import[[#This Row],[FinanceCode]],10)," ","")=TEXT(FC_import[[#This Row],[FinanceCode]],10),0,1)</f>
        <v>0</v>
      </c>
      <c r="O25" s="43">
        <f t="shared" si="0"/>
        <v>0</v>
      </c>
      <c r="P25" t="s">
        <v>1456</v>
      </c>
      <c r="Q25" t="s">
        <v>1457</v>
      </c>
      <c r="R25" t="s">
        <v>923</v>
      </c>
      <c r="S25" t="s">
        <v>1437</v>
      </c>
      <c r="T25" t="s">
        <v>65</v>
      </c>
      <c r="U25" s="111" t="s">
        <v>1532</v>
      </c>
      <c r="V25" t="b">
        <v>1</v>
      </c>
      <c r="X25" t="b">
        <v>1</v>
      </c>
      <c r="Y25" t="b">
        <v>0</v>
      </c>
      <c r="Z25" t="b">
        <f>FALSE</f>
        <v>0</v>
      </c>
    </row>
    <row r="26" spans="1:26" x14ac:dyDescent="0.3">
      <c r="A26" s="43">
        <f>IF(COUNTIF(LEDGER[LedgerCode],FC_import[[#This Row],[LedgerCode]])&gt;0,0,1)</f>
        <v>0</v>
      </c>
      <c r="B26" s="48">
        <f>IF(COUNTIF(Table_System_Grouping_Codes[groupingCodeCode],FC_import[[#This Row],[GroupingCode]])&gt;0,0,1)</f>
        <v>0</v>
      </c>
      <c r="C26" s="43">
        <f>IF(COUNTIF(CUSTGROUP[CustomGroupingCode],FC_import[[#This Row],[CustomGrouping]])&gt;0,0,1)</f>
        <v>0</v>
      </c>
      <c r="D26" s="43" cm="1">
        <f t="array" ref="D26">IF(FC_import[[#This Row],[AvailableToAllSchools]]=TRUE,0,COUNTA(_xlfn.TEXTSPLIT(FC_import[[#This Row],[SchoolCodes]],",",,TRUE))-SUM(COUNTIF(SCHOOLS[SchoolCode],_xlfn.TEXTSPLIT(FC_import[[#This Row],[SchoolCodes]],",",,TRUE))))</f>
        <v>0</v>
      </c>
      <c r="E26" s="43">
        <f>IF(FC_import[[#This Row],[FinanceCodeTypeCode]]="BUDGET",0,COUNTIF(P:P,P26)-1)</f>
        <v>0</v>
      </c>
      <c r="F26" s="43">
        <f>IF(FC_import[[#This Row],[FinanceCodeTypeCode]]="BUDGET",0,COUNTIF(Q:Q,Q26)-1)</f>
        <v>0</v>
      </c>
      <c r="G26" s="43">
        <f>COUNTIF(Lookup!$A$2:$A$7,R26)-1</f>
        <v>0</v>
      </c>
      <c r="H26" s="43">
        <f>IF(OR(FC_import[[#This Row],[FinanceCodeEnabled]]=TRUE,FC_import[[#This Row],[FinanceCodeEnabled]]=FALSE),0,1)</f>
        <v>0</v>
      </c>
      <c r="I26" s="43">
        <f>IF(LEN(FC_import[[#This Row],[FinanceCode]])&lt;100,0,1)</f>
        <v>0</v>
      </c>
      <c r="J26" s="43">
        <f>IF(TRIM(FC_import[[#This Row],[Title]])="",1,0)</f>
        <v>0</v>
      </c>
      <c r="K26" s="43">
        <f>IF(TRIM(FC_import[[#This Row],[FinanceCode]])="",1,0)</f>
        <v>0</v>
      </c>
      <c r="L26" s="43">
        <f>IF(LEN(FC_import[[#This Row],[Title]])&lt;100,0,1)</f>
        <v>0</v>
      </c>
      <c r="M26" s="43">
        <f>IF(ISBLANK(FC_import[[#This Row],[BalanceToScenario]]),1,0)</f>
        <v>0</v>
      </c>
      <c r="N26" s="43">
        <f>IF(SUBSTITUTE(TEXT(FC_import[[#This Row],[FinanceCode]],10)," ","")=TEXT(FC_import[[#This Row],[FinanceCode]],10),0,1)</f>
        <v>0</v>
      </c>
      <c r="O26" s="43">
        <f t="shared" si="0"/>
        <v>0</v>
      </c>
      <c r="P26" t="s">
        <v>1458</v>
      </c>
      <c r="Q26" t="s">
        <v>1459</v>
      </c>
      <c r="R26" t="s">
        <v>923</v>
      </c>
      <c r="S26" t="s">
        <v>1460</v>
      </c>
      <c r="T26" t="s">
        <v>65</v>
      </c>
      <c r="U26" s="111" t="s">
        <v>1532</v>
      </c>
      <c r="V26" t="b">
        <v>1</v>
      </c>
      <c r="X26" t="b">
        <v>1</v>
      </c>
      <c r="Y26" t="b">
        <v>0</v>
      </c>
      <c r="Z26" t="b">
        <f>FALSE</f>
        <v>0</v>
      </c>
    </row>
    <row r="27" spans="1:26" x14ac:dyDescent="0.3">
      <c r="A27" s="43">
        <f>IF(COUNTIF(LEDGER[LedgerCode],FC_import[[#This Row],[LedgerCode]])&gt;0,0,1)</f>
        <v>0</v>
      </c>
      <c r="B27" s="48">
        <f>IF(COUNTIF(Table_System_Grouping_Codes[groupingCodeCode],FC_import[[#This Row],[GroupingCode]])&gt;0,0,1)</f>
        <v>0</v>
      </c>
      <c r="C27" s="43">
        <f>IF(COUNTIF(CUSTGROUP[CustomGroupingCode],FC_import[[#This Row],[CustomGrouping]])&gt;0,0,1)</f>
        <v>0</v>
      </c>
      <c r="D27" s="43" cm="1">
        <f t="array" ref="D27">IF(FC_import[[#This Row],[AvailableToAllSchools]]=TRUE,0,COUNTA(_xlfn.TEXTSPLIT(FC_import[[#This Row],[SchoolCodes]],",",,TRUE))-SUM(COUNTIF(SCHOOLS[SchoolCode],_xlfn.TEXTSPLIT(FC_import[[#This Row],[SchoolCodes]],",",,TRUE))))</f>
        <v>0</v>
      </c>
      <c r="E27" s="43">
        <f>IF(FC_import[[#This Row],[FinanceCodeTypeCode]]="BUDGET",0,COUNTIF(P:P,P27)-1)</f>
        <v>0</v>
      </c>
      <c r="F27" s="43">
        <f>IF(FC_import[[#This Row],[FinanceCodeTypeCode]]="BUDGET",0,COUNTIF(Q:Q,Q27)-1)</f>
        <v>0</v>
      </c>
      <c r="G27" s="43">
        <f>COUNTIF(Lookup!$A$2:$A$7,R27)-1</f>
        <v>0</v>
      </c>
      <c r="H27" s="43">
        <f>IF(OR(FC_import[[#This Row],[FinanceCodeEnabled]]=TRUE,FC_import[[#This Row],[FinanceCodeEnabled]]=FALSE),0,1)</f>
        <v>0</v>
      </c>
      <c r="I27" s="43">
        <f>IF(LEN(FC_import[[#This Row],[FinanceCode]])&lt;100,0,1)</f>
        <v>0</v>
      </c>
      <c r="J27" s="43">
        <f>IF(TRIM(FC_import[[#This Row],[Title]])="",1,0)</f>
        <v>0</v>
      </c>
      <c r="K27" s="43">
        <f>IF(TRIM(FC_import[[#This Row],[FinanceCode]])="",1,0)</f>
        <v>0</v>
      </c>
      <c r="L27" s="43">
        <f>IF(LEN(FC_import[[#This Row],[Title]])&lt;100,0,1)</f>
        <v>0</v>
      </c>
      <c r="M27" s="43">
        <f>IF(ISBLANK(FC_import[[#This Row],[BalanceToScenario]]),1,0)</f>
        <v>0</v>
      </c>
      <c r="N27" s="43">
        <f>IF(SUBSTITUTE(TEXT(FC_import[[#This Row],[FinanceCode]],10)," ","")=TEXT(FC_import[[#This Row],[FinanceCode]],10),0,1)</f>
        <v>0</v>
      </c>
      <c r="O27" s="43">
        <f t="shared" si="0"/>
        <v>0</v>
      </c>
      <c r="P27" t="s">
        <v>1461</v>
      </c>
      <c r="Q27" t="s">
        <v>1462</v>
      </c>
      <c r="R27" t="s">
        <v>923</v>
      </c>
      <c r="S27" t="s">
        <v>1437</v>
      </c>
      <c r="T27" t="s">
        <v>65</v>
      </c>
      <c r="U27" s="111" t="s">
        <v>1532</v>
      </c>
      <c r="V27" t="b">
        <v>1</v>
      </c>
      <c r="X27" t="b">
        <v>1</v>
      </c>
      <c r="Y27" t="b">
        <v>0</v>
      </c>
      <c r="Z27" t="b">
        <f>FALSE</f>
        <v>0</v>
      </c>
    </row>
    <row r="28" spans="1:26" x14ac:dyDescent="0.3">
      <c r="A28" s="43">
        <f>IF(COUNTIF(LEDGER[LedgerCode],FC_import[[#This Row],[LedgerCode]])&gt;0,0,1)</f>
        <v>0</v>
      </c>
      <c r="B28" s="48">
        <f>IF(COUNTIF(Table_System_Grouping_Codes[groupingCodeCode],FC_import[[#This Row],[GroupingCode]])&gt;0,0,1)</f>
        <v>0</v>
      </c>
      <c r="C28" s="43">
        <f>IF(COUNTIF(CUSTGROUP[CustomGroupingCode],FC_import[[#This Row],[CustomGrouping]])&gt;0,0,1)</f>
        <v>0</v>
      </c>
      <c r="D28" s="43" cm="1">
        <f t="array" ref="D28">IF(FC_import[[#This Row],[AvailableToAllSchools]]=TRUE,0,COUNTA(_xlfn.TEXTSPLIT(FC_import[[#This Row],[SchoolCodes]],",",,TRUE))-SUM(COUNTIF(SCHOOLS[SchoolCode],_xlfn.TEXTSPLIT(FC_import[[#This Row],[SchoolCodes]],",",,TRUE))))</f>
        <v>0</v>
      </c>
      <c r="E28" s="43">
        <f>IF(FC_import[[#This Row],[FinanceCodeTypeCode]]="BUDGET",0,COUNTIF(P:P,P28)-1)</f>
        <v>0</v>
      </c>
      <c r="F28" s="43">
        <f>IF(FC_import[[#This Row],[FinanceCodeTypeCode]]="BUDGET",0,COUNTIF(Q:Q,Q28)-1)</f>
        <v>0</v>
      </c>
      <c r="G28" s="43">
        <f>COUNTIF(Lookup!$A$2:$A$7,R28)-1</f>
        <v>0</v>
      </c>
      <c r="H28" s="43">
        <f>IF(OR(FC_import[[#This Row],[FinanceCodeEnabled]]=TRUE,FC_import[[#This Row],[FinanceCodeEnabled]]=FALSE),0,1)</f>
        <v>0</v>
      </c>
      <c r="I28" s="43">
        <f>IF(LEN(FC_import[[#This Row],[FinanceCode]])&lt;100,0,1)</f>
        <v>0</v>
      </c>
      <c r="J28" s="43">
        <f>IF(TRIM(FC_import[[#This Row],[Title]])="",1,0)</f>
        <v>0</v>
      </c>
      <c r="K28" s="43">
        <f>IF(TRIM(FC_import[[#This Row],[FinanceCode]])="",1,0)</f>
        <v>0</v>
      </c>
      <c r="L28" s="43">
        <f>IF(LEN(FC_import[[#This Row],[Title]])&lt;100,0,1)</f>
        <v>0</v>
      </c>
      <c r="M28" s="43">
        <f>IF(ISBLANK(FC_import[[#This Row],[BalanceToScenario]]),1,0)</f>
        <v>0</v>
      </c>
      <c r="N28" s="43">
        <f>IF(SUBSTITUTE(TEXT(FC_import[[#This Row],[FinanceCode]],10)," ","")=TEXT(FC_import[[#This Row],[FinanceCode]],10),0,1)</f>
        <v>0</v>
      </c>
      <c r="O28" s="43">
        <f t="shared" si="0"/>
        <v>0</v>
      </c>
      <c r="P28" t="s">
        <v>1463</v>
      </c>
      <c r="Q28" t="s">
        <v>1464</v>
      </c>
      <c r="R28" t="s">
        <v>923</v>
      </c>
      <c r="S28" t="s">
        <v>1437</v>
      </c>
      <c r="T28" t="s">
        <v>65</v>
      </c>
      <c r="U28" s="111" t="s">
        <v>1532</v>
      </c>
      <c r="V28" t="b">
        <v>1</v>
      </c>
      <c r="X28" t="b">
        <v>1</v>
      </c>
      <c r="Y28" t="b">
        <v>0</v>
      </c>
      <c r="Z28" t="b">
        <f>FALSE</f>
        <v>0</v>
      </c>
    </row>
    <row r="29" spans="1:26" x14ac:dyDescent="0.3">
      <c r="A29" s="43">
        <f>IF(COUNTIF(LEDGER[LedgerCode],FC_import[[#This Row],[LedgerCode]])&gt;0,0,1)</f>
        <v>0</v>
      </c>
      <c r="B29" s="48">
        <f>IF(COUNTIF(Table_System_Grouping_Codes[groupingCodeCode],FC_import[[#This Row],[GroupingCode]])&gt;0,0,1)</f>
        <v>0</v>
      </c>
      <c r="C29" s="43">
        <f>IF(COUNTIF(CUSTGROUP[CustomGroupingCode],FC_import[[#This Row],[CustomGrouping]])&gt;0,0,1)</f>
        <v>0</v>
      </c>
      <c r="D29" s="43" cm="1">
        <f t="array" ref="D29">IF(FC_import[[#This Row],[AvailableToAllSchools]]=TRUE,0,COUNTA(_xlfn.TEXTSPLIT(FC_import[[#This Row],[SchoolCodes]],",",,TRUE))-SUM(COUNTIF(SCHOOLS[SchoolCode],_xlfn.TEXTSPLIT(FC_import[[#This Row],[SchoolCodes]],",",,TRUE))))</f>
        <v>0</v>
      </c>
      <c r="E29" s="43">
        <f>IF(FC_import[[#This Row],[FinanceCodeTypeCode]]="BUDGET",0,COUNTIF(P:P,P29)-1)</f>
        <v>0</v>
      </c>
      <c r="F29" s="43">
        <f>IF(FC_import[[#This Row],[FinanceCodeTypeCode]]="BUDGET",0,COUNTIF(Q:Q,Q29)-1)</f>
        <v>0</v>
      </c>
      <c r="G29" s="43">
        <f>COUNTIF(Lookup!$A$2:$A$7,R29)-1</f>
        <v>0</v>
      </c>
      <c r="H29" s="43">
        <f>IF(OR(FC_import[[#This Row],[FinanceCodeEnabled]]=TRUE,FC_import[[#This Row],[FinanceCodeEnabled]]=FALSE),0,1)</f>
        <v>0</v>
      </c>
      <c r="I29" s="43">
        <f>IF(LEN(FC_import[[#This Row],[FinanceCode]])&lt;100,0,1)</f>
        <v>0</v>
      </c>
      <c r="J29" s="43">
        <f>IF(TRIM(FC_import[[#This Row],[Title]])="",1,0)</f>
        <v>0</v>
      </c>
      <c r="K29" s="43">
        <f>IF(TRIM(FC_import[[#This Row],[FinanceCode]])="",1,0)</f>
        <v>0</v>
      </c>
      <c r="L29" s="43">
        <f>IF(LEN(FC_import[[#This Row],[Title]])&lt;100,0,1)</f>
        <v>0</v>
      </c>
      <c r="M29" s="43">
        <f>IF(ISBLANK(FC_import[[#This Row],[BalanceToScenario]]),1,0)</f>
        <v>0</v>
      </c>
      <c r="N29" s="43">
        <f>IF(SUBSTITUTE(TEXT(FC_import[[#This Row],[FinanceCode]],10)," ","")=TEXT(FC_import[[#This Row],[FinanceCode]],10),0,1)</f>
        <v>0</v>
      </c>
      <c r="O29" s="43">
        <f t="shared" si="0"/>
        <v>0</v>
      </c>
      <c r="P29" t="s">
        <v>1465</v>
      </c>
      <c r="Q29" t="s">
        <v>1466</v>
      </c>
      <c r="R29" t="s">
        <v>923</v>
      </c>
      <c r="S29" t="s">
        <v>1437</v>
      </c>
      <c r="T29" t="s">
        <v>65</v>
      </c>
      <c r="U29" s="111" t="s">
        <v>1532</v>
      </c>
      <c r="V29" t="b">
        <v>1</v>
      </c>
      <c r="X29" t="b">
        <v>1</v>
      </c>
      <c r="Y29" t="b">
        <v>0</v>
      </c>
      <c r="Z29" t="b">
        <f>FALSE</f>
        <v>0</v>
      </c>
    </row>
    <row r="30" spans="1:26" x14ac:dyDescent="0.3">
      <c r="A30" s="43">
        <f>IF(COUNTIF(LEDGER[LedgerCode],FC_import[[#This Row],[LedgerCode]])&gt;0,0,1)</f>
        <v>0</v>
      </c>
      <c r="B30" s="48">
        <f>IF(COUNTIF(Table_System_Grouping_Codes[groupingCodeCode],FC_import[[#This Row],[GroupingCode]])&gt;0,0,1)</f>
        <v>0</v>
      </c>
      <c r="C30" s="43">
        <f>IF(COUNTIF(CUSTGROUP[CustomGroupingCode],FC_import[[#This Row],[CustomGrouping]])&gt;0,0,1)</f>
        <v>0</v>
      </c>
      <c r="D30" s="43" cm="1">
        <f t="array" ref="D30">IF(FC_import[[#This Row],[AvailableToAllSchools]]=TRUE,0,COUNTA(_xlfn.TEXTSPLIT(FC_import[[#This Row],[SchoolCodes]],",",,TRUE))-SUM(COUNTIF(SCHOOLS[SchoolCode],_xlfn.TEXTSPLIT(FC_import[[#This Row],[SchoolCodes]],",",,TRUE))))</f>
        <v>0</v>
      </c>
      <c r="E30" s="43">
        <f>IF(FC_import[[#This Row],[FinanceCodeTypeCode]]="BUDGET",0,COUNTIF(P:P,P30)-1)</f>
        <v>0</v>
      </c>
      <c r="F30" s="43">
        <f>IF(FC_import[[#This Row],[FinanceCodeTypeCode]]="BUDGET",0,COUNTIF(Q:Q,Q30)-1)</f>
        <v>0</v>
      </c>
      <c r="G30" s="43">
        <f>COUNTIF(Lookup!$A$2:$A$7,R30)-1</f>
        <v>0</v>
      </c>
      <c r="H30" s="43">
        <f>IF(OR(FC_import[[#This Row],[FinanceCodeEnabled]]=TRUE,FC_import[[#This Row],[FinanceCodeEnabled]]=FALSE),0,1)</f>
        <v>0</v>
      </c>
      <c r="I30" s="43">
        <f>IF(LEN(FC_import[[#This Row],[FinanceCode]])&lt;100,0,1)</f>
        <v>0</v>
      </c>
      <c r="J30" s="43">
        <f>IF(TRIM(FC_import[[#This Row],[Title]])="",1,0)</f>
        <v>0</v>
      </c>
      <c r="K30" s="43">
        <f>IF(TRIM(FC_import[[#This Row],[FinanceCode]])="",1,0)</f>
        <v>0</v>
      </c>
      <c r="L30" s="43">
        <f>IF(LEN(FC_import[[#This Row],[Title]])&lt;100,0,1)</f>
        <v>0</v>
      </c>
      <c r="M30" s="43">
        <f>IF(ISBLANK(FC_import[[#This Row],[BalanceToScenario]]),1,0)</f>
        <v>0</v>
      </c>
      <c r="N30" s="43">
        <f>IF(SUBSTITUTE(TEXT(FC_import[[#This Row],[FinanceCode]],10)," ","")=TEXT(FC_import[[#This Row],[FinanceCode]],10),0,1)</f>
        <v>0</v>
      </c>
      <c r="O30" s="43">
        <f t="shared" si="0"/>
        <v>0</v>
      </c>
      <c r="P30" t="s">
        <v>1467</v>
      </c>
      <c r="Q30" t="s">
        <v>1468</v>
      </c>
      <c r="R30" t="s">
        <v>923</v>
      </c>
      <c r="S30" t="s">
        <v>1437</v>
      </c>
      <c r="T30" t="s">
        <v>65</v>
      </c>
      <c r="U30" s="111" t="s">
        <v>1532</v>
      </c>
      <c r="V30" t="b">
        <v>1</v>
      </c>
      <c r="X30" t="b">
        <v>1</v>
      </c>
      <c r="Y30" t="b">
        <v>0</v>
      </c>
      <c r="Z30" t="b">
        <f>FALSE</f>
        <v>0</v>
      </c>
    </row>
    <row r="31" spans="1:26" x14ac:dyDescent="0.3">
      <c r="A31" s="43">
        <f>IF(COUNTIF(LEDGER[LedgerCode],FC_import[[#This Row],[LedgerCode]])&gt;0,0,1)</f>
        <v>0</v>
      </c>
      <c r="B31" s="48">
        <f>IF(COUNTIF(Table_System_Grouping_Codes[groupingCodeCode],FC_import[[#This Row],[GroupingCode]])&gt;0,0,1)</f>
        <v>0</v>
      </c>
      <c r="C31" s="43">
        <f>IF(COUNTIF(CUSTGROUP[CustomGroupingCode],FC_import[[#This Row],[CustomGrouping]])&gt;0,0,1)</f>
        <v>0</v>
      </c>
      <c r="D31" s="43" cm="1">
        <f t="array" ref="D31">IF(FC_import[[#This Row],[AvailableToAllSchools]]=TRUE,0,COUNTA(_xlfn.TEXTSPLIT(FC_import[[#This Row],[SchoolCodes]],",",,TRUE))-SUM(COUNTIF(SCHOOLS[SchoolCode],_xlfn.TEXTSPLIT(FC_import[[#This Row],[SchoolCodes]],",",,TRUE))))</f>
        <v>0</v>
      </c>
      <c r="E31" s="43">
        <f>IF(FC_import[[#This Row],[FinanceCodeTypeCode]]="BUDGET",0,COUNTIF(P:P,P31)-1)</f>
        <v>0</v>
      </c>
      <c r="F31" s="43">
        <f>IF(FC_import[[#This Row],[FinanceCodeTypeCode]]="BUDGET",0,COUNTIF(Q:Q,Q31)-1)</f>
        <v>0</v>
      </c>
      <c r="G31" s="43">
        <f>COUNTIF(Lookup!$A$2:$A$7,R31)-1</f>
        <v>0</v>
      </c>
      <c r="H31" s="43">
        <f>IF(OR(FC_import[[#This Row],[FinanceCodeEnabled]]=TRUE,FC_import[[#This Row],[FinanceCodeEnabled]]=FALSE),0,1)</f>
        <v>0</v>
      </c>
      <c r="I31" s="43">
        <f>IF(LEN(FC_import[[#This Row],[FinanceCode]])&lt;100,0,1)</f>
        <v>0</v>
      </c>
      <c r="J31" s="43">
        <f>IF(TRIM(FC_import[[#This Row],[Title]])="",1,0)</f>
        <v>0</v>
      </c>
      <c r="K31" s="43">
        <f>IF(TRIM(FC_import[[#This Row],[FinanceCode]])="",1,0)</f>
        <v>0</v>
      </c>
      <c r="L31" s="43">
        <f>IF(LEN(FC_import[[#This Row],[Title]])&lt;100,0,1)</f>
        <v>0</v>
      </c>
      <c r="M31" s="43">
        <f>IF(ISBLANK(FC_import[[#This Row],[BalanceToScenario]]),1,0)</f>
        <v>0</v>
      </c>
      <c r="N31" s="43">
        <f>IF(SUBSTITUTE(TEXT(FC_import[[#This Row],[FinanceCode]],10)," ","")=TEXT(FC_import[[#This Row],[FinanceCode]],10),0,1)</f>
        <v>0</v>
      </c>
      <c r="O31" s="43">
        <f t="shared" si="0"/>
        <v>0</v>
      </c>
      <c r="P31" t="s">
        <v>1469</v>
      </c>
      <c r="Q31" t="s">
        <v>1470</v>
      </c>
      <c r="R31" t="s">
        <v>923</v>
      </c>
      <c r="S31" t="s">
        <v>1437</v>
      </c>
      <c r="T31" t="s">
        <v>65</v>
      </c>
      <c r="U31" s="111" t="s">
        <v>1532</v>
      </c>
      <c r="V31" t="b">
        <v>1</v>
      </c>
      <c r="X31" t="b">
        <v>1</v>
      </c>
      <c r="Y31" t="b">
        <v>0</v>
      </c>
      <c r="Z31" t="b">
        <f>FALSE</f>
        <v>0</v>
      </c>
    </row>
    <row r="32" spans="1:26" x14ac:dyDescent="0.3">
      <c r="A32" s="43">
        <f>IF(COUNTIF(LEDGER[LedgerCode],FC_import[[#This Row],[LedgerCode]])&gt;0,0,1)</f>
        <v>0</v>
      </c>
      <c r="B32" s="48">
        <f>IF(COUNTIF(Table_System_Grouping_Codes[groupingCodeCode],FC_import[[#This Row],[GroupingCode]])&gt;0,0,1)</f>
        <v>0</v>
      </c>
      <c r="C32" s="43">
        <f>IF(COUNTIF(CUSTGROUP[CustomGroupingCode],FC_import[[#This Row],[CustomGrouping]])&gt;0,0,1)</f>
        <v>0</v>
      </c>
      <c r="D32" s="43" cm="1">
        <f t="array" ref="D32">IF(FC_import[[#This Row],[AvailableToAllSchools]]=TRUE,0,COUNTA(_xlfn.TEXTSPLIT(FC_import[[#This Row],[SchoolCodes]],",",,TRUE))-SUM(COUNTIF(SCHOOLS[SchoolCode],_xlfn.TEXTSPLIT(FC_import[[#This Row],[SchoolCodes]],",",,TRUE))))</f>
        <v>0</v>
      </c>
      <c r="E32" s="43">
        <f>IF(FC_import[[#This Row],[FinanceCodeTypeCode]]="BUDGET",0,COUNTIF(P:P,P32)-1)</f>
        <v>0</v>
      </c>
      <c r="F32" s="43">
        <f>IF(FC_import[[#This Row],[FinanceCodeTypeCode]]="BUDGET",0,COUNTIF(Q:Q,Q32)-1)</f>
        <v>0</v>
      </c>
      <c r="G32" s="43">
        <f>COUNTIF(Lookup!$A$2:$A$7,R32)-1</f>
        <v>0</v>
      </c>
      <c r="H32" s="43">
        <f>IF(OR(FC_import[[#This Row],[FinanceCodeEnabled]]=TRUE,FC_import[[#This Row],[FinanceCodeEnabled]]=FALSE),0,1)</f>
        <v>0</v>
      </c>
      <c r="I32" s="43">
        <f>IF(LEN(FC_import[[#This Row],[FinanceCode]])&lt;100,0,1)</f>
        <v>0</v>
      </c>
      <c r="J32" s="43">
        <f>IF(TRIM(FC_import[[#This Row],[Title]])="",1,0)</f>
        <v>0</v>
      </c>
      <c r="K32" s="43">
        <f>IF(TRIM(FC_import[[#This Row],[FinanceCode]])="",1,0)</f>
        <v>0</v>
      </c>
      <c r="L32" s="43">
        <f>IF(LEN(FC_import[[#This Row],[Title]])&lt;100,0,1)</f>
        <v>0</v>
      </c>
      <c r="M32" s="43">
        <f>IF(ISBLANK(FC_import[[#This Row],[BalanceToScenario]]),1,0)</f>
        <v>0</v>
      </c>
      <c r="N32" s="43">
        <f>IF(SUBSTITUTE(TEXT(FC_import[[#This Row],[FinanceCode]],10)," ","")=TEXT(FC_import[[#This Row],[FinanceCode]],10),0,1)</f>
        <v>0</v>
      </c>
      <c r="O32" s="43">
        <f t="shared" si="0"/>
        <v>0</v>
      </c>
      <c r="P32" t="s">
        <v>1471</v>
      </c>
      <c r="Q32" t="s">
        <v>1472</v>
      </c>
      <c r="R32" t="s">
        <v>923</v>
      </c>
      <c r="S32" t="s">
        <v>1437</v>
      </c>
      <c r="T32" t="s">
        <v>65</v>
      </c>
      <c r="U32" s="111" t="s">
        <v>1532</v>
      </c>
      <c r="V32" t="b">
        <v>1</v>
      </c>
      <c r="X32" t="b">
        <v>1</v>
      </c>
      <c r="Y32" t="b">
        <v>0</v>
      </c>
      <c r="Z32" t="b">
        <f>FALSE</f>
        <v>0</v>
      </c>
    </row>
    <row r="33" spans="1:26" x14ac:dyDescent="0.3">
      <c r="A33" s="43">
        <f>IF(COUNTIF(LEDGER[LedgerCode],FC_import[[#This Row],[LedgerCode]])&gt;0,0,1)</f>
        <v>0</v>
      </c>
      <c r="B33" s="48">
        <f>IF(COUNTIF(Table_System_Grouping_Codes[groupingCodeCode],FC_import[[#This Row],[GroupingCode]])&gt;0,0,1)</f>
        <v>0</v>
      </c>
      <c r="C33" s="43">
        <f>IF(COUNTIF(CUSTGROUP[CustomGroupingCode],FC_import[[#This Row],[CustomGrouping]])&gt;0,0,1)</f>
        <v>0</v>
      </c>
      <c r="D33" s="43" cm="1">
        <f t="array" ref="D33">IF(FC_import[[#This Row],[AvailableToAllSchools]]=TRUE,0,COUNTA(_xlfn.TEXTSPLIT(FC_import[[#This Row],[SchoolCodes]],",",,TRUE))-SUM(COUNTIF(SCHOOLS[SchoolCode],_xlfn.TEXTSPLIT(FC_import[[#This Row],[SchoolCodes]],",",,TRUE))))</f>
        <v>0</v>
      </c>
      <c r="E33" s="43">
        <f>IF(FC_import[[#This Row],[FinanceCodeTypeCode]]="BUDGET",0,COUNTIF(P:P,P33)-1)</f>
        <v>0</v>
      </c>
      <c r="F33" s="43">
        <f>IF(FC_import[[#This Row],[FinanceCodeTypeCode]]="BUDGET",0,COUNTIF(Q:Q,Q33)-1)</f>
        <v>0</v>
      </c>
      <c r="G33" s="43">
        <f>COUNTIF(Lookup!$A$2:$A$7,R33)-1</f>
        <v>0</v>
      </c>
      <c r="H33" s="43">
        <f>IF(OR(FC_import[[#This Row],[FinanceCodeEnabled]]=TRUE,FC_import[[#This Row],[FinanceCodeEnabled]]=FALSE),0,1)</f>
        <v>0</v>
      </c>
      <c r="I33" s="43">
        <f>IF(LEN(FC_import[[#This Row],[FinanceCode]])&lt;100,0,1)</f>
        <v>0</v>
      </c>
      <c r="J33" s="43">
        <f>IF(TRIM(FC_import[[#This Row],[Title]])="",1,0)</f>
        <v>0</v>
      </c>
      <c r="K33" s="43">
        <f>IF(TRIM(FC_import[[#This Row],[FinanceCode]])="",1,0)</f>
        <v>0</v>
      </c>
      <c r="L33" s="43">
        <f>IF(LEN(FC_import[[#This Row],[Title]])&lt;100,0,1)</f>
        <v>0</v>
      </c>
      <c r="M33" s="43">
        <f>IF(ISBLANK(FC_import[[#This Row],[BalanceToScenario]]),1,0)</f>
        <v>0</v>
      </c>
      <c r="N33" s="43">
        <f>IF(SUBSTITUTE(TEXT(FC_import[[#This Row],[FinanceCode]],10)," ","")=TEXT(FC_import[[#This Row],[FinanceCode]],10),0,1)</f>
        <v>0</v>
      </c>
      <c r="O33" s="43">
        <f t="shared" si="0"/>
        <v>0</v>
      </c>
      <c r="P33" t="s">
        <v>1473</v>
      </c>
      <c r="Q33" t="s">
        <v>1474</v>
      </c>
      <c r="R33" t="s">
        <v>923</v>
      </c>
      <c r="S33" t="s">
        <v>1460</v>
      </c>
      <c r="T33" t="s">
        <v>65</v>
      </c>
      <c r="U33" s="111" t="s">
        <v>1532</v>
      </c>
      <c r="V33" t="b">
        <v>1</v>
      </c>
      <c r="X33" t="b">
        <v>1</v>
      </c>
      <c r="Y33" t="b">
        <v>0</v>
      </c>
      <c r="Z33" t="b">
        <f>FALSE</f>
        <v>0</v>
      </c>
    </row>
    <row r="34" spans="1:26" x14ac:dyDescent="0.3">
      <c r="A34" s="43">
        <f>IF(COUNTIF(LEDGER[LedgerCode],FC_import[[#This Row],[LedgerCode]])&gt;0,0,1)</f>
        <v>0</v>
      </c>
      <c r="B34" s="48">
        <f>IF(COUNTIF(Table_System_Grouping_Codes[groupingCodeCode],FC_import[[#This Row],[GroupingCode]])&gt;0,0,1)</f>
        <v>0</v>
      </c>
      <c r="C34" s="43">
        <f>IF(COUNTIF(CUSTGROUP[CustomGroupingCode],FC_import[[#This Row],[CustomGrouping]])&gt;0,0,1)</f>
        <v>0</v>
      </c>
      <c r="D34" s="43" cm="1">
        <f t="array" ref="D34">IF(FC_import[[#This Row],[AvailableToAllSchools]]=TRUE,0,COUNTA(_xlfn.TEXTSPLIT(FC_import[[#This Row],[SchoolCodes]],",",,TRUE))-SUM(COUNTIF(SCHOOLS[SchoolCode],_xlfn.TEXTSPLIT(FC_import[[#This Row],[SchoolCodes]],",",,TRUE))))</f>
        <v>0</v>
      </c>
      <c r="E34" s="43">
        <f>IF(FC_import[[#This Row],[FinanceCodeTypeCode]]="BUDGET",0,COUNTIF(P:P,P34)-1)</f>
        <v>0</v>
      </c>
      <c r="F34" s="43">
        <f>IF(FC_import[[#This Row],[FinanceCodeTypeCode]]="BUDGET",0,COUNTIF(Q:Q,Q34)-1)</f>
        <v>0</v>
      </c>
      <c r="G34" s="43">
        <f>COUNTIF(Lookup!$A$2:$A$7,R34)-1</f>
        <v>0</v>
      </c>
      <c r="H34" s="43">
        <f>IF(OR(FC_import[[#This Row],[FinanceCodeEnabled]]=TRUE,FC_import[[#This Row],[FinanceCodeEnabled]]=FALSE),0,1)</f>
        <v>0</v>
      </c>
      <c r="I34" s="43">
        <f>IF(LEN(FC_import[[#This Row],[FinanceCode]])&lt;100,0,1)</f>
        <v>0</v>
      </c>
      <c r="J34" s="43">
        <f>IF(TRIM(FC_import[[#This Row],[Title]])="",1,0)</f>
        <v>0</v>
      </c>
      <c r="K34" s="43">
        <f>IF(TRIM(FC_import[[#This Row],[FinanceCode]])="",1,0)</f>
        <v>0</v>
      </c>
      <c r="L34" s="43">
        <f>IF(LEN(FC_import[[#This Row],[Title]])&lt;100,0,1)</f>
        <v>0</v>
      </c>
      <c r="M34" s="43">
        <f>IF(ISBLANK(FC_import[[#This Row],[BalanceToScenario]]),1,0)</f>
        <v>0</v>
      </c>
      <c r="N34" s="43">
        <f>IF(SUBSTITUTE(TEXT(FC_import[[#This Row],[FinanceCode]],10)," ","")=TEXT(FC_import[[#This Row],[FinanceCode]],10),0,1)</f>
        <v>0</v>
      </c>
      <c r="O34" s="43">
        <f>SUM(A34:C34,E34:N34)</f>
        <v>0</v>
      </c>
      <c r="P34" t="s">
        <v>4916</v>
      </c>
      <c r="Q34" t="s">
        <v>4917</v>
      </c>
      <c r="R34" t="s">
        <v>923</v>
      </c>
      <c r="S34" t="s">
        <v>1460</v>
      </c>
      <c r="T34" t="s">
        <v>65</v>
      </c>
      <c r="U34" s="111" t="s">
        <v>1532</v>
      </c>
      <c r="V34" t="b">
        <v>1</v>
      </c>
      <c r="X34" t="b">
        <v>1</v>
      </c>
      <c r="Y34" t="b">
        <v>0</v>
      </c>
      <c r="Z34" t="b">
        <f>FALSE</f>
        <v>0</v>
      </c>
    </row>
    <row r="35" spans="1:26" x14ac:dyDescent="0.3">
      <c r="A35" s="43">
        <f>IF(COUNTIF(LEDGER[LedgerCode],FC_import[[#This Row],[LedgerCode]])&gt;0,0,1)</f>
        <v>0</v>
      </c>
      <c r="B35" s="48">
        <f>IF(COUNTIF(Table_System_Grouping_Codes[groupingCodeCode],FC_import[[#This Row],[GroupingCode]])&gt;0,0,1)</f>
        <v>0</v>
      </c>
      <c r="C35" s="43">
        <f>IF(COUNTIF(CUSTGROUP[CustomGroupingCode],FC_import[[#This Row],[CustomGrouping]])&gt;0,0,1)</f>
        <v>0</v>
      </c>
      <c r="D35" s="43" cm="1">
        <f t="array" ref="D35">IF(FC_import[[#This Row],[AvailableToAllSchools]]=TRUE,0,COUNTA(_xlfn.TEXTSPLIT(FC_import[[#This Row],[SchoolCodes]],",",,TRUE))-SUM(COUNTIF(SCHOOLS[SchoolCode],_xlfn.TEXTSPLIT(FC_import[[#This Row],[SchoolCodes]],",",,TRUE))))</f>
        <v>0</v>
      </c>
      <c r="E35" s="43">
        <f>IF(FC_import[[#This Row],[FinanceCodeTypeCode]]="BUDGET",0,COUNTIF(P:P,P35)-1)</f>
        <v>0</v>
      </c>
      <c r="F35" s="43">
        <f>IF(FC_import[[#This Row],[FinanceCodeTypeCode]]="BUDGET",0,COUNTIF(Q:Q,Q35)-1)</f>
        <v>0</v>
      </c>
      <c r="G35" s="43">
        <f>COUNTIF(Lookup!$A$2:$A$7,R35)-1</f>
        <v>0</v>
      </c>
      <c r="H35" s="43">
        <f>IF(OR(FC_import[[#This Row],[FinanceCodeEnabled]]=TRUE,FC_import[[#This Row],[FinanceCodeEnabled]]=FALSE),0,1)</f>
        <v>0</v>
      </c>
      <c r="I35" s="43">
        <f>IF(LEN(FC_import[[#This Row],[FinanceCode]])&lt;100,0,1)</f>
        <v>0</v>
      </c>
      <c r="J35" s="43">
        <f>IF(TRIM(FC_import[[#This Row],[Title]])="",1,0)</f>
        <v>0</v>
      </c>
      <c r="K35" s="43">
        <f>IF(TRIM(FC_import[[#This Row],[FinanceCode]])="",1,0)</f>
        <v>0</v>
      </c>
      <c r="L35" s="43">
        <f>IF(LEN(FC_import[[#This Row],[Title]])&lt;100,0,1)</f>
        <v>0</v>
      </c>
      <c r="M35" s="43">
        <f>IF(ISBLANK(FC_import[[#This Row],[BalanceToScenario]]),1,0)</f>
        <v>0</v>
      </c>
      <c r="N35" s="43">
        <f>IF(SUBSTITUTE(TEXT(FC_import[[#This Row],[FinanceCode]],10)," ","")=TEXT(FC_import[[#This Row],[FinanceCode]],10),0,1)</f>
        <v>0</v>
      </c>
      <c r="O35" s="43">
        <f t="shared" ref="O35:O67" si="1">SUM(A35:C35,E35:N35)</f>
        <v>0</v>
      </c>
      <c r="P35" t="s">
        <v>1475</v>
      </c>
      <c r="Q35" t="s">
        <v>1476</v>
      </c>
      <c r="R35" t="s">
        <v>923</v>
      </c>
      <c r="S35" t="s">
        <v>1437</v>
      </c>
      <c r="T35" t="s">
        <v>65</v>
      </c>
      <c r="U35" s="111" t="s">
        <v>1532</v>
      </c>
      <c r="V35" t="b">
        <v>1</v>
      </c>
      <c r="X35" t="b">
        <v>1</v>
      </c>
      <c r="Y35" t="b">
        <v>0</v>
      </c>
      <c r="Z35" t="b">
        <f>FALSE</f>
        <v>0</v>
      </c>
    </row>
    <row r="36" spans="1:26" x14ac:dyDescent="0.3">
      <c r="A36" s="43">
        <f>IF(COUNTIF(LEDGER[LedgerCode],FC_import[[#This Row],[LedgerCode]])&gt;0,0,1)</f>
        <v>0</v>
      </c>
      <c r="B36" s="48">
        <f>IF(COUNTIF(Table_System_Grouping_Codes[groupingCodeCode],FC_import[[#This Row],[GroupingCode]])&gt;0,0,1)</f>
        <v>0</v>
      </c>
      <c r="C36" s="43">
        <f>IF(COUNTIF(CUSTGROUP[CustomGroupingCode],FC_import[[#This Row],[CustomGrouping]])&gt;0,0,1)</f>
        <v>0</v>
      </c>
      <c r="D36" s="43" cm="1">
        <f t="array" ref="D36">IF(FC_import[[#This Row],[AvailableToAllSchools]]=TRUE,0,COUNTA(_xlfn.TEXTSPLIT(FC_import[[#This Row],[SchoolCodes]],",",,TRUE))-SUM(COUNTIF(SCHOOLS[SchoolCode],_xlfn.TEXTSPLIT(FC_import[[#This Row],[SchoolCodes]],",",,TRUE))))</f>
        <v>0</v>
      </c>
      <c r="E36" s="43">
        <f>IF(FC_import[[#This Row],[FinanceCodeTypeCode]]="BUDGET",0,COUNTIF(P:P,P36)-1)</f>
        <v>0</v>
      </c>
      <c r="F36" s="43">
        <f>IF(FC_import[[#This Row],[FinanceCodeTypeCode]]="BUDGET",0,COUNTIF(Q:Q,Q36)-1)</f>
        <v>0</v>
      </c>
      <c r="G36" s="43">
        <f>COUNTIF(Lookup!$A$2:$A$7,R36)-1</f>
        <v>0</v>
      </c>
      <c r="H36" s="43">
        <f>IF(OR(FC_import[[#This Row],[FinanceCodeEnabled]]=TRUE,FC_import[[#This Row],[FinanceCodeEnabled]]=FALSE),0,1)</f>
        <v>0</v>
      </c>
      <c r="I36" s="43">
        <f>IF(LEN(FC_import[[#This Row],[FinanceCode]])&lt;100,0,1)</f>
        <v>0</v>
      </c>
      <c r="J36" s="43">
        <f>IF(TRIM(FC_import[[#This Row],[Title]])="",1,0)</f>
        <v>0</v>
      </c>
      <c r="K36" s="43">
        <f>IF(TRIM(FC_import[[#This Row],[FinanceCode]])="",1,0)</f>
        <v>0</v>
      </c>
      <c r="L36" s="43">
        <f>IF(LEN(FC_import[[#This Row],[Title]])&lt;100,0,1)</f>
        <v>0</v>
      </c>
      <c r="M36" s="43">
        <f>IF(ISBLANK(FC_import[[#This Row],[BalanceToScenario]]),1,0)</f>
        <v>0</v>
      </c>
      <c r="N36" s="43">
        <f>IF(SUBSTITUTE(TEXT(FC_import[[#This Row],[FinanceCode]],10)," ","")=TEXT(FC_import[[#This Row],[FinanceCode]],10),0,1)</f>
        <v>0</v>
      </c>
      <c r="O36" s="43">
        <f t="shared" si="1"/>
        <v>0</v>
      </c>
      <c r="P36" t="s">
        <v>938</v>
      </c>
      <c r="Q36" t="s">
        <v>939</v>
      </c>
      <c r="R36" t="s">
        <v>923</v>
      </c>
      <c r="S36" t="s">
        <v>861</v>
      </c>
      <c r="T36" t="s">
        <v>65</v>
      </c>
      <c r="U36" s="111" t="s">
        <v>1532</v>
      </c>
      <c r="V36" t="b">
        <v>1</v>
      </c>
      <c r="X36" t="b">
        <v>1</v>
      </c>
      <c r="Y36" t="b">
        <v>0</v>
      </c>
      <c r="Z36" t="b">
        <f>FALSE</f>
        <v>0</v>
      </c>
    </row>
    <row r="37" spans="1:26" x14ac:dyDescent="0.3">
      <c r="A37" s="43">
        <f>IF(COUNTIF(LEDGER[LedgerCode],FC_import[[#This Row],[LedgerCode]])&gt;0,0,1)</f>
        <v>0</v>
      </c>
      <c r="B37" s="48">
        <f>IF(COUNTIF(Table_System_Grouping_Codes[groupingCodeCode],FC_import[[#This Row],[GroupingCode]])&gt;0,0,1)</f>
        <v>0</v>
      </c>
      <c r="C37" s="43">
        <f>IF(COUNTIF(CUSTGROUP[CustomGroupingCode],FC_import[[#This Row],[CustomGrouping]])&gt;0,0,1)</f>
        <v>0</v>
      </c>
      <c r="D37" s="43" cm="1">
        <f t="array" ref="D37">IF(FC_import[[#This Row],[AvailableToAllSchools]]=TRUE,0,COUNTA(_xlfn.TEXTSPLIT(FC_import[[#This Row],[SchoolCodes]],",",,TRUE))-SUM(COUNTIF(SCHOOLS[SchoolCode],_xlfn.TEXTSPLIT(FC_import[[#This Row],[SchoolCodes]],",",,TRUE))))</f>
        <v>0</v>
      </c>
      <c r="E37" s="43">
        <f>IF(FC_import[[#This Row],[FinanceCodeTypeCode]]="BUDGET",0,COUNTIF(P:P,P37)-1)</f>
        <v>0</v>
      </c>
      <c r="F37" s="43">
        <f>IF(FC_import[[#This Row],[FinanceCodeTypeCode]]="BUDGET",0,COUNTIF(Q:Q,Q37)-1)</f>
        <v>0</v>
      </c>
      <c r="G37" s="43">
        <f>COUNTIF(Lookup!$A$2:$A$7,R37)-1</f>
        <v>0</v>
      </c>
      <c r="H37" s="43">
        <f>IF(OR(FC_import[[#This Row],[FinanceCodeEnabled]]=TRUE,FC_import[[#This Row],[FinanceCodeEnabled]]=FALSE),0,1)</f>
        <v>0</v>
      </c>
      <c r="I37" s="43">
        <f>IF(LEN(FC_import[[#This Row],[FinanceCode]])&lt;100,0,1)</f>
        <v>0</v>
      </c>
      <c r="J37" s="43">
        <f>IF(TRIM(FC_import[[#This Row],[Title]])="",1,0)</f>
        <v>0</v>
      </c>
      <c r="K37" s="43">
        <f>IF(TRIM(FC_import[[#This Row],[FinanceCode]])="",1,0)</f>
        <v>0</v>
      </c>
      <c r="L37" s="43">
        <f>IF(LEN(FC_import[[#This Row],[Title]])&lt;100,0,1)</f>
        <v>0</v>
      </c>
      <c r="M37" s="43">
        <f>IF(ISBLANK(FC_import[[#This Row],[BalanceToScenario]]),1,0)</f>
        <v>0</v>
      </c>
      <c r="N37" s="43">
        <f>IF(SUBSTITUTE(TEXT(FC_import[[#This Row],[FinanceCode]],10)," ","")=TEXT(FC_import[[#This Row],[FinanceCode]],10),0,1)</f>
        <v>0</v>
      </c>
      <c r="O37" s="43">
        <f t="shared" si="1"/>
        <v>0</v>
      </c>
      <c r="P37" t="s">
        <v>942</v>
      </c>
      <c r="Q37" t="s">
        <v>943</v>
      </c>
      <c r="R37" t="s">
        <v>923</v>
      </c>
      <c r="S37" t="s">
        <v>861</v>
      </c>
      <c r="T37" t="s">
        <v>65</v>
      </c>
      <c r="U37" s="111" t="s">
        <v>1532</v>
      </c>
      <c r="V37" t="b">
        <v>1</v>
      </c>
      <c r="X37" t="b">
        <v>1</v>
      </c>
      <c r="Y37" t="b">
        <v>0</v>
      </c>
      <c r="Z37" t="b">
        <f>FALSE</f>
        <v>0</v>
      </c>
    </row>
    <row r="38" spans="1:26" x14ac:dyDescent="0.3">
      <c r="A38" s="43">
        <f>IF(COUNTIF(LEDGER[LedgerCode],FC_import[[#This Row],[LedgerCode]])&gt;0,0,1)</f>
        <v>0</v>
      </c>
      <c r="B38" s="48">
        <f>IF(COUNTIF(Table_System_Grouping_Codes[groupingCodeCode],FC_import[[#This Row],[GroupingCode]])&gt;0,0,1)</f>
        <v>0</v>
      </c>
      <c r="C38" s="43">
        <f>IF(COUNTIF(CUSTGROUP[CustomGroupingCode],FC_import[[#This Row],[CustomGrouping]])&gt;0,0,1)</f>
        <v>0</v>
      </c>
      <c r="D38" s="43" cm="1">
        <f t="array" ref="D38">IF(FC_import[[#This Row],[AvailableToAllSchools]]=TRUE,0,COUNTA(_xlfn.TEXTSPLIT(FC_import[[#This Row],[SchoolCodes]],",",,TRUE))-SUM(COUNTIF(SCHOOLS[SchoolCode],_xlfn.TEXTSPLIT(FC_import[[#This Row],[SchoolCodes]],",",,TRUE))))</f>
        <v>0</v>
      </c>
      <c r="E38" s="43">
        <f>IF(FC_import[[#This Row],[FinanceCodeTypeCode]]="BUDGET",0,COUNTIF(P:P,P38)-1)</f>
        <v>0</v>
      </c>
      <c r="F38" s="43">
        <f>IF(FC_import[[#This Row],[FinanceCodeTypeCode]]="BUDGET",0,COUNTIF(Q:Q,Q38)-1)</f>
        <v>0</v>
      </c>
      <c r="G38" s="43">
        <f>COUNTIF(Lookup!$A$2:$A$7,R38)-1</f>
        <v>0</v>
      </c>
      <c r="H38" s="43">
        <f>IF(OR(FC_import[[#This Row],[FinanceCodeEnabled]]=TRUE,FC_import[[#This Row],[FinanceCodeEnabled]]=FALSE),0,1)</f>
        <v>0</v>
      </c>
      <c r="I38" s="43">
        <f>IF(LEN(FC_import[[#This Row],[FinanceCode]])&lt;100,0,1)</f>
        <v>0</v>
      </c>
      <c r="J38" s="43">
        <f>IF(TRIM(FC_import[[#This Row],[Title]])="",1,0)</f>
        <v>0</v>
      </c>
      <c r="K38" s="43">
        <f>IF(TRIM(FC_import[[#This Row],[FinanceCode]])="",1,0)</f>
        <v>0</v>
      </c>
      <c r="L38" s="43">
        <f>IF(LEN(FC_import[[#This Row],[Title]])&lt;100,0,1)</f>
        <v>0</v>
      </c>
      <c r="M38" s="43">
        <f>IF(ISBLANK(FC_import[[#This Row],[BalanceToScenario]]),1,0)</f>
        <v>0</v>
      </c>
      <c r="N38" s="43">
        <f>IF(SUBSTITUTE(TEXT(FC_import[[#This Row],[FinanceCode]],10)," ","")=TEXT(FC_import[[#This Row],[FinanceCode]],10),0,1)</f>
        <v>0</v>
      </c>
      <c r="O38" s="43">
        <f t="shared" si="1"/>
        <v>0</v>
      </c>
      <c r="P38" t="s">
        <v>940</v>
      </c>
      <c r="Q38" t="s">
        <v>941</v>
      </c>
      <c r="R38" t="s">
        <v>923</v>
      </c>
      <c r="S38" t="s">
        <v>859</v>
      </c>
      <c r="T38" t="s">
        <v>65</v>
      </c>
      <c r="U38" s="111" t="s">
        <v>1532</v>
      </c>
      <c r="V38" t="b">
        <v>1</v>
      </c>
      <c r="X38" t="b">
        <v>1</v>
      </c>
      <c r="Y38" t="b">
        <v>0</v>
      </c>
      <c r="Z38" t="b">
        <f>FALSE</f>
        <v>0</v>
      </c>
    </row>
    <row r="39" spans="1:26" x14ac:dyDescent="0.3">
      <c r="A39" s="43">
        <f>IF(COUNTIF(LEDGER[LedgerCode],FC_import[[#This Row],[LedgerCode]])&gt;0,0,1)</f>
        <v>0</v>
      </c>
      <c r="B39" s="48">
        <f>IF(COUNTIF(Table_System_Grouping_Codes[groupingCodeCode],FC_import[[#This Row],[GroupingCode]])&gt;0,0,1)</f>
        <v>0</v>
      </c>
      <c r="C39" s="43">
        <f>IF(COUNTIF(CUSTGROUP[CustomGroupingCode],FC_import[[#This Row],[CustomGrouping]])&gt;0,0,1)</f>
        <v>0</v>
      </c>
      <c r="D39" s="43" cm="1">
        <f t="array" ref="D39">IF(FC_import[[#This Row],[AvailableToAllSchools]]=TRUE,0,COUNTA(_xlfn.TEXTSPLIT(FC_import[[#This Row],[SchoolCodes]],",",,TRUE))-SUM(COUNTIF(SCHOOLS[SchoolCode],_xlfn.TEXTSPLIT(FC_import[[#This Row],[SchoolCodes]],",",,TRUE))))</f>
        <v>0</v>
      </c>
      <c r="E39" s="43">
        <f>IF(FC_import[[#This Row],[FinanceCodeTypeCode]]="BUDGET",0,COUNTIF(P:P,P39)-1)</f>
        <v>0</v>
      </c>
      <c r="F39" s="43">
        <f>IF(FC_import[[#This Row],[FinanceCodeTypeCode]]="BUDGET",0,COUNTIF(Q:Q,Q39)-1)</f>
        <v>0</v>
      </c>
      <c r="G39" s="43">
        <f>COUNTIF(Lookup!$A$2:$A$7,R39)-1</f>
        <v>0</v>
      </c>
      <c r="H39" s="43">
        <f>IF(OR(FC_import[[#This Row],[FinanceCodeEnabled]]=TRUE,FC_import[[#This Row],[FinanceCodeEnabled]]=FALSE),0,1)</f>
        <v>0</v>
      </c>
      <c r="I39" s="43">
        <f>IF(LEN(FC_import[[#This Row],[FinanceCode]])&lt;100,0,1)</f>
        <v>0</v>
      </c>
      <c r="J39" s="43">
        <f>IF(TRIM(FC_import[[#This Row],[Title]])="",1,0)</f>
        <v>0</v>
      </c>
      <c r="K39" s="43">
        <f>IF(TRIM(FC_import[[#This Row],[FinanceCode]])="",1,0)</f>
        <v>0</v>
      </c>
      <c r="L39" s="43">
        <f>IF(LEN(FC_import[[#This Row],[Title]])&lt;100,0,1)</f>
        <v>0</v>
      </c>
      <c r="M39" s="43">
        <f>IF(ISBLANK(FC_import[[#This Row],[BalanceToScenario]]),1,0)</f>
        <v>0</v>
      </c>
      <c r="N39" s="43">
        <f>IF(SUBSTITUTE(TEXT(FC_import[[#This Row],[FinanceCode]],10)," ","")=TEXT(FC_import[[#This Row],[FinanceCode]],10),0,1)</f>
        <v>0</v>
      </c>
      <c r="O39" s="43">
        <f t="shared" si="1"/>
        <v>0</v>
      </c>
      <c r="P39" t="s">
        <v>944</v>
      </c>
      <c r="Q39" t="s">
        <v>945</v>
      </c>
      <c r="R39" t="s">
        <v>923</v>
      </c>
      <c r="S39" t="s">
        <v>861</v>
      </c>
      <c r="T39" t="s">
        <v>65</v>
      </c>
      <c r="U39" s="111" t="s">
        <v>1532</v>
      </c>
      <c r="V39" t="b">
        <v>1</v>
      </c>
      <c r="X39" t="b">
        <v>1</v>
      </c>
      <c r="Y39" t="b">
        <v>0</v>
      </c>
      <c r="Z39" t="b">
        <f>FALSE</f>
        <v>0</v>
      </c>
    </row>
    <row r="40" spans="1:26" x14ac:dyDescent="0.3">
      <c r="A40" s="43">
        <f>IF(COUNTIF(LEDGER[LedgerCode],FC_import[[#This Row],[LedgerCode]])&gt;0,0,1)</f>
        <v>0</v>
      </c>
      <c r="B40" s="48">
        <f>IF(COUNTIF(Table_System_Grouping_Codes[groupingCodeCode],FC_import[[#This Row],[GroupingCode]])&gt;0,0,1)</f>
        <v>0</v>
      </c>
      <c r="C40" s="43">
        <f>IF(COUNTIF(CUSTGROUP[CustomGroupingCode],FC_import[[#This Row],[CustomGrouping]])&gt;0,0,1)</f>
        <v>0</v>
      </c>
      <c r="D40" s="43" cm="1">
        <f t="array" ref="D40">IF(FC_import[[#This Row],[AvailableToAllSchools]]=TRUE,0,COUNTA(_xlfn.TEXTSPLIT(FC_import[[#This Row],[SchoolCodes]],",",,TRUE))-SUM(COUNTIF(SCHOOLS[SchoolCode],_xlfn.TEXTSPLIT(FC_import[[#This Row],[SchoolCodes]],",",,TRUE))))</f>
        <v>0</v>
      </c>
      <c r="E40" s="43">
        <f>IF(FC_import[[#This Row],[FinanceCodeTypeCode]]="BUDGET",0,COUNTIF(P:P,P40)-1)</f>
        <v>0</v>
      </c>
      <c r="F40" s="43">
        <f>IF(FC_import[[#This Row],[FinanceCodeTypeCode]]="BUDGET",0,COUNTIF(Q:Q,Q40)-1)</f>
        <v>0</v>
      </c>
      <c r="G40" s="43">
        <f>COUNTIF(Lookup!$A$2:$A$7,R40)-1</f>
        <v>0</v>
      </c>
      <c r="H40" s="43">
        <f>IF(OR(FC_import[[#This Row],[FinanceCodeEnabled]]=TRUE,FC_import[[#This Row],[FinanceCodeEnabled]]=FALSE),0,1)</f>
        <v>0</v>
      </c>
      <c r="I40" s="43">
        <f>IF(LEN(FC_import[[#This Row],[FinanceCode]])&lt;100,0,1)</f>
        <v>0</v>
      </c>
      <c r="J40" s="43">
        <f>IF(TRIM(FC_import[[#This Row],[Title]])="",1,0)</f>
        <v>0</v>
      </c>
      <c r="K40" s="43">
        <f>IF(TRIM(FC_import[[#This Row],[FinanceCode]])="",1,0)</f>
        <v>0</v>
      </c>
      <c r="L40" s="43">
        <f>IF(LEN(FC_import[[#This Row],[Title]])&lt;100,0,1)</f>
        <v>0</v>
      </c>
      <c r="M40" s="43">
        <f>IF(ISBLANK(FC_import[[#This Row],[BalanceToScenario]]),1,0)</f>
        <v>0</v>
      </c>
      <c r="N40" s="43">
        <f>IF(SUBSTITUTE(TEXT(FC_import[[#This Row],[FinanceCode]],10)," ","")=TEXT(FC_import[[#This Row],[FinanceCode]],10),0,1)</f>
        <v>0</v>
      </c>
      <c r="O40" s="43">
        <f t="shared" si="1"/>
        <v>0</v>
      </c>
      <c r="P40" t="s">
        <v>946</v>
      </c>
      <c r="Q40" t="s">
        <v>947</v>
      </c>
      <c r="R40" t="s">
        <v>923</v>
      </c>
      <c r="S40" t="s">
        <v>861</v>
      </c>
      <c r="T40" t="s">
        <v>65</v>
      </c>
      <c r="U40" s="111" t="s">
        <v>1532</v>
      </c>
      <c r="V40" t="b">
        <v>1</v>
      </c>
      <c r="X40" t="b">
        <v>1</v>
      </c>
      <c r="Y40" t="b">
        <v>0</v>
      </c>
      <c r="Z40" t="b">
        <f>FALSE</f>
        <v>0</v>
      </c>
    </row>
    <row r="41" spans="1:26" x14ac:dyDescent="0.3">
      <c r="A41" s="43">
        <f>IF(COUNTIF(LEDGER[LedgerCode],FC_import[[#This Row],[LedgerCode]])&gt;0,0,1)</f>
        <v>0</v>
      </c>
      <c r="B41" s="48">
        <f>IF(COUNTIF(Table_System_Grouping_Codes[groupingCodeCode],FC_import[[#This Row],[GroupingCode]])&gt;0,0,1)</f>
        <v>0</v>
      </c>
      <c r="C41" s="43">
        <f>IF(COUNTIF(CUSTGROUP[CustomGroupingCode],FC_import[[#This Row],[CustomGrouping]])&gt;0,0,1)</f>
        <v>0</v>
      </c>
      <c r="D41" s="43" cm="1">
        <f t="array" ref="D41">IF(FC_import[[#This Row],[AvailableToAllSchools]]=TRUE,0,COUNTA(_xlfn.TEXTSPLIT(FC_import[[#This Row],[SchoolCodes]],",",,TRUE))-SUM(COUNTIF(SCHOOLS[SchoolCode],_xlfn.TEXTSPLIT(FC_import[[#This Row],[SchoolCodes]],",",,TRUE))))</f>
        <v>0</v>
      </c>
      <c r="E41" s="43">
        <f>IF(FC_import[[#This Row],[FinanceCodeTypeCode]]="BUDGET",0,COUNTIF(P:P,P41)-1)</f>
        <v>0</v>
      </c>
      <c r="F41" s="43">
        <f>IF(FC_import[[#This Row],[FinanceCodeTypeCode]]="BUDGET",0,COUNTIF(Q:Q,Q41)-1)</f>
        <v>0</v>
      </c>
      <c r="G41" s="43">
        <f>COUNTIF(Lookup!$A$2:$A$7,R41)-1</f>
        <v>0</v>
      </c>
      <c r="H41" s="43">
        <f>IF(OR(FC_import[[#This Row],[FinanceCodeEnabled]]=TRUE,FC_import[[#This Row],[FinanceCodeEnabled]]=FALSE),0,1)</f>
        <v>0</v>
      </c>
      <c r="I41" s="43">
        <f>IF(LEN(FC_import[[#This Row],[FinanceCode]])&lt;100,0,1)</f>
        <v>0</v>
      </c>
      <c r="J41" s="43">
        <f>IF(TRIM(FC_import[[#This Row],[Title]])="",1,0)</f>
        <v>0</v>
      </c>
      <c r="K41" s="43">
        <f>IF(TRIM(FC_import[[#This Row],[FinanceCode]])="",1,0)</f>
        <v>0</v>
      </c>
      <c r="L41" s="43">
        <f>IF(LEN(FC_import[[#This Row],[Title]])&lt;100,0,1)</f>
        <v>0</v>
      </c>
      <c r="M41" s="43">
        <f>IF(ISBLANK(FC_import[[#This Row],[BalanceToScenario]]),1,0)</f>
        <v>0</v>
      </c>
      <c r="N41" s="43">
        <f>IF(SUBSTITUTE(TEXT(FC_import[[#This Row],[FinanceCode]],10)," ","")=TEXT(FC_import[[#This Row],[FinanceCode]],10),0,1)</f>
        <v>0</v>
      </c>
      <c r="O41" s="43">
        <f t="shared" si="1"/>
        <v>0</v>
      </c>
      <c r="P41" t="s">
        <v>948</v>
      </c>
      <c r="Q41" t="s">
        <v>949</v>
      </c>
      <c r="R41" t="s">
        <v>923</v>
      </c>
      <c r="S41" t="s">
        <v>861</v>
      </c>
      <c r="T41" t="s">
        <v>65</v>
      </c>
      <c r="U41" s="111" t="s">
        <v>1532</v>
      </c>
      <c r="V41" t="b">
        <v>1</v>
      </c>
      <c r="X41" t="b">
        <v>1</v>
      </c>
      <c r="Y41" t="b">
        <v>0</v>
      </c>
      <c r="Z41" t="b">
        <f>FALSE</f>
        <v>0</v>
      </c>
    </row>
    <row r="42" spans="1:26" x14ac:dyDescent="0.3">
      <c r="A42" s="43">
        <f>IF(COUNTIF(LEDGER[LedgerCode],FC_import[[#This Row],[LedgerCode]])&gt;0,0,1)</f>
        <v>0</v>
      </c>
      <c r="B42" s="48">
        <f>IF(COUNTIF(Table_System_Grouping_Codes[groupingCodeCode],FC_import[[#This Row],[GroupingCode]])&gt;0,0,1)</f>
        <v>0</v>
      </c>
      <c r="C42" s="43">
        <f>IF(COUNTIF(CUSTGROUP[CustomGroupingCode],FC_import[[#This Row],[CustomGrouping]])&gt;0,0,1)</f>
        <v>0</v>
      </c>
      <c r="D42" s="43" cm="1">
        <f t="array" ref="D42">IF(FC_import[[#This Row],[AvailableToAllSchools]]=TRUE,0,COUNTA(_xlfn.TEXTSPLIT(FC_import[[#This Row],[SchoolCodes]],",",,TRUE))-SUM(COUNTIF(SCHOOLS[SchoolCode],_xlfn.TEXTSPLIT(FC_import[[#This Row],[SchoolCodes]],",",,TRUE))))</f>
        <v>0</v>
      </c>
      <c r="E42" s="43">
        <f>IF(FC_import[[#This Row],[FinanceCodeTypeCode]]="BUDGET",0,COUNTIF(P:P,P42)-1)</f>
        <v>0</v>
      </c>
      <c r="F42" s="43">
        <f>IF(FC_import[[#This Row],[FinanceCodeTypeCode]]="BUDGET",0,COUNTIF(Q:Q,Q42)-1)</f>
        <v>0</v>
      </c>
      <c r="G42" s="43">
        <f>COUNTIF(Lookup!$A$2:$A$7,R42)-1</f>
        <v>0</v>
      </c>
      <c r="H42" s="43">
        <f>IF(OR(FC_import[[#This Row],[FinanceCodeEnabled]]=TRUE,FC_import[[#This Row],[FinanceCodeEnabled]]=FALSE),0,1)</f>
        <v>0</v>
      </c>
      <c r="I42" s="43">
        <f>IF(LEN(FC_import[[#This Row],[FinanceCode]])&lt;100,0,1)</f>
        <v>0</v>
      </c>
      <c r="J42" s="43">
        <f>IF(TRIM(FC_import[[#This Row],[Title]])="",1,0)</f>
        <v>0</v>
      </c>
      <c r="K42" s="43">
        <f>IF(TRIM(FC_import[[#This Row],[FinanceCode]])="",1,0)</f>
        <v>0</v>
      </c>
      <c r="L42" s="43">
        <f>IF(LEN(FC_import[[#This Row],[Title]])&lt;100,0,1)</f>
        <v>0</v>
      </c>
      <c r="M42" s="43">
        <f>IF(ISBLANK(FC_import[[#This Row],[BalanceToScenario]]),1,0)</f>
        <v>0</v>
      </c>
      <c r="N42" s="43">
        <f>IF(SUBSTITUTE(TEXT(FC_import[[#This Row],[FinanceCode]],10)," ","")=TEXT(FC_import[[#This Row],[FinanceCode]],10),0,1)</f>
        <v>0</v>
      </c>
      <c r="O42" s="43">
        <f t="shared" si="1"/>
        <v>0</v>
      </c>
      <c r="P42" t="s">
        <v>950</v>
      </c>
      <c r="Q42" t="s">
        <v>951</v>
      </c>
      <c r="R42" t="s">
        <v>923</v>
      </c>
      <c r="S42" t="s">
        <v>861</v>
      </c>
      <c r="T42" t="s">
        <v>65</v>
      </c>
      <c r="U42" s="111" t="s">
        <v>1532</v>
      </c>
      <c r="V42" t="b">
        <v>1</v>
      </c>
      <c r="X42" t="b">
        <v>1</v>
      </c>
      <c r="Y42" t="b">
        <v>0</v>
      </c>
      <c r="Z42" t="b">
        <f>FALSE</f>
        <v>0</v>
      </c>
    </row>
    <row r="43" spans="1:26" x14ac:dyDescent="0.3">
      <c r="A43" s="43">
        <f>IF(COUNTIF(LEDGER[LedgerCode],FC_import[[#This Row],[LedgerCode]])&gt;0,0,1)</f>
        <v>0</v>
      </c>
      <c r="B43" s="48">
        <f>IF(COUNTIF(Table_System_Grouping_Codes[groupingCodeCode],FC_import[[#This Row],[GroupingCode]])&gt;0,0,1)</f>
        <v>0</v>
      </c>
      <c r="C43" s="43">
        <f>IF(COUNTIF(CUSTGROUP[CustomGroupingCode],FC_import[[#This Row],[CustomGrouping]])&gt;0,0,1)</f>
        <v>0</v>
      </c>
      <c r="D43" s="43" cm="1">
        <f t="array" ref="D43">IF(FC_import[[#This Row],[AvailableToAllSchools]]=TRUE,0,COUNTA(_xlfn.TEXTSPLIT(FC_import[[#This Row],[SchoolCodes]],",",,TRUE))-SUM(COUNTIF(SCHOOLS[SchoolCode],_xlfn.TEXTSPLIT(FC_import[[#This Row],[SchoolCodes]],",",,TRUE))))</f>
        <v>0</v>
      </c>
      <c r="E43" s="43">
        <f>IF(FC_import[[#This Row],[FinanceCodeTypeCode]]="BUDGET",0,COUNTIF(P:P,P43)-1)</f>
        <v>0</v>
      </c>
      <c r="F43" s="43">
        <f>IF(FC_import[[#This Row],[FinanceCodeTypeCode]]="BUDGET",0,COUNTIF(Q:Q,Q43)-1)</f>
        <v>0</v>
      </c>
      <c r="G43" s="43">
        <f>COUNTIF(Lookup!$A$2:$A$7,R43)-1</f>
        <v>0</v>
      </c>
      <c r="H43" s="43">
        <f>IF(OR(FC_import[[#This Row],[FinanceCodeEnabled]]=TRUE,FC_import[[#This Row],[FinanceCodeEnabled]]=FALSE),0,1)</f>
        <v>0</v>
      </c>
      <c r="I43" s="43">
        <f>IF(LEN(FC_import[[#This Row],[FinanceCode]])&lt;100,0,1)</f>
        <v>0</v>
      </c>
      <c r="J43" s="43">
        <f>IF(TRIM(FC_import[[#This Row],[Title]])="",1,0)</f>
        <v>0</v>
      </c>
      <c r="K43" s="43">
        <f>IF(TRIM(FC_import[[#This Row],[FinanceCode]])="",1,0)</f>
        <v>0</v>
      </c>
      <c r="L43" s="43">
        <f>IF(LEN(FC_import[[#This Row],[Title]])&lt;100,0,1)</f>
        <v>0</v>
      </c>
      <c r="M43" s="43">
        <f>IF(ISBLANK(FC_import[[#This Row],[BalanceToScenario]]),1,0)</f>
        <v>0</v>
      </c>
      <c r="N43" s="43">
        <f>IF(SUBSTITUTE(TEXT(FC_import[[#This Row],[FinanceCode]],10)," ","")=TEXT(FC_import[[#This Row],[FinanceCode]],10),0,1)</f>
        <v>0</v>
      </c>
      <c r="O43" s="43">
        <f t="shared" si="1"/>
        <v>0</v>
      </c>
      <c r="P43" t="s">
        <v>952</v>
      </c>
      <c r="Q43" t="s">
        <v>953</v>
      </c>
      <c r="R43" t="s">
        <v>923</v>
      </c>
      <c r="S43" t="s">
        <v>861</v>
      </c>
      <c r="T43" t="s">
        <v>65</v>
      </c>
      <c r="U43" s="111" t="s">
        <v>1532</v>
      </c>
      <c r="V43" t="b">
        <v>1</v>
      </c>
      <c r="X43" t="b">
        <v>1</v>
      </c>
      <c r="Y43" t="b">
        <v>0</v>
      </c>
      <c r="Z43" t="b">
        <f>FALSE</f>
        <v>0</v>
      </c>
    </row>
    <row r="44" spans="1:26" x14ac:dyDescent="0.3">
      <c r="A44" s="43">
        <f>IF(COUNTIF(LEDGER[LedgerCode],FC_import[[#This Row],[LedgerCode]])&gt;0,0,1)</f>
        <v>0</v>
      </c>
      <c r="B44" s="48">
        <f>IF(COUNTIF(Table_System_Grouping_Codes[groupingCodeCode],FC_import[[#This Row],[GroupingCode]])&gt;0,0,1)</f>
        <v>0</v>
      </c>
      <c r="C44" s="43">
        <f>IF(COUNTIF(CUSTGROUP[CustomGroupingCode],FC_import[[#This Row],[CustomGrouping]])&gt;0,0,1)</f>
        <v>0</v>
      </c>
      <c r="D44" s="43" cm="1">
        <f t="array" ref="D44">IF(FC_import[[#This Row],[AvailableToAllSchools]]=TRUE,0,COUNTA(_xlfn.TEXTSPLIT(FC_import[[#This Row],[SchoolCodes]],",",,TRUE))-SUM(COUNTIF(SCHOOLS[SchoolCode],_xlfn.TEXTSPLIT(FC_import[[#This Row],[SchoolCodes]],",",,TRUE))))</f>
        <v>0</v>
      </c>
      <c r="E44" s="43">
        <f>IF(FC_import[[#This Row],[FinanceCodeTypeCode]]="BUDGET",0,COUNTIF(P:P,P44)-1)</f>
        <v>0</v>
      </c>
      <c r="F44" s="43">
        <f>IF(FC_import[[#This Row],[FinanceCodeTypeCode]]="BUDGET",0,COUNTIF(Q:Q,Q44)-1)</f>
        <v>0</v>
      </c>
      <c r="G44" s="43">
        <f>COUNTIF(Lookup!$A$2:$A$7,R44)-1</f>
        <v>0</v>
      </c>
      <c r="H44" s="43">
        <f>IF(OR(FC_import[[#This Row],[FinanceCodeEnabled]]=TRUE,FC_import[[#This Row],[FinanceCodeEnabled]]=FALSE),0,1)</f>
        <v>0</v>
      </c>
      <c r="I44" s="43">
        <f>IF(LEN(FC_import[[#This Row],[FinanceCode]])&lt;100,0,1)</f>
        <v>0</v>
      </c>
      <c r="J44" s="43">
        <f>IF(TRIM(FC_import[[#This Row],[Title]])="",1,0)</f>
        <v>0</v>
      </c>
      <c r="K44" s="43">
        <f>IF(TRIM(FC_import[[#This Row],[FinanceCode]])="",1,0)</f>
        <v>0</v>
      </c>
      <c r="L44" s="43">
        <f>IF(LEN(FC_import[[#This Row],[Title]])&lt;100,0,1)</f>
        <v>0</v>
      </c>
      <c r="M44" s="43">
        <f>IF(ISBLANK(FC_import[[#This Row],[BalanceToScenario]]),1,0)</f>
        <v>0</v>
      </c>
      <c r="N44" s="43">
        <f>IF(SUBSTITUTE(TEXT(FC_import[[#This Row],[FinanceCode]],10)," ","")=TEXT(FC_import[[#This Row],[FinanceCode]],10),0,1)</f>
        <v>0</v>
      </c>
      <c r="O44" s="43">
        <f t="shared" si="1"/>
        <v>0</v>
      </c>
      <c r="P44" t="s">
        <v>954</v>
      </c>
      <c r="Q44" t="s">
        <v>955</v>
      </c>
      <c r="R44" t="s">
        <v>923</v>
      </c>
      <c r="S44" t="s">
        <v>861</v>
      </c>
      <c r="T44" t="s">
        <v>65</v>
      </c>
      <c r="U44" s="111" t="s">
        <v>1532</v>
      </c>
      <c r="V44" t="b">
        <v>1</v>
      </c>
      <c r="X44" t="b">
        <v>1</v>
      </c>
      <c r="Y44" t="b">
        <v>0</v>
      </c>
      <c r="Z44" t="b">
        <f>FALSE</f>
        <v>0</v>
      </c>
    </row>
    <row r="45" spans="1:26" x14ac:dyDescent="0.3">
      <c r="A45" s="43">
        <f>IF(COUNTIF(LEDGER[LedgerCode],FC_import[[#This Row],[LedgerCode]])&gt;0,0,1)</f>
        <v>0</v>
      </c>
      <c r="B45" s="48">
        <f>IF(COUNTIF(Table_System_Grouping_Codes[groupingCodeCode],FC_import[[#This Row],[GroupingCode]])&gt;0,0,1)</f>
        <v>0</v>
      </c>
      <c r="C45" s="43">
        <f>IF(COUNTIF(CUSTGROUP[CustomGroupingCode],FC_import[[#This Row],[CustomGrouping]])&gt;0,0,1)</f>
        <v>0</v>
      </c>
      <c r="D45" s="43" cm="1">
        <f t="array" ref="D45">IF(FC_import[[#This Row],[AvailableToAllSchools]]=TRUE,0,COUNTA(_xlfn.TEXTSPLIT(FC_import[[#This Row],[SchoolCodes]],",",,TRUE))-SUM(COUNTIF(SCHOOLS[SchoolCode],_xlfn.TEXTSPLIT(FC_import[[#This Row],[SchoolCodes]],",",,TRUE))))</f>
        <v>0</v>
      </c>
      <c r="E45" s="43">
        <f>IF(FC_import[[#This Row],[FinanceCodeTypeCode]]="BUDGET",0,COUNTIF(P:P,P45)-1)</f>
        <v>0</v>
      </c>
      <c r="F45" s="43">
        <f>IF(FC_import[[#This Row],[FinanceCodeTypeCode]]="BUDGET",0,COUNTIF(Q:Q,Q45)-1)</f>
        <v>0</v>
      </c>
      <c r="G45" s="43">
        <f>COUNTIF(Lookup!$A$2:$A$7,R45)-1</f>
        <v>0</v>
      </c>
      <c r="H45" s="43">
        <f>IF(OR(FC_import[[#This Row],[FinanceCodeEnabled]]=TRUE,FC_import[[#This Row],[FinanceCodeEnabled]]=FALSE),0,1)</f>
        <v>0</v>
      </c>
      <c r="I45" s="43">
        <f>IF(LEN(FC_import[[#This Row],[FinanceCode]])&lt;100,0,1)</f>
        <v>0</v>
      </c>
      <c r="J45" s="43">
        <f>IF(TRIM(FC_import[[#This Row],[Title]])="",1,0)</f>
        <v>0</v>
      </c>
      <c r="K45" s="43">
        <f>IF(TRIM(FC_import[[#This Row],[FinanceCode]])="",1,0)</f>
        <v>0</v>
      </c>
      <c r="L45" s="43">
        <f>IF(LEN(FC_import[[#This Row],[Title]])&lt;100,0,1)</f>
        <v>0</v>
      </c>
      <c r="M45" s="43">
        <f>IF(ISBLANK(FC_import[[#This Row],[BalanceToScenario]]),1,0)</f>
        <v>0</v>
      </c>
      <c r="N45" s="43">
        <f>IF(SUBSTITUTE(TEXT(FC_import[[#This Row],[FinanceCode]],10)," ","")=TEXT(FC_import[[#This Row],[FinanceCode]],10),0,1)</f>
        <v>0</v>
      </c>
      <c r="O45" s="43">
        <f t="shared" si="1"/>
        <v>0</v>
      </c>
      <c r="P45" t="s">
        <v>956</v>
      </c>
      <c r="Q45" t="s">
        <v>860</v>
      </c>
      <c r="R45" t="s">
        <v>923</v>
      </c>
      <c r="S45" t="s">
        <v>859</v>
      </c>
      <c r="T45" t="s">
        <v>65</v>
      </c>
      <c r="U45" s="111" t="s">
        <v>1532</v>
      </c>
      <c r="V45" t="b">
        <v>1</v>
      </c>
      <c r="X45" t="b">
        <v>1</v>
      </c>
      <c r="Y45" t="b">
        <v>0</v>
      </c>
      <c r="Z45" t="b">
        <f>FALSE</f>
        <v>0</v>
      </c>
    </row>
    <row r="46" spans="1:26" x14ac:dyDescent="0.3">
      <c r="A46" s="43">
        <f>IF(COUNTIF(LEDGER[LedgerCode],FC_import[[#This Row],[LedgerCode]])&gt;0,0,1)</f>
        <v>0</v>
      </c>
      <c r="B46" s="48">
        <f>IF(COUNTIF(Table_System_Grouping_Codes[groupingCodeCode],FC_import[[#This Row],[GroupingCode]])&gt;0,0,1)</f>
        <v>0</v>
      </c>
      <c r="C46" s="43">
        <f>IF(COUNTIF(CUSTGROUP[CustomGroupingCode],FC_import[[#This Row],[CustomGrouping]])&gt;0,0,1)</f>
        <v>0</v>
      </c>
      <c r="D46" s="43" cm="1">
        <f t="array" ref="D46">IF(FC_import[[#This Row],[AvailableToAllSchools]]=TRUE,0,COUNTA(_xlfn.TEXTSPLIT(FC_import[[#This Row],[SchoolCodes]],",",,TRUE))-SUM(COUNTIF(SCHOOLS[SchoolCode],_xlfn.TEXTSPLIT(FC_import[[#This Row],[SchoolCodes]],",",,TRUE))))</f>
        <v>0</v>
      </c>
      <c r="E46" s="43">
        <f>IF(FC_import[[#This Row],[FinanceCodeTypeCode]]="BUDGET",0,COUNTIF(P:P,P46)-1)</f>
        <v>0</v>
      </c>
      <c r="F46" s="43">
        <f>IF(FC_import[[#This Row],[FinanceCodeTypeCode]]="BUDGET",0,COUNTIF(Q:Q,Q46)-1)</f>
        <v>0</v>
      </c>
      <c r="G46" s="43">
        <f>COUNTIF(Lookup!$A$2:$A$7,R46)-1</f>
        <v>0</v>
      </c>
      <c r="H46" s="43">
        <f>IF(OR(FC_import[[#This Row],[FinanceCodeEnabled]]=TRUE,FC_import[[#This Row],[FinanceCodeEnabled]]=FALSE),0,1)</f>
        <v>0</v>
      </c>
      <c r="I46" s="43">
        <f>IF(LEN(FC_import[[#This Row],[FinanceCode]])&lt;100,0,1)</f>
        <v>0</v>
      </c>
      <c r="J46" s="43">
        <f>IF(TRIM(FC_import[[#This Row],[Title]])="",1,0)</f>
        <v>0</v>
      </c>
      <c r="K46" s="43">
        <f>IF(TRIM(FC_import[[#This Row],[FinanceCode]])="",1,0)</f>
        <v>0</v>
      </c>
      <c r="L46" s="43">
        <f>IF(LEN(FC_import[[#This Row],[Title]])&lt;100,0,1)</f>
        <v>0</v>
      </c>
      <c r="M46" s="43">
        <f>IF(ISBLANK(FC_import[[#This Row],[BalanceToScenario]]),1,0)</f>
        <v>0</v>
      </c>
      <c r="N46" s="43">
        <f>IF(SUBSTITUTE(TEXT(FC_import[[#This Row],[FinanceCode]],10)," ","")=TEXT(FC_import[[#This Row],[FinanceCode]],10),0,1)</f>
        <v>0</v>
      </c>
      <c r="O46" s="43">
        <f>SUM(A46:C46,E46:N46)</f>
        <v>0</v>
      </c>
      <c r="P46" t="s">
        <v>4914</v>
      </c>
      <c r="Q46" t="s">
        <v>4918</v>
      </c>
      <c r="R46" t="s">
        <v>923</v>
      </c>
      <c r="S46" t="s">
        <v>859</v>
      </c>
      <c r="T46" t="s">
        <v>65</v>
      </c>
      <c r="U46" s="111" t="s">
        <v>1532</v>
      </c>
      <c r="V46" t="b">
        <v>1</v>
      </c>
      <c r="X46" t="b">
        <v>1</v>
      </c>
      <c r="Y46" t="b">
        <v>0</v>
      </c>
      <c r="Z46" t="b">
        <f>FALSE</f>
        <v>0</v>
      </c>
    </row>
    <row r="47" spans="1:26" x14ac:dyDescent="0.3">
      <c r="A47" s="43">
        <f>IF(COUNTIF(LEDGER[LedgerCode],FC_import[[#This Row],[LedgerCode]])&gt;0,0,1)</f>
        <v>0</v>
      </c>
      <c r="B47" s="48">
        <f>IF(COUNTIF(Table_System_Grouping_Codes[groupingCodeCode],FC_import[[#This Row],[GroupingCode]])&gt;0,0,1)</f>
        <v>0</v>
      </c>
      <c r="C47" s="43">
        <f>IF(COUNTIF(CUSTGROUP[CustomGroupingCode],FC_import[[#This Row],[CustomGrouping]])&gt;0,0,1)</f>
        <v>0</v>
      </c>
      <c r="D47" s="43" cm="1">
        <f t="array" ref="D47">IF(FC_import[[#This Row],[AvailableToAllSchools]]=TRUE,0,COUNTA(_xlfn.TEXTSPLIT(FC_import[[#This Row],[SchoolCodes]],",",,TRUE))-SUM(COUNTIF(SCHOOLS[SchoolCode],_xlfn.TEXTSPLIT(FC_import[[#This Row],[SchoolCodes]],",",,TRUE))))</f>
        <v>0</v>
      </c>
      <c r="E47" s="43">
        <f>IF(FC_import[[#This Row],[FinanceCodeTypeCode]]="BUDGET",0,COUNTIF(P:P,P47)-1)</f>
        <v>0</v>
      </c>
      <c r="F47" s="43">
        <f>IF(FC_import[[#This Row],[FinanceCodeTypeCode]]="BUDGET",0,COUNTIF(Q:Q,Q47)-1)</f>
        <v>0</v>
      </c>
      <c r="G47" s="43">
        <f>COUNTIF(Lookup!$A$2:$A$7,R47)-1</f>
        <v>0</v>
      </c>
      <c r="H47" s="43">
        <f>IF(OR(FC_import[[#This Row],[FinanceCodeEnabled]]=TRUE,FC_import[[#This Row],[FinanceCodeEnabled]]=FALSE),0,1)</f>
        <v>0</v>
      </c>
      <c r="I47" s="43">
        <f>IF(LEN(FC_import[[#This Row],[FinanceCode]])&lt;100,0,1)</f>
        <v>0</v>
      </c>
      <c r="J47" s="43">
        <f>IF(TRIM(FC_import[[#This Row],[Title]])="",1,0)</f>
        <v>0</v>
      </c>
      <c r="K47" s="43">
        <f>IF(TRIM(FC_import[[#This Row],[FinanceCode]])="",1,0)</f>
        <v>0</v>
      </c>
      <c r="L47" s="43">
        <f>IF(LEN(FC_import[[#This Row],[Title]])&lt;100,0,1)</f>
        <v>0</v>
      </c>
      <c r="M47" s="43">
        <f>IF(ISBLANK(FC_import[[#This Row],[BalanceToScenario]]),1,0)</f>
        <v>0</v>
      </c>
      <c r="N47" s="43">
        <f>IF(SUBSTITUTE(TEXT(FC_import[[#This Row],[FinanceCode]],10)," ","")=TEXT(FC_import[[#This Row],[FinanceCode]],10),0,1)</f>
        <v>0</v>
      </c>
      <c r="O47" s="43">
        <f t="shared" si="1"/>
        <v>0</v>
      </c>
      <c r="P47" t="s">
        <v>957</v>
      </c>
      <c r="Q47" t="s">
        <v>958</v>
      </c>
      <c r="R47" t="s">
        <v>923</v>
      </c>
      <c r="S47" t="s">
        <v>861</v>
      </c>
      <c r="T47" t="s">
        <v>65</v>
      </c>
      <c r="U47" s="111" t="s">
        <v>1532</v>
      </c>
      <c r="V47" t="b">
        <v>1</v>
      </c>
      <c r="X47" t="b">
        <v>1</v>
      </c>
      <c r="Y47" t="b">
        <v>0</v>
      </c>
      <c r="Z47" t="b">
        <f>FALSE</f>
        <v>0</v>
      </c>
    </row>
    <row r="48" spans="1:26" x14ac:dyDescent="0.3">
      <c r="A48" s="43">
        <f>IF(COUNTIF(LEDGER[LedgerCode],FC_import[[#This Row],[LedgerCode]])&gt;0,0,1)</f>
        <v>0</v>
      </c>
      <c r="B48" s="48">
        <f>IF(COUNTIF(Table_System_Grouping_Codes[groupingCodeCode],FC_import[[#This Row],[GroupingCode]])&gt;0,0,1)</f>
        <v>0</v>
      </c>
      <c r="C48" s="43">
        <f>IF(COUNTIF(CUSTGROUP[CustomGroupingCode],FC_import[[#This Row],[CustomGrouping]])&gt;0,0,1)</f>
        <v>0</v>
      </c>
      <c r="D48" s="43" cm="1">
        <f t="array" ref="D48">IF(FC_import[[#This Row],[AvailableToAllSchools]]=TRUE,0,COUNTA(_xlfn.TEXTSPLIT(FC_import[[#This Row],[SchoolCodes]],",",,TRUE))-SUM(COUNTIF(SCHOOLS[SchoolCode],_xlfn.TEXTSPLIT(FC_import[[#This Row],[SchoolCodes]],",",,TRUE))))</f>
        <v>0</v>
      </c>
      <c r="E48" s="43">
        <f>IF(FC_import[[#This Row],[FinanceCodeTypeCode]]="BUDGET",0,COUNTIF(P:P,P48)-1)</f>
        <v>0</v>
      </c>
      <c r="F48" s="43">
        <f>IF(FC_import[[#This Row],[FinanceCodeTypeCode]]="BUDGET",0,COUNTIF(Q:Q,Q48)-1)</f>
        <v>0</v>
      </c>
      <c r="G48" s="43">
        <f>COUNTIF(Lookup!$A$2:$A$7,R48)-1</f>
        <v>0</v>
      </c>
      <c r="H48" s="43">
        <f>IF(OR(FC_import[[#This Row],[FinanceCodeEnabled]]=TRUE,FC_import[[#This Row],[FinanceCodeEnabled]]=FALSE),0,1)</f>
        <v>0</v>
      </c>
      <c r="I48" s="43">
        <f>IF(LEN(FC_import[[#This Row],[FinanceCode]])&lt;100,0,1)</f>
        <v>0</v>
      </c>
      <c r="J48" s="43">
        <f>IF(TRIM(FC_import[[#This Row],[Title]])="",1,0)</f>
        <v>0</v>
      </c>
      <c r="K48" s="43">
        <f>IF(TRIM(FC_import[[#This Row],[FinanceCode]])="",1,0)</f>
        <v>0</v>
      </c>
      <c r="L48" s="43">
        <f>IF(LEN(FC_import[[#This Row],[Title]])&lt;100,0,1)</f>
        <v>0</v>
      </c>
      <c r="M48" s="43">
        <f>IF(ISBLANK(FC_import[[#This Row],[BalanceToScenario]]),1,0)</f>
        <v>0</v>
      </c>
      <c r="N48" s="43">
        <f>IF(SUBSTITUTE(TEXT(FC_import[[#This Row],[FinanceCode]],10)," ","")=TEXT(FC_import[[#This Row],[FinanceCode]],10),0,1)</f>
        <v>0</v>
      </c>
      <c r="O48" s="43">
        <f t="shared" si="1"/>
        <v>0</v>
      </c>
      <c r="P48" t="s">
        <v>959</v>
      </c>
      <c r="Q48" t="s">
        <v>960</v>
      </c>
      <c r="R48" t="s">
        <v>923</v>
      </c>
      <c r="S48" t="s">
        <v>65</v>
      </c>
      <c r="T48" t="s">
        <v>65</v>
      </c>
      <c r="U48" s="111" t="s">
        <v>1532</v>
      </c>
      <c r="V48" t="b">
        <v>1</v>
      </c>
      <c r="X48" t="b">
        <v>1</v>
      </c>
      <c r="Y48" t="b">
        <v>0</v>
      </c>
      <c r="Z48" t="b">
        <f>FALSE</f>
        <v>0</v>
      </c>
    </row>
    <row r="49" spans="1:26" x14ac:dyDescent="0.3">
      <c r="A49" s="43">
        <f>IF(COUNTIF(LEDGER[LedgerCode],FC_import[[#This Row],[LedgerCode]])&gt;0,0,1)</f>
        <v>0</v>
      </c>
      <c r="B49" s="48">
        <f>IF(COUNTIF(Table_System_Grouping_Codes[groupingCodeCode],FC_import[[#This Row],[GroupingCode]])&gt;0,0,1)</f>
        <v>0</v>
      </c>
      <c r="C49" s="43">
        <f>IF(COUNTIF(CUSTGROUP[CustomGroupingCode],FC_import[[#This Row],[CustomGrouping]])&gt;0,0,1)</f>
        <v>0</v>
      </c>
      <c r="D49" s="43" cm="1">
        <f t="array" ref="D49">IF(FC_import[[#This Row],[AvailableToAllSchools]]=TRUE,0,COUNTA(_xlfn.TEXTSPLIT(FC_import[[#This Row],[SchoolCodes]],",",,TRUE))-SUM(COUNTIF(SCHOOLS[SchoolCode],_xlfn.TEXTSPLIT(FC_import[[#This Row],[SchoolCodes]],",",,TRUE))))</f>
        <v>0</v>
      </c>
      <c r="E49" s="43">
        <f>IF(FC_import[[#This Row],[FinanceCodeTypeCode]]="BUDGET",0,COUNTIF(P:P,P49)-1)</f>
        <v>0</v>
      </c>
      <c r="F49" s="43">
        <f>IF(FC_import[[#This Row],[FinanceCodeTypeCode]]="BUDGET",0,COUNTIF(Q:Q,Q49)-1)</f>
        <v>0</v>
      </c>
      <c r="G49" s="43">
        <f>COUNTIF(Lookup!$A$2:$A$7,R49)-1</f>
        <v>0</v>
      </c>
      <c r="H49" s="43">
        <f>IF(OR(FC_import[[#This Row],[FinanceCodeEnabled]]=TRUE,FC_import[[#This Row],[FinanceCodeEnabled]]=FALSE),0,1)</f>
        <v>0</v>
      </c>
      <c r="I49" s="43">
        <f>IF(LEN(FC_import[[#This Row],[FinanceCode]])&lt;100,0,1)</f>
        <v>0</v>
      </c>
      <c r="J49" s="43">
        <f>IF(TRIM(FC_import[[#This Row],[Title]])="",1,0)</f>
        <v>0</v>
      </c>
      <c r="K49" s="43">
        <f>IF(TRIM(FC_import[[#This Row],[FinanceCode]])="",1,0)</f>
        <v>0</v>
      </c>
      <c r="L49" s="43">
        <f>IF(LEN(FC_import[[#This Row],[Title]])&lt;100,0,1)</f>
        <v>0</v>
      </c>
      <c r="M49" s="43">
        <f>IF(ISBLANK(FC_import[[#This Row],[BalanceToScenario]]),1,0)</f>
        <v>0</v>
      </c>
      <c r="N49" s="43">
        <f>IF(SUBSTITUTE(TEXT(FC_import[[#This Row],[FinanceCode]],10)," ","")=TEXT(FC_import[[#This Row],[FinanceCode]],10),0,1)</f>
        <v>0</v>
      </c>
      <c r="O49" s="43">
        <f t="shared" si="1"/>
        <v>0</v>
      </c>
      <c r="P49" t="s">
        <v>961</v>
      </c>
      <c r="Q49" t="s">
        <v>962</v>
      </c>
      <c r="R49" t="s">
        <v>923</v>
      </c>
      <c r="S49" t="s">
        <v>65</v>
      </c>
      <c r="T49" t="s">
        <v>65</v>
      </c>
      <c r="U49" s="111" t="s">
        <v>1532</v>
      </c>
      <c r="V49" t="b">
        <v>1</v>
      </c>
      <c r="X49" t="b">
        <v>1</v>
      </c>
      <c r="Y49" t="b">
        <v>0</v>
      </c>
      <c r="Z49" t="b">
        <f>FALSE</f>
        <v>0</v>
      </c>
    </row>
    <row r="50" spans="1:26" x14ac:dyDescent="0.3">
      <c r="A50" s="43">
        <f>IF(COUNTIF(LEDGER[LedgerCode],FC_import[[#This Row],[LedgerCode]])&gt;0,0,1)</f>
        <v>0</v>
      </c>
      <c r="B50" s="48">
        <f>IF(COUNTIF(Table_System_Grouping_Codes[groupingCodeCode],FC_import[[#This Row],[GroupingCode]])&gt;0,0,1)</f>
        <v>0</v>
      </c>
      <c r="C50" s="43">
        <f>IF(COUNTIF(CUSTGROUP[CustomGroupingCode],FC_import[[#This Row],[CustomGrouping]])&gt;0,0,1)</f>
        <v>0</v>
      </c>
      <c r="D50" s="43" cm="1">
        <f t="array" ref="D50">IF(FC_import[[#This Row],[AvailableToAllSchools]]=TRUE,0,COUNTA(_xlfn.TEXTSPLIT(FC_import[[#This Row],[SchoolCodes]],",",,TRUE))-SUM(COUNTIF(SCHOOLS[SchoolCode],_xlfn.TEXTSPLIT(FC_import[[#This Row],[SchoolCodes]],",",,TRUE))))</f>
        <v>0</v>
      </c>
      <c r="E50" s="43">
        <f>IF(FC_import[[#This Row],[FinanceCodeTypeCode]]="BUDGET",0,COUNTIF(P:P,P50)-1)</f>
        <v>0</v>
      </c>
      <c r="F50" s="43">
        <f>IF(FC_import[[#This Row],[FinanceCodeTypeCode]]="BUDGET",0,COUNTIF(Q:Q,Q50)-1)</f>
        <v>0</v>
      </c>
      <c r="G50" s="43">
        <f>COUNTIF(Lookup!$A$2:$A$7,R50)-1</f>
        <v>0</v>
      </c>
      <c r="H50" s="43">
        <f>IF(OR(FC_import[[#This Row],[FinanceCodeEnabled]]=TRUE,FC_import[[#This Row],[FinanceCodeEnabled]]=FALSE),0,1)</f>
        <v>0</v>
      </c>
      <c r="I50" s="43">
        <f>IF(LEN(FC_import[[#This Row],[FinanceCode]])&lt;100,0,1)</f>
        <v>0</v>
      </c>
      <c r="J50" s="43">
        <f>IF(TRIM(FC_import[[#This Row],[Title]])="",1,0)</f>
        <v>0</v>
      </c>
      <c r="K50" s="43">
        <f>IF(TRIM(FC_import[[#This Row],[FinanceCode]])="",1,0)</f>
        <v>0</v>
      </c>
      <c r="L50" s="43">
        <f>IF(LEN(FC_import[[#This Row],[Title]])&lt;100,0,1)</f>
        <v>0</v>
      </c>
      <c r="M50" s="43">
        <f>IF(ISBLANK(FC_import[[#This Row],[BalanceToScenario]]),1,0)</f>
        <v>0</v>
      </c>
      <c r="N50" s="43">
        <f>IF(SUBSTITUTE(TEXT(FC_import[[#This Row],[FinanceCode]],10)," ","")=TEXT(FC_import[[#This Row],[FinanceCode]],10),0,1)</f>
        <v>0</v>
      </c>
      <c r="O50" s="43">
        <f t="shared" si="1"/>
        <v>0</v>
      </c>
      <c r="P50" t="s">
        <v>966</v>
      </c>
      <c r="Q50" t="s">
        <v>967</v>
      </c>
      <c r="R50" t="s">
        <v>923</v>
      </c>
      <c r="S50" t="s">
        <v>65</v>
      </c>
      <c r="T50" t="s">
        <v>65</v>
      </c>
      <c r="U50" s="111" t="s">
        <v>1532</v>
      </c>
      <c r="V50" t="b">
        <v>1</v>
      </c>
      <c r="X50" t="b">
        <v>1</v>
      </c>
      <c r="Y50" t="b">
        <v>0</v>
      </c>
      <c r="Z50" t="b">
        <f>FALSE</f>
        <v>0</v>
      </c>
    </row>
    <row r="51" spans="1:26" x14ac:dyDescent="0.3">
      <c r="A51" s="43">
        <f>IF(COUNTIF(LEDGER[LedgerCode],FC_import[[#This Row],[LedgerCode]])&gt;0,0,1)</f>
        <v>0</v>
      </c>
      <c r="B51" s="48">
        <f>IF(COUNTIF(Table_System_Grouping_Codes[groupingCodeCode],FC_import[[#This Row],[GroupingCode]])&gt;0,0,1)</f>
        <v>0</v>
      </c>
      <c r="C51" s="43">
        <f>IF(COUNTIF(CUSTGROUP[CustomGroupingCode],FC_import[[#This Row],[CustomGrouping]])&gt;0,0,1)</f>
        <v>0</v>
      </c>
      <c r="D51" s="43" cm="1">
        <f t="array" ref="D51">IF(FC_import[[#This Row],[AvailableToAllSchools]]=TRUE,0,COUNTA(_xlfn.TEXTSPLIT(FC_import[[#This Row],[SchoolCodes]],",",,TRUE))-SUM(COUNTIF(SCHOOLS[SchoolCode],_xlfn.TEXTSPLIT(FC_import[[#This Row],[SchoolCodes]],",",,TRUE))))</f>
        <v>0</v>
      </c>
      <c r="E51" s="43">
        <f>IF(FC_import[[#This Row],[FinanceCodeTypeCode]]="BUDGET",0,COUNTIF(P:P,P51)-1)</f>
        <v>0</v>
      </c>
      <c r="F51" s="43">
        <f>IF(FC_import[[#This Row],[FinanceCodeTypeCode]]="BUDGET",0,COUNTIF(Q:Q,Q51)-1)</f>
        <v>0</v>
      </c>
      <c r="G51" s="43">
        <f>COUNTIF(Lookup!$A$2:$A$7,R51)-1</f>
        <v>0</v>
      </c>
      <c r="H51" s="43">
        <f>IF(OR(FC_import[[#This Row],[FinanceCodeEnabled]]=TRUE,FC_import[[#This Row],[FinanceCodeEnabled]]=FALSE),0,1)</f>
        <v>0</v>
      </c>
      <c r="I51" s="43">
        <f>IF(LEN(FC_import[[#This Row],[FinanceCode]])&lt;100,0,1)</f>
        <v>0</v>
      </c>
      <c r="J51" s="43">
        <f>IF(TRIM(FC_import[[#This Row],[Title]])="",1,0)</f>
        <v>0</v>
      </c>
      <c r="K51" s="43">
        <f>IF(TRIM(FC_import[[#This Row],[FinanceCode]])="",1,0)</f>
        <v>0</v>
      </c>
      <c r="L51" s="43">
        <f>IF(LEN(FC_import[[#This Row],[Title]])&lt;100,0,1)</f>
        <v>0</v>
      </c>
      <c r="M51" s="43">
        <f>IF(ISBLANK(FC_import[[#This Row],[BalanceToScenario]]),1,0)</f>
        <v>0</v>
      </c>
      <c r="N51" s="43">
        <f>IF(SUBSTITUTE(TEXT(FC_import[[#This Row],[FinanceCode]],10)," ","")=TEXT(FC_import[[#This Row],[FinanceCode]],10),0,1)</f>
        <v>0</v>
      </c>
      <c r="O51" s="43">
        <f t="shared" si="1"/>
        <v>0</v>
      </c>
      <c r="P51" t="s">
        <v>968</v>
      </c>
      <c r="Q51" t="s">
        <v>969</v>
      </c>
      <c r="R51" t="s">
        <v>923</v>
      </c>
      <c r="S51" t="s">
        <v>857</v>
      </c>
      <c r="T51" t="s">
        <v>65</v>
      </c>
      <c r="U51" s="111" t="s">
        <v>1532</v>
      </c>
      <c r="V51" t="b">
        <v>1</v>
      </c>
      <c r="X51" t="b">
        <v>1</v>
      </c>
      <c r="Y51" t="b">
        <v>0</v>
      </c>
      <c r="Z51" t="b">
        <f>FALSE</f>
        <v>0</v>
      </c>
    </row>
    <row r="52" spans="1:26" x14ac:dyDescent="0.3">
      <c r="A52" s="43">
        <f>IF(COUNTIF(LEDGER[LedgerCode],FC_import[[#This Row],[LedgerCode]])&gt;0,0,1)</f>
        <v>0</v>
      </c>
      <c r="B52" s="48">
        <f>IF(COUNTIF(Table_System_Grouping_Codes[groupingCodeCode],FC_import[[#This Row],[GroupingCode]])&gt;0,0,1)</f>
        <v>0</v>
      </c>
      <c r="C52" s="43">
        <f>IF(COUNTIF(CUSTGROUP[CustomGroupingCode],FC_import[[#This Row],[CustomGrouping]])&gt;0,0,1)</f>
        <v>0</v>
      </c>
      <c r="D52" s="43" cm="1">
        <f t="array" ref="D52">IF(FC_import[[#This Row],[AvailableToAllSchools]]=TRUE,0,COUNTA(_xlfn.TEXTSPLIT(FC_import[[#This Row],[SchoolCodes]],",",,TRUE))-SUM(COUNTIF(SCHOOLS[SchoolCode],_xlfn.TEXTSPLIT(FC_import[[#This Row],[SchoolCodes]],",",,TRUE))))</f>
        <v>0</v>
      </c>
      <c r="E52" s="43">
        <f>IF(FC_import[[#This Row],[FinanceCodeTypeCode]]="BUDGET",0,COUNTIF(P:P,P52)-1)</f>
        <v>0</v>
      </c>
      <c r="F52" s="43">
        <f>IF(FC_import[[#This Row],[FinanceCodeTypeCode]]="BUDGET",0,COUNTIF(Q:Q,Q52)-1)</f>
        <v>0</v>
      </c>
      <c r="G52" s="43">
        <f>COUNTIF(Lookup!$A$2:$A$7,R52)-1</f>
        <v>0</v>
      </c>
      <c r="H52" s="43">
        <f>IF(OR(FC_import[[#This Row],[FinanceCodeEnabled]]=TRUE,FC_import[[#This Row],[FinanceCodeEnabled]]=FALSE),0,1)</f>
        <v>0</v>
      </c>
      <c r="I52" s="43">
        <f>IF(LEN(FC_import[[#This Row],[FinanceCode]])&lt;100,0,1)</f>
        <v>0</v>
      </c>
      <c r="J52" s="43">
        <f>IF(TRIM(FC_import[[#This Row],[Title]])="",1,0)</f>
        <v>0</v>
      </c>
      <c r="K52" s="43">
        <f>IF(TRIM(FC_import[[#This Row],[FinanceCode]])="",1,0)</f>
        <v>0</v>
      </c>
      <c r="L52" s="43">
        <f>IF(LEN(FC_import[[#This Row],[Title]])&lt;100,0,1)</f>
        <v>0</v>
      </c>
      <c r="M52" s="43">
        <f>IF(ISBLANK(FC_import[[#This Row],[BalanceToScenario]]),1,0)</f>
        <v>0</v>
      </c>
      <c r="N52" s="43">
        <f>IF(SUBSTITUTE(TEXT(FC_import[[#This Row],[FinanceCode]],10)," ","")=TEXT(FC_import[[#This Row],[FinanceCode]],10),0,1)</f>
        <v>0</v>
      </c>
      <c r="O52" s="43">
        <f t="shared" si="1"/>
        <v>0</v>
      </c>
      <c r="P52" t="s">
        <v>970</v>
      </c>
      <c r="Q52" t="s">
        <v>971</v>
      </c>
      <c r="R52" t="s">
        <v>923</v>
      </c>
      <c r="S52" t="s">
        <v>857</v>
      </c>
      <c r="T52" t="s">
        <v>65</v>
      </c>
      <c r="U52" s="111" t="s">
        <v>1532</v>
      </c>
      <c r="V52" t="b">
        <v>1</v>
      </c>
      <c r="X52" t="b">
        <v>1</v>
      </c>
      <c r="Y52" t="b">
        <v>0</v>
      </c>
      <c r="Z52" t="b">
        <f>FALSE</f>
        <v>0</v>
      </c>
    </row>
    <row r="53" spans="1:26" x14ac:dyDescent="0.3">
      <c r="A53" s="43">
        <f>IF(COUNTIF(LEDGER[LedgerCode],FC_import[[#This Row],[LedgerCode]])&gt;0,0,1)</f>
        <v>0</v>
      </c>
      <c r="B53" s="48">
        <f>IF(COUNTIF(Table_System_Grouping_Codes[groupingCodeCode],FC_import[[#This Row],[GroupingCode]])&gt;0,0,1)</f>
        <v>0</v>
      </c>
      <c r="C53" s="43">
        <f>IF(COUNTIF(CUSTGROUP[CustomGroupingCode],FC_import[[#This Row],[CustomGrouping]])&gt;0,0,1)</f>
        <v>0</v>
      </c>
      <c r="D53" s="43" cm="1">
        <f t="array" ref="D53">IF(FC_import[[#This Row],[AvailableToAllSchools]]=TRUE,0,COUNTA(_xlfn.TEXTSPLIT(FC_import[[#This Row],[SchoolCodes]],",",,TRUE))-SUM(COUNTIF(SCHOOLS[SchoolCode],_xlfn.TEXTSPLIT(FC_import[[#This Row],[SchoolCodes]],",",,TRUE))))</f>
        <v>0</v>
      </c>
      <c r="E53" s="43">
        <f>IF(FC_import[[#This Row],[FinanceCodeTypeCode]]="BUDGET",0,COUNTIF(P:P,P53)-1)</f>
        <v>0</v>
      </c>
      <c r="F53" s="43">
        <f>IF(FC_import[[#This Row],[FinanceCodeTypeCode]]="BUDGET",0,COUNTIF(Q:Q,Q53)-1)</f>
        <v>0</v>
      </c>
      <c r="G53" s="43">
        <f>COUNTIF(Lookup!$A$2:$A$7,R53)-1</f>
        <v>0</v>
      </c>
      <c r="H53" s="43">
        <f>IF(OR(FC_import[[#This Row],[FinanceCodeEnabled]]=TRUE,FC_import[[#This Row],[FinanceCodeEnabled]]=FALSE),0,1)</f>
        <v>0</v>
      </c>
      <c r="I53" s="43">
        <f>IF(LEN(FC_import[[#This Row],[FinanceCode]])&lt;100,0,1)</f>
        <v>0</v>
      </c>
      <c r="J53" s="43">
        <f>IF(TRIM(FC_import[[#This Row],[Title]])="",1,0)</f>
        <v>0</v>
      </c>
      <c r="K53" s="43">
        <f>IF(TRIM(FC_import[[#This Row],[FinanceCode]])="",1,0)</f>
        <v>0</v>
      </c>
      <c r="L53" s="43">
        <f>IF(LEN(FC_import[[#This Row],[Title]])&lt;100,0,1)</f>
        <v>0</v>
      </c>
      <c r="M53" s="43">
        <f>IF(ISBLANK(FC_import[[#This Row],[BalanceToScenario]]),1,0)</f>
        <v>0</v>
      </c>
      <c r="N53" s="43">
        <f>IF(SUBSTITUTE(TEXT(FC_import[[#This Row],[FinanceCode]],10)," ","")=TEXT(FC_import[[#This Row],[FinanceCode]],10),0,1)</f>
        <v>0</v>
      </c>
      <c r="O53" s="43">
        <f t="shared" si="1"/>
        <v>0</v>
      </c>
      <c r="P53" t="s">
        <v>972</v>
      </c>
      <c r="Q53" t="s">
        <v>973</v>
      </c>
      <c r="R53" t="s">
        <v>923</v>
      </c>
      <c r="S53" t="s">
        <v>857</v>
      </c>
      <c r="T53" t="s">
        <v>65</v>
      </c>
      <c r="U53" s="111" t="s">
        <v>1532</v>
      </c>
      <c r="V53" t="b">
        <v>1</v>
      </c>
      <c r="X53" t="b">
        <v>1</v>
      </c>
      <c r="Y53" t="b">
        <v>0</v>
      </c>
      <c r="Z53" t="b">
        <f>FALSE</f>
        <v>0</v>
      </c>
    </row>
    <row r="54" spans="1:26" x14ac:dyDescent="0.3">
      <c r="A54" s="43">
        <f>IF(COUNTIF(LEDGER[LedgerCode],FC_import[[#This Row],[LedgerCode]])&gt;0,0,1)</f>
        <v>0</v>
      </c>
      <c r="B54" s="48">
        <f>IF(COUNTIF(Table_System_Grouping_Codes[groupingCodeCode],FC_import[[#This Row],[GroupingCode]])&gt;0,0,1)</f>
        <v>0</v>
      </c>
      <c r="C54" s="43">
        <f>IF(COUNTIF(CUSTGROUP[CustomGroupingCode],FC_import[[#This Row],[CustomGrouping]])&gt;0,0,1)</f>
        <v>0</v>
      </c>
      <c r="D54" s="43" cm="1">
        <f t="array" ref="D54">IF(FC_import[[#This Row],[AvailableToAllSchools]]=TRUE,0,COUNTA(_xlfn.TEXTSPLIT(FC_import[[#This Row],[SchoolCodes]],",",,TRUE))-SUM(COUNTIF(SCHOOLS[SchoolCode],_xlfn.TEXTSPLIT(FC_import[[#This Row],[SchoolCodes]],",",,TRUE))))</f>
        <v>0</v>
      </c>
      <c r="E54" s="43">
        <f>IF(FC_import[[#This Row],[FinanceCodeTypeCode]]="BUDGET",0,COUNTIF(P:P,P54)-1)</f>
        <v>0</v>
      </c>
      <c r="F54" s="43">
        <f>IF(FC_import[[#This Row],[FinanceCodeTypeCode]]="BUDGET",0,COUNTIF(Q:Q,Q54)-1)</f>
        <v>0</v>
      </c>
      <c r="G54" s="43">
        <f>COUNTIF(Lookup!$A$2:$A$7,R54)-1</f>
        <v>0</v>
      </c>
      <c r="H54" s="43">
        <f>IF(OR(FC_import[[#This Row],[FinanceCodeEnabled]]=TRUE,FC_import[[#This Row],[FinanceCodeEnabled]]=FALSE),0,1)</f>
        <v>0</v>
      </c>
      <c r="I54" s="43">
        <f>IF(LEN(FC_import[[#This Row],[FinanceCode]])&lt;100,0,1)</f>
        <v>0</v>
      </c>
      <c r="J54" s="43">
        <f>IF(TRIM(FC_import[[#This Row],[Title]])="",1,0)</f>
        <v>0</v>
      </c>
      <c r="K54" s="43">
        <f>IF(TRIM(FC_import[[#This Row],[FinanceCode]])="",1,0)</f>
        <v>0</v>
      </c>
      <c r="L54" s="43">
        <f>IF(LEN(FC_import[[#This Row],[Title]])&lt;100,0,1)</f>
        <v>0</v>
      </c>
      <c r="M54" s="43">
        <f>IF(ISBLANK(FC_import[[#This Row],[BalanceToScenario]]),1,0)</f>
        <v>0</v>
      </c>
      <c r="N54" s="43">
        <f>IF(SUBSTITUTE(TEXT(FC_import[[#This Row],[FinanceCode]],10)," ","")=TEXT(FC_import[[#This Row],[FinanceCode]],10),0,1)</f>
        <v>0</v>
      </c>
      <c r="O54" s="43">
        <f t="shared" si="1"/>
        <v>0</v>
      </c>
      <c r="P54" t="s">
        <v>1530</v>
      </c>
      <c r="Q54" t="s">
        <v>1526</v>
      </c>
      <c r="R54" t="s">
        <v>923</v>
      </c>
      <c r="S54" t="s">
        <v>857</v>
      </c>
      <c r="T54" t="s">
        <v>65</v>
      </c>
      <c r="U54" s="111" t="s">
        <v>1532</v>
      </c>
      <c r="V54" t="b">
        <v>1</v>
      </c>
      <c r="X54" t="b">
        <v>1</v>
      </c>
      <c r="Y54" t="b">
        <v>0</v>
      </c>
      <c r="Z54" t="b">
        <f>FALSE</f>
        <v>0</v>
      </c>
    </row>
    <row r="55" spans="1:26" x14ac:dyDescent="0.3">
      <c r="A55" s="43">
        <f>IF(COUNTIF(LEDGER[LedgerCode],FC_import[[#This Row],[LedgerCode]])&gt;0,0,1)</f>
        <v>0</v>
      </c>
      <c r="B55" s="48">
        <f>IF(COUNTIF(Table_System_Grouping_Codes[groupingCodeCode],FC_import[[#This Row],[GroupingCode]])&gt;0,0,1)</f>
        <v>0</v>
      </c>
      <c r="C55" s="43">
        <f>IF(COUNTIF(CUSTGROUP[CustomGroupingCode],FC_import[[#This Row],[CustomGrouping]])&gt;0,0,1)</f>
        <v>0</v>
      </c>
      <c r="D55" s="43" cm="1">
        <f t="array" ref="D55">IF(FC_import[[#This Row],[AvailableToAllSchools]]=TRUE,0,COUNTA(_xlfn.TEXTSPLIT(FC_import[[#This Row],[SchoolCodes]],",",,TRUE))-SUM(COUNTIF(SCHOOLS[SchoolCode],_xlfn.TEXTSPLIT(FC_import[[#This Row],[SchoolCodes]],",",,TRUE))))</f>
        <v>0</v>
      </c>
      <c r="E55" s="43">
        <f>IF(FC_import[[#This Row],[FinanceCodeTypeCode]]="BUDGET",0,COUNTIF(P:P,P55)-1)</f>
        <v>0</v>
      </c>
      <c r="F55" s="43">
        <f>IF(FC_import[[#This Row],[FinanceCodeTypeCode]]="BUDGET",0,COUNTIF(Q:Q,Q55)-1)</f>
        <v>0</v>
      </c>
      <c r="G55" s="43">
        <f>COUNTIF(Lookup!$A$2:$A$7,R55)-1</f>
        <v>0</v>
      </c>
      <c r="H55" s="43">
        <f>IF(OR(FC_import[[#This Row],[FinanceCodeEnabled]]=TRUE,FC_import[[#This Row],[FinanceCodeEnabled]]=FALSE),0,1)</f>
        <v>0</v>
      </c>
      <c r="I55" s="43">
        <f>IF(LEN(FC_import[[#This Row],[FinanceCode]])&lt;100,0,1)</f>
        <v>0</v>
      </c>
      <c r="J55" s="43">
        <f>IF(TRIM(FC_import[[#This Row],[Title]])="",1,0)</f>
        <v>0</v>
      </c>
      <c r="K55" s="43">
        <f>IF(TRIM(FC_import[[#This Row],[FinanceCode]])="",1,0)</f>
        <v>0</v>
      </c>
      <c r="L55" s="43">
        <f>IF(LEN(FC_import[[#This Row],[Title]])&lt;100,0,1)</f>
        <v>0</v>
      </c>
      <c r="M55" s="43">
        <f>IF(ISBLANK(FC_import[[#This Row],[BalanceToScenario]]),1,0)</f>
        <v>0</v>
      </c>
      <c r="N55" s="43">
        <f>IF(SUBSTITUTE(TEXT(FC_import[[#This Row],[FinanceCode]],10)," ","")=TEXT(FC_import[[#This Row],[FinanceCode]],10),0,1)</f>
        <v>0</v>
      </c>
      <c r="O55" s="43">
        <f t="shared" si="1"/>
        <v>0</v>
      </c>
      <c r="P55" t="s">
        <v>974</v>
      </c>
      <c r="Q55" t="s">
        <v>975</v>
      </c>
      <c r="R55" t="s">
        <v>923</v>
      </c>
      <c r="S55" t="s">
        <v>857</v>
      </c>
      <c r="T55" t="s">
        <v>65</v>
      </c>
      <c r="U55" s="111" t="s">
        <v>1532</v>
      </c>
      <c r="V55" t="b">
        <v>1</v>
      </c>
      <c r="X55" t="b">
        <v>1</v>
      </c>
      <c r="Y55" t="b">
        <v>0</v>
      </c>
      <c r="Z55" t="b">
        <f>FALSE</f>
        <v>0</v>
      </c>
    </row>
    <row r="56" spans="1:26" x14ac:dyDescent="0.3">
      <c r="A56" s="43">
        <f>IF(COUNTIF(LEDGER[LedgerCode],FC_import[[#This Row],[LedgerCode]])&gt;0,0,1)</f>
        <v>0</v>
      </c>
      <c r="B56" s="48">
        <f>IF(COUNTIF(Table_System_Grouping_Codes[groupingCodeCode],FC_import[[#This Row],[GroupingCode]])&gt;0,0,1)</f>
        <v>0</v>
      </c>
      <c r="C56" s="43">
        <f>IF(COUNTIF(CUSTGROUP[CustomGroupingCode],FC_import[[#This Row],[CustomGrouping]])&gt;0,0,1)</f>
        <v>0</v>
      </c>
      <c r="D56" s="43" cm="1">
        <f t="array" ref="D56">IF(FC_import[[#This Row],[AvailableToAllSchools]]=TRUE,0,COUNTA(_xlfn.TEXTSPLIT(FC_import[[#This Row],[SchoolCodes]],",",,TRUE))-SUM(COUNTIF(SCHOOLS[SchoolCode],_xlfn.TEXTSPLIT(FC_import[[#This Row],[SchoolCodes]],",",,TRUE))))</f>
        <v>0</v>
      </c>
      <c r="E56" s="43">
        <f>IF(FC_import[[#This Row],[FinanceCodeTypeCode]]="BUDGET",0,COUNTIF(P:P,P56)-1)</f>
        <v>0</v>
      </c>
      <c r="F56" s="43">
        <f>IF(FC_import[[#This Row],[FinanceCodeTypeCode]]="BUDGET",0,COUNTIF(Q:Q,Q56)-1)</f>
        <v>0</v>
      </c>
      <c r="G56" s="43">
        <f>COUNTIF(Lookup!$A$2:$A$7,R56)-1</f>
        <v>0</v>
      </c>
      <c r="H56" s="43">
        <f>IF(OR(FC_import[[#This Row],[FinanceCodeEnabled]]=TRUE,FC_import[[#This Row],[FinanceCodeEnabled]]=FALSE),0,1)</f>
        <v>0</v>
      </c>
      <c r="I56" s="43">
        <f>IF(LEN(FC_import[[#This Row],[FinanceCode]])&lt;100,0,1)</f>
        <v>0</v>
      </c>
      <c r="J56" s="43">
        <f>IF(TRIM(FC_import[[#This Row],[Title]])="",1,0)</f>
        <v>0</v>
      </c>
      <c r="K56" s="43">
        <f>IF(TRIM(FC_import[[#This Row],[FinanceCode]])="",1,0)</f>
        <v>0</v>
      </c>
      <c r="L56" s="43">
        <f>IF(LEN(FC_import[[#This Row],[Title]])&lt;100,0,1)</f>
        <v>0</v>
      </c>
      <c r="M56" s="43">
        <f>IF(ISBLANK(FC_import[[#This Row],[BalanceToScenario]]),1,0)</f>
        <v>0</v>
      </c>
      <c r="N56" s="43">
        <f>IF(SUBSTITUTE(TEXT(FC_import[[#This Row],[FinanceCode]],10)," ","")=TEXT(FC_import[[#This Row],[FinanceCode]],10),0,1)</f>
        <v>0</v>
      </c>
      <c r="O56" s="43">
        <f t="shared" si="1"/>
        <v>0</v>
      </c>
      <c r="P56" t="s">
        <v>1375</v>
      </c>
      <c r="Q56" t="s">
        <v>1376</v>
      </c>
      <c r="R56" t="s">
        <v>923</v>
      </c>
      <c r="S56" t="s">
        <v>857</v>
      </c>
      <c r="T56" t="s">
        <v>65</v>
      </c>
      <c r="U56" s="111" t="s">
        <v>1532</v>
      </c>
      <c r="V56" t="b">
        <v>1</v>
      </c>
      <c r="X56" t="b">
        <v>1</v>
      </c>
      <c r="Y56" t="b">
        <v>0</v>
      </c>
      <c r="Z56" t="b">
        <f>FALSE</f>
        <v>0</v>
      </c>
    </row>
    <row r="57" spans="1:26" x14ac:dyDescent="0.3">
      <c r="A57" s="43">
        <f>IF(COUNTIF(LEDGER[LedgerCode],FC_import[[#This Row],[LedgerCode]])&gt;0,0,1)</f>
        <v>0</v>
      </c>
      <c r="B57" s="48">
        <f>IF(COUNTIF(Table_System_Grouping_Codes[groupingCodeCode],FC_import[[#This Row],[GroupingCode]])&gt;0,0,1)</f>
        <v>0</v>
      </c>
      <c r="C57" s="43">
        <f>IF(COUNTIF(CUSTGROUP[CustomGroupingCode],FC_import[[#This Row],[CustomGrouping]])&gt;0,0,1)</f>
        <v>0</v>
      </c>
      <c r="D57" s="43" cm="1">
        <f t="array" ref="D57">IF(FC_import[[#This Row],[AvailableToAllSchools]]=TRUE,0,COUNTA(_xlfn.TEXTSPLIT(FC_import[[#This Row],[SchoolCodes]],",",,TRUE))-SUM(COUNTIF(SCHOOLS[SchoolCode],_xlfn.TEXTSPLIT(FC_import[[#This Row],[SchoolCodes]],",",,TRUE))))</f>
        <v>0</v>
      </c>
      <c r="E57" s="43">
        <f>IF(FC_import[[#This Row],[FinanceCodeTypeCode]]="BUDGET",0,COUNTIF(P:P,P57)-1)</f>
        <v>0</v>
      </c>
      <c r="F57" s="43">
        <f>IF(FC_import[[#This Row],[FinanceCodeTypeCode]]="BUDGET",0,COUNTIF(Q:Q,Q57)-1)</f>
        <v>0</v>
      </c>
      <c r="G57" s="43">
        <f>COUNTIF(Lookup!$A$2:$A$7,R57)-1</f>
        <v>0</v>
      </c>
      <c r="H57" s="43">
        <f>IF(OR(FC_import[[#This Row],[FinanceCodeEnabled]]=TRUE,FC_import[[#This Row],[FinanceCodeEnabled]]=FALSE),0,1)</f>
        <v>0</v>
      </c>
      <c r="I57" s="43">
        <f>IF(LEN(FC_import[[#This Row],[FinanceCode]])&lt;100,0,1)</f>
        <v>0</v>
      </c>
      <c r="J57" s="43">
        <f>IF(TRIM(FC_import[[#This Row],[Title]])="",1,0)</f>
        <v>0</v>
      </c>
      <c r="K57" s="43">
        <f>IF(TRIM(FC_import[[#This Row],[FinanceCode]])="",1,0)</f>
        <v>0</v>
      </c>
      <c r="L57" s="43">
        <f>IF(LEN(FC_import[[#This Row],[Title]])&lt;100,0,1)</f>
        <v>0</v>
      </c>
      <c r="M57" s="43">
        <f>IF(ISBLANK(FC_import[[#This Row],[BalanceToScenario]]),1,0)</f>
        <v>0</v>
      </c>
      <c r="N57" s="43">
        <f>IF(SUBSTITUTE(TEXT(FC_import[[#This Row],[FinanceCode]],10)," ","")=TEXT(FC_import[[#This Row],[FinanceCode]],10),0,1)</f>
        <v>0</v>
      </c>
      <c r="O57" s="43">
        <f t="shared" si="1"/>
        <v>0</v>
      </c>
      <c r="P57" t="s">
        <v>1714</v>
      </c>
      <c r="Q57" t="s">
        <v>1715</v>
      </c>
      <c r="R57" t="s">
        <v>923</v>
      </c>
      <c r="S57" t="s">
        <v>65</v>
      </c>
      <c r="T57" t="s">
        <v>65</v>
      </c>
      <c r="U57" s="111" t="s">
        <v>1532</v>
      </c>
      <c r="V57" t="b">
        <v>1</v>
      </c>
      <c r="X57" t="b">
        <v>1</v>
      </c>
      <c r="Y57" t="b">
        <v>0</v>
      </c>
      <c r="Z57" t="b">
        <f>FALSE</f>
        <v>0</v>
      </c>
    </row>
    <row r="58" spans="1:26" x14ac:dyDescent="0.3">
      <c r="A58" s="43">
        <f>IF(COUNTIF(LEDGER[LedgerCode],FC_import[[#This Row],[LedgerCode]])&gt;0,0,1)</f>
        <v>0</v>
      </c>
      <c r="B58" s="48">
        <f>IF(COUNTIF(Table_System_Grouping_Codes[groupingCodeCode],FC_import[[#This Row],[GroupingCode]])&gt;0,0,1)</f>
        <v>0</v>
      </c>
      <c r="C58" s="43">
        <f>IF(COUNTIF(CUSTGROUP[CustomGroupingCode],FC_import[[#This Row],[CustomGrouping]])&gt;0,0,1)</f>
        <v>0</v>
      </c>
      <c r="D58" s="43" cm="1">
        <f t="array" ref="D58">IF(FC_import[[#This Row],[AvailableToAllSchools]]=TRUE,0,COUNTA(_xlfn.TEXTSPLIT(FC_import[[#This Row],[SchoolCodes]],",",,TRUE))-SUM(COUNTIF(SCHOOLS[SchoolCode],_xlfn.TEXTSPLIT(FC_import[[#This Row],[SchoolCodes]],",",,TRUE))))</f>
        <v>0</v>
      </c>
      <c r="E58" s="43">
        <f>IF(FC_import[[#This Row],[FinanceCodeTypeCode]]="BUDGET",0,COUNTIF(P:P,P58)-1)</f>
        <v>0</v>
      </c>
      <c r="F58" s="43">
        <f>IF(FC_import[[#This Row],[FinanceCodeTypeCode]]="BUDGET",0,COUNTIF(Q:Q,Q58)-1)</f>
        <v>0</v>
      </c>
      <c r="G58" s="43">
        <f>COUNTIF(Lookup!$A$2:$A$7,R58)-1</f>
        <v>0</v>
      </c>
      <c r="H58" s="43">
        <f>IF(OR(FC_import[[#This Row],[FinanceCodeEnabled]]=TRUE,FC_import[[#This Row],[FinanceCodeEnabled]]=FALSE),0,1)</f>
        <v>0</v>
      </c>
      <c r="I58" s="43">
        <f>IF(LEN(FC_import[[#This Row],[FinanceCode]])&lt;100,0,1)</f>
        <v>0</v>
      </c>
      <c r="J58" s="43">
        <f>IF(TRIM(FC_import[[#This Row],[Title]])="",1,0)</f>
        <v>0</v>
      </c>
      <c r="K58" s="43">
        <f>IF(TRIM(FC_import[[#This Row],[FinanceCode]])="",1,0)</f>
        <v>0</v>
      </c>
      <c r="L58" s="43">
        <f>IF(LEN(FC_import[[#This Row],[Title]])&lt;100,0,1)</f>
        <v>0</v>
      </c>
      <c r="M58" s="43">
        <f>IF(ISBLANK(FC_import[[#This Row],[BalanceToScenario]]),1,0)</f>
        <v>0</v>
      </c>
      <c r="N58" s="43">
        <f>IF(SUBSTITUTE(TEXT(FC_import[[#This Row],[FinanceCode]],10)," ","")=TEXT(FC_import[[#This Row],[FinanceCode]],10),0,1)</f>
        <v>0</v>
      </c>
      <c r="O58" s="43">
        <f t="shared" si="1"/>
        <v>0</v>
      </c>
      <c r="P58" t="s">
        <v>976</v>
      </c>
      <c r="Q58" t="s">
        <v>977</v>
      </c>
      <c r="R58" t="s">
        <v>923</v>
      </c>
      <c r="S58" t="s">
        <v>857</v>
      </c>
      <c r="T58" t="s">
        <v>65</v>
      </c>
      <c r="U58" s="111" t="s">
        <v>1532</v>
      </c>
      <c r="V58" t="b">
        <v>1</v>
      </c>
      <c r="X58" t="b">
        <v>1</v>
      </c>
      <c r="Y58" t="b">
        <v>0</v>
      </c>
      <c r="Z58" t="b">
        <f>FALSE</f>
        <v>0</v>
      </c>
    </row>
    <row r="59" spans="1:26" x14ac:dyDescent="0.3">
      <c r="A59" s="43">
        <f>IF(COUNTIF(LEDGER[LedgerCode],FC_import[[#This Row],[LedgerCode]])&gt;0,0,1)</f>
        <v>0</v>
      </c>
      <c r="B59" s="48">
        <f>IF(COUNTIF(Table_System_Grouping_Codes[groupingCodeCode],FC_import[[#This Row],[GroupingCode]])&gt;0,0,1)</f>
        <v>0</v>
      </c>
      <c r="C59" s="43">
        <f>IF(COUNTIF(CUSTGROUP[CustomGroupingCode],FC_import[[#This Row],[CustomGrouping]])&gt;0,0,1)</f>
        <v>0</v>
      </c>
      <c r="D59" s="43" cm="1">
        <f t="array" ref="D59">IF(FC_import[[#This Row],[AvailableToAllSchools]]=TRUE,0,COUNTA(_xlfn.TEXTSPLIT(FC_import[[#This Row],[SchoolCodes]],",",,TRUE))-SUM(COUNTIF(SCHOOLS[SchoolCode],_xlfn.TEXTSPLIT(FC_import[[#This Row],[SchoolCodes]],",",,TRUE))))</f>
        <v>0</v>
      </c>
      <c r="E59" s="43">
        <f>IF(FC_import[[#This Row],[FinanceCodeTypeCode]]="BUDGET",0,COUNTIF(P:P,P59)-1)</f>
        <v>0</v>
      </c>
      <c r="F59" s="43">
        <f>IF(FC_import[[#This Row],[FinanceCodeTypeCode]]="BUDGET",0,COUNTIF(Q:Q,Q59)-1)</f>
        <v>0</v>
      </c>
      <c r="G59" s="43">
        <f>COUNTIF(Lookup!$A$2:$A$7,R59)-1</f>
        <v>0</v>
      </c>
      <c r="H59" s="43">
        <f>IF(OR(FC_import[[#This Row],[FinanceCodeEnabled]]=TRUE,FC_import[[#This Row],[FinanceCodeEnabled]]=FALSE),0,1)</f>
        <v>0</v>
      </c>
      <c r="I59" s="43">
        <f>IF(LEN(FC_import[[#This Row],[FinanceCode]])&lt;100,0,1)</f>
        <v>0</v>
      </c>
      <c r="J59" s="43">
        <f>IF(TRIM(FC_import[[#This Row],[Title]])="",1,0)</f>
        <v>0</v>
      </c>
      <c r="K59" s="43">
        <f>IF(TRIM(FC_import[[#This Row],[FinanceCode]])="",1,0)</f>
        <v>0</v>
      </c>
      <c r="L59" s="43">
        <f>IF(LEN(FC_import[[#This Row],[Title]])&lt;100,0,1)</f>
        <v>0</v>
      </c>
      <c r="M59" s="43">
        <f>IF(ISBLANK(FC_import[[#This Row],[BalanceToScenario]]),1,0)</f>
        <v>0</v>
      </c>
      <c r="N59" s="43">
        <f>IF(SUBSTITUTE(TEXT(FC_import[[#This Row],[FinanceCode]],10)," ","")=TEXT(FC_import[[#This Row],[FinanceCode]],10),0,1)</f>
        <v>0</v>
      </c>
      <c r="O59" s="43">
        <f t="shared" si="1"/>
        <v>0</v>
      </c>
      <c r="P59" t="s">
        <v>978</v>
      </c>
      <c r="Q59" t="s">
        <v>979</v>
      </c>
      <c r="R59" t="s">
        <v>923</v>
      </c>
      <c r="S59" t="s">
        <v>857</v>
      </c>
      <c r="T59" t="s">
        <v>65</v>
      </c>
      <c r="U59" s="111" t="s">
        <v>1532</v>
      </c>
      <c r="V59" t="b">
        <v>1</v>
      </c>
      <c r="X59" t="b">
        <v>1</v>
      </c>
      <c r="Y59" t="b">
        <v>0</v>
      </c>
      <c r="Z59" t="b">
        <f>FALSE</f>
        <v>0</v>
      </c>
    </row>
    <row r="60" spans="1:26" x14ac:dyDescent="0.3">
      <c r="A60" s="43">
        <f>IF(COUNTIF(LEDGER[LedgerCode],FC_import[[#This Row],[LedgerCode]])&gt;0,0,1)</f>
        <v>0</v>
      </c>
      <c r="B60" s="48">
        <f>IF(COUNTIF(Table_System_Grouping_Codes[groupingCodeCode],FC_import[[#This Row],[GroupingCode]])&gt;0,0,1)</f>
        <v>0</v>
      </c>
      <c r="C60" s="43">
        <f>IF(COUNTIF(CUSTGROUP[CustomGroupingCode],FC_import[[#This Row],[CustomGrouping]])&gt;0,0,1)</f>
        <v>0</v>
      </c>
      <c r="D60" s="43" cm="1">
        <f t="array" ref="D60">IF(FC_import[[#This Row],[AvailableToAllSchools]]=TRUE,0,COUNTA(_xlfn.TEXTSPLIT(FC_import[[#This Row],[SchoolCodes]],",",,TRUE))-SUM(COUNTIF(SCHOOLS[SchoolCode],_xlfn.TEXTSPLIT(FC_import[[#This Row],[SchoolCodes]],",",,TRUE))))</f>
        <v>0</v>
      </c>
      <c r="E60" s="43">
        <f>IF(FC_import[[#This Row],[FinanceCodeTypeCode]]="BUDGET",0,COUNTIF(P:P,P60)-1)</f>
        <v>0</v>
      </c>
      <c r="F60" s="43">
        <f>IF(FC_import[[#This Row],[FinanceCodeTypeCode]]="BUDGET",0,COUNTIF(Q:Q,Q60)-1)</f>
        <v>0</v>
      </c>
      <c r="G60" s="43">
        <f>COUNTIF(Lookup!$A$2:$A$7,R60)-1</f>
        <v>0</v>
      </c>
      <c r="H60" s="43">
        <f>IF(OR(FC_import[[#This Row],[FinanceCodeEnabled]]=TRUE,FC_import[[#This Row],[FinanceCodeEnabled]]=FALSE),0,1)</f>
        <v>0</v>
      </c>
      <c r="I60" s="43">
        <f>IF(LEN(FC_import[[#This Row],[FinanceCode]])&lt;100,0,1)</f>
        <v>0</v>
      </c>
      <c r="J60" s="43">
        <f>IF(TRIM(FC_import[[#This Row],[Title]])="",1,0)</f>
        <v>0</v>
      </c>
      <c r="K60" s="43">
        <f>IF(TRIM(FC_import[[#This Row],[FinanceCode]])="",1,0)</f>
        <v>0</v>
      </c>
      <c r="L60" s="43">
        <f>IF(LEN(FC_import[[#This Row],[Title]])&lt;100,0,1)</f>
        <v>0</v>
      </c>
      <c r="M60" s="43">
        <f>IF(ISBLANK(FC_import[[#This Row],[BalanceToScenario]]),1,0)</f>
        <v>0</v>
      </c>
      <c r="N60" s="43">
        <f>IF(SUBSTITUTE(TEXT(FC_import[[#This Row],[FinanceCode]],10)," ","")=TEXT(FC_import[[#This Row],[FinanceCode]],10),0,1)</f>
        <v>0</v>
      </c>
      <c r="O60" s="43">
        <f t="shared" si="1"/>
        <v>0</v>
      </c>
      <c r="P60" t="s">
        <v>980</v>
      </c>
      <c r="Q60" t="s">
        <v>981</v>
      </c>
      <c r="R60" t="s">
        <v>923</v>
      </c>
      <c r="S60" t="s">
        <v>857</v>
      </c>
      <c r="T60" t="s">
        <v>65</v>
      </c>
      <c r="U60" s="111" t="s">
        <v>1532</v>
      </c>
      <c r="V60" t="b">
        <v>1</v>
      </c>
      <c r="X60" t="b">
        <v>1</v>
      </c>
      <c r="Y60" t="b">
        <v>0</v>
      </c>
      <c r="Z60" t="b">
        <f>FALSE</f>
        <v>0</v>
      </c>
    </row>
    <row r="61" spans="1:26" x14ac:dyDescent="0.3">
      <c r="A61" s="43">
        <f>IF(COUNTIF(LEDGER[LedgerCode],FC_import[[#This Row],[LedgerCode]])&gt;0,0,1)</f>
        <v>0</v>
      </c>
      <c r="B61" s="48">
        <f>IF(COUNTIF(Table_System_Grouping_Codes[groupingCodeCode],FC_import[[#This Row],[GroupingCode]])&gt;0,0,1)</f>
        <v>0</v>
      </c>
      <c r="C61" s="43">
        <f>IF(COUNTIF(CUSTGROUP[CustomGroupingCode],FC_import[[#This Row],[CustomGrouping]])&gt;0,0,1)</f>
        <v>0</v>
      </c>
      <c r="D61" s="43" cm="1">
        <f t="array" ref="D61">IF(FC_import[[#This Row],[AvailableToAllSchools]]=TRUE,0,COUNTA(_xlfn.TEXTSPLIT(FC_import[[#This Row],[SchoolCodes]],",",,TRUE))-SUM(COUNTIF(SCHOOLS[SchoolCode],_xlfn.TEXTSPLIT(FC_import[[#This Row],[SchoolCodes]],",",,TRUE))))</f>
        <v>0</v>
      </c>
      <c r="E61" s="43">
        <f>IF(FC_import[[#This Row],[FinanceCodeTypeCode]]="BUDGET",0,COUNTIF(P:P,P61)-1)</f>
        <v>0</v>
      </c>
      <c r="F61" s="43">
        <f>IF(FC_import[[#This Row],[FinanceCodeTypeCode]]="BUDGET",0,COUNTIF(Q:Q,Q61)-1)</f>
        <v>0</v>
      </c>
      <c r="G61" s="43">
        <f>COUNTIF(Lookup!$A$2:$A$7,R61)-1</f>
        <v>0</v>
      </c>
      <c r="H61" s="43">
        <f>IF(OR(FC_import[[#This Row],[FinanceCodeEnabled]]=TRUE,FC_import[[#This Row],[FinanceCodeEnabled]]=FALSE),0,1)</f>
        <v>0</v>
      </c>
      <c r="I61" s="43">
        <f>IF(LEN(FC_import[[#This Row],[FinanceCode]])&lt;100,0,1)</f>
        <v>0</v>
      </c>
      <c r="J61" s="43">
        <f>IF(TRIM(FC_import[[#This Row],[Title]])="",1,0)</f>
        <v>0</v>
      </c>
      <c r="K61" s="43">
        <f>IF(TRIM(FC_import[[#This Row],[FinanceCode]])="",1,0)</f>
        <v>0</v>
      </c>
      <c r="L61" s="43">
        <f>IF(LEN(FC_import[[#This Row],[Title]])&lt;100,0,1)</f>
        <v>0</v>
      </c>
      <c r="M61" s="43">
        <f>IF(ISBLANK(FC_import[[#This Row],[BalanceToScenario]]),1,0)</f>
        <v>0</v>
      </c>
      <c r="N61" s="43">
        <f>IF(SUBSTITUTE(TEXT(FC_import[[#This Row],[FinanceCode]],10)," ","")=TEXT(FC_import[[#This Row],[FinanceCode]],10),0,1)</f>
        <v>0</v>
      </c>
      <c r="O61" s="43">
        <f t="shared" si="1"/>
        <v>0</v>
      </c>
      <c r="P61" t="s">
        <v>982</v>
      </c>
      <c r="Q61" t="s">
        <v>983</v>
      </c>
      <c r="R61" t="s">
        <v>923</v>
      </c>
      <c r="S61" t="s">
        <v>857</v>
      </c>
      <c r="T61" t="s">
        <v>65</v>
      </c>
      <c r="U61" s="111" t="s">
        <v>1532</v>
      </c>
      <c r="V61" t="b">
        <v>1</v>
      </c>
      <c r="X61" t="b">
        <v>1</v>
      </c>
      <c r="Y61" t="b">
        <v>0</v>
      </c>
      <c r="Z61" t="b">
        <f>FALSE</f>
        <v>0</v>
      </c>
    </row>
    <row r="62" spans="1:26" x14ac:dyDescent="0.3">
      <c r="A62" s="43">
        <f>IF(COUNTIF(LEDGER[LedgerCode],FC_import[[#This Row],[LedgerCode]])&gt;0,0,1)</f>
        <v>0</v>
      </c>
      <c r="B62" s="48">
        <f>IF(COUNTIF(Table_System_Grouping_Codes[groupingCodeCode],FC_import[[#This Row],[GroupingCode]])&gt;0,0,1)</f>
        <v>0</v>
      </c>
      <c r="C62" s="43">
        <f>IF(COUNTIF(CUSTGROUP[CustomGroupingCode],FC_import[[#This Row],[CustomGrouping]])&gt;0,0,1)</f>
        <v>0</v>
      </c>
      <c r="D62" s="43" cm="1">
        <f t="array" ref="D62">IF(FC_import[[#This Row],[AvailableToAllSchools]]=TRUE,0,COUNTA(_xlfn.TEXTSPLIT(FC_import[[#This Row],[SchoolCodes]],",",,TRUE))-SUM(COUNTIF(SCHOOLS[SchoolCode],_xlfn.TEXTSPLIT(FC_import[[#This Row],[SchoolCodes]],",",,TRUE))))</f>
        <v>0</v>
      </c>
      <c r="E62" s="43">
        <f>IF(FC_import[[#This Row],[FinanceCodeTypeCode]]="BUDGET",0,COUNTIF(P:P,P62)-1)</f>
        <v>0</v>
      </c>
      <c r="F62" s="43">
        <f>IF(FC_import[[#This Row],[FinanceCodeTypeCode]]="BUDGET",0,COUNTIF(Q:Q,Q62)-1)</f>
        <v>0</v>
      </c>
      <c r="G62" s="43">
        <f>COUNTIF(Lookup!$A$2:$A$7,R62)-1</f>
        <v>0</v>
      </c>
      <c r="H62" s="43">
        <f>IF(OR(FC_import[[#This Row],[FinanceCodeEnabled]]=TRUE,FC_import[[#This Row],[FinanceCodeEnabled]]=FALSE),0,1)</f>
        <v>0</v>
      </c>
      <c r="I62" s="43">
        <f>IF(LEN(FC_import[[#This Row],[FinanceCode]])&lt;100,0,1)</f>
        <v>0</v>
      </c>
      <c r="J62" s="43">
        <f>IF(TRIM(FC_import[[#This Row],[Title]])="",1,0)</f>
        <v>0</v>
      </c>
      <c r="K62" s="43">
        <f>IF(TRIM(FC_import[[#This Row],[FinanceCode]])="",1,0)</f>
        <v>0</v>
      </c>
      <c r="L62" s="43">
        <f>IF(LEN(FC_import[[#This Row],[Title]])&lt;100,0,1)</f>
        <v>0</v>
      </c>
      <c r="M62" s="43">
        <f>IF(ISBLANK(FC_import[[#This Row],[BalanceToScenario]]),1,0)</f>
        <v>0</v>
      </c>
      <c r="N62" s="43">
        <f>IF(SUBSTITUTE(TEXT(FC_import[[#This Row],[FinanceCode]],10)," ","")=TEXT(FC_import[[#This Row],[FinanceCode]],10),0,1)</f>
        <v>0</v>
      </c>
      <c r="O62" s="43">
        <f t="shared" si="1"/>
        <v>0</v>
      </c>
      <c r="P62" t="s">
        <v>1477</v>
      </c>
      <c r="Q62" t="s">
        <v>1478</v>
      </c>
      <c r="R62" t="s">
        <v>923</v>
      </c>
      <c r="S62" t="s">
        <v>1479</v>
      </c>
      <c r="T62" t="s">
        <v>65</v>
      </c>
      <c r="U62" s="111" t="s">
        <v>1532</v>
      </c>
      <c r="V62" t="b">
        <v>1</v>
      </c>
      <c r="X62" t="b">
        <v>1</v>
      </c>
      <c r="Y62" t="b">
        <v>0</v>
      </c>
      <c r="Z62" t="b">
        <f>FALSE</f>
        <v>0</v>
      </c>
    </row>
    <row r="63" spans="1:26" x14ac:dyDescent="0.3">
      <c r="A63" s="43">
        <f>IF(COUNTIF(LEDGER[LedgerCode],FC_import[[#This Row],[LedgerCode]])&gt;0,0,1)</f>
        <v>0</v>
      </c>
      <c r="B63" s="48">
        <f>IF(COUNTIF(Table_System_Grouping_Codes[groupingCodeCode],FC_import[[#This Row],[GroupingCode]])&gt;0,0,1)</f>
        <v>0</v>
      </c>
      <c r="C63" s="43">
        <f>IF(COUNTIF(CUSTGROUP[CustomGroupingCode],FC_import[[#This Row],[CustomGrouping]])&gt;0,0,1)</f>
        <v>0</v>
      </c>
      <c r="D63" s="43" cm="1">
        <f t="array" ref="D63">IF(FC_import[[#This Row],[AvailableToAllSchools]]=TRUE,0,COUNTA(_xlfn.TEXTSPLIT(FC_import[[#This Row],[SchoolCodes]],",",,TRUE))-SUM(COUNTIF(SCHOOLS[SchoolCode],_xlfn.TEXTSPLIT(FC_import[[#This Row],[SchoolCodes]],",",,TRUE))))</f>
        <v>0</v>
      </c>
      <c r="E63" s="43">
        <f>IF(FC_import[[#This Row],[FinanceCodeTypeCode]]="BUDGET",0,COUNTIF(P:P,P63)-1)</f>
        <v>0</v>
      </c>
      <c r="F63" s="43">
        <f>IF(FC_import[[#This Row],[FinanceCodeTypeCode]]="BUDGET",0,COUNTIF(Q:Q,Q63)-1)</f>
        <v>0</v>
      </c>
      <c r="G63" s="43">
        <f>COUNTIF(Lookup!$A$2:$A$7,R63)-1</f>
        <v>0</v>
      </c>
      <c r="H63" s="43">
        <f>IF(OR(FC_import[[#This Row],[FinanceCodeEnabled]]=TRUE,FC_import[[#This Row],[FinanceCodeEnabled]]=FALSE),0,1)</f>
        <v>0</v>
      </c>
      <c r="I63" s="43">
        <f>IF(LEN(FC_import[[#This Row],[FinanceCode]])&lt;100,0,1)</f>
        <v>0</v>
      </c>
      <c r="J63" s="43">
        <f>IF(TRIM(FC_import[[#This Row],[Title]])="",1,0)</f>
        <v>0</v>
      </c>
      <c r="K63" s="43">
        <f>IF(TRIM(FC_import[[#This Row],[FinanceCode]])="",1,0)</f>
        <v>0</v>
      </c>
      <c r="L63" s="43">
        <f>IF(LEN(FC_import[[#This Row],[Title]])&lt;100,0,1)</f>
        <v>0</v>
      </c>
      <c r="M63" s="43">
        <f>IF(ISBLANK(FC_import[[#This Row],[BalanceToScenario]]),1,0)</f>
        <v>0</v>
      </c>
      <c r="N63" s="43">
        <f>IF(SUBSTITUTE(TEXT(FC_import[[#This Row],[FinanceCode]],10)," ","")=TEXT(FC_import[[#This Row],[FinanceCode]],10),0,1)</f>
        <v>0</v>
      </c>
      <c r="O63" s="43">
        <f t="shared" si="1"/>
        <v>0</v>
      </c>
      <c r="P63" t="s">
        <v>1480</v>
      </c>
      <c r="Q63" t="s">
        <v>1481</v>
      </c>
      <c r="R63" t="s">
        <v>923</v>
      </c>
      <c r="S63" t="s">
        <v>1479</v>
      </c>
      <c r="T63" t="s">
        <v>65</v>
      </c>
      <c r="U63" s="111" t="s">
        <v>1532</v>
      </c>
      <c r="V63" t="b">
        <v>1</v>
      </c>
      <c r="X63" t="b">
        <v>1</v>
      </c>
      <c r="Y63" t="b">
        <v>0</v>
      </c>
      <c r="Z63" t="b">
        <f>FALSE</f>
        <v>0</v>
      </c>
    </row>
    <row r="64" spans="1:26" x14ac:dyDescent="0.3">
      <c r="A64" s="43">
        <f>IF(COUNTIF(LEDGER[LedgerCode],FC_import[[#This Row],[LedgerCode]])&gt;0,0,1)</f>
        <v>0</v>
      </c>
      <c r="B64" s="48">
        <f>IF(COUNTIF(Table_System_Grouping_Codes[groupingCodeCode],FC_import[[#This Row],[GroupingCode]])&gt;0,0,1)</f>
        <v>0</v>
      </c>
      <c r="C64" s="43">
        <f>IF(COUNTIF(CUSTGROUP[CustomGroupingCode],FC_import[[#This Row],[CustomGrouping]])&gt;0,0,1)</f>
        <v>0</v>
      </c>
      <c r="D64" s="43" cm="1">
        <f t="array" ref="D64">IF(FC_import[[#This Row],[AvailableToAllSchools]]=TRUE,0,COUNTA(_xlfn.TEXTSPLIT(FC_import[[#This Row],[SchoolCodes]],",",,TRUE))-SUM(COUNTIF(SCHOOLS[SchoolCode],_xlfn.TEXTSPLIT(FC_import[[#This Row],[SchoolCodes]],",",,TRUE))))</f>
        <v>0</v>
      </c>
      <c r="E64" s="43">
        <f>IF(FC_import[[#This Row],[FinanceCodeTypeCode]]="BUDGET",0,COUNTIF(P:P,P64)-1)</f>
        <v>0</v>
      </c>
      <c r="F64" s="43">
        <f>IF(FC_import[[#This Row],[FinanceCodeTypeCode]]="BUDGET",0,COUNTIF(Q:Q,Q64)-1)</f>
        <v>0</v>
      </c>
      <c r="G64" s="43">
        <f>COUNTIF(Lookup!$A$2:$A$7,R64)-1</f>
        <v>0</v>
      </c>
      <c r="H64" s="43">
        <f>IF(OR(FC_import[[#This Row],[FinanceCodeEnabled]]=TRUE,FC_import[[#This Row],[FinanceCodeEnabled]]=FALSE),0,1)</f>
        <v>0</v>
      </c>
      <c r="I64" s="43">
        <f>IF(LEN(FC_import[[#This Row],[FinanceCode]])&lt;100,0,1)</f>
        <v>0</v>
      </c>
      <c r="J64" s="43">
        <f>IF(TRIM(FC_import[[#This Row],[Title]])="",1,0)</f>
        <v>0</v>
      </c>
      <c r="K64" s="43">
        <f>IF(TRIM(FC_import[[#This Row],[FinanceCode]])="",1,0)</f>
        <v>0</v>
      </c>
      <c r="L64" s="43">
        <f>IF(LEN(FC_import[[#This Row],[Title]])&lt;100,0,1)</f>
        <v>0</v>
      </c>
      <c r="M64" s="43">
        <f>IF(ISBLANK(FC_import[[#This Row],[BalanceToScenario]]),1,0)</f>
        <v>0</v>
      </c>
      <c r="N64" s="43">
        <f>IF(SUBSTITUTE(TEXT(FC_import[[#This Row],[FinanceCode]],10)," ","")=TEXT(FC_import[[#This Row],[FinanceCode]],10),0,1)</f>
        <v>0</v>
      </c>
      <c r="O64" s="43">
        <f t="shared" si="1"/>
        <v>0</v>
      </c>
      <c r="P64" t="s">
        <v>1482</v>
      </c>
      <c r="Q64" t="s">
        <v>1483</v>
      </c>
      <c r="R64" t="s">
        <v>923</v>
      </c>
      <c r="S64" t="s">
        <v>1479</v>
      </c>
      <c r="T64" t="s">
        <v>65</v>
      </c>
      <c r="U64" s="111" t="s">
        <v>1532</v>
      </c>
      <c r="V64" t="b">
        <v>1</v>
      </c>
      <c r="X64" t="b">
        <v>1</v>
      </c>
      <c r="Y64" t="b">
        <v>0</v>
      </c>
      <c r="Z64" t="b">
        <f>FALSE</f>
        <v>0</v>
      </c>
    </row>
    <row r="65" spans="1:26" x14ac:dyDescent="0.3">
      <c r="A65" s="43">
        <f>IF(COUNTIF(LEDGER[LedgerCode],FC_import[[#This Row],[LedgerCode]])&gt;0,0,1)</f>
        <v>0</v>
      </c>
      <c r="B65" s="48">
        <f>IF(COUNTIF(Table_System_Grouping_Codes[groupingCodeCode],FC_import[[#This Row],[GroupingCode]])&gt;0,0,1)</f>
        <v>0</v>
      </c>
      <c r="C65" s="43">
        <f>IF(COUNTIF(CUSTGROUP[CustomGroupingCode],FC_import[[#This Row],[CustomGrouping]])&gt;0,0,1)</f>
        <v>0</v>
      </c>
      <c r="D65" s="43" cm="1">
        <f t="array" ref="D65">IF(FC_import[[#This Row],[AvailableToAllSchools]]=TRUE,0,COUNTA(_xlfn.TEXTSPLIT(FC_import[[#This Row],[SchoolCodes]],",",,TRUE))-SUM(COUNTIF(SCHOOLS[SchoolCode],_xlfn.TEXTSPLIT(FC_import[[#This Row],[SchoolCodes]],",",,TRUE))))</f>
        <v>0</v>
      </c>
      <c r="E65" s="43">
        <f>IF(FC_import[[#This Row],[FinanceCodeTypeCode]]="BUDGET",0,COUNTIF(P:P,P65)-1)</f>
        <v>0</v>
      </c>
      <c r="F65" s="43">
        <f>IF(FC_import[[#This Row],[FinanceCodeTypeCode]]="BUDGET",0,COUNTIF(Q:Q,Q65)-1)</f>
        <v>0</v>
      </c>
      <c r="G65" s="43">
        <f>COUNTIF(Lookup!$A$2:$A$7,R65)-1</f>
        <v>0</v>
      </c>
      <c r="H65" s="43">
        <f>IF(OR(FC_import[[#This Row],[FinanceCodeEnabled]]=TRUE,FC_import[[#This Row],[FinanceCodeEnabled]]=FALSE),0,1)</f>
        <v>0</v>
      </c>
      <c r="I65" s="43">
        <f>IF(LEN(FC_import[[#This Row],[FinanceCode]])&lt;100,0,1)</f>
        <v>0</v>
      </c>
      <c r="J65" s="43">
        <f>IF(TRIM(FC_import[[#This Row],[Title]])="",1,0)</f>
        <v>0</v>
      </c>
      <c r="K65" s="43">
        <f>IF(TRIM(FC_import[[#This Row],[FinanceCode]])="",1,0)</f>
        <v>0</v>
      </c>
      <c r="L65" s="43">
        <f>IF(LEN(FC_import[[#This Row],[Title]])&lt;100,0,1)</f>
        <v>0</v>
      </c>
      <c r="M65" s="43">
        <f>IF(ISBLANK(FC_import[[#This Row],[BalanceToScenario]]),1,0)</f>
        <v>0</v>
      </c>
      <c r="N65" s="43">
        <f>IF(SUBSTITUTE(TEXT(FC_import[[#This Row],[FinanceCode]],10)," ","")=TEXT(FC_import[[#This Row],[FinanceCode]],10),0,1)</f>
        <v>0</v>
      </c>
      <c r="O65" s="43">
        <f t="shared" si="1"/>
        <v>0</v>
      </c>
      <c r="P65" t="s">
        <v>1531</v>
      </c>
      <c r="Q65" t="s">
        <v>1527</v>
      </c>
      <c r="R65" t="s">
        <v>923</v>
      </c>
      <c r="S65" t="s">
        <v>1479</v>
      </c>
      <c r="T65" t="s">
        <v>65</v>
      </c>
      <c r="U65" s="111" t="s">
        <v>1532</v>
      </c>
      <c r="V65" t="b">
        <v>1</v>
      </c>
      <c r="X65" t="b">
        <v>1</v>
      </c>
      <c r="Y65" t="b">
        <v>0</v>
      </c>
      <c r="Z65" t="b">
        <f>FALSE</f>
        <v>0</v>
      </c>
    </row>
    <row r="66" spans="1:26" x14ac:dyDescent="0.3">
      <c r="A66" s="43">
        <f>IF(COUNTIF(LEDGER[LedgerCode],FC_import[[#This Row],[LedgerCode]])&gt;0,0,1)</f>
        <v>0</v>
      </c>
      <c r="B66" s="48">
        <f>IF(COUNTIF(Table_System_Grouping_Codes[groupingCodeCode],FC_import[[#This Row],[GroupingCode]])&gt;0,0,1)</f>
        <v>0</v>
      </c>
      <c r="C66" s="43">
        <f>IF(COUNTIF(CUSTGROUP[CustomGroupingCode],FC_import[[#This Row],[CustomGrouping]])&gt;0,0,1)</f>
        <v>0</v>
      </c>
      <c r="D66" s="43" cm="1">
        <f t="array" ref="D66">IF(FC_import[[#This Row],[AvailableToAllSchools]]=TRUE,0,COUNTA(_xlfn.TEXTSPLIT(FC_import[[#This Row],[SchoolCodes]],",",,TRUE))-SUM(COUNTIF(SCHOOLS[SchoolCode],_xlfn.TEXTSPLIT(FC_import[[#This Row],[SchoolCodes]],",",,TRUE))))</f>
        <v>0</v>
      </c>
      <c r="E66" s="43">
        <f>IF(FC_import[[#This Row],[FinanceCodeTypeCode]]="BUDGET",0,COUNTIF(P:P,P66)-1)</f>
        <v>0</v>
      </c>
      <c r="F66" s="43">
        <f>IF(FC_import[[#This Row],[FinanceCodeTypeCode]]="BUDGET",0,COUNTIF(Q:Q,Q66)-1)</f>
        <v>0</v>
      </c>
      <c r="G66" s="43">
        <f>COUNTIF(Lookup!$A$2:$A$7,R66)-1</f>
        <v>0</v>
      </c>
      <c r="H66" s="43">
        <f>IF(OR(FC_import[[#This Row],[FinanceCodeEnabled]]=TRUE,FC_import[[#This Row],[FinanceCodeEnabled]]=FALSE),0,1)</f>
        <v>0</v>
      </c>
      <c r="I66" s="43">
        <f>IF(LEN(FC_import[[#This Row],[FinanceCode]])&lt;100,0,1)</f>
        <v>0</v>
      </c>
      <c r="J66" s="43">
        <f>IF(TRIM(FC_import[[#This Row],[Title]])="",1,0)</f>
        <v>0</v>
      </c>
      <c r="K66" s="43">
        <f>IF(TRIM(FC_import[[#This Row],[FinanceCode]])="",1,0)</f>
        <v>0</v>
      </c>
      <c r="L66" s="43">
        <f>IF(LEN(FC_import[[#This Row],[Title]])&lt;100,0,1)</f>
        <v>0</v>
      </c>
      <c r="M66" s="43">
        <f>IF(ISBLANK(FC_import[[#This Row],[BalanceToScenario]]),1,0)</f>
        <v>0</v>
      </c>
      <c r="N66" s="43">
        <f>IF(SUBSTITUTE(TEXT(FC_import[[#This Row],[FinanceCode]],10)," ","")=TEXT(FC_import[[#This Row],[FinanceCode]],10),0,1)</f>
        <v>0</v>
      </c>
      <c r="O66" s="43">
        <f t="shared" si="1"/>
        <v>0</v>
      </c>
      <c r="P66" t="s">
        <v>1484</v>
      </c>
      <c r="Q66" t="s">
        <v>1485</v>
      </c>
      <c r="R66" t="s">
        <v>923</v>
      </c>
      <c r="S66" t="s">
        <v>1479</v>
      </c>
      <c r="T66" t="s">
        <v>65</v>
      </c>
      <c r="U66" s="111" t="s">
        <v>1532</v>
      </c>
      <c r="V66" t="b">
        <v>1</v>
      </c>
      <c r="X66" t="b">
        <v>1</v>
      </c>
      <c r="Y66" t="b">
        <v>0</v>
      </c>
      <c r="Z66" t="b">
        <f>FALSE</f>
        <v>0</v>
      </c>
    </row>
    <row r="67" spans="1:26" x14ac:dyDescent="0.3">
      <c r="A67" s="43">
        <f>IF(COUNTIF(LEDGER[LedgerCode],FC_import[[#This Row],[LedgerCode]])&gt;0,0,1)</f>
        <v>0</v>
      </c>
      <c r="B67" s="48">
        <f>IF(COUNTIF(Table_System_Grouping_Codes[groupingCodeCode],FC_import[[#This Row],[GroupingCode]])&gt;0,0,1)</f>
        <v>0</v>
      </c>
      <c r="C67" s="43">
        <f>IF(COUNTIF(CUSTGROUP[CustomGroupingCode],FC_import[[#This Row],[CustomGrouping]])&gt;0,0,1)</f>
        <v>0</v>
      </c>
      <c r="D67" s="43" cm="1">
        <f t="array" ref="D67">IF(FC_import[[#This Row],[AvailableToAllSchools]]=TRUE,0,COUNTA(_xlfn.TEXTSPLIT(FC_import[[#This Row],[SchoolCodes]],",",,TRUE))-SUM(COUNTIF(SCHOOLS[SchoolCode],_xlfn.TEXTSPLIT(FC_import[[#This Row],[SchoolCodes]],",",,TRUE))))</f>
        <v>0</v>
      </c>
      <c r="E67" s="43">
        <f>IF(FC_import[[#This Row],[FinanceCodeTypeCode]]="BUDGET",0,COUNTIF(P:P,P67)-1)</f>
        <v>0</v>
      </c>
      <c r="F67" s="43">
        <f>IF(FC_import[[#This Row],[FinanceCodeTypeCode]]="BUDGET",0,COUNTIF(Q:Q,Q67)-1)</f>
        <v>0</v>
      </c>
      <c r="G67" s="43">
        <f>COUNTIF(Lookup!$A$2:$A$7,R67)-1</f>
        <v>0</v>
      </c>
      <c r="H67" s="43">
        <f>IF(OR(FC_import[[#This Row],[FinanceCodeEnabled]]=TRUE,FC_import[[#This Row],[FinanceCodeEnabled]]=FALSE),0,1)</f>
        <v>0</v>
      </c>
      <c r="I67" s="43">
        <f>IF(LEN(FC_import[[#This Row],[FinanceCode]])&lt;100,0,1)</f>
        <v>0</v>
      </c>
      <c r="J67" s="43">
        <f>IF(TRIM(FC_import[[#This Row],[Title]])="",1,0)</f>
        <v>0</v>
      </c>
      <c r="K67" s="43">
        <f>IF(TRIM(FC_import[[#This Row],[FinanceCode]])="",1,0)</f>
        <v>0</v>
      </c>
      <c r="L67" s="43">
        <f>IF(LEN(FC_import[[#This Row],[Title]])&lt;100,0,1)</f>
        <v>0</v>
      </c>
      <c r="M67" s="43">
        <f>IF(ISBLANK(FC_import[[#This Row],[BalanceToScenario]]),1,0)</f>
        <v>0</v>
      </c>
      <c r="N67" s="43">
        <f>IF(SUBSTITUTE(TEXT(FC_import[[#This Row],[FinanceCode]],10)," ","")=TEXT(FC_import[[#This Row],[FinanceCode]],10),0,1)</f>
        <v>0</v>
      </c>
      <c r="O67" s="43">
        <f t="shared" si="1"/>
        <v>0</v>
      </c>
      <c r="P67" t="s">
        <v>1486</v>
      </c>
      <c r="Q67" t="s">
        <v>1487</v>
      </c>
      <c r="R67" t="s">
        <v>923</v>
      </c>
      <c r="S67" t="s">
        <v>1479</v>
      </c>
      <c r="T67" t="s">
        <v>65</v>
      </c>
      <c r="U67" s="111" t="s">
        <v>1532</v>
      </c>
      <c r="V67" t="b">
        <v>1</v>
      </c>
      <c r="X67" t="b">
        <v>1</v>
      </c>
      <c r="Y67" t="b">
        <v>0</v>
      </c>
      <c r="Z67" t="b">
        <f>FALSE</f>
        <v>0</v>
      </c>
    </row>
    <row r="68" spans="1:26" x14ac:dyDescent="0.3">
      <c r="A68" s="43">
        <f>IF(COUNTIF(LEDGER[LedgerCode],FC_import[[#This Row],[LedgerCode]])&gt;0,0,1)</f>
        <v>0</v>
      </c>
      <c r="B68" s="48">
        <f>IF(COUNTIF(Table_System_Grouping_Codes[groupingCodeCode],FC_import[[#This Row],[GroupingCode]])&gt;0,0,1)</f>
        <v>0</v>
      </c>
      <c r="C68" s="43">
        <f>IF(COUNTIF(CUSTGROUP[CustomGroupingCode],FC_import[[#This Row],[CustomGrouping]])&gt;0,0,1)</f>
        <v>0</v>
      </c>
      <c r="D68" s="43" cm="1">
        <f t="array" ref="D68">IF(FC_import[[#This Row],[AvailableToAllSchools]]=TRUE,0,COUNTA(_xlfn.TEXTSPLIT(FC_import[[#This Row],[SchoolCodes]],",",,TRUE))-SUM(COUNTIF(SCHOOLS[SchoolCode],_xlfn.TEXTSPLIT(FC_import[[#This Row],[SchoolCodes]],",",,TRUE))))</f>
        <v>0</v>
      </c>
      <c r="E68" s="43">
        <f>IF(FC_import[[#This Row],[FinanceCodeTypeCode]]="BUDGET",0,COUNTIF(P:P,P68)-1)</f>
        <v>0</v>
      </c>
      <c r="F68" s="43">
        <f>IF(FC_import[[#This Row],[FinanceCodeTypeCode]]="BUDGET",0,COUNTIF(Q:Q,Q68)-1)</f>
        <v>0</v>
      </c>
      <c r="G68" s="43">
        <f>COUNTIF(Lookup!$A$2:$A$7,R68)-1</f>
        <v>0</v>
      </c>
      <c r="H68" s="43">
        <f>IF(OR(FC_import[[#This Row],[FinanceCodeEnabled]]=TRUE,FC_import[[#This Row],[FinanceCodeEnabled]]=FALSE),0,1)</f>
        <v>0</v>
      </c>
      <c r="I68" s="43">
        <f>IF(LEN(FC_import[[#This Row],[FinanceCode]])&lt;100,0,1)</f>
        <v>0</v>
      </c>
      <c r="J68" s="43">
        <f>IF(TRIM(FC_import[[#This Row],[Title]])="",1,0)</f>
        <v>0</v>
      </c>
      <c r="K68" s="43">
        <f>IF(TRIM(FC_import[[#This Row],[FinanceCode]])="",1,0)</f>
        <v>0</v>
      </c>
      <c r="L68" s="43">
        <f>IF(LEN(FC_import[[#This Row],[Title]])&lt;100,0,1)</f>
        <v>0</v>
      </c>
      <c r="M68" s="43">
        <f>IF(ISBLANK(FC_import[[#This Row],[BalanceToScenario]]),1,0)</f>
        <v>0</v>
      </c>
      <c r="N68" s="43">
        <f>IF(SUBSTITUTE(TEXT(FC_import[[#This Row],[FinanceCode]],10)," ","")=TEXT(FC_import[[#This Row],[FinanceCode]],10),0,1)</f>
        <v>0</v>
      </c>
      <c r="O68" s="43">
        <f t="shared" ref="O68:O96" si="2">SUM(A68:C68,E68:N68)</f>
        <v>0</v>
      </c>
      <c r="P68" t="s">
        <v>1716</v>
      </c>
      <c r="Q68" t="s">
        <v>1717</v>
      </c>
      <c r="R68" t="s">
        <v>923</v>
      </c>
      <c r="S68" t="s">
        <v>65</v>
      </c>
      <c r="T68" t="s">
        <v>65</v>
      </c>
      <c r="U68" s="111" t="s">
        <v>1532</v>
      </c>
      <c r="V68" t="b">
        <v>1</v>
      </c>
      <c r="X68" t="b">
        <v>1</v>
      </c>
      <c r="Y68" t="b">
        <v>0</v>
      </c>
      <c r="Z68" t="b">
        <f>FALSE</f>
        <v>0</v>
      </c>
    </row>
    <row r="69" spans="1:26" x14ac:dyDescent="0.3">
      <c r="A69" s="43">
        <f>IF(COUNTIF(LEDGER[LedgerCode],FC_import[[#This Row],[LedgerCode]])&gt;0,0,1)</f>
        <v>0</v>
      </c>
      <c r="B69" s="48">
        <f>IF(COUNTIF(Table_System_Grouping_Codes[groupingCodeCode],FC_import[[#This Row],[GroupingCode]])&gt;0,0,1)</f>
        <v>0</v>
      </c>
      <c r="C69" s="43">
        <f>IF(COUNTIF(CUSTGROUP[CustomGroupingCode],FC_import[[#This Row],[CustomGrouping]])&gt;0,0,1)</f>
        <v>0</v>
      </c>
      <c r="D69" s="43" cm="1">
        <f t="array" ref="D69">IF(FC_import[[#This Row],[AvailableToAllSchools]]=TRUE,0,COUNTA(_xlfn.TEXTSPLIT(FC_import[[#This Row],[SchoolCodes]],",",,TRUE))-SUM(COUNTIF(SCHOOLS[SchoolCode],_xlfn.TEXTSPLIT(FC_import[[#This Row],[SchoolCodes]],",",,TRUE))))</f>
        <v>0</v>
      </c>
      <c r="E69" s="43">
        <f>IF(FC_import[[#This Row],[FinanceCodeTypeCode]]="BUDGET",0,COUNTIF(P:P,P69)-1)</f>
        <v>0</v>
      </c>
      <c r="F69" s="43">
        <f>IF(FC_import[[#This Row],[FinanceCodeTypeCode]]="BUDGET",0,COUNTIF(Q:Q,Q69)-1)</f>
        <v>0</v>
      </c>
      <c r="G69" s="43">
        <f>COUNTIF(Lookup!$A$2:$A$7,R69)-1</f>
        <v>0</v>
      </c>
      <c r="H69" s="43">
        <f>IF(OR(FC_import[[#This Row],[FinanceCodeEnabled]]=TRUE,FC_import[[#This Row],[FinanceCodeEnabled]]=FALSE),0,1)</f>
        <v>0</v>
      </c>
      <c r="I69" s="43">
        <f>IF(LEN(FC_import[[#This Row],[FinanceCode]])&lt;100,0,1)</f>
        <v>0</v>
      </c>
      <c r="J69" s="43">
        <f>IF(TRIM(FC_import[[#This Row],[Title]])="",1,0)</f>
        <v>0</v>
      </c>
      <c r="K69" s="43">
        <f>IF(TRIM(FC_import[[#This Row],[FinanceCode]])="",1,0)</f>
        <v>0</v>
      </c>
      <c r="L69" s="43">
        <f>IF(LEN(FC_import[[#This Row],[Title]])&lt;100,0,1)</f>
        <v>0</v>
      </c>
      <c r="M69" s="43">
        <f>IF(ISBLANK(FC_import[[#This Row],[BalanceToScenario]]),1,0)</f>
        <v>0</v>
      </c>
      <c r="N69" s="43">
        <f>IF(SUBSTITUTE(TEXT(FC_import[[#This Row],[FinanceCode]],10)," ","")=TEXT(FC_import[[#This Row],[FinanceCode]],10),0,1)</f>
        <v>0</v>
      </c>
      <c r="O69" s="43">
        <f t="shared" si="2"/>
        <v>0</v>
      </c>
      <c r="P69" t="s">
        <v>1488</v>
      </c>
      <c r="Q69" t="s">
        <v>1489</v>
      </c>
      <c r="R69" t="s">
        <v>923</v>
      </c>
      <c r="S69" t="s">
        <v>1479</v>
      </c>
      <c r="T69" t="s">
        <v>65</v>
      </c>
      <c r="U69" s="111" t="s">
        <v>1532</v>
      </c>
      <c r="V69" t="b">
        <v>1</v>
      </c>
      <c r="X69" t="b">
        <v>1</v>
      </c>
      <c r="Y69" t="b">
        <v>0</v>
      </c>
      <c r="Z69" t="b">
        <f>FALSE</f>
        <v>0</v>
      </c>
    </row>
    <row r="70" spans="1:26" x14ac:dyDescent="0.3">
      <c r="A70" s="43">
        <f>IF(COUNTIF(LEDGER[LedgerCode],FC_import[[#This Row],[LedgerCode]])&gt;0,0,1)</f>
        <v>0</v>
      </c>
      <c r="B70" s="48">
        <f>IF(COUNTIF(Table_System_Grouping_Codes[groupingCodeCode],FC_import[[#This Row],[GroupingCode]])&gt;0,0,1)</f>
        <v>0</v>
      </c>
      <c r="C70" s="43">
        <f>IF(COUNTIF(CUSTGROUP[CustomGroupingCode],FC_import[[#This Row],[CustomGrouping]])&gt;0,0,1)</f>
        <v>0</v>
      </c>
      <c r="D70" s="43" cm="1">
        <f t="array" ref="D70">IF(FC_import[[#This Row],[AvailableToAllSchools]]=TRUE,0,COUNTA(_xlfn.TEXTSPLIT(FC_import[[#This Row],[SchoolCodes]],",",,TRUE))-SUM(COUNTIF(SCHOOLS[SchoolCode],_xlfn.TEXTSPLIT(FC_import[[#This Row],[SchoolCodes]],",",,TRUE))))</f>
        <v>0</v>
      </c>
      <c r="E70" s="43">
        <f>IF(FC_import[[#This Row],[FinanceCodeTypeCode]]="BUDGET",0,COUNTIF(P:P,P70)-1)</f>
        <v>0</v>
      </c>
      <c r="F70" s="43">
        <f>IF(FC_import[[#This Row],[FinanceCodeTypeCode]]="BUDGET",0,COUNTIF(Q:Q,Q70)-1)</f>
        <v>0</v>
      </c>
      <c r="G70" s="43">
        <f>COUNTIF(Lookup!$A$2:$A$7,R70)-1</f>
        <v>0</v>
      </c>
      <c r="H70" s="43">
        <f>IF(OR(FC_import[[#This Row],[FinanceCodeEnabled]]=TRUE,FC_import[[#This Row],[FinanceCodeEnabled]]=FALSE),0,1)</f>
        <v>0</v>
      </c>
      <c r="I70" s="43">
        <f>IF(LEN(FC_import[[#This Row],[FinanceCode]])&lt;100,0,1)</f>
        <v>0</v>
      </c>
      <c r="J70" s="43">
        <f>IF(TRIM(FC_import[[#This Row],[Title]])="",1,0)</f>
        <v>0</v>
      </c>
      <c r="K70" s="43">
        <f>IF(TRIM(FC_import[[#This Row],[FinanceCode]])="",1,0)</f>
        <v>0</v>
      </c>
      <c r="L70" s="43">
        <f>IF(LEN(FC_import[[#This Row],[Title]])&lt;100,0,1)</f>
        <v>0</v>
      </c>
      <c r="M70" s="43">
        <f>IF(ISBLANK(FC_import[[#This Row],[BalanceToScenario]]),1,0)</f>
        <v>0</v>
      </c>
      <c r="N70" s="43">
        <f>IF(SUBSTITUTE(TEXT(FC_import[[#This Row],[FinanceCode]],10)," ","")=TEXT(FC_import[[#This Row],[FinanceCode]],10),0,1)</f>
        <v>0</v>
      </c>
      <c r="O70" s="43">
        <f t="shared" si="2"/>
        <v>0</v>
      </c>
      <c r="P70" t="s">
        <v>1490</v>
      </c>
      <c r="Q70" t="s">
        <v>1491</v>
      </c>
      <c r="R70" t="s">
        <v>923</v>
      </c>
      <c r="S70" t="s">
        <v>1479</v>
      </c>
      <c r="T70" t="s">
        <v>65</v>
      </c>
      <c r="U70" s="111" t="s">
        <v>1532</v>
      </c>
      <c r="V70" t="b">
        <v>1</v>
      </c>
      <c r="X70" t="b">
        <v>1</v>
      </c>
      <c r="Y70" t="b">
        <v>0</v>
      </c>
      <c r="Z70" t="b">
        <f>FALSE</f>
        <v>0</v>
      </c>
    </row>
    <row r="71" spans="1:26" x14ac:dyDescent="0.3">
      <c r="A71" s="43">
        <f>IF(COUNTIF(LEDGER[LedgerCode],FC_import[[#This Row],[LedgerCode]])&gt;0,0,1)</f>
        <v>0</v>
      </c>
      <c r="B71" s="48">
        <f>IF(COUNTIF(Table_System_Grouping_Codes[groupingCodeCode],FC_import[[#This Row],[GroupingCode]])&gt;0,0,1)</f>
        <v>0</v>
      </c>
      <c r="C71" s="43">
        <f>IF(COUNTIF(CUSTGROUP[CustomGroupingCode],FC_import[[#This Row],[CustomGrouping]])&gt;0,0,1)</f>
        <v>0</v>
      </c>
      <c r="D71" s="43" cm="1">
        <f t="array" ref="D71">IF(FC_import[[#This Row],[AvailableToAllSchools]]=TRUE,0,COUNTA(_xlfn.TEXTSPLIT(FC_import[[#This Row],[SchoolCodes]],",",,TRUE))-SUM(COUNTIF(SCHOOLS[SchoolCode],_xlfn.TEXTSPLIT(FC_import[[#This Row],[SchoolCodes]],",",,TRUE))))</f>
        <v>0</v>
      </c>
      <c r="E71" s="43">
        <f>IF(FC_import[[#This Row],[FinanceCodeTypeCode]]="BUDGET",0,COUNTIF(P:P,P71)-1)</f>
        <v>0</v>
      </c>
      <c r="F71" s="43">
        <f>IF(FC_import[[#This Row],[FinanceCodeTypeCode]]="BUDGET",0,COUNTIF(Q:Q,Q71)-1)</f>
        <v>0</v>
      </c>
      <c r="G71" s="43">
        <f>COUNTIF(Lookup!$A$2:$A$7,R71)-1</f>
        <v>0</v>
      </c>
      <c r="H71" s="43">
        <f>IF(OR(FC_import[[#This Row],[FinanceCodeEnabled]]=TRUE,FC_import[[#This Row],[FinanceCodeEnabled]]=FALSE),0,1)</f>
        <v>0</v>
      </c>
      <c r="I71" s="43">
        <f>IF(LEN(FC_import[[#This Row],[FinanceCode]])&lt;100,0,1)</f>
        <v>0</v>
      </c>
      <c r="J71" s="43">
        <f>IF(TRIM(FC_import[[#This Row],[Title]])="",1,0)</f>
        <v>0</v>
      </c>
      <c r="K71" s="43">
        <f>IF(TRIM(FC_import[[#This Row],[FinanceCode]])="",1,0)</f>
        <v>0</v>
      </c>
      <c r="L71" s="43">
        <f>IF(LEN(FC_import[[#This Row],[Title]])&lt;100,0,1)</f>
        <v>0</v>
      </c>
      <c r="M71" s="43">
        <f>IF(ISBLANK(FC_import[[#This Row],[BalanceToScenario]]),1,0)</f>
        <v>0</v>
      </c>
      <c r="N71" s="43">
        <f>IF(SUBSTITUTE(TEXT(FC_import[[#This Row],[FinanceCode]],10)," ","")=TEXT(FC_import[[#This Row],[FinanceCode]],10),0,1)</f>
        <v>0</v>
      </c>
      <c r="O71" s="43">
        <f t="shared" si="2"/>
        <v>0</v>
      </c>
      <c r="P71" t="s">
        <v>1492</v>
      </c>
      <c r="Q71" t="s">
        <v>1493</v>
      </c>
      <c r="R71" t="s">
        <v>923</v>
      </c>
      <c r="S71" t="s">
        <v>1479</v>
      </c>
      <c r="T71" t="s">
        <v>65</v>
      </c>
      <c r="U71" s="111" t="s">
        <v>1532</v>
      </c>
      <c r="V71" t="b">
        <v>1</v>
      </c>
      <c r="X71" t="b">
        <v>1</v>
      </c>
      <c r="Y71" t="b">
        <v>0</v>
      </c>
      <c r="Z71" t="b">
        <f>FALSE</f>
        <v>0</v>
      </c>
    </row>
    <row r="72" spans="1:26" x14ac:dyDescent="0.3">
      <c r="A72" s="43">
        <f>IF(COUNTIF(LEDGER[LedgerCode],FC_import[[#This Row],[LedgerCode]])&gt;0,0,1)</f>
        <v>0</v>
      </c>
      <c r="B72" s="48">
        <f>IF(COUNTIF(Table_System_Grouping_Codes[groupingCodeCode],FC_import[[#This Row],[GroupingCode]])&gt;0,0,1)</f>
        <v>0</v>
      </c>
      <c r="C72" s="43">
        <f>IF(COUNTIF(CUSTGROUP[CustomGroupingCode],FC_import[[#This Row],[CustomGrouping]])&gt;0,0,1)</f>
        <v>0</v>
      </c>
      <c r="D72" s="43" cm="1">
        <f t="array" ref="D72">IF(FC_import[[#This Row],[AvailableToAllSchools]]=TRUE,0,COUNTA(_xlfn.TEXTSPLIT(FC_import[[#This Row],[SchoolCodes]],",",,TRUE))-SUM(COUNTIF(SCHOOLS[SchoolCode],_xlfn.TEXTSPLIT(FC_import[[#This Row],[SchoolCodes]],",",,TRUE))))</f>
        <v>0</v>
      </c>
      <c r="E72" s="43">
        <f>IF(FC_import[[#This Row],[FinanceCodeTypeCode]]="BUDGET",0,COUNTIF(P:P,P72)-1)</f>
        <v>0</v>
      </c>
      <c r="F72" s="43">
        <f>IF(FC_import[[#This Row],[FinanceCodeTypeCode]]="BUDGET",0,COUNTIF(Q:Q,Q72)-1)</f>
        <v>0</v>
      </c>
      <c r="G72" s="43">
        <f>COUNTIF(Lookup!$A$2:$A$7,R72)-1</f>
        <v>0</v>
      </c>
      <c r="H72" s="43">
        <f>IF(OR(FC_import[[#This Row],[FinanceCodeEnabled]]=TRUE,FC_import[[#This Row],[FinanceCodeEnabled]]=FALSE),0,1)</f>
        <v>0</v>
      </c>
      <c r="I72" s="43">
        <f>IF(LEN(FC_import[[#This Row],[FinanceCode]])&lt;100,0,1)</f>
        <v>0</v>
      </c>
      <c r="J72" s="43">
        <f>IF(TRIM(FC_import[[#This Row],[Title]])="",1,0)</f>
        <v>0</v>
      </c>
      <c r="K72" s="43">
        <f>IF(TRIM(FC_import[[#This Row],[FinanceCode]])="",1,0)</f>
        <v>0</v>
      </c>
      <c r="L72" s="43">
        <f>IF(LEN(FC_import[[#This Row],[Title]])&lt;100,0,1)</f>
        <v>0</v>
      </c>
      <c r="M72" s="43">
        <f>IF(ISBLANK(FC_import[[#This Row],[BalanceToScenario]]),1,0)</f>
        <v>0</v>
      </c>
      <c r="N72" s="43">
        <f>IF(SUBSTITUTE(TEXT(FC_import[[#This Row],[FinanceCode]],10)," ","")=TEXT(FC_import[[#This Row],[FinanceCode]],10),0,1)</f>
        <v>0</v>
      </c>
      <c r="O72" s="43">
        <f t="shared" si="2"/>
        <v>0</v>
      </c>
      <c r="P72" t="s">
        <v>1494</v>
      </c>
      <c r="Q72" t="s">
        <v>1495</v>
      </c>
      <c r="R72" t="s">
        <v>923</v>
      </c>
      <c r="S72" t="s">
        <v>1479</v>
      </c>
      <c r="T72" t="s">
        <v>65</v>
      </c>
      <c r="U72" s="111" t="s">
        <v>1532</v>
      </c>
      <c r="V72" t="b">
        <v>1</v>
      </c>
      <c r="X72" t="b">
        <v>1</v>
      </c>
      <c r="Y72" t="b">
        <v>0</v>
      </c>
      <c r="Z72" t="b">
        <f>FALSE</f>
        <v>0</v>
      </c>
    </row>
    <row r="73" spans="1:26" x14ac:dyDescent="0.3">
      <c r="A73" s="43">
        <f>IF(COUNTIF(LEDGER[LedgerCode],FC_import[[#This Row],[LedgerCode]])&gt;0,0,1)</f>
        <v>0</v>
      </c>
      <c r="B73" s="48">
        <f>IF(COUNTIF(Table_System_Grouping_Codes[groupingCodeCode],FC_import[[#This Row],[GroupingCode]])&gt;0,0,1)</f>
        <v>0</v>
      </c>
      <c r="C73" s="43">
        <f>IF(COUNTIF(CUSTGROUP[CustomGroupingCode],FC_import[[#This Row],[CustomGrouping]])&gt;0,0,1)</f>
        <v>0</v>
      </c>
      <c r="D73" s="43" cm="1">
        <f t="array" ref="D73">IF(FC_import[[#This Row],[AvailableToAllSchools]]=TRUE,0,COUNTA(_xlfn.TEXTSPLIT(FC_import[[#This Row],[SchoolCodes]],",",,TRUE))-SUM(COUNTIF(SCHOOLS[SchoolCode],_xlfn.TEXTSPLIT(FC_import[[#This Row],[SchoolCodes]],",",,TRUE))))</f>
        <v>0</v>
      </c>
      <c r="E73" s="43">
        <f>IF(FC_import[[#This Row],[FinanceCodeTypeCode]]="BUDGET",0,COUNTIF(P:P,P73)-1)</f>
        <v>0</v>
      </c>
      <c r="F73" s="43">
        <f>IF(FC_import[[#This Row],[FinanceCodeTypeCode]]="BUDGET",0,COUNTIF(Q:Q,Q73)-1)</f>
        <v>0</v>
      </c>
      <c r="G73" s="43">
        <f>COUNTIF(Lookup!$A$2:$A$7,R73)-1</f>
        <v>0</v>
      </c>
      <c r="H73" s="43">
        <f>IF(OR(FC_import[[#This Row],[FinanceCodeEnabled]]=TRUE,FC_import[[#This Row],[FinanceCodeEnabled]]=FALSE),0,1)</f>
        <v>0</v>
      </c>
      <c r="I73" s="43">
        <f>IF(LEN(FC_import[[#This Row],[FinanceCode]])&lt;100,0,1)</f>
        <v>0</v>
      </c>
      <c r="J73" s="43">
        <f>IF(TRIM(FC_import[[#This Row],[Title]])="",1,0)</f>
        <v>0</v>
      </c>
      <c r="K73" s="43">
        <f>IF(TRIM(FC_import[[#This Row],[FinanceCode]])="",1,0)</f>
        <v>0</v>
      </c>
      <c r="L73" s="43">
        <f>IF(LEN(FC_import[[#This Row],[Title]])&lt;100,0,1)</f>
        <v>0</v>
      </c>
      <c r="M73" s="43">
        <f>IF(ISBLANK(FC_import[[#This Row],[BalanceToScenario]]),1,0)</f>
        <v>0</v>
      </c>
      <c r="N73" s="43">
        <f>IF(SUBSTITUTE(TEXT(FC_import[[#This Row],[FinanceCode]],10)," ","")=TEXT(FC_import[[#This Row],[FinanceCode]],10),0,1)</f>
        <v>0</v>
      </c>
      <c r="O73" s="43">
        <f t="shared" si="2"/>
        <v>0</v>
      </c>
      <c r="P73" t="s">
        <v>1496</v>
      </c>
      <c r="Q73" t="s">
        <v>1497</v>
      </c>
      <c r="R73" t="s">
        <v>923</v>
      </c>
      <c r="S73" t="s">
        <v>1479</v>
      </c>
      <c r="T73" t="s">
        <v>65</v>
      </c>
      <c r="U73" s="111" t="s">
        <v>1532</v>
      </c>
      <c r="V73" t="b">
        <v>1</v>
      </c>
      <c r="X73" t="b">
        <v>1</v>
      </c>
      <c r="Y73" t="b">
        <v>0</v>
      </c>
      <c r="Z73" t="b">
        <f>FALSE</f>
        <v>0</v>
      </c>
    </row>
    <row r="74" spans="1:26" x14ac:dyDescent="0.3">
      <c r="A74" s="43">
        <f>IF(COUNTIF(LEDGER[LedgerCode],FC_import[[#This Row],[LedgerCode]])&gt;0,0,1)</f>
        <v>0</v>
      </c>
      <c r="B74" s="48">
        <f>IF(COUNTIF(Table_System_Grouping_Codes[groupingCodeCode],FC_import[[#This Row],[GroupingCode]])&gt;0,0,1)</f>
        <v>0</v>
      </c>
      <c r="C74" s="43">
        <f>IF(COUNTIF(CUSTGROUP[CustomGroupingCode],FC_import[[#This Row],[CustomGrouping]])&gt;0,0,1)</f>
        <v>0</v>
      </c>
      <c r="D74" s="43" cm="1">
        <f t="array" ref="D74">IF(FC_import[[#This Row],[AvailableToAllSchools]]=TRUE,0,COUNTA(_xlfn.TEXTSPLIT(FC_import[[#This Row],[SchoolCodes]],",",,TRUE))-SUM(COUNTIF(SCHOOLS[SchoolCode],_xlfn.TEXTSPLIT(FC_import[[#This Row],[SchoolCodes]],",",,TRUE))))</f>
        <v>0</v>
      </c>
      <c r="E74" s="43">
        <f>IF(FC_import[[#This Row],[FinanceCodeTypeCode]]="BUDGET",0,COUNTIF(P:P,P74)-1)</f>
        <v>0</v>
      </c>
      <c r="F74" s="43">
        <f>IF(FC_import[[#This Row],[FinanceCodeTypeCode]]="BUDGET",0,COUNTIF(Q:Q,Q74)-1)</f>
        <v>0</v>
      </c>
      <c r="G74" s="43">
        <f>COUNTIF(Lookup!$A$2:$A$7,R74)-1</f>
        <v>0</v>
      </c>
      <c r="H74" s="43">
        <f>IF(OR(FC_import[[#This Row],[FinanceCodeEnabled]]=TRUE,FC_import[[#This Row],[FinanceCodeEnabled]]=FALSE),0,1)</f>
        <v>0</v>
      </c>
      <c r="I74" s="43">
        <f>IF(LEN(FC_import[[#This Row],[FinanceCode]])&lt;100,0,1)</f>
        <v>0</v>
      </c>
      <c r="J74" s="43">
        <f>IF(TRIM(FC_import[[#This Row],[Title]])="",1,0)</f>
        <v>0</v>
      </c>
      <c r="K74" s="43">
        <f>IF(TRIM(FC_import[[#This Row],[FinanceCode]])="",1,0)</f>
        <v>0</v>
      </c>
      <c r="L74" s="43">
        <f>IF(LEN(FC_import[[#This Row],[Title]])&lt;100,0,1)</f>
        <v>0</v>
      </c>
      <c r="M74" s="43">
        <f>IF(ISBLANK(FC_import[[#This Row],[BalanceToScenario]]),1,0)</f>
        <v>0</v>
      </c>
      <c r="N74" s="43">
        <f>IF(SUBSTITUTE(TEXT(FC_import[[#This Row],[FinanceCode]],10)," ","")=TEXT(FC_import[[#This Row],[FinanceCode]],10),0,1)</f>
        <v>0</v>
      </c>
      <c r="O74" s="43">
        <f t="shared" si="2"/>
        <v>0</v>
      </c>
      <c r="P74" t="s">
        <v>1498</v>
      </c>
      <c r="Q74" t="s">
        <v>1499</v>
      </c>
      <c r="R74" t="s">
        <v>923</v>
      </c>
      <c r="S74" t="s">
        <v>1479</v>
      </c>
      <c r="T74" t="s">
        <v>65</v>
      </c>
      <c r="U74" s="111" t="s">
        <v>1532</v>
      </c>
      <c r="V74" t="b">
        <v>1</v>
      </c>
      <c r="X74" t="b">
        <v>1</v>
      </c>
      <c r="Y74" t="b">
        <v>0</v>
      </c>
      <c r="Z74" t="b">
        <f>FALSE</f>
        <v>0</v>
      </c>
    </row>
    <row r="75" spans="1:26" x14ac:dyDescent="0.3">
      <c r="A75" s="43">
        <f>IF(COUNTIF(LEDGER[LedgerCode],FC_import[[#This Row],[LedgerCode]])&gt;0,0,1)</f>
        <v>0</v>
      </c>
      <c r="B75" s="48">
        <f>IF(COUNTIF(Table_System_Grouping_Codes[groupingCodeCode],FC_import[[#This Row],[GroupingCode]])&gt;0,0,1)</f>
        <v>0</v>
      </c>
      <c r="C75" s="43">
        <f>IF(COUNTIF(CUSTGROUP[CustomGroupingCode],FC_import[[#This Row],[CustomGrouping]])&gt;0,0,1)</f>
        <v>0</v>
      </c>
      <c r="D75" s="43" cm="1">
        <f t="array" ref="D75">IF(FC_import[[#This Row],[AvailableToAllSchools]]=TRUE,0,COUNTA(_xlfn.TEXTSPLIT(FC_import[[#This Row],[SchoolCodes]],",",,TRUE))-SUM(COUNTIF(SCHOOLS[SchoolCode],_xlfn.TEXTSPLIT(FC_import[[#This Row],[SchoolCodes]],",",,TRUE))))</f>
        <v>0</v>
      </c>
      <c r="E75" s="43">
        <f>IF(FC_import[[#This Row],[FinanceCodeTypeCode]]="BUDGET",0,COUNTIF(P:P,P75)-1)</f>
        <v>0</v>
      </c>
      <c r="F75" s="43">
        <f>IF(FC_import[[#This Row],[FinanceCodeTypeCode]]="BUDGET",0,COUNTIF(Q:Q,Q75)-1)</f>
        <v>0</v>
      </c>
      <c r="G75" s="43">
        <f>COUNTIF(Lookup!$A$2:$A$7,R75)-1</f>
        <v>0</v>
      </c>
      <c r="H75" s="43">
        <f>IF(OR(FC_import[[#This Row],[FinanceCodeEnabled]]=TRUE,FC_import[[#This Row],[FinanceCodeEnabled]]=FALSE),0,1)</f>
        <v>0</v>
      </c>
      <c r="I75" s="43">
        <f>IF(LEN(FC_import[[#This Row],[FinanceCode]])&lt;100,0,1)</f>
        <v>0</v>
      </c>
      <c r="J75" s="43">
        <f>IF(TRIM(FC_import[[#This Row],[Title]])="",1,0)</f>
        <v>0</v>
      </c>
      <c r="K75" s="43">
        <f>IF(TRIM(FC_import[[#This Row],[FinanceCode]])="",1,0)</f>
        <v>0</v>
      </c>
      <c r="L75" s="43">
        <f>IF(LEN(FC_import[[#This Row],[Title]])&lt;100,0,1)</f>
        <v>0</v>
      </c>
      <c r="M75" s="43">
        <f>IF(ISBLANK(FC_import[[#This Row],[BalanceToScenario]]),1,0)</f>
        <v>0</v>
      </c>
      <c r="N75" s="43">
        <f>IF(SUBSTITUTE(TEXT(FC_import[[#This Row],[FinanceCode]],10)," ","")=TEXT(FC_import[[#This Row],[FinanceCode]],10),0,1)</f>
        <v>0</v>
      </c>
      <c r="O75" s="43">
        <f t="shared" si="2"/>
        <v>0</v>
      </c>
      <c r="P75" t="s">
        <v>1500</v>
      </c>
      <c r="Q75" t="s">
        <v>1501</v>
      </c>
      <c r="R75" t="s">
        <v>923</v>
      </c>
      <c r="S75" t="s">
        <v>1502</v>
      </c>
      <c r="T75" t="s">
        <v>65</v>
      </c>
      <c r="U75" s="111" t="s">
        <v>1532</v>
      </c>
      <c r="V75" t="b">
        <v>1</v>
      </c>
      <c r="X75" t="b">
        <v>1</v>
      </c>
      <c r="Y75" t="b">
        <v>0</v>
      </c>
      <c r="Z75" t="b">
        <f>FALSE</f>
        <v>0</v>
      </c>
    </row>
    <row r="76" spans="1:26" x14ac:dyDescent="0.3">
      <c r="A76" s="43">
        <f>IF(COUNTIF(LEDGER[LedgerCode],FC_import[[#This Row],[LedgerCode]])&gt;0,0,1)</f>
        <v>0</v>
      </c>
      <c r="B76" s="48">
        <f>IF(COUNTIF(Table_System_Grouping_Codes[groupingCodeCode],FC_import[[#This Row],[GroupingCode]])&gt;0,0,1)</f>
        <v>0</v>
      </c>
      <c r="C76" s="43">
        <f>IF(COUNTIF(CUSTGROUP[CustomGroupingCode],FC_import[[#This Row],[CustomGrouping]])&gt;0,0,1)</f>
        <v>0</v>
      </c>
      <c r="D76" s="43" cm="1">
        <f t="array" ref="D76">IF(FC_import[[#This Row],[AvailableToAllSchools]]=TRUE,0,COUNTA(_xlfn.TEXTSPLIT(FC_import[[#This Row],[SchoolCodes]],",",,TRUE))-SUM(COUNTIF(SCHOOLS[SchoolCode],_xlfn.TEXTSPLIT(FC_import[[#This Row],[SchoolCodes]],",",,TRUE))))</f>
        <v>0</v>
      </c>
      <c r="E76" s="43">
        <f>IF(FC_import[[#This Row],[FinanceCodeTypeCode]]="BUDGET",0,COUNTIF(P:P,P76)-1)</f>
        <v>0</v>
      </c>
      <c r="F76" s="43">
        <f>IF(FC_import[[#This Row],[FinanceCodeTypeCode]]="BUDGET",0,COUNTIF(Q:Q,Q76)-1)</f>
        <v>0</v>
      </c>
      <c r="G76" s="43">
        <f>COUNTIF(Lookup!$A$2:$A$7,R76)-1</f>
        <v>0</v>
      </c>
      <c r="H76" s="43">
        <f>IF(OR(FC_import[[#This Row],[FinanceCodeEnabled]]=TRUE,FC_import[[#This Row],[FinanceCodeEnabled]]=FALSE),0,1)</f>
        <v>0</v>
      </c>
      <c r="I76" s="43">
        <f>IF(LEN(FC_import[[#This Row],[FinanceCode]])&lt;100,0,1)</f>
        <v>0</v>
      </c>
      <c r="J76" s="43">
        <f>IF(TRIM(FC_import[[#This Row],[Title]])="",1,0)</f>
        <v>0</v>
      </c>
      <c r="K76" s="43">
        <f>IF(TRIM(FC_import[[#This Row],[FinanceCode]])="",1,0)</f>
        <v>0</v>
      </c>
      <c r="L76" s="43">
        <f>IF(LEN(FC_import[[#This Row],[Title]])&lt;100,0,1)</f>
        <v>0</v>
      </c>
      <c r="M76" s="43">
        <f>IF(ISBLANK(FC_import[[#This Row],[BalanceToScenario]]),1,0)</f>
        <v>0</v>
      </c>
      <c r="N76" s="43">
        <f>IF(SUBSTITUTE(TEXT(FC_import[[#This Row],[FinanceCode]],10)," ","")=TEXT(FC_import[[#This Row],[FinanceCode]],10),0,1)</f>
        <v>0</v>
      </c>
      <c r="O76" s="43">
        <f t="shared" si="2"/>
        <v>0</v>
      </c>
      <c r="P76" t="s">
        <v>1503</v>
      </c>
      <c r="Q76" t="s">
        <v>1504</v>
      </c>
      <c r="R76" t="s">
        <v>923</v>
      </c>
      <c r="S76" t="s">
        <v>1479</v>
      </c>
      <c r="T76" t="s">
        <v>65</v>
      </c>
      <c r="U76" s="111" t="s">
        <v>1532</v>
      </c>
      <c r="V76" t="b">
        <v>1</v>
      </c>
      <c r="X76" t="b">
        <v>1</v>
      </c>
      <c r="Y76" t="b">
        <v>0</v>
      </c>
      <c r="Z76" t="b">
        <f>FALSE</f>
        <v>0</v>
      </c>
    </row>
    <row r="77" spans="1:26" x14ac:dyDescent="0.3">
      <c r="A77" s="43">
        <f>IF(COUNTIF(LEDGER[LedgerCode],FC_import[[#This Row],[LedgerCode]])&gt;0,0,1)</f>
        <v>0</v>
      </c>
      <c r="B77" s="48">
        <f>IF(COUNTIF(Table_System_Grouping_Codes[groupingCodeCode],FC_import[[#This Row],[GroupingCode]])&gt;0,0,1)</f>
        <v>0</v>
      </c>
      <c r="C77" s="43">
        <f>IF(COUNTIF(CUSTGROUP[CustomGroupingCode],FC_import[[#This Row],[CustomGrouping]])&gt;0,0,1)</f>
        <v>0</v>
      </c>
      <c r="D77" s="43" cm="1">
        <f t="array" ref="D77">IF(FC_import[[#This Row],[AvailableToAllSchools]]=TRUE,0,COUNTA(_xlfn.TEXTSPLIT(FC_import[[#This Row],[SchoolCodes]],",",,TRUE))-SUM(COUNTIF(SCHOOLS[SchoolCode],_xlfn.TEXTSPLIT(FC_import[[#This Row],[SchoolCodes]],",",,TRUE))))</f>
        <v>0</v>
      </c>
      <c r="E77" s="43">
        <f>IF(FC_import[[#This Row],[FinanceCodeTypeCode]]="BUDGET",0,COUNTIF(P:P,P77)-1)</f>
        <v>0</v>
      </c>
      <c r="F77" s="43">
        <f>IF(FC_import[[#This Row],[FinanceCodeTypeCode]]="BUDGET",0,COUNTIF(Q:Q,Q77)-1)</f>
        <v>0</v>
      </c>
      <c r="G77" s="43">
        <f>COUNTIF(Lookup!$A$2:$A$7,R77)-1</f>
        <v>0</v>
      </c>
      <c r="H77" s="43">
        <f>IF(OR(FC_import[[#This Row],[FinanceCodeEnabled]]=TRUE,FC_import[[#This Row],[FinanceCodeEnabled]]=FALSE),0,1)</f>
        <v>0</v>
      </c>
      <c r="I77" s="43">
        <f>IF(LEN(FC_import[[#This Row],[FinanceCode]])&lt;100,0,1)</f>
        <v>0</v>
      </c>
      <c r="J77" s="43">
        <f>IF(TRIM(FC_import[[#This Row],[Title]])="",1,0)</f>
        <v>0</v>
      </c>
      <c r="K77" s="43">
        <f>IF(TRIM(FC_import[[#This Row],[FinanceCode]])="",1,0)</f>
        <v>0</v>
      </c>
      <c r="L77" s="43">
        <f>IF(LEN(FC_import[[#This Row],[Title]])&lt;100,0,1)</f>
        <v>0</v>
      </c>
      <c r="M77" s="43">
        <f>IF(ISBLANK(FC_import[[#This Row],[BalanceToScenario]]),1,0)</f>
        <v>0</v>
      </c>
      <c r="N77" s="43">
        <f>IF(SUBSTITUTE(TEXT(FC_import[[#This Row],[FinanceCode]],10)," ","")=TEXT(FC_import[[#This Row],[FinanceCode]],10),0,1)</f>
        <v>0</v>
      </c>
      <c r="O77" s="43">
        <f t="shared" si="2"/>
        <v>0</v>
      </c>
      <c r="P77" t="s">
        <v>1505</v>
      </c>
      <c r="Q77" t="s">
        <v>1506</v>
      </c>
      <c r="R77" t="s">
        <v>923</v>
      </c>
      <c r="S77" t="s">
        <v>1479</v>
      </c>
      <c r="T77" t="s">
        <v>65</v>
      </c>
      <c r="U77" s="111" t="s">
        <v>1532</v>
      </c>
      <c r="V77" t="b">
        <v>1</v>
      </c>
      <c r="X77" t="b">
        <v>1</v>
      </c>
      <c r="Y77" t="b">
        <v>0</v>
      </c>
      <c r="Z77" t="b">
        <f>FALSE</f>
        <v>0</v>
      </c>
    </row>
    <row r="78" spans="1:26" x14ac:dyDescent="0.3">
      <c r="A78" s="43">
        <f>IF(COUNTIF(LEDGER[LedgerCode],FC_import[[#This Row],[LedgerCode]])&gt;0,0,1)</f>
        <v>0</v>
      </c>
      <c r="B78" s="48">
        <f>IF(COUNTIF(Table_System_Grouping_Codes[groupingCodeCode],FC_import[[#This Row],[GroupingCode]])&gt;0,0,1)</f>
        <v>0</v>
      </c>
      <c r="C78" s="43">
        <f>IF(COUNTIF(CUSTGROUP[CustomGroupingCode],FC_import[[#This Row],[CustomGrouping]])&gt;0,0,1)</f>
        <v>0</v>
      </c>
      <c r="D78" s="43" cm="1">
        <f t="array" ref="D78">IF(FC_import[[#This Row],[AvailableToAllSchools]]=TRUE,0,COUNTA(_xlfn.TEXTSPLIT(FC_import[[#This Row],[SchoolCodes]],",",,TRUE))-SUM(COUNTIF(SCHOOLS[SchoolCode],_xlfn.TEXTSPLIT(FC_import[[#This Row],[SchoolCodes]],",",,TRUE))))</f>
        <v>0</v>
      </c>
      <c r="E78" s="43">
        <f>IF(FC_import[[#This Row],[FinanceCodeTypeCode]]="BUDGET",0,COUNTIF(P:P,P78)-1)</f>
        <v>0</v>
      </c>
      <c r="F78" s="43">
        <f>IF(FC_import[[#This Row],[FinanceCodeTypeCode]]="BUDGET",0,COUNTIF(Q:Q,Q78)-1)</f>
        <v>0</v>
      </c>
      <c r="G78" s="43">
        <f>COUNTIF(Lookup!$A$2:$A$7,R78)-1</f>
        <v>0</v>
      </c>
      <c r="H78" s="43">
        <f>IF(OR(FC_import[[#This Row],[FinanceCodeEnabled]]=TRUE,FC_import[[#This Row],[FinanceCodeEnabled]]=FALSE),0,1)</f>
        <v>0</v>
      </c>
      <c r="I78" s="43">
        <f>IF(LEN(FC_import[[#This Row],[FinanceCode]])&lt;100,0,1)</f>
        <v>0</v>
      </c>
      <c r="J78" s="43">
        <f>IF(TRIM(FC_import[[#This Row],[Title]])="",1,0)</f>
        <v>0</v>
      </c>
      <c r="K78" s="43">
        <f>IF(TRIM(FC_import[[#This Row],[FinanceCode]])="",1,0)</f>
        <v>0</v>
      </c>
      <c r="L78" s="43">
        <f>IF(LEN(FC_import[[#This Row],[Title]])&lt;100,0,1)</f>
        <v>0</v>
      </c>
      <c r="M78" s="43">
        <f>IF(ISBLANK(FC_import[[#This Row],[BalanceToScenario]]),1,0)</f>
        <v>0</v>
      </c>
      <c r="N78" s="43">
        <f>IF(SUBSTITUTE(TEXT(FC_import[[#This Row],[FinanceCode]],10)," ","")=TEXT(FC_import[[#This Row],[FinanceCode]],10),0,1)</f>
        <v>0</v>
      </c>
      <c r="O78" s="43">
        <f t="shared" si="2"/>
        <v>0</v>
      </c>
      <c r="P78" t="s">
        <v>1507</v>
      </c>
      <c r="Q78" t="s">
        <v>1508</v>
      </c>
      <c r="R78" t="s">
        <v>923</v>
      </c>
      <c r="S78" t="s">
        <v>1479</v>
      </c>
      <c r="T78" t="s">
        <v>65</v>
      </c>
      <c r="U78" s="111" t="s">
        <v>1532</v>
      </c>
      <c r="V78" t="b">
        <v>1</v>
      </c>
      <c r="X78" t="b">
        <v>1</v>
      </c>
      <c r="Y78" t="b">
        <v>0</v>
      </c>
      <c r="Z78" t="b">
        <f>FALSE</f>
        <v>0</v>
      </c>
    </row>
    <row r="79" spans="1:26" x14ac:dyDescent="0.3">
      <c r="A79" s="43">
        <f>IF(COUNTIF(LEDGER[LedgerCode],FC_import[[#This Row],[LedgerCode]])&gt;0,0,1)</f>
        <v>0</v>
      </c>
      <c r="B79" s="48">
        <f>IF(COUNTIF(Table_System_Grouping_Codes[groupingCodeCode],FC_import[[#This Row],[GroupingCode]])&gt;0,0,1)</f>
        <v>0</v>
      </c>
      <c r="C79" s="43">
        <f>IF(COUNTIF(CUSTGROUP[CustomGroupingCode],FC_import[[#This Row],[CustomGrouping]])&gt;0,0,1)</f>
        <v>0</v>
      </c>
      <c r="D79" s="43" cm="1">
        <f t="array" ref="D79">IF(FC_import[[#This Row],[AvailableToAllSchools]]=TRUE,0,COUNTA(_xlfn.TEXTSPLIT(FC_import[[#This Row],[SchoolCodes]],",",,TRUE))-SUM(COUNTIF(SCHOOLS[SchoolCode],_xlfn.TEXTSPLIT(FC_import[[#This Row],[SchoolCodes]],",",,TRUE))))</f>
        <v>0</v>
      </c>
      <c r="E79" s="43">
        <f>IF(FC_import[[#This Row],[FinanceCodeTypeCode]]="BUDGET",0,COUNTIF(P:P,P79)-1)</f>
        <v>0</v>
      </c>
      <c r="F79" s="43">
        <f>IF(FC_import[[#This Row],[FinanceCodeTypeCode]]="BUDGET",0,COUNTIF(Q:Q,Q79)-1)</f>
        <v>0</v>
      </c>
      <c r="G79" s="43">
        <f>COUNTIF(Lookup!$A$2:$A$7,R79)-1</f>
        <v>0</v>
      </c>
      <c r="H79" s="43">
        <f>IF(OR(FC_import[[#This Row],[FinanceCodeEnabled]]=TRUE,FC_import[[#This Row],[FinanceCodeEnabled]]=FALSE),0,1)</f>
        <v>0</v>
      </c>
      <c r="I79" s="43">
        <f>IF(LEN(FC_import[[#This Row],[FinanceCode]])&lt;100,0,1)</f>
        <v>0</v>
      </c>
      <c r="J79" s="43">
        <f>IF(TRIM(FC_import[[#This Row],[Title]])="",1,0)</f>
        <v>0</v>
      </c>
      <c r="K79" s="43">
        <f>IF(TRIM(FC_import[[#This Row],[FinanceCode]])="",1,0)</f>
        <v>0</v>
      </c>
      <c r="L79" s="43">
        <f>IF(LEN(FC_import[[#This Row],[Title]])&lt;100,0,1)</f>
        <v>0</v>
      </c>
      <c r="M79" s="43">
        <f>IF(ISBLANK(FC_import[[#This Row],[BalanceToScenario]]),1,0)</f>
        <v>0</v>
      </c>
      <c r="N79" s="43">
        <f>IF(SUBSTITUTE(TEXT(FC_import[[#This Row],[FinanceCode]],10)," ","")=TEXT(FC_import[[#This Row],[FinanceCode]],10),0,1)</f>
        <v>0</v>
      </c>
      <c r="O79" s="43">
        <f t="shared" si="2"/>
        <v>0</v>
      </c>
      <c r="P79" t="s">
        <v>1509</v>
      </c>
      <c r="Q79" t="s">
        <v>1510</v>
      </c>
      <c r="R79" t="s">
        <v>923</v>
      </c>
      <c r="S79" t="s">
        <v>1479</v>
      </c>
      <c r="T79" t="s">
        <v>65</v>
      </c>
      <c r="U79" s="111" t="s">
        <v>1532</v>
      </c>
      <c r="V79" t="b">
        <v>1</v>
      </c>
      <c r="X79" t="b">
        <v>1</v>
      </c>
      <c r="Y79" t="b">
        <v>0</v>
      </c>
      <c r="Z79" t="b">
        <f>FALSE</f>
        <v>0</v>
      </c>
    </row>
    <row r="80" spans="1:26" x14ac:dyDescent="0.3">
      <c r="A80" s="43">
        <f>IF(COUNTIF(LEDGER[LedgerCode],FC_import[[#This Row],[LedgerCode]])&gt;0,0,1)</f>
        <v>0</v>
      </c>
      <c r="B80" s="48">
        <f>IF(COUNTIF(Table_System_Grouping_Codes[groupingCodeCode],FC_import[[#This Row],[GroupingCode]])&gt;0,0,1)</f>
        <v>0</v>
      </c>
      <c r="C80" s="43">
        <f>IF(COUNTIF(CUSTGROUP[CustomGroupingCode],FC_import[[#This Row],[CustomGrouping]])&gt;0,0,1)</f>
        <v>0</v>
      </c>
      <c r="D80" s="43" cm="1">
        <f t="array" ref="D80">IF(FC_import[[#This Row],[AvailableToAllSchools]]=TRUE,0,COUNTA(_xlfn.TEXTSPLIT(FC_import[[#This Row],[SchoolCodes]],",",,TRUE))-SUM(COUNTIF(SCHOOLS[SchoolCode],_xlfn.TEXTSPLIT(FC_import[[#This Row],[SchoolCodes]],",",,TRUE))))</f>
        <v>0</v>
      </c>
      <c r="E80" s="43">
        <f>IF(FC_import[[#This Row],[FinanceCodeTypeCode]]="BUDGET",0,COUNTIF(P:P,P80)-1)</f>
        <v>0</v>
      </c>
      <c r="F80" s="43">
        <f>IF(FC_import[[#This Row],[FinanceCodeTypeCode]]="BUDGET",0,COUNTIF(Q:Q,Q80)-1)</f>
        <v>0</v>
      </c>
      <c r="G80" s="43">
        <f>COUNTIF(Lookup!$A$2:$A$7,R80)-1</f>
        <v>0</v>
      </c>
      <c r="H80" s="43">
        <f>IF(OR(FC_import[[#This Row],[FinanceCodeEnabled]]=TRUE,FC_import[[#This Row],[FinanceCodeEnabled]]=FALSE),0,1)</f>
        <v>0</v>
      </c>
      <c r="I80" s="43">
        <f>IF(LEN(FC_import[[#This Row],[FinanceCode]])&lt;100,0,1)</f>
        <v>0</v>
      </c>
      <c r="J80" s="43">
        <f>IF(TRIM(FC_import[[#This Row],[Title]])="",1,0)</f>
        <v>0</v>
      </c>
      <c r="K80" s="43">
        <f>IF(TRIM(FC_import[[#This Row],[FinanceCode]])="",1,0)</f>
        <v>0</v>
      </c>
      <c r="L80" s="43">
        <f>IF(LEN(FC_import[[#This Row],[Title]])&lt;100,0,1)</f>
        <v>0</v>
      </c>
      <c r="M80" s="43">
        <f>IF(ISBLANK(FC_import[[#This Row],[BalanceToScenario]]),1,0)</f>
        <v>0</v>
      </c>
      <c r="N80" s="43">
        <f>IF(SUBSTITUTE(TEXT(FC_import[[#This Row],[FinanceCode]],10)," ","")=TEXT(FC_import[[#This Row],[FinanceCode]],10),0,1)</f>
        <v>0</v>
      </c>
      <c r="O80" s="43">
        <f t="shared" si="2"/>
        <v>0</v>
      </c>
      <c r="P80" t="s">
        <v>1511</v>
      </c>
      <c r="Q80" t="s">
        <v>1512</v>
      </c>
      <c r="R80" t="s">
        <v>923</v>
      </c>
      <c r="S80" t="s">
        <v>1479</v>
      </c>
      <c r="T80" t="s">
        <v>65</v>
      </c>
      <c r="U80" s="111" t="s">
        <v>1532</v>
      </c>
      <c r="V80" t="b">
        <v>1</v>
      </c>
      <c r="X80" t="b">
        <v>1</v>
      </c>
      <c r="Y80" t="b">
        <v>0</v>
      </c>
      <c r="Z80" t="b">
        <f>FALSE</f>
        <v>0</v>
      </c>
    </row>
    <row r="81" spans="1:26" x14ac:dyDescent="0.3">
      <c r="A81" s="43">
        <f>IF(COUNTIF(LEDGER[LedgerCode],FC_import[[#This Row],[LedgerCode]])&gt;0,0,1)</f>
        <v>0</v>
      </c>
      <c r="B81" s="48">
        <f>IF(COUNTIF(Table_System_Grouping_Codes[groupingCodeCode],FC_import[[#This Row],[GroupingCode]])&gt;0,0,1)</f>
        <v>0</v>
      </c>
      <c r="C81" s="43">
        <f>IF(COUNTIF(CUSTGROUP[CustomGroupingCode],FC_import[[#This Row],[CustomGrouping]])&gt;0,0,1)</f>
        <v>0</v>
      </c>
      <c r="D81" s="43" cm="1">
        <f t="array" ref="D81">IF(FC_import[[#This Row],[AvailableToAllSchools]]=TRUE,0,COUNTA(_xlfn.TEXTSPLIT(FC_import[[#This Row],[SchoolCodes]],",",,TRUE))-SUM(COUNTIF(SCHOOLS[SchoolCode],_xlfn.TEXTSPLIT(FC_import[[#This Row],[SchoolCodes]],",",,TRUE))))</f>
        <v>0</v>
      </c>
      <c r="E81" s="43">
        <f>IF(FC_import[[#This Row],[FinanceCodeTypeCode]]="BUDGET",0,COUNTIF(P:P,P81)-1)</f>
        <v>0</v>
      </c>
      <c r="F81" s="43">
        <f>IF(FC_import[[#This Row],[FinanceCodeTypeCode]]="BUDGET",0,COUNTIF(Q:Q,Q81)-1)</f>
        <v>0</v>
      </c>
      <c r="G81" s="43">
        <f>COUNTIF(Lookup!$A$2:$A$7,R81)-1</f>
        <v>0</v>
      </c>
      <c r="H81" s="43">
        <f>IF(OR(FC_import[[#This Row],[FinanceCodeEnabled]]=TRUE,FC_import[[#This Row],[FinanceCodeEnabled]]=FALSE),0,1)</f>
        <v>0</v>
      </c>
      <c r="I81" s="43">
        <f>IF(LEN(FC_import[[#This Row],[FinanceCode]])&lt;100,0,1)</f>
        <v>0</v>
      </c>
      <c r="J81" s="43">
        <f>IF(TRIM(FC_import[[#This Row],[Title]])="",1,0)</f>
        <v>0</v>
      </c>
      <c r="K81" s="43">
        <f>IF(TRIM(FC_import[[#This Row],[FinanceCode]])="",1,0)</f>
        <v>0</v>
      </c>
      <c r="L81" s="43">
        <f>IF(LEN(FC_import[[#This Row],[Title]])&lt;100,0,1)</f>
        <v>0</v>
      </c>
      <c r="M81" s="43">
        <f>IF(ISBLANK(FC_import[[#This Row],[BalanceToScenario]]),1,0)</f>
        <v>0</v>
      </c>
      <c r="N81" s="43">
        <f>IF(SUBSTITUTE(TEXT(FC_import[[#This Row],[FinanceCode]],10)," ","")=TEXT(FC_import[[#This Row],[FinanceCode]],10),0,1)</f>
        <v>0</v>
      </c>
      <c r="O81" s="43">
        <f t="shared" si="2"/>
        <v>0</v>
      </c>
      <c r="P81" t="s">
        <v>1513</v>
      </c>
      <c r="Q81" t="s">
        <v>1514</v>
      </c>
      <c r="R81" t="s">
        <v>923</v>
      </c>
      <c r="S81" t="s">
        <v>1479</v>
      </c>
      <c r="T81" t="s">
        <v>65</v>
      </c>
      <c r="U81" s="111" t="s">
        <v>1532</v>
      </c>
      <c r="V81" t="b">
        <v>1</v>
      </c>
      <c r="X81" t="b">
        <v>1</v>
      </c>
      <c r="Y81" t="b">
        <v>0</v>
      </c>
      <c r="Z81" t="b">
        <f>FALSE</f>
        <v>0</v>
      </c>
    </row>
    <row r="82" spans="1:26" x14ac:dyDescent="0.3">
      <c r="A82" s="43">
        <f>IF(COUNTIF(LEDGER[LedgerCode],FC_import[[#This Row],[LedgerCode]])&gt;0,0,1)</f>
        <v>0</v>
      </c>
      <c r="B82" s="48">
        <f>IF(COUNTIF(Table_System_Grouping_Codes[groupingCodeCode],FC_import[[#This Row],[GroupingCode]])&gt;0,0,1)</f>
        <v>0</v>
      </c>
      <c r="C82" s="43">
        <f>IF(COUNTIF(CUSTGROUP[CustomGroupingCode],FC_import[[#This Row],[CustomGrouping]])&gt;0,0,1)</f>
        <v>0</v>
      </c>
      <c r="D82" s="43" cm="1">
        <f t="array" ref="D82">IF(FC_import[[#This Row],[AvailableToAllSchools]]=TRUE,0,COUNTA(_xlfn.TEXTSPLIT(FC_import[[#This Row],[SchoolCodes]],",",,TRUE))-SUM(COUNTIF(SCHOOLS[SchoolCode],_xlfn.TEXTSPLIT(FC_import[[#This Row],[SchoolCodes]],",",,TRUE))))</f>
        <v>0</v>
      </c>
      <c r="E82" s="43">
        <f>IF(FC_import[[#This Row],[FinanceCodeTypeCode]]="BUDGET",0,COUNTIF(P:P,P82)-1)</f>
        <v>0</v>
      </c>
      <c r="F82" s="43">
        <f>IF(FC_import[[#This Row],[FinanceCodeTypeCode]]="BUDGET",0,COUNTIF(Q:Q,Q82)-1)</f>
        <v>0</v>
      </c>
      <c r="G82" s="43">
        <f>COUNTIF(Lookup!$A$2:$A$7,R82)-1</f>
        <v>0</v>
      </c>
      <c r="H82" s="43">
        <f>IF(OR(FC_import[[#This Row],[FinanceCodeEnabled]]=TRUE,FC_import[[#This Row],[FinanceCodeEnabled]]=FALSE),0,1)</f>
        <v>0</v>
      </c>
      <c r="I82" s="43">
        <f>IF(LEN(FC_import[[#This Row],[FinanceCode]])&lt;100,0,1)</f>
        <v>0</v>
      </c>
      <c r="J82" s="43">
        <f>IF(TRIM(FC_import[[#This Row],[Title]])="",1,0)</f>
        <v>0</v>
      </c>
      <c r="K82" s="43">
        <f>IF(TRIM(FC_import[[#This Row],[FinanceCode]])="",1,0)</f>
        <v>0</v>
      </c>
      <c r="L82" s="43">
        <f>IF(LEN(FC_import[[#This Row],[Title]])&lt;100,0,1)</f>
        <v>0</v>
      </c>
      <c r="M82" s="43">
        <f>IF(ISBLANK(FC_import[[#This Row],[BalanceToScenario]]),1,0)</f>
        <v>0</v>
      </c>
      <c r="N82" s="43">
        <f>IF(SUBSTITUTE(TEXT(FC_import[[#This Row],[FinanceCode]],10)," ","")=TEXT(FC_import[[#This Row],[FinanceCode]],10),0,1)</f>
        <v>0</v>
      </c>
      <c r="O82" s="43">
        <f t="shared" si="2"/>
        <v>0</v>
      </c>
      <c r="P82" t="s">
        <v>1515</v>
      </c>
      <c r="Q82" t="s">
        <v>1516</v>
      </c>
      <c r="R82" t="s">
        <v>923</v>
      </c>
      <c r="S82" t="s">
        <v>1502</v>
      </c>
      <c r="T82" t="s">
        <v>65</v>
      </c>
      <c r="U82" s="111" t="s">
        <v>1532</v>
      </c>
      <c r="V82" t="b">
        <v>1</v>
      </c>
      <c r="X82" t="b">
        <v>1</v>
      </c>
      <c r="Y82" t="b">
        <v>0</v>
      </c>
      <c r="Z82" t="b">
        <f>FALSE</f>
        <v>0</v>
      </c>
    </row>
    <row r="83" spans="1:26" x14ac:dyDescent="0.3">
      <c r="A83" s="43">
        <f>IF(COUNTIF(LEDGER[LedgerCode],FC_import[[#This Row],[LedgerCode]])&gt;0,0,1)</f>
        <v>0</v>
      </c>
      <c r="B83" s="48">
        <f>IF(COUNTIF(Table_System_Grouping_Codes[groupingCodeCode],FC_import[[#This Row],[GroupingCode]])&gt;0,0,1)</f>
        <v>0</v>
      </c>
      <c r="C83" s="43">
        <f>IF(COUNTIF(CUSTGROUP[CustomGroupingCode],FC_import[[#This Row],[CustomGrouping]])&gt;0,0,1)</f>
        <v>0</v>
      </c>
      <c r="D83" s="43" cm="1">
        <f t="array" ref="D83">IF(FC_import[[#This Row],[AvailableToAllSchools]]=TRUE,0,COUNTA(_xlfn.TEXTSPLIT(FC_import[[#This Row],[SchoolCodes]],",",,TRUE))-SUM(COUNTIF(SCHOOLS[SchoolCode],_xlfn.TEXTSPLIT(FC_import[[#This Row],[SchoolCodes]],",",,TRUE))))</f>
        <v>0</v>
      </c>
      <c r="E83" s="43">
        <f>IF(FC_import[[#This Row],[FinanceCodeTypeCode]]="BUDGET",0,COUNTIF(P:P,P83)-1)</f>
        <v>0</v>
      </c>
      <c r="F83" s="43">
        <f>IF(FC_import[[#This Row],[FinanceCodeTypeCode]]="BUDGET",0,COUNTIF(Q:Q,Q83)-1)</f>
        <v>0</v>
      </c>
      <c r="G83" s="43">
        <f>COUNTIF(Lookup!$A$2:$A$7,R83)-1</f>
        <v>0</v>
      </c>
      <c r="H83" s="43">
        <f>IF(OR(FC_import[[#This Row],[FinanceCodeEnabled]]=TRUE,FC_import[[#This Row],[FinanceCodeEnabled]]=FALSE),0,1)</f>
        <v>0</v>
      </c>
      <c r="I83" s="43">
        <f>IF(LEN(FC_import[[#This Row],[FinanceCode]])&lt;100,0,1)</f>
        <v>0</v>
      </c>
      <c r="J83" s="43">
        <f>IF(TRIM(FC_import[[#This Row],[Title]])="",1,0)</f>
        <v>0</v>
      </c>
      <c r="K83" s="43">
        <f>IF(TRIM(FC_import[[#This Row],[FinanceCode]])="",1,0)</f>
        <v>0</v>
      </c>
      <c r="L83" s="43">
        <f>IF(LEN(FC_import[[#This Row],[Title]])&lt;100,0,1)</f>
        <v>0</v>
      </c>
      <c r="M83" s="43">
        <f>IF(ISBLANK(FC_import[[#This Row],[BalanceToScenario]]),1,0)</f>
        <v>0</v>
      </c>
      <c r="N83" s="43">
        <f>IF(SUBSTITUTE(TEXT(FC_import[[#This Row],[FinanceCode]],10)," ","")=TEXT(FC_import[[#This Row],[FinanceCode]],10),0,1)</f>
        <v>0</v>
      </c>
      <c r="O83" s="43">
        <f>SUM(A83:C83,E83:N83)</f>
        <v>0</v>
      </c>
      <c r="P83" t="s">
        <v>4915</v>
      </c>
      <c r="Q83" t="s">
        <v>4919</v>
      </c>
      <c r="R83" t="s">
        <v>923</v>
      </c>
      <c r="S83" t="s">
        <v>1502</v>
      </c>
      <c r="T83" t="s">
        <v>65</v>
      </c>
      <c r="U83" s="111" t="s">
        <v>1532</v>
      </c>
      <c r="V83" t="b">
        <v>1</v>
      </c>
      <c r="X83" t="b">
        <v>1</v>
      </c>
      <c r="Y83" t="b">
        <v>0</v>
      </c>
      <c r="Z83" t="b">
        <f>FALSE</f>
        <v>0</v>
      </c>
    </row>
    <row r="84" spans="1:26" x14ac:dyDescent="0.3">
      <c r="A84" s="43">
        <f>IF(COUNTIF(LEDGER[LedgerCode],FC_import[[#This Row],[LedgerCode]])&gt;0,0,1)</f>
        <v>0</v>
      </c>
      <c r="B84" s="48">
        <f>IF(COUNTIF(Table_System_Grouping_Codes[groupingCodeCode],FC_import[[#This Row],[GroupingCode]])&gt;0,0,1)</f>
        <v>0</v>
      </c>
      <c r="C84" s="43">
        <f>IF(COUNTIF(CUSTGROUP[CustomGroupingCode],FC_import[[#This Row],[CustomGrouping]])&gt;0,0,1)</f>
        <v>0</v>
      </c>
      <c r="D84" s="43" cm="1">
        <f t="array" ref="D84">IF(FC_import[[#This Row],[AvailableToAllSchools]]=TRUE,0,COUNTA(_xlfn.TEXTSPLIT(FC_import[[#This Row],[SchoolCodes]],",",,TRUE))-SUM(COUNTIF(SCHOOLS[SchoolCode],_xlfn.TEXTSPLIT(FC_import[[#This Row],[SchoolCodes]],",",,TRUE))))</f>
        <v>0</v>
      </c>
      <c r="E84" s="43">
        <f>IF(FC_import[[#This Row],[FinanceCodeTypeCode]]="BUDGET",0,COUNTIF(P:P,P84)-1)</f>
        <v>0</v>
      </c>
      <c r="F84" s="43">
        <f>IF(FC_import[[#This Row],[FinanceCodeTypeCode]]="BUDGET",0,COUNTIF(Q:Q,Q84)-1)</f>
        <v>0</v>
      </c>
      <c r="G84" s="43">
        <f>COUNTIF(Lookup!$A$2:$A$7,R84)-1</f>
        <v>0</v>
      </c>
      <c r="H84" s="43">
        <f>IF(OR(FC_import[[#This Row],[FinanceCodeEnabled]]=TRUE,FC_import[[#This Row],[FinanceCodeEnabled]]=FALSE),0,1)</f>
        <v>0</v>
      </c>
      <c r="I84" s="43">
        <f>IF(LEN(FC_import[[#This Row],[FinanceCode]])&lt;100,0,1)</f>
        <v>0</v>
      </c>
      <c r="J84" s="43">
        <f>IF(TRIM(FC_import[[#This Row],[Title]])="",1,0)</f>
        <v>0</v>
      </c>
      <c r="K84" s="43">
        <f>IF(TRIM(FC_import[[#This Row],[FinanceCode]])="",1,0)</f>
        <v>0</v>
      </c>
      <c r="L84" s="43">
        <f>IF(LEN(FC_import[[#This Row],[Title]])&lt;100,0,1)</f>
        <v>0</v>
      </c>
      <c r="M84" s="43">
        <f>IF(ISBLANK(FC_import[[#This Row],[BalanceToScenario]]),1,0)</f>
        <v>0</v>
      </c>
      <c r="N84" s="43">
        <f>IF(SUBSTITUTE(TEXT(FC_import[[#This Row],[FinanceCode]],10)," ","")=TEXT(FC_import[[#This Row],[FinanceCode]],10),0,1)</f>
        <v>0</v>
      </c>
      <c r="O84" s="43">
        <f t="shared" si="2"/>
        <v>0</v>
      </c>
      <c r="P84" t="s">
        <v>1517</v>
      </c>
      <c r="Q84" t="s">
        <v>1518</v>
      </c>
      <c r="R84" t="s">
        <v>923</v>
      </c>
      <c r="S84" t="s">
        <v>1479</v>
      </c>
      <c r="T84" t="s">
        <v>65</v>
      </c>
      <c r="U84" s="111" t="s">
        <v>1532</v>
      </c>
      <c r="V84" t="b">
        <v>1</v>
      </c>
      <c r="X84" t="b">
        <v>1</v>
      </c>
      <c r="Y84" t="b">
        <v>0</v>
      </c>
      <c r="Z84" t="b">
        <f>FALSE</f>
        <v>0</v>
      </c>
    </row>
    <row r="85" spans="1:26" x14ac:dyDescent="0.3">
      <c r="A85" s="43">
        <f>IF(COUNTIF(LEDGER[LedgerCode],FC_import[[#This Row],[LedgerCode]])&gt;0,0,1)</f>
        <v>0</v>
      </c>
      <c r="B85" s="48">
        <f>IF(COUNTIF(Table_System_Grouping_Codes[groupingCodeCode],FC_import[[#This Row],[GroupingCode]])&gt;0,0,1)</f>
        <v>0</v>
      </c>
      <c r="C85" s="43">
        <f>IF(COUNTIF(CUSTGROUP[CustomGroupingCode],FC_import[[#This Row],[CustomGrouping]])&gt;0,0,1)</f>
        <v>0</v>
      </c>
      <c r="D85" s="43" cm="1">
        <f t="array" ref="D85">IF(FC_import[[#This Row],[AvailableToAllSchools]]=TRUE,0,COUNTA(_xlfn.TEXTSPLIT(FC_import[[#This Row],[SchoolCodes]],",",,TRUE))-SUM(COUNTIF(SCHOOLS[SchoolCode],_xlfn.TEXTSPLIT(FC_import[[#This Row],[SchoolCodes]],",",,TRUE))))</f>
        <v>0</v>
      </c>
      <c r="E85" s="43">
        <f>IF(FC_import[[#This Row],[FinanceCodeTypeCode]]="BUDGET",0,COUNTIF(P:P,P85)-1)</f>
        <v>0</v>
      </c>
      <c r="F85" s="43">
        <f>IF(FC_import[[#This Row],[FinanceCodeTypeCode]]="BUDGET",0,COUNTIF(Q:Q,Q85)-1)</f>
        <v>0</v>
      </c>
      <c r="G85" s="43">
        <f>COUNTIF(Lookup!$A$2:$A$7,R85)-1</f>
        <v>0</v>
      </c>
      <c r="H85" s="43">
        <f>IF(OR(FC_import[[#This Row],[FinanceCodeEnabled]]=TRUE,FC_import[[#This Row],[FinanceCodeEnabled]]=FALSE),0,1)</f>
        <v>0</v>
      </c>
      <c r="I85" s="43">
        <f>IF(LEN(FC_import[[#This Row],[FinanceCode]])&lt;100,0,1)</f>
        <v>0</v>
      </c>
      <c r="J85" s="43">
        <f>IF(TRIM(FC_import[[#This Row],[Title]])="",1,0)</f>
        <v>0</v>
      </c>
      <c r="K85" s="43">
        <f>IF(TRIM(FC_import[[#This Row],[FinanceCode]])="",1,0)</f>
        <v>0</v>
      </c>
      <c r="L85" s="43">
        <f>IF(LEN(FC_import[[#This Row],[Title]])&lt;100,0,1)</f>
        <v>0</v>
      </c>
      <c r="M85" s="43">
        <f>IF(ISBLANK(FC_import[[#This Row],[BalanceToScenario]]),1,0)</f>
        <v>0</v>
      </c>
      <c r="N85" s="43">
        <f>IF(SUBSTITUTE(TEXT(FC_import[[#This Row],[FinanceCode]],10)," ","")=TEXT(FC_import[[#This Row],[FinanceCode]],10),0,1)</f>
        <v>0</v>
      </c>
      <c r="O85" s="43">
        <f t="shared" si="2"/>
        <v>0</v>
      </c>
      <c r="P85" t="s">
        <v>984</v>
      </c>
      <c r="Q85" t="s">
        <v>985</v>
      </c>
      <c r="R85" t="s">
        <v>923</v>
      </c>
      <c r="S85" t="s">
        <v>857</v>
      </c>
      <c r="T85" t="s">
        <v>65</v>
      </c>
      <c r="U85" s="111" t="s">
        <v>1532</v>
      </c>
      <c r="V85" t="b">
        <v>1</v>
      </c>
      <c r="X85" t="b">
        <v>1</v>
      </c>
      <c r="Y85" t="b">
        <v>0</v>
      </c>
      <c r="Z85" t="b">
        <f>FALSE</f>
        <v>0</v>
      </c>
    </row>
    <row r="86" spans="1:26" x14ac:dyDescent="0.3">
      <c r="A86" s="43">
        <f>IF(COUNTIF(LEDGER[LedgerCode],FC_import[[#This Row],[LedgerCode]])&gt;0,0,1)</f>
        <v>0</v>
      </c>
      <c r="B86" s="48">
        <f>IF(COUNTIF(Table_System_Grouping_Codes[groupingCodeCode],FC_import[[#This Row],[GroupingCode]])&gt;0,0,1)</f>
        <v>0</v>
      </c>
      <c r="C86" s="43">
        <f>IF(COUNTIF(CUSTGROUP[CustomGroupingCode],FC_import[[#This Row],[CustomGrouping]])&gt;0,0,1)</f>
        <v>0</v>
      </c>
      <c r="D86" s="43" cm="1">
        <f t="array" ref="D86">IF(FC_import[[#This Row],[AvailableToAllSchools]]=TRUE,0,COUNTA(_xlfn.TEXTSPLIT(FC_import[[#This Row],[SchoolCodes]],",",,TRUE))-SUM(COUNTIF(SCHOOLS[SchoolCode],_xlfn.TEXTSPLIT(FC_import[[#This Row],[SchoolCodes]],",",,TRUE))))</f>
        <v>0</v>
      </c>
      <c r="E86" s="43">
        <f>IF(FC_import[[#This Row],[FinanceCodeTypeCode]]="BUDGET",0,COUNTIF(P:P,P86)-1)</f>
        <v>0</v>
      </c>
      <c r="F86" s="43">
        <f>IF(FC_import[[#This Row],[FinanceCodeTypeCode]]="BUDGET",0,COUNTIF(Q:Q,Q86)-1)</f>
        <v>0</v>
      </c>
      <c r="G86" s="43">
        <f>COUNTIF(Lookup!$A$2:$A$7,R86)-1</f>
        <v>0</v>
      </c>
      <c r="H86" s="43">
        <f>IF(OR(FC_import[[#This Row],[FinanceCodeEnabled]]=TRUE,FC_import[[#This Row],[FinanceCodeEnabled]]=FALSE),0,1)</f>
        <v>0</v>
      </c>
      <c r="I86" s="43">
        <f>IF(LEN(FC_import[[#This Row],[FinanceCode]])&lt;100,0,1)</f>
        <v>0</v>
      </c>
      <c r="J86" s="43">
        <f>IF(TRIM(FC_import[[#This Row],[Title]])="",1,0)</f>
        <v>0</v>
      </c>
      <c r="K86" s="43">
        <f>IF(TRIM(FC_import[[#This Row],[FinanceCode]])="",1,0)</f>
        <v>0</v>
      </c>
      <c r="L86" s="43">
        <f>IF(LEN(FC_import[[#This Row],[Title]])&lt;100,0,1)</f>
        <v>0</v>
      </c>
      <c r="M86" s="43">
        <f>IF(ISBLANK(FC_import[[#This Row],[BalanceToScenario]]),1,0)</f>
        <v>0</v>
      </c>
      <c r="N86" s="43">
        <f>IF(SUBSTITUTE(TEXT(FC_import[[#This Row],[FinanceCode]],10)," ","")=TEXT(FC_import[[#This Row],[FinanceCode]],10),0,1)</f>
        <v>0</v>
      </c>
      <c r="O86" s="43">
        <f t="shared" si="2"/>
        <v>0</v>
      </c>
      <c r="P86" t="s">
        <v>988</v>
      </c>
      <c r="Q86" t="s">
        <v>989</v>
      </c>
      <c r="R86" t="s">
        <v>923</v>
      </c>
      <c r="S86" t="s">
        <v>857</v>
      </c>
      <c r="T86" t="s">
        <v>65</v>
      </c>
      <c r="U86" s="111" t="s">
        <v>1532</v>
      </c>
      <c r="V86" t="b">
        <v>1</v>
      </c>
      <c r="X86" t="b">
        <v>1</v>
      </c>
      <c r="Y86" t="b">
        <v>0</v>
      </c>
      <c r="Z86" t="b">
        <f>FALSE</f>
        <v>0</v>
      </c>
    </row>
    <row r="87" spans="1:26" x14ac:dyDescent="0.3">
      <c r="A87" s="43">
        <f>IF(COUNTIF(LEDGER[LedgerCode],FC_import[[#This Row],[LedgerCode]])&gt;0,0,1)</f>
        <v>0</v>
      </c>
      <c r="B87" s="48">
        <f>IF(COUNTIF(Table_System_Grouping_Codes[groupingCodeCode],FC_import[[#This Row],[GroupingCode]])&gt;0,0,1)</f>
        <v>0</v>
      </c>
      <c r="C87" s="43">
        <f>IF(COUNTIF(CUSTGROUP[CustomGroupingCode],FC_import[[#This Row],[CustomGrouping]])&gt;0,0,1)</f>
        <v>0</v>
      </c>
      <c r="D87" s="43" cm="1">
        <f t="array" ref="D87">IF(FC_import[[#This Row],[AvailableToAllSchools]]=TRUE,0,COUNTA(_xlfn.TEXTSPLIT(FC_import[[#This Row],[SchoolCodes]],",",,TRUE))-SUM(COUNTIF(SCHOOLS[SchoolCode],_xlfn.TEXTSPLIT(FC_import[[#This Row],[SchoolCodes]],",",,TRUE))))</f>
        <v>0</v>
      </c>
      <c r="E87" s="43">
        <f>IF(FC_import[[#This Row],[FinanceCodeTypeCode]]="BUDGET",0,COUNTIF(P:P,P87)-1)</f>
        <v>0</v>
      </c>
      <c r="F87" s="43">
        <f>IF(FC_import[[#This Row],[FinanceCodeTypeCode]]="BUDGET",0,COUNTIF(Q:Q,Q87)-1)</f>
        <v>0</v>
      </c>
      <c r="G87" s="43">
        <f>COUNTIF(Lookup!$A$2:$A$7,R87)-1</f>
        <v>0</v>
      </c>
      <c r="H87" s="43">
        <f>IF(OR(FC_import[[#This Row],[FinanceCodeEnabled]]=TRUE,FC_import[[#This Row],[FinanceCodeEnabled]]=FALSE),0,1)</f>
        <v>0</v>
      </c>
      <c r="I87" s="43">
        <f>IF(LEN(FC_import[[#This Row],[FinanceCode]])&lt;100,0,1)</f>
        <v>0</v>
      </c>
      <c r="J87" s="43">
        <f>IF(TRIM(FC_import[[#This Row],[Title]])="",1,0)</f>
        <v>0</v>
      </c>
      <c r="K87" s="43">
        <f>IF(TRIM(FC_import[[#This Row],[FinanceCode]])="",1,0)</f>
        <v>0</v>
      </c>
      <c r="L87" s="43">
        <f>IF(LEN(FC_import[[#This Row],[Title]])&lt;100,0,1)</f>
        <v>0</v>
      </c>
      <c r="M87" s="43">
        <f>IF(ISBLANK(FC_import[[#This Row],[BalanceToScenario]]),1,0)</f>
        <v>0</v>
      </c>
      <c r="N87" s="43">
        <f>IF(SUBSTITUTE(TEXT(FC_import[[#This Row],[FinanceCode]],10)," ","")=TEXT(FC_import[[#This Row],[FinanceCode]],10),0,1)</f>
        <v>0</v>
      </c>
      <c r="O87" s="43">
        <f t="shared" si="2"/>
        <v>0</v>
      </c>
      <c r="P87" t="s">
        <v>986</v>
      </c>
      <c r="Q87" t="s">
        <v>987</v>
      </c>
      <c r="R87" t="s">
        <v>923</v>
      </c>
      <c r="S87" t="s">
        <v>855</v>
      </c>
      <c r="T87" t="s">
        <v>65</v>
      </c>
      <c r="U87" s="111" t="s">
        <v>1532</v>
      </c>
      <c r="V87" t="b">
        <v>1</v>
      </c>
      <c r="X87" t="b">
        <v>1</v>
      </c>
      <c r="Y87" t="b">
        <v>0</v>
      </c>
      <c r="Z87" t="b">
        <f>FALSE</f>
        <v>0</v>
      </c>
    </row>
    <row r="88" spans="1:26" x14ac:dyDescent="0.3">
      <c r="A88" s="43">
        <f>IF(COUNTIF(LEDGER[LedgerCode],FC_import[[#This Row],[LedgerCode]])&gt;0,0,1)</f>
        <v>0</v>
      </c>
      <c r="B88" s="48">
        <f>IF(COUNTIF(Table_System_Grouping_Codes[groupingCodeCode],FC_import[[#This Row],[GroupingCode]])&gt;0,0,1)</f>
        <v>0</v>
      </c>
      <c r="C88" s="43">
        <f>IF(COUNTIF(CUSTGROUP[CustomGroupingCode],FC_import[[#This Row],[CustomGrouping]])&gt;0,0,1)</f>
        <v>0</v>
      </c>
      <c r="D88" s="43" cm="1">
        <f t="array" ref="D88">IF(FC_import[[#This Row],[AvailableToAllSchools]]=TRUE,0,COUNTA(_xlfn.TEXTSPLIT(FC_import[[#This Row],[SchoolCodes]],",",,TRUE))-SUM(COUNTIF(SCHOOLS[SchoolCode],_xlfn.TEXTSPLIT(FC_import[[#This Row],[SchoolCodes]],",",,TRUE))))</f>
        <v>0</v>
      </c>
      <c r="E88" s="43">
        <f>IF(FC_import[[#This Row],[FinanceCodeTypeCode]]="BUDGET",0,COUNTIF(P:P,P88)-1)</f>
        <v>0</v>
      </c>
      <c r="F88" s="43">
        <f>IF(FC_import[[#This Row],[FinanceCodeTypeCode]]="BUDGET",0,COUNTIF(Q:Q,Q88)-1)</f>
        <v>0</v>
      </c>
      <c r="G88" s="43">
        <f>COUNTIF(Lookup!$A$2:$A$7,R88)-1</f>
        <v>0</v>
      </c>
      <c r="H88" s="43">
        <f>IF(OR(FC_import[[#This Row],[FinanceCodeEnabled]]=TRUE,FC_import[[#This Row],[FinanceCodeEnabled]]=FALSE),0,1)</f>
        <v>0</v>
      </c>
      <c r="I88" s="43">
        <f>IF(LEN(FC_import[[#This Row],[FinanceCode]])&lt;100,0,1)</f>
        <v>0</v>
      </c>
      <c r="J88" s="43">
        <f>IF(TRIM(FC_import[[#This Row],[Title]])="",1,0)</f>
        <v>0</v>
      </c>
      <c r="K88" s="43">
        <f>IF(TRIM(FC_import[[#This Row],[FinanceCode]])="",1,0)</f>
        <v>0</v>
      </c>
      <c r="L88" s="43">
        <f>IF(LEN(FC_import[[#This Row],[Title]])&lt;100,0,1)</f>
        <v>0</v>
      </c>
      <c r="M88" s="43">
        <f>IF(ISBLANK(FC_import[[#This Row],[BalanceToScenario]]),1,0)</f>
        <v>0</v>
      </c>
      <c r="N88" s="43">
        <f>IF(SUBSTITUTE(TEXT(FC_import[[#This Row],[FinanceCode]],10)," ","")=TEXT(FC_import[[#This Row],[FinanceCode]],10),0,1)</f>
        <v>0</v>
      </c>
      <c r="O88" s="43">
        <f t="shared" si="2"/>
        <v>0</v>
      </c>
      <c r="P88" t="s">
        <v>990</v>
      </c>
      <c r="Q88" t="s">
        <v>991</v>
      </c>
      <c r="R88" t="s">
        <v>923</v>
      </c>
      <c r="S88" t="s">
        <v>857</v>
      </c>
      <c r="T88" t="s">
        <v>65</v>
      </c>
      <c r="U88" s="111" t="s">
        <v>1532</v>
      </c>
      <c r="V88" t="b">
        <v>1</v>
      </c>
      <c r="X88" t="b">
        <v>1</v>
      </c>
      <c r="Y88" t="b">
        <v>0</v>
      </c>
      <c r="Z88" t="b">
        <f>FALSE</f>
        <v>0</v>
      </c>
    </row>
    <row r="89" spans="1:26" x14ac:dyDescent="0.3">
      <c r="A89" s="43">
        <f>IF(COUNTIF(LEDGER[LedgerCode],FC_import[[#This Row],[LedgerCode]])&gt;0,0,1)</f>
        <v>0</v>
      </c>
      <c r="B89" s="48">
        <f>IF(COUNTIF(Table_System_Grouping_Codes[groupingCodeCode],FC_import[[#This Row],[GroupingCode]])&gt;0,0,1)</f>
        <v>0</v>
      </c>
      <c r="C89" s="43">
        <f>IF(COUNTIF(CUSTGROUP[CustomGroupingCode],FC_import[[#This Row],[CustomGrouping]])&gt;0,0,1)</f>
        <v>0</v>
      </c>
      <c r="D89" s="43" cm="1">
        <f t="array" ref="D89">IF(FC_import[[#This Row],[AvailableToAllSchools]]=TRUE,0,COUNTA(_xlfn.TEXTSPLIT(FC_import[[#This Row],[SchoolCodes]],",",,TRUE))-SUM(COUNTIF(SCHOOLS[SchoolCode],_xlfn.TEXTSPLIT(FC_import[[#This Row],[SchoolCodes]],",",,TRUE))))</f>
        <v>0</v>
      </c>
      <c r="E89" s="43">
        <f>IF(FC_import[[#This Row],[FinanceCodeTypeCode]]="BUDGET",0,COUNTIF(P:P,P89)-1)</f>
        <v>0</v>
      </c>
      <c r="F89" s="43">
        <f>IF(FC_import[[#This Row],[FinanceCodeTypeCode]]="BUDGET",0,COUNTIF(Q:Q,Q89)-1)</f>
        <v>0</v>
      </c>
      <c r="G89" s="43">
        <f>COUNTIF(Lookup!$A$2:$A$7,R89)-1</f>
        <v>0</v>
      </c>
      <c r="H89" s="43">
        <f>IF(OR(FC_import[[#This Row],[FinanceCodeEnabled]]=TRUE,FC_import[[#This Row],[FinanceCodeEnabled]]=FALSE),0,1)</f>
        <v>0</v>
      </c>
      <c r="I89" s="43">
        <f>IF(LEN(FC_import[[#This Row],[FinanceCode]])&lt;100,0,1)</f>
        <v>0</v>
      </c>
      <c r="J89" s="43">
        <f>IF(TRIM(FC_import[[#This Row],[Title]])="",1,0)</f>
        <v>0</v>
      </c>
      <c r="K89" s="43">
        <f>IF(TRIM(FC_import[[#This Row],[FinanceCode]])="",1,0)</f>
        <v>0</v>
      </c>
      <c r="L89" s="43">
        <f>IF(LEN(FC_import[[#This Row],[Title]])&lt;100,0,1)</f>
        <v>0</v>
      </c>
      <c r="M89" s="43">
        <f>IF(ISBLANK(FC_import[[#This Row],[BalanceToScenario]]),1,0)</f>
        <v>0</v>
      </c>
      <c r="N89" s="43">
        <f>IF(SUBSTITUTE(TEXT(FC_import[[#This Row],[FinanceCode]],10)," ","")=TEXT(FC_import[[#This Row],[FinanceCode]],10),0,1)</f>
        <v>0</v>
      </c>
      <c r="O89" s="43">
        <f t="shared" si="2"/>
        <v>0</v>
      </c>
      <c r="P89" t="s">
        <v>992</v>
      </c>
      <c r="Q89" t="s">
        <v>993</v>
      </c>
      <c r="R89" t="s">
        <v>923</v>
      </c>
      <c r="S89" t="s">
        <v>857</v>
      </c>
      <c r="T89" t="s">
        <v>65</v>
      </c>
      <c r="U89" s="111" t="s">
        <v>1532</v>
      </c>
      <c r="V89" t="b">
        <v>1</v>
      </c>
      <c r="X89" t="b">
        <v>1</v>
      </c>
      <c r="Y89" t="b">
        <v>0</v>
      </c>
      <c r="Z89" t="b">
        <f>FALSE</f>
        <v>0</v>
      </c>
    </row>
    <row r="90" spans="1:26" x14ac:dyDescent="0.3">
      <c r="A90" s="43">
        <f>IF(COUNTIF(LEDGER[LedgerCode],FC_import[[#This Row],[LedgerCode]])&gt;0,0,1)</f>
        <v>0</v>
      </c>
      <c r="B90" s="48">
        <f>IF(COUNTIF(Table_System_Grouping_Codes[groupingCodeCode],FC_import[[#This Row],[GroupingCode]])&gt;0,0,1)</f>
        <v>0</v>
      </c>
      <c r="C90" s="43">
        <f>IF(COUNTIF(CUSTGROUP[CustomGroupingCode],FC_import[[#This Row],[CustomGrouping]])&gt;0,0,1)</f>
        <v>0</v>
      </c>
      <c r="D90" s="43" cm="1">
        <f t="array" ref="D90">IF(FC_import[[#This Row],[AvailableToAllSchools]]=TRUE,0,COUNTA(_xlfn.TEXTSPLIT(FC_import[[#This Row],[SchoolCodes]],",",,TRUE))-SUM(COUNTIF(SCHOOLS[SchoolCode],_xlfn.TEXTSPLIT(FC_import[[#This Row],[SchoolCodes]],",",,TRUE))))</f>
        <v>0</v>
      </c>
      <c r="E90" s="43">
        <f>IF(FC_import[[#This Row],[FinanceCodeTypeCode]]="BUDGET",0,COUNTIF(P:P,P90)-1)</f>
        <v>0</v>
      </c>
      <c r="F90" s="43">
        <f>IF(FC_import[[#This Row],[FinanceCodeTypeCode]]="BUDGET",0,COUNTIF(Q:Q,Q90)-1)</f>
        <v>0</v>
      </c>
      <c r="G90" s="43">
        <f>COUNTIF(Lookup!$A$2:$A$7,R90)-1</f>
        <v>0</v>
      </c>
      <c r="H90" s="43">
        <f>IF(OR(FC_import[[#This Row],[FinanceCodeEnabled]]=TRUE,FC_import[[#This Row],[FinanceCodeEnabled]]=FALSE),0,1)</f>
        <v>0</v>
      </c>
      <c r="I90" s="43">
        <f>IF(LEN(FC_import[[#This Row],[FinanceCode]])&lt;100,0,1)</f>
        <v>0</v>
      </c>
      <c r="J90" s="43">
        <f>IF(TRIM(FC_import[[#This Row],[Title]])="",1,0)</f>
        <v>0</v>
      </c>
      <c r="K90" s="43">
        <f>IF(TRIM(FC_import[[#This Row],[FinanceCode]])="",1,0)</f>
        <v>0</v>
      </c>
      <c r="L90" s="43">
        <f>IF(LEN(FC_import[[#This Row],[Title]])&lt;100,0,1)</f>
        <v>0</v>
      </c>
      <c r="M90" s="43">
        <f>IF(ISBLANK(FC_import[[#This Row],[BalanceToScenario]]),1,0)</f>
        <v>0</v>
      </c>
      <c r="N90" s="43">
        <f>IF(SUBSTITUTE(TEXT(FC_import[[#This Row],[FinanceCode]],10)," ","")=TEXT(FC_import[[#This Row],[FinanceCode]],10),0,1)</f>
        <v>0</v>
      </c>
      <c r="O90" s="43">
        <f t="shared" si="2"/>
        <v>0</v>
      </c>
      <c r="P90" t="s">
        <v>994</v>
      </c>
      <c r="Q90" t="s">
        <v>995</v>
      </c>
      <c r="R90" t="s">
        <v>923</v>
      </c>
      <c r="S90" t="s">
        <v>857</v>
      </c>
      <c r="T90" t="s">
        <v>65</v>
      </c>
      <c r="U90" s="111" t="s">
        <v>1532</v>
      </c>
      <c r="V90" t="b">
        <v>1</v>
      </c>
      <c r="X90" t="b">
        <v>1</v>
      </c>
      <c r="Y90" t="b">
        <v>0</v>
      </c>
      <c r="Z90" t="b">
        <f>FALSE</f>
        <v>0</v>
      </c>
    </row>
    <row r="91" spans="1:26" x14ac:dyDescent="0.3">
      <c r="A91" s="43">
        <f>IF(COUNTIF(LEDGER[LedgerCode],FC_import[[#This Row],[LedgerCode]])&gt;0,0,1)</f>
        <v>0</v>
      </c>
      <c r="B91" s="48">
        <f>IF(COUNTIF(Table_System_Grouping_Codes[groupingCodeCode],FC_import[[#This Row],[GroupingCode]])&gt;0,0,1)</f>
        <v>0</v>
      </c>
      <c r="C91" s="43">
        <f>IF(COUNTIF(CUSTGROUP[CustomGroupingCode],FC_import[[#This Row],[CustomGrouping]])&gt;0,0,1)</f>
        <v>0</v>
      </c>
      <c r="D91" s="43" cm="1">
        <f t="array" ref="D91">IF(FC_import[[#This Row],[AvailableToAllSchools]]=TRUE,0,COUNTA(_xlfn.TEXTSPLIT(FC_import[[#This Row],[SchoolCodes]],",",,TRUE))-SUM(COUNTIF(SCHOOLS[SchoolCode],_xlfn.TEXTSPLIT(FC_import[[#This Row],[SchoolCodes]],",",,TRUE))))</f>
        <v>0</v>
      </c>
      <c r="E91" s="43">
        <f>IF(FC_import[[#This Row],[FinanceCodeTypeCode]]="BUDGET",0,COUNTIF(P:P,P91)-1)</f>
        <v>0</v>
      </c>
      <c r="F91" s="43">
        <f>IF(FC_import[[#This Row],[FinanceCodeTypeCode]]="BUDGET",0,COUNTIF(Q:Q,Q91)-1)</f>
        <v>0</v>
      </c>
      <c r="G91" s="43">
        <f>COUNTIF(Lookup!$A$2:$A$7,R91)-1</f>
        <v>0</v>
      </c>
      <c r="H91" s="43">
        <f>IF(OR(FC_import[[#This Row],[FinanceCodeEnabled]]=TRUE,FC_import[[#This Row],[FinanceCodeEnabled]]=FALSE),0,1)</f>
        <v>0</v>
      </c>
      <c r="I91" s="43">
        <f>IF(LEN(FC_import[[#This Row],[FinanceCode]])&lt;100,0,1)</f>
        <v>0</v>
      </c>
      <c r="J91" s="43">
        <f>IF(TRIM(FC_import[[#This Row],[Title]])="",1,0)</f>
        <v>0</v>
      </c>
      <c r="K91" s="43">
        <f>IF(TRIM(FC_import[[#This Row],[FinanceCode]])="",1,0)</f>
        <v>0</v>
      </c>
      <c r="L91" s="43">
        <f>IF(LEN(FC_import[[#This Row],[Title]])&lt;100,0,1)</f>
        <v>0</v>
      </c>
      <c r="M91" s="43">
        <f>IF(ISBLANK(FC_import[[#This Row],[BalanceToScenario]]),1,0)</f>
        <v>0</v>
      </c>
      <c r="N91" s="43">
        <f>IF(SUBSTITUTE(TEXT(FC_import[[#This Row],[FinanceCode]],10)," ","")=TEXT(FC_import[[#This Row],[FinanceCode]],10),0,1)</f>
        <v>0</v>
      </c>
      <c r="O91" s="43">
        <f t="shared" si="2"/>
        <v>0</v>
      </c>
      <c r="P91" t="s">
        <v>996</v>
      </c>
      <c r="Q91" t="s">
        <v>997</v>
      </c>
      <c r="R91" t="s">
        <v>923</v>
      </c>
      <c r="S91" t="s">
        <v>857</v>
      </c>
      <c r="T91" t="s">
        <v>65</v>
      </c>
      <c r="U91" s="111" t="s">
        <v>1532</v>
      </c>
      <c r="V91" t="b">
        <v>1</v>
      </c>
      <c r="X91" t="b">
        <v>1</v>
      </c>
      <c r="Y91" t="b">
        <v>0</v>
      </c>
      <c r="Z91" t="b">
        <f>FALSE</f>
        <v>0</v>
      </c>
    </row>
    <row r="92" spans="1:26" x14ac:dyDescent="0.3">
      <c r="A92" s="43">
        <f>IF(COUNTIF(LEDGER[LedgerCode],FC_import[[#This Row],[LedgerCode]])&gt;0,0,1)</f>
        <v>0</v>
      </c>
      <c r="B92" s="48">
        <f>IF(COUNTIF(Table_System_Grouping_Codes[groupingCodeCode],FC_import[[#This Row],[GroupingCode]])&gt;0,0,1)</f>
        <v>0</v>
      </c>
      <c r="C92" s="43">
        <f>IF(COUNTIF(CUSTGROUP[CustomGroupingCode],FC_import[[#This Row],[CustomGrouping]])&gt;0,0,1)</f>
        <v>0</v>
      </c>
      <c r="D92" s="43" cm="1">
        <f t="array" ref="D92">IF(FC_import[[#This Row],[AvailableToAllSchools]]=TRUE,0,COUNTA(_xlfn.TEXTSPLIT(FC_import[[#This Row],[SchoolCodes]],",",,TRUE))-SUM(COUNTIF(SCHOOLS[SchoolCode],_xlfn.TEXTSPLIT(FC_import[[#This Row],[SchoolCodes]],",",,TRUE))))</f>
        <v>0</v>
      </c>
      <c r="E92" s="43">
        <f>IF(FC_import[[#This Row],[FinanceCodeTypeCode]]="BUDGET",0,COUNTIF(P:P,P92)-1)</f>
        <v>0</v>
      </c>
      <c r="F92" s="43">
        <f>IF(FC_import[[#This Row],[FinanceCodeTypeCode]]="BUDGET",0,COUNTIF(Q:Q,Q92)-1)</f>
        <v>0</v>
      </c>
      <c r="G92" s="43">
        <f>COUNTIF(Lookup!$A$2:$A$7,R92)-1</f>
        <v>0</v>
      </c>
      <c r="H92" s="43">
        <f>IF(OR(FC_import[[#This Row],[FinanceCodeEnabled]]=TRUE,FC_import[[#This Row],[FinanceCodeEnabled]]=FALSE),0,1)</f>
        <v>0</v>
      </c>
      <c r="I92" s="43">
        <f>IF(LEN(FC_import[[#This Row],[FinanceCode]])&lt;100,0,1)</f>
        <v>0</v>
      </c>
      <c r="J92" s="43">
        <f>IF(TRIM(FC_import[[#This Row],[Title]])="",1,0)</f>
        <v>0</v>
      </c>
      <c r="K92" s="43">
        <f>IF(TRIM(FC_import[[#This Row],[FinanceCode]])="",1,0)</f>
        <v>0</v>
      </c>
      <c r="L92" s="43">
        <f>IF(LEN(FC_import[[#This Row],[Title]])&lt;100,0,1)</f>
        <v>0</v>
      </c>
      <c r="M92" s="43">
        <f>IF(ISBLANK(FC_import[[#This Row],[BalanceToScenario]]),1,0)</f>
        <v>0</v>
      </c>
      <c r="N92" s="43">
        <f>IF(SUBSTITUTE(TEXT(FC_import[[#This Row],[FinanceCode]],10)," ","")=TEXT(FC_import[[#This Row],[FinanceCode]],10),0,1)</f>
        <v>0</v>
      </c>
      <c r="O92" s="43">
        <f t="shared" si="2"/>
        <v>0</v>
      </c>
      <c r="P92" t="s">
        <v>998</v>
      </c>
      <c r="Q92" t="s">
        <v>999</v>
      </c>
      <c r="R92" t="s">
        <v>923</v>
      </c>
      <c r="S92" t="s">
        <v>857</v>
      </c>
      <c r="T92" t="s">
        <v>65</v>
      </c>
      <c r="U92" s="111" t="s">
        <v>1532</v>
      </c>
      <c r="V92" t="b">
        <v>1</v>
      </c>
      <c r="X92" t="b">
        <v>1</v>
      </c>
      <c r="Y92" t="b">
        <v>0</v>
      </c>
      <c r="Z92" t="b">
        <f>FALSE</f>
        <v>0</v>
      </c>
    </row>
    <row r="93" spans="1:26" x14ac:dyDescent="0.3">
      <c r="A93" s="43">
        <f>IF(COUNTIF(LEDGER[LedgerCode],FC_import[[#This Row],[LedgerCode]])&gt;0,0,1)</f>
        <v>0</v>
      </c>
      <c r="B93" s="48">
        <f>IF(COUNTIF(Table_System_Grouping_Codes[groupingCodeCode],FC_import[[#This Row],[GroupingCode]])&gt;0,0,1)</f>
        <v>0</v>
      </c>
      <c r="C93" s="43">
        <f>IF(COUNTIF(CUSTGROUP[CustomGroupingCode],FC_import[[#This Row],[CustomGrouping]])&gt;0,0,1)</f>
        <v>0</v>
      </c>
      <c r="D93" s="43" cm="1">
        <f t="array" ref="D93">IF(FC_import[[#This Row],[AvailableToAllSchools]]=TRUE,0,COUNTA(_xlfn.TEXTSPLIT(FC_import[[#This Row],[SchoolCodes]],",",,TRUE))-SUM(COUNTIF(SCHOOLS[SchoolCode],_xlfn.TEXTSPLIT(FC_import[[#This Row],[SchoolCodes]],",",,TRUE))))</f>
        <v>0</v>
      </c>
      <c r="E93" s="43">
        <f>IF(FC_import[[#This Row],[FinanceCodeTypeCode]]="BUDGET",0,COUNTIF(P:P,P93)-1)</f>
        <v>0</v>
      </c>
      <c r="F93" s="43">
        <f>IF(FC_import[[#This Row],[FinanceCodeTypeCode]]="BUDGET",0,COUNTIF(Q:Q,Q93)-1)</f>
        <v>0</v>
      </c>
      <c r="G93" s="43">
        <f>COUNTIF(Lookup!$A$2:$A$7,R93)-1</f>
        <v>0</v>
      </c>
      <c r="H93" s="43">
        <f>IF(OR(FC_import[[#This Row],[FinanceCodeEnabled]]=TRUE,FC_import[[#This Row],[FinanceCodeEnabled]]=FALSE),0,1)</f>
        <v>0</v>
      </c>
      <c r="I93" s="43">
        <f>IF(LEN(FC_import[[#This Row],[FinanceCode]])&lt;100,0,1)</f>
        <v>0</v>
      </c>
      <c r="J93" s="43">
        <f>IF(TRIM(FC_import[[#This Row],[Title]])="",1,0)</f>
        <v>0</v>
      </c>
      <c r="K93" s="43">
        <f>IF(TRIM(FC_import[[#This Row],[FinanceCode]])="",1,0)</f>
        <v>0</v>
      </c>
      <c r="L93" s="43">
        <f>IF(LEN(FC_import[[#This Row],[Title]])&lt;100,0,1)</f>
        <v>0</v>
      </c>
      <c r="M93" s="43">
        <f>IF(ISBLANK(FC_import[[#This Row],[BalanceToScenario]]),1,0)</f>
        <v>0</v>
      </c>
      <c r="N93" s="43">
        <f>IF(SUBSTITUTE(TEXT(FC_import[[#This Row],[FinanceCode]],10)," ","")=TEXT(FC_import[[#This Row],[FinanceCode]],10),0,1)</f>
        <v>0</v>
      </c>
      <c r="O93" s="43">
        <f t="shared" si="2"/>
        <v>0</v>
      </c>
      <c r="P93" t="s">
        <v>1000</v>
      </c>
      <c r="Q93" t="s">
        <v>1001</v>
      </c>
      <c r="R93" t="s">
        <v>923</v>
      </c>
      <c r="S93" t="s">
        <v>857</v>
      </c>
      <c r="T93" t="s">
        <v>65</v>
      </c>
      <c r="U93" s="111" t="s">
        <v>1532</v>
      </c>
      <c r="V93" t="b">
        <v>1</v>
      </c>
      <c r="X93" t="b">
        <v>1</v>
      </c>
      <c r="Y93" t="b">
        <v>0</v>
      </c>
      <c r="Z93" t="b">
        <f>FALSE</f>
        <v>0</v>
      </c>
    </row>
    <row r="94" spans="1:26" x14ac:dyDescent="0.3">
      <c r="A94" s="43">
        <f>IF(COUNTIF(LEDGER[LedgerCode],FC_import[[#This Row],[LedgerCode]])&gt;0,0,1)</f>
        <v>0</v>
      </c>
      <c r="B94" s="48">
        <f>IF(COUNTIF(Table_System_Grouping_Codes[groupingCodeCode],FC_import[[#This Row],[GroupingCode]])&gt;0,0,1)</f>
        <v>0</v>
      </c>
      <c r="C94" s="43">
        <f>IF(COUNTIF(CUSTGROUP[CustomGroupingCode],FC_import[[#This Row],[CustomGrouping]])&gt;0,0,1)</f>
        <v>0</v>
      </c>
      <c r="D94" s="43" cm="1">
        <f t="array" ref="D94">IF(FC_import[[#This Row],[AvailableToAllSchools]]=TRUE,0,COUNTA(_xlfn.TEXTSPLIT(FC_import[[#This Row],[SchoolCodes]],",",,TRUE))-SUM(COUNTIF(SCHOOLS[SchoolCode],_xlfn.TEXTSPLIT(FC_import[[#This Row],[SchoolCodes]],",",,TRUE))))</f>
        <v>0</v>
      </c>
      <c r="E94" s="43">
        <f>IF(FC_import[[#This Row],[FinanceCodeTypeCode]]="BUDGET",0,COUNTIF(P:P,P94)-1)</f>
        <v>0</v>
      </c>
      <c r="F94" s="43">
        <f>IF(FC_import[[#This Row],[FinanceCodeTypeCode]]="BUDGET",0,COUNTIF(Q:Q,Q94)-1)</f>
        <v>0</v>
      </c>
      <c r="G94" s="43">
        <f>COUNTIF(Lookup!$A$2:$A$7,R94)-1</f>
        <v>0</v>
      </c>
      <c r="H94" s="43">
        <f>IF(OR(FC_import[[#This Row],[FinanceCodeEnabled]]=TRUE,FC_import[[#This Row],[FinanceCodeEnabled]]=FALSE),0,1)</f>
        <v>0</v>
      </c>
      <c r="I94" s="43">
        <f>IF(LEN(FC_import[[#This Row],[FinanceCode]])&lt;100,0,1)</f>
        <v>0</v>
      </c>
      <c r="J94" s="43">
        <f>IF(TRIM(FC_import[[#This Row],[Title]])="",1,0)</f>
        <v>0</v>
      </c>
      <c r="K94" s="43">
        <f>IF(TRIM(FC_import[[#This Row],[FinanceCode]])="",1,0)</f>
        <v>0</v>
      </c>
      <c r="L94" s="43">
        <f>IF(LEN(FC_import[[#This Row],[Title]])&lt;100,0,1)</f>
        <v>0</v>
      </c>
      <c r="M94" s="43">
        <f>IF(ISBLANK(FC_import[[#This Row],[BalanceToScenario]]),1,0)</f>
        <v>0</v>
      </c>
      <c r="N94" s="43">
        <f>IF(SUBSTITUTE(TEXT(FC_import[[#This Row],[FinanceCode]],10)," ","")=TEXT(FC_import[[#This Row],[FinanceCode]],10),0,1)</f>
        <v>0</v>
      </c>
      <c r="O94" s="43">
        <f t="shared" si="2"/>
        <v>0</v>
      </c>
      <c r="P94" t="s">
        <v>1002</v>
      </c>
      <c r="Q94" t="s">
        <v>856</v>
      </c>
      <c r="R94" t="s">
        <v>923</v>
      </c>
      <c r="S94" t="s">
        <v>855</v>
      </c>
      <c r="T94" t="s">
        <v>65</v>
      </c>
      <c r="U94" s="111" t="s">
        <v>1532</v>
      </c>
      <c r="V94" t="b">
        <v>1</v>
      </c>
      <c r="X94" t="b">
        <v>1</v>
      </c>
      <c r="Y94" t="b">
        <v>0</v>
      </c>
      <c r="Z94" t="b">
        <f>FALSE</f>
        <v>0</v>
      </c>
    </row>
    <row r="95" spans="1:26" x14ac:dyDescent="0.3">
      <c r="A95" s="43">
        <f>IF(COUNTIF(LEDGER[LedgerCode],FC_import[[#This Row],[LedgerCode]])&gt;0,0,1)</f>
        <v>0</v>
      </c>
      <c r="B95" s="48">
        <f>IF(COUNTIF(Table_System_Grouping_Codes[groupingCodeCode],FC_import[[#This Row],[GroupingCode]])&gt;0,0,1)</f>
        <v>0</v>
      </c>
      <c r="C95" s="43">
        <f>IF(COUNTIF(CUSTGROUP[CustomGroupingCode],FC_import[[#This Row],[CustomGrouping]])&gt;0,0,1)</f>
        <v>0</v>
      </c>
      <c r="D95" s="43" cm="1">
        <f t="array" ref="D95">IF(FC_import[[#This Row],[AvailableToAllSchools]]=TRUE,0,COUNTA(_xlfn.TEXTSPLIT(FC_import[[#This Row],[SchoolCodes]],",",,TRUE))-SUM(COUNTIF(SCHOOLS[SchoolCode],_xlfn.TEXTSPLIT(FC_import[[#This Row],[SchoolCodes]],",",,TRUE))))</f>
        <v>0</v>
      </c>
      <c r="E95" s="43">
        <f>IF(FC_import[[#This Row],[FinanceCodeTypeCode]]="BUDGET",0,COUNTIF(P:P,P95)-1)</f>
        <v>0</v>
      </c>
      <c r="F95" s="43">
        <f>IF(FC_import[[#This Row],[FinanceCodeTypeCode]]="BUDGET",0,COUNTIF(Q:Q,Q95)-1)</f>
        <v>0</v>
      </c>
      <c r="G95" s="43">
        <f>COUNTIF(Lookup!$A$2:$A$7,R95)-1</f>
        <v>0</v>
      </c>
      <c r="H95" s="43">
        <f>IF(OR(FC_import[[#This Row],[FinanceCodeEnabled]]=TRUE,FC_import[[#This Row],[FinanceCodeEnabled]]=FALSE),0,1)</f>
        <v>0</v>
      </c>
      <c r="I95" s="43">
        <f>IF(LEN(FC_import[[#This Row],[FinanceCode]])&lt;100,0,1)</f>
        <v>0</v>
      </c>
      <c r="J95" s="43">
        <f>IF(TRIM(FC_import[[#This Row],[Title]])="",1,0)</f>
        <v>0</v>
      </c>
      <c r="K95" s="43">
        <f>IF(TRIM(FC_import[[#This Row],[FinanceCode]])="",1,0)</f>
        <v>0</v>
      </c>
      <c r="L95" s="43">
        <f>IF(LEN(FC_import[[#This Row],[Title]])&lt;100,0,1)</f>
        <v>0</v>
      </c>
      <c r="M95" s="43">
        <f>IF(ISBLANK(FC_import[[#This Row],[BalanceToScenario]]),1,0)</f>
        <v>0</v>
      </c>
      <c r="N95" s="43">
        <f>IF(SUBSTITUTE(TEXT(FC_import[[#This Row],[FinanceCode]],10)," ","")=TEXT(FC_import[[#This Row],[FinanceCode]],10),0,1)</f>
        <v>0</v>
      </c>
      <c r="O95" s="43">
        <f>SUM(A95:C95,E95:N95)</f>
        <v>0</v>
      </c>
      <c r="P95" t="s">
        <v>4913</v>
      </c>
      <c r="Q95" t="s">
        <v>4920</v>
      </c>
      <c r="R95" t="s">
        <v>923</v>
      </c>
      <c r="S95" t="s">
        <v>855</v>
      </c>
      <c r="T95" t="s">
        <v>65</v>
      </c>
      <c r="U95" s="111" t="s">
        <v>1532</v>
      </c>
      <c r="V95" t="b">
        <v>1</v>
      </c>
      <c r="X95" t="b">
        <v>1</v>
      </c>
      <c r="Y95" t="b">
        <v>0</v>
      </c>
      <c r="Z95" t="b">
        <f>FALSE</f>
        <v>0</v>
      </c>
    </row>
    <row r="96" spans="1:26" x14ac:dyDescent="0.3">
      <c r="A96" s="43">
        <f>IF(COUNTIF(LEDGER[LedgerCode],FC_import[[#This Row],[LedgerCode]])&gt;0,0,1)</f>
        <v>0</v>
      </c>
      <c r="B96" s="48">
        <f>IF(COUNTIF(Table_System_Grouping_Codes[groupingCodeCode],FC_import[[#This Row],[GroupingCode]])&gt;0,0,1)</f>
        <v>0</v>
      </c>
      <c r="C96" s="43">
        <f>IF(COUNTIF(CUSTGROUP[CustomGroupingCode],FC_import[[#This Row],[CustomGrouping]])&gt;0,0,1)</f>
        <v>0</v>
      </c>
      <c r="D96" s="43" cm="1">
        <f t="array" ref="D96">IF(FC_import[[#This Row],[AvailableToAllSchools]]=TRUE,0,COUNTA(_xlfn.TEXTSPLIT(FC_import[[#This Row],[SchoolCodes]],",",,TRUE))-SUM(COUNTIF(SCHOOLS[SchoolCode],_xlfn.TEXTSPLIT(FC_import[[#This Row],[SchoolCodes]],",",,TRUE))))</f>
        <v>0</v>
      </c>
      <c r="E96" s="43">
        <f>IF(FC_import[[#This Row],[FinanceCodeTypeCode]]="BUDGET",0,COUNTIF(P:P,P96)-1)</f>
        <v>0</v>
      </c>
      <c r="F96" s="43">
        <f>IF(FC_import[[#This Row],[FinanceCodeTypeCode]]="BUDGET",0,COUNTIF(Q:Q,Q96)-1)</f>
        <v>0</v>
      </c>
      <c r="G96" s="43">
        <f>COUNTIF(Lookup!$A$2:$A$7,R96)-1</f>
        <v>0</v>
      </c>
      <c r="H96" s="43">
        <f>IF(OR(FC_import[[#This Row],[FinanceCodeEnabled]]=TRUE,FC_import[[#This Row],[FinanceCodeEnabled]]=FALSE),0,1)</f>
        <v>0</v>
      </c>
      <c r="I96" s="43">
        <f>IF(LEN(FC_import[[#This Row],[FinanceCode]])&lt;100,0,1)</f>
        <v>0</v>
      </c>
      <c r="J96" s="43">
        <f>IF(TRIM(FC_import[[#This Row],[Title]])="",1,0)</f>
        <v>0</v>
      </c>
      <c r="K96" s="43">
        <f>IF(TRIM(FC_import[[#This Row],[FinanceCode]])="",1,0)</f>
        <v>0</v>
      </c>
      <c r="L96" s="43">
        <f>IF(LEN(FC_import[[#This Row],[Title]])&lt;100,0,1)</f>
        <v>0</v>
      </c>
      <c r="M96" s="43">
        <f>IF(ISBLANK(FC_import[[#This Row],[BalanceToScenario]]),1,0)</f>
        <v>0</v>
      </c>
      <c r="N96" s="43">
        <f>IF(SUBSTITUTE(TEXT(FC_import[[#This Row],[FinanceCode]],10)," ","")=TEXT(FC_import[[#This Row],[FinanceCode]],10),0,1)</f>
        <v>0</v>
      </c>
      <c r="O96" s="43">
        <f t="shared" si="2"/>
        <v>0</v>
      </c>
      <c r="P96" t="s">
        <v>1003</v>
      </c>
      <c r="Q96" t="s">
        <v>1004</v>
      </c>
      <c r="R96" t="s">
        <v>923</v>
      </c>
      <c r="S96" t="s">
        <v>857</v>
      </c>
      <c r="T96" t="s">
        <v>65</v>
      </c>
      <c r="U96" s="111" t="s">
        <v>1532</v>
      </c>
      <c r="V96" t="b">
        <v>1</v>
      </c>
      <c r="X96" t="b">
        <v>1</v>
      </c>
      <c r="Y96" t="b">
        <v>0</v>
      </c>
      <c r="Z96" t="b">
        <f>FALSE</f>
        <v>0</v>
      </c>
    </row>
  </sheetData>
  <phoneticPr fontId="2" type="noConversion"/>
  <pageMargins left="0.7" right="0.7" top="0.75" bottom="0.75" header="0.3" footer="0.3"/>
  <pageSetup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8F175-7215-4419-B0FE-08313DD17CE6}">
  <sheetPr>
    <tabColor theme="5" tint="0.79998168889431442"/>
  </sheetPr>
  <dimension ref="A1:X536"/>
  <sheetViews>
    <sheetView topLeftCell="M1" zoomScale="90" zoomScaleNormal="90" workbookViewId="0">
      <pane ySplit="2" topLeftCell="A81" activePane="bottomLeft" state="frozen"/>
      <selection pane="bottomLeft" activeCell="M202" sqref="A202:XFD202"/>
    </sheetView>
  </sheetViews>
  <sheetFormatPr defaultRowHeight="14.4" outlineLevelCol="1" x14ac:dyDescent="0.3"/>
  <cols>
    <col min="1" max="1" width="13.88671875" hidden="1" customWidth="1" outlineLevel="1"/>
    <col min="2" max="2" width="21" hidden="1" customWidth="1" outlineLevel="1"/>
    <col min="3" max="3" width="13.88671875" hidden="1" customWidth="1" outlineLevel="1"/>
    <col min="4" max="4" width="15.5546875" hidden="1" customWidth="1" outlineLevel="1"/>
    <col min="5" max="5" width="11.44140625" hidden="1" customWidth="1" outlineLevel="1"/>
    <col min="6" max="6" width="11" hidden="1" customWidth="1" outlineLevel="1"/>
    <col min="7" max="7" width="12" hidden="1" customWidth="1" outlineLevel="1"/>
    <col min="8" max="8" width="18.44140625" hidden="1" customWidth="1" outlineLevel="1"/>
    <col min="9" max="9" width="19" hidden="1" customWidth="1" outlineLevel="1"/>
    <col min="10" max="10" width="20" hidden="1" customWidth="1" outlineLevel="1"/>
    <col min="11" max="11" width="19" hidden="1" customWidth="1" outlineLevel="1"/>
    <col min="12" max="12" width="26.109375" hidden="1" customWidth="1" outlineLevel="1"/>
    <col min="13" max="13" width="16.33203125" bestFit="1" customWidth="1" collapsed="1"/>
    <col min="14" max="14" width="14.33203125" bestFit="1" customWidth="1"/>
    <col min="15" max="15" width="39.6640625" bestFit="1" customWidth="1"/>
    <col min="16" max="16" width="15.6640625" bestFit="1" customWidth="1"/>
    <col min="17" max="17" width="17.88671875" bestFit="1" customWidth="1"/>
    <col min="18" max="18" width="22.44140625" bestFit="1" customWidth="1"/>
    <col min="19" max="19" width="36.88671875" bestFit="1" customWidth="1"/>
    <col min="20" max="20" width="23.33203125" bestFit="1" customWidth="1"/>
    <col min="21" max="21" width="13.44140625" bestFit="1" customWidth="1"/>
    <col min="22" max="22" width="21.5546875" bestFit="1" customWidth="1"/>
    <col min="23" max="23" width="19.5546875" bestFit="1" customWidth="1"/>
    <col min="24" max="24" width="21.109375" bestFit="1" customWidth="1"/>
    <col min="25" max="25" width="20.5546875" bestFit="1" customWidth="1"/>
    <col min="26" max="26" width="15.5546875" bestFit="1" customWidth="1"/>
  </cols>
  <sheetData>
    <row r="1" spans="1:24" x14ac:dyDescent="0.3">
      <c r="N1" s="170" t="s">
        <v>1570</v>
      </c>
      <c r="O1" s="170"/>
      <c r="P1" s="170"/>
      <c r="Q1" s="170"/>
      <c r="R1" s="170"/>
      <c r="S1" s="170"/>
      <c r="T1" s="170"/>
      <c r="U1" s="170"/>
      <c r="V1" s="170"/>
      <c r="W1" s="170"/>
      <c r="X1" s="170"/>
    </row>
    <row r="2" spans="1:24" x14ac:dyDescent="0.3">
      <c r="A2" s="91" t="s">
        <v>902</v>
      </c>
      <c r="B2" s="88" t="s">
        <v>1338</v>
      </c>
      <c r="C2" s="88" t="s">
        <v>906</v>
      </c>
      <c r="D2" s="88" t="s">
        <v>907</v>
      </c>
      <c r="E2" s="88" t="s">
        <v>908</v>
      </c>
      <c r="F2" s="88" t="s">
        <v>909</v>
      </c>
      <c r="G2" s="88" t="s">
        <v>910</v>
      </c>
      <c r="H2" s="46" t="s">
        <v>1762</v>
      </c>
      <c r="I2" s="46" t="s">
        <v>1763</v>
      </c>
      <c r="J2" s="46" t="s">
        <v>1367</v>
      </c>
      <c r="K2" s="46" t="s">
        <v>1368</v>
      </c>
      <c r="L2" s="46" t="s">
        <v>1432</v>
      </c>
      <c r="M2" s="46" t="s">
        <v>886</v>
      </c>
      <c r="N2" t="s">
        <v>912</v>
      </c>
      <c r="O2" t="s">
        <v>62</v>
      </c>
      <c r="P2" t="s">
        <v>1377</v>
      </c>
      <c r="Q2" t="s">
        <v>915</v>
      </c>
      <c r="R2" t="s">
        <v>904</v>
      </c>
      <c r="S2" t="s">
        <v>905</v>
      </c>
      <c r="T2" t="s">
        <v>913</v>
      </c>
      <c r="U2" t="s">
        <v>871</v>
      </c>
      <c r="V2" t="s">
        <v>916</v>
      </c>
      <c r="W2" t="s">
        <v>1431</v>
      </c>
    </row>
    <row r="3" spans="1:24" x14ac:dyDescent="0.3">
      <c r="A3" s="147">
        <f>IF(COUNTIF(LEDGER[LedgerCode],FinanceCodesBudget[[#This Row],[LedgerCode]])&gt;0,0,1)</f>
        <v>0</v>
      </c>
      <c r="B3" s="43">
        <f>IF(COUNTIF(Table_System_Grouping_Codes[groupingCodeCode],FinanceCodesBudget[[#This Row],[GroupingCode]])&gt;0,0,1)</f>
        <v>0</v>
      </c>
      <c r="C3" s="43">
        <f>IF(COUNTIF(CUSTGROUP[CustomGroupingCode],FinanceCodesBudget[[#This Row],[CustomGrouping]])&gt;0,0,1)</f>
        <v>0</v>
      </c>
      <c r="D3" s="43" cm="1">
        <f t="array" ref="D3">IF(FinanceCodesBudget[[#This Row],[AvailableToAllSchools]]=TRUE,0,COUNTA(_xlfn.TEXTSPLIT(FinanceCodesBudget[[#This Row],[SchoolCodes]],",",,TRUE))-SUM(COUNTIF(SCHOOLS[SchoolCode],_xlfn.TEXTSPLIT(FinanceCodesBudget[[#This Row],[SchoolCodes]],",",,TRUE))))</f>
        <v>0</v>
      </c>
      <c r="E3" s="43">
        <f>IF(FinanceCodesBudget[[#This Row],[FinanceCodeTypeCode]]="BUDGET",0,COUNTIF(FinanceCodesBudget[FinanceCode],FinanceCodesBudget[[#This Row],[FinanceCode]])-1)</f>
        <v>0</v>
      </c>
      <c r="F3" s="43">
        <f>IF(FinanceCodesBudget[[#This Row],[FinanceCodeTypeCode]]="BUDGET",0,COUNTIF(FinanceCodesBudget[Title],FinanceCodesBudget[[#This Row],[Title]])-1)</f>
        <v>0</v>
      </c>
      <c r="G3" s="43">
        <f>COUNTIF(Lookup!$A$2:$A$7,FinanceCodesBudget[[#This Row],[FinanceCodeTypeCode]])-1</f>
        <v>0</v>
      </c>
      <c r="H3" s="43">
        <f>IF(TRIM(FinanceCodesBudget[[#This Row],[Title]])="",1,0)</f>
        <v>0</v>
      </c>
      <c r="I3" s="43">
        <f>IF(TRIM(FinanceCodesBudget[[#This Row],[FinanceCode]])="",1,0)</f>
        <v>0</v>
      </c>
      <c r="J3" s="43">
        <f>IF(LEN(FinanceCodesBudget[[#This Row],[FinanceCode]])&lt;100,0,1)</f>
        <v>0</v>
      </c>
      <c r="K3" s="43">
        <f>IF(LEN(FinanceCodesBudget[[#This Row],[Title]])&lt;100,0,1)</f>
        <v>0</v>
      </c>
      <c r="L3" s="43">
        <f>IF(ISBLANK(FinanceCodesBudget[[#This Row],[BalanceToScenario]]),1,0)</f>
        <v>0</v>
      </c>
      <c r="M3" s="43">
        <f>SUM(FinanceCodesBudget[[#This Row],[LedgerIssue]:[CustGrIssue]],FinanceCodesBudget[[#This Row],[DupCode]:[Balance to Scenario Blank]])</f>
        <v>0</v>
      </c>
      <c r="N3">
        <v>510100</v>
      </c>
      <c r="O3" t="s">
        <v>2525</v>
      </c>
      <c r="P3" t="s">
        <v>67</v>
      </c>
      <c r="Q3" t="s">
        <v>1533</v>
      </c>
      <c r="R3" t="b">
        <v>0</v>
      </c>
      <c r="S3" t="s">
        <v>2526</v>
      </c>
      <c r="T3" t="s">
        <v>1300</v>
      </c>
      <c r="U3" t="s">
        <v>1532</v>
      </c>
      <c r="V3" t="b">
        <v>1</v>
      </c>
      <c r="W3" t="b">
        <v>0</v>
      </c>
    </row>
    <row r="4" spans="1:24" x14ac:dyDescent="0.3">
      <c r="A4" s="147">
        <f>IF(COUNTIF(LEDGER[LedgerCode],FinanceCodesBudget[[#This Row],[LedgerCode]])&gt;0,0,1)</f>
        <v>0</v>
      </c>
      <c r="B4" s="43">
        <f>IF(COUNTIF(Table_System_Grouping_Codes[groupingCodeCode],FinanceCodesBudget[[#This Row],[GroupingCode]])&gt;0,0,1)</f>
        <v>0</v>
      </c>
      <c r="C4" s="43">
        <f>IF(COUNTIF(CUSTGROUP[CustomGroupingCode],FinanceCodesBudget[[#This Row],[CustomGrouping]])&gt;0,0,1)</f>
        <v>0</v>
      </c>
      <c r="D4" s="43" cm="1">
        <f t="array" ref="D4">IF(FinanceCodesBudget[[#This Row],[AvailableToAllSchools]]=TRUE,0,COUNTA(_xlfn.TEXTSPLIT(FinanceCodesBudget[[#This Row],[SchoolCodes]],",",,TRUE))-SUM(COUNTIF(SCHOOLS[SchoolCode],_xlfn.TEXTSPLIT(FinanceCodesBudget[[#This Row],[SchoolCodes]],",",,TRUE))))</f>
        <v>0</v>
      </c>
      <c r="E4" s="43">
        <f>IF(FinanceCodesBudget[[#This Row],[FinanceCodeTypeCode]]="BUDGET",0,COUNTIF(FinanceCodesBudget[FinanceCode],FinanceCodesBudget[[#This Row],[FinanceCode]])-1)</f>
        <v>0</v>
      </c>
      <c r="F4" s="43">
        <f>IF(FinanceCodesBudget[[#This Row],[FinanceCodeTypeCode]]="BUDGET",0,COUNTIF(FinanceCodesBudget[Title],FinanceCodesBudget[[#This Row],[Title]])-1)</f>
        <v>0</v>
      </c>
      <c r="G4" s="43">
        <f>COUNTIF(Lookup!$A$2:$A$7,FinanceCodesBudget[[#This Row],[FinanceCodeTypeCode]])-1</f>
        <v>0</v>
      </c>
      <c r="H4" s="43">
        <f>IF(TRIM(FinanceCodesBudget[[#This Row],[Title]])="",1,0)</f>
        <v>0</v>
      </c>
      <c r="I4" s="43">
        <f>IF(TRIM(FinanceCodesBudget[[#This Row],[FinanceCode]])="",1,0)</f>
        <v>0</v>
      </c>
      <c r="J4" s="43">
        <f>IF(LEN(FinanceCodesBudget[[#This Row],[FinanceCode]])&lt;100,0,1)</f>
        <v>0</v>
      </c>
      <c r="K4" s="43">
        <f>IF(LEN(FinanceCodesBudget[[#This Row],[Title]])&lt;100,0,1)</f>
        <v>0</v>
      </c>
      <c r="L4" s="43">
        <f>IF(ISBLANK(FinanceCodesBudget[[#This Row],[BalanceToScenario]]),1,0)</f>
        <v>0</v>
      </c>
      <c r="M4" s="43">
        <f>SUM(FinanceCodesBudget[[#This Row],[LedgerIssue]:[CustGrIssue]],FinanceCodesBudget[[#This Row],[DupCode]:[Balance to Scenario Blank]])</f>
        <v>0</v>
      </c>
      <c r="N4">
        <v>510110</v>
      </c>
      <c r="O4" t="s">
        <v>2527</v>
      </c>
      <c r="P4" t="s">
        <v>69</v>
      </c>
      <c r="Q4" t="s">
        <v>1533</v>
      </c>
      <c r="R4" t="b">
        <v>0</v>
      </c>
      <c r="S4" t="s">
        <v>2526</v>
      </c>
      <c r="T4" t="s">
        <v>1300</v>
      </c>
      <c r="U4" t="s">
        <v>1532</v>
      </c>
      <c r="V4" t="b">
        <v>1</v>
      </c>
      <c r="W4" t="b">
        <v>0</v>
      </c>
    </row>
    <row r="5" spans="1:24" x14ac:dyDescent="0.3">
      <c r="A5" s="147">
        <f>IF(COUNTIF(LEDGER[LedgerCode],FinanceCodesBudget[[#This Row],[LedgerCode]])&gt;0,0,1)</f>
        <v>0</v>
      </c>
      <c r="B5" s="43">
        <f>IF(COUNTIF(Table_System_Grouping_Codes[groupingCodeCode],FinanceCodesBudget[[#This Row],[GroupingCode]])&gt;0,0,1)</f>
        <v>0</v>
      </c>
      <c r="C5" s="43">
        <f>IF(COUNTIF(CUSTGROUP[CustomGroupingCode],FinanceCodesBudget[[#This Row],[CustomGrouping]])&gt;0,0,1)</f>
        <v>0</v>
      </c>
      <c r="D5" s="43" cm="1">
        <f t="array" ref="D5">IF(FinanceCodesBudget[[#This Row],[AvailableToAllSchools]]=TRUE,0,COUNTA(_xlfn.TEXTSPLIT(FinanceCodesBudget[[#This Row],[SchoolCodes]],",",,TRUE))-SUM(COUNTIF(SCHOOLS[SchoolCode],_xlfn.TEXTSPLIT(FinanceCodesBudget[[#This Row],[SchoolCodes]],",",,TRUE))))</f>
        <v>0</v>
      </c>
      <c r="E5" s="43">
        <f>IF(FinanceCodesBudget[[#This Row],[FinanceCodeTypeCode]]="BUDGET",0,COUNTIF(FinanceCodesBudget[FinanceCode],FinanceCodesBudget[[#This Row],[FinanceCode]])-1)</f>
        <v>0</v>
      </c>
      <c r="F5" s="43">
        <f>IF(FinanceCodesBudget[[#This Row],[FinanceCodeTypeCode]]="BUDGET",0,COUNTIF(FinanceCodesBudget[Title],FinanceCodesBudget[[#This Row],[Title]])-1)</f>
        <v>0</v>
      </c>
      <c r="G5" s="43">
        <f>COUNTIF(Lookup!$A$2:$A$7,FinanceCodesBudget[[#This Row],[FinanceCodeTypeCode]])-1</f>
        <v>0</v>
      </c>
      <c r="H5" s="43">
        <f>IF(TRIM(FinanceCodesBudget[[#This Row],[Title]])="",1,0)</f>
        <v>0</v>
      </c>
      <c r="I5" s="43">
        <f>IF(TRIM(FinanceCodesBudget[[#This Row],[FinanceCode]])="",1,0)</f>
        <v>0</v>
      </c>
      <c r="J5" s="43">
        <f>IF(LEN(FinanceCodesBudget[[#This Row],[FinanceCode]])&lt;100,0,1)</f>
        <v>0</v>
      </c>
      <c r="K5" s="43">
        <f>IF(LEN(FinanceCodesBudget[[#This Row],[Title]])&lt;100,0,1)</f>
        <v>0</v>
      </c>
      <c r="L5" s="43">
        <f>IF(ISBLANK(FinanceCodesBudget[[#This Row],[BalanceToScenario]]),1,0)</f>
        <v>0</v>
      </c>
      <c r="M5" s="43">
        <f>SUM(FinanceCodesBudget[[#This Row],[LedgerIssue]:[CustGrIssue]],FinanceCodesBudget[[#This Row],[DupCode]:[Balance to Scenario Blank]])</f>
        <v>0</v>
      </c>
      <c r="N5">
        <v>510120</v>
      </c>
      <c r="O5" t="s">
        <v>2528</v>
      </c>
      <c r="P5" t="s">
        <v>71</v>
      </c>
      <c r="Q5" t="s">
        <v>1533</v>
      </c>
      <c r="R5" t="b">
        <v>0</v>
      </c>
      <c r="S5" t="s">
        <v>2526</v>
      </c>
      <c r="T5" t="s">
        <v>1300</v>
      </c>
      <c r="U5" t="s">
        <v>1532</v>
      </c>
      <c r="V5" t="b">
        <v>1</v>
      </c>
      <c r="W5" t="b">
        <v>0</v>
      </c>
    </row>
    <row r="6" spans="1:24" x14ac:dyDescent="0.3">
      <c r="A6" s="147">
        <f>IF(COUNTIF(LEDGER[LedgerCode],FinanceCodesBudget[[#This Row],[LedgerCode]])&gt;0,0,1)</f>
        <v>0</v>
      </c>
      <c r="B6" s="43">
        <f>IF(COUNTIF(Table_System_Grouping_Codes[groupingCodeCode],FinanceCodesBudget[[#This Row],[GroupingCode]])&gt;0,0,1)</f>
        <v>0</v>
      </c>
      <c r="C6" s="43">
        <f>IF(COUNTIF(CUSTGROUP[CustomGroupingCode],FinanceCodesBudget[[#This Row],[CustomGrouping]])&gt;0,0,1)</f>
        <v>0</v>
      </c>
      <c r="D6" s="43" cm="1">
        <f t="array" ref="D6">IF(FinanceCodesBudget[[#This Row],[AvailableToAllSchools]]=TRUE,0,COUNTA(_xlfn.TEXTSPLIT(FinanceCodesBudget[[#This Row],[SchoolCodes]],",",,TRUE))-SUM(COUNTIF(SCHOOLS[SchoolCode],_xlfn.TEXTSPLIT(FinanceCodesBudget[[#This Row],[SchoolCodes]],",",,TRUE))))</f>
        <v>0</v>
      </c>
      <c r="E6" s="43">
        <f>IF(FinanceCodesBudget[[#This Row],[FinanceCodeTypeCode]]="BUDGET",0,COUNTIF(FinanceCodesBudget[FinanceCode],FinanceCodesBudget[[#This Row],[FinanceCode]])-1)</f>
        <v>0</v>
      </c>
      <c r="F6" s="43">
        <f>IF(FinanceCodesBudget[[#This Row],[FinanceCodeTypeCode]]="BUDGET",0,COUNTIF(FinanceCodesBudget[Title],FinanceCodesBudget[[#This Row],[Title]])-1)</f>
        <v>0</v>
      </c>
      <c r="G6" s="43">
        <f>COUNTIF(Lookup!$A$2:$A$7,FinanceCodesBudget[[#This Row],[FinanceCodeTypeCode]])-1</f>
        <v>0</v>
      </c>
      <c r="H6" s="43">
        <f>IF(TRIM(FinanceCodesBudget[[#This Row],[Title]])="",1,0)</f>
        <v>0</v>
      </c>
      <c r="I6" s="43">
        <f>IF(TRIM(FinanceCodesBudget[[#This Row],[FinanceCode]])="",1,0)</f>
        <v>0</v>
      </c>
      <c r="J6" s="43">
        <f>IF(LEN(FinanceCodesBudget[[#This Row],[FinanceCode]])&lt;100,0,1)</f>
        <v>0</v>
      </c>
      <c r="K6" s="43">
        <f>IF(LEN(FinanceCodesBudget[[#This Row],[Title]])&lt;100,0,1)</f>
        <v>0</v>
      </c>
      <c r="L6" s="43">
        <f>IF(ISBLANK(FinanceCodesBudget[[#This Row],[BalanceToScenario]]),1,0)</f>
        <v>0</v>
      </c>
      <c r="M6" s="43">
        <f>SUM(FinanceCodesBudget[[#This Row],[LedgerIssue]:[CustGrIssue]],FinanceCodesBudget[[#This Row],[DupCode]:[Balance to Scenario Blank]])</f>
        <v>0</v>
      </c>
      <c r="N6">
        <v>510130</v>
      </c>
      <c r="O6" t="s">
        <v>2529</v>
      </c>
      <c r="P6" t="s">
        <v>73</v>
      </c>
      <c r="Q6" t="s">
        <v>1970</v>
      </c>
      <c r="R6" t="b">
        <v>0</v>
      </c>
      <c r="S6" t="s">
        <v>2526</v>
      </c>
      <c r="T6" t="s">
        <v>1300</v>
      </c>
      <c r="U6" t="s">
        <v>1532</v>
      </c>
      <c r="V6" t="b">
        <v>1</v>
      </c>
      <c r="W6" t="b">
        <v>0</v>
      </c>
    </row>
    <row r="7" spans="1:24" x14ac:dyDescent="0.3">
      <c r="A7" s="147">
        <f>IF(COUNTIF(LEDGER[LedgerCode],FinanceCodesBudget[[#This Row],[LedgerCode]])&gt;0,0,1)</f>
        <v>0</v>
      </c>
      <c r="B7" s="43">
        <f>IF(COUNTIF(Table_System_Grouping_Codes[groupingCodeCode],FinanceCodesBudget[[#This Row],[GroupingCode]])&gt;0,0,1)</f>
        <v>0</v>
      </c>
      <c r="C7" s="43">
        <f>IF(COUNTIF(CUSTGROUP[CustomGroupingCode],FinanceCodesBudget[[#This Row],[CustomGrouping]])&gt;0,0,1)</f>
        <v>0</v>
      </c>
      <c r="D7" s="43" cm="1">
        <f t="array" ref="D7">IF(FinanceCodesBudget[[#This Row],[AvailableToAllSchools]]=TRUE,0,COUNTA(_xlfn.TEXTSPLIT(FinanceCodesBudget[[#This Row],[SchoolCodes]],",",,TRUE))-SUM(COUNTIF(SCHOOLS[SchoolCode],_xlfn.TEXTSPLIT(FinanceCodesBudget[[#This Row],[SchoolCodes]],",",,TRUE))))</f>
        <v>0</v>
      </c>
      <c r="E7" s="43">
        <f>IF(FinanceCodesBudget[[#This Row],[FinanceCodeTypeCode]]="BUDGET",0,COUNTIF(FinanceCodesBudget[FinanceCode],FinanceCodesBudget[[#This Row],[FinanceCode]])-1)</f>
        <v>0</v>
      </c>
      <c r="F7" s="43">
        <f>IF(FinanceCodesBudget[[#This Row],[FinanceCodeTypeCode]]="BUDGET",0,COUNTIF(FinanceCodesBudget[Title],FinanceCodesBudget[[#This Row],[Title]])-1)</f>
        <v>0</v>
      </c>
      <c r="G7" s="43">
        <f>COUNTIF(Lookup!$A$2:$A$7,FinanceCodesBudget[[#This Row],[FinanceCodeTypeCode]])-1</f>
        <v>0</v>
      </c>
      <c r="H7" s="43">
        <f>IF(TRIM(FinanceCodesBudget[[#This Row],[Title]])="",1,0)</f>
        <v>0</v>
      </c>
      <c r="I7" s="43">
        <f>IF(TRIM(FinanceCodesBudget[[#This Row],[FinanceCode]])="",1,0)</f>
        <v>0</v>
      </c>
      <c r="J7" s="43">
        <f>IF(LEN(FinanceCodesBudget[[#This Row],[FinanceCode]])&lt;100,0,1)</f>
        <v>0</v>
      </c>
      <c r="K7" s="43">
        <f>IF(LEN(FinanceCodesBudget[[#This Row],[Title]])&lt;100,0,1)</f>
        <v>0</v>
      </c>
      <c r="L7" s="43">
        <f>IF(ISBLANK(FinanceCodesBudget[[#This Row],[BalanceToScenario]]),1,0)</f>
        <v>0</v>
      </c>
      <c r="M7" s="43">
        <f>SUM(FinanceCodesBudget[[#This Row],[LedgerIssue]:[CustGrIssue]],FinanceCodesBudget[[#This Row],[DupCode]:[Balance to Scenario Blank]])</f>
        <v>0</v>
      </c>
      <c r="N7">
        <v>510140</v>
      </c>
      <c r="O7" t="s">
        <v>2530</v>
      </c>
      <c r="P7" t="s">
        <v>75</v>
      </c>
      <c r="Q7" t="s">
        <v>1970</v>
      </c>
      <c r="R7" t="b">
        <v>0</v>
      </c>
      <c r="S7" t="s">
        <v>2526</v>
      </c>
      <c r="T7" t="s">
        <v>1300</v>
      </c>
      <c r="U7" t="s">
        <v>1532</v>
      </c>
      <c r="V7" t="b">
        <v>1</v>
      </c>
      <c r="W7" t="b">
        <v>0</v>
      </c>
    </row>
    <row r="8" spans="1:24" x14ac:dyDescent="0.3">
      <c r="A8" s="147">
        <f>IF(COUNTIF(LEDGER[LedgerCode],FinanceCodesBudget[[#This Row],[LedgerCode]])&gt;0,0,1)</f>
        <v>0</v>
      </c>
      <c r="B8" s="43">
        <f>IF(COUNTIF(Table_System_Grouping_Codes[groupingCodeCode],FinanceCodesBudget[[#This Row],[GroupingCode]])&gt;0,0,1)</f>
        <v>0</v>
      </c>
      <c r="C8" s="43">
        <f>IF(COUNTIF(CUSTGROUP[CustomGroupingCode],FinanceCodesBudget[[#This Row],[CustomGrouping]])&gt;0,0,1)</f>
        <v>0</v>
      </c>
      <c r="D8" s="43" cm="1">
        <f t="array" ref="D8">IF(FinanceCodesBudget[[#This Row],[AvailableToAllSchools]]=TRUE,0,COUNTA(_xlfn.TEXTSPLIT(FinanceCodesBudget[[#This Row],[SchoolCodes]],",",,TRUE))-SUM(COUNTIF(SCHOOLS[SchoolCode],_xlfn.TEXTSPLIT(FinanceCodesBudget[[#This Row],[SchoolCodes]],",",,TRUE))))</f>
        <v>0</v>
      </c>
      <c r="E8" s="43">
        <f>IF(FinanceCodesBudget[[#This Row],[FinanceCodeTypeCode]]="BUDGET",0,COUNTIF(FinanceCodesBudget[FinanceCode],FinanceCodesBudget[[#This Row],[FinanceCode]])-1)</f>
        <v>0</v>
      </c>
      <c r="F8" s="43">
        <f>IF(FinanceCodesBudget[[#This Row],[FinanceCodeTypeCode]]="BUDGET",0,COUNTIF(FinanceCodesBudget[Title],FinanceCodesBudget[[#This Row],[Title]])-1)</f>
        <v>0</v>
      </c>
      <c r="G8" s="43">
        <f>COUNTIF(Lookup!$A$2:$A$7,FinanceCodesBudget[[#This Row],[FinanceCodeTypeCode]])-1</f>
        <v>0</v>
      </c>
      <c r="H8" s="43">
        <f>IF(TRIM(FinanceCodesBudget[[#This Row],[Title]])="",1,0)</f>
        <v>0</v>
      </c>
      <c r="I8" s="43">
        <f>IF(TRIM(FinanceCodesBudget[[#This Row],[FinanceCode]])="",1,0)</f>
        <v>0</v>
      </c>
      <c r="J8" s="43">
        <f>IF(LEN(FinanceCodesBudget[[#This Row],[FinanceCode]])&lt;100,0,1)</f>
        <v>0</v>
      </c>
      <c r="K8" s="43">
        <f>IF(LEN(FinanceCodesBudget[[#This Row],[Title]])&lt;100,0,1)</f>
        <v>0</v>
      </c>
      <c r="L8" s="43">
        <f>IF(ISBLANK(FinanceCodesBudget[[#This Row],[BalanceToScenario]]),1,0)</f>
        <v>0</v>
      </c>
      <c r="M8" s="43">
        <f>SUM(FinanceCodesBudget[[#This Row],[LedgerIssue]:[CustGrIssue]],FinanceCodesBudget[[#This Row],[DupCode]:[Balance to Scenario Blank]])</f>
        <v>0</v>
      </c>
      <c r="N8">
        <v>510150</v>
      </c>
      <c r="O8" t="s">
        <v>2531</v>
      </c>
      <c r="P8" t="s">
        <v>77</v>
      </c>
      <c r="Q8" t="s">
        <v>1970</v>
      </c>
      <c r="R8" t="b">
        <v>0</v>
      </c>
      <c r="S8" t="s">
        <v>2526</v>
      </c>
      <c r="T8" t="s">
        <v>1300</v>
      </c>
      <c r="U8" t="s">
        <v>1532</v>
      </c>
      <c r="V8" t="b">
        <v>1</v>
      </c>
      <c r="W8" t="b">
        <v>0</v>
      </c>
    </row>
    <row r="9" spans="1:24" x14ac:dyDescent="0.3">
      <c r="A9" s="147">
        <f>IF(COUNTIF(LEDGER[LedgerCode],FinanceCodesBudget[[#This Row],[LedgerCode]])&gt;0,0,1)</f>
        <v>0</v>
      </c>
      <c r="B9" s="43">
        <f>IF(COUNTIF(Table_System_Grouping_Codes[groupingCodeCode],FinanceCodesBudget[[#This Row],[GroupingCode]])&gt;0,0,1)</f>
        <v>0</v>
      </c>
      <c r="C9" s="43">
        <f>IF(COUNTIF(CUSTGROUP[CustomGroupingCode],FinanceCodesBudget[[#This Row],[CustomGrouping]])&gt;0,0,1)</f>
        <v>0</v>
      </c>
      <c r="D9" s="43" cm="1">
        <f t="array" ref="D9">IF(FinanceCodesBudget[[#This Row],[AvailableToAllSchools]]=TRUE,0,COUNTA(_xlfn.TEXTSPLIT(FinanceCodesBudget[[#This Row],[SchoolCodes]],",",,TRUE))-SUM(COUNTIF(SCHOOLS[SchoolCode],_xlfn.TEXTSPLIT(FinanceCodesBudget[[#This Row],[SchoolCodes]],",",,TRUE))))</f>
        <v>0</v>
      </c>
      <c r="E9" s="43">
        <f>IF(FinanceCodesBudget[[#This Row],[FinanceCodeTypeCode]]="BUDGET",0,COUNTIF(FinanceCodesBudget[FinanceCode],FinanceCodesBudget[[#This Row],[FinanceCode]])-1)</f>
        <v>0</v>
      </c>
      <c r="F9" s="43">
        <f>IF(FinanceCodesBudget[[#This Row],[FinanceCodeTypeCode]]="BUDGET",0,COUNTIF(FinanceCodesBudget[Title],FinanceCodesBudget[[#This Row],[Title]])-1)</f>
        <v>0</v>
      </c>
      <c r="G9" s="43">
        <f>COUNTIF(Lookup!$A$2:$A$7,FinanceCodesBudget[[#This Row],[FinanceCodeTypeCode]])-1</f>
        <v>0</v>
      </c>
      <c r="H9" s="43">
        <f>IF(TRIM(FinanceCodesBudget[[#This Row],[Title]])="",1,0)</f>
        <v>0</v>
      </c>
      <c r="I9" s="43">
        <f>IF(TRIM(FinanceCodesBudget[[#This Row],[FinanceCode]])="",1,0)</f>
        <v>0</v>
      </c>
      <c r="J9" s="43">
        <f>IF(LEN(FinanceCodesBudget[[#This Row],[FinanceCode]])&lt;100,0,1)</f>
        <v>0</v>
      </c>
      <c r="K9" s="43">
        <f>IF(LEN(FinanceCodesBudget[[#This Row],[Title]])&lt;100,0,1)</f>
        <v>0</v>
      </c>
      <c r="L9" s="43">
        <f>IF(ISBLANK(FinanceCodesBudget[[#This Row],[BalanceToScenario]]),1,0)</f>
        <v>0</v>
      </c>
      <c r="M9" s="43">
        <f>SUM(FinanceCodesBudget[[#This Row],[LedgerIssue]:[CustGrIssue]],FinanceCodesBudget[[#This Row],[DupCode]:[Balance to Scenario Blank]])</f>
        <v>0</v>
      </c>
      <c r="N9">
        <v>510200</v>
      </c>
      <c r="O9" t="s">
        <v>2532</v>
      </c>
      <c r="P9" t="s">
        <v>79</v>
      </c>
      <c r="Q9" t="s">
        <v>1533</v>
      </c>
      <c r="R9" t="b">
        <v>0</v>
      </c>
      <c r="S9" t="s">
        <v>2526</v>
      </c>
      <c r="T9" t="s">
        <v>1300</v>
      </c>
      <c r="U9" t="s">
        <v>1532</v>
      </c>
      <c r="V9" t="b">
        <v>1</v>
      </c>
      <c r="W9" t="b">
        <v>0</v>
      </c>
    </row>
    <row r="10" spans="1:24" x14ac:dyDescent="0.3">
      <c r="A10" s="147">
        <f>IF(COUNTIF(LEDGER[LedgerCode],FinanceCodesBudget[[#This Row],[LedgerCode]])&gt;0,0,1)</f>
        <v>0</v>
      </c>
      <c r="B10" s="43">
        <f>IF(COUNTIF(Table_System_Grouping_Codes[groupingCodeCode],FinanceCodesBudget[[#This Row],[GroupingCode]])&gt;0,0,1)</f>
        <v>0</v>
      </c>
      <c r="C10" s="43">
        <f>IF(COUNTIF(CUSTGROUP[CustomGroupingCode],FinanceCodesBudget[[#This Row],[CustomGrouping]])&gt;0,0,1)</f>
        <v>0</v>
      </c>
      <c r="D10" s="43" cm="1">
        <f t="array" ref="D10">IF(FinanceCodesBudget[[#This Row],[AvailableToAllSchools]]=TRUE,0,COUNTA(_xlfn.TEXTSPLIT(FinanceCodesBudget[[#This Row],[SchoolCodes]],",",,TRUE))-SUM(COUNTIF(SCHOOLS[SchoolCode],_xlfn.TEXTSPLIT(FinanceCodesBudget[[#This Row],[SchoolCodes]],",",,TRUE))))</f>
        <v>0</v>
      </c>
      <c r="E10" s="43">
        <f>IF(FinanceCodesBudget[[#This Row],[FinanceCodeTypeCode]]="BUDGET",0,COUNTIF(FinanceCodesBudget[FinanceCode],FinanceCodesBudget[[#This Row],[FinanceCode]])-1)</f>
        <v>0</v>
      </c>
      <c r="F10" s="43">
        <f>IF(FinanceCodesBudget[[#This Row],[FinanceCodeTypeCode]]="BUDGET",0,COUNTIF(FinanceCodesBudget[Title],FinanceCodesBudget[[#This Row],[Title]])-1)</f>
        <v>0</v>
      </c>
      <c r="G10" s="43">
        <f>COUNTIF(Lookup!$A$2:$A$7,FinanceCodesBudget[[#This Row],[FinanceCodeTypeCode]])-1</f>
        <v>0</v>
      </c>
      <c r="H10" s="43">
        <f>IF(TRIM(FinanceCodesBudget[[#This Row],[Title]])="",1,0)</f>
        <v>0</v>
      </c>
      <c r="I10" s="43">
        <f>IF(TRIM(FinanceCodesBudget[[#This Row],[FinanceCode]])="",1,0)</f>
        <v>0</v>
      </c>
      <c r="J10" s="43">
        <f>IF(LEN(FinanceCodesBudget[[#This Row],[FinanceCode]])&lt;100,0,1)</f>
        <v>0</v>
      </c>
      <c r="K10" s="43">
        <f>IF(LEN(FinanceCodesBudget[[#This Row],[Title]])&lt;100,0,1)</f>
        <v>0</v>
      </c>
      <c r="L10" s="43">
        <f>IF(ISBLANK(FinanceCodesBudget[[#This Row],[BalanceToScenario]]),1,0)</f>
        <v>0</v>
      </c>
      <c r="M10" s="43">
        <f>SUM(FinanceCodesBudget[[#This Row],[LedgerIssue]:[CustGrIssue]],FinanceCodesBudget[[#This Row],[DupCode]:[Balance to Scenario Blank]])</f>
        <v>0</v>
      </c>
      <c r="N10">
        <v>510250</v>
      </c>
      <c r="O10" t="s">
        <v>2533</v>
      </c>
      <c r="P10" t="s">
        <v>81</v>
      </c>
      <c r="Q10" t="s">
        <v>1970</v>
      </c>
      <c r="R10" t="b">
        <v>0</v>
      </c>
      <c r="S10" t="s">
        <v>2526</v>
      </c>
      <c r="T10" t="s">
        <v>1300</v>
      </c>
      <c r="U10" t="s">
        <v>1532</v>
      </c>
      <c r="V10" t="b">
        <v>1</v>
      </c>
      <c r="W10" t="b">
        <v>0</v>
      </c>
    </row>
    <row r="11" spans="1:24" x14ac:dyDescent="0.3">
      <c r="A11" s="147">
        <f>IF(COUNTIF(LEDGER[LedgerCode],FinanceCodesBudget[[#This Row],[LedgerCode]])&gt;0,0,1)</f>
        <v>0</v>
      </c>
      <c r="B11" s="43">
        <f>IF(COUNTIF(Table_System_Grouping_Codes[groupingCodeCode],FinanceCodesBudget[[#This Row],[GroupingCode]])&gt;0,0,1)</f>
        <v>0</v>
      </c>
      <c r="C11" s="43">
        <f>IF(COUNTIF(CUSTGROUP[CustomGroupingCode],FinanceCodesBudget[[#This Row],[CustomGrouping]])&gt;0,0,1)</f>
        <v>0</v>
      </c>
      <c r="D11" s="43" cm="1">
        <f t="array" ref="D11">IF(FinanceCodesBudget[[#This Row],[AvailableToAllSchools]]=TRUE,0,COUNTA(_xlfn.TEXTSPLIT(FinanceCodesBudget[[#This Row],[SchoolCodes]],",",,TRUE))-SUM(COUNTIF(SCHOOLS[SchoolCode],_xlfn.TEXTSPLIT(FinanceCodesBudget[[#This Row],[SchoolCodes]],",",,TRUE))))</f>
        <v>0</v>
      </c>
      <c r="E11" s="43">
        <f>IF(FinanceCodesBudget[[#This Row],[FinanceCodeTypeCode]]="BUDGET",0,COUNTIF(FinanceCodesBudget[FinanceCode],FinanceCodesBudget[[#This Row],[FinanceCode]])-1)</f>
        <v>0</v>
      </c>
      <c r="F11" s="43">
        <f>IF(FinanceCodesBudget[[#This Row],[FinanceCodeTypeCode]]="BUDGET",0,COUNTIF(FinanceCodesBudget[Title],FinanceCodesBudget[[#This Row],[Title]])-1)</f>
        <v>0</v>
      </c>
      <c r="G11" s="43">
        <f>COUNTIF(Lookup!$A$2:$A$7,FinanceCodesBudget[[#This Row],[FinanceCodeTypeCode]])-1</f>
        <v>0</v>
      </c>
      <c r="H11" s="43">
        <f>IF(TRIM(FinanceCodesBudget[[#This Row],[Title]])="",1,0)</f>
        <v>0</v>
      </c>
      <c r="I11" s="43">
        <f>IF(TRIM(FinanceCodesBudget[[#This Row],[FinanceCode]])="",1,0)</f>
        <v>0</v>
      </c>
      <c r="J11" s="43">
        <f>IF(LEN(FinanceCodesBudget[[#This Row],[FinanceCode]])&lt;100,0,1)</f>
        <v>0</v>
      </c>
      <c r="K11" s="43">
        <f>IF(LEN(FinanceCodesBudget[[#This Row],[Title]])&lt;100,0,1)</f>
        <v>0</v>
      </c>
      <c r="L11" s="43">
        <f>IF(ISBLANK(FinanceCodesBudget[[#This Row],[BalanceToScenario]]),1,0)</f>
        <v>0</v>
      </c>
      <c r="M11" s="43">
        <f>SUM(FinanceCodesBudget[[#This Row],[LedgerIssue]:[CustGrIssue]],FinanceCodesBudget[[#This Row],[DupCode]:[Balance to Scenario Blank]])</f>
        <v>0</v>
      </c>
      <c r="N11">
        <v>510300</v>
      </c>
      <c r="O11" t="s">
        <v>2534</v>
      </c>
      <c r="P11" t="s">
        <v>83</v>
      </c>
      <c r="Q11" t="s">
        <v>1970</v>
      </c>
      <c r="R11" t="b">
        <v>0</v>
      </c>
      <c r="S11" t="s">
        <v>2526</v>
      </c>
      <c r="T11" t="s">
        <v>1300</v>
      </c>
      <c r="U11" t="s">
        <v>1532</v>
      </c>
      <c r="V11" t="b">
        <v>1</v>
      </c>
      <c r="W11" t="b">
        <v>0</v>
      </c>
    </row>
    <row r="12" spans="1:24" x14ac:dyDescent="0.3">
      <c r="A12" s="147">
        <f>IF(COUNTIF(LEDGER[LedgerCode],FinanceCodesBudget[[#This Row],[LedgerCode]])&gt;0,0,1)</f>
        <v>0</v>
      </c>
      <c r="B12" s="43">
        <f>IF(COUNTIF(Table_System_Grouping_Codes[groupingCodeCode],FinanceCodesBudget[[#This Row],[GroupingCode]])&gt;0,0,1)</f>
        <v>0</v>
      </c>
      <c r="C12" s="43">
        <f>IF(COUNTIF(CUSTGROUP[CustomGroupingCode],FinanceCodesBudget[[#This Row],[CustomGrouping]])&gt;0,0,1)</f>
        <v>0</v>
      </c>
      <c r="D12" s="43" cm="1">
        <f t="array" ref="D12">IF(FinanceCodesBudget[[#This Row],[AvailableToAllSchools]]=TRUE,0,COUNTA(_xlfn.TEXTSPLIT(FinanceCodesBudget[[#This Row],[SchoolCodes]],",",,TRUE))-SUM(COUNTIF(SCHOOLS[SchoolCode],_xlfn.TEXTSPLIT(FinanceCodesBudget[[#This Row],[SchoolCodes]],",",,TRUE))))</f>
        <v>0</v>
      </c>
      <c r="E12" s="43">
        <f>IF(FinanceCodesBudget[[#This Row],[FinanceCodeTypeCode]]="BUDGET",0,COUNTIF(FinanceCodesBudget[FinanceCode],FinanceCodesBudget[[#This Row],[FinanceCode]])-1)</f>
        <v>0</v>
      </c>
      <c r="F12" s="43">
        <f>IF(FinanceCodesBudget[[#This Row],[FinanceCodeTypeCode]]="BUDGET",0,COUNTIF(FinanceCodesBudget[Title],FinanceCodesBudget[[#This Row],[Title]])-1)</f>
        <v>0</v>
      </c>
      <c r="G12" s="43">
        <f>COUNTIF(Lookup!$A$2:$A$7,FinanceCodesBudget[[#This Row],[FinanceCodeTypeCode]])-1</f>
        <v>0</v>
      </c>
      <c r="H12" s="43">
        <f>IF(TRIM(FinanceCodesBudget[[#This Row],[Title]])="",1,0)</f>
        <v>0</v>
      </c>
      <c r="I12" s="43">
        <f>IF(TRIM(FinanceCodesBudget[[#This Row],[FinanceCode]])="",1,0)</f>
        <v>0</v>
      </c>
      <c r="J12" s="43">
        <f>IF(LEN(FinanceCodesBudget[[#This Row],[FinanceCode]])&lt;100,0,1)</f>
        <v>0</v>
      </c>
      <c r="K12" s="43">
        <f>IF(LEN(FinanceCodesBudget[[#This Row],[Title]])&lt;100,0,1)</f>
        <v>0</v>
      </c>
      <c r="L12" s="43">
        <f>IF(ISBLANK(FinanceCodesBudget[[#This Row],[BalanceToScenario]]),1,0)</f>
        <v>0</v>
      </c>
      <c r="M12" s="43">
        <f>SUM(FinanceCodesBudget[[#This Row],[LedgerIssue]:[CustGrIssue]],FinanceCodesBudget[[#This Row],[DupCode]:[Balance to Scenario Blank]])</f>
        <v>0</v>
      </c>
      <c r="N12">
        <v>510350</v>
      </c>
      <c r="O12" t="s">
        <v>2535</v>
      </c>
      <c r="P12" t="s">
        <v>85</v>
      </c>
      <c r="Q12" t="s">
        <v>1970</v>
      </c>
      <c r="R12" t="b">
        <v>0</v>
      </c>
      <c r="S12" t="s">
        <v>2526</v>
      </c>
      <c r="T12" t="s">
        <v>1300</v>
      </c>
      <c r="U12" t="s">
        <v>1532</v>
      </c>
      <c r="V12" t="b">
        <v>1</v>
      </c>
      <c r="W12" t="b">
        <v>0</v>
      </c>
    </row>
    <row r="13" spans="1:24" x14ac:dyDescent="0.3">
      <c r="A13" s="147">
        <f>IF(COUNTIF(LEDGER[LedgerCode],FinanceCodesBudget[[#This Row],[LedgerCode]])&gt;0,0,1)</f>
        <v>0</v>
      </c>
      <c r="B13" s="43">
        <f>IF(COUNTIF(Table_System_Grouping_Codes[groupingCodeCode],FinanceCodesBudget[[#This Row],[GroupingCode]])&gt;0,0,1)</f>
        <v>0</v>
      </c>
      <c r="C13" s="43">
        <f>IF(COUNTIF(CUSTGROUP[CustomGroupingCode],FinanceCodesBudget[[#This Row],[CustomGrouping]])&gt;0,0,1)</f>
        <v>0</v>
      </c>
      <c r="D13" s="43" cm="1">
        <f t="array" ref="D13">IF(FinanceCodesBudget[[#This Row],[AvailableToAllSchools]]=TRUE,0,COUNTA(_xlfn.TEXTSPLIT(FinanceCodesBudget[[#This Row],[SchoolCodes]],",",,TRUE))-SUM(COUNTIF(SCHOOLS[SchoolCode],_xlfn.TEXTSPLIT(FinanceCodesBudget[[#This Row],[SchoolCodes]],",",,TRUE))))</f>
        <v>0</v>
      </c>
      <c r="E13" s="43">
        <f>IF(FinanceCodesBudget[[#This Row],[FinanceCodeTypeCode]]="BUDGET",0,COUNTIF(FinanceCodesBudget[FinanceCode],FinanceCodesBudget[[#This Row],[FinanceCode]])-1)</f>
        <v>0</v>
      </c>
      <c r="F13" s="43">
        <f>IF(FinanceCodesBudget[[#This Row],[FinanceCodeTypeCode]]="BUDGET",0,COUNTIF(FinanceCodesBudget[Title],FinanceCodesBudget[[#This Row],[Title]])-1)</f>
        <v>0</v>
      </c>
      <c r="G13" s="43">
        <f>COUNTIF(Lookup!$A$2:$A$7,FinanceCodesBudget[[#This Row],[FinanceCodeTypeCode]])-1</f>
        <v>0</v>
      </c>
      <c r="H13" s="43">
        <f>IF(TRIM(FinanceCodesBudget[[#This Row],[Title]])="",1,0)</f>
        <v>0</v>
      </c>
      <c r="I13" s="43">
        <f>IF(TRIM(FinanceCodesBudget[[#This Row],[FinanceCode]])="",1,0)</f>
        <v>0</v>
      </c>
      <c r="J13" s="43">
        <f>IF(LEN(FinanceCodesBudget[[#This Row],[FinanceCode]])&lt;100,0,1)</f>
        <v>0</v>
      </c>
      <c r="K13" s="43">
        <f>IF(LEN(FinanceCodesBudget[[#This Row],[Title]])&lt;100,0,1)</f>
        <v>0</v>
      </c>
      <c r="L13" s="43">
        <f>IF(ISBLANK(FinanceCodesBudget[[#This Row],[BalanceToScenario]]),1,0)</f>
        <v>0</v>
      </c>
      <c r="M13" s="43">
        <f>SUM(FinanceCodesBudget[[#This Row],[LedgerIssue]:[CustGrIssue]],FinanceCodesBudget[[#This Row],[DupCode]:[Balance to Scenario Blank]])</f>
        <v>0</v>
      </c>
      <c r="N13">
        <v>510400</v>
      </c>
      <c r="O13" t="s">
        <v>2536</v>
      </c>
      <c r="P13" t="s">
        <v>87</v>
      </c>
      <c r="Q13" t="s">
        <v>1970</v>
      </c>
      <c r="R13" t="b">
        <v>0</v>
      </c>
      <c r="S13" t="s">
        <v>2526</v>
      </c>
      <c r="T13" t="s">
        <v>1300</v>
      </c>
      <c r="U13" t="s">
        <v>1532</v>
      </c>
      <c r="V13" t="b">
        <v>1</v>
      </c>
      <c r="W13" t="b">
        <v>0</v>
      </c>
    </row>
    <row r="14" spans="1:24" x14ac:dyDescent="0.3">
      <c r="A14" s="147">
        <f>IF(COUNTIF(LEDGER[LedgerCode],FinanceCodesBudget[[#This Row],[LedgerCode]])&gt;0,0,1)</f>
        <v>0</v>
      </c>
      <c r="B14" s="43">
        <f>IF(COUNTIF(Table_System_Grouping_Codes[groupingCodeCode],FinanceCodesBudget[[#This Row],[GroupingCode]])&gt;0,0,1)</f>
        <v>0</v>
      </c>
      <c r="C14" s="43">
        <f>IF(COUNTIF(CUSTGROUP[CustomGroupingCode],FinanceCodesBudget[[#This Row],[CustomGrouping]])&gt;0,0,1)</f>
        <v>0</v>
      </c>
      <c r="D14" s="43" cm="1">
        <f t="array" ref="D14">IF(FinanceCodesBudget[[#This Row],[AvailableToAllSchools]]=TRUE,0,COUNTA(_xlfn.TEXTSPLIT(FinanceCodesBudget[[#This Row],[SchoolCodes]],",",,TRUE))-SUM(COUNTIF(SCHOOLS[SchoolCode],_xlfn.TEXTSPLIT(FinanceCodesBudget[[#This Row],[SchoolCodes]],",",,TRUE))))</f>
        <v>0</v>
      </c>
      <c r="E14" s="43">
        <f>IF(FinanceCodesBudget[[#This Row],[FinanceCodeTypeCode]]="BUDGET",0,COUNTIF(FinanceCodesBudget[FinanceCode],FinanceCodesBudget[[#This Row],[FinanceCode]])-1)</f>
        <v>0</v>
      </c>
      <c r="F14" s="43">
        <f>IF(FinanceCodesBudget[[#This Row],[FinanceCodeTypeCode]]="BUDGET",0,COUNTIF(FinanceCodesBudget[Title],FinanceCodesBudget[[#This Row],[Title]])-1)</f>
        <v>0</v>
      </c>
      <c r="G14" s="43">
        <f>COUNTIF(Lookup!$A$2:$A$7,FinanceCodesBudget[[#This Row],[FinanceCodeTypeCode]])-1</f>
        <v>0</v>
      </c>
      <c r="H14" s="43">
        <f>IF(TRIM(FinanceCodesBudget[[#This Row],[Title]])="",1,0)</f>
        <v>0</v>
      </c>
      <c r="I14" s="43">
        <f>IF(TRIM(FinanceCodesBudget[[#This Row],[FinanceCode]])="",1,0)</f>
        <v>0</v>
      </c>
      <c r="J14" s="43">
        <f>IF(LEN(FinanceCodesBudget[[#This Row],[FinanceCode]])&lt;100,0,1)</f>
        <v>0</v>
      </c>
      <c r="K14" s="43">
        <f>IF(LEN(FinanceCodesBudget[[#This Row],[Title]])&lt;100,0,1)</f>
        <v>0</v>
      </c>
      <c r="L14" s="43">
        <f>IF(ISBLANK(FinanceCodesBudget[[#This Row],[BalanceToScenario]]),1,0)</f>
        <v>0</v>
      </c>
      <c r="M14" s="43">
        <f>SUM(FinanceCodesBudget[[#This Row],[LedgerIssue]:[CustGrIssue]],FinanceCodesBudget[[#This Row],[DupCode]:[Balance to Scenario Blank]])</f>
        <v>0</v>
      </c>
      <c r="N14">
        <v>510450</v>
      </c>
      <c r="O14" t="s">
        <v>2537</v>
      </c>
      <c r="P14" t="s">
        <v>89</v>
      </c>
      <c r="Q14" t="s">
        <v>1970</v>
      </c>
      <c r="R14" t="b">
        <v>0</v>
      </c>
      <c r="S14" t="s">
        <v>2526</v>
      </c>
      <c r="T14" t="s">
        <v>1300</v>
      </c>
      <c r="U14" t="s">
        <v>1532</v>
      </c>
      <c r="V14" t="b">
        <v>1</v>
      </c>
      <c r="W14" t="b">
        <v>0</v>
      </c>
    </row>
    <row r="15" spans="1:24" x14ac:dyDescent="0.3">
      <c r="A15" s="147">
        <f>IF(COUNTIF(LEDGER[LedgerCode],FinanceCodesBudget[[#This Row],[LedgerCode]])&gt;0,0,1)</f>
        <v>0</v>
      </c>
      <c r="B15" s="43">
        <f>IF(COUNTIF(Table_System_Grouping_Codes[groupingCodeCode],FinanceCodesBudget[[#This Row],[GroupingCode]])&gt;0,0,1)</f>
        <v>0</v>
      </c>
      <c r="C15" s="43">
        <f>IF(COUNTIF(CUSTGROUP[CustomGroupingCode],FinanceCodesBudget[[#This Row],[CustomGrouping]])&gt;0,0,1)</f>
        <v>0</v>
      </c>
      <c r="D15" s="43" cm="1">
        <f t="array" ref="D15">IF(FinanceCodesBudget[[#This Row],[AvailableToAllSchools]]=TRUE,0,COUNTA(_xlfn.TEXTSPLIT(FinanceCodesBudget[[#This Row],[SchoolCodes]],",",,TRUE))-SUM(COUNTIF(SCHOOLS[SchoolCode],_xlfn.TEXTSPLIT(FinanceCodesBudget[[#This Row],[SchoolCodes]],",",,TRUE))))</f>
        <v>0</v>
      </c>
      <c r="E15" s="43">
        <f>IF(FinanceCodesBudget[[#This Row],[FinanceCodeTypeCode]]="BUDGET",0,COUNTIF(FinanceCodesBudget[FinanceCode],FinanceCodesBudget[[#This Row],[FinanceCode]])-1)</f>
        <v>0</v>
      </c>
      <c r="F15" s="43">
        <f>IF(FinanceCodesBudget[[#This Row],[FinanceCodeTypeCode]]="BUDGET",0,COUNTIF(FinanceCodesBudget[Title],FinanceCodesBudget[[#This Row],[Title]])-1)</f>
        <v>0</v>
      </c>
      <c r="G15" s="43">
        <f>COUNTIF(Lookup!$A$2:$A$7,FinanceCodesBudget[[#This Row],[FinanceCodeTypeCode]])-1</f>
        <v>0</v>
      </c>
      <c r="H15" s="43">
        <f>IF(TRIM(FinanceCodesBudget[[#This Row],[Title]])="",1,0)</f>
        <v>0</v>
      </c>
      <c r="I15" s="43">
        <f>IF(TRIM(FinanceCodesBudget[[#This Row],[FinanceCode]])="",1,0)</f>
        <v>0</v>
      </c>
      <c r="J15" s="43">
        <f>IF(LEN(FinanceCodesBudget[[#This Row],[FinanceCode]])&lt;100,0,1)</f>
        <v>0</v>
      </c>
      <c r="K15" s="43">
        <f>IF(LEN(FinanceCodesBudget[[#This Row],[Title]])&lt;100,0,1)</f>
        <v>0</v>
      </c>
      <c r="L15" s="43">
        <f>IF(ISBLANK(FinanceCodesBudget[[#This Row],[BalanceToScenario]]),1,0)</f>
        <v>0</v>
      </c>
      <c r="M15" s="43">
        <f>SUM(FinanceCodesBudget[[#This Row],[LedgerIssue]:[CustGrIssue]],FinanceCodesBudget[[#This Row],[DupCode]:[Balance to Scenario Blank]])</f>
        <v>0</v>
      </c>
      <c r="N15">
        <v>510500</v>
      </c>
      <c r="O15" t="s">
        <v>2538</v>
      </c>
      <c r="P15" t="s">
        <v>91</v>
      </c>
      <c r="Q15" t="s">
        <v>1970</v>
      </c>
      <c r="R15" t="b">
        <v>0</v>
      </c>
      <c r="S15" t="s">
        <v>2526</v>
      </c>
      <c r="T15" t="s">
        <v>1300</v>
      </c>
      <c r="U15" t="s">
        <v>1532</v>
      </c>
      <c r="V15" t="b">
        <v>1</v>
      </c>
      <c r="W15" t="b">
        <v>0</v>
      </c>
    </row>
    <row r="16" spans="1:24" x14ac:dyDescent="0.3">
      <c r="A16" s="147">
        <f>IF(COUNTIF(LEDGER[LedgerCode],FinanceCodesBudget[[#This Row],[LedgerCode]])&gt;0,0,1)</f>
        <v>0</v>
      </c>
      <c r="B16" s="43">
        <f>IF(COUNTIF(Table_System_Grouping_Codes[groupingCodeCode],FinanceCodesBudget[[#This Row],[GroupingCode]])&gt;0,0,1)</f>
        <v>0</v>
      </c>
      <c r="C16" s="43">
        <f>IF(COUNTIF(CUSTGROUP[CustomGroupingCode],FinanceCodesBudget[[#This Row],[CustomGrouping]])&gt;0,0,1)</f>
        <v>0</v>
      </c>
      <c r="D16" s="43" cm="1">
        <f t="array" ref="D16">IF(FinanceCodesBudget[[#This Row],[AvailableToAllSchools]]=TRUE,0,COUNTA(_xlfn.TEXTSPLIT(FinanceCodesBudget[[#This Row],[SchoolCodes]],",",,TRUE))-SUM(COUNTIF(SCHOOLS[SchoolCode],_xlfn.TEXTSPLIT(FinanceCodesBudget[[#This Row],[SchoolCodes]],",",,TRUE))))</f>
        <v>0</v>
      </c>
      <c r="E16" s="43">
        <f>IF(FinanceCodesBudget[[#This Row],[FinanceCodeTypeCode]]="BUDGET",0,COUNTIF(FinanceCodesBudget[FinanceCode],FinanceCodesBudget[[#This Row],[FinanceCode]])-1)</f>
        <v>0</v>
      </c>
      <c r="F16" s="43">
        <f>IF(FinanceCodesBudget[[#This Row],[FinanceCodeTypeCode]]="BUDGET",0,COUNTIF(FinanceCodesBudget[Title],FinanceCodesBudget[[#This Row],[Title]])-1)</f>
        <v>0</v>
      </c>
      <c r="G16" s="43">
        <f>COUNTIF(Lookup!$A$2:$A$7,FinanceCodesBudget[[#This Row],[FinanceCodeTypeCode]])-1</f>
        <v>0</v>
      </c>
      <c r="H16" s="43">
        <f>IF(TRIM(FinanceCodesBudget[[#This Row],[Title]])="",1,0)</f>
        <v>0</v>
      </c>
      <c r="I16" s="43">
        <f>IF(TRIM(FinanceCodesBudget[[#This Row],[FinanceCode]])="",1,0)</f>
        <v>0</v>
      </c>
      <c r="J16" s="43">
        <f>IF(LEN(FinanceCodesBudget[[#This Row],[FinanceCode]])&lt;100,0,1)</f>
        <v>0</v>
      </c>
      <c r="K16" s="43">
        <f>IF(LEN(FinanceCodesBudget[[#This Row],[Title]])&lt;100,0,1)</f>
        <v>0</v>
      </c>
      <c r="L16" s="43">
        <f>IF(ISBLANK(FinanceCodesBudget[[#This Row],[BalanceToScenario]]),1,0)</f>
        <v>0</v>
      </c>
      <c r="M16" s="43">
        <f>SUM(FinanceCodesBudget[[#This Row],[LedgerIssue]:[CustGrIssue]],FinanceCodesBudget[[#This Row],[DupCode]:[Balance to Scenario Blank]])</f>
        <v>0</v>
      </c>
      <c r="N16">
        <v>510510</v>
      </c>
      <c r="O16" t="s">
        <v>2539</v>
      </c>
      <c r="P16" t="s">
        <v>93</v>
      </c>
      <c r="Q16" t="s">
        <v>1970</v>
      </c>
      <c r="R16" t="b">
        <v>0</v>
      </c>
      <c r="S16" t="s">
        <v>2526</v>
      </c>
      <c r="T16" t="s">
        <v>1300</v>
      </c>
      <c r="U16" t="s">
        <v>1532</v>
      </c>
      <c r="V16" t="b">
        <v>1</v>
      </c>
      <c r="W16" t="b">
        <v>0</v>
      </c>
    </row>
    <row r="17" spans="1:23" x14ac:dyDescent="0.3">
      <c r="A17" s="147">
        <f>IF(COUNTIF(LEDGER[LedgerCode],FinanceCodesBudget[[#This Row],[LedgerCode]])&gt;0,0,1)</f>
        <v>0</v>
      </c>
      <c r="B17" s="43">
        <f>IF(COUNTIF(Table_System_Grouping_Codes[groupingCodeCode],FinanceCodesBudget[[#This Row],[GroupingCode]])&gt;0,0,1)</f>
        <v>0</v>
      </c>
      <c r="C17" s="43">
        <f>IF(COUNTIF(CUSTGROUP[CustomGroupingCode],FinanceCodesBudget[[#This Row],[CustomGrouping]])&gt;0,0,1)</f>
        <v>0</v>
      </c>
      <c r="D17" s="43" cm="1">
        <f t="array" ref="D17">IF(FinanceCodesBudget[[#This Row],[AvailableToAllSchools]]=TRUE,0,COUNTA(_xlfn.TEXTSPLIT(FinanceCodesBudget[[#This Row],[SchoolCodes]],",",,TRUE))-SUM(COUNTIF(SCHOOLS[SchoolCode],_xlfn.TEXTSPLIT(FinanceCodesBudget[[#This Row],[SchoolCodes]],",",,TRUE))))</f>
        <v>0</v>
      </c>
      <c r="E17" s="43">
        <f>IF(FinanceCodesBudget[[#This Row],[FinanceCodeTypeCode]]="BUDGET",0,COUNTIF(FinanceCodesBudget[FinanceCode],FinanceCodesBudget[[#This Row],[FinanceCode]])-1)</f>
        <v>0</v>
      </c>
      <c r="F17" s="43">
        <f>IF(FinanceCodesBudget[[#This Row],[FinanceCodeTypeCode]]="BUDGET",0,COUNTIF(FinanceCodesBudget[Title],FinanceCodesBudget[[#This Row],[Title]])-1)</f>
        <v>0</v>
      </c>
      <c r="G17" s="43">
        <f>COUNTIF(Lookup!$A$2:$A$7,FinanceCodesBudget[[#This Row],[FinanceCodeTypeCode]])-1</f>
        <v>0</v>
      </c>
      <c r="H17" s="43">
        <f>IF(TRIM(FinanceCodesBudget[[#This Row],[Title]])="",1,0)</f>
        <v>0</v>
      </c>
      <c r="I17" s="43">
        <f>IF(TRIM(FinanceCodesBudget[[#This Row],[FinanceCode]])="",1,0)</f>
        <v>0</v>
      </c>
      <c r="J17" s="43">
        <f>IF(LEN(FinanceCodesBudget[[#This Row],[FinanceCode]])&lt;100,0,1)</f>
        <v>0</v>
      </c>
      <c r="K17" s="43">
        <f>IF(LEN(FinanceCodesBudget[[#This Row],[Title]])&lt;100,0,1)</f>
        <v>0</v>
      </c>
      <c r="L17" s="43">
        <f>IF(ISBLANK(FinanceCodesBudget[[#This Row],[BalanceToScenario]]),1,0)</f>
        <v>0</v>
      </c>
      <c r="M17" s="43">
        <f>SUM(FinanceCodesBudget[[#This Row],[LedgerIssue]:[CustGrIssue]],FinanceCodesBudget[[#This Row],[DupCode]:[Balance to Scenario Blank]])</f>
        <v>0</v>
      </c>
      <c r="N17">
        <v>510550</v>
      </c>
      <c r="O17" t="s">
        <v>2540</v>
      </c>
      <c r="P17" t="s">
        <v>95</v>
      </c>
      <c r="Q17" t="s">
        <v>1970</v>
      </c>
      <c r="R17" t="b">
        <v>0</v>
      </c>
      <c r="S17" t="s">
        <v>2526</v>
      </c>
      <c r="T17" t="s">
        <v>1300</v>
      </c>
      <c r="U17" t="s">
        <v>1532</v>
      </c>
      <c r="V17" t="b">
        <v>1</v>
      </c>
      <c r="W17" t="b">
        <v>0</v>
      </c>
    </row>
    <row r="18" spans="1:23" x14ac:dyDescent="0.3">
      <c r="A18" s="147">
        <f>IF(COUNTIF(LEDGER[LedgerCode],FinanceCodesBudget[[#This Row],[LedgerCode]])&gt;0,0,1)</f>
        <v>0</v>
      </c>
      <c r="B18" s="43">
        <f>IF(COUNTIF(Table_System_Grouping_Codes[groupingCodeCode],FinanceCodesBudget[[#This Row],[GroupingCode]])&gt;0,0,1)</f>
        <v>0</v>
      </c>
      <c r="C18" s="43">
        <f>IF(COUNTIF(CUSTGROUP[CustomGroupingCode],FinanceCodesBudget[[#This Row],[CustomGrouping]])&gt;0,0,1)</f>
        <v>0</v>
      </c>
      <c r="D18" s="43" cm="1">
        <f t="array" ref="D18">IF(FinanceCodesBudget[[#This Row],[AvailableToAllSchools]]=TRUE,0,COUNTA(_xlfn.TEXTSPLIT(FinanceCodesBudget[[#This Row],[SchoolCodes]],",",,TRUE))-SUM(COUNTIF(SCHOOLS[SchoolCode],_xlfn.TEXTSPLIT(FinanceCodesBudget[[#This Row],[SchoolCodes]],",",,TRUE))))</f>
        <v>0</v>
      </c>
      <c r="E18" s="43">
        <f>IF(FinanceCodesBudget[[#This Row],[FinanceCodeTypeCode]]="BUDGET",0,COUNTIF(FinanceCodesBudget[FinanceCode],FinanceCodesBudget[[#This Row],[FinanceCode]])-1)</f>
        <v>0</v>
      </c>
      <c r="F18" s="43">
        <f>IF(FinanceCodesBudget[[#This Row],[FinanceCodeTypeCode]]="BUDGET",0,COUNTIF(FinanceCodesBudget[Title],FinanceCodesBudget[[#This Row],[Title]])-1)</f>
        <v>0</v>
      </c>
      <c r="G18" s="43">
        <f>COUNTIF(Lookup!$A$2:$A$7,FinanceCodesBudget[[#This Row],[FinanceCodeTypeCode]])-1</f>
        <v>0</v>
      </c>
      <c r="H18" s="43">
        <f>IF(TRIM(FinanceCodesBudget[[#This Row],[Title]])="",1,0)</f>
        <v>0</v>
      </c>
      <c r="I18" s="43">
        <f>IF(TRIM(FinanceCodesBudget[[#This Row],[FinanceCode]])="",1,0)</f>
        <v>0</v>
      </c>
      <c r="J18" s="43">
        <f>IF(LEN(FinanceCodesBudget[[#This Row],[FinanceCode]])&lt;100,0,1)</f>
        <v>0</v>
      </c>
      <c r="K18" s="43">
        <f>IF(LEN(FinanceCodesBudget[[#This Row],[Title]])&lt;100,0,1)</f>
        <v>0</v>
      </c>
      <c r="L18" s="43">
        <f>IF(ISBLANK(FinanceCodesBudget[[#This Row],[BalanceToScenario]]),1,0)</f>
        <v>0</v>
      </c>
      <c r="M18" s="43">
        <f>SUM(FinanceCodesBudget[[#This Row],[LedgerIssue]:[CustGrIssue]],FinanceCodesBudget[[#This Row],[DupCode]:[Balance to Scenario Blank]])</f>
        <v>0</v>
      </c>
      <c r="N18">
        <v>510600</v>
      </c>
      <c r="O18" t="s">
        <v>2541</v>
      </c>
      <c r="P18" t="s">
        <v>97</v>
      </c>
      <c r="Q18" t="s">
        <v>1970</v>
      </c>
      <c r="R18" t="b">
        <v>0</v>
      </c>
      <c r="S18" t="s">
        <v>2526</v>
      </c>
      <c r="T18" t="s">
        <v>1300</v>
      </c>
      <c r="U18" t="s">
        <v>1532</v>
      </c>
      <c r="V18" t="b">
        <v>1</v>
      </c>
      <c r="W18" t="b">
        <v>0</v>
      </c>
    </row>
    <row r="19" spans="1:23" x14ac:dyDescent="0.3">
      <c r="A19" s="147">
        <f>IF(COUNTIF(LEDGER[LedgerCode],FinanceCodesBudget[[#This Row],[LedgerCode]])&gt;0,0,1)</f>
        <v>0</v>
      </c>
      <c r="B19" s="43">
        <f>IF(COUNTIF(Table_System_Grouping_Codes[groupingCodeCode],FinanceCodesBudget[[#This Row],[GroupingCode]])&gt;0,0,1)</f>
        <v>0</v>
      </c>
      <c r="C19" s="43">
        <f>IF(COUNTIF(CUSTGROUP[CustomGroupingCode],FinanceCodesBudget[[#This Row],[CustomGrouping]])&gt;0,0,1)</f>
        <v>0</v>
      </c>
      <c r="D19" s="43" cm="1">
        <f t="array" ref="D19">IF(FinanceCodesBudget[[#This Row],[AvailableToAllSchools]]=TRUE,0,COUNTA(_xlfn.TEXTSPLIT(FinanceCodesBudget[[#This Row],[SchoolCodes]],",",,TRUE))-SUM(COUNTIF(SCHOOLS[SchoolCode],_xlfn.TEXTSPLIT(FinanceCodesBudget[[#This Row],[SchoolCodes]],",",,TRUE))))</f>
        <v>0</v>
      </c>
      <c r="E19" s="43">
        <f>IF(FinanceCodesBudget[[#This Row],[FinanceCodeTypeCode]]="BUDGET",0,COUNTIF(FinanceCodesBudget[FinanceCode],FinanceCodesBudget[[#This Row],[FinanceCode]])-1)</f>
        <v>0</v>
      </c>
      <c r="F19" s="43">
        <f>IF(FinanceCodesBudget[[#This Row],[FinanceCodeTypeCode]]="BUDGET",0,COUNTIF(FinanceCodesBudget[Title],FinanceCodesBudget[[#This Row],[Title]])-1)</f>
        <v>0</v>
      </c>
      <c r="G19" s="43">
        <f>COUNTIF(Lookup!$A$2:$A$7,FinanceCodesBudget[[#This Row],[FinanceCodeTypeCode]])-1</f>
        <v>0</v>
      </c>
      <c r="H19" s="43">
        <f>IF(TRIM(FinanceCodesBudget[[#This Row],[Title]])="",1,0)</f>
        <v>0</v>
      </c>
      <c r="I19" s="43">
        <f>IF(TRIM(FinanceCodesBudget[[#This Row],[FinanceCode]])="",1,0)</f>
        <v>0</v>
      </c>
      <c r="J19" s="43">
        <f>IF(LEN(FinanceCodesBudget[[#This Row],[FinanceCode]])&lt;100,0,1)</f>
        <v>0</v>
      </c>
      <c r="K19" s="43">
        <f>IF(LEN(FinanceCodesBudget[[#This Row],[Title]])&lt;100,0,1)</f>
        <v>0</v>
      </c>
      <c r="L19" s="43">
        <f>IF(ISBLANK(FinanceCodesBudget[[#This Row],[BalanceToScenario]]),1,0)</f>
        <v>0</v>
      </c>
      <c r="M19" s="43">
        <f>SUM(FinanceCodesBudget[[#This Row],[LedgerIssue]:[CustGrIssue]],FinanceCodesBudget[[#This Row],[DupCode]:[Balance to Scenario Blank]])</f>
        <v>0</v>
      </c>
      <c r="N19">
        <v>510700</v>
      </c>
      <c r="O19" t="s">
        <v>2542</v>
      </c>
      <c r="P19" t="s">
        <v>99</v>
      </c>
      <c r="Q19" t="s">
        <v>1533</v>
      </c>
      <c r="R19" t="b">
        <v>0</v>
      </c>
      <c r="S19" t="s">
        <v>2526</v>
      </c>
      <c r="T19" t="s">
        <v>1300</v>
      </c>
      <c r="U19" t="s">
        <v>1532</v>
      </c>
      <c r="V19" t="b">
        <v>1</v>
      </c>
      <c r="W19" t="b">
        <v>0</v>
      </c>
    </row>
    <row r="20" spans="1:23" x14ac:dyDescent="0.3">
      <c r="A20" s="147">
        <f>IF(COUNTIF(LEDGER[LedgerCode],FinanceCodesBudget[[#This Row],[LedgerCode]])&gt;0,0,1)</f>
        <v>0</v>
      </c>
      <c r="B20" s="43">
        <f>IF(COUNTIF(Table_System_Grouping_Codes[groupingCodeCode],FinanceCodesBudget[[#This Row],[GroupingCode]])&gt;0,0,1)</f>
        <v>0</v>
      </c>
      <c r="C20" s="43">
        <f>IF(COUNTIF(CUSTGROUP[CustomGroupingCode],FinanceCodesBudget[[#This Row],[CustomGrouping]])&gt;0,0,1)</f>
        <v>0</v>
      </c>
      <c r="D20" s="43" cm="1">
        <f t="array" ref="D20">IF(FinanceCodesBudget[[#This Row],[AvailableToAllSchools]]=TRUE,0,COUNTA(_xlfn.TEXTSPLIT(FinanceCodesBudget[[#This Row],[SchoolCodes]],",",,TRUE))-SUM(COUNTIF(SCHOOLS[SchoolCode],_xlfn.TEXTSPLIT(FinanceCodesBudget[[#This Row],[SchoolCodes]],",",,TRUE))))</f>
        <v>0</v>
      </c>
      <c r="E20" s="43">
        <f>IF(FinanceCodesBudget[[#This Row],[FinanceCodeTypeCode]]="BUDGET",0,COUNTIF(FinanceCodesBudget[FinanceCode],FinanceCodesBudget[[#This Row],[FinanceCode]])-1)</f>
        <v>0</v>
      </c>
      <c r="F20" s="43">
        <f>IF(FinanceCodesBudget[[#This Row],[FinanceCodeTypeCode]]="BUDGET",0,COUNTIF(FinanceCodesBudget[Title],FinanceCodesBudget[[#This Row],[Title]])-1)</f>
        <v>0</v>
      </c>
      <c r="G20" s="43">
        <f>COUNTIF(Lookup!$A$2:$A$7,FinanceCodesBudget[[#This Row],[FinanceCodeTypeCode]])-1</f>
        <v>0</v>
      </c>
      <c r="H20" s="43">
        <f>IF(TRIM(FinanceCodesBudget[[#This Row],[Title]])="",1,0)</f>
        <v>0</v>
      </c>
      <c r="I20" s="43">
        <f>IF(TRIM(FinanceCodesBudget[[#This Row],[FinanceCode]])="",1,0)</f>
        <v>0</v>
      </c>
      <c r="J20" s="43">
        <f>IF(LEN(FinanceCodesBudget[[#This Row],[FinanceCode]])&lt;100,0,1)</f>
        <v>0</v>
      </c>
      <c r="K20" s="43">
        <f>IF(LEN(FinanceCodesBudget[[#This Row],[Title]])&lt;100,0,1)</f>
        <v>0</v>
      </c>
      <c r="L20" s="43">
        <f>IF(ISBLANK(FinanceCodesBudget[[#This Row],[BalanceToScenario]]),1,0)</f>
        <v>0</v>
      </c>
      <c r="M20" s="43">
        <f>SUM(FinanceCodesBudget[[#This Row],[LedgerIssue]:[CustGrIssue]],FinanceCodesBudget[[#This Row],[DupCode]:[Balance to Scenario Blank]])</f>
        <v>0</v>
      </c>
      <c r="N20">
        <v>510950</v>
      </c>
      <c r="O20" t="s">
        <v>2543</v>
      </c>
      <c r="P20" t="s">
        <v>101</v>
      </c>
      <c r="Q20" t="s">
        <v>1970</v>
      </c>
      <c r="R20" t="b">
        <v>0</v>
      </c>
      <c r="S20" t="s">
        <v>2526</v>
      </c>
      <c r="T20" t="s">
        <v>1300</v>
      </c>
      <c r="U20" t="s">
        <v>1532</v>
      </c>
      <c r="V20" t="b">
        <v>1</v>
      </c>
      <c r="W20" t="b">
        <v>0</v>
      </c>
    </row>
    <row r="21" spans="1:23" x14ac:dyDescent="0.3">
      <c r="A21" s="147">
        <f>IF(COUNTIF(LEDGER[LedgerCode],FinanceCodesBudget[[#This Row],[LedgerCode]])&gt;0,0,1)</f>
        <v>0</v>
      </c>
      <c r="B21" s="43">
        <f>IF(COUNTIF(Table_System_Grouping_Codes[groupingCodeCode],FinanceCodesBudget[[#This Row],[GroupingCode]])&gt;0,0,1)</f>
        <v>0</v>
      </c>
      <c r="C21" s="43">
        <f>IF(COUNTIF(CUSTGROUP[CustomGroupingCode],FinanceCodesBudget[[#This Row],[CustomGrouping]])&gt;0,0,1)</f>
        <v>0</v>
      </c>
      <c r="D21" s="43" cm="1">
        <f t="array" ref="D21">IF(FinanceCodesBudget[[#This Row],[AvailableToAllSchools]]=TRUE,0,COUNTA(_xlfn.TEXTSPLIT(FinanceCodesBudget[[#This Row],[SchoolCodes]],",",,TRUE))-SUM(COUNTIF(SCHOOLS[SchoolCode],_xlfn.TEXTSPLIT(FinanceCodesBudget[[#This Row],[SchoolCodes]],",",,TRUE))))</f>
        <v>0</v>
      </c>
      <c r="E21" s="43">
        <f>IF(FinanceCodesBudget[[#This Row],[FinanceCodeTypeCode]]="BUDGET",0,COUNTIF(FinanceCodesBudget[FinanceCode],FinanceCodesBudget[[#This Row],[FinanceCode]])-1)</f>
        <v>0</v>
      </c>
      <c r="F21" s="43">
        <f>IF(FinanceCodesBudget[[#This Row],[FinanceCodeTypeCode]]="BUDGET",0,COUNTIF(FinanceCodesBudget[Title],FinanceCodesBudget[[#This Row],[Title]])-1)</f>
        <v>0</v>
      </c>
      <c r="G21" s="43">
        <f>COUNTIF(Lookup!$A$2:$A$7,FinanceCodesBudget[[#This Row],[FinanceCodeTypeCode]])-1</f>
        <v>0</v>
      </c>
      <c r="H21" s="43">
        <f>IF(TRIM(FinanceCodesBudget[[#This Row],[Title]])="",1,0)</f>
        <v>0</v>
      </c>
      <c r="I21" s="43">
        <f>IF(TRIM(FinanceCodesBudget[[#This Row],[FinanceCode]])="",1,0)</f>
        <v>0</v>
      </c>
      <c r="J21" s="43">
        <f>IF(LEN(FinanceCodesBudget[[#This Row],[FinanceCode]])&lt;100,0,1)</f>
        <v>0</v>
      </c>
      <c r="K21" s="43">
        <f>IF(LEN(FinanceCodesBudget[[#This Row],[Title]])&lt;100,0,1)</f>
        <v>0</v>
      </c>
      <c r="L21" s="43">
        <f>IF(ISBLANK(FinanceCodesBudget[[#This Row],[BalanceToScenario]]),1,0)</f>
        <v>0</v>
      </c>
      <c r="M21" s="43">
        <f>SUM(FinanceCodesBudget[[#This Row],[LedgerIssue]:[CustGrIssue]],FinanceCodesBudget[[#This Row],[DupCode]:[Balance to Scenario Blank]])</f>
        <v>0</v>
      </c>
      <c r="N21">
        <v>510970</v>
      </c>
      <c r="O21" t="s">
        <v>2544</v>
      </c>
      <c r="P21" t="s">
        <v>1384</v>
      </c>
      <c r="Q21" t="s">
        <v>1970</v>
      </c>
      <c r="R21" t="b">
        <v>0</v>
      </c>
      <c r="S21" t="s">
        <v>2526</v>
      </c>
      <c r="T21" t="s">
        <v>1300</v>
      </c>
      <c r="U21" t="s">
        <v>1532</v>
      </c>
      <c r="V21" t="b">
        <v>1</v>
      </c>
      <c r="W21" t="b">
        <v>0</v>
      </c>
    </row>
    <row r="22" spans="1:23" x14ac:dyDescent="0.3">
      <c r="A22" s="147">
        <f>IF(COUNTIF(LEDGER[LedgerCode],FinanceCodesBudget[[#This Row],[LedgerCode]])&gt;0,0,1)</f>
        <v>0</v>
      </c>
      <c r="B22" s="43">
        <f>IF(COUNTIF(Table_System_Grouping_Codes[groupingCodeCode],FinanceCodesBudget[[#This Row],[GroupingCode]])&gt;0,0,1)</f>
        <v>0</v>
      </c>
      <c r="C22" s="43">
        <f>IF(COUNTIF(CUSTGROUP[CustomGroupingCode],FinanceCodesBudget[[#This Row],[CustomGrouping]])&gt;0,0,1)</f>
        <v>0</v>
      </c>
      <c r="D22" s="43" cm="1">
        <f t="array" ref="D22">IF(FinanceCodesBudget[[#This Row],[AvailableToAllSchools]]=TRUE,0,COUNTA(_xlfn.TEXTSPLIT(FinanceCodesBudget[[#This Row],[SchoolCodes]],",",,TRUE))-SUM(COUNTIF(SCHOOLS[SchoolCode],_xlfn.TEXTSPLIT(FinanceCodesBudget[[#This Row],[SchoolCodes]],",",,TRUE))))</f>
        <v>0</v>
      </c>
      <c r="E22" s="43">
        <f>IF(FinanceCodesBudget[[#This Row],[FinanceCodeTypeCode]]="BUDGET",0,COUNTIF(FinanceCodesBudget[FinanceCode],FinanceCodesBudget[[#This Row],[FinanceCode]])-1)</f>
        <v>0</v>
      </c>
      <c r="F22" s="43">
        <f>IF(FinanceCodesBudget[[#This Row],[FinanceCodeTypeCode]]="BUDGET",0,COUNTIF(FinanceCodesBudget[Title],FinanceCodesBudget[[#This Row],[Title]])-1)</f>
        <v>0</v>
      </c>
      <c r="G22" s="43">
        <f>COUNTIF(Lookup!$A$2:$A$7,FinanceCodesBudget[[#This Row],[FinanceCodeTypeCode]])-1</f>
        <v>0</v>
      </c>
      <c r="H22" s="43">
        <f>IF(TRIM(FinanceCodesBudget[[#This Row],[Title]])="",1,0)</f>
        <v>0</v>
      </c>
      <c r="I22" s="43">
        <f>IF(TRIM(FinanceCodesBudget[[#This Row],[FinanceCode]])="",1,0)</f>
        <v>0</v>
      </c>
      <c r="J22" s="43">
        <f>IF(LEN(FinanceCodesBudget[[#This Row],[FinanceCode]])&lt;100,0,1)</f>
        <v>0</v>
      </c>
      <c r="K22" s="43">
        <f>IF(LEN(FinanceCodesBudget[[#This Row],[Title]])&lt;100,0,1)</f>
        <v>0</v>
      </c>
      <c r="L22" s="43">
        <f>IF(ISBLANK(FinanceCodesBudget[[#This Row],[BalanceToScenario]]),1,0)</f>
        <v>0</v>
      </c>
      <c r="M22" s="43">
        <f>SUM(FinanceCodesBudget[[#This Row],[LedgerIssue]:[CustGrIssue]],FinanceCodesBudget[[#This Row],[DupCode]:[Balance to Scenario Blank]])</f>
        <v>0</v>
      </c>
      <c r="N22">
        <v>510980</v>
      </c>
      <c r="O22" t="s">
        <v>2545</v>
      </c>
      <c r="P22" t="s">
        <v>1385</v>
      </c>
      <c r="Q22" t="s">
        <v>1970</v>
      </c>
      <c r="R22" t="b">
        <v>0</v>
      </c>
      <c r="S22" t="s">
        <v>2526</v>
      </c>
      <c r="T22" t="s">
        <v>1300</v>
      </c>
      <c r="U22" t="s">
        <v>1532</v>
      </c>
      <c r="V22" t="b">
        <v>1</v>
      </c>
      <c r="W22" t="b">
        <v>0</v>
      </c>
    </row>
    <row r="23" spans="1:23" x14ac:dyDescent="0.3">
      <c r="A23" s="147">
        <f>IF(COUNTIF(LEDGER[LedgerCode],FinanceCodesBudget[[#This Row],[LedgerCode]])&gt;0,0,1)</f>
        <v>0</v>
      </c>
      <c r="B23" s="43">
        <f>IF(COUNTIF(Table_System_Grouping_Codes[groupingCodeCode],FinanceCodesBudget[[#This Row],[GroupingCode]])&gt;0,0,1)</f>
        <v>0</v>
      </c>
      <c r="C23" s="43">
        <f>IF(COUNTIF(CUSTGROUP[CustomGroupingCode],FinanceCodesBudget[[#This Row],[CustomGrouping]])&gt;0,0,1)</f>
        <v>0</v>
      </c>
      <c r="D23" s="43" cm="1">
        <f t="array" ref="D23">IF(FinanceCodesBudget[[#This Row],[AvailableToAllSchools]]=TRUE,0,COUNTA(_xlfn.TEXTSPLIT(FinanceCodesBudget[[#This Row],[SchoolCodes]],",",,TRUE))-SUM(COUNTIF(SCHOOLS[SchoolCode],_xlfn.TEXTSPLIT(FinanceCodesBudget[[#This Row],[SchoolCodes]],",",,TRUE))))</f>
        <v>0</v>
      </c>
      <c r="E23" s="43">
        <f>IF(FinanceCodesBudget[[#This Row],[FinanceCodeTypeCode]]="BUDGET",0,COUNTIF(FinanceCodesBudget[FinanceCode],FinanceCodesBudget[[#This Row],[FinanceCode]])-1)</f>
        <v>0</v>
      </c>
      <c r="F23" s="43">
        <f>IF(FinanceCodesBudget[[#This Row],[FinanceCodeTypeCode]]="BUDGET",0,COUNTIF(FinanceCodesBudget[Title],FinanceCodesBudget[[#This Row],[Title]])-1)</f>
        <v>0</v>
      </c>
      <c r="G23" s="43">
        <f>COUNTIF(Lookup!$A$2:$A$7,FinanceCodesBudget[[#This Row],[FinanceCodeTypeCode]])-1</f>
        <v>0</v>
      </c>
      <c r="H23" s="43">
        <f>IF(TRIM(FinanceCodesBudget[[#This Row],[Title]])="",1,0)</f>
        <v>0</v>
      </c>
      <c r="I23" s="43">
        <f>IF(TRIM(FinanceCodesBudget[[#This Row],[FinanceCode]])="",1,0)</f>
        <v>0</v>
      </c>
      <c r="J23" s="43">
        <f>IF(LEN(FinanceCodesBudget[[#This Row],[FinanceCode]])&lt;100,0,1)</f>
        <v>0</v>
      </c>
      <c r="K23" s="43">
        <f>IF(LEN(FinanceCodesBudget[[#This Row],[Title]])&lt;100,0,1)</f>
        <v>0</v>
      </c>
      <c r="L23" s="43">
        <f>IF(ISBLANK(FinanceCodesBudget[[#This Row],[BalanceToScenario]]),1,0)</f>
        <v>0</v>
      </c>
      <c r="M23" s="43">
        <f>SUM(FinanceCodesBudget[[#This Row],[LedgerIssue]:[CustGrIssue]],FinanceCodesBudget[[#This Row],[DupCode]:[Balance to Scenario Blank]])</f>
        <v>0</v>
      </c>
      <c r="N23">
        <v>510990</v>
      </c>
      <c r="O23" t="s">
        <v>2546</v>
      </c>
      <c r="P23" t="s">
        <v>1386</v>
      </c>
      <c r="Q23" t="s">
        <v>1970</v>
      </c>
      <c r="R23" t="b">
        <v>0</v>
      </c>
      <c r="S23" t="s">
        <v>2526</v>
      </c>
      <c r="T23" t="s">
        <v>1300</v>
      </c>
      <c r="U23" t="s">
        <v>1532</v>
      </c>
      <c r="V23" t="b">
        <v>1</v>
      </c>
      <c r="W23" t="b">
        <v>0</v>
      </c>
    </row>
    <row r="24" spans="1:23" x14ac:dyDescent="0.3">
      <c r="A24" s="147">
        <f>IF(COUNTIF(LEDGER[LedgerCode],FinanceCodesBudget[[#This Row],[LedgerCode]])&gt;0,0,1)</f>
        <v>0</v>
      </c>
      <c r="B24" s="43">
        <f>IF(COUNTIF(Table_System_Grouping_Codes[groupingCodeCode],FinanceCodesBudget[[#This Row],[GroupingCode]])&gt;0,0,1)</f>
        <v>0</v>
      </c>
      <c r="C24" s="43">
        <f>IF(COUNTIF(CUSTGROUP[CustomGroupingCode],FinanceCodesBudget[[#This Row],[CustomGrouping]])&gt;0,0,1)</f>
        <v>0</v>
      </c>
      <c r="D24" s="43" cm="1">
        <f t="array" ref="D24">IF(FinanceCodesBudget[[#This Row],[AvailableToAllSchools]]=TRUE,0,COUNTA(_xlfn.TEXTSPLIT(FinanceCodesBudget[[#This Row],[SchoolCodes]],",",,TRUE))-SUM(COUNTIF(SCHOOLS[SchoolCode],_xlfn.TEXTSPLIT(FinanceCodesBudget[[#This Row],[SchoolCodes]],",",,TRUE))))</f>
        <v>0</v>
      </c>
      <c r="E24" s="43">
        <f>IF(FinanceCodesBudget[[#This Row],[FinanceCodeTypeCode]]="BUDGET",0,COUNTIF(FinanceCodesBudget[FinanceCode],FinanceCodesBudget[[#This Row],[FinanceCode]])-1)</f>
        <v>0</v>
      </c>
      <c r="F24" s="43">
        <f>IF(FinanceCodesBudget[[#This Row],[FinanceCodeTypeCode]]="BUDGET",0,COUNTIF(FinanceCodesBudget[Title],FinanceCodesBudget[[#This Row],[Title]])-1)</f>
        <v>0</v>
      </c>
      <c r="G24" s="43">
        <f>COUNTIF(Lookup!$A$2:$A$7,FinanceCodesBudget[[#This Row],[FinanceCodeTypeCode]])-1</f>
        <v>0</v>
      </c>
      <c r="H24" s="43">
        <f>IF(TRIM(FinanceCodesBudget[[#This Row],[Title]])="",1,0)</f>
        <v>0</v>
      </c>
      <c r="I24" s="43">
        <f>IF(TRIM(FinanceCodesBudget[[#This Row],[FinanceCode]])="",1,0)</f>
        <v>0</v>
      </c>
      <c r="J24" s="43">
        <f>IF(LEN(FinanceCodesBudget[[#This Row],[FinanceCode]])&lt;100,0,1)</f>
        <v>0</v>
      </c>
      <c r="K24" s="43">
        <f>IF(LEN(FinanceCodesBudget[[#This Row],[Title]])&lt;100,0,1)</f>
        <v>0</v>
      </c>
      <c r="L24" s="43">
        <f>IF(ISBLANK(FinanceCodesBudget[[#This Row],[BalanceToScenario]]),1,0)</f>
        <v>0</v>
      </c>
      <c r="M24" s="43">
        <f>SUM(FinanceCodesBudget[[#This Row],[LedgerIssue]:[CustGrIssue]],FinanceCodesBudget[[#This Row],[DupCode]:[Balance to Scenario Blank]])</f>
        <v>0</v>
      </c>
      <c r="N24">
        <v>511000</v>
      </c>
      <c r="O24" t="s">
        <v>2547</v>
      </c>
      <c r="P24" t="s">
        <v>103</v>
      </c>
      <c r="Q24" t="s">
        <v>1970</v>
      </c>
      <c r="R24" t="b">
        <v>0</v>
      </c>
      <c r="S24" t="s">
        <v>2094</v>
      </c>
      <c r="T24" t="s">
        <v>1300</v>
      </c>
      <c r="U24" t="s">
        <v>1532</v>
      </c>
      <c r="V24" t="b">
        <v>1</v>
      </c>
      <c r="W24" t="b">
        <v>0</v>
      </c>
    </row>
    <row r="25" spans="1:23" x14ac:dyDescent="0.3">
      <c r="A25" s="147">
        <f>IF(COUNTIF(LEDGER[LedgerCode],FinanceCodesBudget[[#This Row],[LedgerCode]])&gt;0,0,1)</f>
        <v>0</v>
      </c>
      <c r="B25" s="43">
        <f>IF(COUNTIF(Table_System_Grouping_Codes[groupingCodeCode],FinanceCodesBudget[[#This Row],[GroupingCode]])&gt;0,0,1)</f>
        <v>0</v>
      </c>
      <c r="C25" s="43">
        <f>IF(COUNTIF(CUSTGROUP[CustomGroupingCode],FinanceCodesBudget[[#This Row],[CustomGrouping]])&gt;0,0,1)</f>
        <v>0</v>
      </c>
      <c r="D25" s="43" cm="1">
        <f t="array" ref="D25">IF(FinanceCodesBudget[[#This Row],[AvailableToAllSchools]]=TRUE,0,COUNTA(_xlfn.TEXTSPLIT(FinanceCodesBudget[[#This Row],[SchoolCodes]],",",,TRUE))-SUM(COUNTIF(SCHOOLS[SchoolCode],_xlfn.TEXTSPLIT(FinanceCodesBudget[[#This Row],[SchoolCodes]],",",,TRUE))))</f>
        <v>0</v>
      </c>
      <c r="E25" s="43">
        <f>IF(FinanceCodesBudget[[#This Row],[FinanceCodeTypeCode]]="BUDGET",0,COUNTIF(FinanceCodesBudget[FinanceCode],FinanceCodesBudget[[#This Row],[FinanceCode]])-1)</f>
        <v>0</v>
      </c>
      <c r="F25" s="43">
        <f>IF(FinanceCodesBudget[[#This Row],[FinanceCodeTypeCode]]="BUDGET",0,COUNTIF(FinanceCodesBudget[Title],FinanceCodesBudget[[#This Row],[Title]])-1)</f>
        <v>0</v>
      </c>
      <c r="G25" s="43">
        <f>COUNTIF(Lookup!$A$2:$A$7,FinanceCodesBudget[[#This Row],[FinanceCodeTypeCode]])-1</f>
        <v>0</v>
      </c>
      <c r="H25" s="43">
        <f>IF(TRIM(FinanceCodesBudget[[#This Row],[Title]])="",1,0)</f>
        <v>0</v>
      </c>
      <c r="I25" s="43">
        <f>IF(TRIM(FinanceCodesBudget[[#This Row],[FinanceCode]])="",1,0)</f>
        <v>0</v>
      </c>
      <c r="J25" s="43">
        <f>IF(LEN(FinanceCodesBudget[[#This Row],[FinanceCode]])&lt;100,0,1)</f>
        <v>0</v>
      </c>
      <c r="K25" s="43">
        <f>IF(LEN(FinanceCodesBudget[[#This Row],[Title]])&lt;100,0,1)</f>
        <v>0</v>
      </c>
      <c r="L25" s="43">
        <f>IF(ISBLANK(FinanceCodesBudget[[#This Row],[BalanceToScenario]]),1,0)</f>
        <v>0</v>
      </c>
      <c r="M25" s="43">
        <f>SUM(FinanceCodesBudget[[#This Row],[LedgerIssue]:[CustGrIssue]],FinanceCodesBudget[[#This Row],[DupCode]:[Balance to Scenario Blank]])</f>
        <v>0</v>
      </c>
      <c r="N25">
        <v>515100</v>
      </c>
      <c r="O25" t="s">
        <v>2548</v>
      </c>
      <c r="P25" t="s">
        <v>105</v>
      </c>
      <c r="Q25" t="s">
        <v>1970</v>
      </c>
      <c r="R25" t="b">
        <v>0</v>
      </c>
      <c r="S25" t="s">
        <v>2526</v>
      </c>
      <c r="T25" t="s">
        <v>1300</v>
      </c>
      <c r="U25" t="s">
        <v>1532</v>
      </c>
      <c r="V25" t="b">
        <v>1</v>
      </c>
      <c r="W25" t="b">
        <v>0</v>
      </c>
    </row>
    <row r="26" spans="1:23" x14ac:dyDescent="0.3">
      <c r="A26" s="147">
        <f>IF(COUNTIF(LEDGER[LedgerCode],FinanceCodesBudget[[#This Row],[LedgerCode]])&gt;0,0,1)</f>
        <v>0</v>
      </c>
      <c r="B26" s="43">
        <f>IF(COUNTIF(Table_System_Grouping_Codes[groupingCodeCode],FinanceCodesBudget[[#This Row],[GroupingCode]])&gt;0,0,1)</f>
        <v>0</v>
      </c>
      <c r="C26" s="43">
        <f>IF(COUNTIF(CUSTGROUP[CustomGroupingCode],FinanceCodesBudget[[#This Row],[CustomGrouping]])&gt;0,0,1)</f>
        <v>0</v>
      </c>
      <c r="D26" s="43" cm="1">
        <f t="array" ref="D26">IF(FinanceCodesBudget[[#This Row],[AvailableToAllSchools]]=TRUE,0,COUNTA(_xlfn.TEXTSPLIT(FinanceCodesBudget[[#This Row],[SchoolCodes]],",",,TRUE))-SUM(COUNTIF(SCHOOLS[SchoolCode],_xlfn.TEXTSPLIT(FinanceCodesBudget[[#This Row],[SchoolCodes]],",",,TRUE))))</f>
        <v>0</v>
      </c>
      <c r="E26" s="43">
        <f>IF(FinanceCodesBudget[[#This Row],[FinanceCodeTypeCode]]="BUDGET",0,COUNTIF(FinanceCodesBudget[FinanceCode],FinanceCodesBudget[[#This Row],[FinanceCode]])-1)</f>
        <v>0</v>
      </c>
      <c r="F26" s="43">
        <f>IF(FinanceCodesBudget[[#This Row],[FinanceCodeTypeCode]]="BUDGET",0,COUNTIF(FinanceCodesBudget[Title],FinanceCodesBudget[[#This Row],[Title]])-1)</f>
        <v>0</v>
      </c>
      <c r="G26" s="43">
        <f>COUNTIF(Lookup!$A$2:$A$7,FinanceCodesBudget[[#This Row],[FinanceCodeTypeCode]])-1</f>
        <v>0</v>
      </c>
      <c r="H26" s="43">
        <f>IF(TRIM(FinanceCodesBudget[[#This Row],[Title]])="",1,0)</f>
        <v>0</v>
      </c>
      <c r="I26" s="43">
        <f>IF(TRIM(FinanceCodesBudget[[#This Row],[FinanceCode]])="",1,0)</f>
        <v>0</v>
      </c>
      <c r="J26" s="43">
        <f>IF(LEN(FinanceCodesBudget[[#This Row],[FinanceCode]])&lt;100,0,1)</f>
        <v>0</v>
      </c>
      <c r="K26" s="43">
        <f>IF(LEN(FinanceCodesBudget[[#This Row],[Title]])&lt;100,0,1)</f>
        <v>0</v>
      </c>
      <c r="L26" s="43">
        <f>IF(ISBLANK(FinanceCodesBudget[[#This Row],[BalanceToScenario]]),1,0)</f>
        <v>0</v>
      </c>
      <c r="M26" s="43">
        <f>SUM(FinanceCodesBudget[[#This Row],[LedgerIssue]:[CustGrIssue]],FinanceCodesBudget[[#This Row],[DupCode]:[Balance to Scenario Blank]])</f>
        <v>0</v>
      </c>
      <c r="N26">
        <v>515200</v>
      </c>
      <c r="O26" t="s">
        <v>2549</v>
      </c>
      <c r="P26" t="s">
        <v>106</v>
      </c>
      <c r="Q26" t="s">
        <v>1970</v>
      </c>
      <c r="R26" t="b">
        <v>0</v>
      </c>
      <c r="S26" t="s">
        <v>2526</v>
      </c>
      <c r="T26" t="s">
        <v>1300</v>
      </c>
      <c r="U26" t="s">
        <v>1532</v>
      </c>
      <c r="V26" t="b">
        <v>1</v>
      </c>
      <c r="W26" t="b">
        <v>0</v>
      </c>
    </row>
    <row r="27" spans="1:23" x14ac:dyDescent="0.3">
      <c r="A27" s="147">
        <f>IF(COUNTIF(LEDGER[LedgerCode],FinanceCodesBudget[[#This Row],[LedgerCode]])&gt;0,0,1)</f>
        <v>0</v>
      </c>
      <c r="B27" s="43">
        <f>IF(COUNTIF(Table_System_Grouping_Codes[groupingCodeCode],FinanceCodesBudget[[#This Row],[GroupingCode]])&gt;0,0,1)</f>
        <v>0</v>
      </c>
      <c r="C27" s="43">
        <f>IF(COUNTIF(CUSTGROUP[CustomGroupingCode],FinanceCodesBudget[[#This Row],[CustomGrouping]])&gt;0,0,1)</f>
        <v>0</v>
      </c>
      <c r="D27" s="43" cm="1">
        <f t="array" ref="D27">IF(FinanceCodesBudget[[#This Row],[AvailableToAllSchools]]=TRUE,0,COUNTA(_xlfn.TEXTSPLIT(FinanceCodesBudget[[#This Row],[SchoolCodes]],",",,TRUE))-SUM(COUNTIF(SCHOOLS[SchoolCode],_xlfn.TEXTSPLIT(FinanceCodesBudget[[#This Row],[SchoolCodes]],",",,TRUE))))</f>
        <v>0</v>
      </c>
      <c r="E27" s="43">
        <f>IF(FinanceCodesBudget[[#This Row],[FinanceCodeTypeCode]]="BUDGET",0,COUNTIF(FinanceCodesBudget[FinanceCode],FinanceCodesBudget[[#This Row],[FinanceCode]])-1)</f>
        <v>0</v>
      </c>
      <c r="F27" s="43">
        <f>IF(FinanceCodesBudget[[#This Row],[FinanceCodeTypeCode]]="BUDGET",0,COUNTIF(FinanceCodesBudget[Title],FinanceCodesBudget[[#This Row],[Title]])-1)</f>
        <v>0</v>
      </c>
      <c r="G27" s="43">
        <f>COUNTIF(Lookup!$A$2:$A$7,FinanceCodesBudget[[#This Row],[FinanceCodeTypeCode]])-1</f>
        <v>0</v>
      </c>
      <c r="H27" s="43">
        <f>IF(TRIM(FinanceCodesBudget[[#This Row],[Title]])="",1,0)</f>
        <v>0</v>
      </c>
      <c r="I27" s="43">
        <f>IF(TRIM(FinanceCodesBudget[[#This Row],[FinanceCode]])="",1,0)</f>
        <v>0</v>
      </c>
      <c r="J27" s="43">
        <f>IF(LEN(FinanceCodesBudget[[#This Row],[FinanceCode]])&lt;100,0,1)</f>
        <v>0</v>
      </c>
      <c r="K27" s="43">
        <f>IF(LEN(FinanceCodesBudget[[#This Row],[Title]])&lt;100,0,1)</f>
        <v>0</v>
      </c>
      <c r="L27" s="43">
        <f>IF(ISBLANK(FinanceCodesBudget[[#This Row],[BalanceToScenario]]),1,0)</f>
        <v>0</v>
      </c>
      <c r="M27" s="43">
        <f>SUM(FinanceCodesBudget[[#This Row],[LedgerIssue]:[CustGrIssue]],FinanceCodesBudget[[#This Row],[DupCode]:[Balance to Scenario Blank]])</f>
        <v>0</v>
      </c>
      <c r="N27">
        <v>515250</v>
      </c>
      <c r="O27" t="s">
        <v>2550</v>
      </c>
      <c r="P27" t="s">
        <v>108</v>
      </c>
      <c r="Q27" t="s">
        <v>1970</v>
      </c>
      <c r="R27" t="b">
        <v>0</v>
      </c>
      <c r="S27" t="s">
        <v>2526</v>
      </c>
      <c r="T27" t="s">
        <v>1300</v>
      </c>
      <c r="U27" t="s">
        <v>1532</v>
      </c>
      <c r="V27" t="b">
        <v>1</v>
      </c>
      <c r="W27" t="b">
        <v>0</v>
      </c>
    </row>
    <row r="28" spans="1:23" x14ac:dyDescent="0.3">
      <c r="A28" s="147">
        <f>IF(COUNTIF(LEDGER[LedgerCode],FinanceCodesBudget[[#This Row],[LedgerCode]])&gt;0,0,1)</f>
        <v>0</v>
      </c>
      <c r="B28" s="43">
        <f>IF(COUNTIF(Table_System_Grouping_Codes[groupingCodeCode],FinanceCodesBudget[[#This Row],[GroupingCode]])&gt;0,0,1)</f>
        <v>0</v>
      </c>
      <c r="C28" s="43">
        <f>IF(COUNTIF(CUSTGROUP[CustomGroupingCode],FinanceCodesBudget[[#This Row],[CustomGrouping]])&gt;0,0,1)</f>
        <v>0</v>
      </c>
      <c r="D28" s="43" cm="1">
        <f t="array" ref="D28">IF(FinanceCodesBudget[[#This Row],[AvailableToAllSchools]]=TRUE,0,COUNTA(_xlfn.TEXTSPLIT(FinanceCodesBudget[[#This Row],[SchoolCodes]],",",,TRUE))-SUM(COUNTIF(SCHOOLS[SchoolCode],_xlfn.TEXTSPLIT(FinanceCodesBudget[[#This Row],[SchoolCodes]],",",,TRUE))))</f>
        <v>0</v>
      </c>
      <c r="E28" s="43">
        <f>IF(FinanceCodesBudget[[#This Row],[FinanceCodeTypeCode]]="BUDGET",0,COUNTIF(FinanceCodesBudget[FinanceCode],FinanceCodesBudget[[#This Row],[FinanceCode]])-1)</f>
        <v>0</v>
      </c>
      <c r="F28" s="43">
        <f>IF(FinanceCodesBudget[[#This Row],[FinanceCodeTypeCode]]="BUDGET",0,COUNTIF(FinanceCodesBudget[Title],FinanceCodesBudget[[#This Row],[Title]])-1)</f>
        <v>0</v>
      </c>
      <c r="G28" s="43">
        <f>COUNTIF(Lookup!$A$2:$A$7,FinanceCodesBudget[[#This Row],[FinanceCodeTypeCode]])-1</f>
        <v>0</v>
      </c>
      <c r="H28" s="43">
        <f>IF(TRIM(FinanceCodesBudget[[#This Row],[Title]])="",1,0)</f>
        <v>0</v>
      </c>
      <c r="I28" s="43">
        <f>IF(TRIM(FinanceCodesBudget[[#This Row],[FinanceCode]])="",1,0)</f>
        <v>0</v>
      </c>
      <c r="J28" s="43">
        <f>IF(LEN(FinanceCodesBudget[[#This Row],[FinanceCode]])&lt;100,0,1)</f>
        <v>0</v>
      </c>
      <c r="K28" s="43">
        <f>IF(LEN(FinanceCodesBudget[[#This Row],[Title]])&lt;100,0,1)</f>
        <v>0</v>
      </c>
      <c r="L28" s="43">
        <f>IF(ISBLANK(FinanceCodesBudget[[#This Row],[BalanceToScenario]]),1,0)</f>
        <v>0</v>
      </c>
      <c r="M28" s="43">
        <f>SUM(FinanceCodesBudget[[#This Row],[LedgerIssue]:[CustGrIssue]],FinanceCodesBudget[[#This Row],[DupCode]:[Balance to Scenario Blank]])</f>
        <v>0</v>
      </c>
      <c r="N28">
        <v>515300</v>
      </c>
      <c r="O28" t="s">
        <v>2551</v>
      </c>
      <c r="P28" t="s">
        <v>110</v>
      </c>
      <c r="Q28" t="s">
        <v>1970</v>
      </c>
      <c r="R28" t="b">
        <v>0</v>
      </c>
      <c r="S28" t="s">
        <v>2526</v>
      </c>
      <c r="T28" t="s">
        <v>1300</v>
      </c>
      <c r="U28" t="s">
        <v>1532</v>
      </c>
      <c r="V28" t="b">
        <v>1</v>
      </c>
      <c r="W28" t="b">
        <v>0</v>
      </c>
    </row>
    <row r="29" spans="1:23" x14ac:dyDescent="0.3">
      <c r="A29" s="147">
        <f>IF(COUNTIF(LEDGER[LedgerCode],FinanceCodesBudget[[#This Row],[LedgerCode]])&gt;0,0,1)</f>
        <v>0</v>
      </c>
      <c r="B29" s="43">
        <f>IF(COUNTIF(Table_System_Grouping_Codes[groupingCodeCode],FinanceCodesBudget[[#This Row],[GroupingCode]])&gt;0,0,1)</f>
        <v>0</v>
      </c>
      <c r="C29" s="43">
        <f>IF(COUNTIF(CUSTGROUP[CustomGroupingCode],FinanceCodesBudget[[#This Row],[CustomGrouping]])&gt;0,0,1)</f>
        <v>0</v>
      </c>
      <c r="D29" s="43" cm="1">
        <f t="array" ref="D29">IF(FinanceCodesBudget[[#This Row],[AvailableToAllSchools]]=TRUE,0,COUNTA(_xlfn.TEXTSPLIT(FinanceCodesBudget[[#This Row],[SchoolCodes]],",",,TRUE))-SUM(COUNTIF(SCHOOLS[SchoolCode],_xlfn.TEXTSPLIT(FinanceCodesBudget[[#This Row],[SchoolCodes]],",",,TRUE))))</f>
        <v>0</v>
      </c>
      <c r="E29" s="43">
        <f>IF(FinanceCodesBudget[[#This Row],[FinanceCodeTypeCode]]="BUDGET",0,COUNTIF(FinanceCodesBudget[FinanceCode],FinanceCodesBudget[[#This Row],[FinanceCode]])-1)</f>
        <v>0</v>
      </c>
      <c r="F29" s="43">
        <f>IF(FinanceCodesBudget[[#This Row],[FinanceCodeTypeCode]]="BUDGET",0,COUNTIF(FinanceCodesBudget[Title],FinanceCodesBudget[[#This Row],[Title]])-1)</f>
        <v>0</v>
      </c>
      <c r="G29" s="43">
        <f>COUNTIF(Lookup!$A$2:$A$7,FinanceCodesBudget[[#This Row],[FinanceCodeTypeCode]])-1</f>
        <v>0</v>
      </c>
      <c r="H29" s="43">
        <f>IF(TRIM(FinanceCodesBudget[[#This Row],[Title]])="",1,0)</f>
        <v>0</v>
      </c>
      <c r="I29" s="43">
        <f>IF(TRIM(FinanceCodesBudget[[#This Row],[FinanceCode]])="",1,0)</f>
        <v>0</v>
      </c>
      <c r="J29" s="43">
        <f>IF(LEN(FinanceCodesBudget[[#This Row],[FinanceCode]])&lt;100,0,1)</f>
        <v>0</v>
      </c>
      <c r="K29" s="43">
        <f>IF(LEN(FinanceCodesBudget[[#This Row],[Title]])&lt;100,0,1)</f>
        <v>0</v>
      </c>
      <c r="L29" s="43">
        <f>IF(ISBLANK(FinanceCodesBudget[[#This Row],[BalanceToScenario]]),1,0)</f>
        <v>0</v>
      </c>
      <c r="M29" s="43">
        <f>SUM(FinanceCodesBudget[[#This Row],[LedgerIssue]:[CustGrIssue]],FinanceCodesBudget[[#This Row],[DupCode]:[Balance to Scenario Blank]])</f>
        <v>0</v>
      </c>
      <c r="N29">
        <v>515350</v>
      </c>
      <c r="O29" t="s">
        <v>2552</v>
      </c>
      <c r="P29" t="s">
        <v>111</v>
      </c>
      <c r="Q29" t="s">
        <v>1970</v>
      </c>
      <c r="R29" t="b">
        <v>0</v>
      </c>
      <c r="S29" t="s">
        <v>2526</v>
      </c>
      <c r="T29" t="s">
        <v>1300</v>
      </c>
      <c r="U29" t="s">
        <v>1532</v>
      </c>
      <c r="V29" t="b">
        <v>1</v>
      </c>
      <c r="W29" t="b">
        <v>0</v>
      </c>
    </row>
    <row r="30" spans="1:23" x14ac:dyDescent="0.3">
      <c r="A30" s="147">
        <f>IF(COUNTIF(LEDGER[LedgerCode],FinanceCodesBudget[[#This Row],[LedgerCode]])&gt;0,0,1)</f>
        <v>0</v>
      </c>
      <c r="B30" s="43">
        <f>IF(COUNTIF(Table_System_Grouping_Codes[groupingCodeCode],FinanceCodesBudget[[#This Row],[GroupingCode]])&gt;0,0,1)</f>
        <v>0</v>
      </c>
      <c r="C30" s="43">
        <f>IF(COUNTIF(CUSTGROUP[CustomGroupingCode],FinanceCodesBudget[[#This Row],[CustomGrouping]])&gt;0,0,1)</f>
        <v>0</v>
      </c>
      <c r="D30" s="43" cm="1">
        <f t="array" ref="D30">IF(FinanceCodesBudget[[#This Row],[AvailableToAllSchools]]=TRUE,0,COUNTA(_xlfn.TEXTSPLIT(FinanceCodesBudget[[#This Row],[SchoolCodes]],",",,TRUE))-SUM(COUNTIF(SCHOOLS[SchoolCode],_xlfn.TEXTSPLIT(FinanceCodesBudget[[#This Row],[SchoolCodes]],",",,TRUE))))</f>
        <v>0</v>
      </c>
      <c r="E30" s="43">
        <f>IF(FinanceCodesBudget[[#This Row],[FinanceCodeTypeCode]]="BUDGET",0,COUNTIF(FinanceCodesBudget[FinanceCode],FinanceCodesBudget[[#This Row],[FinanceCode]])-1)</f>
        <v>0</v>
      </c>
      <c r="F30" s="43">
        <f>IF(FinanceCodesBudget[[#This Row],[FinanceCodeTypeCode]]="BUDGET",0,COUNTIF(FinanceCodesBudget[Title],FinanceCodesBudget[[#This Row],[Title]])-1)</f>
        <v>0</v>
      </c>
      <c r="G30" s="43">
        <f>COUNTIF(Lookup!$A$2:$A$7,FinanceCodesBudget[[#This Row],[FinanceCodeTypeCode]])-1</f>
        <v>0</v>
      </c>
      <c r="H30" s="43">
        <f>IF(TRIM(FinanceCodesBudget[[#This Row],[Title]])="",1,0)</f>
        <v>0</v>
      </c>
      <c r="I30" s="43">
        <f>IF(TRIM(FinanceCodesBudget[[#This Row],[FinanceCode]])="",1,0)</f>
        <v>0</v>
      </c>
      <c r="J30" s="43">
        <f>IF(LEN(FinanceCodesBudget[[#This Row],[FinanceCode]])&lt;100,0,1)</f>
        <v>0</v>
      </c>
      <c r="K30" s="43">
        <f>IF(LEN(FinanceCodesBudget[[#This Row],[Title]])&lt;100,0,1)</f>
        <v>0</v>
      </c>
      <c r="L30" s="43">
        <f>IF(ISBLANK(FinanceCodesBudget[[#This Row],[BalanceToScenario]]),1,0)</f>
        <v>0</v>
      </c>
      <c r="M30" s="43">
        <f>SUM(FinanceCodesBudget[[#This Row],[LedgerIssue]:[CustGrIssue]],FinanceCodesBudget[[#This Row],[DupCode]:[Balance to Scenario Blank]])</f>
        <v>0</v>
      </c>
      <c r="N30">
        <v>515400</v>
      </c>
      <c r="O30" t="s">
        <v>2553</v>
      </c>
      <c r="P30" t="s">
        <v>113</v>
      </c>
      <c r="Q30" t="s">
        <v>1970</v>
      </c>
      <c r="R30" t="b">
        <v>0</v>
      </c>
      <c r="S30" t="s">
        <v>2526</v>
      </c>
      <c r="T30" t="s">
        <v>1300</v>
      </c>
      <c r="U30" t="s">
        <v>1532</v>
      </c>
      <c r="V30" t="b">
        <v>1</v>
      </c>
      <c r="W30" t="b">
        <v>0</v>
      </c>
    </row>
    <row r="31" spans="1:23" x14ac:dyDescent="0.3">
      <c r="A31" s="147">
        <f>IF(COUNTIF(LEDGER[LedgerCode],FinanceCodesBudget[[#This Row],[LedgerCode]])&gt;0,0,1)</f>
        <v>0</v>
      </c>
      <c r="B31" s="43">
        <f>IF(COUNTIF(Table_System_Grouping_Codes[groupingCodeCode],FinanceCodesBudget[[#This Row],[GroupingCode]])&gt;0,0,1)</f>
        <v>0</v>
      </c>
      <c r="C31" s="43">
        <f>IF(COUNTIF(CUSTGROUP[CustomGroupingCode],FinanceCodesBudget[[#This Row],[CustomGrouping]])&gt;0,0,1)</f>
        <v>0</v>
      </c>
      <c r="D31" s="43" cm="1">
        <f t="array" ref="D31">IF(FinanceCodesBudget[[#This Row],[AvailableToAllSchools]]=TRUE,0,COUNTA(_xlfn.TEXTSPLIT(FinanceCodesBudget[[#This Row],[SchoolCodes]],",",,TRUE))-SUM(COUNTIF(SCHOOLS[SchoolCode],_xlfn.TEXTSPLIT(FinanceCodesBudget[[#This Row],[SchoolCodes]],",",,TRUE))))</f>
        <v>0</v>
      </c>
      <c r="E31" s="43">
        <f>IF(FinanceCodesBudget[[#This Row],[FinanceCodeTypeCode]]="BUDGET",0,COUNTIF(FinanceCodesBudget[FinanceCode],FinanceCodesBudget[[#This Row],[FinanceCode]])-1)</f>
        <v>0</v>
      </c>
      <c r="F31" s="43">
        <f>IF(FinanceCodesBudget[[#This Row],[FinanceCodeTypeCode]]="BUDGET",0,COUNTIF(FinanceCodesBudget[Title],FinanceCodesBudget[[#This Row],[Title]])-1)</f>
        <v>0</v>
      </c>
      <c r="G31" s="43">
        <f>COUNTIF(Lookup!$A$2:$A$7,FinanceCodesBudget[[#This Row],[FinanceCodeTypeCode]])-1</f>
        <v>0</v>
      </c>
      <c r="H31" s="43">
        <f>IF(TRIM(FinanceCodesBudget[[#This Row],[Title]])="",1,0)</f>
        <v>0</v>
      </c>
      <c r="I31" s="43">
        <f>IF(TRIM(FinanceCodesBudget[[#This Row],[FinanceCode]])="",1,0)</f>
        <v>0</v>
      </c>
      <c r="J31" s="43">
        <f>IF(LEN(FinanceCodesBudget[[#This Row],[FinanceCode]])&lt;100,0,1)</f>
        <v>0</v>
      </c>
      <c r="K31" s="43">
        <f>IF(LEN(FinanceCodesBudget[[#This Row],[Title]])&lt;100,0,1)</f>
        <v>0</v>
      </c>
      <c r="L31" s="43">
        <f>IF(ISBLANK(FinanceCodesBudget[[#This Row],[BalanceToScenario]]),1,0)</f>
        <v>0</v>
      </c>
      <c r="M31" s="43">
        <f>SUM(FinanceCodesBudget[[#This Row],[LedgerIssue]:[CustGrIssue]],FinanceCodesBudget[[#This Row],[DupCode]:[Balance to Scenario Blank]])</f>
        <v>0</v>
      </c>
      <c r="N31">
        <v>520100</v>
      </c>
      <c r="O31" t="s">
        <v>2554</v>
      </c>
      <c r="P31" t="s">
        <v>115</v>
      </c>
      <c r="Q31" t="s">
        <v>1970</v>
      </c>
      <c r="R31" t="b">
        <v>0</v>
      </c>
      <c r="S31" t="s">
        <v>2526</v>
      </c>
      <c r="T31" t="s">
        <v>1300</v>
      </c>
      <c r="U31" t="s">
        <v>1532</v>
      </c>
      <c r="V31" t="b">
        <v>1</v>
      </c>
      <c r="W31" t="b">
        <v>0</v>
      </c>
    </row>
    <row r="32" spans="1:23" x14ac:dyDescent="0.3">
      <c r="A32" s="147">
        <f>IF(COUNTIF(LEDGER[LedgerCode],FinanceCodesBudget[[#This Row],[LedgerCode]])&gt;0,0,1)</f>
        <v>0</v>
      </c>
      <c r="B32" s="43">
        <f>IF(COUNTIF(Table_System_Grouping_Codes[groupingCodeCode],FinanceCodesBudget[[#This Row],[GroupingCode]])&gt;0,0,1)</f>
        <v>0</v>
      </c>
      <c r="C32" s="43">
        <f>IF(COUNTIF(CUSTGROUP[CustomGroupingCode],FinanceCodesBudget[[#This Row],[CustomGrouping]])&gt;0,0,1)</f>
        <v>0</v>
      </c>
      <c r="D32" s="43" cm="1">
        <f t="array" ref="D32">IF(FinanceCodesBudget[[#This Row],[AvailableToAllSchools]]=TRUE,0,COUNTA(_xlfn.TEXTSPLIT(FinanceCodesBudget[[#This Row],[SchoolCodes]],",",,TRUE))-SUM(COUNTIF(SCHOOLS[SchoolCode],_xlfn.TEXTSPLIT(FinanceCodesBudget[[#This Row],[SchoolCodes]],",",,TRUE))))</f>
        <v>0</v>
      </c>
      <c r="E32" s="43">
        <f>IF(FinanceCodesBudget[[#This Row],[FinanceCodeTypeCode]]="BUDGET",0,COUNTIF(FinanceCodesBudget[FinanceCode],FinanceCodesBudget[[#This Row],[FinanceCode]])-1)</f>
        <v>0</v>
      </c>
      <c r="F32" s="43">
        <f>IF(FinanceCodesBudget[[#This Row],[FinanceCodeTypeCode]]="BUDGET",0,COUNTIF(FinanceCodesBudget[Title],FinanceCodesBudget[[#This Row],[Title]])-1)</f>
        <v>0</v>
      </c>
      <c r="G32" s="43">
        <f>COUNTIF(Lookup!$A$2:$A$7,FinanceCodesBudget[[#This Row],[FinanceCodeTypeCode]])-1</f>
        <v>0</v>
      </c>
      <c r="H32" s="43">
        <f>IF(TRIM(FinanceCodesBudget[[#This Row],[Title]])="",1,0)</f>
        <v>0</v>
      </c>
      <c r="I32" s="43">
        <f>IF(TRIM(FinanceCodesBudget[[#This Row],[FinanceCode]])="",1,0)</f>
        <v>0</v>
      </c>
      <c r="J32" s="43">
        <f>IF(LEN(FinanceCodesBudget[[#This Row],[FinanceCode]])&lt;100,0,1)</f>
        <v>0</v>
      </c>
      <c r="K32" s="43">
        <f>IF(LEN(FinanceCodesBudget[[#This Row],[Title]])&lt;100,0,1)</f>
        <v>0</v>
      </c>
      <c r="L32" s="43">
        <f>IF(ISBLANK(FinanceCodesBudget[[#This Row],[BalanceToScenario]]),1,0)</f>
        <v>0</v>
      </c>
      <c r="M32" s="43">
        <f>SUM(FinanceCodesBudget[[#This Row],[LedgerIssue]:[CustGrIssue]],FinanceCodesBudget[[#This Row],[DupCode]:[Balance to Scenario Blank]])</f>
        <v>0</v>
      </c>
      <c r="N32">
        <v>520150</v>
      </c>
      <c r="O32" t="s">
        <v>2555</v>
      </c>
      <c r="P32" t="s">
        <v>117</v>
      </c>
      <c r="Q32" t="s">
        <v>1970</v>
      </c>
      <c r="R32" t="b">
        <v>0</v>
      </c>
      <c r="S32" t="s">
        <v>2526</v>
      </c>
      <c r="T32" t="s">
        <v>1300</v>
      </c>
      <c r="U32" t="s">
        <v>1532</v>
      </c>
      <c r="V32" t="b">
        <v>1</v>
      </c>
      <c r="W32" t="b">
        <v>0</v>
      </c>
    </row>
    <row r="33" spans="1:23" x14ac:dyDescent="0.3">
      <c r="A33" s="147">
        <f>IF(COUNTIF(LEDGER[LedgerCode],FinanceCodesBudget[[#This Row],[LedgerCode]])&gt;0,0,1)</f>
        <v>0</v>
      </c>
      <c r="B33" s="43">
        <f>IF(COUNTIF(Table_System_Grouping_Codes[groupingCodeCode],FinanceCodesBudget[[#This Row],[GroupingCode]])&gt;0,0,1)</f>
        <v>0</v>
      </c>
      <c r="C33" s="43">
        <f>IF(COUNTIF(CUSTGROUP[CustomGroupingCode],FinanceCodesBudget[[#This Row],[CustomGrouping]])&gt;0,0,1)</f>
        <v>0</v>
      </c>
      <c r="D33" s="43" cm="1">
        <f t="array" ref="D33">IF(FinanceCodesBudget[[#This Row],[AvailableToAllSchools]]=TRUE,0,COUNTA(_xlfn.TEXTSPLIT(FinanceCodesBudget[[#This Row],[SchoolCodes]],",",,TRUE))-SUM(COUNTIF(SCHOOLS[SchoolCode],_xlfn.TEXTSPLIT(FinanceCodesBudget[[#This Row],[SchoolCodes]],",",,TRUE))))</f>
        <v>0</v>
      </c>
      <c r="E33" s="43">
        <f>IF(FinanceCodesBudget[[#This Row],[FinanceCodeTypeCode]]="BUDGET",0,COUNTIF(FinanceCodesBudget[FinanceCode],FinanceCodesBudget[[#This Row],[FinanceCode]])-1)</f>
        <v>0</v>
      </c>
      <c r="F33" s="43">
        <f>IF(FinanceCodesBudget[[#This Row],[FinanceCodeTypeCode]]="BUDGET",0,COUNTIF(FinanceCodesBudget[Title],FinanceCodesBudget[[#This Row],[Title]])-1)</f>
        <v>0</v>
      </c>
      <c r="G33" s="43">
        <f>COUNTIF(Lookup!$A$2:$A$7,FinanceCodesBudget[[#This Row],[FinanceCodeTypeCode]])-1</f>
        <v>0</v>
      </c>
      <c r="H33" s="43">
        <f>IF(TRIM(FinanceCodesBudget[[#This Row],[Title]])="",1,0)</f>
        <v>0</v>
      </c>
      <c r="I33" s="43">
        <f>IF(TRIM(FinanceCodesBudget[[#This Row],[FinanceCode]])="",1,0)</f>
        <v>0</v>
      </c>
      <c r="J33" s="43">
        <f>IF(LEN(FinanceCodesBudget[[#This Row],[FinanceCode]])&lt;100,0,1)</f>
        <v>0</v>
      </c>
      <c r="K33" s="43">
        <f>IF(LEN(FinanceCodesBudget[[#This Row],[Title]])&lt;100,0,1)</f>
        <v>0</v>
      </c>
      <c r="L33" s="43">
        <f>IF(ISBLANK(FinanceCodesBudget[[#This Row],[BalanceToScenario]]),1,0)</f>
        <v>0</v>
      </c>
      <c r="M33" s="43">
        <f>SUM(FinanceCodesBudget[[#This Row],[LedgerIssue]:[CustGrIssue]],FinanceCodesBudget[[#This Row],[DupCode]:[Balance to Scenario Blank]])</f>
        <v>0</v>
      </c>
      <c r="N33">
        <v>520200</v>
      </c>
      <c r="O33" t="s">
        <v>2556</v>
      </c>
      <c r="P33" t="s">
        <v>119</v>
      </c>
      <c r="Q33" t="s">
        <v>1970</v>
      </c>
      <c r="R33" t="b">
        <v>0</v>
      </c>
      <c r="S33" t="s">
        <v>2526</v>
      </c>
      <c r="T33" t="s">
        <v>1300</v>
      </c>
      <c r="U33" t="s">
        <v>1532</v>
      </c>
      <c r="V33" t="b">
        <v>1</v>
      </c>
      <c r="W33" t="b">
        <v>0</v>
      </c>
    </row>
    <row r="34" spans="1:23" x14ac:dyDescent="0.3">
      <c r="A34" s="147">
        <f>IF(COUNTIF(LEDGER[LedgerCode],FinanceCodesBudget[[#This Row],[LedgerCode]])&gt;0,0,1)</f>
        <v>0</v>
      </c>
      <c r="B34" s="43">
        <f>IF(COUNTIF(Table_System_Grouping_Codes[groupingCodeCode],FinanceCodesBudget[[#This Row],[GroupingCode]])&gt;0,0,1)</f>
        <v>0</v>
      </c>
      <c r="C34" s="43">
        <f>IF(COUNTIF(CUSTGROUP[CustomGroupingCode],FinanceCodesBudget[[#This Row],[CustomGrouping]])&gt;0,0,1)</f>
        <v>0</v>
      </c>
      <c r="D34" s="43" cm="1">
        <f t="array" ref="D34">IF(FinanceCodesBudget[[#This Row],[AvailableToAllSchools]]=TRUE,0,COUNTA(_xlfn.TEXTSPLIT(FinanceCodesBudget[[#This Row],[SchoolCodes]],",",,TRUE))-SUM(COUNTIF(SCHOOLS[SchoolCode],_xlfn.TEXTSPLIT(FinanceCodesBudget[[#This Row],[SchoolCodes]],",",,TRUE))))</f>
        <v>0</v>
      </c>
      <c r="E34" s="43">
        <f>IF(FinanceCodesBudget[[#This Row],[FinanceCodeTypeCode]]="BUDGET",0,COUNTIF(FinanceCodesBudget[FinanceCode],FinanceCodesBudget[[#This Row],[FinanceCode]])-1)</f>
        <v>0</v>
      </c>
      <c r="F34" s="43">
        <f>IF(FinanceCodesBudget[[#This Row],[FinanceCodeTypeCode]]="BUDGET",0,COUNTIF(FinanceCodesBudget[Title],FinanceCodesBudget[[#This Row],[Title]])-1)</f>
        <v>0</v>
      </c>
      <c r="G34" s="43">
        <f>COUNTIF(Lookup!$A$2:$A$7,FinanceCodesBudget[[#This Row],[FinanceCodeTypeCode]])-1</f>
        <v>0</v>
      </c>
      <c r="H34" s="43">
        <f>IF(TRIM(FinanceCodesBudget[[#This Row],[Title]])="",1,0)</f>
        <v>0</v>
      </c>
      <c r="I34" s="43">
        <f>IF(TRIM(FinanceCodesBudget[[#This Row],[FinanceCode]])="",1,0)</f>
        <v>0</v>
      </c>
      <c r="J34" s="43">
        <f>IF(LEN(FinanceCodesBudget[[#This Row],[FinanceCode]])&lt;100,0,1)</f>
        <v>0</v>
      </c>
      <c r="K34" s="43">
        <f>IF(LEN(FinanceCodesBudget[[#This Row],[Title]])&lt;100,0,1)</f>
        <v>0</v>
      </c>
      <c r="L34" s="43">
        <f>IF(ISBLANK(FinanceCodesBudget[[#This Row],[BalanceToScenario]]),1,0)</f>
        <v>0</v>
      </c>
      <c r="M34" s="43">
        <f>SUM(FinanceCodesBudget[[#This Row],[LedgerIssue]:[CustGrIssue]],FinanceCodesBudget[[#This Row],[DupCode]:[Balance to Scenario Blank]])</f>
        <v>0</v>
      </c>
      <c r="N34">
        <v>520300</v>
      </c>
      <c r="O34" t="s">
        <v>2557</v>
      </c>
      <c r="P34" t="s">
        <v>121</v>
      </c>
      <c r="Q34" t="s">
        <v>1970</v>
      </c>
      <c r="R34" t="b">
        <v>0</v>
      </c>
      <c r="S34" t="s">
        <v>2526</v>
      </c>
      <c r="T34" t="s">
        <v>1300</v>
      </c>
      <c r="U34" t="s">
        <v>1532</v>
      </c>
      <c r="V34" t="b">
        <v>1</v>
      </c>
      <c r="W34" t="b">
        <v>0</v>
      </c>
    </row>
    <row r="35" spans="1:23" x14ac:dyDescent="0.3">
      <c r="A35" s="147">
        <f>IF(COUNTIF(LEDGER[LedgerCode],FinanceCodesBudget[[#This Row],[LedgerCode]])&gt;0,0,1)</f>
        <v>0</v>
      </c>
      <c r="B35" s="43">
        <f>IF(COUNTIF(Table_System_Grouping_Codes[groupingCodeCode],FinanceCodesBudget[[#This Row],[GroupingCode]])&gt;0,0,1)</f>
        <v>0</v>
      </c>
      <c r="C35" s="43">
        <f>IF(COUNTIF(CUSTGROUP[CustomGroupingCode],FinanceCodesBudget[[#This Row],[CustomGrouping]])&gt;0,0,1)</f>
        <v>0</v>
      </c>
      <c r="D35" s="43" cm="1">
        <f t="array" ref="D35">IF(FinanceCodesBudget[[#This Row],[AvailableToAllSchools]]=TRUE,0,COUNTA(_xlfn.TEXTSPLIT(FinanceCodesBudget[[#This Row],[SchoolCodes]],",",,TRUE))-SUM(COUNTIF(SCHOOLS[SchoolCode],_xlfn.TEXTSPLIT(FinanceCodesBudget[[#This Row],[SchoolCodes]],",",,TRUE))))</f>
        <v>0</v>
      </c>
      <c r="E35" s="43">
        <f>IF(FinanceCodesBudget[[#This Row],[FinanceCodeTypeCode]]="BUDGET",0,COUNTIF(FinanceCodesBudget[FinanceCode],FinanceCodesBudget[[#This Row],[FinanceCode]])-1)</f>
        <v>0</v>
      </c>
      <c r="F35" s="43">
        <f>IF(FinanceCodesBudget[[#This Row],[FinanceCodeTypeCode]]="BUDGET",0,COUNTIF(FinanceCodesBudget[Title],FinanceCodesBudget[[#This Row],[Title]])-1)</f>
        <v>0</v>
      </c>
      <c r="G35" s="43">
        <f>COUNTIF(Lookup!$A$2:$A$7,FinanceCodesBudget[[#This Row],[FinanceCodeTypeCode]])-1</f>
        <v>0</v>
      </c>
      <c r="H35" s="43">
        <f>IF(TRIM(FinanceCodesBudget[[#This Row],[Title]])="",1,0)</f>
        <v>0</v>
      </c>
      <c r="I35" s="43">
        <f>IF(TRIM(FinanceCodesBudget[[#This Row],[FinanceCode]])="",1,0)</f>
        <v>0</v>
      </c>
      <c r="J35" s="43">
        <f>IF(LEN(FinanceCodesBudget[[#This Row],[FinanceCode]])&lt;100,0,1)</f>
        <v>0</v>
      </c>
      <c r="K35" s="43">
        <f>IF(LEN(FinanceCodesBudget[[#This Row],[Title]])&lt;100,0,1)</f>
        <v>0</v>
      </c>
      <c r="L35" s="43">
        <f>IF(ISBLANK(FinanceCodesBudget[[#This Row],[BalanceToScenario]]),1,0)</f>
        <v>0</v>
      </c>
      <c r="M35" s="43">
        <f>SUM(FinanceCodesBudget[[#This Row],[LedgerIssue]:[CustGrIssue]],FinanceCodesBudget[[#This Row],[DupCode]:[Balance to Scenario Blank]])</f>
        <v>0</v>
      </c>
      <c r="N35">
        <v>520350</v>
      </c>
      <c r="O35" t="s">
        <v>2558</v>
      </c>
      <c r="P35" t="s">
        <v>1387</v>
      </c>
      <c r="Q35" t="s">
        <v>1970</v>
      </c>
      <c r="R35" t="b">
        <v>0</v>
      </c>
      <c r="S35" t="s">
        <v>2526</v>
      </c>
      <c r="T35" t="s">
        <v>1300</v>
      </c>
      <c r="U35" t="s">
        <v>1532</v>
      </c>
      <c r="V35" t="b">
        <v>1</v>
      </c>
      <c r="W35" t="b">
        <v>0</v>
      </c>
    </row>
    <row r="36" spans="1:23" x14ac:dyDescent="0.3">
      <c r="A36" s="147">
        <f>IF(COUNTIF(LEDGER[LedgerCode],FinanceCodesBudget[[#This Row],[LedgerCode]])&gt;0,0,1)</f>
        <v>0</v>
      </c>
      <c r="B36" s="43">
        <f>IF(COUNTIF(Table_System_Grouping_Codes[groupingCodeCode],FinanceCodesBudget[[#This Row],[GroupingCode]])&gt;0,0,1)</f>
        <v>0</v>
      </c>
      <c r="C36" s="43">
        <f>IF(COUNTIF(CUSTGROUP[CustomGroupingCode],FinanceCodesBudget[[#This Row],[CustomGrouping]])&gt;0,0,1)</f>
        <v>0</v>
      </c>
      <c r="D36" s="43" cm="1">
        <f t="array" ref="D36">IF(FinanceCodesBudget[[#This Row],[AvailableToAllSchools]]=TRUE,0,COUNTA(_xlfn.TEXTSPLIT(FinanceCodesBudget[[#This Row],[SchoolCodes]],",",,TRUE))-SUM(COUNTIF(SCHOOLS[SchoolCode],_xlfn.TEXTSPLIT(FinanceCodesBudget[[#This Row],[SchoolCodes]],",",,TRUE))))</f>
        <v>0</v>
      </c>
      <c r="E36" s="43">
        <f>IF(FinanceCodesBudget[[#This Row],[FinanceCodeTypeCode]]="BUDGET",0,COUNTIF(FinanceCodesBudget[FinanceCode],FinanceCodesBudget[[#This Row],[FinanceCode]])-1)</f>
        <v>0</v>
      </c>
      <c r="F36" s="43">
        <f>IF(FinanceCodesBudget[[#This Row],[FinanceCodeTypeCode]]="BUDGET",0,COUNTIF(FinanceCodesBudget[Title],FinanceCodesBudget[[#This Row],[Title]])-1)</f>
        <v>0</v>
      </c>
      <c r="G36" s="43">
        <f>COUNTIF(Lookup!$A$2:$A$7,FinanceCodesBudget[[#This Row],[FinanceCodeTypeCode]])-1</f>
        <v>0</v>
      </c>
      <c r="H36" s="43">
        <f>IF(TRIM(FinanceCodesBudget[[#This Row],[Title]])="",1,0)</f>
        <v>0</v>
      </c>
      <c r="I36" s="43">
        <f>IF(TRIM(FinanceCodesBudget[[#This Row],[FinanceCode]])="",1,0)</f>
        <v>0</v>
      </c>
      <c r="J36" s="43">
        <f>IF(LEN(FinanceCodesBudget[[#This Row],[FinanceCode]])&lt;100,0,1)</f>
        <v>0</v>
      </c>
      <c r="K36" s="43">
        <f>IF(LEN(FinanceCodesBudget[[#This Row],[Title]])&lt;100,0,1)</f>
        <v>0</v>
      </c>
      <c r="L36" s="43">
        <f>IF(ISBLANK(FinanceCodesBudget[[#This Row],[BalanceToScenario]]),1,0)</f>
        <v>0</v>
      </c>
      <c r="M36" s="43">
        <f>SUM(FinanceCodesBudget[[#This Row],[LedgerIssue]:[CustGrIssue]],FinanceCodesBudget[[#This Row],[DupCode]:[Balance to Scenario Blank]])</f>
        <v>0</v>
      </c>
      <c r="N36">
        <v>520400</v>
      </c>
      <c r="O36" t="s">
        <v>2559</v>
      </c>
      <c r="P36" t="s">
        <v>123</v>
      </c>
      <c r="Q36" t="s">
        <v>1972</v>
      </c>
      <c r="R36" t="b">
        <v>0</v>
      </c>
      <c r="S36" t="s">
        <v>2526</v>
      </c>
      <c r="T36" t="s">
        <v>1300</v>
      </c>
      <c r="U36" t="s">
        <v>1532</v>
      </c>
      <c r="V36" t="b">
        <v>1</v>
      </c>
      <c r="W36" t="b">
        <v>0</v>
      </c>
    </row>
    <row r="37" spans="1:23" x14ac:dyDescent="0.3">
      <c r="A37" s="147">
        <f>IF(COUNTIF(LEDGER[LedgerCode],FinanceCodesBudget[[#This Row],[LedgerCode]])&gt;0,0,1)</f>
        <v>0</v>
      </c>
      <c r="B37" s="43">
        <f>IF(COUNTIF(Table_System_Grouping_Codes[groupingCodeCode],FinanceCodesBudget[[#This Row],[GroupingCode]])&gt;0,0,1)</f>
        <v>0</v>
      </c>
      <c r="C37" s="43">
        <f>IF(COUNTIF(CUSTGROUP[CustomGroupingCode],FinanceCodesBudget[[#This Row],[CustomGrouping]])&gt;0,0,1)</f>
        <v>0</v>
      </c>
      <c r="D37" s="43" cm="1">
        <f t="array" ref="D37">IF(FinanceCodesBudget[[#This Row],[AvailableToAllSchools]]=TRUE,0,COUNTA(_xlfn.TEXTSPLIT(FinanceCodesBudget[[#This Row],[SchoolCodes]],",",,TRUE))-SUM(COUNTIF(SCHOOLS[SchoolCode],_xlfn.TEXTSPLIT(FinanceCodesBudget[[#This Row],[SchoolCodes]],",",,TRUE))))</f>
        <v>0</v>
      </c>
      <c r="E37" s="43">
        <f>IF(FinanceCodesBudget[[#This Row],[FinanceCodeTypeCode]]="BUDGET",0,COUNTIF(FinanceCodesBudget[FinanceCode],FinanceCodesBudget[[#This Row],[FinanceCode]])-1)</f>
        <v>0</v>
      </c>
      <c r="F37" s="43">
        <f>IF(FinanceCodesBudget[[#This Row],[FinanceCodeTypeCode]]="BUDGET",0,COUNTIF(FinanceCodesBudget[Title],FinanceCodesBudget[[#This Row],[Title]])-1)</f>
        <v>0</v>
      </c>
      <c r="G37" s="43">
        <f>COUNTIF(Lookup!$A$2:$A$7,FinanceCodesBudget[[#This Row],[FinanceCodeTypeCode]])-1</f>
        <v>0</v>
      </c>
      <c r="H37" s="43">
        <f>IF(TRIM(FinanceCodesBudget[[#This Row],[Title]])="",1,0)</f>
        <v>0</v>
      </c>
      <c r="I37" s="43">
        <f>IF(TRIM(FinanceCodesBudget[[#This Row],[FinanceCode]])="",1,0)</f>
        <v>0</v>
      </c>
      <c r="J37" s="43">
        <f>IF(LEN(FinanceCodesBudget[[#This Row],[FinanceCode]])&lt;100,0,1)</f>
        <v>0</v>
      </c>
      <c r="K37" s="43">
        <f>IF(LEN(FinanceCodesBudget[[#This Row],[Title]])&lt;100,0,1)</f>
        <v>0</v>
      </c>
      <c r="L37" s="43">
        <f>IF(ISBLANK(FinanceCodesBudget[[#This Row],[BalanceToScenario]]),1,0)</f>
        <v>0</v>
      </c>
      <c r="M37" s="43">
        <f>SUM(FinanceCodesBudget[[#This Row],[LedgerIssue]:[CustGrIssue]],FinanceCodesBudget[[#This Row],[DupCode]:[Balance to Scenario Blank]])</f>
        <v>0</v>
      </c>
      <c r="N37">
        <v>525100</v>
      </c>
      <c r="O37" t="s">
        <v>2560</v>
      </c>
      <c r="P37" t="s">
        <v>125</v>
      </c>
      <c r="Q37" t="s">
        <v>1976</v>
      </c>
      <c r="R37" t="b">
        <v>0</v>
      </c>
      <c r="S37" t="s">
        <v>2526</v>
      </c>
      <c r="T37" t="s">
        <v>1300</v>
      </c>
      <c r="U37" t="s">
        <v>1532</v>
      </c>
      <c r="V37" t="b">
        <v>1</v>
      </c>
      <c r="W37" t="b">
        <v>0</v>
      </c>
    </row>
    <row r="38" spans="1:23" x14ac:dyDescent="0.3">
      <c r="A38" s="147">
        <f>IF(COUNTIF(LEDGER[LedgerCode],FinanceCodesBudget[[#This Row],[LedgerCode]])&gt;0,0,1)</f>
        <v>0</v>
      </c>
      <c r="B38" s="43">
        <f>IF(COUNTIF(Table_System_Grouping_Codes[groupingCodeCode],FinanceCodesBudget[[#This Row],[GroupingCode]])&gt;0,0,1)</f>
        <v>0</v>
      </c>
      <c r="C38" s="43">
        <f>IF(COUNTIF(CUSTGROUP[CustomGroupingCode],FinanceCodesBudget[[#This Row],[CustomGrouping]])&gt;0,0,1)</f>
        <v>0</v>
      </c>
      <c r="D38" s="43" cm="1">
        <f t="array" ref="D38">IF(FinanceCodesBudget[[#This Row],[AvailableToAllSchools]]=TRUE,0,COUNTA(_xlfn.TEXTSPLIT(FinanceCodesBudget[[#This Row],[SchoolCodes]],",",,TRUE))-SUM(COUNTIF(SCHOOLS[SchoolCode],_xlfn.TEXTSPLIT(FinanceCodesBudget[[#This Row],[SchoolCodes]],",",,TRUE))))</f>
        <v>0</v>
      </c>
      <c r="E38" s="43">
        <f>IF(FinanceCodesBudget[[#This Row],[FinanceCodeTypeCode]]="BUDGET",0,COUNTIF(FinanceCodesBudget[FinanceCode],FinanceCodesBudget[[#This Row],[FinanceCode]])-1)</f>
        <v>0</v>
      </c>
      <c r="F38" s="43">
        <f>IF(FinanceCodesBudget[[#This Row],[FinanceCodeTypeCode]]="BUDGET",0,COUNTIF(FinanceCodesBudget[Title],FinanceCodesBudget[[#This Row],[Title]])-1)</f>
        <v>0</v>
      </c>
      <c r="G38" s="43">
        <f>COUNTIF(Lookup!$A$2:$A$7,FinanceCodesBudget[[#This Row],[FinanceCodeTypeCode]])-1</f>
        <v>0</v>
      </c>
      <c r="H38" s="43">
        <f>IF(TRIM(FinanceCodesBudget[[#This Row],[Title]])="",1,0)</f>
        <v>0</v>
      </c>
      <c r="I38" s="43">
        <f>IF(TRIM(FinanceCodesBudget[[#This Row],[FinanceCode]])="",1,0)</f>
        <v>0</v>
      </c>
      <c r="J38" s="43">
        <f>IF(LEN(FinanceCodesBudget[[#This Row],[FinanceCode]])&lt;100,0,1)</f>
        <v>0</v>
      </c>
      <c r="K38" s="43">
        <f>IF(LEN(FinanceCodesBudget[[#This Row],[Title]])&lt;100,0,1)</f>
        <v>0</v>
      </c>
      <c r="L38" s="43">
        <f>IF(ISBLANK(FinanceCodesBudget[[#This Row],[BalanceToScenario]]),1,0)</f>
        <v>0</v>
      </c>
      <c r="M38" s="43">
        <f>SUM(FinanceCodesBudget[[#This Row],[LedgerIssue]:[CustGrIssue]],FinanceCodesBudget[[#This Row],[DupCode]:[Balance to Scenario Blank]])</f>
        <v>0</v>
      </c>
      <c r="N38">
        <v>525109</v>
      </c>
      <c r="O38" t="s">
        <v>2561</v>
      </c>
      <c r="P38" t="s">
        <v>127</v>
      </c>
      <c r="Q38" t="s">
        <v>1976</v>
      </c>
      <c r="R38" t="b">
        <v>0</v>
      </c>
      <c r="S38" t="s">
        <v>2329</v>
      </c>
      <c r="T38" t="s">
        <v>1300</v>
      </c>
      <c r="U38" t="s">
        <v>1532</v>
      </c>
      <c r="V38" t="b">
        <v>1</v>
      </c>
      <c r="W38" t="b">
        <v>0</v>
      </c>
    </row>
    <row r="39" spans="1:23" x14ac:dyDescent="0.3">
      <c r="A39" s="147">
        <f>IF(COUNTIF(LEDGER[LedgerCode],FinanceCodesBudget[[#This Row],[LedgerCode]])&gt;0,0,1)</f>
        <v>0</v>
      </c>
      <c r="B39" s="43">
        <f>IF(COUNTIF(Table_System_Grouping_Codes[groupingCodeCode],FinanceCodesBudget[[#This Row],[GroupingCode]])&gt;0,0,1)</f>
        <v>0</v>
      </c>
      <c r="C39" s="43">
        <f>IF(COUNTIF(CUSTGROUP[CustomGroupingCode],FinanceCodesBudget[[#This Row],[CustomGrouping]])&gt;0,0,1)</f>
        <v>0</v>
      </c>
      <c r="D39" s="43" cm="1">
        <f t="array" ref="D39">IF(FinanceCodesBudget[[#This Row],[AvailableToAllSchools]]=TRUE,0,COUNTA(_xlfn.TEXTSPLIT(FinanceCodesBudget[[#This Row],[SchoolCodes]],",",,TRUE))-SUM(COUNTIF(SCHOOLS[SchoolCode],_xlfn.TEXTSPLIT(FinanceCodesBudget[[#This Row],[SchoolCodes]],",",,TRUE))))</f>
        <v>0</v>
      </c>
      <c r="E39" s="43">
        <f>IF(FinanceCodesBudget[[#This Row],[FinanceCodeTypeCode]]="BUDGET",0,COUNTIF(FinanceCodesBudget[FinanceCode],FinanceCodesBudget[[#This Row],[FinanceCode]])-1)</f>
        <v>0</v>
      </c>
      <c r="F39" s="43">
        <f>IF(FinanceCodesBudget[[#This Row],[FinanceCodeTypeCode]]="BUDGET",0,COUNTIF(FinanceCodesBudget[Title],FinanceCodesBudget[[#This Row],[Title]])-1)</f>
        <v>0</v>
      </c>
      <c r="G39" s="43">
        <f>COUNTIF(Lookup!$A$2:$A$7,FinanceCodesBudget[[#This Row],[FinanceCodeTypeCode]])-1</f>
        <v>0</v>
      </c>
      <c r="H39" s="43">
        <f>IF(TRIM(FinanceCodesBudget[[#This Row],[Title]])="",1,0)</f>
        <v>0</v>
      </c>
      <c r="I39" s="43">
        <f>IF(TRIM(FinanceCodesBudget[[#This Row],[FinanceCode]])="",1,0)</f>
        <v>0</v>
      </c>
      <c r="J39" s="43">
        <f>IF(LEN(FinanceCodesBudget[[#This Row],[FinanceCode]])&lt;100,0,1)</f>
        <v>0</v>
      </c>
      <c r="K39" s="43">
        <f>IF(LEN(FinanceCodesBudget[[#This Row],[Title]])&lt;100,0,1)</f>
        <v>0</v>
      </c>
      <c r="L39" s="43">
        <f>IF(ISBLANK(FinanceCodesBudget[[#This Row],[BalanceToScenario]]),1,0)</f>
        <v>0</v>
      </c>
      <c r="M39" s="43">
        <f>SUM(FinanceCodesBudget[[#This Row],[LedgerIssue]:[CustGrIssue]],FinanceCodesBudget[[#This Row],[DupCode]:[Balance to Scenario Blank]])</f>
        <v>0</v>
      </c>
      <c r="N39">
        <v>525150</v>
      </c>
      <c r="O39" t="s">
        <v>2562</v>
      </c>
      <c r="P39" t="s">
        <v>1777</v>
      </c>
      <c r="Q39" t="s">
        <v>1976</v>
      </c>
      <c r="R39" t="b">
        <v>0</v>
      </c>
      <c r="S39" t="s">
        <v>2526</v>
      </c>
      <c r="T39" t="s">
        <v>1300</v>
      </c>
      <c r="U39" t="s">
        <v>1532</v>
      </c>
      <c r="V39" t="b">
        <v>1</v>
      </c>
      <c r="W39" t="b">
        <v>0</v>
      </c>
    </row>
    <row r="40" spans="1:23" x14ac:dyDescent="0.3">
      <c r="A40" s="147">
        <f>IF(COUNTIF(LEDGER[LedgerCode],FinanceCodesBudget[[#This Row],[LedgerCode]])&gt;0,0,1)</f>
        <v>0</v>
      </c>
      <c r="B40" s="43">
        <f>IF(COUNTIF(Table_System_Grouping_Codes[groupingCodeCode],FinanceCodesBudget[[#This Row],[GroupingCode]])&gt;0,0,1)</f>
        <v>0</v>
      </c>
      <c r="C40" s="43">
        <f>IF(COUNTIF(CUSTGROUP[CustomGroupingCode],FinanceCodesBudget[[#This Row],[CustomGrouping]])&gt;0,0,1)</f>
        <v>0</v>
      </c>
      <c r="D40" s="43" cm="1">
        <f t="array" ref="D40">IF(FinanceCodesBudget[[#This Row],[AvailableToAllSchools]]=TRUE,0,COUNTA(_xlfn.TEXTSPLIT(FinanceCodesBudget[[#This Row],[SchoolCodes]],",",,TRUE))-SUM(COUNTIF(SCHOOLS[SchoolCode],_xlfn.TEXTSPLIT(FinanceCodesBudget[[#This Row],[SchoolCodes]],",",,TRUE))))</f>
        <v>0</v>
      </c>
      <c r="E40" s="43">
        <f>IF(FinanceCodesBudget[[#This Row],[FinanceCodeTypeCode]]="BUDGET",0,COUNTIF(FinanceCodesBudget[FinanceCode],FinanceCodesBudget[[#This Row],[FinanceCode]])-1)</f>
        <v>0</v>
      </c>
      <c r="F40" s="43">
        <f>IF(FinanceCodesBudget[[#This Row],[FinanceCodeTypeCode]]="BUDGET",0,COUNTIF(FinanceCodesBudget[Title],FinanceCodesBudget[[#This Row],[Title]])-1)</f>
        <v>0</v>
      </c>
      <c r="G40" s="43">
        <f>COUNTIF(Lookup!$A$2:$A$7,FinanceCodesBudget[[#This Row],[FinanceCodeTypeCode]])-1</f>
        <v>0</v>
      </c>
      <c r="H40" s="43">
        <f>IF(TRIM(FinanceCodesBudget[[#This Row],[Title]])="",1,0)</f>
        <v>0</v>
      </c>
      <c r="I40" s="43">
        <f>IF(TRIM(FinanceCodesBudget[[#This Row],[FinanceCode]])="",1,0)</f>
        <v>0</v>
      </c>
      <c r="J40" s="43">
        <f>IF(LEN(FinanceCodesBudget[[#This Row],[FinanceCode]])&lt;100,0,1)</f>
        <v>0</v>
      </c>
      <c r="K40" s="43">
        <f>IF(LEN(FinanceCodesBudget[[#This Row],[Title]])&lt;100,0,1)</f>
        <v>0</v>
      </c>
      <c r="L40" s="43">
        <f>IF(ISBLANK(FinanceCodesBudget[[#This Row],[BalanceToScenario]]),1,0)</f>
        <v>0</v>
      </c>
      <c r="M40" s="43">
        <f>SUM(FinanceCodesBudget[[#This Row],[LedgerIssue]:[CustGrIssue]],FinanceCodesBudget[[#This Row],[DupCode]:[Balance to Scenario Blank]])</f>
        <v>0</v>
      </c>
      <c r="N40">
        <v>525200</v>
      </c>
      <c r="O40" t="s">
        <v>2563</v>
      </c>
      <c r="P40" t="s">
        <v>129</v>
      </c>
      <c r="Q40" t="s">
        <v>1976</v>
      </c>
      <c r="R40" t="b">
        <v>0</v>
      </c>
      <c r="S40" t="s">
        <v>2526</v>
      </c>
      <c r="T40" t="s">
        <v>1300</v>
      </c>
      <c r="U40" t="s">
        <v>1532</v>
      </c>
      <c r="V40" t="b">
        <v>1</v>
      </c>
      <c r="W40" t="b">
        <v>0</v>
      </c>
    </row>
    <row r="41" spans="1:23" x14ac:dyDescent="0.3">
      <c r="A41" s="147">
        <f>IF(COUNTIF(LEDGER[LedgerCode],FinanceCodesBudget[[#This Row],[LedgerCode]])&gt;0,0,1)</f>
        <v>0</v>
      </c>
      <c r="B41" s="43">
        <f>IF(COUNTIF(Table_System_Grouping_Codes[groupingCodeCode],FinanceCodesBudget[[#This Row],[GroupingCode]])&gt;0,0,1)</f>
        <v>0</v>
      </c>
      <c r="C41" s="43">
        <f>IF(COUNTIF(CUSTGROUP[CustomGroupingCode],FinanceCodesBudget[[#This Row],[CustomGrouping]])&gt;0,0,1)</f>
        <v>0</v>
      </c>
      <c r="D41" s="43" cm="1">
        <f t="array" ref="D41">IF(FinanceCodesBudget[[#This Row],[AvailableToAllSchools]]=TRUE,0,COUNTA(_xlfn.TEXTSPLIT(FinanceCodesBudget[[#This Row],[SchoolCodes]],",",,TRUE))-SUM(COUNTIF(SCHOOLS[SchoolCode],_xlfn.TEXTSPLIT(FinanceCodesBudget[[#This Row],[SchoolCodes]],",",,TRUE))))</f>
        <v>0</v>
      </c>
      <c r="E41" s="43">
        <f>IF(FinanceCodesBudget[[#This Row],[FinanceCodeTypeCode]]="BUDGET",0,COUNTIF(FinanceCodesBudget[FinanceCode],FinanceCodesBudget[[#This Row],[FinanceCode]])-1)</f>
        <v>0</v>
      </c>
      <c r="F41" s="43">
        <f>IF(FinanceCodesBudget[[#This Row],[FinanceCodeTypeCode]]="BUDGET",0,COUNTIF(FinanceCodesBudget[Title],FinanceCodesBudget[[#This Row],[Title]])-1)</f>
        <v>0</v>
      </c>
      <c r="G41" s="43">
        <f>COUNTIF(Lookup!$A$2:$A$7,FinanceCodesBudget[[#This Row],[FinanceCodeTypeCode]])-1</f>
        <v>0</v>
      </c>
      <c r="H41" s="43">
        <f>IF(TRIM(FinanceCodesBudget[[#This Row],[Title]])="",1,0)</f>
        <v>0</v>
      </c>
      <c r="I41" s="43">
        <f>IF(TRIM(FinanceCodesBudget[[#This Row],[FinanceCode]])="",1,0)</f>
        <v>0</v>
      </c>
      <c r="J41" s="43">
        <f>IF(LEN(FinanceCodesBudget[[#This Row],[FinanceCode]])&lt;100,0,1)</f>
        <v>0</v>
      </c>
      <c r="K41" s="43">
        <f>IF(LEN(FinanceCodesBudget[[#This Row],[Title]])&lt;100,0,1)</f>
        <v>0</v>
      </c>
      <c r="L41" s="43">
        <f>IF(ISBLANK(FinanceCodesBudget[[#This Row],[BalanceToScenario]]),1,0)</f>
        <v>0</v>
      </c>
      <c r="M41" s="43">
        <f>SUM(FinanceCodesBudget[[#This Row],[LedgerIssue]:[CustGrIssue]],FinanceCodesBudget[[#This Row],[DupCode]:[Balance to Scenario Blank]])</f>
        <v>0</v>
      </c>
      <c r="N41">
        <v>525210</v>
      </c>
      <c r="O41" t="s">
        <v>2564</v>
      </c>
      <c r="P41" t="s">
        <v>131</v>
      </c>
      <c r="Q41" t="s">
        <v>1976</v>
      </c>
      <c r="R41" t="b">
        <v>0</v>
      </c>
      <c r="S41" t="s">
        <v>2526</v>
      </c>
      <c r="T41" t="s">
        <v>1300</v>
      </c>
      <c r="U41" t="s">
        <v>1532</v>
      </c>
      <c r="V41" t="b">
        <v>1</v>
      </c>
      <c r="W41" t="b">
        <v>0</v>
      </c>
    </row>
    <row r="42" spans="1:23" x14ac:dyDescent="0.3">
      <c r="A42" s="147">
        <f>IF(COUNTIF(LEDGER[LedgerCode],FinanceCodesBudget[[#This Row],[LedgerCode]])&gt;0,0,1)</f>
        <v>0</v>
      </c>
      <c r="B42" s="43">
        <f>IF(COUNTIF(Table_System_Grouping_Codes[groupingCodeCode],FinanceCodesBudget[[#This Row],[GroupingCode]])&gt;0,0,1)</f>
        <v>0</v>
      </c>
      <c r="C42" s="43">
        <f>IF(COUNTIF(CUSTGROUP[CustomGroupingCode],FinanceCodesBudget[[#This Row],[CustomGrouping]])&gt;0,0,1)</f>
        <v>0</v>
      </c>
      <c r="D42" s="43" cm="1">
        <f t="array" ref="D42">IF(FinanceCodesBudget[[#This Row],[AvailableToAllSchools]]=TRUE,0,COUNTA(_xlfn.TEXTSPLIT(FinanceCodesBudget[[#This Row],[SchoolCodes]],",",,TRUE))-SUM(COUNTIF(SCHOOLS[SchoolCode],_xlfn.TEXTSPLIT(FinanceCodesBudget[[#This Row],[SchoolCodes]],",",,TRUE))))</f>
        <v>0</v>
      </c>
      <c r="E42" s="43">
        <f>IF(FinanceCodesBudget[[#This Row],[FinanceCodeTypeCode]]="BUDGET",0,COUNTIF(FinanceCodesBudget[FinanceCode],FinanceCodesBudget[[#This Row],[FinanceCode]])-1)</f>
        <v>0</v>
      </c>
      <c r="F42" s="43">
        <f>IF(FinanceCodesBudget[[#This Row],[FinanceCodeTypeCode]]="BUDGET",0,COUNTIF(FinanceCodesBudget[Title],FinanceCodesBudget[[#This Row],[Title]])-1)</f>
        <v>0</v>
      </c>
      <c r="G42" s="43">
        <f>COUNTIF(Lookup!$A$2:$A$7,FinanceCodesBudget[[#This Row],[FinanceCodeTypeCode]])-1</f>
        <v>0</v>
      </c>
      <c r="H42" s="43">
        <f>IF(TRIM(FinanceCodesBudget[[#This Row],[Title]])="",1,0)</f>
        <v>0</v>
      </c>
      <c r="I42" s="43">
        <f>IF(TRIM(FinanceCodesBudget[[#This Row],[FinanceCode]])="",1,0)</f>
        <v>0</v>
      </c>
      <c r="J42" s="43">
        <f>IF(LEN(FinanceCodesBudget[[#This Row],[FinanceCode]])&lt;100,0,1)</f>
        <v>0</v>
      </c>
      <c r="K42" s="43">
        <f>IF(LEN(FinanceCodesBudget[[#This Row],[Title]])&lt;100,0,1)</f>
        <v>0</v>
      </c>
      <c r="L42" s="43">
        <f>IF(ISBLANK(FinanceCodesBudget[[#This Row],[BalanceToScenario]]),1,0)</f>
        <v>0</v>
      </c>
      <c r="M42" s="43">
        <f>SUM(FinanceCodesBudget[[#This Row],[LedgerIssue]:[CustGrIssue]],FinanceCodesBudget[[#This Row],[DupCode]:[Balance to Scenario Blank]])</f>
        <v>0</v>
      </c>
      <c r="N42">
        <v>525300</v>
      </c>
      <c r="O42" t="s">
        <v>2565</v>
      </c>
      <c r="P42" t="s">
        <v>1779</v>
      </c>
      <c r="Q42" t="s">
        <v>1976</v>
      </c>
      <c r="R42" t="b">
        <v>0</v>
      </c>
      <c r="S42" t="s">
        <v>2526</v>
      </c>
      <c r="T42" t="s">
        <v>1300</v>
      </c>
      <c r="U42" t="s">
        <v>1532</v>
      </c>
      <c r="V42" t="b">
        <v>1</v>
      </c>
      <c r="W42" t="b">
        <v>0</v>
      </c>
    </row>
    <row r="43" spans="1:23" x14ac:dyDescent="0.3">
      <c r="A43" s="147">
        <f>IF(COUNTIF(LEDGER[LedgerCode],FinanceCodesBudget[[#This Row],[LedgerCode]])&gt;0,0,1)</f>
        <v>0</v>
      </c>
      <c r="B43" s="43">
        <f>IF(COUNTIF(Table_System_Grouping_Codes[groupingCodeCode],FinanceCodesBudget[[#This Row],[GroupingCode]])&gt;0,0,1)</f>
        <v>0</v>
      </c>
      <c r="C43" s="43">
        <f>IF(COUNTIF(CUSTGROUP[CustomGroupingCode],FinanceCodesBudget[[#This Row],[CustomGrouping]])&gt;0,0,1)</f>
        <v>0</v>
      </c>
      <c r="D43" s="43" cm="1">
        <f t="array" ref="D43">IF(FinanceCodesBudget[[#This Row],[AvailableToAllSchools]]=TRUE,0,COUNTA(_xlfn.TEXTSPLIT(FinanceCodesBudget[[#This Row],[SchoolCodes]],",",,TRUE))-SUM(COUNTIF(SCHOOLS[SchoolCode],_xlfn.TEXTSPLIT(FinanceCodesBudget[[#This Row],[SchoolCodes]],",",,TRUE))))</f>
        <v>0</v>
      </c>
      <c r="E43" s="43">
        <f>IF(FinanceCodesBudget[[#This Row],[FinanceCodeTypeCode]]="BUDGET",0,COUNTIF(FinanceCodesBudget[FinanceCode],FinanceCodesBudget[[#This Row],[FinanceCode]])-1)</f>
        <v>0</v>
      </c>
      <c r="F43" s="43">
        <f>IF(FinanceCodesBudget[[#This Row],[FinanceCodeTypeCode]]="BUDGET",0,COUNTIF(FinanceCodesBudget[Title],FinanceCodesBudget[[#This Row],[Title]])-1)</f>
        <v>0</v>
      </c>
      <c r="G43" s="43">
        <f>COUNTIF(Lookup!$A$2:$A$7,FinanceCodesBudget[[#This Row],[FinanceCodeTypeCode]])-1</f>
        <v>0</v>
      </c>
      <c r="H43" s="43">
        <f>IF(TRIM(FinanceCodesBudget[[#This Row],[Title]])="",1,0)</f>
        <v>0</v>
      </c>
      <c r="I43" s="43">
        <f>IF(TRIM(FinanceCodesBudget[[#This Row],[FinanceCode]])="",1,0)</f>
        <v>0</v>
      </c>
      <c r="J43" s="43">
        <f>IF(LEN(FinanceCodesBudget[[#This Row],[FinanceCode]])&lt;100,0,1)</f>
        <v>0</v>
      </c>
      <c r="K43" s="43">
        <f>IF(LEN(FinanceCodesBudget[[#This Row],[Title]])&lt;100,0,1)</f>
        <v>0</v>
      </c>
      <c r="L43" s="43">
        <f>IF(ISBLANK(FinanceCodesBudget[[#This Row],[BalanceToScenario]]),1,0)</f>
        <v>0</v>
      </c>
      <c r="M43" s="43">
        <f>SUM(FinanceCodesBudget[[#This Row],[LedgerIssue]:[CustGrIssue]],FinanceCodesBudget[[#This Row],[DupCode]:[Balance to Scenario Blank]])</f>
        <v>0</v>
      </c>
      <c r="N43">
        <v>525400</v>
      </c>
      <c r="O43" t="s">
        <v>2566</v>
      </c>
      <c r="P43" t="s">
        <v>133</v>
      </c>
      <c r="Q43" t="s">
        <v>1976</v>
      </c>
      <c r="R43" t="b">
        <v>0</v>
      </c>
      <c r="S43" t="s">
        <v>2526</v>
      </c>
      <c r="T43" t="s">
        <v>1300</v>
      </c>
      <c r="U43" t="s">
        <v>1532</v>
      </c>
      <c r="V43" t="b">
        <v>1</v>
      </c>
      <c r="W43" t="b">
        <v>0</v>
      </c>
    </row>
    <row r="44" spans="1:23" x14ac:dyDescent="0.3">
      <c r="A44" s="147">
        <f>IF(COUNTIF(LEDGER[LedgerCode],FinanceCodesBudget[[#This Row],[LedgerCode]])&gt;0,0,1)</f>
        <v>0</v>
      </c>
      <c r="B44" s="43">
        <f>IF(COUNTIF(Table_System_Grouping_Codes[groupingCodeCode],FinanceCodesBudget[[#This Row],[GroupingCode]])&gt;0,0,1)</f>
        <v>0</v>
      </c>
      <c r="C44" s="43">
        <f>IF(COUNTIF(CUSTGROUP[CustomGroupingCode],FinanceCodesBudget[[#This Row],[CustomGrouping]])&gt;0,0,1)</f>
        <v>0</v>
      </c>
      <c r="D44" s="43" cm="1">
        <f t="array" ref="D44">IF(FinanceCodesBudget[[#This Row],[AvailableToAllSchools]]=TRUE,0,COUNTA(_xlfn.TEXTSPLIT(FinanceCodesBudget[[#This Row],[SchoolCodes]],",",,TRUE))-SUM(COUNTIF(SCHOOLS[SchoolCode],_xlfn.TEXTSPLIT(FinanceCodesBudget[[#This Row],[SchoolCodes]],",",,TRUE))))</f>
        <v>0</v>
      </c>
      <c r="E44" s="43">
        <f>IF(FinanceCodesBudget[[#This Row],[FinanceCodeTypeCode]]="BUDGET",0,COUNTIF(FinanceCodesBudget[FinanceCode],FinanceCodesBudget[[#This Row],[FinanceCode]])-1)</f>
        <v>0</v>
      </c>
      <c r="F44" s="43">
        <f>IF(FinanceCodesBudget[[#This Row],[FinanceCodeTypeCode]]="BUDGET",0,COUNTIF(FinanceCodesBudget[Title],FinanceCodesBudget[[#This Row],[Title]])-1)</f>
        <v>0</v>
      </c>
      <c r="G44" s="43">
        <f>COUNTIF(Lookup!$A$2:$A$7,FinanceCodesBudget[[#This Row],[FinanceCodeTypeCode]])-1</f>
        <v>0</v>
      </c>
      <c r="H44" s="43">
        <f>IF(TRIM(FinanceCodesBudget[[#This Row],[Title]])="",1,0)</f>
        <v>0</v>
      </c>
      <c r="I44" s="43">
        <f>IF(TRIM(FinanceCodesBudget[[#This Row],[FinanceCode]])="",1,0)</f>
        <v>0</v>
      </c>
      <c r="J44" s="43">
        <f>IF(LEN(FinanceCodesBudget[[#This Row],[FinanceCode]])&lt;100,0,1)</f>
        <v>0</v>
      </c>
      <c r="K44" s="43">
        <f>IF(LEN(FinanceCodesBudget[[#This Row],[Title]])&lt;100,0,1)</f>
        <v>0</v>
      </c>
      <c r="L44" s="43">
        <f>IF(ISBLANK(FinanceCodesBudget[[#This Row],[BalanceToScenario]]),1,0)</f>
        <v>0</v>
      </c>
      <c r="M44" s="43">
        <f>SUM(FinanceCodesBudget[[#This Row],[LedgerIssue]:[CustGrIssue]],FinanceCodesBudget[[#This Row],[DupCode]:[Balance to Scenario Blank]])</f>
        <v>0</v>
      </c>
      <c r="N44">
        <v>525450</v>
      </c>
      <c r="O44" t="s">
        <v>2567</v>
      </c>
      <c r="P44" t="s">
        <v>135</v>
      </c>
      <c r="Q44" t="s">
        <v>1976</v>
      </c>
      <c r="R44" t="b">
        <v>0</v>
      </c>
      <c r="S44" t="s">
        <v>2526</v>
      </c>
      <c r="T44" t="s">
        <v>1300</v>
      </c>
      <c r="U44" t="s">
        <v>1532</v>
      </c>
      <c r="V44" t="b">
        <v>1</v>
      </c>
      <c r="W44" t="b">
        <v>0</v>
      </c>
    </row>
    <row r="45" spans="1:23" x14ac:dyDescent="0.3">
      <c r="A45" s="147">
        <f>IF(COUNTIF(LEDGER[LedgerCode],FinanceCodesBudget[[#This Row],[LedgerCode]])&gt;0,0,1)</f>
        <v>0</v>
      </c>
      <c r="B45" s="43">
        <f>IF(COUNTIF(Table_System_Grouping_Codes[groupingCodeCode],FinanceCodesBudget[[#This Row],[GroupingCode]])&gt;0,0,1)</f>
        <v>0</v>
      </c>
      <c r="C45" s="43">
        <f>IF(COUNTIF(CUSTGROUP[CustomGroupingCode],FinanceCodesBudget[[#This Row],[CustomGrouping]])&gt;0,0,1)</f>
        <v>0</v>
      </c>
      <c r="D45" s="43" cm="1">
        <f t="array" ref="D45">IF(FinanceCodesBudget[[#This Row],[AvailableToAllSchools]]=TRUE,0,COUNTA(_xlfn.TEXTSPLIT(FinanceCodesBudget[[#This Row],[SchoolCodes]],",",,TRUE))-SUM(COUNTIF(SCHOOLS[SchoolCode],_xlfn.TEXTSPLIT(FinanceCodesBudget[[#This Row],[SchoolCodes]],",",,TRUE))))</f>
        <v>0</v>
      </c>
      <c r="E45" s="43">
        <f>IF(FinanceCodesBudget[[#This Row],[FinanceCodeTypeCode]]="BUDGET",0,COUNTIF(FinanceCodesBudget[FinanceCode],FinanceCodesBudget[[#This Row],[FinanceCode]])-1)</f>
        <v>0</v>
      </c>
      <c r="F45" s="43">
        <f>IF(FinanceCodesBudget[[#This Row],[FinanceCodeTypeCode]]="BUDGET",0,COUNTIF(FinanceCodesBudget[Title],FinanceCodesBudget[[#This Row],[Title]])-1)</f>
        <v>0</v>
      </c>
      <c r="G45" s="43">
        <f>COUNTIF(Lookup!$A$2:$A$7,FinanceCodesBudget[[#This Row],[FinanceCodeTypeCode]])-1</f>
        <v>0</v>
      </c>
      <c r="H45" s="43">
        <f>IF(TRIM(FinanceCodesBudget[[#This Row],[Title]])="",1,0)</f>
        <v>0</v>
      </c>
      <c r="I45" s="43">
        <f>IF(TRIM(FinanceCodesBudget[[#This Row],[FinanceCode]])="",1,0)</f>
        <v>0</v>
      </c>
      <c r="J45" s="43">
        <f>IF(LEN(FinanceCodesBudget[[#This Row],[FinanceCode]])&lt;100,0,1)</f>
        <v>0</v>
      </c>
      <c r="K45" s="43">
        <f>IF(LEN(FinanceCodesBudget[[#This Row],[Title]])&lt;100,0,1)</f>
        <v>0</v>
      </c>
      <c r="L45" s="43">
        <f>IF(ISBLANK(FinanceCodesBudget[[#This Row],[BalanceToScenario]]),1,0)</f>
        <v>0</v>
      </c>
      <c r="M45" s="43">
        <f>SUM(FinanceCodesBudget[[#This Row],[LedgerIssue]:[CustGrIssue]],FinanceCodesBudget[[#This Row],[DupCode]:[Balance to Scenario Blank]])</f>
        <v>0</v>
      </c>
      <c r="N45">
        <v>525500</v>
      </c>
      <c r="O45" t="s">
        <v>2568</v>
      </c>
      <c r="P45" t="s">
        <v>136</v>
      </c>
      <c r="Q45" t="s">
        <v>1976</v>
      </c>
      <c r="R45" t="b">
        <v>0</v>
      </c>
      <c r="S45" t="s">
        <v>2526</v>
      </c>
      <c r="T45" t="s">
        <v>1300</v>
      </c>
      <c r="U45" t="s">
        <v>1532</v>
      </c>
      <c r="V45" t="b">
        <v>1</v>
      </c>
      <c r="W45" t="b">
        <v>0</v>
      </c>
    </row>
    <row r="46" spans="1:23" x14ac:dyDescent="0.3">
      <c r="A46" s="147">
        <f>IF(COUNTIF(LEDGER[LedgerCode],FinanceCodesBudget[[#This Row],[LedgerCode]])&gt;0,0,1)</f>
        <v>0</v>
      </c>
      <c r="B46" s="43">
        <f>IF(COUNTIF(Table_System_Grouping_Codes[groupingCodeCode],FinanceCodesBudget[[#This Row],[GroupingCode]])&gt;0,0,1)</f>
        <v>0</v>
      </c>
      <c r="C46" s="43">
        <f>IF(COUNTIF(CUSTGROUP[CustomGroupingCode],FinanceCodesBudget[[#This Row],[CustomGrouping]])&gt;0,0,1)</f>
        <v>0</v>
      </c>
      <c r="D46" s="43" cm="1">
        <f t="array" ref="D46">IF(FinanceCodesBudget[[#This Row],[AvailableToAllSchools]]=TRUE,0,COUNTA(_xlfn.TEXTSPLIT(FinanceCodesBudget[[#This Row],[SchoolCodes]],",",,TRUE))-SUM(COUNTIF(SCHOOLS[SchoolCode],_xlfn.TEXTSPLIT(FinanceCodesBudget[[#This Row],[SchoolCodes]],",",,TRUE))))</f>
        <v>0</v>
      </c>
      <c r="E46" s="43">
        <f>IF(FinanceCodesBudget[[#This Row],[FinanceCodeTypeCode]]="BUDGET",0,COUNTIF(FinanceCodesBudget[FinanceCode],FinanceCodesBudget[[#This Row],[FinanceCode]])-1)</f>
        <v>0</v>
      </c>
      <c r="F46" s="43">
        <f>IF(FinanceCodesBudget[[#This Row],[FinanceCodeTypeCode]]="BUDGET",0,COUNTIF(FinanceCodesBudget[Title],FinanceCodesBudget[[#This Row],[Title]])-1)</f>
        <v>0</v>
      </c>
      <c r="G46" s="43">
        <f>COUNTIF(Lookup!$A$2:$A$7,FinanceCodesBudget[[#This Row],[FinanceCodeTypeCode]])-1</f>
        <v>0</v>
      </c>
      <c r="H46" s="43">
        <f>IF(TRIM(FinanceCodesBudget[[#This Row],[Title]])="",1,0)</f>
        <v>0</v>
      </c>
      <c r="I46" s="43">
        <f>IF(TRIM(FinanceCodesBudget[[#This Row],[FinanceCode]])="",1,0)</f>
        <v>0</v>
      </c>
      <c r="J46" s="43">
        <f>IF(LEN(FinanceCodesBudget[[#This Row],[FinanceCode]])&lt;100,0,1)</f>
        <v>0</v>
      </c>
      <c r="K46" s="43">
        <f>IF(LEN(FinanceCodesBudget[[#This Row],[Title]])&lt;100,0,1)</f>
        <v>0</v>
      </c>
      <c r="L46" s="43">
        <f>IF(ISBLANK(FinanceCodesBudget[[#This Row],[BalanceToScenario]]),1,0)</f>
        <v>0</v>
      </c>
      <c r="M46" s="43">
        <f>SUM(FinanceCodesBudget[[#This Row],[LedgerIssue]:[CustGrIssue]],FinanceCodesBudget[[#This Row],[DupCode]:[Balance to Scenario Blank]])</f>
        <v>0</v>
      </c>
      <c r="N46">
        <v>525600</v>
      </c>
      <c r="O46" t="s">
        <v>2569</v>
      </c>
      <c r="P46" t="s">
        <v>136</v>
      </c>
      <c r="Q46" t="s">
        <v>1976</v>
      </c>
      <c r="R46" t="b">
        <v>0</v>
      </c>
      <c r="S46" t="s">
        <v>2526</v>
      </c>
      <c r="T46" t="s">
        <v>1300</v>
      </c>
      <c r="U46" t="s">
        <v>1532</v>
      </c>
      <c r="V46" t="b">
        <v>1</v>
      </c>
      <c r="W46" t="b">
        <v>0</v>
      </c>
    </row>
    <row r="47" spans="1:23" x14ac:dyDescent="0.3">
      <c r="A47" s="147">
        <f>IF(COUNTIF(LEDGER[LedgerCode],FinanceCodesBudget[[#This Row],[LedgerCode]])&gt;0,0,1)</f>
        <v>0</v>
      </c>
      <c r="B47" s="43">
        <f>IF(COUNTIF(Table_System_Grouping_Codes[groupingCodeCode],FinanceCodesBudget[[#This Row],[GroupingCode]])&gt;0,0,1)</f>
        <v>0</v>
      </c>
      <c r="C47" s="43">
        <f>IF(COUNTIF(CUSTGROUP[CustomGroupingCode],FinanceCodesBudget[[#This Row],[CustomGrouping]])&gt;0,0,1)</f>
        <v>0</v>
      </c>
      <c r="D47" s="43" cm="1">
        <f t="array" ref="D47">IF(FinanceCodesBudget[[#This Row],[AvailableToAllSchools]]=TRUE,0,COUNTA(_xlfn.TEXTSPLIT(FinanceCodesBudget[[#This Row],[SchoolCodes]],",",,TRUE))-SUM(COUNTIF(SCHOOLS[SchoolCode],_xlfn.TEXTSPLIT(FinanceCodesBudget[[#This Row],[SchoolCodes]],",",,TRUE))))</f>
        <v>0</v>
      </c>
      <c r="E47" s="43">
        <f>IF(FinanceCodesBudget[[#This Row],[FinanceCodeTypeCode]]="BUDGET",0,COUNTIF(FinanceCodesBudget[FinanceCode],FinanceCodesBudget[[#This Row],[FinanceCode]])-1)</f>
        <v>0</v>
      </c>
      <c r="F47" s="43">
        <f>IF(FinanceCodesBudget[[#This Row],[FinanceCodeTypeCode]]="BUDGET",0,COUNTIF(FinanceCodesBudget[Title],FinanceCodesBudget[[#This Row],[Title]])-1)</f>
        <v>0</v>
      </c>
      <c r="G47" s="43">
        <f>COUNTIF(Lookup!$A$2:$A$7,FinanceCodesBudget[[#This Row],[FinanceCodeTypeCode]])-1</f>
        <v>0</v>
      </c>
      <c r="H47" s="43">
        <f>IF(TRIM(FinanceCodesBudget[[#This Row],[Title]])="",1,0)</f>
        <v>0</v>
      </c>
      <c r="I47" s="43">
        <f>IF(TRIM(FinanceCodesBudget[[#This Row],[FinanceCode]])="",1,0)</f>
        <v>0</v>
      </c>
      <c r="J47" s="43">
        <f>IF(LEN(FinanceCodesBudget[[#This Row],[FinanceCode]])&lt;100,0,1)</f>
        <v>0</v>
      </c>
      <c r="K47" s="43">
        <f>IF(LEN(FinanceCodesBudget[[#This Row],[Title]])&lt;100,0,1)</f>
        <v>0</v>
      </c>
      <c r="L47" s="43">
        <f>IF(ISBLANK(FinanceCodesBudget[[#This Row],[BalanceToScenario]]),1,0)</f>
        <v>0</v>
      </c>
      <c r="M47" s="43">
        <f>SUM(FinanceCodesBudget[[#This Row],[LedgerIssue]:[CustGrIssue]],FinanceCodesBudget[[#This Row],[DupCode]:[Balance to Scenario Blank]])</f>
        <v>0</v>
      </c>
      <c r="N47">
        <v>525650</v>
      </c>
      <c r="O47" t="s">
        <v>2570</v>
      </c>
      <c r="P47" t="s">
        <v>138</v>
      </c>
      <c r="Q47" t="s">
        <v>1976</v>
      </c>
      <c r="R47" t="b">
        <v>0</v>
      </c>
      <c r="S47" t="s">
        <v>2521</v>
      </c>
      <c r="T47" t="s">
        <v>1300</v>
      </c>
      <c r="U47" t="s">
        <v>1532</v>
      </c>
      <c r="V47" t="b">
        <v>1</v>
      </c>
      <c r="W47" t="b">
        <v>0</v>
      </c>
    </row>
    <row r="48" spans="1:23" x14ac:dyDescent="0.3">
      <c r="A48" s="147">
        <f>IF(COUNTIF(LEDGER[LedgerCode],FinanceCodesBudget[[#This Row],[LedgerCode]])&gt;0,0,1)</f>
        <v>0</v>
      </c>
      <c r="B48" s="43">
        <f>IF(COUNTIF(Table_System_Grouping_Codes[groupingCodeCode],FinanceCodesBudget[[#This Row],[GroupingCode]])&gt;0,0,1)</f>
        <v>0</v>
      </c>
      <c r="C48" s="43">
        <f>IF(COUNTIF(CUSTGROUP[CustomGroupingCode],FinanceCodesBudget[[#This Row],[CustomGrouping]])&gt;0,0,1)</f>
        <v>0</v>
      </c>
      <c r="D48" s="43" cm="1">
        <f t="array" ref="D48">IF(FinanceCodesBudget[[#This Row],[AvailableToAllSchools]]=TRUE,0,COUNTA(_xlfn.TEXTSPLIT(FinanceCodesBudget[[#This Row],[SchoolCodes]],",",,TRUE))-SUM(COUNTIF(SCHOOLS[SchoolCode],_xlfn.TEXTSPLIT(FinanceCodesBudget[[#This Row],[SchoolCodes]],",",,TRUE))))</f>
        <v>0</v>
      </c>
      <c r="E48" s="43">
        <f>IF(FinanceCodesBudget[[#This Row],[FinanceCodeTypeCode]]="BUDGET",0,COUNTIF(FinanceCodesBudget[FinanceCode],FinanceCodesBudget[[#This Row],[FinanceCode]])-1)</f>
        <v>0</v>
      </c>
      <c r="F48" s="43">
        <f>IF(FinanceCodesBudget[[#This Row],[FinanceCodeTypeCode]]="BUDGET",0,COUNTIF(FinanceCodesBudget[Title],FinanceCodesBudget[[#This Row],[Title]])-1)</f>
        <v>0</v>
      </c>
      <c r="G48" s="43">
        <f>COUNTIF(Lookup!$A$2:$A$7,FinanceCodesBudget[[#This Row],[FinanceCodeTypeCode]])-1</f>
        <v>0</v>
      </c>
      <c r="H48" s="43">
        <f>IF(TRIM(FinanceCodesBudget[[#This Row],[Title]])="",1,0)</f>
        <v>0</v>
      </c>
      <c r="I48" s="43">
        <f>IF(TRIM(FinanceCodesBudget[[#This Row],[FinanceCode]])="",1,0)</f>
        <v>0</v>
      </c>
      <c r="J48" s="43">
        <f>IF(LEN(FinanceCodesBudget[[#This Row],[FinanceCode]])&lt;100,0,1)</f>
        <v>0</v>
      </c>
      <c r="K48" s="43">
        <f>IF(LEN(FinanceCodesBudget[[#This Row],[Title]])&lt;100,0,1)</f>
        <v>0</v>
      </c>
      <c r="L48" s="43">
        <f>IF(ISBLANK(FinanceCodesBudget[[#This Row],[BalanceToScenario]]),1,0)</f>
        <v>0</v>
      </c>
      <c r="M48" s="43">
        <f>SUM(FinanceCodesBudget[[#This Row],[LedgerIssue]:[CustGrIssue]],FinanceCodesBudget[[#This Row],[DupCode]:[Balance to Scenario Blank]])</f>
        <v>0</v>
      </c>
      <c r="N48">
        <v>525750</v>
      </c>
      <c r="O48" t="s">
        <v>2571</v>
      </c>
      <c r="P48" t="s">
        <v>140</v>
      </c>
      <c r="Q48" t="s">
        <v>1976</v>
      </c>
      <c r="R48" t="b">
        <v>0</v>
      </c>
      <c r="S48" t="s">
        <v>2526</v>
      </c>
      <c r="T48" t="s">
        <v>1300</v>
      </c>
      <c r="U48" t="s">
        <v>1532</v>
      </c>
      <c r="V48" t="b">
        <v>1</v>
      </c>
      <c r="W48" t="b">
        <v>0</v>
      </c>
    </row>
    <row r="49" spans="1:23" x14ac:dyDescent="0.3">
      <c r="A49" s="147">
        <f>IF(COUNTIF(LEDGER[LedgerCode],FinanceCodesBudget[[#This Row],[LedgerCode]])&gt;0,0,1)</f>
        <v>0</v>
      </c>
      <c r="B49" s="43">
        <f>IF(COUNTIF(Table_System_Grouping_Codes[groupingCodeCode],FinanceCodesBudget[[#This Row],[GroupingCode]])&gt;0,0,1)</f>
        <v>0</v>
      </c>
      <c r="C49" s="43">
        <f>IF(COUNTIF(CUSTGROUP[CustomGroupingCode],FinanceCodesBudget[[#This Row],[CustomGrouping]])&gt;0,0,1)</f>
        <v>0</v>
      </c>
      <c r="D49" s="43" cm="1">
        <f t="array" ref="D49">IF(FinanceCodesBudget[[#This Row],[AvailableToAllSchools]]=TRUE,0,COUNTA(_xlfn.TEXTSPLIT(FinanceCodesBudget[[#This Row],[SchoolCodes]],",",,TRUE))-SUM(COUNTIF(SCHOOLS[SchoolCode],_xlfn.TEXTSPLIT(FinanceCodesBudget[[#This Row],[SchoolCodes]],",",,TRUE))))</f>
        <v>0</v>
      </c>
      <c r="E49" s="43">
        <f>IF(FinanceCodesBudget[[#This Row],[FinanceCodeTypeCode]]="BUDGET",0,COUNTIF(FinanceCodesBudget[FinanceCode],FinanceCodesBudget[[#This Row],[FinanceCode]])-1)</f>
        <v>0</v>
      </c>
      <c r="F49" s="43">
        <f>IF(FinanceCodesBudget[[#This Row],[FinanceCodeTypeCode]]="BUDGET",0,COUNTIF(FinanceCodesBudget[Title],FinanceCodesBudget[[#This Row],[Title]])-1)</f>
        <v>0</v>
      </c>
      <c r="G49" s="43">
        <f>COUNTIF(Lookup!$A$2:$A$7,FinanceCodesBudget[[#This Row],[FinanceCodeTypeCode]])-1</f>
        <v>0</v>
      </c>
      <c r="H49" s="43">
        <f>IF(TRIM(FinanceCodesBudget[[#This Row],[Title]])="",1,0)</f>
        <v>0</v>
      </c>
      <c r="I49" s="43">
        <f>IF(TRIM(FinanceCodesBudget[[#This Row],[FinanceCode]])="",1,0)</f>
        <v>0</v>
      </c>
      <c r="J49" s="43">
        <f>IF(LEN(FinanceCodesBudget[[#This Row],[FinanceCode]])&lt;100,0,1)</f>
        <v>0</v>
      </c>
      <c r="K49" s="43">
        <f>IF(LEN(FinanceCodesBudget[[#This Row],[Title]])&lt;100,0,1)</f>
        <v>0</v>
      </c>
      <c r="L49" s="43">
        <f>IF(ISBLANK(FinanceCodesBudget[[#This Row],[BalanceToScenario]]),1,0)</f>
        <v>0</v>
      </c>
      <c r="M49" s="43">
        <f>SUM(FinanceCodesBudget[[#This Row],[LedgerIssue]:[CustGrIssue]],FinanceCodesBudget[[#This Row],[DupCode]:[Balance to Scenario Blank]])</f>
        <v>0</v>
      </c>
      <c r="N49">
        <v>525752</v>
      </c>
      <c r="O49" t="s">
        <v>2572</v>
      </c>
      <c r="P49" t="s">
        <v>142</v>
      </c>
      <c r="Q49" t="s">
        <v>1976</v>
      </c>
      <c r="R49" t="b">
        <v>0</v>
      </c>
      <c r="S49" t="s">
        <v>2526</v>
      </c>
      <c r="T49" t="s">
        <v>1300</v>
      </c>
      <c r="U49" t="s">
        <v>1532</v>
      </c>
      <c r="V49" t="b">
        <v>1</v>
      </c>
      <c r="W49" t="b">
        <v>0</v>
      </c>
    </row>
    <row r="50" spans="1:23" x14ac:dyDescent="0.3">
      <c r="A50" s="147">
        <f>IF(COUNTIF(LEDGER[LedgerCode],FinanceCodesBudget[[#This Row],[LedgerCode]])&gt;0,0,1)</f>
        <v>0</v>
      </c>
      <c r="B50" s="43">
        <f>IF(COUNTIF(Table_System_Grouping_Codes[groupingCodeCode],FinanceCodesBudget[[#This Row],[GroupingCode]])&gt;0,0,1)</f>
        <v>0</v>
      </c>
      <c r="C50" s="43">
        <f>IF(COUNTIF(CUSTGROUP[CustomGroupingCode],FinanceCodesBudget[[#This Row],[CustomGrouping]])&gt;0,0,1)</f>
        <v>0</v>
      </c>
      <c r="D50" s="43" cm="1">
        <f t="array" ref="D50">IF(FinanceCodesBudget[[#This Row],[AvailableToAllSchools]]=TRUE,0,COUNTA(_xlfn.TEXTSPLIT(FinanceCodesBudget[[#This Row],[SchoolCodes]],",",,TRUE))-SUM(COUNTIF(SCHOOLS[SchoolCode],_xlfn.TEXTSPLIT(FinanceCodesBudget[[#This Row],[SchoolCodes]],",",,TRUE))))</f>
        <v>0</v>
      </c>
      <c r="E50" s="43">
        <f>IF(FinanceCodesBudget[[#This Row],[FinanceCodeTypeCode]]="BUDGET",0,COUNTIF(FinanceCodesBudget[FinanceCode],FinanceCodesBudget[[#This Row],[FinanceCode]])-1)</f>
        <v>0</v>
      </c>
      <c r="F50" s="43">
        <f>IF(FinanceCodesBudget[[#This Row],[FinanceCodeTypeCode]]="BUDGET",0,COUNTIF(FinanceCodesBudget[Title],FinanceCodesBudget[[#This Row],[Title]])-1)</f>
        <v>0</v>
      </c>
      <c r="G50" s="43">
        <f>COUNTIF(Lookup!$A$2:$A$7,FinanceCodesBudget[[#This Row],[FinanceCodeTypeCode]])-1</f>
        <v>0</v>
      </c>
      <c r="H50" s="43">
        <f>IF(TRIM(FinanceCodesBudget[[#This Row],[Title]])="",1,0)</f>
        <v>0</v>
      </c>
      <c r="I50" s="43">
        <f>IF(TRIM(FinanceCodesBudget[[#This Row],[FinanceCode]])="",1,0)</f>
        <v>0</v>
      </c>
      <c r="J50" s="43">
        <f>IF(LEN(FinanceCodesBudget[[#This Row],[FinanceCode]])&lt;100,0,1)</f>
        <v>0</v>
      </c>
      <c r="K50" s="43">
        <f>IF(LEN(FinanceCodesBudget[[#This Row],[Title]])&lt;100,0,1)</f>
        <v>0</v>
      </c>
      <c r="L50" s="43">
        <f>IF(ISBLANK(FinanceCodesBudget[[#This Row],[BalanceToScenario]]),1,0)</f>
        <v>0</v>
      </c>
      <c r="M50" s="43">
        <f>SUM(FinanceCodesBudget[[#This Row],[LedgerIssue]:[CustGrIssue]],FinanceCodesBudget[[#This Row],[DupCode]:[Balance to Scenario Blank]])</f>
        <v>0</v>
      </c>
      <c r="N50">
        <v>530100</v>
      </c>
      <c r="O50" t="s">
        <v>2573</v>
      </c>
      <c r="P50" t="s">
        <v>144</v>
      </c>
      <c r="Q50" t="s">
        <v>1976</v>
      </c>
      <c r="R50" t="b">
        <v>0</v>
      </c>
      <c r="S50" t="s">
        <v>2526</v>
      </c>
      <c r="T50" t="s">
        <v>1300</v>
      </c>
      <c r="U50" t="s">
        <v>1532</v>
      </c>
      <c r="V50" t="b">
        <v>1</v>
      </c>
      <c r="W50" t="b">
        <v>0</v>
      </c>
    </row>
    <row r="51" spans="1:23" x14ac:dyDescent="0.3">
      <c r="A51" s="147">
        <f>IF(COUNTIF(LEDGER[LedgerCode],FinanceCodesBudget[[#This Row],[LedgerCode]])&gt;0,0,1)</f>
        <v>0</v>
      </c>
      <c r="B51" s="43">
        <f>IF(COUNTIF(Table_System_Grouping_Codes[groupingCodeCode],FinanceCodesBudget[[#This Row],[GroupingCode]])&gt;0,0,1)</f>
        <v>0</v>
      </c>
      <c r="C51" s="43">
        <f>IF(COUNTIF(CUSTGROUP[CustomGroupingCode],FinanceCodesBudget[[#This Row],[CustomGrouping]])&gt;0,0,1)</f>
        <v>0</v>
      </c>
      <c r="D51" s="43" cm="1">
        <f t="array" ref="D51">IF(FinanceCodesBudget[[#This Row],[AvailableToAllSchools]]=TRUE,0,COUNTA(_xlfn.TEXTSPLIT(FinanceCodesBudget[[#This Row],[SchoolCodes]],",",,TRUE))-SUM(COUNTIF(SCHOOLS[SchoolCode],_xlfn.TEXTSPLIT(FinanceCodesBudget[[#This Row],[SchoolCodes]],",",,TRUE))))</f>
        <v>0</v>
      </c>
      <c r="E51" s="43">
        <f>IF(FinanceCodesBudget[[#This Row],[FinanceCodeTypeCode]]="BUDGET",0,COUNTIF(FinanceCodesBudget[FinanceCode],FinanceCodesBudget[[#This Row],[FinanceCode]])-1)</f>
        <v>0</v>
      </c>
      <c r="F51" s="43">
        <f>IF(FinanceCodesBudget[[#This Row],[FinanceCodeTypeCode]]="BUDGET",0,COUNTIF(FinanceCodesBudget[Title],FinanceCodesBudget[[#This Row],[Title]])-1)</f>
        <v>0</v>
      </c>
      <c r="G51" s="43">
        <f>COUNTIF(Lookup!$A$2:$A$7,FinanceCodesBudget[[#This Row],[FinanceCodeTypeCode]])-1</f>
        <v>0</v>
      </c>
      <c r="H51" s="43">
        <f>IF(TRIM(FinanceCodesBudget[[#This Row],[Title]])="",1,0)</f>
        <v>0</v>
      </c>
      <c r="I51" s="43">
        <f>IF(TRIM(FinanceCodesBudget[[#This Row],[FinanceCode]])="",1,0)</f>
        <v>0</v>
      </c>
      <c r="J51" s="43">
        <f>IF(LEN(FinanceCodesBudget[[#This Row],[FinanceCode]])&lt;100,0,1)</f>
        <v>0</v>
      </c>
      <c r="K51" s="43">
        <f>IF(LEN(FinanceCodesBudget[[#This Row],[Title]])&lt;100,0,1)</f>
        <v>0</v>
      </c>
      <c r="L51" s="43">
        <f>IF(ISBLANK(FinanceCodesBudget[[#This Row],[BalanceToScenario]]),1,0)</f>
        <v>0</v>
      </c>
      <c r="M51" s="43">
        <f>SUM(FinanceCodesBudget[[#This Row],[LedgerIssue]:[CustGrIssue]],FinanceCodesBudget[[#This Row],[DupCode]:[Balance to Scenario Blank]])</f>
        <v>0</v>
      </c>
      <c r="N51">
        <v>530200</v>
      </c>
      <c r="O51" t="s">
        <v>2574</v>
      </c>
      <c r="P51" t="s">
        <v>146</v>
      </c>
      <c r="Q51" t="s">
        <v>1976</v>
      </c>
      <c r="R51" t="b">
        <v>0</v>
      </c>
      <c r="S51" t="s">
        <v>2526</v>
      </c>
      <c r="T51" t="s">
        <v>1300</v>
      </c>
      <c r="U51" t="s">
        <v>1532</v>
      </c>
      <c r="V51" t="b">
        <v>1</v>
      </c>
      <c r="W51" t="b">
        <v>0</v>
      </c>
    </row>
    <row r="52" spans="1:23" x14ac:dyDescent="0.3">
      <c r="A52" s="147">
        <f>IF(COUNTIF(LEDGER[LedgerCode],FinanceCodesBudget[[#This Row],[LedgerCode]])&gt;0,0,1)</f>
        <v>0</v>
      </c>
      <c r="B52" s="43">
        <f>IF(COUNTIF(Table_System_Grouping_Codes[groupingCodeCode],FinanceCodesBudget[[#This Row],[GroupingCode]])&gt;0,0,1)</f>
        <v>0</v>
      </c>
      <c r="C52" s="43">
        <f>IF(COUNTIF(CUSTGROUP[CustomGroupingCode],FinanceCodesBudget[[#This Row],[CustomGrouping]])&gt;0,0,1)</f>
        <v>0</v>
      </c>
      <c r="D52" s="43" cm="1">
        <f t="array" ref="D52">IF(FinanceCodesBudget[[#This Row],[AvailableToAllSchools]]=TRUE,0,COUNTA(_xlfn.TEXTSPLIT(FinanceCodesBudget[[#This Row],[SchoolCodes]],",",,TRUE))-SUM(COUNTIF(SCHOOLS[SchoolCode],_xlfn.TEXTSPLIT(FinanceCodesBudget[[#This Row],[SchoolCodes]],",",,TRUE))))</f>
        <v>0</v>
      </c>
      <c r="E52" s="43">
        <f>IF(FinanceCodesBudget[[#This Row],[FinanceCodeTypeCode]]="BUDGET",0,COUNTIF(FinanceCodesBudget[FinanceCode],FinanceCodesBudget[[#This Row],[FinanceCode]])-1)</f>
        <v>0</v>
      </c>
      <c r="F52" s="43">
        <f>IF(FinanceCodesBudget[[#This Row],[FinanceCodeTypeCode]]="BUDGET",0,COUNTIF(FinanceCodesBudget[Title],FinanceCodesBudget[[#This Row],[Title]])-1)</f>
        <v>0</v>
      </c>
      <c r="G52" s="43">
        <f>COUNTIF(Lookup!$A$2:$A$7,FinanceCodesBudget[[#This Row],[FinanceCodeTypeCode]])-1</f>
        <v>0</v>
      </c>
      <c r="H52" s="43">
        <f>IF(TRIM(FinanceCodesBudget[[#This Row],[Title]])="",1,0)</f>
        <v>0</v>
      </c>
      <c r="I52" s="43">
        <f>IF(TRIM(FinanceCodesBudget[[#This Row],[FinanceCode]])="",1,0)</f>
        <v>0</v>
      </c>
      <c r="J52" s="43">
        <f>IF(LEN(FinanceCodesBudget[[#This Row],[FinanceCode]])&lt;100,0,1)</f>
        <v>0</v>
      </c>
      <c r="K52" s="43">
        <f>IF(LEN(FinanceCodesBudget[[#This Row],[Title]])&lt;100,0,1)</f>
        <v>0</v>
      </c>
      <c r="L52" s="43">
        <f>IF(ISBLANK(FinanceCodesBudget[[#This Row],[BalanceToScenario]]),1,0)</f>
        <v>0</v>
      </c>
      <c r="M52" s="43">
        <f>SUM(FinanceCodesBudget[[#This Row],[LedgerIssue]:[CustGrIssue]],FinanceCodesBudget[[#This Row],[DupCode]:[Balance to Scenario Blank]])</f>
        <v>0</v>
      </c>
      <c r="N52">
        <v>530250</v>
      </c>
      <c r="O52" t="s">
        <v>2575</v>
      </c>
      <c r="P52" t="s">
        <v>148</v>
      </c>
      <c r="Q52" t="s">
        <v>1976</v>
      </c>
      <c r="R52" t="b">
        <v>0</v>
      </c>
      <c r="S52" t="s">
        <v>2526</v>
      </c>
      <c r="T52" t="s">
        <v>1300</v>
      </c>
      <c r="U52" t="s">
        <v>1532</v>
      </c>
      <c r="V52" t="b">
        <v>1</v>
      </c>
      <c r="W52" t="b">
        <v>0</v>
      </c>
    </row>
    <row r="53" spans="1:23" x14ac:dyDescent="0.3">
      <c r="A53" s="147">
        <f>IF(COUNTIF(LEDGER[LedgerCode],FinanceCodesBudget[[#This Row],[LedgerCode]])&gt;0,0,1)</f>
        <v>0</v>
      </c>
      <c r="B53" s="43">
        <f>IF(COUNTIF(Table_System_Grouping_Codes[groupingCodeCode],FinanceCodesBudget[[#This Row],[GroupingCode]])&gt;0,0,1)</f>
        <v>0</v>
      </c>
      <c r="C53" s="43">
        <f>IF(COUNTIF(CUSTGROUP[CustomGroupingCode],FinanceCodesBudget[[#This Row],[CustomGrouping]])&gt;0,0,1)</f>
        <v>0</v>
      </c>
      <c r="D53" s="43" cm="1">
        <f t="array" ref="D53">IF(FinanceCodesBudget[[#This Row],[AvailableToAllSchools]]=TRUE,0,COUNTA(_xlfn.TEXTSPLIT(FinanceCodesBudget[[#This Row],[SchoolCodes]],",",,TRUE))-SUM(COUNTIF(SCHOOLS[SchoolCode],_xlfn.TEXTSPLIT(FinanceCodesBudget[[#This Row],[SchoolCodes]],",",,TRUE))))</f>
        <v>0</v>
      </c>
      <c r="E53" s="43">
        <f>IF(FinanceCodesBudget[[#This Row],[FinanceCodeTypeCode]]="BUDGET",0,COUNTIF(FinanceCodesBudget[FinanceCode],FinanceCodesBudget[[#This Row],[FinanceCode]])-1)</f>
        <v>0</v>
      </c>
      <c r="F53" s="43">
        <f>IF(FinanceCodesBudget[[#This Row],[FinanceCodeTypeCode]]="BUDGET",0,COUNTIF(FinanceCodesBudget[Title],FinanceCodesBudget[[#This Row],[Title]])-1)</f>
        <v>0</v>
      </c>
      <c r="G53" s="43">
        <f>COUNTIF(Lookup!$A$2:$A$7,FinanceCodesBudget[[#This Row],[FinanceCodeTypeCode]])-1</f>
        <v>0</v>
      </c>
      <c r="H53" s="43">
        <f>IF(TRIM(FinanceCodesBudget[[#This Row],[Title]])="",1,0)</f>
        <v>0</v>
      </c>
      <c r="I53" s="43">
        <f>IF(TRIM(FinanceCodesBudget[[#This Row],[FinanceCode]])="",1,0)</f>
        <v>0</v>
      </c>
      <c r="J53" s="43">
        <f>IF(LEN(FinanceCodesBudget[[#This Row],[FinanceCode]])&lt;100,0,1)</f>
        <v>0</v>
      </c>
      <c r="K53" s="43">
        <f>IF(LEN(FinanceCodesBudget[[#This Row],[Title]])&lt;100,0,1)</f>
        <v>0</v>
      </c>
      <c r="L53" s="43">
        <f>IF(ISBLANK(FinanceCodesBudget[[#This Row],[BalanceToScenario]]),1,0)</f>
        <v>0</v>
      </c>
      <c r="M53" s="43">
        <f>SUM(FinanceCodesBudget[[#This Row],[LedgerIssue]:[CustGrIssue]],FinanceCodesBudget[[#This Row],[DupCode]:[Balance to Scenario Blank]])</f>
        <v>0</v>
      </c>
      <c r="N53">
        <v>530300</v>
      </c>
      <c r="O53" t="s">
        <v>2576</v>
      </c>
      <c r="P53" t="s">
        <v>150</v>
      </c>
      <c r="Q53" t="s">
        <v>1976</v>
      </c>
      <c r="R53" t="b">
        <v>0</v>
      </c>
      <c r="S53" t="s">
        <v>2526</v>
      </c>
      <c r="T53" t="s">
        <v>1300</v>
      </c>
      <c r="U53" t="s">
        <v>1532</v>
      </c>
      <c r="V53" t="b">
        <v>1</v>
      </c>
      <c r="W53" t="b">
        <v>0</v>
      </c>
    </row>
    <row r="54" spans="1:23" x14ac:dyDescent="0.3">
      <c r="A54" s="147">
        <f>IF(COUNTIF(LEDGER[LedgerCode],FinanceCodesBudget[[#This Row],[LedgerCode]])&gt;0,0,1)</f>
        <v>0</v>
      </c>
      <c r="B54" s="43">
        <f>IF(COUNTIF(Table_System_Grouping_Codes[groupingCodeCode],FinanceCodesBudget[[#This Row],[GroupingCode]])&gt;0,0,1)</f>
        <v>0</v>
      </c>
      <c r="C54" s="43">
        <f>IF(COUNTIF(CUSTGROUP[CustomGroupingCode],FinanceCodesBudget[[#This Row],[CustomGrouping]])&gt;0,0,1)</f>
        <v>0</v>
      </c>
      <c r="D54" s="43" cm="1">
        <f t="array" ref="D54">IF(FinanceCodesBudget[[#This Row],[AvailableToAllSchools]]=TRUE,0,COUNTA(_xlfn.TEXTSPLIT(FinanceCodesBudget[[#This Row],[SchoolCodes]],",",,TRUE))-SUM(COUNTIF(SCHOOLS[SchoolCode],_xlfn.TEXTSPLIT(FinanceCodesBudget[[#This Row],[SchoolCodes]],",",,TRUE))))</f>
        <v>0</v>
      </c>
      <c r="E54" s="43">
        <f>IF(FinanceCodesBudget[[#This Row],[FinanceCodeTypeCode]]="BUDGET",0,COUNTIF(FinanceCodesBudget[FinanceCode],FinanceCodesBudget[[#This Row],[FinanceCode]])-1)</f>
        <v>0</v>
      </c>
      <c r="F54" s="43">
        <f>IF(FinanceCodesBudget[[#This Row],[FinanceCodeTypeCode]]="BUDGET",0,COUNTIF(FinanceCodesBudget[Title],FinanceCodesBudget[[#This Row],[Title]])-1)</f>
        <v>0</v>
      </c>
      <c r="G54" s="43">
        <f>COUNTIF(Lookup!$A$2:$A$7,FinanceCodesBudget[[#This Row],[FinanceCodeTypeCode]])-1</f>
        <v>0</v>
      </c>
      <c r="H54" s="43">
        <f>IF(TRIM(FinanceCodesBudget[[#This Row],[Title]])="",1,0)</f>
        <v>0</v>
      </c>
      <c r="I54" s="43">
        <f>IF(TRIM(FinanceCodesBudget[[#This Row],[FinanceCode]])="",1,0)</f>
        <v>0</v>
      </c>
      <c r="J54" s="43">
        <f>IF(LEN(FinanceCodesBudget[[#This Row],[FinanceCode]])&lt;100,0,1)</f>
        <v>0</v>
      </c>
      <c r="K54" s="43">
        <f>IF(LEN(FinanceCodesBudget[[#This Row],[Title]])&lt;100,0,1)</f>
        <v>0</v>
      </c>
      <c r="L54" s="43">
        <f>IF(ISBLANK(FinanceCodesBudget[[#This Row],[BalanceToScenario]]),1,0)</f>
        <v>0</v>
      </c>
      <c r="M54" s="43">
        <f>SUM(FinanceCodesBudget[[#This Row],[LedgerIssue]:[CustGrIssue]],FinanceCodesBudget[[#This Row],[DupCode]:[Balance to Scenario Blank]])</f>
        <v>0</v>
      </c>
      <c r="N54">
        <v>530350</v>
      </c>
      <c r="O54" t="s">
        <v>2577</v>
      </c>
      <c r="P54" t="s">
        <v>152</v>
      </c>
      <c r="Q54" t="s">
        <v>1976</v>
      </c>
      <c r="R54" t="b">
        <v>0</v>
      </c>
      <c r="S54" t="s">
        <v>2526</v>
      </c>
      <c r="T54" t="s">
        <v>1300</v>
      </c>
      <c r="U54" t="s">
        <v>1532</v>
      </c>
      <c r="V54" t="b">
        <v>1</v>
      </c>
      <c r="W54" t="b">
        <v>0</v>
      </c>
    </row>
    <row r="55" spans="1:23" x14ac:dyDescent="0.3">
      <c r="A55" s="147">
        <f>IF(COUNTIF(LEDGER[LedgerCode],FinanceCodesBudget[[#This Row],[LedgerCode]])&gt;0,0,1)</f>
        <v>0</v>
      </c>
      <c r="B55" s="43">
        <f>IF(COUNTIF(Table_System_Grouping_Codes[groupingCodeCode],FinanceCodesBudget[[#This Row],[GroupingCode]])&gt;0,0,1)</f>
        <v>0</v>
      </c>
      <c r="C55" s="43">
        <f>IF(COUNTIF(CUSTGROUP[CustomGroupingCode],FinanceCodesBudget[[#This Row],[CustomGrouping]])&gt;0,0,1)</f>
        <v>0</v>
      </c>
      <c r="D55" s="43" cm="1">
        <f t="array" ref="D55">IF(FinanceCodesBudget[[#This Row],[AvailableToAllSchools]]=TRUE,0,COUNTA(_xlfn.TEXTSPLIT(FinanceCodesBudget[[#This Row],[SchoolCodes]],",",,TRUE))-SUM(COUNTIF(SCHOOLS[SchoolCode],_xlfn.TEXTSPLIT(FinanceCodesBudget[[#This Row],[SchoolCodes]],",",,TRUE))))</f>
        <v>0</v>
      </c>
      <c r="E55" s="43">
        <f>IF(FinanceCodesBudget[[#This Row],[FinanceCodeTypeCode]]="BUDGET",0,COUNTIF(FinanceCodesBudget[FinanceCode],FinanceCodesBudget[[#This Row],[FinanceCode]])-1)</f>
        <v>0</v>
      </c>
      <c r="F55" s="43">
        <f>IF(FinanceCodesBudget[[#This Row],[FinanceCodeTypeCode]]="BUDGET",0,COUNTIF(FinanceCodesBudget[Title],FinanceCodesBudget[[#This Row],[Title]])-1)</f>
        <v>0</v>
      </c>
      <c r="G55" s="43">
        <f>COUNTIF(Lookup!$A$2:$A$7,FinanceCodesBudget[[#This Row],[FinanceCodeTypeCode]])-1</f>
        <v>0</v>
      </c>
      <c r="H55" s="43">
        <f>IF(TRIM(FinanceCodesBudget[[#This Row],[Title]])="",1,0)</f>
        <v>0</v>
      </c>
      <c r="I55" s="43">
        <f>IF(TRIM(FinanceCodesBudget[[#This Row],[FinanceCode]])="",1,0)</f>
        <v>0</v>
      </c>
      <c r="J55" s="43">
        <f>IF(LEN(FinanceCodesBudget[[#This Row],[FinanceCode]])&lt;100,0,1)</f>
        <v>0</v>
      </c>
      <c r="K55" s="43">
        <f>IF(LEN(FinanceCodesBudget[[#This Row],[Title]])&lt;100,0,1)</f>
        <v>0</v>
      </c>
      <c r="L55" s="43">
        <f>IF(ISBLANK(FinanceCodesBudget[[#This Row],[BalanceToScenario]]),1,0)</f>
        <v>0</v>
      </c>
      <c r="M55" s="43">
        <f>SUM(FinanceCodesBudget[[#This Row],[LedgerIssue]:[CustGrIssue]],FinanceCodesBudget[[#This Row],[DupCode]:[Balance to Scenario Blank]])</f>
        <v>0</v>
      </c>
      <c r="N55">
        <v>530400</v>
      </c>
      <c r="O55" t="s">
        <v>2578</v>
      </c>
      <c r="P55" t="s">
        <v>154</v>
      </c>
      <c r="Q55" t="s">
        <v>1976</v>
      </c>
      <c r="R55" t="b">
        <v>0</v>
      </c>
      <c r="S55" t="s">
        <v>2526</v>
      </c>
      <c r="T55" t="s">
        <v>1300</v>
      </c>
      <c r="U55" t="s">
        <v>1532</v>
      </c>
      <c r="V55" t="b">
        <v>1</v>
      </c>
      <c r="W55" t="b">
        <v>0</v>
      </c>
    </row>
    <row r="56" spans="1:23" x14ac:dyDescent="0.3">
      <c r="A56" s="147">
        <f>IF(COUNTIF(LEDGER[LedgerCode],FinanceCodesBudget[[#This Row],[LedgerCode]])&gt;0,0,1)</f>
        <v>0</v>
      </c>
      <c r="B56" s="43">
        <f>IF(COUNTIF(Table_System_Grouping_Codes[groupingCodeCode],FinanceCodesBudget[[#This Row],[GroupingCode]])&gt;0,0,1)</f>
        <v>0</v>
      </c>
      <c r="C56" s="43">
        <f>IF(COUNTIF(CUSTGROUP[CustomGroupingCode],FinanceCodesBudget[[#This Row],[CustomGrouping]])&gt;0,0,1)</f>
        <v>0</v>
      </c>
      <c r="D56" s="43" cm="1">
        <f t="array" ref="D56">IF(FinanceCodesBudget[[#This Row],[AvailableToAllSchools]]=TRUE,0,COUNTA(_xlfn.TEXTSPLIT(FinanceCodesBudget[[#This Row],[SchoolCodes]],",",,TRUE))-SUM(COUNTIF(SCHOOLS[SchoolCode],_xlfn.TEXTSPLIT(FinanceCodesBudget[[#This Row],[SchoolCodes]],",",,TRUE))))</f>
        <v>0</v>
      </c>
      <c r="E56" s="43">
        <f>IF(FinanceCodesBudget[[#This Row],[FinanceCodeTypeCode]]="BUDGET",0,COUNTIF(FinanceCodesBudget[FinanceCode],FinanceCodesBudget[[#This Row],[FinanceCode]])-1)</f>
        <v>0</v>
      </c>
      <c r="F56" s="43">
        <f>IF(FinanceCodesBudget[[#This Row],[FinanceCodeTypeCode]]="BUDGET",0,COUNTIF(FinanceCodesBudget[Title],FinanceCodesBudget[[#This Row],[Title]])-1)</f>
        <v>0</v>
      </c>
      <c r="G56" s="43">
        <f>COUNTIF(Lookup!$A$2:$A$7,FinanceCodesBudget[[#This Row],[FinanceCodeTypeCode]])-1</f>
        <v>0</v>
      </c>
      <c r="H56" s="43">
        <f>IF(TRIM(FinanceCodesBudget[[#This Row],[Title]])="",1,0)</f>
        <v>0</v>
      </c>
      <c r="I56" s="43">
        <f>IF(TRIM(FinanceCodesBudget[[#This Row],[FinanceCode]])="",1,0)</f>
        <v>0</v>
      </c>
      <c r="J56" s="43">
        <f>IF(LEN(FinanceCodesBudget[[#This Row],[FinanceCode]])&lt;100,0,1)</f>
        <v>0</v>
      </c>
      <c r="K56" s="43">
        <f>IF(LEN(FinanceCodesBudget[[#This Row],[Title]])&lt;100,0,1)</f>
        <v>0</v>
      </c>
      <c r="L56" s="43">
        <f>IF(ISBLANK(FinanceCodesBudget[[#This Row],[BalanceToScenario]]),1,0)</f>
        <v>0</v>
      </c>
      <c r="M56" s="43">
        <f>SUM(FinanceCodesBudget[[#This Row],[LedgerIssue]:[CustGrIssue]],FinanceCodesBudget[[#This Row],[DupCode]:[Balance to Scenario Blank]])</f>
        <v>0</v>
      </c>
      <c r="N56">
        <v>530500</v>
      </c>
      <c r="O56" t="s">
        <v>2579</v>
      </c>
      <c r="P56" t="s">
        <v>154</v>
      </c>
      <c r="Q56" t="s">
        <v>1976</v>
      </c>
      <c r="R56" t="b">
        <v>0</v>
      </c>
      <c r="S56" t="s">
        <v>2526</v>
      </c>
      <c r="T56" t="s">
        <v>1300</v>
      </c>
      <c r="U56" t="s">
        <v>1532</v>
      </c>
      <c r="V56" t="b">
        <v>1</v>
      </c>
      <c r="W56" t="b">
        <v>0</v>
      </c>
    </row>
    <row r="57" spans="1:23" x14ac:dyDescent="0.3">
      <c r="A57" s="147">
        <f>IF(COUNTIF(LEDGER[LedgerCode],FinanceCodesBudget[[#This Row],[LedgerCode]])&gt;0,0,1)</f>
        <v>0</v>
      </c>
      <c r="B57" s="43">
        <f>IF(COUNTIF(Table_System_Grouping_Codes[groupingCodeCode],FinanceCodesBudget[[#This Row],[GroupingCode]])&gt;0,0,1)</f>
        <v>0</v>
      </c>
      <c r="C57" s="43">
        <f>IF(COUNTIF(CUSTGROUP[CustomGroupingCode],FinanceCodesBudget[[#This Row],[CustomGrouping]])&gt;0,0,1)</f>
        <v>0</v>
      </c>
      <c r="D57" s="43" cm="1">
        <f t="array" ref="D57">IF(FinanceCodesBudget[[#This Row],[AvailableToAllSchools]]=TRUE,0,COUNTA(_xlfn.TEXTSPLIT(FinanceCodesBudget[[#This Row],[SchoolCodes]],",",,TRUE))-SUM(COUNTIF(SCHOOLS[SchoolCode],_xlfn.TEXTSPLIT(FinanceCodesBudget[[#This Row],[SchoolCodes]],",",,TRUE))))</f>
        <v>0</v>
      </c>
      <c r="E57" s="43">
        <f>IF(FinanceCodesBudget[[#This Row],[FinanceCodeTypeCode]]="BUDGET",0,COUNTIF(FinanceCodesBudget[FinanceCode],FinanceCodesBudget[[#This Row],[FinanceCode]])-1)</f>
        <v>0</v>
      </c>
      <c r="F57" s="43">
        <f>IF(FinanceCodesBudget[[#This Row],[FinanceCodeTypeCode]]="BUDGET",0,COUNTIF(FinanceCodesBudget[Title],FinanceCodesBudget[[#This Row],[Title]])-1)</f>
        <v>0</v>
      </c>
      <c r="G57" s="43">
        <f>COUNTIF(Lookup!$A$2:$A$7,FinanceCodesBudget[[#This Row],[FinanceCodeTypeCode]])-1</f>
        <v>0</v>
      </c>
      <c r="H57" s="43">
        <f>IF(TRIM(FinanceCodesBudget[[#This Row],[Title]])="",1,0)</f>
        <v>0</v>
      </c>
      <c r="I57" s="43">
        <f>IF(TRIM(FinanceCodesBudget[[#This Row],[FinanceCode]])="",1,0)</f>
        <v>0</v>
      </c>
      <c r="J57" s="43">
        <f>IF(LEN(FinanceCodesBudget[[#This Row],[FinanceCode]])&lt;100,0,1)</f>
        <v>0</v>
      </c>
      <c r="K57" s="43">
        <f>IF(LEN(FinanceCodesBudget[[#This Row],[Title]])&lt;100,0,1)</f>
        <v>0</v>
      </c>
      <c r="L57" s="43">
        <f>IF(ISBLANK(FinanceCodesBudget[[#This Row],[BalanceToScenario]]),1,0)</f>
        <v>0</v>
      </c>
      <c r="M57" s="43">
        <f>SUM(FinanceCodesBudget[[#This Row],[LedgerIssue]:[CustGrIssue]],FinanceCodesBudget[[#This Row],[DupCode]:[Balance to Scenario Blank]])</f>
        <v>0</v>
      </c>
      <c r="N57">
        <v>530550</v>
      </c>
      <c r="O57" t="s">
        <v>2580</v>
      </c>
      <c r="P57" t="s">
        <v>156</v>
      </c>
      <c r="Q57" t="s">
        <v>1976</v>
      </c>
      <c r="R57" t="b">
        <v>0</v>
      </c>
      <c r="S57" t="s">
        <v>2526</v>
      </c>
      <c r="T57" t="s">
        <v>1300</v>
      </c>
      <c r="U57" t="s">
        <v>1532</v>
      </c>
      <c r="V57" t="b">
        <v>1</v>
      </c>
      <c r="W57" t="b">
        <v>0</v>
      </c>
    </row>
    <row r="58" spans="1:23" x14ac:dyDescent="0.3">
      <c r="A58" s="147">
        <f>IF(COUNTIF(LEDGER[LedgerCode],FinanceCodesBudget[[#This Row],[LedgerCode]])&gt;0,0,1)</f>
        <v>0</v>
      </c>
      <c r="B58" s="43">
        <f>IF(COUNTIF(Table_System_Grouping_Codes[groupingCodeCode],FinanceCodesBudget[[#This Row],[GroupingCode]])&gt;0,0,1)</f>
        <v>0</v>
      </c>
      <c r="C58" s="43">
        <f>IF(COUNTIF(CUSTGROUP[CustomGroupingCode],FinanceCodesBudget[[#This Row],[CustomGrouping]])&gt;0,0,1)</f>
        <v>0</v>
      </c>
      <c r="D58" s="43" cm="1">
        <f t="array" ref="D58">IF(FinanceCodesBudget[[#This Row],[AvailableToAllSchools]]=TRUE,0,COUNTA(_xlfn.TEXTSPLIT(FinanceCodesBudget[[#This Row],[SchoolCodes]],",",,TRUE))-SUM(COUNTIF(SCHOOLS[SchoolCode],_xlfn.TEXTSPLIT(FinanceCodesBudget[[#This Row],[SchoolCodes]],",",,TRUE))))</f>
        <v>0</v>
      </c>
      <c r="E58" s="43">
        <f>IF(FinanceCodesBudget[[#This Row],[FinanceCodeTypeCode]]="BUDGET",0,COUNTIF(FinanceCodesBudget[FinanceCode],FinanceCodesBudget[[#This Row],[FinanceCode]])-1)</f>
        <v>0</v>
      </c>
      <c r="F58" s="43">
        <f>IF(FinanceCodesBudget[[#This Row],[FinanceCodeTypeCode]]="BUDGET",0,COUNTIF(FinanceCodesBudget[Title],FinanceCodesBudget[[#This Row],[Title]])-1)</f>
        <v>0</v>
      </c>
      <c r="G58" s="43">
        <f>COUNTIF(Lookup!$A$2:$A$7,FinanceCodesBudget[[#This Row],[FinanceCodeTypeCode]])-1</f>
        <v>0</v>
      </c>
      <c r="H58" s="43">
        <f>IF(TRIM(FinanceCodesBudget[[#This Row],[Title]])="",1,0)</f>
        <v>0</v>
      </c>
      <c r="I58" s="43">
        <f>IF(TRIM(FinanceCodesBudget[[#This Row],[FinanceCode]])="",1,0)</f>
        <v>0</v>
      </c>
      <c r="J58" s="43">
        <f>IF(LEN(FinanceCodesBudget[[#This Row],[FinanceCode]])&lt;100,0,1)</f>
        <v>0</v>
      </c>
      <c r="K58" s="43">
        <f>IF(LEN(FinanceCodesBudget[[#This Row],[Title]])&lt;100,0,1)</f>
        <v>0</v>
      </c>
      <c r="L58" s="43">
        <f>IF(ISBLANK(FinanceCodesBudget[[#This Row],[BalanceToScenario]]),1,0)</f>
        <v>0</v>
      </c>
      <c r="M58" s="43">
        <f>SUM(FinanceCodesBudget[[#This Row],[LedgerIssue]:[CustGrIssue]],FinanceCodesBudget[[#This Row],[DupCode]:[Balance to Scenario Blank]])</f>
        <v>0</v>
      </c>
      <c r="N58">
        <v>530580</v>
      </c>
      <c r="O58" t="s">
        <v>2581</v>
      </c>
      <c r="P58" t="s">
        <v>158</v>
      </c>
      <c r="Q58" t="s">
        <v>1976</v>
      </c>
      <c r="R58" t="b">
        <v>0</v>
      </c>
      <c r="S58" t="s">
        <v>2526</v>
      </c>
      <c r="T58" t="s">
        <v>1300</v>
      </c>
      <c r="U58" t="s">
        <v>1532</v>
      </c>
      <c r="V58" t="b">
        <v>1</v>
      </c>
      <c r="W58" t="b">
        <v>0</v>
      </c>
    </row>
    <row r="59" spans="1:23" x14ac:dyDescent="0.3">
      <c r="A59" s="147">
        <f>IF(COUNTIF(LEDGER[LedgerCode],FinanceCodesBudget[[#This Row],[LedgerCode]])&gt;0,0,1)</f>
        <v>0</v>
      </c>
      <c r="B59" s="43">
        <f>IF(COUNTIF(Table_System_Grouping_Codes[groupingCodeCode],FinanceCodesBudget[[#This Row],[GroupingCode]])&gt;0,0,1)</f>
        <v>0</v>
      </c>
      <c r="C59" s="43">
        <f>IF(COUNTIF(CUSTGROUP[CustomGroupingCode],FinanceCodesBudget[[#This Row],[CustomGrouping]])&gt;0,0,1)</f>
        <v>0</v>
      </c>
      <c r="D59" s="43" cm="1">
        <f t="array" ref="D59">IF(FinanceCodesBudget[[#This Row],[AvailableToAllSchools]]=TRUE,0,COUNTA(_xlfn.TEXTSPLIT(FinanceCodesBudget[[#This Row],[SchoolCodes]],",",,TRUE))-SUM(COUNTIF(SCHOOLS[SchoolCode],_xlfn.TEXTSPLIT(FinanceCodesBudget[[#This Row],[SchoolCodes]],",",,TRUE))))</f>
        <v>0</v>
      </c>
      <c r="E59" s="43">
        <f>IF(FinanceCodesBudget[[#This Row],[FinanceCodeTypeCode]]="BUDGET",0,COUNTIF(FinanceCodesBudget[FinanceCode],FinanceCodesBudget[[#This Row],[FinanceCode]])-1)</f>
        <v>0</v>
      </c>
      <c r="F59" s="43">
        <f>IF(FinanceCodesBudget[[#This Row],[FinanceCodeTypeCode]]="BUDGET",0,COUNTIF(FinanceCodesBudget[Title],FinanceCodesBudget[[#This Row],[Title]])-1)</f>
        <v>0</v>
      </c>
      <c r="G59" s="43">
        <f>COUNTIF(Lookup!$A$2:$A$7,FinanceCodesBudget[[#This Row],[FinanceCodeTypeCode]])-1</f>
        <v>0</v>
      </c>
      <c r="H59" s="43">
        <f>IF(TRIM(FinanceCodesBudget[[#This Row],[Title]])="",1,0)</f>
        <v>0</v>
      </c>
      <c r="I59" s="43">
        <f>IF(TRIM(FinanceCodesBudget[[#This Row],[FinanceCode]])="",1,0)</f>
        <v>0</v>
      </c>
      <c r="J59" s="43">
        <f>IF(LEN(FinanceCodesBudget[[#This Row],[FinanceCode]])&lt;100,0,1)</f>
        <v>0</v>
      </c>
      <c r="K59" s="43">
        <f>IF(LEN(FinanceCodesBudget[[#This Row],[Title]])&lt;100,0,1)</f>
        <v>0</v>
      </c>
      <c r="L59" s="43">
        <f>IF(ISBLANK(FinanceCodesBudget[[#This Row],[BalanceToScenario]]),1,0)</f>
        <v>0</v>
      </c>
      <c r="M59" s="43">
        <f>SUM(FinanceCodesBudget[[#This Row],[LedgerIssue]:[CustGrIssue]],FinanceCodesBudget[[#This Row],[DupCode]:[Balance to Scenario Blank]])</f>
        <v>0</v>
      </c>
      <c r="N59">
        <v>530600</v>
      </c>
      <c r="O59" t="s">
        <v>2582</v>
      </c>
      <c r="P59" t="s">
        <v>1782</v>
      </c>
      <c r="Q59" t="s">
        <v>1976</v>
      </c>
      <c r="R59" t="b">
        <v>0</v>
      </c>
      <c r="S59" t="s">
        <v>2526</v>
      </c>
      <c r="T59" t="s">
        <v>1300</v>
      </c>
      <c r="U59" t="s">
        <v>1532</v>
      </c>
      <c r="V59" t="b">
        <v>1</v>
      </c>
      <c r="W59" t="b">
        <v>0</v>
      </c>
    </row>
    <row r="60" spans="1:23" x14ac:dyDescent="0.3">
      <c r="A60" s="147">
        <f>IF(COUNTIF(LEDGER[LedgerCode],FinanceCodesBudget[[#This Row],[LedgerCode]])&gt;0,0,1)</f>
        <v>0</v>
      </c>
      <c r="B60" s="43">
        <f>IF(COUNTIF(Table_System_Grouping_Codes[groupingCodeCode],FinanceCodesBudget[[#This Row],[GroupingCode]])&gt;0,0,1)</f>
        <v>0</v>
      </c>
      <c r="C60" s="43">
        <f>IF(COUNTIF(CUSTGROUP[CustomGroupingCode],FinanceCodesBudget[[#This Row],[CustomGrouping]])&gt;0,0,1)</f>
        <v>0</v>
      </c>
      <c r="D60" s="43" cm="1">
        <f t="array" ref="D60">IF(FinanceCodesBudget[[#This Row],[AvailableToAllSchools]]=TRUE,0,COUNTA(_xlfn.TEXTSPLIT(FinanceCodesBudget[[#This Row],[SchoolCodes]],",",,TRUE))-SUM(COUNTIF(SCHOOLS[SchoolCode],_xlfn.TEXTSPLIT(FinanceCodesBudget[[#This Row],[SchoolCodes]],",",,TRUE))))</f>
        <v>0</v>
      </c>
      <c r="E60" s="43">
        <f>IF(FinanceCodesBudget[[#This Row],[FinanceCodeTypeCode]]="BUDGET",0,COUNTIF(FinanceCodesBudget[FinanceCode],FinanceCodesBudget[[#This Row],[FinanceCode]])-1)</f>
        <v>0</v>
      </c>
      <c r="F60" s="43">
        <f>IF(FinanceCodesBudget[[#This Row],[FinanceCodeTypeCode]]="BUDGET",0,COUNTIF(FinanceCodesBudget[Title],FinanceCodesBudget[[#This Row],[Title]])-1)</f>
        <v>0</v>
      </c>
      <c r="G60" s="43">
        <f>COUNTIF(Lookup!$A$2:$A$7,FinanceCodesBudget[[#This Row],[FinanceCodeTypeCode]])-1</f>
        <v>0</v>
      </c>
      <c r="H60" s="43">
        <f>IF(TRIM(FinanceCodesBudget[[#This Row],[Title]])="",1,0)</f>
        <v>0</v>
      </c>
      <c r="I60" s="43">
        <f>IF(TRIM(FinanceCodesBudget[[#This Row],[FinanceCode]])="",1,0)</f>
        <v>0</v>
      </c>
      <c r="J60" s="43">
        <f>IF(LEN(FinanceCodesBudget[[#This Row],[FinanceCode]])&lt;100,0,1)</f>
        <v>0</v>
      </c>
      <c r="K60" s="43">
        <f>IF(LEN(FinanceCodesBudget[[#This Row],[Title]])&lt;100,0,1)</f>
        <v>0</v>
      </c>
      <c r="L60" s="43">
        <f>IF(ISBLANK(FinanceCodesBudget[[#This Row],[BalanceToScenario]]),1,0)</f>
        <v>0</v>
      </c>
      <c r="M60" s="43">
        <f>SUM(FinanceCodesBudget[[#This Row],[LedgerIssue]:[CustGrIssue]],FinanceCodesBudget[[#This Row],[DupCode]:[Balance to Scenario Blank]])</f>
        <v>0</v>
      </c>
      <c r="N60">
        <v>530650</v>
      </c>
      <c r="O60" t="s">
        <v>2583</v>
      </c>
      <c r="P60" t="s">
        <v>160</v>
      </c>
      <c r="Q60" t="s">
        <v>1976</v>
      </c>
      <c r="R60" t="b">
        <v>0</v>
      </c>
      <c r="S60" t="s">
        <v>2526</v>
      </c>
      <c r="T60" t="s">
        <v>1300</v>
      </c>
      <c r="U60" t="s">
        <v>1532</v>
      </c>
      <c r="V60" t="b">
        <v>1</v>
      </c>
      <c r="W60" t="b">
        <v>0</v>
      </c>
    </row>
    <row r="61" spans="1:23" x14ac:dyDescent="0.3">
      <c r="A61" s="147">
        <f>IF(COUNTIF(LEDGER[LedgerCode],FinanceCodesBudget[[#This Row],[LedgerCode]])&gt;0,0,1)</f>
        <v>0</v>
      </c>
      <c r="B61" s="43">
        <f>IF(COUNTIF(Table_System_Grouping_Codes[groupingCodeCode],FinanceCodesBudget[[#This Row],[GroupingCode]])&gt;0,0,1)</f>
        <v>0</v>
      </c>
      <c r="C61" s="43">
        <f>IF(COUNTIF(CUSTGROUP[CustomGroupingCode],FinanceCodesBudget[[#This Row],[CustomGrouping]])&gt;0,0,1)</f>
        <v>0</v>
      </c>
      <c r="D61" s="43" cm="1">
        <f t="array" ref="D61">IF(FinanceCodesBudget[[#This Row],[AvailableToAllSchools]]=TRUE,0,COUNTA(_xlfn.TEXTSPLIT(FinanceCodesBudget[[#This Row],[SchoolCodes]],",",,TRUE))-SUM(COUNTIF(SCHOOLS[SchoolCode],_xlfn.TEXTSPLIT(FinanceCodesBudget[[#This Row],[SchoolCodes]],",",,TRUE))))</f>
        <v>0</v>
      </c>
      <c r="E61" s="43">
        <f>IF(FinanceCodesBudget[[#This Row],[FinanceCodeTypeCode]]="BUDGET",0,COUNTIF(FinanceCodesBudget[FinanceCode],FinanceCodesBudget[[#This Row],[FinanceCode]])-1)</f>
        <v>0</v>
      </c>
      <c r="F61" s="43">
        <f>IF(FinanceCodesBudget[[#This Row],[FinanceCodeTypeCode]]="BUDGET",0,COUNTIF(FinanceCodesBudget[Title],FinanceCodesBudget[[#This Row],[Title]])-1)</f>
        <v>0</v>
      </c>
      <c r="G61" s="43">
        <f>COUNTIF(Lookup!$A$2:$A$7,FinanceCodesBudget[[#This Row],[FinanceCodeTypeCode]])-1</f>
        <v>0</v>
      </c>
      <c r="H61" s="43">
        <f>IF(TRIM(FinanceCodesBudget[[#This Row],[Title]])="",1,0)</f>
        <v>0</v>
      </c>
      <c r="I61" s="43">
        <f>IF(TRIM(FinanceCodesBudget[[#This Row],[FinanceCode]])="",1,0)</f>
        <v>0</v>
      </c>
      <c r="J61" s="43">
        <f>IF(LEN(FinanceCodesBudget[[#This Row],[FinanceCode]])&lt;100,0,1)</f>
        <v>0</v>
      </c>
      <c r="K61" s="43">
        <f>IF(LEN(FinanceCodesBudget[[#This Row],[Title]])&lt;100,0,1)</f>
        <v>0</v>
      </c>
      <c r="L61" s="43">
        <f>IF(ISBLANK(FinanceCodesBudget[[#This Row],[BalanceToScenario]]),1,0)</f>
        <v>0</v>
      </c>
      <c r="M61" s="43">
        <f>SUM(FinanceCodesBudget[[#This Row],[LedgerIssue]:[CustGrIssue]],FinanceCodesBudget[[#This Row],[DupCode]:[Balance to Scenario Blank]])</f>
        <v>0</v>
      </c>
      <c r="N61">
        <v>530655</v>
      </c>
      <c r="O61" t="s">
        <v>2584</v>
      </c>
      <c r="P61" t="s">
        <v>162</v>
      </c>
      <c r="Q61" t="s">
        <v>1976</v>
      </c>
      <c r="R61" t="b">
        <v>0</v>
      </c>
      <c r="S61" t="s">
        <v>2526</v>
      </c>
      <c r="T61" t="s">
        <v>1300</v>
      </c>
      <c r="U61" t="s">
        <v>1532</v>
      </c>
      <c r="V61" t="b">
        <v>1</v>
      </c>
      <c r="W61" t="b">
        <v>0</v>
      </c>
    </row>
    <row r="62" spans="1:23" x14ac:dyDescent="0.3">
      <c r="A62" s="147">
        <f>IF(COUNTIF(LEDGER[LedgerCode],FinanceCodesBudget[[#This Row],[LedgerCode]])&gt;0,0,1)</f>
        <v>0</v>
      </c>
      <c r="B62" s="43">
        <f>IF(COUNTIF(Table_System_Grouping_Codes[groupingCodeCode],FinanceCodesBudget[[#This Row],[GroupingCode]])&gt;0,0,1)</f>
        <v>0</v>
      </c>
      <c r="C62" s="43">
        <f>IF(COUNTIF(CUSTGROUP[CustomGroupingCode],FinanceCodesBudget[[#This Row],[CustomGrouping]])&gt;0,0,1)</f>
        <v>0</v>
      </c>
      <c r="D62" s="43" cm="1">
        <f t="array" ref="D62">IF(FinanceCodesBudget[[#This Row],[AvailableToAllSchools]]=TRUE,0,COUNTA(_xlfn.TEXTSPLIT(FinanceCodesBudget[[#This Row],[SchoolCodes]],",",,TRUE))-SUM(COUNTIF(SCHOOLS[SchoolCode],_xlfn.TEXTSPLIT(FinanceCodesBudget[[#This Row],[SchoolCodes]],",",,TRUE))))</f>
        <v>0</v>
      </c>
      <c r="E62" s="43">
        <f>IF(FinanceCodesBudget[[#This Row],[FinanceCodeTypeCode]]="BUDGET",0,COUNTIF(FinanceCodesBudget[FinanceCode],FinanceCodesBudget[[#This Row],[FinanceCode]])-1)</f>
        <v>0</v>
      </c>
      <c r="F62" s="43">
        <f>IF(FinanceCodesBudget[[#This Row],[FinanceCodeTypeCode]]="BUDGET",0,COUNTIF(FinanceCodesBudget[Title],FinanceCodesBudget[[#This Row],[Title]])-1)</f>
        <v>0</v>
      </c>
      <c r="G62" s="43">
        <f>COUNTIF(Lookup!$A$2:$A$7,FinanceCodesBudget[[#This Row],[FinanceCodeTypeCode]])-1</f>
        <v>0</v>
      </c>
      <c r="H62" s="43">
        <f>IF(TRIM(FinanceCodesBudget[[#This Row],[Title]])="",1,0)</f>
        <v>0</v>
      </c>
      <c r="I62" s="43">
        <f>IF(TRIM(FinanceCodesBudget[[#This Row],[FinanceCode]])="",1,0)</f>
        <v>0</v>
      </c>
      <c r="J62" s="43">
        <f>IF(LEN(FinanceCodesBudget[[#This Row],[FinanceCode]])&lt;100,0,1)</f>
        <v>0</v>
      </c>
      <c r="K62" s="43">
        <f>IF(LEN(FinanceCodesBudget[[#This Row],[Title]])&lt;100,0,1)</f>
        <v>0</v>
      </c>
      <c r="L62" s="43">
        <f>IF(ISBLANK(FinanceCodesBudget[[#This Row],[BalanceToScenario]]),1,0)</f>
        <v>0</v>
      </c>
      <c r="M62" s="43">
        <f>SUM(FinanceCodesBudget[[#This Row],[LedgerIssue]:[CustGrIssue]],FinanceCodesBudget[[#This Row],[DupCode]:[Balance to Scenario Blank]])</f>
        <v>0</v>
      </c>
      <c r="N62">
        <v>530660</v>
      </c>
      <c r="O62" t="s">
        <v>2585</v>
      </c>
      <c r="P62" t="s">
        <v>164</v>
      </c>
      <c r="Q62" t="s">
        <v>1976</v>
      </c>
      <c r="R62" t="b">
        <v>0</v>
      </c>
      <c r="S62" t="s">
        <v>2526</v>
      </c>
      <c r="T62" t="s">
        <v>1300</v>
      </c>
      <c r="U62" t="s">
        <v>1532</v>
      </c>
      <c r="V62" t="b">
        <v>1</v>
      </c>
      <c r="W62" t="b">
        <v>0</v>
      </c>
    </row>
    <row r="63" spans="1:23" x14ac:dyDescent="0.3">
      <c r="A63" s="147">
        <f>IF(COUNTIF(LEDGER[LedgerCode],FinanceCodesBudget[[#This Row],[LedgerCode]])&gt;0,0,1)</f>
        <v>0</v>
      </c>
      <c r="B63" s="43">
        <f>IF(COUNTIF(Table_System_Grouping_Codes[groupingCodeCode],FinanceCodesBudget[[#This Row],[GroupingCode]])&gt;0,0,1)</f>
        <v>0</v>
      </c>
      <c r="C63" s="43">
        <f>IF(COUNTIF(CUSTGROUP[CustomGroupingCode],FinanceCodesBudget[[#This Row],[CustomGrouping]])&gt;0,0,1)</f>
        <v>0</v>
      </c>
      <c r="D63" s="43" cm="1">
        <f t="array" ref="D63">IF(FinanceCodesBudget[[#This Row],[AvailableToAllSchools]]=TRUE,0,COUNTA(_xlfn.TEXTSPLIT(FinanceCodesBudget[[#This Row],[SchoolCodes]],",",,TRUE))-SUM(COUNTIF(SCHOOLS[SchoolCode],_xlfn.TEXTSPLIT(FinanceCodesBudget[[#This Row],[SchoolCodes]],",",,TRUE))))</f>
        <v>0</v>
      </c>
      <c r="E63" s="43">
        <f>IF(FinanceCodesBudget[[#This Row],[FinanceCodeTypeCode]]="BUDGET",0,COUNTIF(FinanceCodesBudget[FinanceCode],FinanceCodesBudget[[#This Row],[FinanceCode]])-1)</f>
        <v>0</v>
      </c>
      <c r="F63" s="43">
        <f>IF(FinanceCodesBudget[[#This Row],[FinanceCodeTypeCode]]="BUDGET",0,COUNTIF(FinanceCodesBudget[Title],FinanceCodesBudget[[#This Row],[Title]])-1)</f>
        <v>0</v>
      </c>
      <c r="G63" s="43">
        <f>COUNTIF(Lookup!$A$2:$A$7,FinanceCodesBudget[[#This Row],[FinanceCodeTypeCode]])-1</f>
        <v>0</v>
      </c>
      <c r="H63" s="43">
        <f>IF(TRIM(FinanceCodesBudget[[#This Row],[Title]])="",1,0)</f>
        <v>0</v>
      </c>
      <c r="I63" s="43">
        <f>IF(TRIM(FinanceCodesBudget[[#This Row],[FinanceCode]])="",1,0)</f>
        <v>0</v>
      </c>
      <c r="J63" s="43">
        <f>IF(LEN(FinanceCodesBudget[[#This Row],[FinanceCode]])&lt;100,0,1)</f>
        <v>0</v>
      </c>
      <c r="K63" s="43">
        <f>IF(LEN(FinanceCodesBudget[[#This Row],[Title]])&lt;100,0,1)</f>
        <v>0</v>
      </c>
      <c r="L63" s="43">
        <f>IF(ISBLANK(FinanceCodesBudget[[#This Row],[BalanceToScenario]]),1,0)</f>
        <v>0</v>
      </c>
      <c r="M63" s="43">
        <f>SUM(FinanceCodesBudget[[#This Row],[LedgerIssue]:[CustGrIssue]],FinanceCodesBudget[[#This Row],[DupCode]:[Balance to Scenario Blank]])</f>
        <v>0</v>
      </c>
      <c r="N63">
        <v>530700</v>
      </c>
      <c r="O63" t="s">
        <v>2586</v>
      </c>
      <c r="P63" t="s">
        <v>166</v>
      </c>
      <c r="Q63" t="s">
        <v>1976</v>
      </c>
      <c r="R63" t="b">
        <v>0</v>
      </c>
      <c r="S63" t="s">
        <v>2526</v>
      </c>
      <c r="T63" t="s">
        <v>1300</v>
      </c>
      <c r="U63" t="s">
        <v>1532</v>
      </c>
      <c r="V63" t="b">
        <v>1</v>
      </c>
      <c r="W63" t="b">
        <v>0</v>
      </c>
    </row>
    <row r="64" spans="1:23" x14ac:dyDescent="0.3">
      <c r="A64" s="147">
        <f>IF(COUNTIF(LEDGER[LedgerCode],FinanceCodesBudget[[#This Row],[LedgerCode]])&gt;0,0,1)</f>
        <v>0</v>
      </c>
      <c r="B64" s="43">
        <f>IF(COUNTIF(Table_System_Grouping_Codes[groupingCodeCode],FinanceCodesBudget[[#This Row],[GroupingCode]])&gt;0,0,1)</f>
        <v>0</v>
      </c>
      <c r="C64" s="43">
        <f>IF(COUNTIF(CUSTGROUP[CustomGroupingCode],FinanceCodesBudget[[#This Row],[CustomGrouping]])&gt;0,0,1)</f>
        <v>0</v>
      </c>
      <c r="D64" s="43" cm="1">
        <f t="array" ref="D64">IF(FinanceCodesBudget[[#This Row],[AvailableToAllSchools]]=TRUE,0,COUNTA(_xlfn.TEXTSPLIT(FinanceCodesBudget[[#This Row],[SchoolCodes]],",",,TRUE))-SUM(COUNTIF(SCHOOLS[SchoolCode],_xlfn.TEXTSPLIT(FinanceCodesBudget[[#This Row],[SchoolCodes]],",",,TRUE))))</f>
        <v>0</v>
      </c>
      <c r="E64" s="43">
        <f>IF(FinanceCodesBudget[[#This Row],[FinanceCodeTypeCode]]="BUDGET",0,COUNTIF(FinanceCodesBudget[FinanceCode],FinanceCodesBudget[[#This Row],[FinanceCode]])-1)</f>
        <v>0</v>
      </c>
      <c r="F64" s="43">
        <f>IF(FinanceCodesBudget[[#This Row],[FinanceCodeTypeCode]]="BUDGET",0,COUNTIF(FinanceCodesBudget[Title],FinanceCodesBudget[[#This Row],[Title]])-1)</f>
        <v>0</v>
      </c>
      <c r="G64" s="43">
        <f>COUNTIF(Lookup!$A$2:$A$7,FinanceCodesBudget[[#This Row],[FinanceCodeTypeCode]])-1</f>
        <v>0</v>
      </c>
      <c r="H64" s="43">
        <f>IF(TRIM(FinanceCodesBudget[[#This Row],[Title]])="",1,0)</f>
        <v>0</v>
      </c>
      <c r="I64" s="43">
        <f>IF(TRIM(FinanceCodesBudget[[#This Row],[FinanceCode]])="",1,0)</f>
        <v>0</v>
      </c>
      <c r="J64" s="43">
        <f>IF(LEN(FinanceCodesBudget[[#This Row],[FinanceCode]])&lt;100,0,1)</f>
        <v>0</v>
      </c>
      <c r="K64" s="43">
        <f>IF(LEN(FinanceCodesBudget[[#This Row],[Title]])&lt;100,0,1)</f>
        <v>0</v>
      </c>
      <c r="L64" s="43">
        <f>IF(ISBLANK(FinanceCodesBudget[[#This Row],[BalanceToScenario]]),1,0)</f>
        <v>0</v>
      </c>
      <c r="M64" s="43">
        <f>SUM(FinanceCodesBudget[[#This Row],[LedgerIssue]:[CustGrIssue]],FinanceCodesBudget[[#This Row],[DupCode]:[Balance to Scenario Blank]])</f>
        <v>0</v>
      </c>
      <c r="N64">
        <v>530990</v>
      </c>
      <c r="O64" t="s">
        <v>2587</v>
      </c>
      <c r="P64" t="s">
        <v>168</v>
      </c>
      <c r="Q64" t="s">
        <v>1976</v>
      </c>
      <c r="R64" t="b">
        <v>0</v>
      </c>
      <c r="S64" t="s">
        <v>2526</v>
      </c>
      <c r="T64" t="s">
        <v>1300</v>
      </c>
      <c r="U64" t="s">
        <v>1532</v>
      </c>
      <c r="V64" t="b">
        <v>1</v>
      </c>
      <c r="W64" t="b">
        <v>0</v>
      </c>
    </row>
    <row r="65" spans="1:23" x14ac:dyDescent="0.3">
      <c r="A65" s="147">
        <f>IF(COUNTIF(LEDGER[LedgerCode],FinanceCodesBudget[[#This Row],[LedgerCode]])&gt;0,0,1)</f>
        <v>0</v>
      </c>
      <c r="B65" s="43">
        <f>IF(COUNTIF(Table_System_Grouping_Codes[groupingCodeCode],FinanceCodesBudget[[#This Row],[GroupingCode]])&gt;0,0,1)</f>
        <v>0</v>
      </c>
      <c r="C65" s="43">
        <f>IF(COUNTIF(CUSTGROUP[CustomGroupingCode],FinanceCodesBudget[[#This Row],[CustomGrouping]])&gt;0,0,1)</f>
        <v>0</v>
      </c>
      <c r="D65" s="43" cm="1">
        <f t="array" ref="D65">IF(FinanceCodesBudget[[#This Row],[AvailableToAllSchools]]=TRUE,0,COUNTA(_xlfn.TEXTSPLIT(FinanceCodesBudget[[#This Row],[SchoolCodes]],",",,TRUE))-SUM(COUNTIF(SCHOOLS[SchoolCode],_xlfn.TEXTSPLIT(FinanceCodesBudget[[#This Row],[SchoolCodes]],",",,TRUE))))</f>
        <v>0</v>
      </c>
      <c r="E65" s="43">
        <f>IF(FinanceCodesBudget[[#This Row],[FinanceCodeTypeCode]]="BUDGET",0,COUNTIF(FinanceCodesBudget[FinanceCode],FinanceCodesBudget[[#This Row],[FinanceCode]])-1)</f>
        <v>0</v>
      </c>
      <c r="F65" s="43">
        <f>IF(FinanceCodesBudget[[#This Row],[FinanceCodeTypeCode]]="BUDGET",0,COUNTIF(FinanceCodesBudget[Title],FinanceCodesBudget[[#This Row],[Title]])-1)</f>
        <v>0</v>
      </c>
      <c r="G65" s="43">
        <f>COUNTIF(Lookup!$A$2:$A$7,FinanceCodesBudget[[#This Row],[FinanceCodeTypeCode]])-1</f>
        <v>0</v>
      </c>
      <c r="H65" s="43">
        <f>IF(TRIM(FinanceCodesBudget[[#This Row],[Title]])="",1,0)</f>
        <v>0</v>
      </c>
      <c r="I65" s="43">
        <f>IF(TRIM(FinanceCodesBudget[[#This Row],[FinanceCode]])="",1,0)</f>
        <v>0</v>
      </c>
      <c r="J65" s="43">
        <f>IF(LEN(FinanceCodesBudget[[#This Row],[FinanceCode]])&lt;100,0,1)</f>
        <v>0</v>
      </c>
      <c r="K65" s="43">
        <f>IF(LEN(FinanceCodesBudget[[#This Row],[Title]])&lt;100,0,1)</f>
        <v>0</v>
      </c>
      <c r="L65" s="43">
        <f>IF(ISBLANK(FinanceCodesBudget[[#This Row],[BalanceToScenario]]),1,0)</f>
        <v>0</v>
      </c>
      <c r="M65" s="43">
        <f>SUM(FinanceCodesBudget[[#This Row],[LedgerIssue]:[CustGrIssue]],FinanceCodesBudget[[#This Row],[DupCode]:[Balance to Scenario Blank]])</f>
        <v>0</v>
      </c>
      <c r="N65">
        <v>550100</v>
      </c>
      <c r="O65" t="s">
        <v>2588</v>
      </c>
      <c r="P65" t="s">
        <v>170</v>
      </c>
      <c r="Q65" t="s">
        <v>849</v>
      </c>
      <c r="R65" t="b">
        <v>0</v>
      </c>
      <c r="S65" t="s">
        <v>2526</v>
      </c>
      <c r="T65" t="s">
        <v>1300</v>
      </c>
      <c r="U65" t="s">
        <v>1965</v>
      </c>
      <c r="V65" t="b">
        <v>1</v>
      </c>
      <c r="W65" t="b">
        <v>0</v>
      </c>
    </row>
    <row r="66" spans="1:23" x14ac:dyDescent="0.3">
      <c r="A66" s="147">
        <f>IF(COUNTIF(LEDGER[LedgerCode],FinanceCodesBudget[[#This Row],[LedgerCode]])&gt;0,0,1)</f>
        <v>0</v>
      </c>
      <c r="B66" s="43">
        <f>IF(COUNTIF(Table_System_Grouping_Codes[groupingCodeCode],FinanceCodesBudget[[#This Row],[GroupingCode]])&gt;0,0,1)</f>
        <v>0</v>
      </c>
      <c r="C66" s="43">
        <f>IF(COUNTIF(CUSTGROUP[CustomGroupingCode],FinanceCodesBudget[[#This Row],[CustomGrouping]])&gt;0,0,1)</f>
        <v>0</v>
      </c>
      <c r="D66" s="43" cm="1">
        <f t="array" ref="D66">IF(FinanceCodesBudget[[#This Row],[AvailableToAllSchools]]=TRUE,0,COUNTA(_xlfn.TEXTSPLIT(FinanceCodesBudget[[#This Row],[SchoolCodes]],",",,TRUE))-SUM(COUNTIF(SCHOOLS[SchoolCode],_xlfn.TEXTSPLIT(FinanceCodesBudget[[#This Row],[SchoolCodes]],",",,TRUE))))</f>
        <v>0</v>
      </c>
      <c r="E66" s="43">
        <f>IF(FinanceCodesBudget[[#This Row],[FinanceCodeTypeCode]]="BUDGET",0,COUNTIF(FinanceCodesBudget[FinanceCode],FinanceCodesBudget[[#This Row],[FinanceCode]])-1)</f>
        <v>0</v>
      </c>
      <c r="F66" s="43">
        <f>IF(FinanceCodesBudget[[#This Row],[FinanceCodeTypeCode]]="BUDGET",0,COUNTIF(FinanceCodesBudget[Title],FinanceCodesBudget[[#This Row],[Title]])-1)</f>
        <v>0</v>
      </c>
      <c r="G66" s="43">
        <f>COUNTIF(Lookup!$A$2:$A$7,FinanceCodesBudget[[#This Row],[FinanceCodeTypeCode]])-1</f>
        <v>0</v>
      </c>
      <c r="H66" s="43">
        <f>IF(TRIM(FinanceCodesBudget[[#This Row],[Title]])="",1,0)</f>
        <v>0</v>
      </c>
      <c r="I66" s="43">
        <f>IF(TRIM(FinanceCodesBudget[[#This Row],[FinanceCode]])="",1,0)</f>
        <v>0</v>
      </c>
      <c r="J66" s="43">
        <f>IF(LEN(FinanceCodesBudget[[#This Row],[FinanceCode]])&lt;100,0,1)</f>
        <v>0</v>
      </c>
      <c r="K66" s="43">
        <f>IF(LEN(FinanceCodesBudget[[#This Row],[Title]])&lt;100,0,1)</f>
        <v>0</v>
      </c>
      <c r="L66" s="43">
        <f>IF(ISBLANK(FinanceCodesBudget[[#This Row],[BalanceToScenario]]),1,0)</f>
        <v>0</v>
      </c>
      <c r="M66" s="43">
        <f>SUM(FinanceCodesBudget[[#This Row],[LedgerIssue]:[CustGrIssue]],FinanceCodesBudget[[#This Row],[DupCode]:[Balance to Scenario Blank]])</f>
        <v>0</v>
      </c>
      <c r="N66">
        <v>550150</v>
      </c>
      <c r="O66" t="s">
        <v>2589</v>
      </c>
      <c r="P66" t="s">
        <v>172</v>
      </c>
      <c r="Q66" t="s">
        <v>849</v>
      </c>
      <c r="R66" t="b">
        <v>0</v>
      </c>
      <c r="S66" t="s">
        <v>2526</v>
      </c>
      <c r="T66" t="s">
        <v>1300</v>
      </c>
      <c r="U66" t="s">
        <v>1965</v>
      </c>
      <c r="V66" t="b">
        <v>1</v>
      </c>
      <c r="W66" t="b">
        <v>0</v>
      </c>
    </row>
    <row r="67" spans="1:23" x14ac:dyDescent="0.3">
      <c r="A67" s="147">
        <f>IF(COUNTIF(LEDGER[LedgerCode],FinanceCodesBudget[[#This Row],[LedgerCode]])&gt;0,0,1)</f>
        <v>0</v>
      </c>
      <c r="B67" s="43">
        <f>IF(COUNTIF(Table_System_Grouping_Codes[groupingCodeCode],FinanceCodesBudget[[#This Row],[GroupingCode]])&gt;0,0,1)</f>
        <v>0</v>
      </c>
      <c r="C67" s="43">
        <f>IF(COUNTIF(CUSTGROUP[CustomGroupingCode],FinanceCodesBudget[[#This Row],[CustomGrouping]])&gt;0,0,1)</f>
        <v>0</v>
      </c>
      <c r="D67" s="43" cm="1">
        <f t="array" ref="D67">IF(FinanceCodesBudget[[#This Row],[AvailableToAllSchools]]=TRUE,0,COUNTA(_xlfn.TEXTSPLIT(FinanceCodesBudget[[#This Row],[SchoolCodes]],",",,TRUE))-SUM(COUNTIF(SCHOOLS[SchoolCode],_xlfn.TEXTSPLIT(FinanceCodesBudget[[#This Row],[SchoolCodes]],",",,TRUE))))</f>
        <v>0</v>
      </c>
      <c r="E67" s="43">
        <f>IF(FinanceCodesBudget[[#This Row],[FinanceCodeTypeCode]]="BUDGET",0,COUNTIF(FinanceCodesBudget[FinanceCode],FinanceCodesBudget[[#This Row],[FinanceCode]])-1)</f>
        <v>0</v>
      </c>
      <c r="F67" s="43">
        <f>IF(FinanceCodesBudget[[#This Row],[FinanceCodeTypeCode]]="BUDGET",0,COUNTIF(FinanceCodesBudget[Title],FinanceCodesBudget[[#This Row],[Title]])-1)</f>
        <v>0</v>
      </c>
      <c r="G67" s="43">
        <f>COUNTIF(Lookup!$A$2:$A$7,FinanceCodesBudget[[#This Row],[FinanceCodeTypeCode]])-1</f>
        <v>0</v>
      </c>
      <c r="H67" s="43">
        <f>IF(TRIM(FinanceCodesBudget[[#This Row],[Title]])="",1,0)</f>
        <v>0</v>
      </c>
      <c r="I67" s="43">
        <f>IF(TRIM(FinanceCodesBudget[[#This Row],[FinanceCode]])="",1,0)</f>
        <v>0</v>
      </c>
      <c r="J67" s="43">
        <f>IF(LEN(FinanceCodesBudget[[#This Row],[FinanceCode]])&lt;100,0,1)</f>
        <v>0</v>
      </c>
      <c r="K67" s="43">
        <f>IF(LEN(FinanceCodesBudget[[#This Row],[Title]])&lt;100,0,1)</f>
        <v>0</v>
      </c>
      <c r="L67" s="43">
        <f>IF(ISBLANK(FinanceCodesBudget[[#This Row],[BalanceToScenario]]),1,0)</f>
        <v>0</v>
      </c>
      <c r="M67" s="43">
        <f>SUM(FinanceCodesBudget[[#This Row],[LedgerIssue]:[CustGrIssue]],FinanceCodesBudget[[#This Row],[DupCode]:[Balance to Scenario Blank]])</f>
        <v>0</v>
      </c>
      <c r="N67">
        <v>550200</v>
      </c>
      <c r="O67" t="s">
        <v>2590</v>
      </c>
      <c r="P67" t="s">
        <v>174</v>
      </c>
      <c r="Q67" t="s">
        <v>849</v>
      </c>
      <c r="R67" t="b">
        <v>0</v>
      </c>
      <c r="S67" t="s">
        <v>2526</v>
      </c>
      <c r="T67" t="s">
        <v>1300</v>
      </c>
      <c r="U67" t="s">
        <v>1965</v>
      </c>
      <c r="V67" t="b">
        <v>1</v>
      </c>
      <c r="W67" t="b">
        <v>0</v>
      </c>
    </row>
    <row r="68" spans="1:23" x14ac:dyDescent="0.3">
      <c r="A68" s="147">
        <f>IF(COUNTIF(LEDGER[LedgerCode],FinanceCodesBudget[[#This Row],[LedgerCode]])&gt;0,0,1)</f>
        <v>0</v>
      </c>
      <c r="B68" s="43">
        <f>IF(COUNTIF(Table_System_Grouping_Codes[groupingCodeCode],FinanceCodesBudget[[#This Row],[GroupingCode]])&gt;0,0,1)</f>
        <v>0</v>
      </c>
      <c r="C68" s="43">
        <f>IF(COUNTIF(CUSTGROUP[CustomGroupingCode],FinanceCodesBudget[[#This Row],[CustomGrouping]])&gt;0,0,1)</f>
        <v>0</v>
      </c>
      <c r="D68" s="43" cm="1">
        <f t="array" ref="D68">IF(FinanceCodesBudget[[#This Row],[AvailableToAllSchools]]=TRUE,0,COUNTA(_xlfn.TEXTSPLIT(FinanceCodesBudget[[#This Row],[SchoolCodes]],",",,TRUE))-SUM(COUNTIF(SCHOOLS[SchoolCode],_xlfn.TEXTSPLIT(FinanceCodesBudget[[#This Row],[SchoolCodes]],",",,TRUE))))</f>
        <v>0</v>
      </c>
      <c r="E68" s="43">
        <f>IF(FinanceCodesBudget[[#This Row],[FinanceCodeTypeCode]]="BUDGET",0,COUNTIF(FinanceCodesBudget[FinanceCode],FinanceCodesBudget[[#This Row],[FinanceCode]])-1)</f>
        <v>0</v>
      </c>
      <c r="F68" s="43">
        <f>IF(FinanceCodesBudget[[#This Row],[FinanceCodeTypeCode]]="BUDGET",0,COUNTIF(FinanceCodesBudget[Title],FinanceCodesBudget[[#This Row],[Title]])-1)</f>
        <v>0</v>
      </c>
      <c r="G68" s="43">
        <f>COUNTIF(Lookup!$A$2:$A$7,FinanceCodesBudget[[#This Row],[FinanceCodeTypeCode]])-1</f>
        <v>0</v>
      </c>
      <c r="H68" s="43">
        <f>IF(TRIM(FinanceCodesBudget[[#This Row],[Title]])="",1,0)</f>
        <v>0</v>
      </c>
      <c r="I68" s="43">
        <f>IF(TRIM(FinanceCodesBudget[[#This Row],[FinanceCode]])="",1,0)</f>
        <v>0</v>
      </c>
      <c r="J68" s="43">
        <f>IF(LEN(FinanceCodesBudget[[#This Row],[FinanceCode]])&lt;100,0,1)</f>
        <v>0</v>
      </c>
      <c r="K68" s="43">
        <f>IF(LEN(FinanceCodesBudget[[#This Row],[Title]])&lt;100,0,1)</f>
        <v>0</v>
      </c>
      <c r="L68" s="43">
        <f>IF(ISBLANK(FinanceCodesBudget[[#This Row],[BalanceToScenario]]),1,0)</f>
        <v>0</v>
      </c>
      <c r="M68" s="43">
        <f>SUM(FinanceCodesBudget[[#This Row],[LedgerIssue]:[CustGrIssue]],FinanceCodesBudget[[#This Row],[DupCode]:[Balance to Scenario Blank]])</f>
        <v>0</v>
      </c>
      <c r="N68">
        <v>550250</v>
      </c>
      <c r="O68" t="s">
        <v>2591</v>
      </c>
      <c r="P68" t="s">
        <v>176</v>
      </c>
      <c r="Q68" t="s">
        <v>849</v>
      </c>
      <c r="R68" t="b">
        <v>0</v>
      </c>
      <c r="S68" t="s">
        <v>2526</v>
      </c>
      <c r="T68" t="s">
        <v>1300</v>
      </c>
      <c r="U68" t="s">
        <v>1965</v>
      </c>
      <c r="V68" t="b">
        <v>1</v>
      </c>
      <c r="W68" t="b">
        <v>0</v>
      </c>
    </row>
    <row r="69" spans="1:23" x14ac:dyDescent="0.3">
      <c r="A69" s="147">
        <f>IF(COUNTIF(LEDGER[LedgerCode],FinanceCodesBudget[[#This Row],[LedgerCode]])&gt;0,0,1)</f>
        <v>0</v>
      </c>
      <c r="B69" s="43">
        <f>IF(COUNTIF(Table_System_Grouping_Codes[groupingCodeCode],FinanceCodesBudget[[#This Row],[GroupingCode]])&gt;0,0,1)</f>
        <v>0</v>
      </c>
      <c r="C69" s="43">
        <f>IF(COUNTIF(CUSTGROUP[CustomGroupingCode],FinanceCodesBudget[[#This Row],[CustomGrouping]])&gt;0,0,1)</f>
        <v>0</v>
      </c>
      <c r="D69" s="43" cm="1">
        <f t="array" ref="D69">IF(FinanceCodesBudget[[#This Row],[AvailableToAllSchools]]=TRUE,0,COUNTA(_xlfn.TEXTSPLIT(FinanceCodesBudget[[#This Row],[SchoolCodes]],",",,TRUE))-SUM(COUNTIF(SCHOOLS[SchoolCode],_xlfn.TEXTSPLIT(FinanceCodesBudget[[#This Row],[SchoolCodes]],",",,TRUE))))</f>
        <v>0</v>
      </c>
      <c r="E69" s="43">
        <f>IF(FinanceCodesBudget[[#This Row],[FinanceCodeTypeCode]]="BUDGET",0,COUNTIF(FinanceCodesBudget[FinanceCode],FinanceCodesBudget[[#This Row],[FinanceCode]])-1)</f>
        <v>0</v>
      </c>
      <c r="F69" s="43">
        <f>IF(FinanceCodesBudget[[#This Row],[FinanceCodeTypeCode]]="BUDGET",0,COUNTIF(FinanceCodesBudget[Title],FinanceCodesBudget[[#This Row],[Title]])-1)</f>
        <v>0</v>
      </c>
      <c r="G69" s="43">
        <f>COUNTIF(Lookup!$A$2:$A$7,FinanceCodesBudget[[#This Row],[FinanceCodeTypeCode]])-1</f>
        <v>0</v>
      </c>
      <c r="H69" s="43">
        <f>IF(TRIM(FinanceCodesBudget[[#This Row],[Title]])="",1,0)</f>
        <v>0</v>
      </c>
      <c r="I69" s="43">
        <f>IF(TRIM(FinanceCodesBudget[[#This Row],[FinanceCode]])="",1,0)</f>
        <v>0</v>
      </c>
      <c r="J69" s="43">
        <f>IF(LEN(FinanceCodesBudget[[#This Row],[FinanceCode]])&lt;100,0,1)</f>
        <v>0</v>
      </c>
      <c r="K69" s="43">
        <f>IF(LEN(FinanceCodesBudget[[#This Row],[Title]])&lt;100,0,1)</f>
        <v>0</v>
      </c>
      <c r="L69" s="43">
        <f>IF(ISBLANK(FinanceCodesBudget[[#This Row],[BalanceToScenario]]),1,0)</f>
        <v>0</v>
      </c>
      <c r="M69" s="43">
        <f>SUM(FinanceCodesBudget[[#This Row],[LedgerIssue]:[CustGrIssue]],FinanceCodesBudget[[#This Row],[DupCode]:[Balance to Scenario Blank]])</f>
        <v>0</v>
      </c>
      <c r="N69">
        <v>550300</v>
      </c>
      <c r="O69" t="s">
        <v>2592</v>
      </c>
      <c r="P69" t="s">
        <v>178</v>
      </c>
      <c r="Q69" t="s">
        <v>849</v>
      </c>
      <c r="R69" t="b">
        <v>0</v>
      </c>
      <c r="S69" t="s">
        <v>2526</v>
      </c>
      <c r="T69" t="s">
        <v>1300</v>
      </c>
      <c r="U69" t="s">
        <v>1965</v>
      </c>
      <c r="V69" t="b">
        <v>1</v>
      </c>
      <c r="W69" t="b">
        <v>0</v>
      </c>
    </row>
    <row r="70" spans="1:23" x14ac:dyDescent="0.3">
      <c r="A70" s="147">
        <f>IF(COUNTIF(LEDGER[LedgerCode],FinanceCodesBudget[[#This Row],[LedgerCode]])&gt;0,0,1)</f>
        <v>0</v>
      </c>
      <c r="B70" s="43">
        <f>IF(COUNTIF(Table_System_Grouping_Codes[groupingCodeCode],FinanceCodesBudget[[#This Row],[GroupingCode]])&gt;0,0,1)</f>
        <v>0</v>
      </c>
      <c r="C70" s="43">
        <f>IF(COUNTIF(CUSTGROUP[CustomGroupingCode],FinanceCodesBudget[[#This Row],[CustomGrouping]])&gt;0,0,1)</f>
        <v>0</v>
      </c>
      <c r="D70" s="43" cm="1">
        <f t="array" ref="D70">IF(FinanceCodesBudget[[#This Row],[AvailableToAllSchools]]=TRUE,0,COUNTA(_xlfn.TEXTSPLIT(FinanceCodesBudget[[#This Row],[SchoolCodes]],",",,TRUE))-SUM(COUNTIF(SCHOOLS[SchoolCode],_xlfn.TEXTSPLIT(FinanceCodesBudget[[#This Row],[SchoolCodes]],",",,TRUE))))</f>
        <v>0</v>
      </c>
      <c r="E70" s="43">
        <f>IF(FinanceCodesBudget[[#This Row],[FinanceCodeTypeCode]]="BUDGET",0,COUNTIF(FinanceCodesBudget[FinanceCode],FinanceCodesBudget[[#This Row],[FinanceCode]])-1)</f>
        <v>0</v>
      </c>
      <c r="F70" s="43">
        <f>IF(FinanceCodesBudget[[#This Row],[FinanceCodeTypeCode]]="BUDGET",0,COUNTIF(FinanceCodesBudget[Title],FinanceCodesBudget[[#This Row],[Title]])-1)</f>
        <v>0</v>
      </c>
      <c r="G70" s="43">
        <f>COUNTIF(Lookup!$A$2:$A$7,FinanceCodesBudget[[#This Row],[FinanceCodeTypeCode]])-1</f>
        <v>0</v>
      </c>
      <c r="H70" s="43">
        <f>IF(TRIM(FinanceCodesBudget[[#This Row],[Title]])="",1,0)</f>
        <v>0</v>
      </c>
      <c r="I70" s="43">
        <f>IF(TRIM(FinanceCodesBudget[[#This Row],[FinanceCode]])="",1,0)</f>
        <v>0</v>
      </c>
      <c r="J70" s="43">
        <f>IF(LEN(FinanceCodesBudget[[#This Row],[FinanceCode]])&lt;100,0,1)</f>
        <v>0</v>
      </c>
      <c r="K70" s="43">
        <f>IF(LEN(FinanceCodesBudget[[#This Row],[Title]])&lt;100,0,1)</f>
        <v>0</v>
      </c>
      <c r="L70" s="43">
        <f>IF(ISBLANK(FinanceCodesBudget[[#This Row],[BalanceToScenario]]),1,0)</f>
        <v>0</v>
      </c>
      <c r="M70" s="43">
        <f>SUM(FinanceCodesBudget[[#This Row],[LedgerIssue]:[CustGrIssue]],FinanceCodesBudget[[#This Row],[DupCode]:[Balance to Scenario Blank]])</f>
        <v>0</v>
      </c>
      <c r="N70">
        <v>550350</v>
      </c>
      <c r="O70" t="s">
        <v>2593</v>
      </c>
      <c r="P70" t="s">
        <v>180</v>
      </c>
      <c r="Q70" t="s">
        <v>849</v>
      </c>
      <c r="R70" t="b">
        <v>0</v>
      </c>
      <c r="S70" t="s">
        <v>2526</v>
      </c>
      <c r="T70" t="s">
        <v>1300</v>
      </c>
      <c r="U70" t="s">
        <v>1965</v>
      </c>
      <c r="V70" t="b">
        <v>1</v>
      </c>
      <c r="W70" t="b">
        <v>0</v>
      </c>
    </row>
    <row r="71" spans="1:23" x14ac:dyDescent="0.3">
      <c r="A71" s="147">
        <f>IF(COUNTIF(LEDGER[LedgerCode],FinanceCodesBudget[[#This Row],[LedgerCode]])&gt;0,0,1)</f>
        <v>0</v>
      </c>
      <c r="B71" s="43">
        <f>IF(COUNTIF(Table_System_Grouping_Codes[groupingCodeCode],FinanceCodesBudget[[#This Row],[GroupingCode]])&gt;0,0,1)</f>
        <v>0</v>
      </c>
      <c r="C71" s="43">
        <f>IF(COUNTIF(CUSTGROUP[CustomGroupingCode],FinanceCodesBudget[[#This Row],[CustomGrouping]])&gt;0,0,1)</f>
        <v>0</v>
      </c>
      <c r="D71" s="43" cm="1">
        <f t="array" ref="D71">IF(FinanceCodesBudget[[#This Row],[AvailableToAllSchools]]=TRUE,0,COUNTA(_xlfn.TEXTSPLIT(FinanceCodesBudget[[#This Row],[SchoolCodes]],",",,TRUE))-SUM(COUNTIF(SCHOOLS[SchoolCode],_xlfn.TEXTSPLIT(FinanceCodesBudget[[#This Row],[SchoolCodes]],",",,TRUE))))</f>
        <v>0</v>
      </c>
      <c r="E71" s="43">
        <f>IF(FinanceCodesBudget[[#This Row],[FinanceCodeTypeCode]]="BUDGET",0,COUNTIF(FinanceCodesBudget[FinanceCode],FinanceCodesBudget[[#This Row],[FinanceCode]])-1)</f>
        <v>0</v>
      </c>
      <c r="F71" s="43">
        <f>IF(FinanceCodesBudget[[#This Row],[FinanceCodeTypeCode]]="BUDGET",0,COUNTIF(FinanceCodesBudget[Title],FinanceCodesBudget[[#This Row],[Title]])-1)</f>
        <v>0</v>
      </c>
      <c r="G71" s="43">
        <f>COUNTIF(Lookup!$A$2:$A$7,FinanceCodesBudget[[#This Row],[FinanceCodeTypeCode]])-1</f>
        <v>0</v>
      </c>
      <c r="H71" s="43">
        <f>IF(TRIM(FinanceCodesBudget[[#This Row],[Title]])="",1,0)</f>
        <v>0</v>
      </c>
      <c r="I71" s="43">
        <f>IF(TRIM(FinanceCodesBudget[[#This Row],[FinanceCode]])="",1,0)</f>
        <v>0</v>
      </c>
      <c r="J71" s="43">
        <f>IF(LEN(FinanceCodesBudget[[#This Row],[FinanceCode]])&lt;100,0,1)</f>
        <v>0</v>
      </c>
      <c r="K71" s="43">
        <f>IF(LEN(FinanceCodesBudget[[#This Row],[Title]])&lt;100,0,1)</f>
        <v>0</v>
      </c>
      <c r="L71" s="43">
        <f>IF(ISBLANK(FinanceCodesBudget[[#This Row],[BalanceToScenario]]),1,0)</f>
        <v>0</v>
      </c>
      <c r="M71" s="43">
        <f>SUM(FinanceCodesBudget[[#This Row],[LedgerIssue]:[CustGrIssue]],FinanceCodesBudget[[#This Row],[DupCode]:[Balance to Scenario Blank]])</f>
        <v>0</v>
      </c>
      <c r="N71">
        <v>550400</v>
      </c>
      <c r="O71" t="s">
        <v>2594</v>
      </c>
      <c r="P71" t="s">
        <v>1389</v>
      </c>
      <c r="Q71" t="s">
        <v>849</v>
      </c>
      <c r="R71" t="b">
        <v>0</v>
      </c>
      <c r="S71" t="s">
        <v>2526</v>
      </c>
      <c r="T71" t="s">
        <v>1300</v>
      </c>
      <c r="U71" t="s">
        <v>1965</v>
      </c>
      <c r="V71" t="b">
        <v>1</v>
      </c>
      <c r="W71" t="b">
        <v>0</v>
      </c>
    </row>
    <row r="72" spans="1:23" x14ac:dyDescent="0.3">
      <c r="A72" s="147">
        <f>IF(COUNTIF(LEDGER[LedgerCode],FinanceCodesBudget[[#This Row],[LedgerCode]])&gt;0,0,1)</f>
        <v>0</v>
      </c>
      <c r="B72" s="43">
        <f>IF(COUNTIF(Table_System_Grouping_Codes[groupingCodeCode],FinanceCodesBudget[[#This Row],[GroupingCode]])&gt;0,0,1)</f>
        <v>0</v>
      </c>
      <c r="C72" s="43">
        <f>IF(COUNTIF(CUSTGROUP[CustomGroupingCode],FinanceCodesBudget[[#This Row],[CustomGrouping]])&gt;0,0,1)</f>
        <v>0</v>
      </c>
      <c r="D72" s="43" cm="1">
        <f t="array" ref="D72">IF(FinanceCodesBudget[[#This Row],[AvailableToAllSchools]]=TRUE,0,COUNTA(_xlfn.TEXTSPLIT(FinanceCodesBudget[[#This Row],[SchoolCodes]],",",,TRUE))-SUM(COUNTIF(SCHOOLS[SchoolCode],_xlfn.TEXTSPLIT(FinanceCodesBudget[[#This Row],[SchoolCodes]],",",,TRUE))))</f>
        <v>0</v>
      </c>
      <c r="E72" s="43">
        <f>IF(FinanceCodesBudget[[#This Row],[FinanceCodeTypeCode]]="BUDGET",0,COUNTIF(FinanceCodesBudget[FinanceCode],FinanceCodesBudget[[#This Row],[FinanceCode]])-1)</f>
        <v>0</v>
      </c>
      <c r="F72" s="43">
        <f>IF(FinanceCodesBudget[[#This Row],[FinanceCodeTypeCode]]="BUDGET",0,COUNTIF(FinanceCodesBudget[Title],FinanceCodesBudget[[#This Row],[Title]])-1)</f>
        <v>0</v>
      </c>
      <c r="G72" s="43">
        <f>COUNTIF(Lookup!$A$2:$A$7,FinanceCodesBudget[[#This Row],[FinanceCodeTypeCode]])-1</f>
        <v>0</v>
      </c>
      <c r="H72" s="43">
        <f>IF(TRIM(FinanceCodesBudget[[#This Row],[Title]])="",1,0)</f>
        <v>0</v>
      </c>
      <c r="I72" s="43">
        <f>IF(TRIM(FinanceCodesBudget[[#This Row],[FinanceCode]])="",1,0)</f>
        <v>0</v>
      </c>
      <c r="J72" s="43">
        <f>IF(LEN(FinanceCodesBudget[[#This Row],[FinanceCode]])&lt;100,0,1)</f>
        <v>0</v>
      </c>
      <c r="K72" s="43">
        <f>IF(LEN(FinanceCodesBudget[[#This Row],[Title]])&lt;100,0,1)</f>
        <v>0</v>
      </c>
      <c r="L72" s="43">
        <f>IF(ISBLANK(FinanceCodesBudget[[#This Row],[BalanceToScenario]]),1,0)</f>
        <v>0</v>
      </c>
      <c r="M72" s="43">
        <f>SUM(FinanceCodesBudget[[#This Row],[LedgerIssue]:[CustGrIssue]],FinanceCodesBudget[[#This Row],[DupCode]:[Balance to Scenario Blank]])</f>
        <v>0</v>
      </c>
      <c r="N72">
        <v>550450</v>
      </c>
      <c r="O72" t="s">
        <v>2595</v>
      </c>
      <c r="P72" t="s">
        <v>181</v>
      </c>
      <c r="Q72" t="s">
        <v>849</v>
      </c>
      <c r="R72" t="b">
        <v>0</v>
      </c>
      <c r="S72" t="s">
        <v>2526</v>
      </c>
      <c r="T72" t="s">
        <v>1300</v>
      </c>
      <c r="U72" t="s">
        <v>1965</v>
      </c>
      <c r="V72" t="b">
        <v>1</v>
      </c>
      <c r="W72" t="b">
        <v>0</v>
      </c>
    </row>
    <row r="73" spans="1:23" x14ac:dyDescent="0.3">
      <c r="A73" s="147">
        <f>IF(COUNTIF(LEDGER[LedgerCode],FinanceCodesBudget[[#This Row],[LedgerCode]])&gt;0,0,1)</f>
        <v>0</v>
      </c>
      <c r="B73" s="43">
        <f>IF(COUNTIF(Table_System_Grouping_Codes[groupingCodeCode],FinanceCodesBudget[[#This Row],[GroupingCode]])&gt;0,0,1)</f>
        <v>0</v>
      </c>
      <c r="C73" s="43">
        <f>IF(COUNTIF(CUSTGROUP[CustomGroupingCode],FinanceCodesBudget[[#This Row],[CustomGrouping]])&gt;0,0,1)</f>
        <v>0</v>
      </c>
      <c r="D73" s="43" cm="1">
        <f t="array" ref="D73">IF(FinanceCodesBudget[[#This Row],[AvailableToAllSchools]]=TRUE,0,COUNTA(_xlfn.TEXTSPLIT(FinanceCodesBudget[[#This Row],[SchoolCodes]],",",,TRUE))-SUM(COUNTIF(SCHOOLS[SchoolCode],_xlfn.TEXTSPLIT(FinanceCodesBudget[[#This Row],[SchoolCodes]],",",,TRUE))))</f>
        <v>0</v>
      </c>
      <c r="E73" s="43">
        <f>IF(FinanceCodesBudget[[#This Row],[FinanceCodeTypeCode]]="BUDGET",0,COUNTIF(FinanceCodesBudget[FinanceCode],FinanceCodesBudget[[#This Row],[FinanceCode]])-1)</f>
        <v>0</v>
      </c>
      <c r="F73" s="43">
        <f>IF(FinanceCodesBudget[[#This Row],[FinanceCodeTypeCode]]="BUDGET",0,COUNTIF(FinanceCodesBudget[Title],FinanceCodesBudget[[#This Row],[Title]])-1)</f>
        <v>0</v>
      </c>
      <c r="G73" s="43">
        <f>COUNTIF(Lookup!$A$2:$A$7,FinanceCodesBudget[[#This Row],[FinanceCodeTypeCode]])-1</f>
        <v>0</v>
      </c>
      <c r="H73" s="43">
        <f>IF(TRIM(FinanceCodesBudget[[#This Row],[Title]])="",1,0)</f>
        <v>0</v>
      </c>
      <c r="I73" s="43">
        <f>IF(TRIM(FinanceCodesBudget[[#This Row],[FinanceCode]])="",1,0)</f>
        <v>0</v>
      </c>
      <c r="J73" s="43">
        <f>IF(LEN(FinanceCodesBudget[[#This Row],[FinanceCode]])&lt;100,0,1)</f>
        <v>0</v>
      </c>
      <c r="K73" s="43">
        <f>IF(LEN(FinanceCodesBudget[[#This Row],[Title]])&lt;100,0,1)</f>
        <v>0</v>
      </c>
      <c r="L73" s="43">
        <f>IF(ISBLANK(FinanceCodesBudget[[#This Row],[BalanceToScenario]]),1,0)</f>
        <v>0</v>
      </c>
      <c r="M73" s="43">
        <f>SUM(FinanceCodesBudget[[#This Row],[LedgerIssue]:[CustGrIssue]],FinanceCodesBudget[[#This Row],[DupCode]:[Balance to Scenario Blank]])</f>
        <v>0</v>
      </c>
      <c r="N73">
        <v>550500</v>
      </c>
      <c r="O73" t="s">
        <v>2596</v>
      </c>
      <c r="P73" t="s">
        <v>183</v>
      </c>
      <c r="Q73" t="s">
        <v>849</v>
      </c>
      <c r="R73" t="b">
        <v>0</v>
      </c>
      <c r="S73" t="s">
        <v>2526</v>
      </c>
      <c r="T73" t="s">
        <v>1300</v>
      </c>
      <c r="U73" t="s">
        <v>1965</v>
      </c>
      <c r="V73" t="b">
        <v>1</v>
      </c>
      <c r="W73" t="b">
        <v>0</v>
      </c>
    </row>
    <row r="74" spans="1:23" x14ac:dyDescent="0.3">
      <c r="A74" s="147">
        <f>IF(COUNTIF(LEDGER[LedgerCode],FinanceCodesBudget[[#This Row],[LedgerCode]])&gt;0,0,1)</f>
        <v>0</v>
      </c>
      <c r="B74" s="43">
        <f>IF(COUNTIF(Table_System_Grouping_Codes[groupingCodeCode],FinanceCodesBudget[[#This Row],[GroupingCode]])&gt;0,0,1)</f>
        <v>0</v>
      </c>
      <c r="C74" s="43">
        <f>IF(COUNTIF(CUSTGROUP[CustomGroupingCode],FinanceCodesBudget[[#This Row],[CustomGrouping]])&gt;0,0,1)</f>
        <v>0</v>
      </c>
      <c r="D74" s="43" cm="1">
        <f t="array" ref="D74">IF(FinanceCodesBudget[[#This Row],[AvailableToAllSchools]]=TRUE,0,COUNTA(_xlfn.TEXTSPLIT(FinanceCodesBudget[[#This Row],[SchoolCodes]],",",,TRUE))-SUM(COUNTIF(SCHOOLS[SchoolCode],_xlfn.TEXTSPLIT(FinanceCodesBudget[[#This Row],[SchoolCodes]],",",,TRUE))))</f>
        <v>0</v>
      </c>
      <c r="E74" s="43">
        <f>IF(FinanceCodesBudget[[#This Row],[FinanceCodeTypeCode]]="BUDGET",0,COUNTIF(FinanceCodesBudget[FinanceCode],FinanceCodesBudget[[#This Row],[FinanceCode]])-1)</f>
        <v>0</v>
      </c>
      <c r="F74" s="43">
        <f>IF(FinanceCodesBudget[[#This Row],[FinanceCodeTypeCode]]="BUDGET",0,COUNTIF(FinanceCodesBudget[Title],FinanceCodesBudget[[#This Row],[Title]])-1)</f>
        <v>0</v>
      </c>
      <c r="G74" s="43">
        <f>COUNTIF(Lookup!$A$2:$A$7,FinanceCodesBudget[[#This Row],[FinanceCodeTypeCode]])-1</f>
        <v>0</v>
      </c>
      <c r="H74" s="43">
        <f>IF(TRIM(FinanceCodesBudget[[#This Row],[Title]])="",1,0)</f>
        <v>0</v>
      </c>
      <c r="I74" s="43">
        <f>IF(TRIM(FinanceCodesBudget[[#This Row],[FinanceCode]])="",1,0)</f>
        <v>0</v>
      </c>
      <c r="J74" s="43">
        <f>IF(LEN(FinanceCodesBudget[[#This Row],[FinanceCode]])&lt;100,0,1)</f>
        <v>0</v>
      </c>
      <c r="K74" s="43">
        <f>IF(LEN(FinanceCodesBudget[[#This Row],[Title]])&lt;100,0,1)</f>
        <v>0</v>
      </c>
      <c r="L74" s="43">
        <f>IF(ISBLANK(FinanceCodesBudget[[#This Row],[BalanceToScenario]]),1,0)</f>
        <v>0</v>
      </c>
      <c r="M74" s="43">
        <f>SUM(FinanceCodesBudget[[#This Row],[LedgerIssue]:[CustGrIssue]],FinanceCodesBudget[[#This Row],[DupCode]:[Balance to Scenario Blank]])</f>
        <v>0</v>
      </c>
      <c r="N74">
        <v>550600</v>
      </c>
      <c r="O74" t="s">
        <v>2597</v>
      </c>
      <c r="P74" t="s">
        <v>184</v>
      </c>
      <c r="Q74" t="s">
        <v>849</v>
      </c>
      <c r="R74" t="b">
        <v>0</v>
      </c>
      <c r="S74" t="s">
        <v>2526</v>
      </c>
      <c r="T74" t="s">
        <v>1300</v>
      </c>
      <c r="U74" t="s">
        <v>1532</v>
      </c>
      <c r="V74" t="b">
        <v>1</v>
      </c>
      <c r="W74" t="b">
        <v>0</v>
      </c>
    </row>
    <row r="75" spans="1:23" x14ac:dyDescent="0.3">
      <c r="A75" s="147">
        <f>IF(COUNTIF(LEDGER[LedgerCode],FinanceCodesBudget[[#This Row],[LedgerCode]])&gt;0,0,1)</f>
        <v>0</v>
      </c>
      <c r="B75" s="43">
        <f>IF(COUNTIF(Table_System_Grouping_Codes[groupingCodeCode],FinanceCodesBudget[[#This Row],[GroupingCode]])&gt;0,0,1)</f>
        <v>0</v>
      </c>
      <c r="C75" s="43">
        <f>IF(COUNTIF(CUSTGROUP[CustomGroupingCode],FinanceCodesBudget[[#This Row],[CustomGrouping]])&gt;0,0,1)</f>
        <v>0</v>
      </c>
      <c r="D75" s="43" cm="1">
        <f t="array" ref="D75">IF(FinanceCodesBudget[[#This Row],[AvailableToAllSchools]]=TRUE,0,COUNTA(_xlfn.TEXTSPLIT(FinanceCodesBudget[[#This Row],[SchoolCodes]],",",,TRUE))-SUM(COUNTIF(SCHOOLS[SchoolCode],_xlfn.TEXTSPLIT(FinanceCodesBudget[[#This Row],[SchoolCodes]],",",,TRUE))))</f>
        <v>0</v>
      </c>
      <c r="E75" s="43">
        <f>IF(FinanceCodesBudget[[#This Row],[FinanceCodeTypeCode]]="BUDGET",0,COUNTIF(FinanceCodesBudget[FinanceCode],FinanceCodesBudget[[#This Row],[FinanceCode]])-1)</f>
        <v>0</v>
      </c>
      <c r="F75" s="43">
        <f>IF(FinanceCodesBudget[[#This Row],[FinanceCodeTypeCode]]="BUDGET",0,COUNTIF(FinanceCodesBudget[Title],FinanceCodesBudget[[#This Row],[Title]])-1)</f>
        <v>0</v>
      </c>
      <c r="G75" s="43">
        <f>COUNTIF(Lookup!$A$2:$A$7,FinanceCodesBudget[[#This Row],[FinanceCodeTypeCode]])-1</f>
        <v>0</v>
      </c>
      <c r="H75" s="43">
        <f>IF(TRIM(FinanceCodesBudget[[#This Row],[Title]])="",1,0)</f>
        <v>0</v>
      </c>
      <c r="I75" s="43">
        <f>IF(TRIM(FinanceCodesBudget[[#This Row],[FinanceCode]])="",1,0)</f>
        <v>0</v>
      </c>
      <c r="J75" s="43">
        <f>IF(LEN(FinanceCodesBudget[[#This Row],[FinanceCode]])&lt;100,0,1)</f>
        <v>0</v>
      </c>
      <c r="K75" s="43">
        <f>IF(LEN(FinanceCodesBudget[[#This Row],[Title]])&lt;100,0,1)</f>
        <v>0</v>
      </c>
      <c r="L75" s="43">
        <f>IF(ISBLANK(FinanceCodesBudget[[#This Row],[BalanceToScenario]]),1,0)</f>
        <v>0</v>
      </c>
      <c r="M75" s="43">
        <f>SUM(FinanceCodesBudget[[#This Row],[LedgerIssue]:[CustGrIssue]],FinanceCodesBudget[[#This Row],[DupCode]:[Balance to Scenario Blank]])</f>
        <v>0</v>
      </c>
      <c r="N75">
        <v>555100</v>
      </c>
      <c r="O75" t="s">
        <v>2598</v>
      </c>
      <c r="P75" t="s">
        <v>186</v>
      </c>
      <c r="Q75" t="s">
        <v>849</v>
      </c>
      <c r="R75" t="b">
        <v>0</v>
      </c>
      <c r="S75" t="s">
        <v>2526</v>
      </c>
      <c r="T75" t="s">
        <v>1300</v>
      </c>
      <c r="U75" t="s">
        <v>1965</v>
      </c>
      <c r="V75" t="b">
        <v>1</v>
      </c>
      <c r="W75" t="b">
        <v>0</v>
      </c>
    </row>
    <row r="76" spans="1:23" x14ac:dyDescent="0.3">
      <c r="A76" s="147">
        <f>IF(COUNTIF(LEDGER[LedgerCode],FinanceCodesBudget[[#This Row],[LedgerCode]])&gt;0,0,1)</f>
        <v>0</v>
      </c>
      <c r="B76" s="43">
        <f>IF(COUNTIF(Table_System_Grouping_Codes[groupingCodeCode],FinanceCodesBudget[[#This Row],[GroupingCode]])&gt;0,0,1)</f>
        <v>0</v>
      </c>
      <c r="C76" s="43">
        <f>IF(COUNTIF(CUSTGROUP[CustomGroupingCode],FinanceCodesBudget[[#This Row],[CustomGrouping]])&gt;0,0,1)</f>
        <v>0</v>
      </c>
      <c r="D76" s="43" cm="1">
        <f t="array" ref="D76">IF(FinanceCodesBudget[[#This Row],[AvailableToAllSchools]]=TRUE,0,COUNTA(_xlfn.TEXTSPLIT(FinanceCodesBudget[[#This Row],[SchoolCodes]],",",,TRUE))-SUM(COUNTIF(SCHOOLS[SchoolCode],_xlfn.TEXTSPLIT(FinanceCodesBudget[[#This Row],[SchoolCodes]],",",,TRUE))))</f>
        <v>0</v>
      </c>
      <c r="E76" s="43">
        <f>IF(FinanceCodesBudget[[#This Row],[FinanceCodeTypeCode]]="BUDGET",0,COUNTIF(FinanceCodesBudget[FinanceCode],FinanceCodesBudget[[#This Row],[FinanceCode]])-1)</f>
        <v>0</v>
      </c>
      <c r="F76" s="43">
        <f>IF(FinanceCodesBudget[[#This Row],[FinanceCodeTypeCode]]="BUDGET",0,COUNTIF(FinanceCodesBudget[Title],FinanceCodesBudget[[#This Row],[Title]])-1)</f>
        <v>0</v>
      </c>
      <c r="G76" s="43">
        <f>COUNTIF(Lookup!$A$2:$A$7,FinanceCodesBudget[[#This Row],[FinanceCodeTypeCode]])-1</f>
        <v>0</v>
      </c>
      <c r="H76" s="43">
        <f>IF(TRIM(FinanceCodesBudget[[#This Row],[Title]])="",1,0)</f>
        <v>0</v>
      </c>
      <c r="I76" s="43">
        <f>IF(TRIM(FinanceCodesBudget[[#This Row],[FinanceCode]])="",1,0)</f>
        <v>0</v>
      </c>
      <c r="J76" s="43">
        <f>IF(LEN(FinanceCodesBudget[[#This Row],[FinanceCode]])&lt;100,0,1)</f>
        <v>0</v>
      </c>
      <c r="K76" s="43">
        <f>IF(LEN(FinanceCodesBudget[[#This Row],[Title]])&lt;100,0,1)</f>
        <v>0</v>
      </c>
      <c r="L76" s="43">
        <f>IF(ISBLANK(FinanceCodesBudget[[#This Row],[BalanceToScenario]]),1,0)</f>
        <v>0</v>
      </c>
      <c r="M76" s="43">
        <f>SUM(FinanceCodesBudget[[#This Row],[LedgerIssue]:[CustGrIssue]],FinanceCodesBudget[[#This Row],[DupCode]:[Balance to Scenario Blank]])</f>
        <v>0</v>
      </c>
      <c r="N76">
        <v>555200</v>
      </c>
      <c r="O76" t="s">
        <v>2599</v>
      </c>
      <c r="P76" t="s">
        <v>188</v>
      </c>
      <c r="Q76" t="s">
        <v>849</v>
      </c>
      <c r="R76" t="b">
        <v>0</v>
      </c>
      <c r="S76" t="s">
        <v>2526</v>
      </c>
      <c r="T76" t="s">
        <v>1300</v>
      </c>
      <c r="U76" t="s">
        <v>1965</v>
      </c>
      <c r="V76" t="b">
        <v>1</v>
      </c>
      <c r="W76" t="b">
        <v>0</v>
      </c>
    </row>
    <row r="77" spans="1:23" x14ac:dyDescent="0.3">
      <c r="A77" s="147">
        <f>IF(COUNTIF(LEDGER[LedgerCode],FinanceCodesBudget[[#This Row],[LedgerCode]])&gt;0,0,1)</f>
        <v>0</v>
      </c>
      <c r="B77" s="43">
        <f>IF(COUNTIF(Table_System_Grouping_Codes[groupingCodeCode],FinanceCodesBudget[[#This Row],[GroupingCode]])&gt;0,0,1)</f>
        <v>0</v>
      </c>
      <c r="C77" s="43">
        <f>IF(COUNTIF(CUSTGROUP[CustomGroupingCode],FinanceCodesBudget[[#This Row],[CustomGrouping]])&gt;0,0,1)</f>
        <v>0</v>
      </c>
      <c r="D77" s="43" cm="1">
        <f t="array" ref="D77">IF(FinanceCodesBudget[[#This Row],[AvailableToAllSchools]]=TRUE,0,COUNTA(_xlfn.TEXTSPLIT(FinanceCodesBudget[[#This Row],[SchoolCodes]],",",,TRUE))-SUM(COUNTIF(SCHOOLS[SchoolCode],_xlfn.TEXTSPLIT(FinanceCodesBudget[[#This Row],[SchoolCodes]],",",,TRUE))))</f>
        <v>0</v>
      </c>
      <c r="E77" s="43">
        <f>IF(FinanceCodesBudget[[#This Row],[FinanceCodeTypeCode]]="BUDGET",0,COUNTIF(FinanceCodesBudget[FinanceCode],FinanceCodesBudget[[#This Row],[FinanceCode]])-1)</f>
        <v>0</v>
      </c>
      <c r="F77" s="43">
        <f>IF(FinanceCodesBudget[[#This Row],[FinanceCodeTypeCode]]="BUDGET",0,COUNTIF(FinanceCodesBudget[Title],FinanceCodesBudget[[#This Row],[Title]])-1)</f>
        <v>0</v>
      </c>
      <c r="G77" s="43">
        <f>COUNTIF(Lookup!$A$2:$A$7,FinanceCodesBudget[[#This Row],[FinanceCodeTypeCode]])-1</f>
        <v>0</v>
      </c>
      <c r="H77" s="43">
        <f>IF(TRIM(FinanceCodesBudget[[#This Row],[Title]])="",1,0)</f>
        <v>0</v>
      </c>
      <c r="I77" s="43">
        <f>IF(TRIM(FinanceCodesBudget[[#This Row],[FinanceCode]])="",1,0)</f>
        <v>0</v>
      </c>
      <c r="J77" s="43">
        <f>IF(LEN(FinanceCodesBudget[[#This Row],[FinanceCode]])&lt;100,0,1)</f>
        <v>0</v>
      </c>
      <c r="K77" s="43">
        <f>IF(LEN(FinanceCodesBudget[[#This Row],[Title]])&lt;100,0,1)</f>
        <v>0</v>
      </c>
      <c r="L77" s="43">
        <f>IF(ISBLANK(FinanceCodesBudget[[#This Row],[BalanceToScenario]]),1,0)</f>
        <v>0</v>
      </c>
      <c r="M77" s="43">
        <f>SUM(FinanceCodesBudget[[#This Row],[LedgerIssue]:[CustGrIssue]],FinanceCodesBudget[[#This Row],[DupCode]:[Balance to Scenario Blank]])</f>
        <v>0</v>
      </c>
      <c r="N77">
        <v>555250</v>
      </c>
      <c r="O77" t="s">
        <v>2600</v>
      </c>
      <c r="P77" t="s">
        <v>189</v>
      </c>
      <c r="Q77" t="s">
        <v>849</v>
      </c>
      <c r="R77" t="b">
        <v>0</v>
      </c>
      <c r="S77" t="s">
        <v>2526</v>
      </c>
      <c r="T77" t="s">
        <v>1300</v>
      </c>
      <c r="U77" t="s">
        <v>1965</v>
      </c>
      <c r="V77" t="b">
        <v>1</v>
      </c>
      <c r="W77" t="b">
        <v>0</v>
      </c>
    </row>
    <row r="78" spans="1:23" x14ac:dyDescent="0.3">
      <c r="A78" s="147">
        <f>IF(COUNTIF(LEDGER[LedgerCode],FinanceCodesBudget[[#This Row],[LedgerCode]])&gt;0,0,1)</f>
        <v>0</v>
      </c>
      <c r="B78" s="43">
        <f>IF(COUNTIF(Table_System_Grouping_Codes[groupingCodeCode],FinanceCodesBudget[[#This Row],[GroupingCode]])&gt;0,0,1)</f>
        <v>0</v>
      </c>
      <c r="C78" s="43">
        <f>IF(COUNTIF(CUSTGROUP[CustomGroupingCode],FinanceCodesBudget[[#This Row],[CustomGrouping]])&gt;0,0,1)</f>
        <v>0</v>
      </c>
      <c r="D78" s="43" cm="1">
        <f t="array" ref="D78">IF(FinanceCodesBudget[[#This Row],[AvailableToAllSchools]]=TRUE,0,COUNTA(_xlfn.TEXTSPLIT(FinanceCodesBudget[[#This Row],[SchoolCodes]],",",,TRUE))-SUM(COUNTIF(SCHOOLS[SchoolCode],_xlfn.TEXTSPLIT(FinanceCodesBudget[[#This Row],[SchoolCodes]],",",,TRUE))))</f>
        <v>0</v>
      </c>
      <c r="E78" s="43">
        <f>IF(FinanceCodesBudget[[#This Row],[FinanceCodeTypeCode]]="BUDGET",0,COUNTIF(FinanceCodesBudget[FinanceCode],FinanceCodesBudget[[#This Row],[FinanceCode]])-1)</f>
        <v>0</v>
      </c>
      <c r="F78" s="43">
        <f>IF(FinanceCodesBudget[[#This Row],[FinanceCodeTypeCode]]="BUDGET",0,COUNTIF(FinanceCodesBudget[Title],FinanceCodesBudget[[#This Row],[Title]])-1)</f>
        <v>0</v>
      </c>
      <c r="G78" s="43">
        <f>COUNTIF(Lookup!$A$2:$A$7,FinanceCodesBudget[[#This Row],[FinanceCodeTypeCode]])-1</f>
        <v>0</v>
      </c>
      <c r="H78" s="43">
        <f>IF(TRIM(FinanceCodesBudget[[#This Row],[Title]])="",1,0)</f>
        <v>0</v>
      </c>
      <c r="I78" s="43">
        <f>IF(TRIM(FinanceCodesBudget[[#This Row],[FinanceCode]])="",1,0)</f>
        <v>0</v>
      </c>
      <c r="J78" s="43">
        <f>IF(LEN(FinanceCodesBudget[[#This Row],[FinanceCode]])&lt;100,0,1)</f>
        <v>0</v>
      </c>
      <c r="K78" s="43">
        <f>IF(LEN(FinanceCodesBudget[[#This Row],[Title]])&lt;100,0,1)</f>
        <v>0</v>
      </c>
      <c r="L78" s="43">
        <f>IF(ISBLANK(FinanceCodesBudget[[#This Row],[BalanceToScenario]]),1,0)</f>
        <v>0</v>
      </c>
      <c r="M78" s="43">
        <f>SUM(FinanceCodesBudget[[#This Row],[LedgerIssue]:[CustGrIssue]],FinanceCodesBudget[[#This Row],[DupCode]:[Balance to Scenario Blank]])</f>
        <v>0</v>
      </c>
      <c r="N78">
        <v>555300</v>
      </c>
      <c r="O78" t="s">
        <v>2601</v>
      </c>
      <c r="P78" t="s">
        <v>191</v>
      </c>
      <c r="Q78" t="s">
        <v>849</v>
      </c>
      <c r="R78" t="b">
        <v>0</v>
      </c>
      <c r="S78" t="s">
        <v>2526</v>
      </c>
      <c r="T78" t="s">
        <v>1300</v>
      </c>
      <c r="U78" t="s">
        <v>1965</v>
      </c>
      <c r="V78" t="b">
        <v>1</v>
      </c>
      <c r="W78" t="b">
        <v>0</v>
      </c>
    </row>
    <row r="79" spans="1:23" x14ac:dyDescent="0.3">
      <c r="A79" s="147">
        <f>IF(COUNTIF(LEDGER[LedgerCode],FinanceCodesBudget[[#This Row],[LedgerCode]])&gt;0,0,1)</f>
        <v>0</v>
      </c>
      <c r="B79" s="43">
        <f>IF(COUNTIF(Table_System_Grouping_Codes[groupingCodeCode],FinanceCodesBudget[[#This Row],[GroupingCode]])&gt;0,0,1)</f>
        <v>0</v>
      </c>
      <c r="C79" s="43">
        <f>IF(COUNTIF(CUSTGROUP[CustomGroupingCode],FinanceCodesBudget[[#This Row],[CustomGrouping]])&gt;0,0,1)</f>
        <v>0</v>
      </c>
      <c r="D79" s="43" cm="1">
        <f t="array" ref="D79">IF(FinanceCodesBudget[[#This Row],[AvailableToAllSchools]]=TRUE,0,COUNTA(_xlfn.TEXTSPLIT(FinanceCodesBudget[[#This Row],[SchoolCodes]],",",,TRUE))-SUM(COUNTIF(SCHOOLS[SchoolCode],_xlfn.TEXTSPLIT(FinanceCodesBudget[[#This Row],[SchoolCodes]],",",,TRUE))))</f>
        <v>0</v>
      </c>
      <c r="E79" s="43">
        <f>IF(FinanceCodesBudget[[#This Row],[FinanceCodeTypeCode]]="BUDGET",0,COUNTIF(FinanceCodesBudget[FinanceCode],FinanceCodesBudget[[#This Row],[FinanceCode]])-1)</f>
        <v>0</v>
      </c>
      <c r="F79" s="43">
        <f>IF(FinanceCodesBudget[[#This Row],[FinanceCodeTypeCode]]="BUDGET",0,COUNTIF(FinanceCodesBudget[Title],FinanceCodesBudget[[#This Row],[Title]])-1)</f>
        <v>0</v>
      </c>
      <c r="G79" s="43">
        <f>COUNTIF(Lookup!$A$2:$A$7,FinanceCodesBudget[[#This Row],[FinanceCodeTypeCode]])-1</f>
        <v>0</v>
      </c>
      <c r="H79" s="43">
        <f>IF(TRIM(FinanceCodesBudget[[#This Row],[Title]])="",1,0)</f>
        <v>0</v>
      </c>
      <c r="I79" s="43">
        <f>IF(TRIM(FinanceCodesBudget[[#This Row],[FinanceCode]])="",1,0)</f>
        <v>0</v>
      </c>
      <c r="J79" s="43">
        <f>IF(LEN(FinanceCodesBudget[[#This Row],[FinanceCode]])&lt;100,0,1)</f>
        <v>0</v>
      </c>
      <c r="K79" s="43">
        <f>IF(LEN(FinanceCodesBudget[[#This Row],[Title]])&lt;100,0,1)</f>
        <v>0</v>
      </c>
      <c r="L79" s="43">
        <f>IF(ISBLANK(FinanceCodesBudget[[#This Row],[BalanceToScenario]]),1,0)</f>
        <v>0</v>
      </c>
      <c r="M79" s="43">
        <f>SUM(FinanceCodesBudget[[#This Row],[LedgerIssue]:[CustGrIssue]],FinanceCodesBudget[[#This Row],[DupCode]:[Balance to Scenario Blank]])</f>
        <v>0</v>
      </c>
      <c r="N79">
        <v>555350</v>
      </c>
      <c r="O79" t="s">
        <v>2602</v>
      </c>
      <c r="P79" t="s">
        <v>193</v>
      </c>
      <c r="Q79" t="s">
        <v>849</v>
      </c>
      <c r="R79" t="b">
        <v>0</v>
      </c>
      <c r="S79" t="s">
        <v>2526</v>
      </c>
      <c r="T79" t="s">
        <v>1300</v>
      </c>
      <c r="U79" t="s">
        <v>1965</v>
      </c>
      <c r="V79" t="b">
        <v>1</v>
      </c>
      <c r="W79" t="b">
        <v>0</v>
      </c>
    </row>
    <row r="80" spans="1:23" x14ac:dyDescent="0.3">
      <c r="A80" s="147">
        <f>IF(COUNTIF(LEDGER[LedgerCode],FinanceCodesBudget[[#This Row],[LedgerCode]])&gt;0,0,1)</f>
        <v>0</v>
      </c>
      <c r="B80" s="43">
        <f>IF(COUNTIF(Table_System_Grouping_Codes[groupingCodeCode],FinanceCodesBudget[[#This Row],[GroupingCode]])&gt;0,0,1)</f>
        <v>0</v>
      </c>
      <c r="C80" s="43">
        <f>IF(COUNTIF(CUSTGROUP[CustomGroupingCode],FinanceCodesBudget[[#This Row],[CustomGrouping]])&gt;0,0,1)</f>
        <v>0</v>
      </c>
      <c r="D80" s="43" cm="1">
        <f t="array" ref="D80">IF(FinanceCodesBudget[[#This Row],[AvailableToAllSchools]]=TRUE,0,COUNTA(_xlfn.TEXTSPLIT(FinanceCodesBudget[[#This Row],[SchoolCodes]],",",,TRUE))-SUM(COUNTIF(SCHOOLS[SchoolCode],_xlfn.TEXTSPLIT(FinanceCodesBudget[[#This Row],[SchoolCodes]],",",,TRUE))))</f>
        <v>0</v>
      </c>
      <c r="E80" s="43">
        <f>IF(FinanceCodesBudget[[#This Row],[FinanceCodeTypeCode]]="BUDGET",0,COUNTIF(FinanceCodesBudget[FinanceCode],FinanceCodesBudget[[#This Row],[FinanceCode]])-1)</f>
        <v>0</v>
      </c>
      <c r="F80" s="43">
        <f>IF(FinanceCodesBudget[[#This Row],[FinanceCodeTypeCode]]="BUDGET",0,COUNTIF(FinanceCodesBudget[Title],FinanceCodesBudget[[#This Row],[Title]])-1)</f>
        <v>0</v>
      </c>
      <c r="G80" s="43">
        <f>COUNTIF(Lookup!$A$2:$A$7,FinanceCodesBudget[[#This Row],[FinanceCodeTypeCode]])-1</f>
        <v>0</v>
      </c>
      <c r="H80" s="43">
        <f>IF(TRIM(FinanceCodesBudget[[#This Row],[Title]])="",1,0)</f>
        <v>0</v>
      </c>
      <c r="I80" s="43">
        <f>IF(TRIM(FinanceCodesBudget[[#This Row],[FinanceCode]])="",1,0)</f>
        <v>0</v>
      </c>
      <c r="J80" s="43">
        <f>IF(LEN(FinanceCodesBudget[[#This Row],[FinanceCode]])&lt;100,0,1)</f>
        <v>0</v>
      </c>
      <c r="K80" s="43">
        <f>IF(LEN(FinanceCodesBudget[[#This Row],[Title]])&lt;100,0,1)</f>
        <v>0</v>
      </c>
      <c r="L80" s="43">
        <f>IF(ISBLANK(FinanceCodesBudget[[#This Row],[BalanceToScenario]]),1,0)</f>
        <v>0</v>
      </c>
      <c r="M80" s="43">
        <f>SUM(FinanceCodesBudget[[#This Row],[LedgerIssue]:[CustGrIssue]],FinanceCodesBudget[[#This Row],[DupCode]:[Balance to Scenario Blank]])</f>
        <v>0</v>
      </c>
      <c r="N80">
        <v>555400</v>
      </c>
      <c r="O80" t="s">
        <v>2603</v>
      </c>
      <c r="P80" t="s">
        <v>195</v>
      </c>
      <c r="Q80" t="s">
        <v>849</v>
      </c>
      <c r="R80" t="b">
        <v>0</v>
      </c>
      <c r="S80" t="s">
        <v>2526</v>
      </c>
      <c r="T80" t="s">
        <v>1300</v>
      </c>
      <c r="U80" t="s">
        <v>1965</v>
      </c>
      <c r="V80" t="b">
        <v>1</v>
      </c>
      <c r="W80" t="b">
        <v>0</v>
      </c>
    </row>
    <row r="81" spans="1:23" x14ac:dyDescent="0.3">
      <c r="A81" s="147">
        <f>IF(COUNTIF(LEDGER[LedgerCode],FinanceCodesBudget[[#This Row],[LedgerCode]])&gt;0,0,1)</f>
        <v>0</v>
      </c>
      <c r="B81" s="43">
        <f>IF(COUNTIF(Table_System_Grouping_Codes[groupingCodeCode],FinanceCodesBudget[[#This Row],[GroupingCode]])&gt;0,0,1)</f>
        <v>0</v>
      </c>
      <c r="C81" s="43">
        <f>IF(COUNTIF(CUSTGROUP[CustomGroupingCode],FinanceCodesBudget[[#This Row],[CustomGrouping]])&gt;0,0,1)</f>
        <v>0</v>
      </c>
      <c r="D81" s="43" cm="1">
        <f t="array" ref="D81">IF(FinanceCodesBudget[[#This Row],[AvailableToAllSchools]]=TRUE,0,COUNTA(_xlfn.TEXTSPLIT(FinanceCodesBudget[[#This Row],[SchoolCodes]],",",,TRUE))-SUM(COUNTIF(SCHOOLS[SchoolCode],_xlfn.TEXTSPLIT(FinanceCodesBudget[[#This Row],[SchoolCodes]],",",,TRUE))))</f>
        <v>0</v>
      </c>
      <c r="E81" s="43">
        <f>IF(FinanceCodesBudget[[#This Row],[FinanceCodeTypeCode]]="BUDGET",0,COUNTIF(FinanceCodesBudget[FinanceCode],FinanceCodesBudget[[#This Row],[FinanceCode]])-1)</f>
        <v>0</v>
      </c>
      <c r="F81" s="43">
        <f>IF(FinanceCodesBudget[[#This Row],[FinanceCodeTypeCode]]="BUDGET",0,COUNTIF(FinanceCodesBudget[Title],FinanceCodesBudget[[#This Row],[Title]])-1)</f>
        <v>0</v>
      </c>
      <c r="G81" s="43">
        <f>COUNTIF(Lookup!$A$2:$A$7,FinanceCodesBudget[[#This Row],[FinanceCodeTypeCode]])-1</f>
        <v>0</v>
      </c>
      <c r="H81" s="43">
        <f>IF(TRIM(FinanceCodesBudget[[#This Row],[Title]])="",1,0)</f>
        <v>0</v>
      </c>
      <c r="I81" s="43">
        <f>IF(TRIM(FinanceCodesBudget[[#This Row],[FinanceCode]])="",1,0)</f>
        <v>0</v>
      </c>
      <c r="J81" s="43">
        <f>IF(LEN(FinanceCodesBudget[[#This Row],[FinanceCode]])&lt;100,0,1)</f>
        <v>0</v>
      </c>
      <c r="K81" s="43">
        <f>IF(LEN(FinanceCodesBudget[[#This Row],[Title]])&lt;100,0,1)</f>
        <v>0</v>
      </c>
      <c r="L81" s="43">
        <f>IF(ISBLANK(FinanceCodesBudget[[#This Row],[BalanceToScenario]]),1,0)</f>
        <v>0</v>
      </c>
      <c r="M81" s="43">
        <f>SUM(FinanceCodesBudget[[#This Row],[LedgerIssue]:[CustGrIssue]],FinanceCodesBudget[[#This Row],[DupCode]:[Balance to Scenario Blank]])</f>
        <v>0</v>
      </c>
      <c r="N81">
        <v>560100</v>
      </c>
      <c r="O81" t="s">
        <v>2604</v>
      </c>
      <c r="P81" t="s">
        <v>197</v>
      </c>
      <c r="Q81" t="s">
        <v>849</v>
      </c>
      <c r="R81" t="b">
        <v>0</v>
      </c>
      <c r="S81" t="s">
        <v>2526</v>
      </c>
      <c r="T81" t="s">
        <v>1300</v>
      </c>
      <c r="U81" t="s">
        <v>1965</v>
      </c>
      <c r="V81" t="b">
        <v>1</v>
      </c>
      <c r="W81" t="b">
        <v>0</v>
      </c>
    </row>
    <row r="82" spans="1:23" x14ac:dyDescent="0.3">
      <c r="A82" s="147">
        <f>IF(COUNTIF(LEDGER[LedgerCode],FinanceCodesBudget[[#This Row],[LedgerCode]])&gt;0,0,1)</f>
        <v>0</v>
      </c>
      <c r="B82" s="43">
        <f>IF(COUNTIF(Table_System_Grouping_Codes[groupingCodeCode],FinanceCodesBudget[[#This Row],[GroupingCode]])&gt;0,0,1)</f>
        <v>0</v>
      </c>
      <c r="C82" s="43">
        <f>IF(COUNTIF(CUSTGROUP[CustomGroupingCode],FinanceCodesBudget[[#This Row],[CustomGrouping]])&gt;0,0,1)</f>
        <v>0</v>
      </c>
      <c r="D82" s="43" cm="1">
        <f t="array" ref="D82">IF(FinanceCodesBudget[[#This Row],[AvailableToAllSchools]]=TRUE,0,COUNTA(_xlfn.TEXTSPLIT(FinanceCodesBudget[[#This Row],[SchoolCodes]],",",,TRUE))-SUM(COUNTIF(SCHOOLS[SchoolCode],_xlfn.TEXTSPLIT(FinanceCodesBudget[[#This Row],[SchoolCodes]],",",,TRUE))))</f>
        <v>0</v>
      </c>
      <c r="E82" s="43">
        <f>IF(FinanceCodesBudget[[#This Row],[FinanceCodeTypeCode]]="BUDGET",0,COUNTIF(FinanceCodesBudget[FinanceCode],FinanceCodesBudget[[#This Row],[FinanceCode]])-1)</f>
        <v>0</v>
      </c>
      <c r="F82" s="43">
        <f>IF(FinanceCodesBudget[[#This Row],[FinanceCodeTypeCode]]="BUDGET",0,COUNTIF(FinanceCodesBudget[Title],FinanceCodesBudget[[#This Row],[Title]])-1)</f>
        <v>0</v>
      </c>
      <c r="G82" s="43">
        <f>COUNTIF(Lookup!$A$2:$A$7,FinanceCodesBudget[[#This Row],[FinanceCodeTypeCode]])-1</f>
        <v>0</v>
      </c>
      <c r="H82" s="43">
        <f>IF(TRIM(FinanceCodesBudget[[#This Row],[Title]])="",1,0)</f>
        <v>0</v>
      </c>
      <c r="I82" s="43">
        <f>IF(TRIM(FinanceCodesBudget[[#This Row],[FinanceCode]])="",1,0)</f>
        <v>0</v>
      </c>
      <c r="J82" s="43">
        <f>IF(LEN(FinanceCodesBudget[[#This Row],[FinanceCode]])&lt;100,0,1)</f>
        <v>0</v>
      </c>
      <c r="K82" s="43">
        <f>IF(LEN(FinanceCodesBudget[[#This Row],[Title]])&lt;100,0,1)</f>
        <v>0</v>
      </c>
      <c r="L82" s="43">
        <f>IF(ISBLANK(FinanceCodesBudget[[#This Row],[BalanceToScenario]]),1,0)</f>
        <v>0</v>
      </c>
      <c r="M82" s="43">
        <f>SUM(FinanceCodesBudget[[#This Row],[LedgerIssue]:[CustGrIssue]],FinanceCodesBudget[[#This Row],[DupCode]:[Balance to Scenario Blank]])</f>
        <v>0</v>
      </c>
      <c r="N82">
        <v>560200</v>
      </c>
      <c r="O82" t="s">
        <v>2605</v>
      </c>
      <c r="P82" t="s">
        <v>199</v>
      </c>
      <c r="Q82" t="s">
        <v>849</v>
      </c>
      <c r="R82" t="b">
        <v>0</v>
      </c>
      <c r="S82" t="s">
        <v>2526</v>
      </c>
      <c r="T82" t="s">
        <v>1300</v>
      </c>
      <c r="U82" t="s">
        <v>1965</v>
      </c>
      <c r="V82" t="b">
        <v>1</v>
      </c>
      <c r="W82" t="b">
        <v>0</v>
      </c>
    </row>
    <row r="83" spans="1:23" x14ac:dyDescent="0.3">
      <c r="A83" s="147">
        <f>IF(COUNTIF(LEDGER[LedgerCode],FinanceCodesBudget[[#This Row],[LedgerCode]])&gt;0,0,1)</f>
        <v>0</v>
      </c>
      <c r="B83" s="43">
        <f>IF(COUNTIF(Table_System_Grouping_Codes[groupingCodeCode],FinanceCodesBudget[[#This Row],[GroupingCode]])&gt;0,0,1)</f>
        <v>0</v>
      </c>
      <c r="C83" s="43">
        <f>IF(COUNTIF(CUSTGROUP[CustomGroupingCode],FinanceCodesBudget[[#This Row],[CustomGrouping]])&gt;0,0,1)</f>
        <v>0</v>
      </c>
      <c r="D83" s="43" cm="1">
        <f t="array" ref="D83">IF(FinanceCodesBudget[[#This Row],[AvailableToAllSchools]]=TRUE,0,COUNTA(_xlfn.TEXTSPLIT(FinanceCodesBudget[[#This Row],[SchoolCodes]],",",,TRUE))-SUM(COUNTIF(SCHOOLS[SchoolCode],_xlfn.TEXTSPLIT(FinanceCodesBudget[[#This Row],[SchoolCodes]],",",,TRUE))))</f>
        <v>0</v>
      </c>
      <c r="E83" s="43">
        <f>IF(FinanceCodesBudget[[#This Row],[FinanceCodeTypeCode]]="BUDGET",0,COUNTIF(FinanceCodesBudget[FinanceCode],FinanceCodesBudget[[#This Row],[FinanceCode]])-1)</f>
        <v>0</v>
      </c>
      <c r="F83" s="43">
        <f>IF(FinanceCodesBudget[[#This Row],[FinanceCodeTypeCode]]="BUDGET",0,COUNTIF(FinanceCodesBudget[Title],FinanceCodesBudget[[#This Row],[Title]])-1)</f>
        <v>0</v>
      </c>
      <c r="G83" s="43">
        <f>COUNTIF(Lookup!$A$2:$A$7,FinanceCodesBudget[[#This Row],[FinanceCodeTypeCode]])-1</f>
        <v>0</v>
      </c>
      <c r="H83" s="43">
        <f>IF(TRIM(FinanceCodesBudget[[#This Row],[Title]])="",1,0)</f>
        <v>0</v>
      </c>
      <c r="I83" s="43">
        <f>IF(TRIM(FinanceCodesBudget[[#This Row],[FinanceCode]])="",1,0)</f>
        <v>0</v>
      </c>
      <c r="J83" s="43">
        <f>IF(LEN(FinanceCodesBudget[[#This Row],[FinanceCode]])&lt;100,0,1)</f>
        <v>0</v>
      </c>
      <c r="K83" s="43">
        <f>IF(LEN(FinanceCodesBudget[[#This Row],[Title]])&lt;100,0,1)</f>
        <v>0</v>
      </c>
      <c r="L83" s="43">
        <f>IF(ISBLANK(FinanceCodesBudget[[#This Row],[BalanceToScenario]]),1,0)</f>
        <v>0</v>
      </c>
      <c r="M83" s="43">
        <f>SUM(FinanceCodesBudget[[#This Row],[LedgerIssue]:[CustGrIssue]],FinanceCodesBudget[[#This Row],[DupCode]:[Balance to Scenario Blank]])</f>
        <v>0</v>
      </c>
      <c r="N83">
        <v>560300</v>
      </c>
      <c r="O83" t="s">
        <v>2606</v>
      </c>
      <c r="P83" t="s">
        <v>201</v>
      </c>
      <c r="Q83" t="s">
        <v>849</v>
      </c>
      <c r="R83" t="b">
        <v>0</v>
      </c>
      <c r="S83" t="s">
        <v>2526</v>
      </c>
      <c r="T83" t="s">
        <v>1300</v>
      </c>
      <c r="U83" t="s">
        <v>1965</v>
      </c>
      <c r="V83" t="b">
        <v>1</v>
      </c>
      <c r="W83" t="b">
        <v>0</v>
      </c>
    </row>
    <row r="84" spans="1:23" x14ac:dyDescent="0.3">
      <c r="A84" s="147">
        <f>IF(COUNTIF(LEDGER[LedgerCode],FinanceCodesBudget[[#This Row],[LedgerCode]])&gt;0,0,1)</f>
        <v>0</v>
      </c>
      <c r="B84" s="43">
        <f>IF(COUNTIF(Table_System_Grouping_Codes[groupingCodeCode],FinanceCodesBudget[[#This Row],[GroupingCode]])&gt;0,0,1)</f>
        <v>0</v>
      </c>
      <c r="C84" s="43">
        <f>IF(COUNTIF(CUSTGROUP[CustomGroupingCode],FinanceCodesBudget[[#This Row],[CustomGrouping]])&gt;0,0,1)</f>
        <v>0</v>
      </c>
      <c r="D84" s="43" cm="1">
        <f t="array" ref="D84">IF(FinanceCodesBudget[[#This Row],[AvailableToAllSchools]]=TRUE,0,COUNTA(_xlfn.TEXTSPLIT(FinanceCodesBudget[[#This Row],[SchoolCodes]],",",,TRUE))-SUM(COUNTIF(SCHOOLS[SchoolCode],_xlfn.TEXTSPLIT(FinanceCodesBudget[[#This Row],[SchoolCodes]],",",,TRUE))))</f>
        <v>0</v>
      </c>
      <c r="E84" s="43">
        <f>IF(FinanceCodesBudget[[#This Row],[FinanceCodeTypeCode]]="BUDGET",0,COUNTIF(FinanceCodesBudget[FinanceCode],FinanceCodesBudget[[#This Row],[FinanceCode]])-1)</f>
        <v>0</v>
      </c>
      <c r="F84" s="43">
        <f>IF(FinanceCodesBudget[[#This Row],[FinanceCodeTypeCode]]="BUDGET",0,COUNTIF(FinanceCodesBudget[Title],FinanceCodesBudget[[#This Row],[Title]])-1)</f>
        <v>0</v>
      </c>
      <c r="G84" s="43">
        <f>COUNTIF(Lookup!$A$2:$A$7,FinanceCodesBudget[[#This Row],[FinanceCodeTypeCode]])-1</f>
        <v>0</v>
      </c>
      <c r="H84" s="43">
        <f>IF(TRIM(FinanceCodesBudget[[#This Row],[Title]])="",1,0)</f>
        <v>0</v>
      </c>
      <c r="I84" s="43">
        <f>IF(TRIM(FinanceCodesBudget[[#This Row],[FinanceCode]])="",1,0)</f>
        <v>0</v>
      </c>
      <c r="J84" s="43">
        <f>IF(LEN(FinanceCodesBudget[[#This Row],[FinanceCode]])&lt;100,0,1)</f>
        <v>0</v>
      </c>
      <c r="K84" s="43">
        <f>IF(LEN(FinanceCodesBudget[[#This Row],[Title]])&lt;100,0,1)</f>
        <v>0</v>
      </c>
      <c r="L84" s="43">
        <f>IF(ISBLANK(FinanceCodesBudget[[#This Row],[BalanceToScenario]]),1,0)</f>
        <v>0</v>
      </c>
      <c r="M84" s="43">
        <f>SUM(FinanceCodesBudget[[#This Row],[LedgerIssue]:[CustGrIssue]],FinanceCodesBudget[[#This Row],[DupCode]:[Balance to Scenario Blank]])</f>
        <v>0</v>
      </c>
      <c r="N84">
        <v>560400</v>
      </c>
      <c r="O84" t="s">
        <v>2607</v>
      </c>
      <c r="P84" t="s">
        <v>203</v>
      </c>
      <c r="Q84" t="s">
        <v>849</v>
      </c>
      <c r="R84" t="b">
        <v>0</v>
      </c>
      <c r="S84" t="s">
        <v>2526</v>
      </c>
      <c r="T84" t="s">
        <v>1300</v>
      </c>
      <c r="U84" t="s">
        <v>1965</v>
      </c>
      <c r="V84" t="b">
        <v>1</v>
      </c>
      <c r="W84" t="b">
        <v>0</v>
      </c>
    </row>
    <row r="85" spans="1:23" x14ac:dyDescent="0.3">
      <c r="A85" s="147">
        <f>IF(COUNTIF(LEDGER[LedgerCode],FinanceCodesBudget[[#This Row],[LedgerCode]])&gt;0,0,1)</f>
        <v>0</v>
      </c>
      <c r="B85" s="43">
        <f>IF(COUNTIF(Table_System_Grouping_Codes[groupingCodeCode],FinanceCodesBudget[[#This Row],[GroupingCode]])&gt;0,0,1)</f>
        <v>0</v>
      </c>
      <c r="C85" s="43">
        <f>IF(COUNTIF(CUSTGROUP[CustomGroupingCode],FinanceCodesBudget[[#This Row],[CustomGrouping]])&gt;0,0,1)</f>
        <v>0</v>
      </c>
      <c r="D85" s="43" cm="1">
        <f t="array" ref="D85">IF(FinanceCodesBudget[[#This Row],[AvailableToAllSchools]]=TRUE,0,COUNTA(_xlfn.TEXTSPLIT(FinanceCodesBudget[[#This Row],[SchoolCodes]],",",,TRUE))-SUM(COUNTIF(SCHOOLS[SchoolCode],_xlfn.TEXTSPLIT(FinanceCodesBudget[[#This Row],[SchoolCodes]],",",,TRUE))))</f>
        <v>0</v>
      </c>
      <c r="E85" s="43">
        <f>IF(FinanceCodesBudget[[#This Row],[FinanceCodeTypeCode]]="BUDGET",0,COUNTIF(FinanceCodesBudget[FinanceCode],FinanceCodesBudget[[#This Row],[FinanceCode]])-1)</f>
        <v>0</v>
      </c>
      <c r="F85" s="43">
        <f>IF(FinanceCodesBudget[[#This Row],[FinanceCodeTypeCode]]="BUDGET",0,COUNTIF(FinanceCodesBudget[Title],FinanceCodesBudget[[#This Row],[Title]])-1)</f>
        <v>0</v>
      </c>
      <c r="G85" s="43">
        <f>COUNTIF(Lookup!$A$2:$A$7,FinanceCodesBudget[[#This Row],[FinanceCodeTypeCode]])-1</f>
        <v>0</v>
      </c>
      <c r="H85" s="43">
        <f>IF(TRIM(FinanceCodesBudget[[#This Row],[Title]])="",1,0)</f>
        <v>0</v>
      </c>
      <c r="I85" s="43">
        <f>IF(TRIM(FinanceCodesBudget[[#This Row],[FinanceCode]])="",1,0)</f>
        <v>0</v>
      </c>
      <c r="J85" s="43">
        <f>IF(LEN(FinanceCodesBudget[[#This Row],[FinanceCode]])&lt;100,0,1)</f>
        <v>0</v>
      </c>
      <c r="K85" s="43">
        <f>IF(LEN(FinanceCodesBudget[[#This Row],[Title]])&lt;100,0,1)</f>
        <v>0</v>
      </c>
      <c r="L85" s="43">
        <f>IF(ISBLANK(FinanceCodesBudget[[#This Row],[BalanceToScenario]]),1,0)</f>
        <v>0</v>
      </c>
      <c r="M85" s="43">
        <f>SUM(FinanceCodesBudget[[#This Row],[LedgerIssue]:[CustGrIssue]],FinanceCodesBudget[[#This Row],[DupCode]:[Balance to Scenario Blank]])</f>
        <v>0</v>
      </c>
      <c r="N85">
        <v>570100</v>
      </c>
      <c r="O85" t="s">
        <v>2608</v>
      </c>
      <c r="P85" t="s">
        <v>205</v>
      </c>
      <c r="Q85" t="s">
        <v>1976</v>
      </c>
      <c r="R85" t="b">
        <v>0</v>
      </c>
      <c r="S85" t="s">
        <v>2329</v>
      </c>
      <c r="T85" t="s">
        <v>1300</v>
      </c>
      <c r="U85" t="s">
        <v>1532</v>
      </c>
      <c r="V85" t="b">
        <v>1</v>
      </c>
      <c r="W85" t="b">
        <v>0</v>
      </c>
    </row>
    <row r="86" spans="1:23" x14ac:dyDescent="0.3">
      <c r="A86" s="147">
        <f>IF(COUNTIF(LEDGER[LedgerCode],FinanceCodesBudget[[#This Row],[LedgerCode]])&gt;0,0,1)</f>
        <v>0</v>
      </c>
      <c r="B86" s="43">
        <f>IF(COUNTIF(Table_System_Grouping_Codes[groupingCodeCode],FinanceCodesBudget[[#This Row],[GroupingCode]])&gt;0,0,1)</f>
        <v>0</v>
      </c>
      <c r="C86" s="43">
        <f>IF(COUNTIF(CUSTGROUP[CustomGroupingCode],FinanceCodesBudget[[#This Row],[CustomGrouping]])&gt;0,0,1)</f>
        <v>0</v>
      </c>
      <c r="D86" s="43" cm="1">
        <f t="array" ref="D86">IF(FinanceCodesBudget[[#This Row],[AvailableToAllSchools]]=TRUE,0,COUNTA(_xlfn.TEXTSPLIT(FinanceCodesBudget[[#This Row],[SchoolCodes]],",",,TRUE))-SUM(COUNTIF(SCHOOLS[SchoolCode],_xlfn.TEXTSPLIT(FinanceCodesBudget[[#This Row],[SchoolCodes]],",",,TRUE))))</f>
        <v>0</v>
      </c>
      <c r="E86" s="43">
        <f>IF(FinanceCodesBudget[[#This Row],[FinanceCodeTypeCode]]="BUDGET",0,COUNTIF(FinanceCodesBudget[FinanceCode],FinanceCodesBudget[[#This Row],[FinanceCode]])-1)</f>
        <v>0</v>
      </c>
      <c r="F86" s="43">
        <f>IF(FinanceCodesBudget[[#This Row],[FinanceCodeTypeCode]]="BUDGET",0,COUNTIF(FinanceCodesBudget[Title],FinanceCodesBudget[[#This Row],[Title]])-1)</f>
        <v>0</v>
      </c>
      <c r="G86" s="43">
        <f>COUNTIF(Lookup!$A$2:$A$7,FinanceCodesBudget[[#This Row],[FinanceCodeTypeCode]])-1</f>
        <v>0</v>
      </c>
      <c r="H86" s="43">
        <f>IF(TRIM(FinanceCodesBudget[[#This Row],[Title]])="",1,0)</f>
        <v>0</v>
      </c>
      <c r="I86" s="43">
        <f>IF(TRIM(FinanceCodesBudget[[#This Row],[FinanceCode]])="",1,0)</f>
        <v>0</v>
      </c>
      <c r="J86" s="43">
        <f>IF(LEN(FinanceCodesBudget[[#This Row],[FinanceCode]])&lt;100,0,1)</f>
        <v>0</v>
      </c>
      <c r="K86" s="43">
        <f>IF(LEN(FinanceCodesBudget[[#This Row],[Title]])&lt;100,0,1)</f>
        <v>0</v>
      </c>
      <c r="L86" s="43">
        <f>IF(ISBLANK(FinanceCodesBudget[[#This Row],[BalanceToScenario]]),1,0)</f>
        <v>0</v>
      </c>
      <c r="M86" s="43">
        <f>SUM(FinanceCodesBudget[[#This Row],[LedgerIssue]:[CustGrIssue]],FinanceCodesBudget[[#This Row],[DupCode]:[Balance to Scenario Blank]])</f>
        <v>0</v>
      </c>
      <c r="N86">
        <v>570200</v>
      </c>
      <c r="O86" t="s">
        <v>2609</v>
      </c>
      <c r="P86" t="s">
        <v>206</v>
      </c>
      <c r="Q86" t="s">
        <v>1976</v>
      </c>
      <c r="R86" t="b">
        <v>0</v>
      </c>
      <c r="S86" t="s">
        <v>2329</v>
      </c>
      <c r="T86" t="s">
        <v>1300</v>
      </c>
      <c r="U86" t="s">
        <v>1532</v>
      </c>
      <c r="V86" t="b">
        <v>1</v>
      </c>
      <c r="W86" t="b">
        <v>0</v>
      </c>
    </row>
    <row r="87" spans="1:23" x14ac:dyDescent="0.3">
      <c r="A87" s="147">
        <f>IF(COUNTIF(LEDGER[LedgerCode],FinanceCodesBudget[[#This Row],[LedgerCode]])&gt;0,0,1)</f>
        <v>0</v>
      </c>
      <c r="B87" s="43">
        <f>IF(COUNTIF(Table_System_Grouping_Codes[groupingCodeCode],FinanceCodesBudget[[#This Row],[GroupingCode]])&gt;0,0,1)</f>
        <v>0</v>
      </c>
      <c r="C87" s="43">
        <f>IF(COUNTIF(CUSTGROUP[CustomGroupingCode],FinanceCodesBudget[[#This Row],[CustomGrouping]])&gt;0,0,1)</f>
        <v>0</v>
      </c>
      <c r="D87" s="43" cm="1">
        <f t="array" ref="D87">IF(FinanceCodesBudget[[#This Row],[AvailableToAllSchools]]=TRUE,0,COUNTA(_xlfn.TEXTSPLIT(FinanceCodesBudget[[#This Row],[SchoolCodes]],",",,TRUE))-SUM(COUNTIF(SCHOOLS[SchoolCode],_xlfn.TEXTSPLIT(FinanceCodesBudget[[#This Row],[SchoolCodes]],",",,TRUE))))</f>
        <v>0</v>
      </c>
      <c r="E87" s="43">
        <f>IF(FinanceCodesBudget[[#This Row],[FinanceCodeTypeCode]]="BUDGET",0,COUNTIF(FinanceCodesBudget[FinanceCode],FinanceCodesBudget[[#This Row],[FinanceCode]])-1)</f>
        <v>0</v>
      </c>
      <c r="F87" s="43">
        <f>IF(FinanceCodesBudget[[#This Row],[FinanceCodeTypeCode]]="BUDGET",0,COUNTIF(FinanceCodesBudget[Title],FinanceCodesBudget[[#This Row],[Title]])-1)</f>
        <v>0</v>
      </c>
      <c r="G87" s="43">
        <f>COUNTIF(Lookup!$A$2:$A$7,FinanceCodesBudget[[#This Row],[FinanceCodeTypeCode]])-1</f>
        <v>0</v>
      </c>
      <c r="H87" s="43">
        <f>IF(TRIM(FinanceCodesBudget[[#This Row],[Title]])="",1,0)</f>
        <v>0</v>
      </c>
      <c r="I87" s="43">
        <f>IF(TRIM(FinanceCodesBudget[[#This Row],[FinanceCode]])="",1,0)</f>
        <v>0</v>
      </c>
      <c r="J87" s="43">
        <f>IF(LEN(FinanceCodesBudget[[#This Row],[FinanceCode]])&lt;100,0,1)</f>
        <v>0</v>
      </c>
      <c r="K87" s="43">
        <f>IF(LEN(FinanceCodesBudget[[#This Row],[Title]])&lt;100,0,1)</f>
        <v>0</v>
      </c>
      <c r="L87" s="43">
        <f>IF(ISBLANK(FinanceCodesBudget[[#This Row],[BalanceToScenario]]),1,0)</f>
        <v>0</v>
      </c>
      <c r="M87" s="43">
        <f>SUM(FinanceCodesBudget[[#This Row],[LedgerIssue]:[CustGrIssue]],FinanceCodesBudget[[#This Row],[DupCode]:[Balance to Scenario Blank]])</f>
        <v>0</v>
      </c>
      <c r="N87">
        <v>570220</v>
      </c>
      <c r="O87" t="s">
        <v>2610</v>
      </c>
      <c r="P87" t="s">
        <v>208</v>
      </c>
      <c r="Q87" t="s">
        <v>1976</v>
      </c>
      <c r="R87" t="b">
        <v>0</v>
      </c>
      <c r="S87" t="s">
        <v>2329</v>
      </c>
      <c r="T87" t="s">
        <v>1300</v>
      </c>
      <c r="U87" t="s">
        <v>1532</v>
      </c>
      <c r="V87" t="b">
        <v>1</v>
      </c>
      <c r="W87" t="b">
        <v>0</v>
      </c>
    </row>
    <row r="88" spans="1:23" x14ac:dyDescent="0.3">
      <c r="A88" s="147">
        <f>IF(COUNTIF(LEDGER[LedgerCode],FinanceCodesBudget[[#This Row],[LedgerCode]])&gt;0,0,1)</f>
        <v>0</v>
      </c>
      <c r="B88" s="43">
        <f>IF(COUNTIF(Table_System_Grouping_Codes[groupingCodeCode],FinanceCodesBudget[[#This Row],[GroupingCode]])&gt;0,0,1)</f>
        <v>0</v>
      </c>
      <c r="C88" s="43">
        <f>IF(COUNTIF(CUSTGROUP[CustomGroupingCode],FinanceCodesBudget[[#This Row],[CustomGrouping]])&gt;0,0,1)</f>
        <v>0</v>
      </c>
      <c r="D88" s="43" cm="1">
        <f t="array" ref="D88">IF(FinanceCodesBudget[[#This Row],[AvailableToAllSchools]]=TRUE,0,COUNTA(_xlfn.TEXTSPLIT(FinanceCodesBudget[[#This Row],[SchoolCodes]],",",,TRUE))-SUM(COUNTIF(SCHOOLS[SchoolCode],_xlfn.TEXTSPLIT(FinanceCodesBudget[[#This Row],[SchoolCodes]],",",,TRUE))))</f>
        <v>0</v>
      </c>
      <c r="E88" s="43">
        <f>IF(FinanceCodesBudget[[#This Row],[FinanceCodeTypeCode]]="BUDGET",0,COUNTIF(FinanceCodesBudget[FinanceCode],FinanceCodesBudget[[#This Row],[FinanceCode]])-1)</f>
        <v>0</v>
      </c>
      <c r="F88" s="43">
        <f>IF(FinanceCodesBudget[[#This Row],[FinanceCodeTypeCode]]="BUDGET",0,COUNTIF(FinanceCodesBudget[Title],FinanceCodesBudget[[#This Row],[Title]])-1)</f>
        <v>0</v>
      </c>
      <c r="G88" s="43">
        <f>COUNTIF(Lookup!$A$2:$A$7,FinanceCodesBudget[[#This Row],[FinanceCodeTypeCode]])-1</f>
        <v>0</v>
      </c>
      <c r="H88" s="43">
        <f>IF(TRIM(FinanceCodesBudget[[#This Row],[Title]])="",1,0)</f>
        <v>0</v>
      </c>
      <c r="I88" s="43">
        <f>IF(TRIM(FinanceCodesBudget[[#This Row],[FinanceCode]])="",1,0)</f>
        <v>0</v>
      </c>
      <c r="J88" s="43">
        <f>IF(LEN(FinanceCodesBudget[[#This Row],[FinanceCode]])&lt;100,0,1)</f>
        <v>0</v>
      </c>
      <c r="K88" s="43">
        <f>IF(LEN(FinanceCodesBudget[[#This Row],[Title]])&lt;100,0,1)</f>
        <v>0</v>
      </c>
      <c r="L88" s="43">
        <f>IF(ISBLANK(FinanceCodesBudget[[#This Row],[BalanceToScenario]]),1,0)</f>
        <v>0</v>
      </c>
      <c r="M88" s="43">
        <f>SUM(FinanceCodesBudget[[#This Row],[LedgerIssue]:[CustGrIssue]],FinanceCodesBudget[[#This Row],[DupCode]:[Balance to Scenario Blank]])</f>
        <v>0</v>
      </c>
      <c r="N88">
        <v>570230</v>
      </c>
      <c r="O88" t="s">
        <v>2611</v>
      </c>
      <c r="P88" t="s">
        <v>210</v>
      </c>
      <c r="Q88" t="s">
        <v>1976</v>
      </c>
      <c r="R88" t="b">
        <v>0</v>
      </c>
      <c r="S88" t="s">
        <v>2329</v>
      </c>
      <c r="T88" t="s">
        <v>1300</v>
      </c>
      <c r="U88" t="s">
        <v>1532</v>
      </c>
      <c r="V88" t="b">
        <v>1</v>
      </c>
      <c r="W88" t="b">
        <v>0</v>
      </c>
    </row>
    <row r="89" spans="1:23" x14ac:dyDescent="0.3">
      <c r="A89" s="147">
        <f>IF(COUNTIF(LEDGER[LedgerCode],FinanceCodesBudget[[#This Row],[LedgerCode]])&gt;0,0,1)</f>
        <v>0</v>
      </c>
      <c r="B89" s="43">
        <f>IF(COUNTIF(Table_System_Grouping_Codes[groupingCodeCode],FinanceCodesBudget[[#This Row],[GroupingCode]])&gt;0,0,1)</f>
        <v>0</v>
      </c>
      <c r="C89" s="43">
        <f>IF(COUNTIF(CUSTGROUP[CustomGroupingCode],FinanceCodesBudget[[#This Row],[CustomGrouping]])&gt;0,0,1)</f>
        <v>0</v>
      </c>
      <c r="D89" s="43" cm="1">
        <f t="array" ref="D89">IF(FinanceCodesBudget[[#This Row],[AvailableToAllSchools]]=TRUE,0,COUNTA(_xlfn.TEXTSPLIT(FinanceCodesBudget[[#This Row],[SchoolCodes]],",",,TRUE))-SUM(COUNTIF(SCHOOLS[SchoolCode],_xlfn.TEXTSPLIT(FinanceCodesBudget[[#This Row],[SchoolCodes]],",",,TRUE))))</f>
        <v>0</v>
      </c>
      <c r="E89" s="43">
        <f>IF(FinanceCodesBudget[[#This Row],[FinanceCodeTypeCode]]="BUDGET",0,COUNTIF(FinanceCodesBudget[FinanceCode],FinanceCodesBudget[[#This Row],[FinanceCode]])-1)</f>
        <v>0</v>
      </c>
      <c r="F89" s="43">
        <f>IF(FinanceCodesBudget[[#This Row],[FinanceCodeTypeCode]]="BUDGET",0,COUNTIF(FinanceCodesBudget[Title],FinanceCodesBudget[[#This Row],[Title]])-1)</f>
        <v>0</v>
      </c>
      <c r="G89" s="43">
        <f>COUNTIF(Lookup!$A$2:$A$7,FinanceCodesBudget[[#This Row],[FinanceCodeTypeCode]])-1</f>
        <v>0</v>
      </c>
      <c r="H89" s="43">
        <f>IF(TRIM(FinanceCodesBudget[[#This Row],[Title]])="",1,0)</f>
        <v>0</v>
      </c>
      <c r="I89" s="43">
        <f>IF(TRIM(FinanceCodesBudget[[#This Row],[FinanceCode]])="",1,0)</f>
        <v>0</v>
      </c>
      <c r="J89" s="43">
        <f>IF(LEN(FinanceCodesBudget[[#This Row],[FinanceCode]])&lt;100,0,1)</f>
        <v>0</v>
      </c>
      <c r="K89" s="43">
        <f>IF(LEN(FinanceCodesBudget[[#This Row],[Title]])&lt;100,0,1)</f>
        <v>0</v>
      </c>
      <c r="L89" s="43">
        <f>IF(ISBLANK(FinanceCodesBudget[[#This Row],[BalanceToScenario]]),1,0)</f>
        <v>0</v>
      </c>
      <c r="M89" s="43">
        <f>SUM(FinanceCodesBudget[[#This Row],[LedgerIssue]:[CustGrIssue]],FinanceCodesBudget[[#This Row],[DupCode]:[Balance to Scenario Blank]])</f>
        <v>0</v>
      </c>
      <c r="N89">
        <v>570240</v>
      </c>
      <c r="O89" t="s">
        <v>2612</v>
      </c>
      <c r="P89" t="s">
        <v>212</v>
      </c>
      <c r="Q89" t="s">
        <v>1976</v>
      </c>
      <c r="R89" t="b">
        <v>0</v>
      </c>
      <c r="S89" t="s">
        <v>2329</v>
      </c>
      <c r="T89" t="s">
        <v>1300</v>
      </c>
      <c r="U89" t="s">
        <v>1532</v>
      </c>
      <c r="V89" t="b">
        <v>1</v>
      </c>
      <c r="W89" t="b">
        <v>0</v>
      </c>
    </row>
    <row r="90" spans="1:23" x14ac:dyDescent="0.3">
      <c r="A90" s="147">
        <f>IF(COUNTIF(LEDGER[LedgerCode],FinanceCodesBudget[[#This Row],[LedgerCode]])&gt;0,0,1)</f>
        <v>0</v>
      </c>
      <c r="B90" s="43">
        <f>IF(COUNTIF(Table_System_Grouping_Codes[groupingCodeCode],FinanceCodesBudget[[#This Row],[GroupingCode]])&gt;0,0,1)</f>
        <v>0</v>
      </c>
      <c r="C90" s="43">
        <f>IF(COUNTIF(CUSTGROUP[CustomGroupingCode],FinanceCodesBudget[[#This Row],[CustomGrouping]])&gt;0,0,1)</f>
        <v>0</v>
      </c>
      <c r="D90" s="43" cm="1">
        <f t="array" ref="D90">IF(FinanceCodesBudget[[#This Row],[AvailableToAllSchools]]=TRUE,0,COUNTA(_xlfn.TEXTSPLIT(FinanceCodesBudget[[#This Row],[SchoolCodes]],",",,TRUE))-SUM(COUNTIF(SCHOOLS[SchoolCode],_xlfn.TEXTSPLIT(FinanceCodesBudget[[#This Row],[SchoolCodes]],",",,TRUE))))</f>
        <v>0</v>
      </c>
      <c r="E90" s="43">
        <f>IF(FinanceCodesBudget[[#This Row],[FinanceCodeTypeCode]]="BUDGET",0,COUNTIF(FinanceCodesBudget[FinanceCode],FinanceCodesBudget[[#This Row],[FinanceCode]])-1)</f>
        <v>0</v>
      </c>
      <c r="F90" s="43">
        <f>IF(FinanceCodesBudget[[#This Row],[FinanceCodeTypeCode]]="BUDGET",0,COUNTIF(FinanceCodesBudget[Title],FinanceCodesBudget[[#This Row],[Title]])-1)</f>
        <v>0</v>
      </c>
      <c r="G90" s="43">
        <f>COUNTIF(Lookup!$A$2:$A$7,FinanceCodesBudget[[#This Row],[FinanceCodeTypeCode]])-1</f>
        <v>0</v>
      </c>
      <c r="H90" s="43">
        <f>IF(TRIM(FinanceCodesBudget[[#This Row],[Title]])="",1,0)</f>
        <v>0</v>
      </c>
      <c r="I90" s="43">
        <f>IF(TRIM(FinanceCodesBudget[[#This Row],[FinanceCode]])="",1,0)</f>
        <v>0</v>
      </c>
      <c r="J90" s="43">
        <f>IF(LEN(FinanceCodesBudget[[#This Row],[FinanceCode]])&lt;100,0,1)</f>
        <v>0</v>
      </c>
      <c r="K90" s="43">
        <f>IF(LEN(FinanceCodesBudget[[#This Row],[Title]])&lt;100,0,1)</f>
        <v>0</v>
      </c>
      <c r="L90" s="43">
        <f>IF(ISBLANK(FinanceCodesBudget[[#This Row],[BalanceToScenario]]),1,0)</f>
        <v>0</v>
      </c>
      <c r="M90" s="43">
        <f>SUM(FinanceCodesBudget[[#This Row],[LedgerIssue]:[CustGrIssue]],FinanceCodesBudget[[#This Row],[DupCode]:[Balance to Scenario Blank]])</f>
        <v>0</v>
      </c>
      <c r="N90">
        <v>570250</v>
      </c>
      <c r="O90" t="s">
        <v>2613</v>
      </c>
      <c r="P90" t="s">
        <v>214</v>
      </c>
      <c r="Q90" t="s">
        <v>1976</v>
      </c>
      <c r="R90" t="b">
        <v>0</v>
      </c>
      <c r="S90" t="s">
        <v>2329</v>
      </c>
      <c r="T90" t="s">
        <v>1300</v>
      </c>
      <c r="U90" t="s">
        <v>1532</v>
      </c>
      <c r="V90" t="b">
        <v>1</v>
      </c>
      <c r="W90" t="b">
        <v>0</v>
      </c>
    </row>
    <row r="91" spans="1:23" x14ac:dyDescent="0.3">
      <c r="A91" s="147">
        <f>IF(COUNTIF(LEDGER[LedgerCode],FinanceCodesBudget[[#This Row],[LedgerCode]])&gt;0,0,1)</f>
        <v>0</v>
      </c>
      <c r="B91" s="43">
        <f>IF(COUNTIF(Table_System_Grouping_Codes[groupingCodeCode],FinanceCodesBudget[[#This Row],[GroupingCode]])&gt;0,0,1)</f>
        <v>0</v>
      </c>
      <c r="C91" s="43">
        <f>IF(COUNTIF(CUSTGROUP[CustomGroupingCode],FinanceCodesBudget[[#This Row],[CustomGrouping]])&gt;0,0,1)</f>
        <v>0</v>
      </c>
      <c r="D91" s="43" cm="1">
        <f t="array" ref="D91">IF(FinanceCodesBudget[[#This Row],[AvailableToAllSchools]]=TRUE,0,COUNTA(_xlfn.TEXTSPLIT(FinanceCodesBudget[[#This Row],[SchoolCodes]],",",,TRUE))-SUM(COUNTIF(SCHOOLS[SchoolCode],_xlfn.TEXTSPLIT(FinanceCodesBudget[[#This Row],[SchoolCodes]],",",,TRUE))))</f>
        <v>0</v>
      </c>
      <c r="E91" s="43">
        <f>IF(FinanceCodesBudget[[#This Row],[FinanceCodeTypeCode]]="BUDGET",0,COUNTIF(FinanceCodesBudget[FinanceCode],FinanceCodesBudget[[#This Row],[FinanceCode]])-1)</f>
        <v>0</v>
      </c>
      <c r="F91" s="43">
        <f>IF(FinanceCodesBudget[[#This Row],[FinanceCodeTypeCode]]="BUDGET",0,COUNTIF(FinanceCodesBudget[Title],FinanceCodesBudget[[#This Row],[Title]])-1)</f>
        <v>0</v>
      </c>
      <c r="G91" s="43">
        <f>COUNTIF(Lookup!$A$2:$A$7,FinanceCodesBudget[[#This Row],[FinanceCodeTypeCode]])-1</f>
        <v>0</v>
      </c>
      <c r="H91" s="43">
        <f>IF(TRIM(FinanceCodesBudget[[#This Row],[Title]])="",1,0)</f>
        <v>0</v>
      </c>
      <c r="I91" s="43">
        <f>IF(TRIM(FinanceCodesBudget[[#This Row],[FinanceCode]])="",1,0)</f>
        <v>0</v>
      </c>
      <c r="J91" s="43">
        <f>IF(LEN(FinanceCodesBudget[[#This Row],[FinanceCode]])&lt;100,0,1)</f>
        <v>0</v>
      </c>
      <c r="K91" s="43">
        <f>IF(LEN(FinanceCodesBudget[[#This Row],[Title]])&lt;100,0,1)</f>
        <v>0</v>
      </c>
      <c r="L91" s="43">
        <f>IF(ISBLANK(FinanceCodesBudget[[#This Row],[BalanceToScenario]]),1,0)</f>
        <v>0</v>
      </c>
      <c r="M91" s="43">
        <f>SUM(FinanceCodesBudget[[#This Row],[LedgerIssue]:[CustGrIssue]],FinanceCodesBudget[[#This Row],[DupCode]:[Balance to Scenario Blank]])</f>
        <v>0</v>
      </c>
      <c r="N91">
        <v>570300</v>
      </c>
      <c r="O91" t="s">
        <v>2614</v>
      </c>
      <c r="P91" t="s">
        <v>1790</v>
      </c>
      <c r="Q91" t="s">
        <v>1976</v>
      </c>
      <c r="R91" t="b">
        <v>0</v>
      </c>
      <c r="S91" t="s">
        <v>2329</v>
      </c>
      <c r="T91" t="s">
        <v>1300</v>
      </c>
      <c r="U91" t="s">
        <v>1532</v>
      </c>
      <c r="V91" t="b">
        <v>1</v>
      </c>
      <c r="W91" t="b">
        <v>0</v>
      </c>
    </row>
    <row r="92" spans="1:23" x14ac:dyDescent="0.3">
      <c r="A92" s="147">
        <f>IF(COUNTIF(LEDGER[LedgerCode],FinanceCodesBudget[[#This Row],[LedgerCode]])&gt;0,0,1)</f>
        <v>0</v>
      </c>
      <c r="B92" s="43">
        <f>IF(COUNTIF(Table_System_Grouping_Codes[groupingCodeCode],FinanceCodesBudget[[#This Row],[GroupingCode]])&gt;0,0,1)</f>
        <v>0</v>
      </c>
      <c r="C92" s="43">
        <f>IF(COUNTIF(CUSTGROUP[CustomGroupingCode],FinanceCodesBudget[[#This Row],[CustomGrouping]])&gt;0,0,1)</f>
        <v>0</v>
      </c>
      <c r="D92" s="43" cm="1">
        <f t="array" ref="D92">IF(FinanceCodesBudget[[#This Row],[AvailableToAllSchools]]=TRUE,0,COUNTA(_xlfn.TEXTSPLIT(FinanceCodesBudget[[#This Row],[SchoolCodes]],",",,TRUE))-SUM(COUNTIF(SCHOOLS[SchoolCode],_xlfn.TEXTSPLIT(FinanceCodesBudget[[#This Row],[SchoolCodes]],",",,TRUE))))</f>
        <v>0</v>
      </c>
      <c r="E92" s="43">
        <f>IF(FinanceCodesBudget[[#This Row],[FinanceCodeTypeCode]]="BUDGET",0,COUNTIF(FinanceCodesBudget[FinanceCode],FinanceCodesBudget[[#This Row],[FinanceCode]])-1)</f>
        <v>0</v>
      </c>
      <c r="F92" s="43">
        <f>IF(FinanceCodesBudget[[#This Row],[FinanceCodeTypeCode]]="BUDGET",0,COUNTIF(FinanceCodesBudget[Title],FinanceCodesBudget[[#This Row],[Title]])-1)</f>
        <v>0</v>
      </c>
      <c r="G92" s="43">
        <f>COUNTIF(Lookup!$A$2:$A$7,FinanceCodesBudget[[#This Row],[FinanceCodeTypeCode]])-1</f>
        <v>0</v>
      </c>
      <c r="H92" s="43">
        <f>IF(TRIM(FinanceCodesBudget[[#This Row],[Title]])="",1,0)</f>
        <v>0</v>
      </c>
      <c r="I92" s="43">
        <f>IF(TRIM(FinanceCodesBudget[[#This Row],[FinanceCode]])="",1,0)</f>
        <v>0</v>
      </c>
      <c r="J92" s="43">
        <f>IF(LEN(FinanceCodesBudget[[#This Row],[FinanceCode]])&lt;100,0,1)</f>
        <v>0</v>
      </c>
      <c r="K92" s="43">
        <f>IF(LEN(FinanceCodesBudget[[#This Row],[Title]])&lt;100,0,1)</f>
        <v>0</v>
      </c>
      <c r="L92" s="43">
        <f>IF(ISBLANK(FinanceCodesBudget[[#This Row],[BalanceToScenario]]),1,0)</f>
        <v>0</v>
      </c>
      <c r="M92" s="43">
        <f>SUM(FinanceCodesBudget[[#This Row],[LedgerIssue]:[CustGrIssue]],FinanceCodesBudget[[#This Row],[DupCode]:[Balance to Scenario Blank]])</f>
        <v>0</v>
      </c>
      <c r="N92">
        <v>580100</v>
      </c>
      <c r="O92" t="s">
        <v>2615</v>
      </c>
      <c r="P92" t="s">
        <v>215</v>
      </c>
      <c r="Q92" t="s">
        <v>1974</v>
      </c>
      <c r="R92" t="b">
        <v>0</v>
      </c>
      <c r="S92" t="s">
        <v>2526</v>
      </c>
      <c r="T92" t="s">
        <v>1300</v>
      </c>
      <c r="U92" t="s">
        <v>1532</v>
      </c>
      <c r="V92" t="b">
        <v>1</v>
      </c>
      <c r="W92" t="b">
        <v>0</v>
      </c>
    </row>
    <row r="93" spans="1:23" x14ac:dyDescent="0.3">
      <c r="A93" s="147">
        <f>IF(COUNTIF(LEDGER[LedgerCode],FinanceCodesBudget[[#This Row],[LedgerCode]])&gt;0,0,1)</f>
        <v>0</v>
      </c>
      <c r="B93" s="43">
        <f>IF(COUNTIF(Table_System_Grouping_Codes[groupingCodeCode],FinanceCodesBudget[[#This Row],[GroupingCode]])&gt;0,0,1)</f>
        <v>0</v>
      </c>
      <c r="C93" s="43">
        <f>IF(COUNTIF(CUSTGROUP[CustomGroupingCode],FinanceCodesBudget[[#This Row],[CustomGrouping]])&gt;0,0,1)</f>
        <v>0</v>
      </c>
      <c r="D93" s="43" cm="1">
        <f t="array" ref="D93">IF(FinanceCodesBudget[[#This Row],[AvailableToAllSchools]]=TRUE,0,COUNTA(_xlfn.TEXTSPLIT(FinanceCodesBudget[[#This Row],[SchoolCodes]],",",,TRUE))-SUM(COUNTIF(SCHOOLS[SchoolCode],_xlfn.TEXTSPLIT(FinanceCodesBudget[[#This Row],[SchoolCodes]],",",,TRUE))))</f>
        <v>0</v>
      </c>
      <c r="E93" s="43">
        <f>IF(FinanceCodesBudget[[#This Row],[FinanceCodeTypeCode]]="BUDGET",0,COUNTIF(FinanceCodesBudget[FinanceCode],FinanceCodesBudget[[#This Row],[FinanceCode]])-1)</f>
        <v>0</v>
      </c>
      <c r="F93" s="43">
        <f>IF(FinanceCodesBudget[[#This Row],[FinanceCodeTypeCode]]="BUDGET",0,COUNTIF(FinanceCodesBudget[Title],FinanceCodesBudget[[#This Row],[Title]])-1)</f>
        <v>0</v>
      </c>
      <c r="G93" s="43">
        <f>COUNTIF(Lookup!$A$2:$A$7,FinanceCodesBudget[[#This Row],[FinanceCodeTypeCode]])-1</f>
        <v>0</v>
      </c>
      <c r="H93" s="43">
        <f>IF(TRIM(FinanceCodesBudget[[#This Row],[Title]])="",1,0)</f>
        <v>0</v>
      </c>
      <c r="I93" s="43">
        <f>IF(TRIM(FinanceCodesBudget[[#This Row],[FinanceCode]])="",1,0)</f>
        <v>0</v>
      </c>
      <c r="J93" s="43">
        <f>IF(LEN(FinanceCodesBudget[[#This Row],[FinanceCode]])&lt;100,0,1)</f>
        <v>0</v>
      </c>
      <c r="K93" s="43">
        <f>IF(LEN(FinanceCodesBudget[[#This Row],[Title]])&lt;100,0,1)</f>
        <v>0</v>
      </c>
      <c r="L93" s="43">
        <f>IF(ISBLANK(FinanceCodesBudget[[#This Row],[BalanceToScenario]]),1,0)</f>
        <v>0</v>
      </c>
      <c r="M93" s="43">
        <f>SUM(FinanceCodesBudget[[#This Row],[LedgerIssue]:[CustGrIssue]],FinanceCodesBudget[[#This Row],[DupCode]:[Balance to Scenario Blank]])</f>
        <v>0</v>
      </c>
      <c r="N93">
        <v>580120</v>
      </c>
      <c r="O93" t="s">
        <v>2616</v>
      </c>
      <c r="P93" t="s">
        <v>1793</v>
      </c>
      <c r="Q93" t="s">
        <v>1974</v>
      </c>
      <c r="R93" t="b">
        <v>0</v>
      </c>
      <c r="S93" t="s">
        <v>2526</v>
      </c>
      <c r="T93" t="s">
        <v>1300</v>
      </c>
      <c r="U93" t="s">
        <v>1532</v>
      </c>
      <c r="V93" t="b">
        <v>1</v>
      </c>
      <c r="W93" t="b">
        <v>0</v>
      </c>
    </row>
    <row r="94" spans="1:23" x14ac:dyDescent="0.3">
      <c r="A94" s="147">
        <f>IF(COUNTIF(LEDGER[LedgerCode],FinanceCodesBudget[[#This Row],[LedgerCode]])&gt;0,0,1)</f>
        <v>0</v>
      </c>
      <c r="B94" s="43">
        <f>IF(COUNTIF(Table_System_Grouping_Codes[groupingCodeCode],FinanceCodesBudget[[#This Row],[GroupingCode]])&gt;0,0,1)</f>
        <v>0</v>
      </c>
      <c r="C94" s="43">
        <f>IF(COUNTIF(CUSTGROUP[CustomGroupingCode],FinanceCodesBudget[[#This Row],[CustomGrouping]])&gt;0,0,1)</f>
        <v>0</v>
      </c>
      <c r="D94" s="43" cm="1">
        <f t="array" ref="D94">IF(FinanceCodesBudget[[#This Row],[AvailableToAllSchools]]=TRUE,0,COUNTA(_xlfn.TEXTSPLIT(FinanceCodesBudget[[#This Row],[SchoolCodes]],",",,TRUE))-SUM(COUNTIF(SCHOOLS[SchoolCode],_xlfn.TEXTSPLIT(FinanceCodesBudget[[#This Row],[SchoolCodes]],",",,TRUE))))</f>
        <v>0</v>
      </c>
      <c r="E94" s="43">
        <f>IF(FinanceCodesBudget[[#This Row],[FinanceCodeTypeCode]]="BUDGET",0,COUNTIF(FinanceCodesBudget[FinanceCode],FinanceCodesBudget[[#This Row],[FinanceCode]])-1)</f>
        <v>0</v>
      </c>
      <c r="F94" s="43">
        <f>IF(FinanceCodesBudget[[#This Row],[FinanceCodeTypeCode]]="BUDGET",0,COUNTIF(FinanceCodesBudget[Title],FinanceCodesBudget[[#This Row],[Title]])-1)</f>
        <v>0</v>
      </c>
      <c r="G94" s="43">
        <f>COUNTIF(Lookup!$A$2:$A$7,FinanceCodesBudget[[#This Row],[FinanceCodeTypeCode]])-1</f>
        <v>0</v>
      </c>
      <c r="H94" s="43">
        <f>IF(TRIM(FinanceCodesBudget[[#This Row],[Title]])="",1,0)</f>
        <v>0</v>
      </c>
      <c r="I94" s="43">
        <f>IF(TRIM(FinanceCodesBudget[[#This Row],[FinanceCode]])="",1,0)</f>
        <v>0</v>
      </c>
      <c r="J94" s="43">
        <f>IF(LEN(FinanceCodesBudget[[#This Row],[FinanceCode]])&lt;100,0,1)</f>
        <v>0</v>
      </c>
      <c r="K94" s="43">
        <f>IF(LEN(FinanceCodesBudget[[#This Row],[Title]])&lt;100,0,1)</f>
        <v>0</v>
      </c>
      <c r="L94" s="43">
        <f>IF(ISBLANK(FinanceCodesBudget[[#This Row],[BalanceToScenario]]),1,0)</f>
        <v>0</v>
      </c>
      <c r="M94" s="43">
        <f>SUM(FinanceCodesBudget[[#This Row],[LedgerIssue]:[CustGrIssue]],FinanceCodesBudget[[#This Row],[DupCode]:[Balance to Scenario Blank]])</f>
        <v>0</v>
      </c>
      <c r="N94">
        <v>580150</v>
      </c>
      <c r="O94" t="s">
        <v>2617</v>
      </c>
      <c r="P94" t="s">
        <v>216</v>
      </c>
      <c r="Q94" t="s">
        <v>849</v>
      </c>
      <c r="R94" t="b">
        <v>0</v>
      </c>
      <c r="S94" t="s">
        <v>2526</v>
      </c>
      <c r="T94" t="s">
        <v>1300</v>
      </c>
      <c r="U94" t="s">
        <v>1532</v>
      </c>
      <c r="V94" t="b">
        <v>1</v>
      </c>
      <c r="W94" t="b">
        <v>0</v>
      </c>
    </row>
    <row r="95" spans="1:23" x14ac:dyDescent="0.3">
      <c r="A95" s="147">
        <f>IF(COUNTIF(LEDGER[LedgerCode],FinanceCodesBudget[[#This Row],[LedgerCode]])&gt;0,0,1)</f>
        <v>0</v>
      </c>
      <c r="B95" s="43">
        <f>IF(COUNTIF(Table_System_Grouping_Codes[groupingCodeCode],FinanceCodesBudget[[#This Row],[GroupingCode]])&gt;0,0,1)</f>
        <v>0</v>
      </c>
      <c r="C95" s="43">
        <f>IF(COUNTIF(CUSTGROUP[CustomGroupingCode],FinanceCodesBudget[[#This Row],[CustomGrouping]])&gt;0,0,1)</f>
        <v>0</v>
      </c>
      <c r="D95" s="43" cm="1">
        <f t="array" ref="D95">IF(FinanceCodesBudget[[#This Row],[AvailableToAllSchools]]=TRUE,0,COUNTA(_xlfn.TEXTSPLIT(FinanceCodesBudget[[#This Row],[SchoolCodes]],",",,TRUE))-SUM(COUNTIF(SCHOOLS[SchoolCode],_xlfn.TEXTSPLIT(FinanceCodesBudget[[#This Row],[SchoolCodes]],",",,TRUE))))</f>
        <v>0</v>
      </c>
      <c r="E95" s="43">
        <f>IF(FinanceCodesBudget[[#This Row],[FinanceCodeTypeCode]]="BUDGET",0,COUNTIF(FinanceCodesBudget[FinanceCode],FinanceCodesBudget[[#This Row],[FinanceCode]])-1)</f>
        <v>0</v>
      </c>
      <c r="F95" s="43">
        <f>IF(FinanceCodesBudget[[#This Row],[FinanceCodeTypeCode]]="BUDGET",0,COUNTIF(FinanceCodesBudget[Title],FinanceCodesBudget[[#This Row],[Title]])-1)</f>
        <v>0</v>
      </c>
      <c r="G95" s="43">
        <f>COUNTIF(Lookup!$A$2:$A$7,FinanceCodesBudget[[#This Row],[FinanceCodeTypeCode]])-1</f>
        <v>0</v>
      </c>
      <c r="H95" s="43">
        <f>IF(TRIM(FinanceCodesBudget[[#This Row],[Title]])="",1,0)</f>
        <v>0</v>
      </c>
      <c r="I95" s="43">
        <f>IF(TRIM(FinanceCodesBudget[[#This Row],[FinanceCode]])="",1,0)</f>
        <v>0</v>
      </c>
      <c r="J95" s="43">
        <f>IF(LEN(FinanceCodesBudget[[#This Row],[FinanceCode]])&lt;100,0,1)</f>
        <v>0</v>
      </c>
      <c r="K95" s="43">
        <f>IF(LEN(FinanceCodesBudget[[#This Row],[Title]])&lt;100,0,1)</f>
        <v>0</v>
      </c>
      <c r="L95" s="43">
        <f>IF(ISBLANK(FinanceCodesBudget[[#This Row],[BalanceToScenario]]),1,0)</f>
        <v>0</v>
      </c>
      <c r="M95" s="43">
        <f>SUM(FinanceCodesBudget[[#This Row],[LedgerIssue]:[CustGrIssue]],FinanceCodesBudget[[#This Row],[DupCode]:[Balance to Scenario Blank]])</f>
        <v>0</v>
      </c>
      <c r="N95">
        <v>580160</v>
      </c>
      <c r="O95" t="s">
        <v>2618</v>
      </c>
      <c r="P95" t="s">
        <v>1796</v>
      </c>
      <c r="Q95" t="s">
        <v>1974</v>
      </c>
      <c r="R95" t="b">
        <v>0</v>
      </c>
      <c r="S95" t="s">
        <v>2526</v>
      </c>
      <c r="T95" t="s">
        <v>1300</v>
      </c>
      <c r="U95" t="s">
        <v>1532</v>
      </c>
      <c r="V95" t="b">
        <v>1</v>
      </c>
      <c r="W95" t="b">
        <v>0</v>
      </c>
    </row>
    <row r="96" spans="1:23" x14ac:dyDescent="0.3">
      <c r="A96" s="147">
        <f>IF(COUNTIF(LEDGER[LedgerCode],FinanceCodesBudget[[#This Row],[LedgerCode]])&gt;0,0,1)</f>
        <v>0</v>
      </c>
      <c r="B96" s="43">
        <f>IF(COUNTIF(Table_System_Grouping_Codes[groupingCodeCode],FinanceCodesBudget[[#This Row],[GroupingCode]])&gt;0,0,1)</f>
        <v>0</v>
      </c>
      <c r="C96" s="43">
        <f>IF(COUNTIF(CUSTGROUP[CustomGroupingCode],FinanceCodesBudget[[#This Row],[CustomGrouping]])&gt;0,0,1)</f>
        <v>0</v>
      </c>
      <c r="D96" s="43" cm="1">
        <f t="array" ref="D96">IF(FinanceCodesBudget[[#This Row],[AvailableToAllSchools]]=TRUE,0,COUNTA(_xlfn.TEXTSPLIT(FinanceCodesBudget[[#This Row],[SchoolCodes]],",",,TRUE))-SUM(COUNTIF(SCHOOLS[SchoolCode],_xlfn.TEXTSPLIT(FinanceCodesBudget[[#This Row],[SchoolCodes]],",",,TRUE))))</f>
        <v>0</v>
      </c>
      <c r="E96" s="43">
        <f>IF(FinanceCodesBudget[[#This Row],[FinanceCodeTypeCode]]="BUDGET",0,COUNTIF(FinanceCodesBudget[FinanceCode],FinanceCodesBudget[[#This Row],[FinanceCode]])-1)</f>
        <v>0</v>
      </c>
      <c r="F96" s="43">
        <f>IF(FinanceCodesBudget[[#This Row],[FinanceCodeTypeCode]]="BUDGET",0,COUNTIF(FinanceCodesBudget[Title],FinanceCodesBudget[[#This Row],[Title]])-1)</f>
        <v>0</v>
      </c>
      <c r="G96" s="43">
        <f>COUNTIF(Lookup!$A$2:$A$7,FinanceCodesBudget[[#This Row],[FinanceCodeTypeCode]])-1</f>
        <v>0</v>
      </c>
      <c r="H96" s="43">
        <f>IF(TRIM(FinanceCodesBudget[[#This Row],[Title]])="",1,0)</f>
        <v>0</v>
      </c>
      <c r="I96" s="43">
        <f>IF(TRIM(FinanceCodesBudget[[#This Row],[FinanceCode]])="",1,0)</f>
        <v>0</v>
      </c>
      <c r="J96" s="43">
        <f>IF(LEN(FinanceCodesBudget[[#This Row],[FinanceCode]])&lt;100,0,1)</f>
        <v>0</v>
      </c>
      <c r="K96" s="43">
        <f>IF(LEN(FinanceCodesBudget[[#This Row],[Title]])&lt;100,0,1)</f>
        <v>0</v>
      </c>
      <c r="L96" s="43">
        <f>IF(ISBLANK(FinanceCodesBudget[[#This Row],[BalanceToScenario]]),1,0)</f>
        <v>0</v>
      </c>
      <c r="M96" s="43">
        <f>SUM(FinanceCodesBudget[[#This Row],[LedgerIssue]:[CustGrIssue]],FinanceCodesBudget[[#This Row],[DupCode]:[Balance to Scenario Blank]])</f>
        <v>0</v>
      </c>
      <c r="N96">
        <v>580200</v>
      </c>
      <c r="O96" t="s">
        <v>2619</v>
      </c>
      <c r="P96" t="s">
        <v>217</v>
      </c>
      <c r="Q96" t="s">
        <v>1974</v>
      </c>
      <c r="R96" t="b">
        <v>0</v>
      </c>
      <c r="S96" t="s">
        <v>2526</v>
      </c>
      <c r="T96" t="s">
        <v>1300</v>
      </c>
      <c r="U96" t="s">
        <v>1532</v>
      </c>
      <c r="V96" t="b">
        <v>1</v>
      </c>
      <c r="W96" t="b">
        <v>0</v>
      </c>
    </row>
    <row r="97" spans="1:23" x14ac:dyDescent="0.3">
      <c r="A97" s="147">
        <f>IF(COUNTIF(LEDGER[LedgerCode],FinanceCodesBudget[[#This Row],[LedgerCode]])&gt;0,0,1)</f>
        <v>0</v>
      </c>
      <c r="B97" s="43">
        <f>IF(COUNTIF(Table_System_Grouping_Codes[groupingCodeCode],FinanceCodesBudget[[#This Row],[GroupingCode]])&gt;0,0,1)</f>
        <v>0</v>
      </c>
      <c r="C97" s="43">
        <f>IF(COUNTIF(CUSTGROUP[CustomGroupingCode],FinanceCodesBudget[[#This Row],[CustomGrouping]])&gt;0,0,1)</f>
        <v>0</v>
      </c>
      <c r="D97" s="43" cm="1">
        <f t="array" ref="D97">IF(FinanceCodesBudget[[#This Row],[AvailableToAllSchools]]=TRUE,0,COUNTA(_xlfn.TEXTSPLIT(FinanceCodesBudget[[#This Row],[SchoolCodes]],",",,TRUE))-SUM(COUNTIF(SCHOOLS[SchoolCode],_xlfn.TEXTSPLIT(FinanceCodesBudget[[#This Row],[SchoolCodes]],",",,TRUE))))</f>
        <v>0</v>
      </c>
      <c r="E97" s="43">
        <f>IF(FinanceCodesBudget[[#This Row],[FinanceCodeTypeCode]]="BUDGET",0,COUNTIF(FinanceCodesBudget[FinanceCode],FinanceCodesBudget[[#This Row],[FinanceCode]])-1)</f>
        <v>0</v>
      </c>
      <c r="F97" s="43">
        <f>IF(FinanceCodesBudget[[#This Row],[FinanceCodeTypeCode]]="BUDGET",0,COUNTIF(FinanceCodesBudget[Title],FinanceCodesBudget[[#This Row],[Title]])-1)</f>
        <v>0</v>
      </c>
      <c r="G97" s="43">
        <f>COUNTIF(Lookup!$A$2:$A$7,FinanceCodesBudget[[#This Row],[FinanceCodeTypeCode]])-1</f>
        <v>0</v>
      </c>
      <c r="H97" s="43">
        <f>IF(TRIM(FinanceCodesBudget[[#This Row],[Title]])="",1,0)</f>
        <v>0</v>
      </c>
      <c r="I97" s="43">
        <f>IF(TRIM(FinanceCodesBudget[[#This Row],[FinanceCode]])="",1,0)</f>
        <v>0</v>
      </c>
      <c r="J97" s="43">
        <f>IF(LEN(FinanceCodesBudget[[#This Row],[FinanceCode]])&lt;100,0,1)</f>
        <v>0</v>
      </c>
      <c r="K97" s="43">
        <f>IF(LEN(FinanceCodesBudget[[#This Row],[Title]])&lt;100,0,1)</f>
        <v>0</v>
      </c>
      <c r="L97" s="43">
        <f>IF(ISBLANK(FinanceCodesBudget[[#This Row],[BalanceToScenario]]),1,0)</f>
        <v>0</v>
      </c>
      <c r="M97" s="43">
        <f>SUM(FinanceCodesBudget[[#This Row],[LedgerIssue]:[CustGrIssue]],FinanceCodesBudget[[#This Row],[DupCode]:[Balance to Scenario Blank]])</f>
        <v>0</v>
      </c>
      <c r="N97">
        <v>580210</v>
      </c>
      <c r="O97" t="s">
        <v>2620</v>
      </c>
      <c r="P97" t="s">
        <v>1799</v>
      </c>
      <c r="Q97" t="s">
        <v>1974</v>
      </c>
      <c r="R97" t="b">
        <v>0</v>
      </c>
      <c r="S97" t="s">
        <v>2526</v>
      </c>
      <c r="T97" t="s">
        <v>1300</v>
      </c>
      <c r="U97" t="s">
        <v>1532</v>
      </c>
      <c r="V97" t="b">
        <v>1</v>
      </c>
      <c r="W97" t="b">
        <v>0</v>
      </c>
    </row>
    <row r="98" spans="1:23" x14ac:dyDescent="0.3">
      <c r="A98" s="147">
        <f>IF(COUNTIF(LEDGER[LedgerCode],FinanceCodesBudget[[#This Row],[LedgerCode]])&gt;0,0,1)</f>
        <v>0</v>
      </c>
      <c r="B98" s="43">
        <f>IF(COUNTIF(Table_System_Grouping_Codes[groupingCodeCode],FinanceCodesBudget[[#This Row],[GroupingCode]])&gt;0,0,1)</f>
        <v>0</v>
      </c>
      <c r="C98" s="43">
        <f>IF(COUNTIF(CUSTGROUP[CustomGroupingCode],FinanceCodesBudget[[#This Row],[CustomGrouping]])&gt;0,0,1)</f>
        <v>0</v>
      </c>
      <c r="D98" s="43" cm="1">
        <f t="array" ref="D98">IF(FinanceCodesBudget[[#This Row],[AvailableToAllSchools]]=TRUE,0,COUNTA(_xlfn.TEXTSPLIT(FinanceCodesBudget[[#This Row],[SchoolCodes]],",",,TRUE))-SUM(COUNTIF(SCHOOLS[SchoolCode],_xlfn.TEXTSPLIT(FinanceCodesBudget[[#This Row],[SchoolCodes]],",",,TRUE))))</f>
        <v>0</v>
      </c>
      <c r="E98" s="43">
        <f>IF(FinanceCodesBudget[[#This Row],[FinanceCodeTypeCode]]="BUDGET",0,COUNTIF(FinanceCodesBudget[FinanceCode],FinanceCodesBudget[[#This Row],[FinanceCode]])-1)</f>
        <v>0</v>
      </c>
      <c r="F98" s="43">
        <f>IF(FinanceCodesBudget[[#This Row],[FinanceCodeTypeCode]]="BUDGET",0,COUNTIF(FinanceCodesBudget[Title],FinanceCodesBudget[[#This Row],[Title]])-1)</f>
        <v>0</v>
      </c>
      <c r="G98" s="43">
        <f>COUNTIF(Lookup!$A$2:$A$7,FinanceCodesBudget[[#This Row],[FinanceCodeTypeCode]])-1</f>
        <v>0</v>
      </c>
      <c r="H98" s="43">
        <f>IF(TRIM(FinanceCodesBudget[[#This Row],[Title]])="",1,0)</f>
        <v>0</v>
      </c>
      <c r="I98" s="43">
        <f>IF(TRIM(FinanceCodesBudget[[#This Row],[FinanceCode]])="",1,0)</f>
        <v>0</v>
      </c>
      <c r="J98" s="43">
        <f>IF(LEN(FinanceCodesBudget[[#This Row],[FinanceCode]])&lt;100,0,1)</f>
        <v>0</v>
      </c>
      <c r="K98" s="43">
        <f>IF(LEN(FinanceCodesBudget[[#This Row],[Title]])&lt;100,0,1)</f>
        <v>0</v>
      </c>
      <c r="L98" s="43">
        <f>IF(ISBLANK(FinanceCodesBudget[[#This Row],[BalanceToScenario]]),1,0)</f>
        <v>0</v>
      </c>
      <c r="M98" s="43">
        <f>SUM(FinanceCodesBudget[[#This Row],[LedgerIssue]:[CustGrIssue]],FinanceCodesBudget[[#This Row],[DupCode]:[Balance to Scenario Blank]])</f>
        <v>0</v>
      </c>
      <c r="N98">
        <v>580250</v>
      </c>
      <c r="O98" t="s">
        <v>2621</v>
      </c>
      <c r="P98" t="s">
        <v>218</v>
      </c>
      <c r="Q98" t="s">
        <v>1974</v>
      </c>
      <c r="R98" t="b">
        <v>0</v>
      </c>
      <c r="S98" t="s">
        <v>2526</v>
      </c>
      <c r="T98" t="s">
        <v>1300</v>
      </c>
      <c r="U98" t="s">
        <v>1965</v>
      </c>
      <c r="V98" t="b">
        <v>1</v>
      </c>
      <c r="W98" t="b">
        <v>0</v>
      </c>
    </row>
    <row r="99" spans="1:23" x14ac:dyDescent="0.3">
      <c r="A99" s="147">
        <f>IF(COUNTIF(LEDGER[LedgerCode],FinanceCodesBudget[[#This Row],[LedgerCode]])&gt;0,0,1)</f>
        <v>0</v>
      </c>
      <c r="B99" s="43">
        <f>IF(COUNTIF(Table_System_Grouping_Codes[groupingCodeCode],FinanceCodesBudget[[#This Row],[GroupingCode]])&gt;0,0,1)</f>
        <v>0</v>
      </c>
      <c r="C99" s="43">
        <f>IF(COUNTIF(CUSTGROUP[CustomGroupingCode],FinanceCodesBudget[[#This Row],[CustomGrouping]])&gt;0,0,1)</f>
        <v>0</v>
      </c>
      <c r="D99" s="43" cm="1">
        <f t="array" ref="D99">IF(FinanceCodesBudget[[#This Row],[AvailableToAllSchools]]=TRUE,0,COUNTA(_xlfn.TEXTSPLIT(FinanceCodesBudget[[#This Row],[SchoolCodes]],",",,TRUE))-SUM(COUNTIF(SCHOOLS[SchoolCode],_xlfn.TEXTSPLIT(FinanceCodesBudget[[#This Row],[SchoolCodes]],",",,TRUE))))</f>
        <v>0</v>
      </c>
      <c r="E99" s="43">
        <f>IF(FinanceCodesBudget[[#This Row],[FinanceCodeTypeCode]]="BUDGET",0,COUNTIF(FinanceCodesBudget[FinanceCode],FinanceCodesBudget[[#This Row],[FinanceCode]])-1)</f>
        <v>0</v>
      </c>
      <c r="F99" s="43">
        <f>IF(FinanceCodesBudget[[#This Row],[FinanceCodeTypeCode]]="BUDGET",0,COUNTIF(FinanceCodesBudget[Title],FinanceCodesBudget[[#This Row],[Title]])-1)</f>
        <v>0</v>
      </c>
      <c r="G99" s="43">
        <f>COUNTIF(Lookup!$A$2:$A$7,FinanceCodesBudget[[#This Row],[FinanceCodeTypeCode]])-1</f>
        <v>0</v>
      </c>
      <c r="H99" s="43">
        <f>IF(TRIM(FinanceCodesBudget[[#This Row],[Title]])="",1,0)</f>
        <v>0</v>
      </c>
      <c r="I99" s="43">
        <f>IF(TRIM(FinanceCodesBudget[[#This Row],[FinanceCode]])="",1,0)</f>
        <v>0</v>
      </c>
      <c r="J99" s="43">
        <f>IF(LEN(FinanceCodesBudget[[#This Row],[FinanceCode]])&lt;100,0,1)</f>
        <v>0</v>
      </c>
      <c r="K99" s="43">
        <f>IF(LEN(FinanceCodesBudget[[#This Row],[Title]])&lt;100,0,1)</f>
        <v>0</v>
      </c>
      <c r="L99" s="43">
        <f>IF(ISBLANK(FinanceCodesBudget[[#This Row],[BalanceToScenario]]),1,0)</f>
        <v>0</v>
      </c>
      <c r="M99" s="43">
        <f>SUM(FinanceCodesBudget[[#This Row],[LedgerIssue]:[CustGrIssue]],FinanceCodesBudget[[#This Row],[DupCode]:[Balance to Scenario Blank]])</f>
        <v>0</v>
      </c>
      <c r="N99">
        <v>580260</v>
      </c>
      <c r="O99" t="s">
        <v>2622</v>
      </c>
      <c r="P99" t="s">
        <v>1802</v>
      </c>
      <c r="Q99" t="s">
        <v>1974</v>
      </c>
      <c r="R99" t="b">
        <v>0</v>
      </c>
      <c r="S99" t="s">
        <v>2526</v>
      </c>
      <c r="T99" t="s">
        <v>1300</v>
      </c>
      <c r="U99" t="s">
        <v>1532</v>
      </c>
      <c r="V99" t="b">
        <v>1</v>
      </c>
      <c r="W99" t="b">
        <v>0</v>
      </c>
    </row>
    <row r="100" spans="1:23" x14ac:dyDescent="0.3">
      <c r="A100" s="147">
        <f>IF(COUNTIF(LEDGER[LedgerCode],FinanceCodesBudget[[#This Row],[LedgerCode]])&gt;0,0,1)</f>
        <v>0</v>
      </c>
      <c r="B100" s="43">
        <f>IF(COUNTIF(Table_System_Grouping_Codes[groupingCodeCode],FinanceCodesBudget[[#This Row],[GroupingCode]])&gt;0,0,1)</f>
        <v>0</v>
      </c>
      <c r="C100" s="43">
        <f>IF(COUNTIF(CUSTGROUP[CustomGroupingCode],FinanceCodesBudget[[#This Row],[CustomGrouping]])&gt;0,0,1)</f>
        <v>0</v>
      </c>
      <c r="D100" s="43" cm="1">
        <f t="array" ref="D100">IF(FinanceCodesBudget[[#This Row],[AvailableToAllSchools]]=TRUE,0,COUNTA(_xlfn.TEXTSPLIT(FinanceCodesBudget[[#This Row],[SchoolCodes]],",",,TRUE))-SUM(COUNTIF(SCHOOLS[SchoolCode],_xlfn.TEXTSPLIT(FinanceCodesBudget[[#This Row],[SchoolCodes]],",",,TRUE))))</f>
        <v>0</v>
      </c>
      <c r="E100" s="43">
        <f>IF(FinanceCodesBudget[[#This Row],[FinanceCodeTypeCode]]="BUDGET",0,COUNTIF(FinanceCodesBudget[FinanceCode],FinanceCodesBudget[[#This Row],[FinanceCode]])-1)</f>
        <v>0</v>
      </c>
      <c r="F100" s="43">
        <f>IF(FinanceCodesBudget[[#This Row],[FinanceCodeTypeCode]]="BUDGET",0,COUNTIF(FinanceCodesBudget[Title],FinanceCodesBudget[[#This Row],[Title]])-1)</f>
        <v>0</v>
      </c>
      <c r="G100" s="43">
        <f>COUNTIF(Lookup!$A$2:$A$7,FinanceCodesBudget[[#This Row],[FinanceCodeTypeCode]])-1</f>
        <v>0</v>
      </c>
      <c r="H100" s="43">
        <f>IF(TRIM(FinanceCodesBudget[[#This Row],[Title]])="",1,0)</f>
        <v>0</v>
      </c>
      <c r="I100" s="43">
        <f>IF(TRIM(FinanceCodesBudget[[#This Row],[FinanceCode]])="",1,0)</f>
        <v>0</v>
      </c>
      <c r="J100" s="43">
        <f>IF(LEN(FinanceCodesBudget[[#This Row],[FinanceCode]])&lt;100,0,1)</f>
        <v>0</v>
      </c>
      <c r="K100" s="43">
        <f>IF(LEN(FinanceCodesBudget[[#This Row],[Title]])&lt;100,0,1)</f>
        <v>0</v>
      </c>
      <c r="L100" s="43">
        <f>IF(ISBLANK(FinanceCodesBudget[[#This Row],[BalanceToScenario]]),1,0)</f>
        <v>0</v>
      </c>
      <c r="M100" s="43">
        <f>SUM(FinanceCodesBudget[[#This Row],[LedgerIssue]:[CustGrIssue]],FinanceCodesBudget[[#This Row],[DupCode]:[Balance to Scenario Blank]])</f>
        <v>0</v>
      </c>
      <c r="N100">
        <v>580300</v>
      </c>
      <c r="O100" t="s">
        <v>2623</v>
      </c>
      <c r="P100" t="s">
        <v>219</v>
      </c>
      <c r="Q100" t="s">
        <v>1974</v>
      </c>
      <c r="R100" t="b">
        <v>0</v>
      </c>
      <c r="S100" t="s">
        <v>2526</v>
      </c>
      <c r="T100" t="s">
        <v>1300</v>
      </c>
      <c r="U100" t="s">
        <v>1532</v>
      </c>
      <c r="V100" t="b">
        <v>1</v>
      </c>
      <c r="W100" t="b">
        <v>0</v>
      </c>
    </row>
    <row r="101" spans="1:23" x14ac:dyDescent="0.3">
      <c r="A101" s="147">
        <f>IF(COUNTIF(LEDGER[LedgerCode],FinanceCodesBudget[[#This Row],[LedgerCode]])&gt;0,0,1)</f>
        <v>0</v>
      </c>
      <c r="B101" s="43">
        <f>IF(COUNTIF(Table_System_Grouping_Codes[groupingCodeCode],FinanceCodesBudget[[#This Row],[GroupingCode]])&gt;0,0,1)</f>
        <v>0</v>
      </c>
      <c r="C101" s="43">
        <f>IF(COUNTIF(CUSTGROUP[CustomGroupingCode],FinanceCodesBudget[[#This Row],[CustomGrouping]])&gt;0,0,1)</f>
        <v>0</v>
      </c>
      <c r="D101" s="43" cm="1">
        <f t="array" ref="D101">IF(FinanceCodesBudget[[#This Row],[AvailableToAllSchools]]=TRUE,0,COUNTA(_xlfn.TEXTSPLIT(FinanceCodesBudget[[#This Row],[SchoolCodes]],",",,TRUE))-SUM(COUNTIF(SCHOOLS[SchoolCode],_xlfn.TEXTSPLIT(FinanceCodesBudget[[#This Row],[SchoolCodes]],",",,TRUE))))</f>
        <v>0</v>
      </c>
      <c r="E101" s="43">
        <f>IF(FinanceCodesBudget[[#This Row],[FinanceCodeTypeCode]]="BUDGET",0,COUNTIF(FinanceCodesBudget[FinanceCode],FinanceCodesBudget[[#This Row],[FinanceCode]])-1)</f>
        <v>0</v>
      </c>
      <c r="F101" s="43">
        <f>IF(FinanceCodesBudget[[#This Row],[FinanceCodeTypeCode]]="BUDGET",0,COUNTIF(FinanceCodesBudget[Title],FinanceCodesBudget[[#This Row],[Title]])-1)</f>
        <v>0</v>
      </c>
      <c r="G101" s="43">
        <f>COUNTIF(Lookup!$A$2:$A$7,FinanceCodesBudget[[#This Row],[FinanceCodeTypeCode]])-1</f>
        <v>0</v>
      </c>
      <c r="H101" s="43">
        <f>IF(TRIM(FinanceCodesBudget[[#This Row],[Title]])="",1,0)</f>
        <v>0</v>
      </c>
      <c r="I101" s="43">
        <f>IF(TRIM(FinanceCodesBudget[[#This Row],[FinanceCode]])="",1,0)</f>
        <v>0</v>
      </c>
      <c r="J101" s="43">
        <f>IF(LEN(FinanceCodesBudget[[#This Row],[FinanceCode]])&lt;100,0,1)</f>
        <v>0</v>
      </c>
      <c r="K101" s="43">
        <f>IF(LEN(FinanceCodesBudget[[#This Row],[Title]])&lt;100,0,1)</f>
        <v>0</v>
      </c>
      <c r="L101" s="43">
        <f>IF(ISBLANK(FinanceCodesBudget[[#This Row],[BalanceToScenario]]),1,0)</f>
        <v>0</v>
      </c>
      <c r="M101" s="43">
        <f>SUM(FinanceCodesBudget[[#This Row],[LedgerIssue]:[CustGrIssue]],FinanceCodesBudget[[#This Row],[DupCode]:[Balance to Scenario Blank]])</f>
        <v>0</v>
      </c>
      <c r="N101">
        <v>580310</v>
      </c>
      <c r="O101" t="s">
        <v>2624</v>
      </c>
      <c r="P101" t="s">
        <v>1805</v>
      </c>
      <c r="Q101" t="s">
        <v>1974</v>
      </c>
      <c r="R101" t="b">
        <v>0</v>
      </c>
      <c r="S101" t="s">
        <v>2526</v>
      </c>
      <c r="T101" t="s">
        <v>1300</v>
      </c>
      <c r="U101" t="s">
        <v>1532</v>
      </c>
      <c r="V101" t="b">
        <v>1</v>
      </c>
      <c r="W101" t="b">
        <v>0</v>
      </c>
    </row>
    <row r="102" spans="1:23" x14ac:dyDescent="0.3">
      <c r="A102" s="147">
        <f>IF(COUNTIF(LEDGER[LedgerCode],FinanceCodesBudget[[#This Row],[LedgerCode]])&gt;0,0,1)</f>
        <v>0</v>
      </c>
      <c r="B102" s="43">
        <f>IF(COUNTIF(Table_System_Grouping_Codes[groupingCodeCode],FinanceCodesBudget[[#This Row],[GroupingCode]])&gt;0,0,1)</f>
        <v>0</v>
      </c>
      <c r="C102" s="43">
        <f>IF(COUNTIF(CUSTGROUP[CustomGroupingCode],FinanceCodesBudget[[#This Row],[CustomGrouping]])&gt;0,0,1)</f>
        <v>0</v>
      </c>
      <c r="D102" s="43" cm="1">
        <f t="array" ref="D102">IF(FinanceCodesBudget[[#This Row],[AvailableToAllSchools]]=TRUE,0,COUNTA(_xlfn.TEXTSPLIT(FinanceCodesBudget[[#This Row],[SchoolCodes]],",",,TRUE))-SUM(COUNTIF(SCHOOLS[SchoolCode],_xlfn.TEXTSPLIT(FinanceCodesBudget[[#This Row],[SchoolCodes]],",",,TRUE))))</f>
        <v>0</v>
      </c>
      <c r="E102" s="43">
        <f>IF(FinanceCodesBudget[[#This Row],[FinanceCodeTypeCode]]="BUDGET",0,COUNTIF(FinanceCodesBudget[FinanceCode],FinanceCodesBudget[[#This Row],[FinanceCode]])-1)</f>
        <v>0</v>
      </c>
      <c r="F102" s="43">
        <f>IF(FinanceCodesBudget[[#This Row],[FinanceCodeTypeCode]]="BUDGET",0,COUNTIF(FinanceCodesBudget[Title],FinanceCodesBudget[[#This Row],[Title]])-1)</f>
        <v>0</v>
      </c>
      <c r="G102" s="43">
        <f>COUNTIF(Lookup!$A$2:$A$7,FinanceCodesBudget[[#This Row],[FinanceCodeTypeCode]])-1</f>
        <v>0</v>
      </c>
      <c r="H102" s="43">
        <f>IF(TRIM(FinanceCodesBudget[[#This Row],[Title]])="",1,0)</f>
        <v>0</v>
      </c>
      <c r="I102" s="43">
        <f>IF(TRIM(FinanceCodesBudget[[#This Row],[FinanceCode]])="",1,0)</f>
        <v>0</v>
      </c>
      <c r="J102" s="43">
        <f>IF(LEN(FinanceCodesBudget[[#This Row],[FinanceCode]])&lt;100,0,1)</f>
        <v>0</v>
      </c>
      <c r="K102" s="43">
        <f>IF(LEN(FinanceCodesBudget[[#This Row],[Title]])&lt;100,0,1)</f>
        <v>0</v>
      </c>
      <c r="L102" s="43">
        <f>IF(ISBLANK(FinanceCodesBudget[[#This Row],[BalanceToScenario]]),1,0)</f>
        <v>0</v>
      </c>
      <c r="M102" s="43">
        <f>SUM(FinanceCodesBudget[[#This Row],[LedgerIssue]:[CustGrIssue]],FinanceCodesBudget[[#This Row],[DupCode]:[Balance to Scenario Blank]])</f>
        <v>0</v>
      </c>
      <c r="N102">
        <v>580350</v>
      </c>
      <c r="O102" t="s">
        <v>2625</v>
      </c>
      <c r="P102" t="s">
        <v>220</v>
      </c>
      <c r="Q102" t="s">
        <v>1974</v>
      </c>
      <c r="R102" t="b">
        <v>0</v>
      </c>
      <c r="S102" t="s">
        <v>2526</v>
      </c>
      <c r="T102" t="s">
        <v>1300</v>
      </c>
      <c r="U102" t="s">
        <v>1532</v>
      </c>
      <c r="V102" t="b">
        <v>1</v>
      </c>
      <c r="W102" t="b">
        <v>0</v>
      </c>
    </row>
    <row r="103" spans="1:23" x14ac:dyDescent="0.3">
      <c r="A103" s="147">
        <f>IF(COUNTIF(LEDGER[LedgerCode],FinanceCodesBudget[[#This Row],[LedgerCode]])&gt;0,0,1)</f>
        <v>0</v>
      </c>
      <c r="B103" s="43">
        <f>IF(COUNTIF(Table_System_Grouping_Codes[groupingCodeCode],FinanceCodesBudget[[#This Row],[GroupingCode]])&gt;0,0,1)</f>
        <v>0</v>
      </c>
      <c r="C103" s="43">
        <f>IF(COUNTIF(CUSTGROUP[CustomGroupingCode],FinanceCodesBudget[[#This Row],[CustomGrouping]])&gt;0,0,1)</f>
        <v>0</v>
      </c>
      <c r="D103" s="43" cm="1">
        <f t="array" ref="D103">IF(FinanceCodesBudget[[#This Row],[AvailableToAllSchools]]=TRUE,0,COUNTA(_xlfn.TEXTSPLIT(FinanceCodesBudget[[#This Row],[SchoolCodes]],",",,TRUE))-SUM(COUNTIF(SCHOOLS[SchoolCode],_xlfn.TEXTSPLIT(FinanceCodesBudget[[#This Row],[SchoolCodes]],",",,TRUE))))</f>
        <v>0</v>
      </c>
      <c r="E103" s="43">
        <f>IF(FinanceCodesBudget[[#This Row],[FinanceCodeTypeCode]]="BUDGET",0,COUNTIF(FinanceCodesBudget[FinanceCode],FinanceCodesBudget[[#This Row],[FinanceCode]])-1)</f>
        <v>0</v>
      </c>
      <c r="F103" s="43">
        <f>IF(FinanceCodesBudget[[#This Row],[FinanceCodeTypeCode]]="BUDGET",0,COUNTIF(FinanceCodesBudget[Title],FinanceCodesBudget[[#This Row],[Title]])-1)</f>
        <v>0</v>
      </c>
      <c r="G103" s="43">
        <f>COUNTIF(Lookup!$A$2:$A$7,FinanceCodesBudget[[#This Row],[FinanceCodeTypeCode]])-1</f>
        <v>0</v>
      </c>
      <c r="H103" s="43">
        <f>IF(TRIM(FinanceCodesBudget[[#This Row],[Title]])="",1,0)</f>
        <v>0</v>
      </c>
      <c r="I103" s="43">
        <f>IF(TRIM(FinanceCodesBudget[[#This Row],[FinanceCode]])="",1,0)</f>
        <v>0</v>
      </c>
      <c r="J103" s="43">
        <f>IF(LEN(FinanceCodesBudget[[#This Row],[FinanceCode]])&lt;100,0,1)</f>
        <v>0</v>
      </c>
      <c r="K103" s="43">
        <f>IF(LEN(FinanceCodesBudget[[#This Row],[Title]])&lt;100,0,1)</f>
        <v>0</v>
      </c>
      <c r="L103" s="43">
        <f>IF(ISBLANK(FinanceCodesBudget[[#This Row],[BalanceToScenario]]),1,0)</f>
        <v>0</v>
      </c>
      <c r="M103" s="43">
        <f>SUM(FinanceCodesBudget[[#This Row],[LedgerIssue]:[CustGrIssue]],FinanceCodesBudget[[#This Row],[DupCode]:[Balance to Scenario Blank]])</f>
        <v>0</v>
      </c>
      <c r="N103">
        <v>580360</v>
      </c>
      <c r="O103" t="s">
        <v>2626</v>
      </c>
      <c r="P103" t="s">
        <v>222</v>
      </c>
      <c r="Q103" t="s">
        <v>1974</v>
      </c>
      <c r="R103" t="b">
        <v>0</v>
      </c>
      <c r="S103" t="s">
        <v>2526</v>
      </c>
      <c r="T103" t="s">
        <v>1300</v>
      </c>
      <c r="U103" t="s">
        <v>1532</v>
      </c>
      <c r="V103" t="b">
        <v>1</v>
      </c>
      <c r="W103" t="b">
        <v>0</v>
      </c>
    </row>
    <row r="104" spans="1:23" x14ac:dyDescent="0.3">
      <c r="A104" s="147">
        <f>IF(COUNTIF(LEDGER[LedgerCode],FinanceCodesBudget[[#This Row],[LedgerCode]])&gt;0,0,1)</f>
        <v>0</v>
      </c>
      <c r="B104" s="43">
        <f>IF(COUNTIF(Table_System_Grouping_Codes[groupingCodeCode],FinanceCodesBudget[[#This Row],[GroupingCode]])&gt;0,0,1)</f>
        <v>0</v>
      </c>
      <c r="C104" s="43">
        <f>IF(COUNTIF(CUSTGROUP[CustomGroupingCode],FinanceCodesBudget[[#This Row],[CustomGrouping]])&gt;0,0,1)</f>
        <v>0</v>
      </c>
      <c r="D104" s="43" cm="1">
        <f t="array" ref="D104">IF(FinanceCodesBudget[[#This Row],[AvailableToAllSchools]]=TRUE,0,COUNTA(_xlfn.TEXTSPLIT(FinanceCodesBudget[[#This Row],[SchoolCodes]],",",,TRUE))-SUM(COUNTIF(SCHOOLS[SchoolCode],_xlfn.TEXTSPLIT(FinanceCodesBudget[[#This Row],[SchoolCodes]],",",,TRUE))))</f>
        <v>0</v>
      </c>
      <c r="E104" s="43">
        <f>IF(FinanceCodesBudget[[#This Row],[FinanceCodeTypeCode]]="BUDGET",0,COUNTIF(FinanceCodesBudget[FinanceCode],FinanceCodesBudget[[#This Row],[FinanceCode]])-1)</f>
        <v>0</v>
      </c>
      <c r="F104" s="43">
        <f>IF(FinanceCodesBudget[[#This Row],[FinanceCodeTypeCode]]="BUDGET",0,COUNTIF(FinanceCodesBudget[Title],FinanceCodesBudget[[#This Row],[Title]])-1)</f>
        <v>0</v>
      </c>
      <c r="G104" s="43">
        <f>COUNTIF(Lookup!$A$2:$A$7,FinanceCodesBudget[[#This Row],[FinanceCodeTypeCode]])-1</f>
        <v>0</v>
      </c>
      <c r="H104" s="43">
        <f>IF(TRIM(FinanceCodesBudget[[#This Row],[Title]])="",1,0)</f>
        <v>0</v>
      </c>
      <c r="I104" s="43">
        <f>IF(TRIM(FinanceCodesBudget[[#This Row],[FinanceCode]])="",1,0)</f>
        <v>0</v>
      </c>
      <c r="J104" s="43">
        <f>IF(LEN(FinanceCodesBudget[[#This Row],[FinanceCode]])&lt;100,0,1)</f>
        <v>0</v>
      </c>
      <c r="K104" s="43">
        <f>IF(LEN(FinanceCodesBudget[[#This Row],[Title]])&lt;100,0,1)</f>
        <v>0</v>
      </c>
      <c r="L104" s="43">
        <f>IF(ISBLANK(FinanceCodesBudget[[#This Row],[BalanceToScenario]]),1,0)</f>
        <v>0</v>
      </c>
      <c r="M104" s="43">
        <f>SUM(FinanceCodesBudget[[#This Row],[LedgerIssue]:[CustGrIssue]],FinanceCodesBudget[[#This Row],[DupCode]:[Balance to Scenario Blank]])</f>
        <v>0</v>
      </c>
      <c r="N104">
        <v>580400</v>
      </c>
      <c r="O104" t="s">
        <v>2627</v>
      </c>
      <c r="P104" t="s">
        <v>224</v>
      </c>
      <c r="Q104" t="s">
        <v>1974</v>
      </c>
      <c r="R104" t="b">
        <v>0</v>
      </c>
      <c r="S104" t="s">
        <v>2526</v>
      </c>
      <c r="T104" t="s">
        <v>1300</v>
      </c>
      <c r="U104" t="s">
        <v>1532</v>
      </c>
      <c r="V104" t="b">
        <v>1</v>
      </c>
      <c r="W104" t="b">
        <v>0</v>
      </c>
    </row>
    <row r="105" spans="1:23" x14ac:dyDescent="0.3">
      <c r="A105" s="147">
        <f>IF(COUNTIF(LEDGER[LedgerCode],FinanceCodesBudget[[#This Row],[LedgerCode]])&gt;0,0,1)</f>
        <v>0</v>
      </c>
      <c r="B105" s="43">
        <f>IF(COUNTIF(Table_System_Grouping_Codes[groupingCodeCode],FinanceCodesBudget[[#This Row],[GroupingCode]])&gt;0,0,1)</f>
        <v>0</v>
      </c>
      <c r="C105" s="43">
        <f>IF(COUNTIF(CUSTGROUP[CustomGroupingCode],FinanceCodesBudget[[#This Row],[CustomGrouping]])&gt;0,0,1)</f>
        <v>0</v>
      </c>
      <c r="D105" s="43" cm="1">
        <f t="array" ref="D105">IF(FinanceCodesBudget[[#This Row],[AvailableToAllSchools]]=TRUE,0,COUNTA(_xlfn.TEXTSPLIT(FinanceCodesBudget[[#This Row],[SchoolCodes]],",",,TRUE))-SUM(COUNTIF(SCHOOLS[SchoolCode],_xlfn.TEXTSPLIT(FinanceCodesBudget[[#This Row],[SchoolCodes]],",",,TRUE))))</f>
        <v>0</v>
      </c>
      <c r="E105" s="43">
        <f>IF(FinanceCodesBudget[[#This Row],[FinanceCodeTypeCode]]="BUDGET",0,COUNTIF(FinanceCodesBudget[FinanceCode],FinanceCodesBudget[[#This Row],[FinanceCode]])-1)</f>
        <v>0</v>
      </c>
      <c r="F105" s="43">
        <f>IF(FinanceCodesBudget[[#This Row],[FinanceCodeTypeCode]]="BUDGET",0,COUNTIF(FinanceCodesBudget[Title],FinanceCodesBudget[[#This Row],[Title]])-1)</f>
        <v>0</v>
      </c>
      <c r="G105" s="43">
        <f>COUNTIF(Lookup!$A$2:$A$7,FinanceCodesBudget[[#This Row],[FinanceCodeTypeCode]])-1</f>
        <v>0</v>
      </c>
      <c r="H105" s="43">
        <f>IF(TRIM(FinanceCodesBudget[[#This Row],[Title]])="",1,0)</f>
        <v>0</v>
      </c>
      <c r="I105" s="43">
        <f>IF(TRIM(FinanceCodesBudget[[#This Row],[FinanceCode]])="",1,0)</f>
        <v>0</v>
      </c>
      <c r="J105" s="43">
        <f>IF(LEN(FinanceCodesBudget[[#This Row],[FinanceCode]])&lt;100,0,1)</f>
        <v>0</v>
      </c>
      <c r="K105" s="43">
        <f>IF(LEN(FinanceCodesBudget[[#This Row],[Title]])&lt;100,0,1)</f>
        <v>0</v>
      </c>
      <c r="L105" s="43">
        <f>IF(ISBLANK(FinanceCodesBudget[[#This Row],[BalanceToScenario]]),1,0)</f>
        <v>0</v>
      </c>
      <c r="M105" s="43">
        <f>SUM(FinanceCodesBudget[[#This Row],[LedgerIssue]:[CustGrIssue]],FinanceCodesBudget[[#This Row],[DupCode]:[Balance to Scenario Blank]])</f>
        <v>0</v>
      </c>
      <c r="N105">
        <v>580410</v>
      </c>
      <c r="O105" t="s">
        <v>2628</v>
      </c>
      <c r="P105" t="s">
        <v>226</v>
      </c>
      <c r="Q105" t="s">
        <v>1974</v>
      </c>
      <c r="R105" t="b">
        <v>0</v>
      </c>
      <c r="S105" t="s">
        <v>2526</v>
      </c>
      <c r="T105" t="s">
        <v>1300</v>
      </c>
      <c r="U105" t="s">
        <v>1532</v>
      </c>
      <c r="V105" t="b">
        <v>1</v>
      </c>
      <c r="W105" t="b">
        <v>0</v>
      </c>
    </row>
    <row r="106" spans="1:23" x14ac:dyDescent="0.3">
      <c r="A106" s="147">
        <f>IF(COUNTIF(LEDGER[LedgerCode],FinanceCodesBudget[[#This Row],[LedgerCode]])&gt;0,0,1)</f>
        <v>0</v>
      </c>
      <c r="B106" s="43">
        <f>IF(COUNTIF(Table_System_Grouping_Codes[groupingCodeCode],FinanceCodesBudget[[#This Row],[GroupingCode]])&gt;0,0,1)</f>
        <v>0</v>
      </c>
      <c r="C106" s="43">
        <f>IF(COUNTIF(CUSTGROUP[CustomGroupingCode],FinanceCodesBudget[[#This Row],[CustomGrouping]])&gt;0,0,1)</f>
        <v>0</v>
      </c>
      <c r="D106" s="43" cm="1">
        <f t="array" ref="D106">IF(FinanceCodesBudget[[#This Row],[AvailableToAllSchools]]=TRUE,0,COUNTA(_xlfn.TEXTSPLIT(FinanceCodesBudget[[#This Row],[SchoolCodes]],",",,TRUE))-SUM(COUNTIF(SCHOOLS[SchoolCode],_xlfn.TEXTSPLIT(FinanceCodesBudget[[#This Row],[SchoolCodes]],",",,TRUE))))</f>
        <v>0</v>
      </c>
      <c r="E106" s="43">
        <f>IF(FinanceCodesBudget[[#This Row],[FinanceCodeTypeCode]]="BUDGET",0,COUNTIF(FinanceCodesBudget[FinanceCode],FinanceCodesBudget[[#This Row],[FinanceCode]])-1)</f>
        <v>0</v>
      </c>
      <c r="F106" s="43">
        <f>IF(FinanceCodesBudget[[#This Row],[FinanceCodeTypeCode]]="BUDGET",0,COUNTIF(FinanceCodesBudget[Title],FinanceCodesBudget[[#This Row],[Title]])-1)</f>
        <v>0</v>
      </c>
      <c r="G106" s="43">
        <f>COUNTIF(Lookup!$A$2:$A$7,FinanceCodesBudget[[#This Row],[FinanceCodeTypeCode]])-1</f>
        <v>0</v>
      </c>
      <c r="H106" s="43">
        <f>IF(TRIM(FinanceCodesBudget[[#This Row],[Title]])="",1,0)</f>
        <v>0</v>
      </c>
      <c r="I106" s="43">
        <f>IF(TRIM(FinanceCodesBudget[[#This Row],[FinanceCode]])="",1,0)</f>
        <v>0</v>
      </c>
      <c r="J106" s="43">
        <f>IF(LEN(FinanceCodesBudget[[#This Row],[FinanceCode]])&lt;100,0,1)</f>
        <v>0</v>
      </c>
      <c r="K106" s="43">
        <f>IF(LEN(FinanceCodesBudget[[#This Row],[Title]])&lt;100,0,1)</f>
        <v>0</v>
      </c>
      <c r="L106" s="43">
        <f>IF(ISBLANK(FinanceCodesBudget[[#This Row],[BalanceToScenario]]),1,0)</f>
        <v>0</v>
      </c>
      <c r="M106" s="43">
        <f>SUM(FinanceCodesBudget[[#This Row],[LedgerIssue]:[CustGrIssue]],FinanceCodesBudget[[#This Row],[DupCode]:[Balance to Scenario Blank]])</f>
        <v>0</v>
      </c>
      <c r="N106">
        <v>590100</v>
      </c>
      <c r="O106" t="s">
        <v>2629</v>
      </c>
      <c r="P106" t="s">
        <v>228</v>
      </c>
      <c r="Q106" t="s">
        <v>849</v>
      </c>
      <c r="R106" t="b">
        <v>0</v>
      </c>
      <c r="S106" t="s">
        <v>2526</v>
      </c>
      <c r="T106" t="s">
        <v>1300</v>
      </c>
      <c r="U106" t="s">
        <v>1965</v>
      </c>
      <c r="V106" t="b">
        <v>1</v>
      </c>
      <c r="W106" t="b">
        <v>0</v>
      </c>
    </row>
    <row r="107" spans="1:23" x14ac:dyDescent="0.3">
      <c r="A107" s="147">
        <f>IF(COUNTIF(LEDGER[LedgerCode],FinanceCodesBudget[[#This Row],[LedgerCode]])&gt;0,0,1)</f>
        <v>0</v>
      </c>
      <c r="B107" s="43">
        <f>IF(COUNTIF(Table_System_Grouping_Codes[groupingCodeCode],FinanceCodesBudget[[#This Row],[GroupingCode]])&gt;0,0,1)</f>
        <v>0</v>
      </c>
      <c r="C107" s="43">
        <f>IF(COUNTIF(CUSTGROUP[CustomGroupingCode],FinanceCodesBudget[[#This Row],[CustomGrouping]])&gt;0,0,1)</f>
        <v>0</v>
      </c>
      <c r="D107" s="43" cm="1">
        <f t="array" ref="D107">IF(FinanceCodesBudget[[#This Row],[AvailableToAllSchools]]=TRUE,0,COUNTA(_xlfn.TEXTSPLIT(FinanceCodesBudget[[#This Row],[SchoolCodes]],",",,TRUE))-SUM(COUNTIF(SCHOOLS[SchoolCode],_xlfn.TEXTSPLIT(FinanceCodesBudget[[#This Row],[SchoolCodes]],",",,TRUE))))</f>
        <v>0</v>
      </c>
      <c r="E107" s="43">
        <f>IF(FinanceCodesBudget[[#This Row],[FinanceCodeTypeCode]]="BUDGET",0,COUNTIF(FinanceCodesBudget[FinanceCode],FinanceCodesBudget[[#This Row],[FinanceCode]])-1)</f>
        <v>0</v>
      </c>
      <c r="F107" s="43">
        <f>IF(FinanceCodesBudget[[#This Row],[FinanceCodeTypeCode]]="BUDGET",0,COUNTIF(FinanceCodesBudget[Title],FinanceCodesBudget[[#This Row],[Title]])-1)</f>
        <v>0</v>
      </c>
      <c r="G107" s="43">
        <f>COUNTIF(Lookup!$A$2:$A$7,FinanceCodesBudget[[#This Row],[FinanceCodeTypeCode]])-1</f>
        <v>0</v>
      </c>
      <c r="H107" s="43">
        <f>IF(TRIM(FinanceCodesBudget[[#This Row],[Title]])="",1,0)</f>
        <v>0</v>
      </c>
      <c r="I107" s="43">
        <f>IF(TRIM(FinanceCodesBudget[[#This Row],[FinanceCode]])="",1,0)</f>
        <v>0</v>
      </c>
      <c r="J107" s="43">
        <f>IF(LEN(FinanceCodesBudget[[#This Row],[FinanceCode]])&lt;100,0,1)</f>
        <v>0</v>
      </c>
      <c r="K107" s="43">
        <f>IF(LEN(FinanceCodesBudget[[#This Row],[Title]])&lt;100,0,1)</f>
        <v>0</v>
      </c>
      <c r="L107" s="43">
        <f>IF(ISBLANK(FinanceCodesBudget[[#This Row],[BalanceToScenario]]),1,0)</f>
        <v>0</v>
      </c>
      <c r="M107" s="43">
        <f>SUM(FinanceCodesBudget[[#This Row],[LedgerIssue]:[CustGrIssue]],FinanceCodesBudget[[#This Row],[DupCode]:[Balance to Scenario Blank]])</f>
        <v>0</v>
      </c>
      <c r="N107">
        <v>590200</v>
      </c>
      <c r="O107" t="s">
        <v>2630</v>
      </c>
      <c r="P107" t="s">
        <v>230</v>
      </c>
      <c r="Q107" t="s">
        <v>1972</v>
      </c>
      <c r="R107" t="b">
        <v>0</v>
      </c>
      <c r="S107" t="s">
        <v>2526</v>
      </c>
      <c r="T107" t="s">
        <v>1300</v>
      </c>
      <c r="U107" t="s">
        <v>1532</v>
      </c>
      <c r="V107" t="b">
        <v>1</v>
      </c>
      <c r="W107" t="b">
        <v>0</v>
      </c>
    </row>
    <row r="108" spans="1:23" x14ac:dyDescent="0.3">
      <c r="A108" s="147">
        <f>IF(COUNTIF(LEDGER[LedgerCode],FinanceCodesBudget[[#This Row],[LedgerCode]])&gt;0,0,1)</f>
        <v>0</v>
      </c>
      <c r="B108" s="43">
        <f>IF(COUNTIF(Table_System_Grouping_Codes[groupingCodeCode],FinanceCodesBudget[[#This Row],[GroupingCode]])&gt;0,0,1)</f>
        <v>0</v>
      </c>
      <c r="C108" s="43">
        <f>IF(COUNTIF(CUSTGROUP[CustomGroupingCode],FinanceCodesBudget[[#This Row],[CustomGrouping]])&gt;0,0,1)</f>
        <v>0</v>
      </c>
      <c r="D108" s="43" cm="1">
        <f t="array" ref="D108">IF(FinanceCodesBudget[[#This Row],[AvailableToAllSchools]]=TRUE,0,COUNTA(_xlfn.TEXTSPLIT(FinanceCodesBudget[[#This Row],[SchoolCodes]],",",,TRUE))-SUM(COUNTIF(SCHOOLS[SchoolCode],_xlfn.TEXTSPLIT(FinanceCodesBudget[[#This Row],[SchoolCodes]],",",,TRUE))))</f>
        <v>0</v>
      </c>
      <c r="E108" s="43">
        <f>IF(FinanceCodesBudget[[#This Row],[FinanceCodeTypeCode]]="BUDGET",0,COUNTIF(FinanceCodesBudget[FinanceCode],FinanceCodesBudget[[#This Row],[FinanceCode]])-1)</f>
        <v>0</v>
      </c>
      <c r="F108" s="43">
        <f>IF(FinanceCodesBudget[[#This Row],[FinanceCodeTypeCode]]="BUDGET",0,COUNTIF(FinanceCodesBudget[Title],FinanceCodesBudget[[#This Row],[Title]])-1)</f>
        <v>0</v>
      </c>
      <c r="G108" s="43">
        <f>COUNTIF(Lookup!$A$2:$A$7,FinanceCodesBudget[[#This Row],[FinanceCodeTypeCode]])-1</f>
        <v>0</v>
      </c>
      <c r="H108" s="43">
        <f>IF(TRIM(FinanceCodesBudget[[#This Row],[Title]])="",1,0)</f>
        <v>0</v>
      </c>
      <c r="I108" s="43">
        <f>IF(TRIM(FinanceCodesBudget[[#This Row],[FinanceCode]])="",1,0)</f>
        <v>0</v>
      </c>
      <c r="J108" s="43">
        <f>IF(LEN(FinanceCodesBudget[[#This Row],[FinanceCode]])&lt;100,0,1)</f>
        <v>0</v>
      </c>
      <c r="K108" s="43">
        <f>IF(LEN(FinanceCodesBudget[[#This Row],[Title]])&lt;100,0,1)</f>
        <v>0</v>
      </c>
      <c r="L108" s="43">
        <f>IF(ISBLANK(FinanceCodesBudget[[#This Row],[BalanceToScenario]]),1,0)</f>
        <v>0</v>
      </c>
      <c r="M108" s="43">
        <f>SUM(FinanceCodesBudget[[#This Row],[LedgerIssue]:[CustGrIssue]],FinanceCodesBudget[[#This Row],[DupCode]:[Balance to Scenario Blank]])</f>
        <v>0</v>
      </c>
      <c r="N108">
        <v>590210</v>
      </c>
      <c r="O108" t="s">
        <v>2631</v>
      </c>
      <c r="P108" t="s">
        <v>232</v>
      </c>
      <c r="Q108" t="s">
        <v>1972</v>
      </c>
      <c r="R108" t="b">
        <v>0</v>
      </c>
      <c r="S108" t="s">
        <v>2526</v>
      </c>
      <c r="T108" t="s">
        <v>1300</v>
      </c>
      <c r="U108" t="s">
        <v>1532</v>
      </c>
      <c r="V108" t="b">
        <v>1</v>
      </c>
      <c r="W108" t="b">
        <v>0</v>
      </c>
    </row>
    <row r="109" spans="1:23" x14ac:dyDescent="0.3">
      <c r="A109" s="147">
        <f>IF(COUNTIF(LEDGER[LedgerCode],FinanceCodesBudget[[#This Row],[LedgerCode]])&gt;0,0,1)</f>
        <v>0</v>
      </c>
      <c r="B109" s="43">
        <f>IF(COUNTIF(Table_System_Grouping_Codes[groupingCodeCode],FinanceCodesBudget[[#This Row],[GroupingCode]])&gt;0,0,1)</f>
        <v>0</v>
      </c>
      <c r="C109" s="43">
        <f>IF(COUNTIF(CUSTGROUP[CustomGroupingCode],FinanceCodesBudget[[#This Row],[CustomGrouping]])&gt;0,0,1)</f>
        <v>0</v>
      </c>
      <c r="D109" s="43" cm="1">
        <f t="array" ref="D109">IF(FinanceCodesBudget[[#This Row],[AvailableToAllSchools]]=TRUE,0,COUNTA(_xlfn.TEXTSPLIT(FinanceCodesBudget[[#This Row],[SchoolCodes]],",",,TRUE))-SUM(COUNTIF(SCHOOLS[SchoolCode],_xlfn.TEXTSPLIT(FinanceCodesBudget[[#This Row],[SchoolCodes]],",",,TRUE))))</f>
        <v>0</v>
      </c>
      <c r="E109" s="43">
        <f>IF(FinanceCodesBudget[[#This Row],[FinanceCodeTypeCode]]="BUDGET",0,COUNTIF(FinanceCodesBudget[FinanceCode],FinanceCodesBudget[[#This Row],[FinanceCode]])-1)</f>
        <v>0</v>
      </c>
      <c r="F109" s="43">
        <f>IF(FinanceCodesBudget[[#This Row],[FinanceCodeTypeCode]]="BUDGET",0,COUNTIF(FinanceCodesBudget[Title],FinanceCodesBudget[[#This Row],[Title]])-1)</f>
        <v>0</v>
      </c>
      <c r="G109" s="43">
        <f>COUNTIF(Lookup!$A$2:$A$7,FinanceCodesBudget[[#This Row],[FinanceCodeTypeCode]])-1</f>
        <v>0</v>
      </c>
      <c r="H109" s="43">
        <f>IF(TRIM(FinanceCodesBudget[[#This Row],[Title]])="",1,0)</f>
        <v>0</v>
      </c>
      <c r="I109" s="43">
        <f>IF(TRIM(FinanceCodesBudget[[#This Row],[FinanceCode]])="",1,0)</f>
        <v>0</v>
      </c>
      <c r="J109" s="43">
        <f>IF(LEN(FinanceCodesBudget[[#This Row],[FinanceCode]])&lt;100,0,1)</f>
        <v>0</v>
      </c>
      <c r="K109" s="43">
        <f>IF(LEN(FinanceCodesBudget[[#This Row],[Title]])&lt;100,0,1)</f>
        <v>0</v>
      </c>
      <c r="L109" s="43">
        <f>IF(ISBLANK(FinanceCodesBudget[[#This Row],[BalanceToScenario]]),1,0)</f>
        <v>0</v>
      </c>
      <c r="M109" s="43">
        <f>SUM(FinanceCodesBudget[[#This Row],[LedgerIssue]:[CustGrIssue]],FinanceCodesBudget[[#This Row],[DupCode]:[Balance to Scenario Blank]])</f>
        <v>0</v>
      </c>
      <c r="N109">
        <v>590300</v>
      </c>
      <c r="O109" t="s">
        <v>2632</v>
      </c>
      <c r="P109" t="s">
        <v>234</v>
      </c>
      <c r="Q109" t="s">
        <v>849</v>
      </c>
      <c r="R109" t="b">
        <v>0</v>
      </c>
      <c r="S109" t="s">
        <v>2526</v>
      </c>
      <c r="T109" t="s">
        <v>1300</v>
      </c>
      <c r="U109" t="s">
        <v>1965</v>
      </c>
      <c r="V109" t="b">
        <v>1</v>
      </c>
      <c r="W109" t="b">
        <v>0</v>
      </c>
    </row>
    <row r="110" spans="1:23" x14ac:dyDescent="0.3">
      <c r="A110" s="147">
        <f>IF(COUNTIF(LEDGER[LedgerCode],FinanceCodesBudget[[#This Row],[LedgerCode]])&gt;0,0,1)</f>
        <v>0</v>
      </c>
      <c r="B110" s="43">
        <f>IF(COUNTIF(Table_System_Grouping_Codes[groupingCodeCode],FinanceCodesBudget[[#This Row],[GroupingCode]])&gt;0,0,1)</f>
        <v>0</v>
      </c>
      <c r="C110" s="43">
        <f>IF(COUNTIF(CUSTGROUP[CustomGroupingCode],FinanceCodesBudget[[#This Row],[CustomGrouping]])&gt;0,0,1)</f>
        <v>0</v>
      </c>
      <c r="D110" s="43" cm="1">
        <f t="array" ref="D110">IF(FinanceCodesBudget[[#This Row],[AvailableToAllSchools]]=TRUE,0,COUNTA(_xlfn.TEXTSPLIT(FinanceCodesBudget[[#This Row],[SchoolCodes]],",",,TRUE))-SUM(COUNTIF(SCHOOLS[SchoolCode],_xlfn.TEXTSPLIT(FinanceCodesBudget[[#This Row],[SchoolCodes]],",",,TRUE))))</f>
        <v>0</v>
      </c>
      <c r="E110" s="43">
        <f>IF(FinanceCodesBudget[[#This Row],[FinanceCodeTypeCode]]="BUDGET",0,COUNTIF(FinanceCodesBudget[FinanceCode],FinanceCodesBudget[[#This Row],[FinanceCode]])-1)</f>
        <v>0</v>
      </c>
      <c r="F110" s="43">
        <f>IF(FinanceCodesBudget[[#This Row],[FinanceCodeTypeCode]]="BUDGET",0,COUNTIF(FinanceCodesBudget[Title],FinanceCodesBudget[[#This Row],[Title]])-1)</f>
        <v>0</v>
      </c>
      <c r="G110" s="43">
        <f>COUNTIF(Lookup!$A$2:$A$7,FinanceCodesBudget[[#This Row],[FinanceCodeTypeCode]])-1</f>
        <v>0</v>
      </c>
      <c r="H110" s="43">
        <f>IF(TRIM(FinanceCodesBudget[[#This Row],[Title]])="",1,0)</f>
        <v>0</v>
      </c>
      <c r="I110" s="43">
        <f>IF(TRIM(FinanceCodesBudget[[#This Row],[FinanceCode]])="",1,0)</f>
        <v>0</v>
      </c>
      <c r="J110" s="43">
        <f>IF(LEN(FinanceCodesBudget[[#This Row],[FinanceCode]])&lt;100,0,1)</f>
        <v>0</v>
      </c>
      <c r="K110" s="43">
        <f>IF(LEN(FinanceCodesBudget[[#This Row],[Title]])&lt;100,0,1)</f>
        <v>0</v>
      </c>
      <c r="L110" s="43">
        <f>IF(ISBLANK(FinanceCodesBudget[[#This Row],[BalanceToScenario]]),1,0)</f>
        <v>0</v>
      </c>
      <c r="M110" s="43">
        <f>SUM(FinanceCodesBudget[[#This Row],[LedgerIssue]:[CustGrIssue]],FinanceCodesBudget[[#This Row],[DupCode]:[Balance to Scenario Blank]])</f>
        <v>0</v>
      </c>
      <c r="N110">
        <v>590350</v>
      </c>
      <c r="O110" t="s">
        <v>2633</v>
      </c>
      <c r="P110" t="s">
        <v>236</v>
      </c>
      <c r="Q110" t="s">
        <v>1976</v>
      </c>
      <c r="R110" t="b">
        <v>0</v>
      </c>
      <c r="S110" t="s">
        <v>2526</v>
      </c>
      <c r="T110" t="s">
        <v>1300</v>
      </c>
      <c r="U110" t="s">
        <v>1532</v>
      </c>
      <c r="V110" t="b">
        <v>1</v>
      </c>
      <c r="W110" t="b">
        <v>0</v>
      </c>
    </row>
    <row r="111" spans="1:23" x14ac:dyDescent="0.3">
      <c r="A111" s="147">
        <f>IF(COUNTIF(LEDGER[LedgerCode],FinanceCodesBudget[[#This Row],[LedgerCode]])&gt;0,0,1)</f>
        <v>0</v>
      </c>
      <c r="B111" s="43">
        <f>IF(COUNTIF(Table_System_Grouping_Codes[groupingCodeCode],FinanceCodesBudget[[#This Row],[GroupingCode]])&gt;0,0,1)</f>
        <v>0</v>
      </c>
      <c r="C111" s="43">
        <f>IF(COUNTIF(CUSTGROUP[CustomGroupingCode],FinanceCodesBudget[[#This Row],[CustomGrouping]])&gt;0,0,1)</f>
        <v>0</v>
      </c>
      <c r="D111" s="43" cm="1">
        <f t="array" ref="D111">IF(FinanceCodesBudget[[#This Row],[AvailableToAllSchools]]=TRUE,0,COUNTA(_xlfn.TEXTSPLIT(FinanceCodesBudget[[#This Row],[SchoolCodes]],",",,TRUE))-SUM(COUNTIF(SCHOOLS[SchoolCode],_xlfn.TEXTSPLIT(FinanceCodesBudget[[#This Row],[SchoolCodes]],",",,TRUE))))</f>
        <v>0</v>
      </c>
      <c r="E111" s="43">
        <f>IF(FinanceCodesBudget[[#This Row],[FinanceCodeTypeCode]]="BUDGET",0,COUNTIF(FinanceCodesBudget[FinanceCode],FinanceCodesBudget[[#This Row],[FinanceCode]])-1)</f>
        <v>0</v>
      </c>
      <c r="F111" s="43">
        <f>IF(FinanceCodesBudget[[#This Row],[FinanceCodeTypeCode]]="BUDGET",0,COUNTIF(FinanceCodesBudget[Title],FinanceCodesBudget[[#This Row],[Title]])-1)</f>
        <v>0</v>
      </c>
      <c r="G111" s="43">
        <f>COUNTIF(Lookup!$A$2:$A$7,FinanceCodesBudget[[#This Row],[FinanceCodeTypeCode]])-1</f>
        <v>0</v>
      </c>
      <c r="H111" s="43">
        <f>IF(TRIM(FinanceCodesBudget[[#This Row],[Title]])="",1,0)</f>
        <v>0</v>
      </c>
      <c r="I111" s="43">
        <f>IF(TRIM(FinanceCodesBudget[[#This Row],[FinanceCode]])="",1,0)</f>
        <v>0</v>
      </c>
      <c r="J111" s="43">
        <f>IF(LEN(FinanceCodesBudget[[#This Row],[FinanceCode]])&lt;100,0,1)</f>
        <v>0</v>
      </c>
      <c r="K111" s="43">
        <f>IF(LEN(FinanceCodesBudget[[#This Row],[Title]])&lt;100,0,1)</f>
        <v>0</v>
      </c>
      <c r="L111" s="43">
        <f>IF(ISBLANK(FinanceCodesBudget[[#This Row],[BalanceToScenario]]),1,0)</f>
        <v>0</v>
      </c>
      <c r="M111" s="43">
        <f>SUM(FinanceCodesBudget[[#This Row],[LedgerIssue]:[CustGrIssue]],FinanceCodesBudget[[#This Row],[DupCode]:[Balance to Scenario Blank]])</f>
        <v>0</v>
      </c>
      <c r="N111">
        <v>595100</v>
      </c>
      <c r="O111" t="s">
        <v>2634</v>
      </c>
      <c r="P111" t="s">
        <v>238</v>
      </c>
      <c r="Q111" t="s">
        <v>849</v>
      </c>
      <c r="R111" t="b">
        <v>0</v>
      </c>
      <c r="S111" t="s">
        <v>2526</v>
      </c>
      <c r="T111" t="s">
        <v>1300</v>
      </c>
      <c r="U111" t="s">
        <v>1965</v>
      </c>
      <c r="V111" t="b">
        <v>1</v>
      </c>
      <c r="W111" t="b">
        <v>0</v>
      </c>
    </row>
    <row r="112" spans="1:23" x14ac:dyDescent="0.3">
      <c r="A112" s="147">
        <f>IF(COUNTIF(LEDGER[LedgerCode],FinanceCodesBudget[[#This Row],[LedgerCode]])&gt;0,0,1)</f>
        <v>0</v>
      </c>
      <c r="B112" s="43">
        <f>IF(COUNTIF(Table_System_Grouping_Codes[groupingCodeCode],FinanceCodesBudget[[#This Row],[GroupingCode]])&gt;0,0,1)</f>
        <v>0</v>
      </c>
      <c r="C112" s="43">
        <f>IF(COUNTIF(CUSTGROUP[CustomGroupingCode],FinanceCodesBudget[[#This Row],[CustomGrouping]])&gt;0,0,1)</f>
        <v>0</v>
      </c>
      <c r="D112" s="43" cm="1">
        <f t="array" ref="D112">IF(FinanceCodesBudget[[#This Row],[AvailableToAllSchools]]=TRUE,0,COUNTA(_xlfn.TEXTSPLIT(FinanceCodesBudget[[#This Row],[SchoolCodes]],",",,TRUE))-SUM(COUNTIF(SCHOOLS[SchoolCode],_xlfn.TEXTSPLIT(FinanceCodesBudget[[#This Row],[SchoolCodes]],",",,TRUE))))</f>
        <v>0</v>
      </c>
      <c r="E112" s="43">
        <f>IF(FinanceCodesBudget[[#This Row],[FinanceCodeTypeCode]]="BUDGET",0,COUNTIF(FinanceCodesBudget[FinanceCode],FinanceCodesBudget[[#This Row],[FinanceCode]])-1)</f>
        <v>0</v>
      </c>
      <c r="F112" s="43">
        <f>IF(FinanceCodesBudget[[#This Row],[FinanceCodeTypeCode]]="BUDGET",0,COUNTIF(FinanceCodesBudget[Title],FinanceCodesBudget[[#This Row],[Title]])-1)</f>
        <v>0</v>
      </c>
      <c r="G112" s="43">
        <f>COUNTIF(Lookup!$A$2:$A$7,FinanceCodesBudget[[#This Row],[FinanceCodeTypeCode]])-1</f>
        <v>0</v>
      </c>
      <c r="H112" s="43">
        <f>IF(TRIM(FinanceCodesBudget[[#This Row],[Title]])="",1,0)</f>
        <v>0</v>
      </c>
      <c r="I112" s="43">
        <f>IF(TRIM(FinanceCodesBudget[[#This Row],[FinanceCode]])="",1,0)</f>
        <v>0</v>
      </c>
      <c r="J112" s="43">
        <f>IF(LEN(FinanceCodesBudget[[#This Row],[FinanceCode]])&lt;100,0,1)</f>
        <v>0</v>
      </c>
      <c r="K112" s="43">
        <f>IF(LEN(FinanceCodesBudget[[#This Row],[Title]])&lt;100,0,1)</f>
        <v>0</v>
      </c>
      <c r="L112" s="43">
        <f>IF(ISBLANK(FinanceCodesBudget[[#This Row],[BalanceToScenario]]),1,0)</f>
        <v>0</v>
      </c>
      <c r="M112" s="43">
        <f>SUM(FinanceCodesBudget[[#This Row],[LedgerIssue]:[CustGrIssue]],FinanceCodesBudget[[#This Row],[DupCode]:[Balance to Scenario Blank]])</f>
        <v>0</v>
      </c>
      <c r="N112">
        <v>595200</v>
      </c>
      <c r="O112" t="s">
        <v>2635</v>
      </c>
      <c r="P112" t="s">
        <v>1392</v>
      </c>
      <c r="Q112" t="s">
        <v>1976</v>
      </c>
      <c r="R112" t="b">
        <v>0</v>
      </c>
      <c r="S112" t="s">
        <v>2526</v>
      </c>
      <c r="T112" t="s">
        <v>1300</v>
      </c>
      <c r="U112" t="s">
        <v>1532</v>
      </c>
      <c r="V112" t="b">
        <v>1</v>
      </c>
      <c r="W112" t="b">
        <v>0</v>
      </c>
    </row>
    <row r="113" spans="1:23" x14ac:dyDescent="0.3">
      <c r="A113" s="147">
        <f>IF(COUNTIF(LEDGER[LedgerCode],FinanceCodesBudget[[#This Row],[LedgerCode]])&gt;0,0,1)</f>
        <v>0</v>
      </c>
      <c r="B113" s="43">
        <f>IF(COUNTIF(Table_System_Grouping_Codes[groupingCodeCode],FinanceCodesBudget[[#This Row],[GroupingCode]])&gt;0,0,1)</f>
        <v>0</v>
      </c>
      <c r="C113" s="43">
        <f>IF(COUNTIF(CUSTGROUP[CustomGroupingCode],FinanceCodesBudget[[#This Row],[CustomGrouping]])&gt;0,0,1)</f>
        <v>0</v>
      </c>
      <c r="D113" s="43" cm="1">
        <f t="array" ref="D113">IF(FinanceCodesBudget[[#This Row],[AvailableToAllSchools]]=TRUE,0,COUNTA(_xlfn.TEXTSPLIT(FinanceCodesBudget[[#This Row],[SchoolCodes]],",",,TRUE))-SUM(COUNTIF(SCHOOLS[SchoolCode],_xlfn.TEXTSPLIT(FinanceCodesBudget[[#This Row],[SchoolCodes]],",",,TRUE))))</f>
        <v>0</v>
      </c>
      <c r="E113" s="43">
        <f>IF(FinanceCodesBudget[[#This Row],[FinanceCodeTypeCode]]="BUDGET",0,COUNTIF(FinanceCodesBudget[FinanceCode],FinanceCodesBudget[[#This Row],[FinanceCode]])-1)</f>
        <v>0</v>
      </c>
      <c r="F113" s="43">
        <f>IF(FinanceCodesBudget[[#This Row],[FinanceCodeTypeCode]]="BUDGET",0,COUNTIF(FinanceCodesBudget[Title],FinanceCodesBudget[[#This Row],[Title]])-1)</f>
        <v>0</v>
      </c>
      <c r="G113" s="43">
        <f>COUNTIF(Lookup!$A$2:$A$7,FinanceCodesBudget[[#This Row],[FinanceCodeTypeCode]])-1</f>
        <v>0</v>
      </c>
      <c r="H113" s="43">
        <f>IF(TRIM(FinanceCodesBudget[[#This Row],[Title]])="",1,0)</f>
        <v>0</v>
      </c>
      <c r="I113" s="43">
        <f>IF(TRIM(FinanceCodesBudget[[#This Row],[FinanceCode]])="",1,0)</f>
        <v>0</v>
      </c>
      <c r="J113" s="43">
        <f>IF(LEN(FinanceCodesBudget[[#This Row],[FinanceCode]])&lt;100,0,1)</f>
        <v>0</v>
      </c>
      <c r="K113" s="43">
        <f>IF(LEN(FinanceCodesBudget[[#This Row],[Title]])&lt;100,0,1)</f>
        <v>0</v>
      </c>
      <c r="L113" s="43">
        <f>IF(ISBLANK(FinanceCodesBudget[[#This Row],[BalanceToScenario]]),1,0)</f>
        <v>0</v>
      </c>
      <c r="M113" s="43">
        <f>SUM(FinanceCodesBudget[[#This Row],[LedgerIssue]:[CustGrIssue]],FinanceCodesBudget[[#This Row],[DupCode]:[Balance to Scenario Blank]])</f>
        <v>0</v>
      </c>
      <c r="N113">
        <v>599100</v>
      </c>
      <c r="O113" t="s">
        <v>2636</v>
      </c>
      <c r="P113" t="s">
        <v>239</v>
      </c>
      <c r="Q113" t="s">
        <v>849</v>
      </c>
      <c r="R113" t="b">
        <v>0</v>
      </c>
      <c r="S113" t="s">
        <v>2526</v>
      </c>
      <c r="T113" t="s">
        <v>1300</v>
      </c>
      <c r="U113" t="s">
        <v>1965</v>
      </c>
      <c r="V113" t="b">
        <v>1</v>
      </c>
      <c r="W113" t="b">
        <v>0</v>
      </c>
    </row>
    <row r="114" spans="1:23" x14ac:dyDescent="0.3">
      <c r="A114" s="147">
        <f>IF(COUNTIF(LEDGER[LedgerCode],FinanceCodesBudget[[#This Row],[LedgerCode]])&gt;0,0,1)</f>
        <v>0</v>
      </c>
      <c r="B114" s="43">
        <f>IF(COUNTIF(Table_System_Grouping_Codes[groupingCodeCode],FinanceCodesBudget[[#This Row],[GroupingCode]])&gt;0,0,1)</f>
        <v>0</v>
      </c>
      <c r="C114" s="43">
        <f>IF(COUNTIF(CUSTGROUP[CustomGroupingCode],FinanceCodesBudget[[#This Row],[CustomGrouping]])&gt;0,0,1)</f>
        <v>0</v>
      </c>
      <c r="D114" s="43" cm="1">
        <f t="array" ref="D114">IF(FinanceCodesBudget[[#This Row],[AvailableToAllSchools]]=TRUE,0,COUNTA(_xlfn.TEXTSPLIT(FinanceCodesBudget[[#This Row],[SchoolCodes]],",",,TRUE))-SUM(COUNTIF(SCHOOLS[SchoolCode],_xlfn.TEXTSPLIT(FinanceCodesBudget[[#This Row],[SchoolCodes]],",",,TRUE))))</f>
        <v>0</v>
      </c>
      <c r="E114" s="43">
        <f>IF(FinanceCodesBudget[[#This Row],[FinanceCodeTypeCode]]="BUDGET",0,COUNTIF(FinanceCodesBudget[FinanceCode],FinanceCodesBudget[[#This Row],[FinanceCode]])-1)</f>
        <v>0</v>
      </c>
      <c r="F114" s="43">
        <f>IF(FinanceCodesBudget[[#This Row],[FinanceCodeTypeCode]]="BUDGET",0,COUNTIF(FinanceCodesBudget[Title],FinanceCodesBudget[[#This Row],[Title]])-1)</f>
        <v>0</v>
      </c>
      <c r="G114" s="43">
        <f>COUNTIF(Lookup!$A$2:$A$7,FinanceCodesBudget[[#This Row],[FinanceCodeTypeCode]])-1</f>
        <v>0</v>
      </c>
      <c r="H114" s="43">
        <f>IF(TRIM(FinanceCodesBudget[[#This Row],[Title]])="",1,0)</f>
        <v>0</v>
      </c>
      <c r="I114" s="43">
        <f>IF(TRIM(FinanceCodesBudget[[#This Row],[FinanceCode]])="",1,0)</f>
        <v>0</v>
      </c>
      <c r="J114" s="43">
        <f>IF(LEN(FinanceCodesBudget[[#This Row],[FinanceCode]])&lt;100,0,1)</f>
        <v>0</v>
      </c>
      <c r="K114" s="43">
        <f>IF(LEN(FinanceCodesBudget[[#This Row],[Title]])&lt;100,0,1)</f>
        <v>0</v>
      </c>
      <c r="L114" s="43">
        <f>IF(ISBLANK(FinanceCodesBudget[[#This Row],[BalanceToScenario]]),1,0)</f>
        <v>0</v>
      </c>
      <c r="M114" s="43">
        <f>SUM(FinanceCodesBudget[[#This Row],[LedgerIssue]:[CustGrIssue]],FinanceCodesBudget[[#This Row],[DupCode]:[Balance to Scenario Blank]])</f>
        <v>0</v>
      </c>
      <c r="N114">
        <v>599200</v>
      </c>
      <c r="O114" t="s">
        <v>2637</v>
      </c>
      <c r="P114" t="s">
        <v>240</v>
      </c>
      <c r="Q114" t="s">
        <v>1976</v>
      </c>
      <c r="R114" t="b">
        <v>0</v>
      </c>
      <c r="S114" t="s">
        <v>2526</v>
      </c>
      <c r="T114" t="s">
        <v>1300</v>
      </c>
      <c r="U114" t="s">
        <v>1532</v>
      </c>
      <c r="V114" t="b">
        <v>1</v>
      </c>
      <c r="W114" t="b">
        <v>0</v>
      </c>
    </row>
    <row r="115" spans="1:23" x14ac:dyDescent="0.3">
      <c r="A115" s="147">
        <f>IF(COUNTIF(LEDGER[LedgerCode],FinanceCodesBudget[[#This Row],[LedgerCode]])&gt;0,0,1)</f>
        <v>0</v>
      </c>
      <c r="B115" s="43">
        <f>IF(COUNTIF(Table_System_Grouping_Codes[groupingCodeCode],FinanceCodesBudget[[#This Row],[GroupingCode]])&gt;0,0,1)</f>
        <v>0</v>
      </c>
      <c r="C115" s="43">
        <f>IF(COUNTIF(CUSTGROUP[CustomGroupingCode],FinanceCodesBudget[[#This Row],[CustomGrouping]])&gt;0,0,1)</f>
        <v>0</v>
      </c>
      <c r="D115" s="43" cm="1">
        <f t="array" ref="D115">IF(FinanceCodesBudget[[#This Row],[AvailableToAllSchools]]=TRUE,0,COUNTA(_xlfn.TEXTSPLIT(FinanceCodesBudget[[#This Row],[SchoolCodes]],",",,TRUE))-SUM(COUNTIF(SCHOOLS[SchoolCode],_xlfn.TEXTSPLIT(FinanceCodesBudget[[#This Row],[SchoolCodes]],",",,TRUE))))</f>
        <v>0</v>
      </c>
      <c r="E115" s="43">
        <f>IF(FinanceCodesBudget[[#This Row],[FinanceCodeTypeCode]]="BUDGET",0,COUNTIF(FinanceCodesBudget[FinanceCode],FinanceCodesBudget[[#This Row],[FinanceCode]])-1)</f>
        <v>0</v>
      </c>
      <c r="F115" s="43">
        <f>IF(FinanceCodesBudget[[#This Row],[FinanceCodeTypeCode]]="BUDGET",0,COUNTIF(FinanceCodesBudget[Title],FinanceCodesBudget[[#This Row],[Title]])-1)</f>
        <v>0</v>
      </c>
      <c r="G115" s="43">
        <f>COUNTIF(Lookup!$A$2:$A$7,FinanceCodesBudget[[#This Row],[FinanceCodeTypeCode]])-1</f>
        <v>0</v>
      </c>
      <c r="H115" s="43">
        <f>IF(TRIM(FinanceCodesBudget[[#This Row],[Title]])="",1,0)</f>
        <v>0</v>
      </c>
      <c r="I115" s="43">
        <f>IF(TRIM(FinanceCodesBudget[[#This Row],[FinanceCode]])="",1,0)</f>
        <v>0</v>
      </c>
      <c r="J115" s="43">
        <f>IF(LEN(FinanceCodesBudget[[#This Row],[FinanceCode]])&lt;100,0,1)</f>
        <v>0</v>
      </c>
      <c r="K115" s="43">
        <f>IF(LEN(FinanceCodesBudget[[#This Row],[Title]])&lt;100,0,1)</f>
        <v>0</v>
      </c>
      <c r="L115" s="43">
        <f>IF(ISBLANK(FinanceCodesBudget[[#This Row],[BalanceToScenario]]),1,0)</f>
        <v>0</v>
      </c>
      <c r="M115" s="43">
        <f>SUM(FinanceCodesBudget[[#This Row],[LedgerIssue]:[CustGrIssue]],FinanceCodesBudget[[#This Row],[DupCode]:[Balance to Scenario Blank]])</f>
        <v>0</v>
      </c>
      <c r="N115">
        <v>610100</v>
      </c>
      <c r="O115" t="s">
        <v>2638</v>
      </c>
      <c r="P115" t="s">
        <v>1396</v>
      </c>
      <c r="Q115" t="s">
        <v>1988</v>
      </c>
      <c r="R115" t="b">
        <v>0</v>
      </c>
      <c r="S115" t="s">
        <v>2526</v>
      </c>
      <c r="T115" t="s">
        <v>1300</v>
      </c>
      <c r="U115" t="s">
        <v>1532</v>
      </c>
      <c r="V115" t="b">
        <v>1</v>
      </c>
      <c r="W115" t="b">
        <v>0</v>
      </c>
    </row>
    <row r="116" spans="1:23" x14ac:dyDescent="0.3">
      <c r="A116" s="147">
        <f>IF(COUNTIF(LEDGER[LedgerCode],FinanceCodesBudget[[#This Row],[LedgerCode]])&gt;0,0,1)</f>
        <v>0</v>
      </c>
      <c r="B116" s="43">
        <f>IF(COUNTIF(Table_System_Grouping_Codes[groupingCodeCode],FinanceCodesBudget[[#This Row],[GroupingCode]])&gt;0,0,1)</f>
        <v>0</v>
      </c>
      <c r="C116" s="43">
        <f>IF(COUNTIF(CUSTGROUP[CustomGroupingCode],FinanceCodesBudget[[#This Row],[CustomGrouping]])&gt;0,0,1)</f>
        <v>0</v>
      </c>
      <c r="D116" s="43" cm="1">
        <f t="array" ref="D116">IF(FinanceCodesBudget[[#This Row],[AvailableToAllSchools]]=TRUE,0,COUNTA(_xlfn.TEXTSPLIT(FinanceCodesBudget[[#This Row],[SchoolCodes]],",",,TRUE))-SUM(COUNTIF(SCHOOLS[SchoolCode],_xlfn.TEXTSPLIT(FinanceCodesBudget[[#This Row],[SchoolCodes]],",",,TRUE))))</f>
        <v>0</v>
      </c>
      <c r="E116" s="43">
        <f>IF(FinanceCodesBudget[[#This Row],[FinanceCodeTypeCode]]="BUDGET",0,COUNTIF(FinanceCodesBudget[FinanceCode],FinanceCodesBudget[[#This Row],[FinanceCode]])-1)</f>
        <v>0</v>
      </c>
      <c r="F116" s="43">
        <f>IF(FinanceCodesBudget[[#This Row],[FinanceCodeTypeCode]]="BUDGET",0,COUNTIF(FinanceCodesBudget[Title],FinanceCodesBudget[[#This Row],[Title]])-1)</f>
        <v>0</v>
      </c>
      <c r="G116" s="43">
        <f>COUNTIF(Lookup!$A$2:$A$7,FinanceCodesBudget[[#This Row],[FinanceCodeTypeCode]])-1</f>
        <v>0</v>
      </c>
      <c r="H116" s="43">
        <f>IF(TRIM(FinanceCodesBudget[[#This Row],[Title]])="",1,0)</f>
        <v>0</v>
      </c>
      <c r="I116" s="43">
        <f>IF(TRIM(FinanceCodesBudget[[#This Row],[FinanceCode]])="",1,0)</f>
        <v>0</v>
      </c>
      <c r="J116" s="43">
        <f>IF(LEN(FinanceCodesBudget[[#This Row],[FinanceCode]])&lt;100,0,1)</f>
        <v>0</v>
      </c>
      <c r="K116" s="43">
        <f>IF(LEN(FinanceCodesBudget[[#This Row],[Title]])&lt;100,0,1)</f>
        <v>0</v>
      </c>
      <c r="L116" s="43">
        <f>IF(ISBLANK(FinanceCodesBudget[[#This Row],[BalanceToScenario]]),1,0)</f>
        <v>0</v>
      </c>
      <c r="M116" s="43">
        <f>SUM(FinanceCodesBudget[[#This Row],[LedgerIssue]:[CustGrIssue]],FinanceCodesBudget[[#This Row],[DupCode]:[Balance to Scenario Blank]])</f>
        <v>0</v>
      </c>
      <c r="N116">
        <v>610150</v>
      </c>
      <c r="O116" t="s">
        <v>2639</v>
      </c>
      <c r="P116" t="s">
        <v>1398</v>
      </c>
      <c r="Q116" t="s">
        <v>1977</v>
      </c>
      <c r="R116" t="b">
        <v>0</v>
      </c>
      <c r="S116" t="s">
        <v>2526</v>
      </c>
      <c r="T116" t="s">
        <v>1300</v>
      </c>
      <c r="U116" t="s">
        <v>1532</v>
      </c>
      <c r="V116" t="b">
        <v>1</v>
      </c>
      <c r="W116" t="b">
        <v>0</v>
      </c>
    </row>
    <row r="117" spans="1:23" x14ac:dyDescent="0.3">
      <c r="A117" s="147">
        <f>IF(COUNTIF(LEDGER[LedgerCode],FinanceCodesBudget[[#This Row],[LedgerCode]])&gt;0,0,1)</f>
        <v>0</v>
      </c>
      <c r="B117" s="43">
        <f>IF(COUNTIF(Table_System_Grouping_Codes[groupingCodeCode],FinanceCodesBudget[[#This Row],[GroupingCode]])&gt;0,0,1)</f>
        <v>0</v>
      </c>
      <c r="C117" s="43">
        <f>IF(COUNTIF(CUSTGROUP[CustomGroupingCode],FinanceCodesBudget[[#This Row],[CustomGrouping]])&gt;0,0,1)</f>
        <v>0</v>
      </c>
      <c r="D117" s="43" cm="1">
        <f t="array" ref="D117">IF(FinanceCodesBudget[[#This Row],[AvailableToAllSchools]]=TRUE,0,COUNTA(_xlfn.TEXTSPLIT(FinanceCodesBudget[[#This Row],[SchoolCodes]],",",,TRUE))-SUM(COUNTIF(SCHOOLS[SchoolCode],_xlfn.TEXTSPLIT(FinanceCodesBudget[[#This Row],[SchoolCodes]],",",,TRUE))))</f>
        <v>0</v>
      </c>
      <c r="E117" s="43">
        <f>IF(FinanceCodesBudget[[#This Row],[FinanceCodeTypeCode]]="BUDGET",0,COUNTIF(FinanceCodesBudget[FinanceCode],FinanceCodesBudget[[#This Row],[FinanceCode]])-1)</f>
        <v>0</v>
      </c>
      <c r="F117" s="43">
        <f>IF(FinanceCodesBudget[[#This Row],[FinanceCodeTypeCode]]="BUDGET",0,COUNTIF(FinanceCodesBudget[Title],FinanceCodesBudget[[#This Row],[Title]])-1)</f>
        <v>0</v>
      </c>
      <c r="G117" s="43">
        <f>COUNTIF(Lookup!$A$2:$A$7,FinanceCodesBudget[[#This Row],[FinanceCodeTypeCode]])-1</f>
        <v>0</v>
      </c>
      <c r="H117" s="43">
        <f>IF(TRIM(FinanceCodesBudget[[#This Row],[Title]])="",1,0)</f>
        <v>0</v>
      </c>
      <c r="I117" s="43">
        <f>IF(TRIM(FinanceCodesBudget[[#This Row],[FinanceCode]])="",1,0)</f>
        <v>0</v>
      </c>
      <c r="J117" s="43">
        <f>IF(LEN(FinanceCodesBudget[[#This Row],[FinanceCode]])&lt;100,0,1)</f>
        <v>0</v>
      </c>
      <c r="K117" s="43">
        <f>IF(LEN(FinanceCodesBudget[[#This Row],[Title]])&lt;100,0,1)</f>
        <v>0</v>
      </c>
      <c r="L117" s="43">
        <f>IF(ISBLANK(FinanceCodesBudget[[#This Row],[BalanceToScenario]]),1,0)</f>
        <v>0</v>
      </c>
      <c r="M117" s="43">
        <f>SUM(FinanceCodesBudget[[#This Row],[LedgerIssue]:[CustGrIssue]],FinanceCodesBudget[[#This Row],[DupCode]:[Balance to Scenario Blank]])</f>
        <v>0</v>
      </c>
      <c r="N117">
        <v>610200</v>
      </c>
      <c r="O117" t="s">
        <v>2640</v>
      </c>
      <c r="P117" t="s">
        <v>1400</v>
      </c>
      <c r="Q117" t="s">
        <v>1988</v>
      </c>
      <c r="R117" t="b">
        <v>0</v>
      </c>
      <c r="S117" t="s">
        <v>2526</v>
      </c>
      <c r="T117" t="s">
        <v>1300</v>
      </c>
      <c r="U117" t="s">
        <v>1532</v>
      </c>
      <c r="V117" t="b">
        <v>1</v>
      </c>
      <c r="W117" t="b">
        <v>0</v>
      </c>
    </row>
    <row r="118" spans="1:23" x14ac:dyDescent="0.3">
      <c r="A118" s="147">
        <f>IF(COUNTIF(LEDGER[LedgerCode],FinanceCodesBudget[[#This Row],[LedgerCode]])&gt;0,0,1)</f>
        <v>0</v>
      </c>
      <c r="B118" s="43">
        <f>IF(COUNTIF(Table_System_Grouping_Codes[groupingCodeCode],FinanceCodesBudget[[#This Row],[GroupingCode]])&gt;0,0,1)</f>
        <v>0</v>
      </c>
      <c r="C118" s="43">
        <f>IF(COUNTIF(CUSTGROUP[CustomGroupingCode],FinanceCodesBudget[[#This Row],[CustomGrouping]])&gt;0,0,1)</f>
        <v>0</v>
      </c>
      <c r="D118" s="43" cm="1">
        <f t="array" ref="D118">IF(FinanceCodesBudget[[#This Row],[AvailableToAllSchools]]=TRUE,0,COUNTA(_xlfn.TEXTSPLIT(FinanceCodesBudget[[#This Row],[SchoolCodes]],",",,TRUE))-SUM(COUNTIF(SCHOOLS[SchoolCode],_xlfn.TEXTSPLIT(FinanceCodesBudget[[#This Row],[SchoolCodes]],",",,TRUE))))</f>
        <v>0</v>
      </c>
      <c r="E118" s="43">
        <f>IF(FinanceCodesBudget[[#This Row],[FinanceCodeTypeCode]]="BUDGET",0,COUNTIF(FinanceCodesBudget[FinanceCode],FinanceCodesBudget[[#This Row],[FinanceCode]])-1)</f>
        <v>0</v>
      </c>
      <c r="F118" s="43">
        <f>IF(FinanceCodesBudget[[#This Row],[FinanceCodeTypeCode]]="BUDGET",0,COUNTIF(FinanceCodesBudget[Title],FinanceCodesBudget[[#This Row],[Title]])-1)</f>
        <v>0</v>
      </c>
      <c r="G118" s="43">
        <f>COUNTIF(Lookup!$A$2:$A$7,FinanceCodesBudget[[#This Row],[FinanceCodeTypeCode]])-1</f>
        <v>0</v>
      </c>
      <c r="H118" s="43">
        <f>IF(TRIM(FinanceCodesBudget[[#This Row],[Title]])="",1,0)</f>
        <v>0</v>
      </c>
      <c r="I118" s="43">
        <f>IF(TRIM(FinanceCodesBudget[[#This Row],[FinanceCode]])="",1,0)</f>
        <v>0</v>
      </c>
      <c r="J118" s="43">
        <f>IF(LEN(FinanceCodesBudget[[#This Row],[FinanceCode]])&lt;100,0,1)</f>
        <v>0</v>
      </c>
      <c r="K118" s="43">
        <f>IF(LEN(FinanceCodesBudget[[#This Row],[Title]])&lt;100,0,1)</f>
        <v>0</v>
      </c>
      <c r="L118" s="43">
        <f>IF(ISBLANK(FinanceCodesBudget[[#This Row],[BalanceToScenario]]),1,0)</f>
        <v>0</v>
      </c>
      <c r="M118" s="43">
        <f>SUM(FinanceCodesBudget[[#This Row],[LedgerIssue]:[CustGrIssue]],FinanceCodesBudget[[#This Row],[DupCode]:[Balance to Scenario Blank]])</f>
        <v>0</v>
      </c>
      <c r="N118">
        <v>610300</v>
      </c>
      <c r="O118" t="s">
        <v>2641</v>
      </c>
      <c r="P118" t="s">
        <v>1402</v>
      </c>
      <c r="Q118" t="s">
        <v>1988</v>
      </c>
      <c r="R118" t="b">
        <v>0</v>
      </c>
      <c r="S118" t="s">
        <v>2526</v>
      </c>
      <c r="T118" t="s">
        <v>1300</v>
      </c>
      <c r="U118" t="s">
        <v>1532</v>
      </c>
      <c r="V118" t="b">
        <v>1</v>
      </c>
      <c r="W118" t="b">
        <v>0</v>
      </c>
    </row>
    <row r="119" spans="1:23" x14ac:dyDescent="0.3">
      <c r="A119" s="147">
        <f>IF(COUNTIF(LEDGER[LedgerCode],FinanceCodesBudget[[#This Row],[LedgerCode]])&gt;0,0,1)</f>
        <v>0</v>
      </c>
      <c r="B119" s="43">
        <f>IF(COUNTIF(Table_System_Grouping_Codes[groupingCodeCode],FinanceCodesBudget[[#This Row],[GroupingCode]])&gt;0,0,1)</f>
        <v>0</v>
      </c>
      <c r="C119" s="43">
        <f>IF(COUNTIF(CUSTGROUP[CustomGroupingCode],FinanceCodesBudget[[#This Row],[CustomGrouping]])&gt;0,0,1)</f>
        <v>0</v>
      </c>
      <c r="D119" s="43" cm="1">
        <f t="array" ref="D119">IF(FinanceCodesBudget[[#This Row],[AvailableToAllSchools]]=TRUE,0,COUNTA(_xlfn.TEXTSPLIT(FinanceCodesBudget[[#This Row],[SchoolCodes]],",",,TRUE))-SUM(COUNTIF(SCHOOLS[SchoolCode],_xlfn.TEXTSPLIT(FinanceCodesBudget[[#This Row],[SchoolCodes]],",",,TRUE))))</f>
        <v>0</v>
      </c>
      <c r="E119" s="43">
        <f>IF(FinanceCodesBudget[[#This Row],[FinanceCodeTypeCode]]="BUDGET",0,COUNTIF(FinanceCodesBudget[FinanceCode],FinanceCodesBudget[[#This Row],[FinanceCode]])-1)</f>
        <v>0</v>
      </c>
      <c r="F119" s="43">
        <f>IF(FinanceCodesBudget[[#This Row],[FinanceCodeTypeCode]]="BUDGET",0,COUNTIF(FinanceCodesBudget[Title],FinanceCodesBudget[[#This Row],[Title]])-1)</f>
        <v>0</v>
      </c>
      <c r="G119" s="43">
        <f>COUNTIF(Lookup!$A$2:$A$7,FinanceCodesBudget[[#This Row],[FinanceCodeTypeCode]])-1</f>
        <v>0</v>
      </c>
      <c r="H119" s="43">
        <f>IF(TRIM(FinanceCodesBudget[[#This Row],[Title]])="",1,0)</f>
        <v>0</v>
      </c>
      <c r="I119" s="43">
        <f>IF(TRIM(FinanceCodesBudget[[#This Row],[FinanceCode]])="",1,0)</f>
        <v>0</v>
      </c>
      <c r="J119" s="43">
        <f>IF(LEN(FinanceCodesBudget[[#This Row],[FinanceCode]])&lt;100,0,1)</f>
        <v>0</v>
      </c>
      <c r="K119" s="43">
        <f>IF(LEN(FinanceCodesBudget[[#This Row],[Title]])&lt;100,0,1)</f>
        <v>0</v>
      </c>
      <c r="L119" s="43">
        <f>IF(ISBLANK(FinanceCodesBudget[[#This Row],[BalanceToScenario]]),1,0)</f>
        <v>0</v>
      </c>
      <c r="M119" s="43">
        <f>SUM(FinanceCodesBudget[[#This Row],[LedgerIssue]:[CustGrIssue]],FinanceCodesBudget[[#This Row],[DupCode]:[Balance to Scenario Blank]])</f>
        <v>0</v>
      </c>
      <c r="N119">
        <v>611100</v>
      </c>
      <c r="O119" t="s">
        <v>2642</v>
      </c>
      <c r="P119" t="s">
        <v>241</v>
      </c>
      <c r="Q119" t="s">
        <v>1988</v>
      </c>
      <c r="R119" t="b">
        <v>0</v>
      </c>
      <c r="S119" t="s">
        <v>2526</v>
      </c>
      <c r="T119" t="s">
        <v>1300</v>
      </c>
      <c r="U119" t="s">
        <v>1532</v>
      </c>
      <c r="V119" t="b">
        <v>1</v>
      </c>
      <c r="W119" t="b">
        <v>0</v>
      </c>
    </row>
    <row r="120" spans="1:23" x14ac:dyDescent="0.3">
      <c r="A120" s="147">
        <f>IF(COUNTIF(LEDGER[LedgerCode],FinanceCodesBudget[[#This Row],[LedgerCode]])&gt;0,0,1)</f>
        <v>0</v>
      </c>
      <c r="B120" s="43">
        <f>IF(COUNTIF(Table_System_Grouping_Codes[groupingCodeCode],FinanceCodesBudget[[#This Row],[GroupingCode]])&gt;0,0,1)</f>
        <v>0</v>
      </c>
      <c r="C120" s="43">
        <f>IF(COUNTIF(CUSTGROUP[CustomGroupingCode],FinanceCodesBudget[[#This Row],[CustomGrouping]])&gt;0,0,1)</f>
        <v>0</v>
      </c>
      <c r="D120" s="43" cm="1">
        <f t="array" ref="D120">IF(FinanceCodesBudget[[#This Row],[AvailableToAllSchools]]=TRUE,0,COUNTA(_xlfn.TEXTSPLIT(FinanceCodesBudget[[#This Row],[SchoolCodes]],",",,TRUE))-SUM(COUNTIF(SCHOOLS[SchoolCode],_xlfn.TEXTSPLIT(FinanceCodesBudget[[#This Row],[SchoolCodes]],",",,TRUE))))</f>
        <v>0</v>
      </c>
      <c r="E120" s="43">
        <f>IF(FinanceCodesBudget[[#This Row],[FinanceCodeTypeCode]]="BUDGET",0,COUNTIF(FinanceCodesBudget[FinanceCode],FinanceCodesBudget[[#This Row],[FinanceCode]])-1)</f>
        <v>0</v>
      </c>
      <c r="F120" s="43">
        <f>IF(FinanceCodesBudget[[#This Row],[FinanceCodeTypeCode]]="BUDGET",0,COUNTIF(FinanceCodesBudget[Title],FinanceCodesBudget[[#This Row],[Title]])-1)</f>
        <v>0</v>
      </c>
      <c r="G120" s="43">
        <f>COUNTIF(Lookup!$A$2:$A$7,FinanceCodesBudget[[#This Row],[FinanceCodeTypeCode]])-1</f>
        <v>0</v>
      </c>
      <c r="H120" s="43">
        <f>IF(TRIM(FinanceCodesBudget[[#This Row],[Title]])="",1,0)</f>
        <v>0</v>
      </c>
      <c r="I120" s="43">
        <f>IF(TRIM(FinanceCodesBudget[[#This Row],[FinanceCode]])="",1,0)</f>
        <v>0</v>
      </c>
      <c r="J120" s="43">
        <f>IF(LEN(FinanceCodesBudget[[#This Row],[FinanceCode]])&lt;100,0,1)</f>
        <v>0</v>
      </c>
      <c r="K120" s="43">
        <f>IF(LEN(FinanceCodesBudget[[#This Row],[Title]])&lt;100,0,1)</f>
        <v>0</v>
      </c>
      <c r="L120" s="43">
        <f>IF(ISBLANK(FinanceCodesBudget[[#This Row],[BalanceToScenario]]),1,0)</f>
        <v>0</v>
      </c>
      <c r="M120" s="43">
        <f>SUM(FinanceCodesBudget[[#This Row],[LedgerIssue]:[CustGrIssue]],FinanceCodesBudget[[#This Row],[DupCode]:[Balance to Scenario Blank]])</f>
        <v>0</v>
      </c>
      <c r="N120">
        <v>611150</v>
      </c>
      <c r="O120" t="s">
        <v>2643</v>
      </c>
      <c r="P120" t="s">
        <v>243</v>
      </c>
      <c r="Q120" t="s">
        <v>1988</v>
      </c>
      <c r="R120" t="b">
        <v>0</v>
      </c>
      <c r="S120" t="s">
        <v>2526</v>
      </c>
      <c r="T120" t="s">
        <v>1300</v>
      </c>
      <c r="U120" t="s">
        <v>1532</v>
      </c>
      <c r="V120" t="b">
        <v>1</v>
      </c>
      <c r="W120" t="b">
        <v>0</v>
      </c>
    </row>
    <row r="121" spans="1:23" x14ac:dyDescent="0.3">
      <c r="A121" s="147">
        <f>IF(COUNTIF(LEDGER[LedgerCode],FinanceCodesBudget[[#This Row],[LedgerCode]])&gt;0,0,1)</f>
        <v>0</v>
      </c>
      <c r="B121" s="43">
        <f>IF(COUNTIF(Table_System_Grouping_Codes[groupingCodeCode],FinanceCodesBudget[[#This Row],[GroupingCode]])&gt;0,0,1)</f>
        <v>0</v>
      </c>
      <c r="C121" s="43">
        <f>IF(COUNTIF(CUSTGROUP[CustomGroupingCode],FinanceCodesBudget[[#This Row],[CustomGrouping]])&gt;0,0,1)</f>
        <v>0</v>
      </c>
      <c r="D121" s="43" cm="1">
        <f t="array" ref="D121">IF(FinanceCodesBudget[[#This Row],[AvailableToAllSchools]]=TRUE,0,COUNTA(_xlfn.TEXTSPLIT(FinanceCodesBudget[[#This Row],[SchoolCodes]],",",,TRUE))-SUM(COUNTIF(SCHOOLS[SchoolCode],_xlfn.TEXTSPLIT(FinanceCodesBudget[[#This Row],[SchoolCodes]],",",,TRUE))))</f>
        <v>0</v>
      </c>
      <c r="E121" s="43">
        <f>IF(FinanceCodesBudget[[#This Row],[FinanceCodeTypeCode]]="BUDGET",0,COUNTIF(FinanceCodesBudget[FinanceCode],FinanceCodesBudget[[#This Row],[FinanceCode]])-1)</f>
        <v>0</v>
      </c>
      <c r="F121" s="43">
        <f>IF(FinanceCodesBudget[[#This Row],[FinanceCodeTypeCode]]="BUDGET",0,COUNTIF(FinanceCodesBudget[Title],FinanceCodesBudget[[#This Row],[Title]])-1)</f>
        <v>0</v>
      </c>
      <c r="G121" s="43">
        <f>COUNTIF(Lookup!$A$2:$A$7,FinanceCodesBudget[[#This Row],[FinanceCodeTypeCode]])-1</f>
        <v>0</v>
      </c>
      <c r="H121" s="43">
        <f>IF(TRIM(FinanceCodesBudget[[#This Row],[Title]])="",1,0)</f>
        <v>0</v>
      </c>
      <c r="I121" s="43">
        <f>IF(TRIM(FinanceCodesBudget[[#This Row],[FinanceCode]])="",1,0)</f>
        <v>0</v>
      </c>
      <c r="J121" s="43">
        <f>IF(LEN(FinanceCodesBudget[[#This Row],[FinanceCode]])&lt;100,0,1)</f>
        <v>0</v>
      </c>
      <c r="K121" s="43">
        <f>IF(LEN(FinanceCodesBudget[[#This Row],[Title]])&lt;100,0,1)</f>
        <v>0</v>
      </c>
      <c r="L121" s="43">
        <f>IF(ISBLANK(FinanceCodesBudget[[#This Row],[BalanceToScenario]]),1,0)</f>
        <v>0</v>
      </c>
      <c r="M121" s="43">
        <f>SUM(FinanceCodesBudget[[#This Row],[LedgerIssue]:[CustGrIssue]],FinanceCodesBudget[[#This Row],[DupCode]:[Balance to Scenario Blank]])</f>
        <v>0</v>
      </c>
      <c r="N121">
        <v>611200</v>
      </c>
      <c r="O121" t="s">
        <v>2644</v>
      </c>
      <c r="P121" t="s">
        <v>245</v>
      </c>
      <c r="Q121" t="s">
        <v>1988</v>
      </c>
      <c r="R121" t="b">
        <v>0</v>
      </c>
      <c r="S121" t="s">
        <v>2526</v>
      </c>
      <c r="T121" t="s">
        <v>1300</v>
      </c>
      <c r="U121" t="s">
        <v>1532</v>
      </c>
      <c r="V121" t="b">
        <v>1</v>
      </c>
      <c r="W121" t="b">
        <v>0</v>
      </c>
    </row>
    <row r="122" spans="1:23" x14ac:dyDescent="0.3">
      <c r="A122" s="147">
        <f>IF(COUNTIF(LEDGER[LedgerCode],FinanceCodesBudget[[#This Row],[LedgerCode]])&gt;0,0,1)</f>
        <v>0</v>
      </c>
      <c r="B122" s="43">
        <f>IF(COUNTIF(Table_System_Grouping_Codes[groupingCodeCode],FinanceCodesBudget[[#This Row],[GroupingCode]])&gt;0,0,1)</f>
        <v>0</v>
      </c>
      <c r="C122" s="43">
        <f>IF(COUNTIF(CUSTGROUP[CustomGroupingCode],FinanceCodesBudget[[#This Row],[CustomGrouping]])&gt;0,0,1)</f>
        <v>0</v>
      </c>
      <c r="D122" s="43" cm="1">
        <f t="array" ref="D122">IF(FinanceCodesBudget[[#This Row],[AvailableToAllSchools]]=TRUE,0,COUNTA(_xlfn.TEXTSPLIT(FinanceCodesBudget[[#This Row],[SchoolCodes]],",",,TRUE))-SUM(COUNTIF(SCHOOLS[SchoolCode],_xlfn.TEXTSPLIT(FinanceCodesBudget[[#This Row],[SchoolCodes]],",",,TRUE))))</f>
        <v>0</v>
      </c>
      <c r="E122" s="43">
        <f>IF(FinanceCodesBudget[[#This Row],[FinanceCodeTypeCode]]="BUDGET",0,COUNTIF(FinanceCodesBudget[FinanceCode],FinanceCodesBudget[[#This Row],[FinanceCode]])-1)</f>
        <v>0</v>
      </c>
      <c r="F122" s="43">
        <f>IF(FinanceCodesBudget[[#This Row],[FinanceCodeTypeCode]]="BUDGET",0,COUNTIF(FinanceCodesBudget[Title],FinanceCodesBudget[[#This Row],[Title]])-1)</f>
        <v>0</v>
      </c>
      <c r="G122" s="43">
        <f>COUNTIF(Lookup!$A$2:$A$7,FinanceCodesBudget[[#This Row],[FinanceCodeTypeCode]])-1</f>
        <v>0</v>
      </c>
      <c r="H122" s="43">
        <f>IF(TRIM(FinanceCodesBudget[[#This Row],[Title]])="",1,0)</f>
        <v>0</v>
      </c>
      <c r="I122" s="43">
        <f>IF(TRIM(FinanceCodesBudget[[#This Row],[FinanceCode]])="",1,0)</f>
        <v>0</v>
      </c>
      <c r="J122" s="43">
        <f>IF(LEN(FinanceCodesBudget[[#This Row],[FinanceCode]])&lt;100,0,1)</f>
        <v>0</v>
      </c>
      <c r="K122" s="43">
        <f>IF(LEN(FinanceCodesBudget[[#This Row],[Title]])&lt;100,0,1)</f>
        <v>0</v>
      </c>
      <c r="L122" s="43">
        <f>IF(ISBLANK(FinanceCodesBudget[[#This Row],[BalanceToScenario]]),1,0)</f>
        <v>0</v>
      </c>
      <c r="M122" s="43">
        <f>SUM(FinanceCodesBudget[[#This Row],[LedgerIssue]:[CustGrIssue]],FinanceCodesBudget[[#This Row],[DupCode]:[Balance to Scenario Blank]])</f>
        <v>0</v>
      </c>
      <c r="N122">
        <v>611300</v>
      </c>
      <c r="O122" t="s">
        <v>2645</v>
      </c>
      <c r="P122" t="s">
        <v>247</v>
      </c>
      <c r="Q122" t="s">
        <v>1988</v>
      </c>
      <c r="R122" t="b">
        <v>0</v>
      </c>
      <c r="S122" t="s">
        <v>2526</v>
      </c>
      <c r="T122" t="s">
        <v>1300</v>
      </c>
      <c r="U122" t="s">
        <v>1532</v>
      </c>
      <c r="V122" t="b">
        <v>1</v>
      </c>
      <c r="W122" t="b">
        <v>0</v>
      </c>
    </row>
    <row r="123" spans="1:23" x14ac:dyDescent="0.3">
      <c r="A123" s="147">
        <f>IF(COUNTIF(LEDGER[LedgerCode],FinanceCodesBudget[[#This Row],[LedgerCode]])&gt;0,0,1)</f>
        <v>0</v>
      </c>
      <c r="B123" s="43">
        <f>IF(COUNTIF(Table_System_Grouping_Codes[groupingCodeCode],FinanceCodesBudget[[#This Row],[GroupingCode]])&gt;0,0,1)</f>
        <v>0</v>
      </c>
      <c r="C123" s="43">
        <f>IF(COUNTIF(CUSTGROUP[CustomGroupingCode],FinanceCodesBudget[[#This Row],[CustomGrouping]])&gt;0,0,1)</f>
        <v>0</v>
      </c>
      <c r="D123" s="43" cm="1">
        <f t="array" ref="D123">IF(FinanceCodesBudget[[#This Row],[AvailableToAllSchools]]=TRUE,0,COUNTA(_xlfn.TEXTSPLIT(FinanceCodesBudget[[#This Row],[SchoolCodes]],",",,TRUE))-SUM(COUNTIF(SCHOOLS[SchoolCode],_xlfn.TEXTSPLIT(FinanceCodesBudget[[#This Row],[SchoolCodes]],",",,TRUE))))</f>
        <v>0</v>
      </c>
      <c r="E123" s="43">
        <f>IF(FinanceCodesBudget[[#This Row],[FinanceCodeTypeCode]]="BUDGET",0,COUNTIF(FinanceCodesBudget[FinanceCode],FinanceCodesBudget[[#This Row],[FinanceCode]])-1)</f>
        <v>0</v>
      </c>
      <c r="F123" s="43">
        <f>IF(FinanceCodesBudget[[#This Row],[FinanceCodeTypeCode]]="BUDGET",0,COUNTIF(FinanceCodesBudget[Title],FinanceCodesBudget[[#This Row],[Title]])-1)</f>
        <v>0</v>
      </c>
      <c r="G123" s="43">
        <f>COUNTIF(Lookup!$A$2:$A$7,FinanceCodesBudget[[#This Row],[FinanceCodeTypeCode]])-1</f>
        <v>0</v>
      </c>
      <c r="H123" s="43">
        <f>IF(TRIM(FinanceCodesBudget[[#This Row],[Title]])="",1,0)</f>
        <v>0</v>
      </c>
      <c r="I123" s="43">
        <f>IF(TRIM(FinanceCodesBudget[[#This Row],[FinanceCode]])="",1,0)</f>
        <v>0</v>
      </c>
      <c r="J123" s="43">
        <f>IF(LEN(FinanceCodesBudget[[#This Row],[FinanceCode]])&lt;100,0,1)</f>
        <v>0</v>
      </c>
      <c r="K123" s="43">
        <f>IF(LEN(FinanceCodesBudget[[#This Row],[Title]])&lt;100,0,1)</f>
        <v>0</v>
      </c>
      <c r="L123" s="43">
        <f>IF(ISBLANK(FinanceCodesBudget[[#This Row],[BalanceToScenario]]),1,0)</f>
        <v>0</v>
      </c>
      <c r="M123" s="43">
        <f>SUM(FinanceCodesBudget[[#This Row],[LedgerIssue]:[CustGrIssue]],FinanceCodesBudget[[#This Row],[DupCode]:[Balance to Scenario Blank]])</f>
        <v>0</v>
      </c>
      <c r="N123">
        <v>612100</v>
      </c>
      <c r="O123" t="s">
        <v>2646</v>
      </c>
      <c r="P123" t="s">
        <v>249</v>
      </c>
      <c r="Q123" t="s">
        <v>1977</v>
      </c>
      <c r="R123" t="b">
        <v>0</v>
      </c>
      <c r="S123" t="s">
        <v>2526</v>
      </c>
      <c r="T123" t="s">
        <v>1300</v>
      </c>
      <c r="U123" t="s">
        <v>1532</v>
      </c>
      <c r="V123" t="b">
        <v>1</v>
      </c>
      <c r="W123" t="b">
        <v>0</v>
      </c>
    </row>
    <row r="124" spans="1:23" x14ac:dyDescent="0.3">
      <c r="A124" s="147">
        <f>IF(COUNTIF(LEDGER[LedgerCode],FinanceCodesBudget[[#This Row],[LedgerCode]])&gt;0,0,1)</f>
        <v>0</v>
      </c>
      <c r="B124" s="43">
        <f>IF(COUNTIF(Table_System_Grouping_Codes[groupingCodeCode],FinanceCodesBudget[[#This Row],[GroupingCode]])&gt;0,0,1)</f>
        <v>0</v>
      </c>
      <c r="C124" s="43">
        <f>IF(COUNTIF(CUSTGROUP[CustomGroupingCode],FinanceCodesBudget[[#This Row],[CustomGrouping]])&gt;0,0,1)</f>
        <v>0</v>
      </c>
      <c r="D124" s="43" cm="1">
        <f t="array" ref="D124">IF(FinanceCodesBudget[[#This Row],[AvailableToAllSchools]]=TRUE,0,COUNTA(_xlfn.TEXTSPLIT(FinanceCodesBudget[[#This Row],[SchoolCodes]],",",,TRUE))-SUM(COUNTIF(SCHOOLS[SchoolCode],_xlfn.TEXTSPLIT(FinanceCodesBudget[[#This Row],[SchoolCodes]],",",,TRUE))))</f>
        <v>0</v>
      </c>
      <c r="E124" s="43">
        <f>IF(FinanceCodesBudget[[#This Row],[FinanceCodeTypeCode]]="BUDGET",0,COUNTIF(FinanceCodesBudget[FinanceCode],FinanceCodesBudget[[#This Row],[FinanceCode]])-1)</f>
        <v>0</v>
      </c>
      <c r="F124" s="43">
        <f>IF(FinanceCodesBudget[[#This Row],[FinanceCodeTypeCode]]="BUDGET",0,COUNTIF(FinanceCodesBudget[Title],FinanceCodesBudget[[#This Row],[Title]])-1)</f>
        <v>0</v>
      </c>
      <c r="G124" s="43">
        <f>COUNTIF(Lookup!$A$2:$A$7,FinanceCodesBudget[[#This Row],[FinanceCodeTypeCode]])-1</f>
        <v>0</v>
      </c>
      <c r="H124" s="43">
        <f>IF(TRIM(FinanceCodesBudget[[#This Row],[Title]])="",1,0)</f>
        <v>0</v>
      </c>
      <c r="I124" s="43">
        <f>IF(TRIM(FinanceCodesBudget[[#This Row],[FinanceCode]])="",1,0)</f>
        <v>0</v>
      </c>
      <c r="J124" s="43">
        <f>IF(LEN(FinanceCodesBudget[[#This Row],[FinanceCode]])&lt;100,0,1)</f>
        <v>0</v>
      </c>
      <c r="K124" s="43">
        <f>IF(LEN(FinanceCodesBudget[[#This Row],[Title]])&lt;100,0,1)</f>
        <v>0</v>
      </c>
      <c r="L124" s="43">
        <f>IF(ISBLANK(FinanceCodesBudget[[#This Row],[BalanceToScenario]]),1,0)</f>
        <v>0</v>
      </c>
      <c r="M124" s="43">
        <f>SUM(FinanceCodesBudget[[#This Row],[LedgerIssue]:[CustGrIssue]],FinanceCodesBudget[[#This Row],[DupCode]:[Balance to Scenario Blank]])</f>
        <v>0</v>
      </c>
      <c r="N124">
        <v>612150</v>
      </c>
      <c r="O124" t="s">
        <v>2647</v>
      </c>
      <c r="P124" t="s">
        <v>251</v>
      </c>
      <c r="Q124" t="s">
        <v>1977</v>
      </c>
      <c r="R124" t="b">
        <v>0</v>
      </c>
      <c r="S124" t="s">
        <v>2526</v>
      </c>
      <c r="T124" t="s">
        <v>1300</v>
      </c>
      <c r="U124" t="s">
        <v>1532</v>
      </c>
      <c r="V124" t="b">
        <v>1</v>
      </c>
      <c r="W124" t="b">
        <v>0</v>
      </c>
    </row>
    <row r="125" spans="1:23" x14ac:dyDescent="0.3">
      <c r="A125" s="147">
        <f>IF(COUNTIF(LEDGER[LedgerCode],FinanceCodesBudget[[#This Row],[LedgerCode]])&gt;0,0,1)</f>
        <v>0</v>
      </c>
      <c r="B125" s="43">
        <f>IF(COUNTIF(Table_System_Grouping_Codes[groupingCodeCode],FinanceCodesBudget[[#This Row],[GroupingCode]])&gt;0,0,1)</f>
        <v>0</v>
      </c>
      <c r="C125" s="43">
        <f>IF(COUNTIF(CUSTGROUP[CustomGroupingCode],FinanceCodesBudget[[#This Row],[CustomGrouping]])&gt;0,0,1)</f>
        <v>0</v>
      </c>
      <c r="D125" s="43" cm="1">
        <f t="array" ref="D125">IF(FinanceCodesBudget[[#This Row],[AvailableToAllSchools]]=TRUE,0,COUNTA(_xlfn.TEXTSPLIT(FinanceCodesBudget[[#This Row],[SchoolCodes]],",",,TRUE))-SUM(COUNTIF(SCHOOLS[SchoolCode],_xlfn.TEXTSPLIT(FinanceCodesBudget[[#This Row],[SchoolCodes]],",",,TRUE))))</f>
        <v>0</v>
      </c>
      <c r="E125" s="43">
        <f>IF(FinanceCodesBudget[[#This Row],[FinanceCodeTypeCode]]="BUDGET",0,COUNTIF(FinanceCodesBudget[FinanceCode],FinanceCodesBudget[[#This Row],[FinanceCode]])-1)</f>
        <v>0</v>
      </c>
      <c r="F125" s="43">
        <f>IF(FinanceCodesBudget[[#This Row],[FinanceCodeTypeCode]]="BUDGET",0,COUNTIF(FinanceCodesBudget[Title],FinanceCodesBudget[[#This Row],[Title]])-1)</f>
        <v>0</v>
      </c>
      <c r="G125" s="43">
        <f>COUNTIF(Lookup!$A$2:$A$7,FinanceCodesBudget[[#This Row],[FinanceCodeTypeCode]])-1</f>
        <v>0</v>
      </c>
      <c r="H125" s="43">
        <f>IF(TRIM(FinanceCodesBudget[[#This Row],[Title]])="",1,0)</f>
        <v>0</v>
      </c>
      <c r="I125" s="43">
        <f>IF(TRIM(FinanceCodesBudget[[#This Row],[FinanceCode]])="",1,0)</f>
        <v>0</v>
      </c>
      <c r="J125" s="43">
        <f>IF(LEN(FinanceCodesBudget[[#This Row],[FinanceCode]])&lt;100,0,1)</f>
        <v>0</v>
      </c>
      <c r="K125" s="43">
        <f>IF(LEN(FinanceCodesBudget[[#This Row],[Title]])&lt;100,0,1)</f>
        <v>0</v>
      </c>
      <c r="L125" s="43">
        <f>IF(ISBLANK(FinanceCodesBudget[[#This Row],[BalanceToScenario]]),1,0)</f>
        <v>0</v>
      </c>
      <c r="M125" s="43">
        <f>SUM(FinanceCodesBudget[[#This Row],[LedgerIssue]:[CustGrIssue]],FinanceCodesBudget[[#This Row],[DupCode]:[Balance to Scenario Blank]])</f>
        <v>0</v>
      </c>
      <c r="N125">
        <v>612200</v>
      </c>
      <c r="O125" t="s">
        <v>2648</v>
      </c>
      <c r="P125" t="s">
        <v>253</v>
      </c>
      <c r="Q125" t="s">
        <v>1977</v>
      </c>
      <c r="R125" t="b">
        <v>0</v>
      </c>
      <c r="S125" t="s">
        <v>2526</v>
      </c>
      <c r="T125" t="s">
        <v>1300</v>
      </c>
      <c r="U125" t="s">
        <v>1532</v>
      </c>
      <c r="V125" t="b">
        <v>1</v>
      </c>
      <c r="W125" t="b">
        <v>0</v>
      </c>
    </row>
    <row r="126" spans="1:23" x14ac:dyDescent="0.3">
      <c r="A126" s="147">
        <f>IF(COUNTIF(LEDGER[LedgerCode],FinanceCodesBudget[[#This Row],[LedgerCode]])&gt;0,0,1)</f>
        <v>0</v>
      </c>
      <c r="B126" s="43">
        <f>IF(COUNTIF(Table_System_Grouping_Codes[groupingCodeCode],FinanceCodesBudget[[#This Row],[GroupingCode]])&gt;0,0,1)</f>
        <v>0</v>
      </c>
      <c r="C126" s="43">
        <f>IF(COUNTIF(CUSTGROUP[CustomGroupingCode],FinanceCodesBudget[[#This Row],[CustomGrouping]])&gt;0,0,1)</f>
        <v>0</v>
      </c>
      <c r="D126" s="43" cm="1">
        <f t="array" ref="D126">IF(FinanceCodesBudget[[#This Row],[AvailableToAllSchools]]=TRUE,0,COUNTA(_xlfn.TEXTSPLIT(FinanceCodesBudget[[#This Row],[SchoolCodes]],",",,TRUE))-SUM(COUNTIF(SCHOOLS[SchoolCode],_xlfn.TEXTSPLIT(FinanceCodesBudget[[#This Row],[SchoolCodes]],",",,TRUE))))</f>
        <v>0</v>
      </c>
      <c r="E126" s="43">
        <f>IF(FinanceCodesBudget[[#This Row],[FinanceCodeTypeCode]]="BUDGET",0,COUNTIF(FinanceCodesBudget[FinanceCode],FinanceCodesBudget[[#This Row],[FinanceCode]])-1)</f>
        <v>0</v>
      </c>
      <c r="F126" s="43">
        <f>IF(FinanceCodesBudget[[#This Row],[FinanceCodeTypeCode]]="BUDGET",0,COUNTIF(FinanceCodesBudget[Title],FinanceCodesBudget[[#This Row],[Title]])-1)</f>
        <v>0</v>
      </c>
      <c r="G126" s="43">
        <f>COUNTIF(Lookup!$A$2:$A$7,FinanceCodesBudget[[#This Row],[FinanceCodeTypeCode]])-1</f>
        <v>0</v>
      </c>
      <c r="H126" s="43">
        <f>IF(TRIM(FinanceCodesBudget[[#This Row],[Title]])="",1,0)</f>
        <v>0</v>
      </c>
      <c r="I126" s="43">
        <f>IF(TRIM(FinanceCodesBudget[[#This Row],[FinanceCode]])="",1,0)</f>
        <v>0</v>
      </c>
      <c r="J126" s="43">
        <f>IF(LEN(FinanceCodesBudget[[#This Row],[FinanceCode]])&lt;100,0,1)</f>
        <v>0</v>
      </c>
      <c r="K126" s="43">
        <f>IF(LEN(FinanceCodesBudget[[#This Row],[Title]])&lt;100,0,1)</f>
        <v>0</v>
      </c>
      <c r="L126" s="43">
        <f>IF(ISBLANK(FinanceCodesBudget[[#This Row],[BalanceToScenario]]),1,0)</f>
        <v>0</v>
      </c>
      <c r="M126" s="43">
        <f>SUM(FinanceCodesBudget[[#This Row],[LedgerIssue]:[CustGrIssue]],FinanceCodesBudget[[#This Row],[DupCode]:[Balance to Scenario Blank]])</f>
        <v>0</v>
      </c>
      <c r="N126">
        <v>612300</v>
      </c>
      <c r="O126" t="s">
        <v>2649</v>
      </c>
      <c r="P126" t="s">
        <v>255</v>
      </c>
      <c r="Q126" t="s">
        <v>1977</v>
      </c>
      <c r="R126" t="b">
        <v>0</v>
      </c>
      <c r="S126" t="s">
        <v>2526</v>
      </c>
      <c r="T126" t="s">
        <v>1300</v>
      </c>
      <c r="U126" t="s">
        <v>1532</v>
      </c>
      <c r="V126" t="b">
        <v>1</v>
      </c>
      <c r="W126" t="b">
        <v>0</v>
      </c>
    </row>
    <row r="127" spans="1:23" x14ac:dyDescent="0.3">
      <c r="A127" s="147">
        <f>IF(COUNTIF(LEDGER[LedgerCode],FinanceCodesBudget[[#This Row],[LedgerCode]])&gt;0,0,1)</f>
        <v>0</v>
      </c>
      <c r="B127" s="43">
        <f>IF(COUNTIF(Table_System_Grouping_Codes[groupingCodeCode],FinanceCodesBudget[[#This Row],[GroupingCode]])&gt;0,0,1)</f>
        <v>0</v>
      </c>
      <c r="C127" s="43">
        <f>IF(COUNTIF(CUSTGROUP[CustomGroupingCode],FinanceCodesBudget[[#This Row],[CustomGrouping]])&gt;0,0,1)</f>
        <v>0</v>
      </c>
      <c r="D127" s="43" cm="1">
        <f t="array" ref="D127">IF(FinanceCodesBudget[[#This Row],[AvailableToAllSchools]]=TRUE,0,COUNTA(_xlfn.TEXTSPLIT(FinanceCodesBudget[[#This Row],[SchoolCodes]],",",,TRUE))-SUM(COUNTIF(SCHOOLS[SchoolCode],_xlfn.TEXTSPLIT(FinanceCodesBudget[[#This Row],[SchoolCodes]],",",,TRUE))))</f>
        <v>0</v>
      </c>
      <c r="E127" s="43">
        <f>IF(FinanceCodesBudget[[#This Row],[FinanceCodeTypeCode]]="BUDGET",0,COUNTIF(FinanceCodesBudget[FinanceCode],FinanceCodesBudget[[#This Row],[FinanceCode]])-1)</f>
        <v>0</v>
      </c>
      <c r="F127" s="43">
        <f>IF(FinanceCodesBudget[[#This Row],[FinanceCodeTypeCode]]="BUDGET",0,COUNTIF(FinanceCodesBudget[Title],FinanceCodesBudget[[#This Row],[Title]])-1)</f>
        <v>0</v>
      </c>
      <c r="G127" s="43">
        <f>COUNTIF(Lookup!$A$2:$A$7,FinanceCodesBudget[[#This Row],[FinanceCodeTypeCode]])-1</f>
        <v>0</v>
      </c>
      <c r="H127" s="43">
        <f>IF(TRIM(FinanceCodesBudget[[#This Row],[Title]])="",1,0)</f>
        <v>0</v>
      </c>
      <c r="I127" s="43">
        <f>IF(TRIM(FinanceCodesBudget[[#This Row],[FinanceCode]])="",1,0)</f>
        <v>0</v>
      </c>
      <c r="J127" s="43">
        <f>IF(LEN(FinanceCodesBudget[[#This Row],[FinanceCode]])&lt;100,0,1)</f>
        <v>0</v>
      </c>
      <c r="K127" s="43">
        <f>IF(LEN(FinanceCodesBudget[[#This Row],[Title]])&lt;100,0,1)</f>
        <v>0</v>
      </c>
      <c r="L127" s="43">
        <f>IF(ISBLANK(FinanceCodesBudget[[#This Row],[BalanceToScenario]]),1,0)</f>
        <v>0</v>
      </c>
      <c r="M127" s="43">
        <f>SUM(FinanceCodesBudget[[#This Row],[LedgerIssue]:[CustGrIssue]],FinanceCodesBudget[[#This Row],[DupCode]:[Balance to Scenario Blank]])</f>
        <v>0</v>
      </c>
      <c r="N127">
        <v>615100</v>
      </c>
      <c r="O127" t="s">
        <v>2650</v>
      </c>
      <c r="P127" t="s">
        <v>257</v>
      </c>
      <c r="Q127" t="s">
        <v>1979</v>
      </c>
      <c r="R127" t="b">
        <v>0</v>
      </c>
      <c r="S127" t="s">
        <v>2526</v>
      </c>
      <c r="T127" t="s">
        <v>1300</v>
      </c>
      <c r="U127" t="s">
        <v>1532</v>
      </c>
      <c r="V127" t="b">
        <v>1</v>
      </c>
      <c r="W127" t="b">
        <v>0</v>
      </c>
    </row>
    <row r="128" spans="1:23" x14ac:dyDescent="0.3">
      <c r="A128" s="147">
        <f>IF(COUNTIF(LEDGER[LedgerCode],FinanceCodesBudget[[#This Row],[LedgerCode]])&gt;0,0,1)</f>
        <v>0</v>
      </c>
      <c r="B128" s="43">
        <f>IF(COUNTIF(Table_System_Grouping_Codes[groupingCodeCode],FinanceCodesBudget[[#This Row],[GroupingCode]])&gt;0,0,1)</f>
        <v>0</v>
      </c>
      <c r="C128" s="43">
        <f>IF(COUNTIF(CUSTGROUP[CustomGroupingCode],FinanceCodesBudget[[#This Row],[CustomGrouping]])&gt;0,0,1)</f>
        <v>0</v>
      </c>
      <c r="D128" s="43" cm="1">
        <f t="array" ref="D128">IF(FinanceCodesBudget[[#This Row],[AvailableToAllSchools]]=TRUE,0,COUNTA(_xlfn.TEXTSPLIT(FinanceCodesBudget[[#This Row],[SchoolCodes]],",",,TRUE))-SUM(COUNTIF(SCHOOLS[SchoolCode],_xlfn.TEXTSPLIT(FinanceCodesBudget[[#This Row],[SchoolCodes]],",",,TRUE))))</f>
        <v>0</v>
      </c>
      <c r="E128" s="43">
        <f>IF(FinanceCodesBudget[[#This Row],[FinanceCodeTypeCode]]="BUDGET",0,COUNTIF(FinanceCodesBudget[FinanceCode],FinanceCodesBudget[[#This Row],[FinanceCode]])-1)</f>
        <v>0</v>
      </c>
      <c r="F128" s="43">
        <f>IF(FinanceCodesBudget[[#This Row],[FinanceCodeTypeCode]]="BUDGET",0,COUNTIF(FinanceCodesBudget[Title],FinanceCodesBudget[[#This Row],[Title]])-1)</f>
        <v>0</v>
      </c>
      <c r="G128" s="43">
        <f>COUNTIF(Lookup!$A$2:$A$7,FinanceCodesBudget[[#This Row],[FinanceCodeTypeCode]])-1</f>
        <v>0</v>
      </c>
      <c r="H128" s="43">
        <f>IF(TRIM(FinanceCodesBudget[[#This Row],[Title]])="",1,0)</f>
        <v>0</v>
      </c>
      <c r="I128" s="43">
        <f>IF(TRIM(FinanceCodesBudget[[#This Row],[FinanceCode]])="",1,0)</f>
        <v>0</v>
      </c>
      <c r="J128" s="43">
        <f>IF(LEN(FinanceCodesBudget[[#This Row],[FinanceCode]])&lt;100,0,1)</f>
        <v>0</v>
      </c>
      <c r="K128" s="43">
        <f>IF(LEN(FinanceCodesBudget[[#This Row],[Title]])&lt;100,0,1)</f>
        <v>0</v>
      </c>
      <c r="L128" s="43">
        <f>IF(ISBLANK(FinanceCodesBudget[[#This Row],[BalanceToScenario]]),1,0)</f>
        <v>0</v>
      </c>
      <c r="M128" s="43">
        <f>SUM(FinanceCodesBudget[[#This Row],[LedgerIssue]:[CustGrIssue]],FinanceCodesBudget[[#This Row],[DupCode]:[Balance to Scenario Blank]])</f>
        <v>0</v>
      </c>
      <c r="N128">
        <v>615150</v>
      </c>
      <c r="O128" t="s">
        <v>2651</v>
      </c>
      <c r="P128" t="s">
        <v>259</v>
      </c>
      <c r="Q128" t="s">
        <v>1979</v>
      </c>
      <c r="R128" t="b">
        <v>0</v>
      </c>
      <c r="S128" t="s">
        <v>2526</v>
      </c>
      <c r="T128" t="s">
        <v>1300</v>
      </c>
      <c r="U128" t="s">
        <v>1532</v>
      </c>
      <c r="V128" t="b">
        <v>1</v>
      </c>
      <c r="W128" t="b">
        <v>0</v>
      </c>
    </row>
    <row r="129" spans="1:23" x14ac:dyDescent="0.3">
      <c r="A129" s="147">
        <f>IF(COUNTIF(LEDGER[LedgerCode],FinanceCodesBudget[[#This Row],[LedgerCode]])&gt;0,0,1)</f>
        <v>0</v>
      </c>
      <c r="B129" s="43">
        <f>IF(COUNTIF(Table_System_Grouping_Codes[groupingCodeCode],FinanceCodesBudget[[#This Row],[GroupingCode]])&gt;0,0,1)</f>
        <v>0</v>
      </c>
      <c r="C129" s="43">
        <f>IF(COUNTIF(CUSTGROUP[CustomGroupingCode],FinanceCodesBudget[[#This Row],[CustomGrouping]])&gt;0,0,1)</f>
        <v>0</v>
      </c>
      <c r="D129" s="43" cm="1">
        <f t="array" ref="D129">IF(FinanceCodesBudget[[#This Row],[AvailableToAllSchools]]=TRUE,0,COUNTA(_xlfn.TEXTSPLIT(FinanceCodesBudget[[#This Row],[SchoolCodes]],",",,TRUE))-SUM(COUNTIF(SCHOOLS[SchoolCode],_xlfn.TEXTSPLIT(FinanceCodesBudget[[#This Row],[SchoolCodes]],",",,TRUE))))</f>
        <v>0</v>
      </c>
      <c r="E129" s="43">
        <f>IF(FinanceCodesBudget[[#This Row],[FinanceCodeTypeCode]]="BUDGET",0,COUNTIF(FinanceCodesBudget[FinanceCode],FinanceCodesBudget[[#This Row],[FinanceCode]])-1)</f>
        <v>0</v>
      </c>
      <c r="F129" s="43">
        <f>IF(FinanceCodesBudget[[#This Row],[FinanceCodeTypeCode]]="BUDGET",0,COUNTIF(FinanceCodesBudget[Title],FinanceCodesBudget[[#This Row],[Title]])-1)</f>
        <v>0</v>
      </c>
      <c r="G129" s="43">
        <f>COUNTIF(Lookup!$A$2:$A$7,FinanceCodesBudget[[#This Row],[FinanceCodeTypeCode]])-1</f>
        <v>0</v>
      </c>
      <c r="H129" s="43">
        <f>IF(TRIM(FinanceCodesBudget[[#This Row],[Title]])="",1,0)</f>
        <v>0</v>
      </c>
      <c r="I129" s="43">
        <f>IF(TRIM(FinanceCodesBudget[[#This Row],[FinanceCode]])="",1,0)</f>
        <v>0</v>
      </c>
      <c r="J129" s="43">
        <f>IF(LEN(FinanceCodesBudget[[#This Row],[FinanceCode]])&lt;100,0,1)</f>
        <v>0</v>
      </c>
      <c r="K129" s="43">
        <f>IF(LEN(FinanceCodesBudget[[#This Row],[Title]])&lt;100,0,1)</f>
        <v>0</v>
      </c>
      <c r="L129" s="43">
        <f>IF(ISBLANK(FinanceCodesBudget[[#This Row],[BalanceToScenario]]),1,0)</f>
        <v>0</v>
      </c>
      <c r="M129" s="43">
        <f>SUM(FinanceCodesBudget[[#This Row],[LedgerIssue]:[CustGrIssue]],FinanceCodesBudget[[#This Row],[DupCode]:[Balance to Scenario Blank]])</f>
        <v>0</v>
      </c>
      <c r="N129">
        <v>615200</v>
      </c>
      <c r="O129" t="s">
        <v>2652</v>
      </c>
      <c r="P129" t="s">
        <v>261</v>
      </c>
      <c r="Q129" t="s">
        <v>1979</v>
      </c>
      <c r="R129" t="b">
        <v>0</v>
      </c>
      <c r="S129" t="s">
        <v>2526</v>
      </c>
      <c r="T129" t="s">
        <v>1300</v>
      </c>
      <c r="U129" t="s">
        <v>1532</v>
      </c>
      <c r="V129" t="b">
        <v>1</v>
      </c>
      <c r="W129" t="b">
        <v>0</v>
      </c>
    </row>
    <row r="130" spans="1:23" x14ac:dyDescent="0.3">
      <c r="A130" s="147">
        <f>IF(COUNTIF(LEDGER[LedgerCode],FinanceCodesBudget[[#This Row],[LedgerCode]])&gt;0,0,1)</f>
        <v>0</v>
      </c>
      <c r="B130" s="43">
        <f>IF(COUNTIF(Table_System_Grouping_Codes[groupingCodeCode],FinanceCodesBudget[[#This Row],[GroupingCode]])&gt;0,0,1)</f>
        <v>0</v>
      </c>
      <c r="C130" s="43">
        <f>IF(COUNTIF(CUSTGROUP[CustomGroupingCode],FinanceCodesBudget[[#This Row],[CustomGrouping]])&gt;0,0,1)</f>
        <v>0</v>
      </c>
      <c r="D130" s="43" cm="1">
        <f t="array" ref="D130">IF(FinanceCodesBudget[[#This Row],[AvailableToAllSchools]]=TRUE,0,COUNTA(_xlfn.TEXTSPLIT(FinanceCodesBudget[[#This Row],[SchoolCodes]],",",,TRUE))-SUM(COUNTIF(SCHOOLS[SchoolCode],_xlfn.TEXTSPLIT(FinanceCodesBudget[[#This Row],[SchoolCodes]],",",,TRUE))))</f>
        <v>0</v>
      </c>
      <c r="E130" s="43">
        <f>IF(FinanceCodesBudget[[#This Row],[FinanceCodeTypeCode]]="BUDGET",0,COUNTIF(FinanceCodesBudget[FinanceCode],FinanceCodesBudget[[#This Row],[FinanceCode]])-1)</f>
        <v>0</v>
      </c>
      <c r="F130" s="43">
        <f>IF(FinanceCodesBudget[[#This Row],[FinanceCodeTypeCode]]="BUDGET",0,COUNTIF(FinanceCodesBudget[Title],FinanceCodesBudget[[#This Row],[Title]])-1)</f>
        <v>0</v>
      </c>
      <c r="G130" s="43">
        <f>COUNTIF(Lookup!$A$2:$A$7,FinanceCodesBudget[[#This Row],[FinanceCodeTypeCode]])-1</f>
        <v>0</v>
      </c>
      <c r="H130" s="43">
        <f>IF(TRIM(FinanceCodesBudget[[#This Row],[Title]])="",1,0)</f>
        <v>0</v>
      </c>
      <c r="I130" s="43">
        <f>IF(TRIM(FinanceCodesBudget[[#This Row],[FinanceCode]])="",1,0)</f>
        <v>0</v>
      </c>
      <c r="J130" s="43">
        <f>IF(LEN(FinanceCodesBudget[[#This Row],[FinanceCode]])&lt;100,0,1)</f>
        <v>0</v>
      </c>
      <c r="K130" s="43">
        <f>IF(LEN(FinanceCodesBudget[[#This Row],[Title]])&lt;100,0,1)</f>
        <v>0</v>
      </c>
      <c r="L130" s="43">
        <f>IF(ISBLANK(FinanceCodesBudget[[#This Row],[BalanceToScenario]]),1,0)</f>
        <v>0</v>
      </c>
      <c r="M130" s="43">
        <f>SUM(FinanceCodesBudget[[#This Row],[LedgerIssue]:[CustGrIssue]],FinanceCodesBudget[[#This Row],[DupCode]:[Balance to Scenario Blank]])</f>
        <v>0</v>
      </c>
      <c r="N130">
        <v>615300</v>
      </c>
      <c r="O130" t="s">
        <v>2653</v>
      </c>
      <c r="P130" t="s">
        <v>263</v>
      </c>
      <c r="Q130" t="s">
        <v>1979</v>
      </c>
      <c r="R130" t="b">
        <v>0</v>
      </c>
      <c r="S130" t="s">
        <v>2526</v>
      </c>
      <c r="T130" t="s">
        <v>1300</v>
      </c>
      <c r="U130" t="s">
        <v>1532</v>
      </c>
      <c r="V130" t="b">
        <v>1</v>
      </c>
      <c r="W130" t="b">
        <v>0</v>
      </c>
    </row>
    <row r="131" spans="1:23" x14ac:dyDescent="0.3">
      <c r="A131" s="147">
        <f>IF(COUNTIF(LEDGER[LedgerCode],FinanceCodesBudget[[#This Row],[LedgerCode]])&gt;0,0,1)</f>
        <v>0</v>
      </c>
      <c r="B131" s="43">
        <f>IF(COUNTIF(Table_System_Grouping_Codes[groupingCodeCode],FinanceCodesBudget[[#This Row],[GroupingCode]])&gt;0,0,1)</f>
        <v>0</v>
      </c>
      <c r="C131" s="43">
        <f>IF(COUNTIF(CUSTGROUP[CustomGroupingCode],FinanceCodesBudget[[#This Row],[CustomGrouping]])&gt;0,0,1)</f>
        <v>0</v>
      </c>
      <c r="D131" s="43" cm="1">
        <f t="array" ref="D131">IF(FinanceCodesBudget[[#This Row],[AvailableToAllSchools]]=TRUE,0,COUNTA(_xlfn.TEXTSPLIT(FinanceCodesBudget[[#This Row],[SchoolCodes]],",",,TRUE))-SUM(COUNTIF(SCHOOLS[SchoolCode],_xlfn.TEXTSPLIT(FinanceCodesBudget[[#This Row],[SchoolCodes]],",",,TRUE))))</f>
        <v>0</v>
      </c>
      <c r="E131" s="43">
        <f>IF(FinanceCodesBudget[[#This Row],[FinanceCodeTypeCode]]="BUDGET",0,COUNTIF(FinanceCodesBudget[FinanceCode],FinanceCodesBudget[[#This Row],[FinanceCode]])-1)</f>
        <v>0</v>
      </c>
      <c r="F131" s="43">
        <f>IF(FinanceCodesBudget[[#This Row],[FinanceCodeTypeCode]]="BUDGET",0,COUNTIF(FinanceCodesBudget[Title],FinanceCodesBudget[[#This Row],[Title]])-1)</f>
        <v>0</v>
      </c>
      <c r="G131" s="43">
        <f>COUNTIF(Lookup!$A$2:$A$7,FinanceCodesBudget[[#This Row],[FinanceCodeTypeCode]])-1</f>
        <v>0</v>
      </c>
      <c r="H131" s="43">
        <f>IF(TRIM(FinanceCodesBudget[[#This Row],[Title]])="",1,0)</f>
        <v>0</v>
      </c>
      <c r="I131" s="43">
        <f>IF(TRIM(FinanceCodesBudget[[#This Row],[FinanceCode]])="",1,0)</f>
        <v>0</v>
      </c>
      <c r="J131" s="43">
        <f>IF(LEN(FinanceCodesBudget[[#This Row],[FinanceCode]])&lt;100,0,1)</f>
        <v>0</v>
      </c>
      <c r="K131" s="43">
        <f>IF(LEN(FinanceCodesBudget[[#This Row],[Title]])&lt;100,0,1)</f>
        <v>0</v>
      </c>
      <c r="L131" s="43">
        <f>IF(ISBLANK(FinanceCodesBudget[[#This Row],[BalanceToScenario]]),1,0)</f>
        <v>0</v>
      </c>
      <c r="M131" s="43">
        <f>SUM(FinanceCodesBudget[[#This Row],[LedgerIssue]:[CustGrIssue]],FinanceCodesBudget[[#This Row],[DupCode]:[Balance to Scenario Blank]])</f>
        <v>0</v>
      </c>
      <c r="N131">
        <v>615400</v>
      </c>
      <c r="O131" t="s">
        <v>2654</v>
      </c>
      <c r="P131" t="s">
        <v>265</v>
      </c>
      <c r="Q131" t="s">
        <v>1979</v>
      </c>
      <c r="R131" t="b">
        <v>0</v>
      </c>
      <c r="S131" t="s">
        <v>2526</v>
      </c>
      <c r="T131" t="s">
        <v>1300</v>
      </c>
      <c r="U131" t="s">
        <v>1532</v>
      </c>
      <c r="V131" t="b">
        <v>1</v>
      </c>
      <c r="W131" t="b">
        <v>0</v>
      </c>
    </row>
    <row r="132" spans="1:23" x14ac:dyDescent="0.3">
      <c r="A132" s="147">
        <f>IF(COUNTIF(LEDGER[LedgerCode],FinanceCodesBudget[[#This Row],[LedgerCode]])&gt;0,0,1)</f>
        <v>0</v>
      </c>
      <c r="B132" s="43">
        <f>IF(COUNTIF(Table_System_Grouping_Codes[groupingCodeCode],FinanceCodesBudget[[#This Row],[GroupingCode]])&gt;0,0,1)</f>
        <v>0</v>
      </c>
      <c r="C132" s="43">
        <f>IF(COUNTIF(CUSTGROUP[CustomGroupingCode],FinanceCodesBudget[[#This Row],[CustomGrouping]])&gt;0,0,1)</f>
        <v>0</v>
      </c>
      <c r="D132" s="43" cm="1">
        <f t="array" ref="D132">IF(FinanceCodesBudget[[#This Row],[AvailableToAllSchools]]=TRUE,0,COUNTA(_xlfn.TEXTSPLIT(FinanceCodesBudget[[#This Row],[SchoolCodes]],",",,TRUE))-SUM(COUNTIF(SCHOOLS[SchoolCode],_xlfn.TEXTSPLIT(FinanceCodesBudget[[#This Row],[SchoolCodes]],",",,TRUE))))</f>
        <v>0</v>
      </c>
      <c r="E132" s="43">
        <f>IF(FinanceCodesBudget[[#This Row],[FinanceCodeTypeCode]]="BUDGET",0,COUNTIF(FinanceCodesBudget[FinanceCode],FinanceCodesBudget[[#This Row],[FinanceCode]])-1)</f>
        <v>0</v>
      </c>
      <c r="F132" s="43">
        <f>IF(FinanceCodesBudget[[#This Row],[FinanceCodeTypeCode]]="BUDGET",0,COUNTIF(FinanceCodesBudget[Title],FinanceCodesBudget[[#This Row],[Title]])-1)</f>
        <v>0</v>
      </c>
      <c r="G132" s="43">
        <f>COUNTIF(Lookup!$A$2:$A$7,FinanceCodesBudget[[#This Row],[FinanceCodeTypeCode]])-1</f>
        <v>0</v>
      </c>
      <c r="H132" s="43">
        <f>IF(TRIM(FinanceCodesBudget[[#This Row],[Title]])="",1,0)</f>
        <v>0</v>
      </c>
      <c r="I132" s="43">
        <f>IF(TRIM(FinanceCodesBudget[[#This Row],[FinanceCode]])="",1,0)</f>
        <v>0</v>
      </c>
      <c r="J132" s="43">
        <f>IF(LEN(FinanceCodesBudget[[#This Row],[FinanceCode]])&lt;100,0,1)</f>
        <v>0</v>
      </c>
      <c r="K132" s="43">
        <f>IF(LEN(FinanceCodesBudget[[#This Row],[Title]])&lt;100,0,1)</f>
        <v>0</v>
      </c>
      <c r="L132" s="43">
        <f>IF(ISBLANK(FinanceCodesBudget[[#This Row],[BalanceToScenario]]),1,0)</f>
        <v>0</v>
      </c>
      <c r="M132" s="43">
        <f>SUM(FinanceCodesBudget[[#This Row],[LedgerIssue]:[CustGrIssue]],FinanceCodesBudget[[#This Row],[DupCode]:[Balance to Scenario Blank]])</f>
        <v>0</v>
      </c>
      <c r="N132">
        <v>615550</v>
      </c>
      <c r="O132" t="s">
        <v>2655</v>
      </c>
      <c r="P132" t="s">
        <v>267</v>
      </c>
      <c r="Q132" t="s">
        <v>1979</v>
      </c>
      <c r="R132" t="b">
        <v>0</v>
      </c>
      <c r="S132" t="s">
        <v>2656</v>
      </c>
      <c r="T132" t="s">
        <v>1300</v>
      </c>
      <c r="U132" t="s">
        <v>1532</v>
      </c>
      <c r="V132" t="b">
        <v>1</v>
      </c>
      <c r="W132" t="b">
        <v>0</v>
      </c>
    </row>
    <row r="133" spans="1:23" x14ac:dyDescent="0.3">
      <c r="A133" s="147">
        <f>IF(COUNTIF(LEDGER[LedgerCode],FinanceCodesBudget[[#This Row],[LedgerCode]])&gt;0,0,1)</f>
        <v>0</v>
      </c>
      <c r="B133" s="43">
        <f>IF(COUNTIF(Table_System_Grouping_Codes[groupingCodeCode],FinanceCodesBudget[[#This Row],[GroupingCode]])&gt;0,0,1)</f>
        <v>0</v>
      </c>
      <c r="C133" s="43">
        <f>IF(COUNTIF(CUSTGROUP[CustomGroupingCode],FinanceCodesBudget[[#This Row],[CustomGrouping]])&gt;0,0,1)</f>
        <v>0</v>
      </c>
      <c r="D133" s="43" cm="1">
        <f t="array" ref="D133">IF(FinanceCodesBudget[[#This Row],[AvailableToAllSchools]]=TRUE,0,COUNTA(_xlfn.TEXTSPLIT(FinanceCodesBudget[[#This Row],[SchoolCodes]],",",,TRUE))-SUM(COUNTIF(SCHOOLS[SchoolCode],_xlfn.TEXTSPLIT(FinanceCodesBudget[[#This Row],[SchoolCodes]],",",,TRUE))))</f>
        <v>0</v>
      </c>
      <c r="E133" s="43">
        <f>IF(FinanceCodesBudget[[#This Row],[FinanceCodeTypeCode]]="BUDGET",0,COUNTIF(FinanceCodesBudget[FinanceCode],FinanceCodesBudget[[#This Row],[FinanceCode]])-1)</f>
        <v>0</v>
      </c>
      <c r="F133" s="43">
        <f>IF(FinanceCodesBudget[[#This Row],[FinanceCodeTypeCode]]="BUDGET",0,COUNTIF(FinanceCodesBudget[Title],FinanceCodesBudget[[#This Row],[Title]])-1)</f>
        <v>0</v>
      </c>
      <c r="G133" s="43">
        <f>COUNTIF(Lookup!$A$2:$A$7,FinanceCodesBudget[[#This Row],[FinanceCodeTypeCode]])-1</f>
        <v>0</v>
      </c>
      <c r="H133" s="43">
        <f>IF(TRIM(FinanceCodesBudget[[#This Row],[Title]])="",1,0)</f>
        <v>0</v>
      </c>
      <c r="I133" s="43">
        <f>IF(TRIM(FinanceCodesBudget[[#This Row],[FinanceCode]])="",1,0)</f>
        <v>0</v>
      </c>
      <c r="J133" s="43">
        <f>IF(LEN(FinanceCodesBudget[[#This Row],[FinanceCode]])&lt;100,0,1)</f>
        <v>0</v>
      </c>
      <c r="K133" s="43">
        <f>IF(LEN(FinanceCodesBudget[[#This Row],[Title]])&lt;100,0,1)</f>
        <v>0</v>
      </c>
      <c r="L133" s="43">
        <f>IF(ISBLANK(FinanceCodesBudget[[#This Row],[BalanceToScenario]]),1,0)</f>
        <v>0</v>
      </c>
      <c r="M133" s="43">
        <f>SUM(FinanceCodesBudget[[#This Row],[LedgerIssue]:[CustGrIssue]],FinanceCodesBudget[[#This Row],[DupCode]:[Balance to Scenario Blank]])</f>
        <v>0</v>
      </c>
      <c r="N133">
        <v>615600</v>
      </c>
      <c r="O133" t="s">
        <v>2657</v>
      </c>
      <c r="P133" t="s">
        <v>269</v>
      </c>
      <c r="Q133" t="s">
        <v>1979</v>
      </c>
      <c r="R133" t="b">
        <v>0</v>
      </c>
      <c r="S133" t="s">
        <v>2656</v>
      </c>
      <c r="T133" t="s">
        <v>1300</v>
      </c>
      <c r="U133" t="s">
        <v>1532</v>
      </c>
      <c r="V133" t="b">
        <v>1</v>
      </c>
      <c r="W133" t="b">
        <v>0</v>
      </c>
    </row>
    <row r="134" spans="1:23" x14ac:dyDescent="0.3">
      <c r="A134" s="147">
        <f>IF(COUNTIF(LEDGER[LedgerCode],FinanceCodesBudget[[#This Row],[LedgerCode]])&gt;0,0,1)</f>
        <v>0</v>
      </c>
      <c r="B134" s="43">
        <f>IF(COUNTIF(Table_System_Grouping_Codes[groupingCodeCode],FinanceCodesBudget[[#This Row],[GroupingCode]])&gt;0,0,1)</f>
        <v>0</v>
      </c>
      <c r="C134" s="43">
        <f>IF(COUNTIF(CUSTGROUP[CustomGroupingCode],FinanceCodesBudget[[#This Row],[CustomGrouping]])&gt;0,0,1)</f>
        <v>0</v>
      </c>
      <c r="D134" s="43" cm="1">
        <f t="array" ref="D134">IF(FinanceCodesBudget[[#This Row],[AvailableToAllSchools]]=TRUE,0,COUNTA(_xlfn.TEXTSPLIT(FinanceCodesBudget[[#This Row],[SchoolCodes]],",",,TRUE))-SUM(COUNTIF(SCHOOLS[SchoolCode],_xlfn.TEXTSPLIT(FinanceCodesBudget[[#This Row],[SchoolCodes]],",",,TRUE))))</f>
        <v>0</v>
      </c>
      <c r="E134" s="43">
        <f>IF(FinanceCodesBudget[[#This Row],[FinanceCodeTypeCode]]="BUDGET",0,COUNTIF(FinanceCodesBudget[FinanceCode],FinanceCodesBudget[[#This Row],[FinanceCode]])-1)</f>
        <v>0</v>
      </c>
      <c r="F134" s="43">
        <f>IF(FinanceCodesBudget[[#This Row],[FinanceCodeTypeCode]]="BUDGET",0,COUNTIF(FinanceCodesBudget[Title],FinanceCodesBudget[[#This Row],[Title]])-1)</f>
        <v>0</v>
      </c>
      <c r="G134" s="43">
        <f>COUNTIF(Lookup!$A$2:$A$7,FinanceCodesBudget[[#This Row],[FinanceCodeTypeCode]])-1</f>
        <v>0</v>
      </c>
      <c r="H134" s="43">
        <f>IF(TRIM(FinanceCodesBudget[[#This Row],[Title]])="",1,0)</f>
        <v>0</v>
      </c>
      <c r="I134" s="43">
        <f>IF(TRIM(FinanceCodesBudget[[#This Row],[FinanceCode]])="",1,0)</f>
        <v>0</v>
      </c>
      <c r="J134" s="43">
        <f>IF(LEN(FinanceCodesBudget[[#This Row],[FinanceCode]])&lt;100,0,1)</f>
        <v>0</v>
      </c>
      <c r="K134" s="43">
        <f>IF(LEN(FinanceCodesBudget[[#This Row],[Title]])&lt;100,0,1)</f>
        <v>0</v>
      </c>
      <c r="L134" s="43">
        <f>IF(ISBLANK(FinanceCodesBudget[[#This Row],[BalanceToScenario]]),1,0)</f>
        <v>0</v>
      </c>
      <c r="M134" s="43">
        <f>SUM(FinanceCodesBudget[[#This Row],[LedgerIssue]:[CustGrIssue]],FinanceCodesBudget[[#This Row],[DupCode]:[Balance to Scenario Blank]])</f>
        <v>0</v>
      </c>
      <c r="N134">
        <v>615700</v>
      </c>
      <c r="O134" t="s">
        <v>2658</v>
      </c>
      <c r="P134" t="s">
        <v>271</v>
      </c>
      <c r="Q134" t="s">
        <v>1979</v>
      </c>
      <c r="R134" t="b">
        <v>0</v>
      </c>
      <c r="S134" t="s">
        <v>2656</v>
      </c>
      <c r="T134" t="s">
        <v>1300</v>
      </c>
      <c r="U134" t="s">
        <v>1532</v>
      </c>
      <c r="V134" t="b">
        <v>1</v>
      </c>
      <c r="W134" t="b">
        <v>0</v>
      </c>
    </row>
    <row r="135" spans="1:23" x14ac:dyDescent="0.3">
      <c r="A135" s="147">
        <f>IF(COUNTIF(LEDGER[LedgerCode],FinanceCodesBudget[[#This Row],[LedgerCode]])&gt;0,0,1)</f>
        <v>0</v>
      </c>
      <c r="B135" s="43">
        <f>IF(COUNTIF(Table_System_Grouping_Codes[groupingCodeCode],FinanceCodesBudget[[#This Row],[GroupingCode]])&gt;0,0,1)</f>
        <v>0</v>
      </c>
      <c r="C135" s="43">
        <f>IF(COUNTIF(CUSTGROUP[CustomGroupingCode],FinanceCodesBudget[[#This Row],[CustomGrouping]])&gt;0,0,1)</f>
        <v>0</v>
      </c>
      <c r="D135" s="43" cm="1">
        <f t="array" ref="D135">IF(FinanceCodesBudget[[#This Row],[AvailableToAllSchools]]=TRUE,0,COUNTA(_xlfn.TEXTSPLIT(FinanceCodesBudget[[#This Row],[SchoolCodes]],",",,TRUE))-SUM(COUNTIF(SCHOOLS[SchoolCode],_xlfn.TEXTSPLIT(FinanceCodesBudget[[#This Row],[SchoolCodes]],",",,TRUE))))</f>
        <v>0</v>
      </c>
      <c r="E135" s="43">
        <f>IF(FinanceCodesBudget[[#This Row],[FinanceCodeTypeCode]]="BUDGET",0,COUNTIF(FinanceCodesBudget[FinanceCode],FinanceCodesBudget[[#This Row],[FinanceCode]])-1)</f>
        <v>0</v>
      </c>
      <c r="F135" s="43">
        <f>IF(FinanceCodesBudget[[#This Row],[FinanceCodeTypeCode]]="BUDGET",0,COUNTIF(FinanceCodesBudget[Title],FinanceCodesBudget[[#This Row],[Title]])-1)</f>
        <v>0</v>
      </c>
      <c r="G135" s="43">
        <f>COUNTIF(Lookup!$A$2:$A$7,FinanceCodesBudget[[#This Row],[FinanceCodeTypeCode]])-1</f>
        <v>0</v>
      </c>
      <c r="H135" s="43">
        <f>IF(TRIM(FinanceCodesBudget[[#This Row],[Title]])="",1,0)</f>
        <v>0</v>
      </c>
      <c r="I135" s="43">
        <f>IF(TRIM(FinanceCodesBudget[[#This Row],[FinanceCode]])="",1,0)</f>
        <v>0</v>
      </c>
      <c r="J135" s="43">
        <f>IF(LEN(FinanceCodesBudget[[#This Row],[FinanceCode]])&lt;100,0,1)</f>
        <v>0</v>
      </c>
      <c r="K135" s="43">
        <f>IF(LEN(FinanceCodesBudget[[#This Row],[Title]])&lt;100,0,1)</f>
        <v>0</v>
      </c>
      <c r="L135" s="43">
        <f>IF(ISBLANK(FinanceCodesBudget[[#This Row],[BalanceToScenario]]),1,0)</f>
        <v>0</v>
      </c>
      <c r="M135" s="43">
        <f>SUM(FinanceCodesBudget[[#This Row],[LedgerIssue]:[CustGrIssue]],FinanceCodesBudget[[#This Row],[DupCode]:[Balance to Scenario Blank]])</f>
        <v>0</v>
      </c>
      <c r="N135">
        <v>619100</v>
      </c>
      <c r="O135" t="s">
        <v>2654</v>
      </c>
      <c r="P135" t="s">
        <v>273</v>
      </c>
      <c r="Q135" t="s">
        <v>1979</v>
      </c>
      <c r="R135" t="b">
        <v>0</v>
      </c>
      <c r="S135" t="s">
        <v>2329</v>
      </c>
      <c r="T135" t="s">
        <v>1300</v>
      </c>
      <c r="U135" t="s">
        <v>1532</v>
      </c>
      <c r="V135" t="b">
        <v>1</v>
      </c>
      <c r="W135" t="b">
        <v>0</v>
      </c>
    </row>
    <row r="136" spans="1:23" x14ac:dyDescent="0.3">
      <c r="A136" s="147">
        <f>IF(COUNTIF(LEDGER[LedgerCode],FinanceCodesBudget[[#This Row],[LedgerCode]])&gt;0,0,1)</f>
        <v>0</v>
      </c>
      <c r="B136" s="43">
        <f>IF(COUNTIF(Table_System_Grouping_Codes[groupingCodeCode],FinanceCodesBudget[[#This Row],[GroupingCode]])&gt;0,0,1)</f>
        <v>0</v>
      </c>
      <c r="C136" s="43">
        <f>IF(COUNTIF(CUSTGROUP[CustomGroupingCode],FinanceCodesBudget[[#This Row],[CustomGrouping]])&gt;0,0,1)</f>
        <v>0</v>
      </c>
      <c r="D136" s="43" cm="1">
        <f t="array" ref="D136">IF(FinanceCodesBudget[[#This Row],[AvailableToAllSchools]]=TRUE,0,COUNTA(_xlfn.TEXTSPLIT(FinanceCodesBudget[[#This Row],[SchoolCodes]],",",,TRUE))-SUM(COUNTIF(SCHOOLS[SchoolCode],_xlfn.TEXTSPLIT(FinanceCodesBudget[[#This Row],[SchoolCodes]],",",,TRUE))))</f>
        <v>0</v>
      </c>
      <c r="E136" s="43">
        <f>IF(FinanceCodesBudget[[#This Row],[FinanceCodeTypeCode]]="BUDGET",0,COUNTIF(FinanceCodesBudget[FinanceCode],FinanceCodesBudget[[#This Row],[FinanceCode]])-1)</f>
        <v>0</v>
      </c>
      <c r="F136" s="43">
        <f>IF(FinanceCodesBudget[[#This Row],[FinanceCodeTypeCode]]="BUDGET",0,COUNTIF(FinanceCodesBudget[Title],FinanceCodesBudget[[#This Row],[Title]])-1)</f>
        <v>0</v>
      </c>
      <c r="G136" s="43">
        <f>COUNTIF(Lookup!$A$2:$A$7,FinanceCodesBudget[[#This Row],[FinanceCodeTypeCode]])-1</f>
        <v>0</v>
      </c>
      <c r="H136" s="43">
        <f>IF(TRIM(FinanceCodesBudget[[#This Row],[Title]])="",1,0)</f>
        <v>0</v>
      </c>
      <c r="I136" s="43">
        <f>IF(TRIM(FinanceCodesBudget[[#This Row],[FinanceCode]])="",1,0)</f>
        <v>0</v>
      </c>
      <c r="J136" s="43">
        <f>IF(LEN(FinanceCodesBudget[[#This Row],[FinanceCode]])&lt;100,0,1)</f>
        <v>0</v>
      </c>
      <c r="K136" s="43">
        <f>IF(LEN(FinanceCodesBudget[[#This Row],[Title]])&lt;100,0,1)</f>
        <v>0</v>
      </c>
      <c r="L136" s="43">
        <f>IF(ISBLANK(FinanceCodesBudget[[#This Row],[BalanceToScenario]]),1,0)</f>
        <v>0</v>
      </c>
      <c r="M136" s="43">
        <f>SUM(FinanceCodesBudget[[#This Row],[LedgerIssue]:[CustGrIssue]],FinanceCodesBudget[[#This Row],[DupCode]:[Balance to Scenario Blank]])</f>
        <v>0</v>
      </c>
      <c r="N136">
        <v>619150</v>
      </c>
      <c r="O136" t="s">
        <v>2655</v>
      </c>
      <c r="P136" t="s">
        <v>275</v>
      </c>
      <c r="Q136" t="s">
        <v>1979</v>
      </c>
      <c r="R136" t="b">
        <v>0</v>
      </c>
      <c r="S136" t="s">
        <v>2329</v>
      </c>
      <c r="T136" t="s">
        <v>1300</v>
      </c>
      <c r="U136" t="s">
        <v>1532</v>
      </c>
      <c r="V136" t="b">
        <v>1</v>
      </c>
      <c r="W136" t="b">
        <v>0</v>
      </c>
    </row>
    <row r="137" spans="1:23" x14ac:dyDescent="0.3">
      <c r="A137" s="147">
        <f>IF(COUNTIF(LEDGER[LedgerCode],FinanceCodesBudget[[#This Row],[LedgerCode]])&gt;0,0,1)</f>
        <v>0</v>
      </c>
      <c r="B137" s="43">
        <f>IF(COUNTIF(Table_System_Grouping_Codes[groupingCodeCode],FinanceCodesBudget[[#This Row],[GroupingCode]])&gt;0,0,1)</f>
        <v>0</v>
      </c>
      <c r="C137" s="43">
        <f>IF(COUNTIF(CUSTGROUP[CustomGroupingCode],FinanceCodesBudget[[#This Row],[CustomGrouping]])&gt;0,0,1)</f>
        <v>0</v>
      </c>
      <c r="D137" s="43" cm="1">
        <f t="array" ref="D137">IF(FinanceCodesBudget[[#This Row],[AvailableToAllSchools]]=TRUE,0,COUNTA(_xlfn.TEXTSPLIT(FinanceCodesBudget[[#This Row],[SchoolCodes]],",",,TRUE))-SUM(COUNTIF(SCHOOLS[SchoolCode],_xlfn.TEXTSPLIT(FinanceCodesBudget[[#This Row],[SchoolCodes]],",",,TRUE))))</f>
        <v>0</v>
      </c>
      <c r="E137" s="43">
        <f>IF(FinanceCodesBudget[[#This Row],[FinanceCodeTypeCode]]="BUDGET",0,COUNTIF(FinanceCodesBudget[FinanceCode],FinanceCodesBudget[[#This Row],[FinanceCode]])-1)</f>
        <v>0</v>
      </c>
      <c r="F137" s="43">
        <f>IF(FinanceCodesBudget[[#This Row],[FinanceCodeTypeCode]]="BUDGET",0,COUNTIF(FinanceCodesBudget[Title],FinanceCodesBudget[[#This Row],[Title]])-1)</f>
        <v>0</v>
      </c>
      <c r="G137" s="43">
        <f>COUNTIF(Lookup!$A$2:$A$7,FinanceCodesBudget[[#This Row],[FinanceCodeTypeCode]])-1</f>
        <v>0</v>
      </c>
      <c r="H137" s="43">
        <f>IF(TRIM(FinanceCodesBudget[[#This Row],[Title]])="",1,0)</f>
        <v>0</v>
      </c>
      <c r="I137" s="43">
        <f>IF(TRIM(FinanceCodesBudget[[#This Row],[FinanceCode]])="",1,0)</f>
        <v>0</v>
      </c>
      <c r="J137" s="43">
        <f>IF(LEN(FinanceCodesBudget[[#This Row],[FinanceCode]])&lt;100,0,1)</f>
        <v>0</v>
      </c>
      <c r="K137" s="43">
        <f>IF(LEN(FinanceCodesBudget[[#This Row],[Title]])&lt;100,0,1)</f>
        <v>0</v>
      </c>
      <c r="L137" s="43">
        <f>IF(ISBLANK(FinanceCodesBudget[[#This Row],[BalanceToScenario]]),1,0)</f>
        <v>0</v>
      </c>
      <c r="M137" s="43">
        <f>SUM(FinanceCodesBudget[[#This Row],[LedgerIssue]:[CustGrIssue]],FinanceCodesBudget[[#This Row],[DupCode]:[Balance to Scenario Blank]])</f>
        <v>0</v>
      </c>
      <c r="N137">
        <v>619200</v>
      </c>
      <c r="O137" t="s">
        <v>2657</v>
      </c>
      <c r="P137" t="s">
        <v>277</v>
      </c>
      <c r="Q137" t="s">
        <v>1979</v>
      </c>
      <c r="R137" t="b">
        <v>0</v>
      </c>
      <c r="S137" t="s">
        <v>2329</v>
      </c>
      <c r="T137" t="s">
        <v>1300</v>
      </c>
      <c r="U137" t="s">
        <v>1532</v>
      </c>
      <c r="V137" t="b">
        <v>1</v>
      </c>
      <c r="W137" t="b">
        <v>0</v>
      </c>
    </row>
    <row r="138" spans="1:23" x14ac:dyDescent="0.3">
      <c r="A138" s="147">
        <f>IF(COUNTIF(LEDGER[LedgerCode],FinanceCodesBudget[[#This Row],[LedgerCode]])&gt;0,0,1)</f>
        <v>0</v>
      </c>
      <c r="B138" s="43">
        <f>IF(COUNTIF(Table_System_Grouping_Codes[groupingCodeCode],FinanceCodesBudget[[#This Row],[GroupingCode]])&gt;0,0,1)</f>
        <v>0</v>
      </c>
      <c r="C138" s="43">
        <f>IF(COUNTIF(CUSTGROUP[CustomGroupingCode],FinanceCodesBudget[[#This Row],[CustomGrouping]])&gt;0,0,1)</f>
        <v>0</v>
      </c>
      <c r="D138" s="43" cm="1">
        <f t="array" ref="D138">IF(FinanceCodesBudget[[#This Row],[AvailableToAllSchools]]=TRUE,0,COUNTA(_xlfn.TEXTSPLIT(FinanceCodesBudget[[#This Row],[SchoolCodes]],",",,TRUE))-SUM(COUNTIF(SCHOOLS[SchoolCode],_xlfn.TEXTSPLIT(FinanceCodesBudget[[#This Row],[SchoolCodes]],",",,TRUE))))</f>
        <v>0</v>
      </c>
      <c r="E138" s="43">
        <f>IF(FinanceCodesBudget[[#This Row],[FinanceCodeTypeCode]]="BUDGET",0,COUNTIF(FinanceCodesBudget[FinanceCode],FinanceCodesBudget[[#This Row],[FinanceCode]])-1)</f>
        <v>0</v>
      </c>
      <c r="F138" s="43">
        <f>IF(FinanceCodesBudget[[#This Row],[FinanceCodeTypeCode]]="BUDGET",0,COUNTIF(FinanceCodesBudget[Title],FinanceCodesBudget[[#This Row],[Title]])-1)</f>
        <v>0</v>
      </c>
      <c r="G138" s="43">
        <f>COUNTIF(Lookup!$A$2:$A$7,FinanceCodesBudget[[#This Row],[FinanceCodeTypeCode]])-1</f>
        <v>0</v>
      </c>
      <c r="H138" s="43">
        <f>IF(TRIM(FinanceCodesBudget[[#This Row],[Title]])="",1,0)</f>
        <v>0</v>
      </c>
      <c r="I138" s="43">
        <f>IF(TRIM(FinanceCodesBudget[[#This Row],[FinanceCode]])="",1,0)</f>
        <v>0</v>
      </c>
      <c r="J138" s="43">
        <f>IF(LEN(FinanceCodesBudget[[#This Row],[FinanceCode]])&lt;100,0,1)</f>
        <v>0</v>
      </c>
      <c r="K138" s="43">
        <f>IF(LEN(FinanceCodesBudget[[#This Row],[Title]])&lt;100,0,1)</f>
        <v>0</v>
      </c>
      <c r="L138" s="43">
        <f>IF(ISBLANK(FinanceCodesBudget[[#This Row],[BalanceToScenario]]),1,0)</f>
        <v>0</v>
      </c>
      <c r="M138" s="43">
        <f>SUM(FinanceCodesBudget[[#This Row],[LedgerIssue]:[CustGrIssue]],FinanceCodesBudget[[#This Row],[DupCode]:[Balance to Scenario Blank]])</f>
        <v>0</v>
      </c>
      <c r="N138">
        <v>619300</v>
      </c>
      <c r="O138" t="s">
        <v>2658</v>
      </c>
      <c r="P138" t="s">
        <v>277</v>
      </c>
      <c r="Q138" t="s">
        <v>1979</v>
      </c>
      <c r="R138" t="b">
        <v>0</v>
      </c>
      <c r="S138" t="s">
        <v>2329</v>
      </c>
      <c r="T138" t="s">
        <v>1300</v>
      </c>
      <c r="U138" t="s">
        <v>1532</v>
      </c>
      <c r="V138" t="b">
        <v>1</v>
      </c>
      <c r="W138" t="b">
        <v>0</v>
      </c>
    </row>
    <row r="139" spans="1:23" x14ac:dyDescent="0.3">
      <c r="A139" s="147">
        <f>IF(COUNTIF(LEDGER[LedgerCode],FinanceCodesBudget[[#This Row],[LedgerCode]])&gt;0,0,1)</f>
        <v>0</v>
      </c>
      <c r="B139" s="43">
        <f>IF(COUNTIF(Table_System_Grouping_Codes[groupingCodeCode],FinanceCodesBudget[[#This Row],[GroupingCode]])&gt;0,0,1)</f>
        <v>0</v>
      </c>
      <c r="C139" s="43">
        <f>IF(COUNTIF(CUSTGROUP[CustomGroupingCode],FinanceCodesBudget[[#This Row],[CustomGrouping]])&gt;0,0,1)</f>
        <v>0</v>
      </c>
      <c r="D139" s="43" cm="1">
        <f t="array" ref="D139">IF(FinanceCodesBudget[[#This Row],[AvailableToAllSchools]]=TRUE,0,COUNTA(_xlfn.TEXTSPLIT(FinanceCodesBudget[[#This Row],[SchoolCodes]],",",,TRUE))-SUM(COUNTIF(SCHOOLS[SchoolCode],_xlfn.TEXTSPLIT(FinanceCodesBudget[[#This Row],[SchoolCodes]],",",,TRUE))))</f>
        <v>0</v>
      </c>
      <c r="E139" s="43">
        <f>IF(FinanceCodesBudget[[#This Row],[FinanceCodeTypeCode]]="BUDGET",0,COUNTIF(FinanceCodesBudget[FinanceCode],FinanceCodesBudget[[#This Row],[FinanceCode]])-1)</f>
        <v>0</v>
      </c>
      <c r="F139" s="43">
        <f>IF(FinanceCodesBudget[[#This Row],[FinanceCodeTypeCode]]="BUDGET",0,COUNTIF(FinanceCodesBudget[Title],FinanceCodesBudget[[#This Row],[Title]])-1)</f>
        <v>0</v>
      </c>
      <c r="G139" s="43">
        <f>COUNTIF(Lookup!$A$2:$A$7,FinanceCodesBudget[[#This Row],[FinanceCodeTypeCode]])-1</f>
        <v>0</v>
      </c>
      <c r="H139" s="43">
        <f>IF(TRIM(FinanceCodesBudget[[#This Row],[Title]])="",1,0)</f>
        <v>0</v>
      </c>
      <c r="I139" s="43">
        <f>IF(TRIM(FinanceCodesBudget[[#This Row],[FinanceCode]])="",1,0)</f>
        <v>0</v>
      </c>
      <c r="J139" s="43">
        <f>IF(LEN(FinanceCodesBudget[[#This Row],[FinanceCode]])&lt;100,0,1)</f>
        <v>0</v>
      </c>
      <c r="K139" s="43">
        <f>IF(LEN(FinanceCodesBudget[[#This Row],[Title]])&lt;100,0,1)</f>
        <v>0</v>
      </c>
      <c r="L139" s="43">
        <f>IF(ISBLANK(FinanceCodesBudget[[#This Row],[BalanceToScenario]]),1,0)</f>
        <v>0</v>
      </c>
      <c r="M139" s="43">
        <f>SUM(FinanceCodesBudget[[#This Row],[LedgerIssue]:[CustGrIssue]],FinanceCodesBudget[[#This Row],[DupCode]:[Balance to Scenario Blank]])</f>
        <v>0</v>
      </c>
      <c r="N139">
        <v>620100</v>
      </c>
      <c r="O139" t="s">
        <v>2659</v>
      </c>
      <c r="P139" t="s">
        <v>279</v>
      </c>
      <c r="Q139" t="s">
        <v>1979</v>
      </c>
      <c r="R139" t="b">
        <v>0</v>
      </c>
      <c r="S139" t="s">
        <v>2526</v>
      </c>
      <c r="T139" t="s">
        <v>1300</v>
      </c>
      <c r="U139" t="s">
        <v>1532</v>
      </c>
      <c r="V139" t="b">
        <v>1</v>
      </c>
      <c r="W139" t="b">
        <v>0</v>
      </c>
    </row>
    <row r="140" spans="1:23" x14ac:dyDescent="0.3">
      <c r="A140" s="147">
        <f>IF(COUNTIF(LEDGER[LedgerCode],FinanceCodesBudget[[#This Row],[LedgerCode]])&gt;0,0,1)</f>
        <v>0</v>
      </c>
      <c r="B140" s="43">
        <f>IF(COUNTIF(Table_System_Grouping_Codes[groupingCodeCode],FinanceCodesBudget[[#This Row],[GroupingCode]])&gt;0,0,1)</f>
        <v>0</v>
      </c>
      <c r="C140" s="43">
        <f>IF(COUNTIF(CUSTGROUP[CustomGroupingCode],FinanceCodesBudget[[#This Row],[CustomGrouping]])&gt;0,0,1)</f>
        <v>0</v>
      </c>
      <c r="D140" s="43" cm="1">
        <f t="array" ref="D140">IF(FinanceCodesBudget[[#This Row],[AvailableToAllSchools]]=TRUE,0,COUNTA(_xlfn.TEXTSPLIT(FinanceCodesBudget[[#This Row],[SchoolCodes]],",",,TRUE))-SUM(COUNTIF(SCHOOLS[SchoolCode],_xlfn.TEXTSPLIT(FinanceCodesBudget[[#This Row],[SchoolCodes]],",",,TRUE))))</f>
        <v>0</v>
      </c>
      <c r="E140" s="43">
        <f>IF(FinanceCodesBudget[[#This Row],[FinanceCodeTypeCode]]="BUDGET",0,COUNTIF(FinanceCodesBudget[FinanceCode],FinanceCodesBudget[[#This Row],[FinanceCode]])-1)</f>
        <v>0</v>
      </c>
      <c r="F140" s="43">
        <f>IF(FinanceCodesBudget[[#This Row],[FinanceCodeTypeCode]]="BUDGET",0,COUNTIF(FinanceCodesBudget[Title],FinanceCodesBudget[[#This Row],[Title]])-1)</f>
        <v>0</v>
      </c>
      <c r="G140" s="43">
        <f>COUNTIF(Lookup!$A$2:$A$7,FinanceCodesBudget[[#This Row],[FinanceCodeTypeCode]])-1</f>
        <v>0</v>
      </c>
      <c r="H140" s="43">
        <f>IF(TRIM(FinanceCodesBudget[[#This Row],[Title]])="",1,0)</f>
        <v>0</v>
      </c>
      <c r="I140" s="43">
        <f>IF(TRIM(FinanceCodesBudget[[#This Row],[FinanceCode]])="",1,0)</f>
        <v>0</v>
      </c>
      <c r="J140" s="43">
        <f>IF(LEN(FinanceCodesBudget[[#This Row],[FinanceCode]])&lt;100,0,1)</f>
        <v>0</v>
      </c>
      <c r="K140" s="43">
        <f>IF(LEN(FinanceCodesBudget[[#This Row],[Title]])&lt;100,0,1)</f>
        <v>0</v>
      </c>
      <c r="L140" s="43">
        <f>IF(ISBLANK(FinanceCodesBudget[[#This Row],[BalanceToScenario]]),1,0)</f>
        <v>0</v>
      </c>
      <c r="M140" s="43">
        <f>SUM(FinanceCodesBudget[[#This Row],[LedgerIssue]:[CustGrIssue]],FinanceCodesBudget[[#This Row],[DupCode]:[Balance to Scenario Blank]])</f>
        <v>0</v>
      </c>
      <c r="N140">
        <v>620150</v>
      </c>
      <c r="O140" t="s">
        <v>2660</v>
      </c>
      <c r="P140" t="s">
        <v>279</v>
      </c>
      <c r="Q140" t="s">
        <v>1979</v>
      </c>
      <c r="R140" t="b">
        <v>0</v>
      </c>
      <c r="S140" t="s">
        <v>2526</v>
      </c>
      <c r="T140" t="s">
        <v>1300</v>
      </c>
      <c r="U140" t="s">
        <v>1532</v>
      </c>
      <c r="V140" t="b">
        <v>1</v>
      </c>
      <c r="W140" t="b">
        <v>0</v>
      </c>
    </row>
    <row r="141" spans="1:23" x14ac:dyDescent="0.3">
      <c r="A141" s="147">
        <f>IF(COUNTIF(LEDGER[LedgerCode],FinanceCodesBudget[[#This Row],[LedgerCode]])&gt;0,0,1)</f>
        <v>0</v>
      </c>
      <c r="B141" s="43">
        <f>IF(COUNTIF(Table_System_Grouping_Codes[groupingCodeCode],FinanceCodesBudget[[#This Row],[GroupingCode]])&gt;0,0,1)</f>
        <v>0</v>
      </c>
      <c r="C141" s="43">
        <f>IF(COUNTIF(CUSTGROUP[CustomGroupingCode],FinanceCodesBudget[[#This Row],[CustomGrouping]])&gt;0,0,1)</f>
        <v>0</v>
      </c>
      <c r="D141" s="43" cm="1">
        <f t="array" ref="D141">IF(FinanceCodesBudget[[#This Row],[AvailableToAllSchools]]=TRUE,0,COUNTA(_xlfn.TEXTSPLIT(FinanceCodesBudget[[#This Row],[SchoolCodes]],",",,TRUE))-SUM(COUNTIF(SCHOOLS[SchoolCode],_xlfn.TEXTSPLIT(FinanceCodesBudget[[#This Row],[SchoolCodes]],",",,TRUE))))</f>
        <v>0</v>
      </c>
      <c r="E141" s="43">
        <f>IF(FinanceCodesBudget[[#This Row],[FinanceCodeTypeCode]]="BUDGET",0,COUNTIF(FinanceCodesBudget[FinanceCode],FinanceCodesBudget[[#This Row],[FinanceCode]])-1)</f>
        <v>0</v>
      </c>
      <c r="F141" s="43">
        <f>IF(FinanceCodesBudget[[#This Row],[FinanceCodeTypeCode]]="BUDGET",0,COUNTIF(FinanceCodesBudget[Title],FinanceCodesBudget[[#This Row],[Title]])-1)</f>
        <v>0</v>
      </c>
      <c r="G141" s="43">
        <f>COUNTIF(Lookup!$A$2:$A$7,FinanceCodesBudget[[#This Row],[FinanceCodeTypeCode]])-1</f>
        <v>0</v>
      </c>
      <c r="H141" s="43">
        <f>IF(TRIM(FinanceCodesBudget[[#This Row],[Title]])="",1,0)</f>
        <v>0</v>
      </c>
      <c r="I141" s="43">
        <f>IF(TRIM(FinanceCodesBudget[[#This Row],[FinanceCode]])="",1,0)</f>
        <v>0</v>
      </c>
      <c r="J141" s="43">
        <f>IF(LEN(FinanceCodesBudget[[#This Row],[FinanceCode]])&lt;100,0,1)</f>
        <v>0</v>
      </c>
      <c r="K141" s="43">
        <f>IF(LEN(FinanceCodesBudget[[#This Row],[Title]])&lt;100,0,1)</f>
        <v>0</v>
      </c>
      <c r="L141" s="43">
        <f>IF(ISBLANK(FinanceCodesBudget[[#This Row],[BalanceToScenario]]),1,0)</f>
        <v>0</v>
      </c>
      <c r="M141" s="43">
        <f>SUM(FinanceCodesBudget[[#This Row],[LedgerIssue]:[CustGrIssue]],FinanceCodesBudget[[#This Row],[DupCode]:[Balance to Scenario Blank]])</f>
        <v>0</v>
      </c>
      <c r="N141">
        <v>620200</v>
      </c>
      <c r="O141" t="s">
        <v>2661</v>
      </c>
      <c r="P141" t="s">
        <v>1807</v>
      </c>
      <c r="Q141" t="s">
        <v>1979</v>
      </c>
      <c r="R141" t="b">
        <v>0</v>
      </c>
      <c r="S141" t="s">
        <v>2526</v>
      </c>
      <c r="T141" t="s">
        <v>1300</v>
      </c>
      <c r="U141" t="s">
        <v>1532</v>
      </c>
      <c r="V141" t="b">
        <v>1</v>
      </c>
      <c r="W141" t="b">
        <v>0</v>
      </c>
    </row>
    <row r="142" spans="1:23" x14ac:dyDescent="0.3">
      <c r="A142" s="147">
        <f>IF(COUNTIF(LEDGER[LedgerCode],FinanceCodesBudget[[#This Row],[LedgerCode]])&gt;0,0,1)</f>
        <v>0</v>
      </c>
      <c r="B142" s="43">
        <f>IF(COUNTIF(Table_System_Grouping_Codes[groupingCodeCode],FinanceCodesBudget[[#This Row],[GroupingCode]])&gt;0,0,1)</f>
        <v>0</v>
      </c>
      <c r="C142" s="43">
        <f>IF(COUNTIF(CUSTGROUP[CustomGroupingCode],FinanceCodesBudget[[#This Row],[CustomGrouping]])&gt;0,0,1)</f>
        <v>0</v>
      </c>
      <c r="D142" s="43" cm="1">
        <f t="array" ref="D142">IF(FinanceCodesBudget[[#This Row],[AvailableToAllSchools]]=TRUE,0,COUNTA(_xlfn.TEXTSPLIT(FinanceCodesBudget[[#This Row],[SchoolCodes]],",",,TRUE))-SUM(COUNTIF(SCHOOLS[SchoolCode],_xlfn.TEXTSPLIT(FinanceCodesBudget[[#This Row],[SchoolCodes]],",",,TRUE))))</f>
        <v>0</v>
      </c>
      <c r="E142" s="43">
        <f>IF(FinanceCodesBudget[[#This Row],[FinanceCodeTypeCode]]="BUDGET",0,COUNTIF(FinanceCodesBudget[FinanceCode],FinanceCodesBudget[[#This Row],[FinanceCode]])-1)</f>
        <v>0</v>
      </c>
      <c r="F142" s="43">
        <f>IF(FinanceCodesBudget[[#This Row],[FinanceCodeTypeCode]]="BUDGET",0,COUNTIF(FinanceCodesBudget[Title],FinanceCodesBudget[[#This Row],[Title]])-1)</f>
        <v>0</v>
      </c>
      <c r="G142" s="43">
        <f>COUNTIF(Lookup!$A$2:$A$7,FinanceCodesBudget[[#This Row],[FinanceCodeTypeCode]])-1</f>
        <v>0</v>
      </c>
      <c r="H142" s="43">
        <f>IF(TRIM(FinanceCodesBudget[[#This Row],[Title]])="",1,0)</f>
        <v>0</v>
      </c>
      <c r="I142" s="43">
        <f>IF(TRIM(FinanceCodesBudget[[#This Row],[FinanceCode]])="",1,0)</f>
        <v>0</v>
      </c>
      <c r="J142" s="43">
        <f>IF(LEN(FinanceCodesBudget[[#This Row],[FinanceCode]])&lt;100,0,1)</f>
        <v>0</v>
      </c>
      <c r="K142" s="43">
        <f>IF(LEN(FinanceCodesBudget[[#This Row],[Title]])&lt;100,0,1)</f>
        <v>0</v>
      </c>
      <c r="L142" s="43">
        <f>IF(ISBLANK(FinanceCodesBudget[[#This Row],[BalanceToScenario]]),1,0)</f>
        <v>0</v>
      </c>
      <c r="M142" s="43">
        <f>SUM(FinanceCodesBudget[[#This Row],[LedgerIssue]:[CustGrIssue]],FinanceCodesBudget[[#This Row],[DupCode]:[Balance to Scenario Blank]])</f>
        <v>0</v>
      </c>
      <c r="N142">
        <v>620300</v>
      </c>
      <c r="O142" t="s">
        <v>2662</v>
      </c>
      <c r="P142" t="s">
        <v>1807</v>
      </c>
      <c r="Q142" t="s">
        <v>1979</v>
      </c>
      <c r="R142" t="b">
        <v>0</v>
      </c>
      <c r="S142" t="s">
        <v>2526</v>
      </c>
      <c r="T142" t="s">
        <v>1300</v>
      </c>
      <c r="U142" t="s">
        <v>1532</v>
      </c>
      <c r="V142" t="b">
        <v>1</v>
      </c>
      <c r="W142" t="b">
        <v>0</v>
      </c>
    </row>
    <row r="143" spans="1:23" x14ac:dyDescent="0.3">
      <c r="A143" s="147">
        <f>IF(COUNTIF(LEDGER[LedgerCode],FinanceCodesBudget[[#This Row],[LedgerCode]])&gt;0,0,1)</f>
        <v>0</v>
      </c>
      <c r="B143" s="43">
        <f>IF(COUNTIF(Table_System_Grouping_Codes[groupingCodeCode],FinanceCodesBudget[[#This Row],[GroupingCode]])&gt;0,0,1)</f>
        <v>0</v>
      </c>
      <c r="C143" s="43">
        <f>IF(COUNTIF(CUSTGROUP[CustomGroupingCode],FinanceCodesBudget[[#This Row],[CustomGrouping]])&gt;0,0,1)</f>
        <v>0</v>
      </c>
      <c r="D143" s="43" cm="1">
        <f t="array" ref="D143">IF(FinanceCodesBudget[[#This Row],[AvailableToAllSchools]]=TRUE,0,COUNTA(_xlfn.TEXTSPLIT(FinanceCodesBudget[[#This Row],[SchoolCodes]],",",,TRUE))-SUM(COUNTIF(SCHOOLS[SchoolCode],_xlfn.TEXTSPLIT(FinanceCodesBudget[[#This Row],[SchoolCodes]],",",,TRUE))))</f>
        <v>0</v>
      </c>
      <c r="E143" s="43">
        <f>IF(FinanceCodesBudget[[#This Row],[FinanceCodeTypeCode]]="BUDGET",0,COUNTIF(FinanceCodesBudget[FinanceCode],FinanceCodesBudget[[#This Row],[FinanceCode]])-1)</f>
        <v>0</v>
      </c>
      <c r="F143" s="43">
        <f>IF(FinanceCodesBudget[[#This Row],[FinanceCodeTypeCode]]="BUDGET",0,COUNTIF(FinanceCodesBudget[Title],FinanceCodesBudget[[#This Row],[Title]])-1)</f>
        <v>0</v>
      </c>
      <c r="G143" s="43">
        <f>COUNTIF(Lookup!$A$2:$A$7,FinanceCodesBudget[[#This Row],[FinanceCodeTypeCode]])-1</f>
        <v>0</v>
      </c>
      <c r="H143" s="43">
        <f>IF(TRIM(FinanceCodesBudget[[#This Row],[Title]])="",1,0)</f>
        <v>0</v>
      </c>
      <c r="I143" s="43">
        <f>IF(TRIM(FinanceCodesBudget[[#This Row],[FinanceCode]])="",1,0)</f>
        <v>0</v>
      </c>
      <c r="J143" s="43">
        <f>IF(LEN(FinanceCodesBudget[[#This Row],[FinanceCode]])&lt;100,0,1)</f>
        <v>0</v>
      </c>
      <c r="K143" s="43">
        <f>IF(LEN(FinanceCodesBudget[[#This Row],[Title]])&lt;100,0,1)</f>
        <v>0</v>
      </c>
      <c r="L143" s="43">
        <f>IF(ISBLANK(FinanceCodesBudget[[#This Row],[BalanceToScenario]]),1,0)</f>
        <v>0</v>
      </c>
      <c r="M143" s="43">
        <f>SUM(FinanceCodesBudget[[#This Row],[LedgerIssue]:[CustGrIssue]],FinanceCodesBudget[[#This Row],[DupCode]:[Balance to Scenario Blank]])</f>
        <v>0</v>
      </c>
      <c r="N143">
        <v>622100</v>
      </c>
      <c r="O143" t="s">
        <v>2663</v>
      </c>
      <c r="P143" t="s">
        <v>1807</v>
      </c>
      <c r="Q143" t="s">
        <v>1979</v>
      </c>
      <c r="R143" t="b">
        <v>0</v>
      </c>
      <c r="S143" t="s">
        <v>2526</v>
      </c>
      <c r="T143" t="s">
        <v>1300</v>
      </c>
      <c r="U143" t="s">
        <v>1532</v>
      </c>
      <c r="V143" t="b">
        <v>1</v>
      </c>
      <c r="W143" t="b">
        <v>0</v>
      </c>
    </row>
    <row r="144" spans="1:23" x14ac:dyDescent="0.3">
      <c r="A144" s="147">
        <f>IF(COUNTIF(LEDGER[LedgerCode],FinanceCodesBudget[[#This Row],[LedgerCode]])&gt;0,0,1)</f>
        <v>0</v>
      </c>
      <c r="B144" s="43">
        <f>IF(COUNTIF(Table_System_Grouping_Codes[groupingCodeCode],FinanceCodesBudget[[#This Row],[GroupingCode]])&gt;0,0,1)</f>
        <v>0</v>
      </c>
      <c r="C144" s="43">
        <f>IF(COUNTIF(CUSTGROUP[CustomGroupingCode],FinanceCodesBudget[[#This Row],[CustomGrouping]])&gt;0,0,1)</f>
        <v>0</v>
      </c>
      <c r="D144" s="43" cm="1">
        <f t="array" ref="D144">IF(FinanceCodesBudget[[#This Row],[AvailableToAllSchools]]=TRUE,0,COUNTA(_xlfn.TEXTSPLIT(FinanceCodesBudget[[#This Row],[SchoolCodes]],",",,TRUE))-SUM(COUNTIF(SCHOOLS[SchoolCode],_xlfn.TEXTSPLIT(FinanceCodesBudget[[#This Row],[SchoolCodes]],",",,TRUE))))</f>
        <v>0</v>
      </c>
      <c r="E144" s="43">
        <f>IF(FinanceCodesBudget[[#This Row],[FinanceCodeTypeCode]]="BUDGET",0,COUNTIF(FinanceCodesBudget[FinanceCode],FinanceCodesBudget[[#This Row],[FinanceCode]])-1)</f>
        <v>0</v>
      </c>
      <c r="F144" s="43">
        <f>IF(FinanceCodesBudget[[#This Row],[FinanceCodeTypeCode]]="BUDGET",0,COUNTIF(FinanceCodesBudget[Title],FinanceCodesBudget[[#This Row],[Title]])-1)</f>
        <v>0</v>
      </c>
      <c r="G144" s="43">
        <f>COUNTIF(Lookup!$A$2:$A$7,FinanceCodesBudget[[#This Row],[FinanceCodeTypeCode]])-1</f>
        <v>0</v>
      </c>
      <c r="H144" s="43">
        <f>IF(TRIM(FinanceCodesBudget[[#This Row],[Title]])="",1,0)</f>
        <v>0</v>
      </c>
      <c r="I144" s="43">
        <f>IF(TRIM(FinanceCodesBudget[[#This Row],[FinanceCode]])="",1,0)</f>
        <v>0</v>
      </c>
      <c r="J144" s="43">
        <f>IF(LEN(FinanceCodesBudget[[#This Row],[FinanceCode]])&lt;100,0,1)</f>
        <v>0</v>
      </c>
      <c r="K144" s="43">
        <f>IF(LEN(FinanceCodesBudget[[#This Row],[Title]])&lt;100,0,1)</f>
        <v>0</v>
      </c>
      <c r="L144" s="43">
        <f>IF(ISBLANK(FinanceCodesBudget[[#This Row],[BalanceToScenario]]),1,0)</f>
        <v>0</v>
      </c>
      <c r="M144" s="43">
        <f>SUM(FinanceCodesBudget[[#This Row],[LedgerIssue]:[CustGrIssue]],FinanceCodesBudget[[#This Row],[DupCode]:[Balance to Scenario Blank]])</f>
        <v>0</v>
      </c>
      <c r="N144">
        <v>622150</v>
      </c>
      <c r="O144" t="s">
        <v>2664</v>
      </c>
      <c r="P144" t="s">
        <v>1809</v>
      </c>
      <c r="Q144" t="s">
        <v>1979</v>
      </c>
      <c r="R144" t="b">
        <v>0</v>
      </c>
      <c r="S144" t="s">
        <v>2526</v>
      </c>
      <c r="T144" t="s">
        <v>1300</v>
      </c>
      <c r="U144" t="s">
        <v>1532</v>
      </c>
      <c r="V144" t="b">
        <v>1</v>
      </c>
      <c r="W144" t="b">
        <v>0</v>
      </c>
    </row>
    <row r="145" spans="1:23" x14ac:dyDescent="0.3">
      <c r="A145" s="147">
        <f>IF(COUNTIF(LEDGER[LedgerCode],FinanceCodesBudget[[#This Row],[LedgerCode]])&gt;0,0,1)</f>
        <v>0</v>
      </c>
      <c r="B145" s="43">
        <f>IF(COUNTIF(Table_System_Grouping_Codes[groupingCodeCode],FinanceCodesBudget[[#This Row],[GroupingCode]])&gt;0,0,1)</f>
        <v>0</v>
      </c>
      <c r="C145" s="43">
        <f>IF(COUNTIF(CUSTGROUP[CustomGroupingCode],FinanceCodesBudget[[#This Row],[CustomGrouping]])&gt;0,0,1)</f>
        <v>0</v>
      </c>
      <c r="D145" s="43" cm="1">
        <f t="array" ref="D145">IF(FinanceCodesBudget[[#This Row],[AvailableToAllSchools]]=TRUE,0,COUNTA(_xlfn.TEXTSPLIT(FinanceCodesBudget[[#This Row],[SchoolCodes]],",",,TRUE))-SUM(COUNTIF(SCHOOLS[SchoolCode],_xlfn.TEXTSPLIT(FinanceCodesBudget[[#This Row],[SchoolCodes]],",",,TRUE))))</f>
        <v>0</v>
      </c>
      <c r="E145" s="43">
        <f>IF(FinanceCodesBudget[[#This Row],[FinanceCodeTypeCode]]="BUDGET",0,COUNTIF(FinanceCodesBudget[FinanceCode],FinanceCodesBudget[[#This Row],[FinanceCode]])-1)</f>
        <v>0</v>
      </c>
      <c r="F145" s="43">
        <f>IF(FinanceCodesBudget[[#This Row],[FinanceCodeTypeCode]]="BUDGET",0,COUNTIF(FinanceCodesBudget[Title],FinanceCodesBudget[[#This Row],[Title]])-1)</f>
        <v>0</v>
      </c>
      <c r="G145" s="43">
        <f>COUNTIF(Lookup!$A$2:$A$7,FinanceCodesBudget[[#This Row],[FinanceCodeTypeCode]])-1</f>
        <v>0</v>
      </c>
      <c r="H145" s="43">
        <f>IF(TRIM(FinanceCodesBudget[[#This Row],[Title]])="",1,0)</f>
        <v>0</v>
      </c>
      <c r="I145" s="43">
        <f>IF(TRIM(FinanceCodesBudget[[#This Row],[FinanceCode]])="",1,0)</f>
        <v>0</v>
      </c>
      <c r="J145" s="43">
        <f>IF(LEN(FinanceCodesBudget[[#This Row],[FinanceCode]])&lt;100,0,1)</f>
        <v>0</v>
      </c>
      <c r="K145" s="43">
        <f>IF(LEN(FinanceCodesBudget[[#This Row],[Title]])&lt;100,0,1)</f>
        <v>0</v>
      </c>
      <c r="L145" s="43">
        <f>IF(ISBLANK(FinanceCodesBudget[[#This Row],[BalanceToScenario]]),1,0)</f>
        <v>0</v>
      </c>
      <c r="M145" s="43">
        <f>SUM(FinanceCodesBudget[[#This Row],[LedgerIssue]:[CustGrIssue]],FinanceCodesBudget[[#This Row],[DupCode]:[Balance to Scenario Blank]])</f>
        <v>0</v>
      </c>
      <c r="N145">
        <v>622200</v>
      </c>
      <c r="O145" t="s">
        <v>2665</v>
      </c>
      <c r="P145" t="s">
        <v>1809</v>
      </c>
      <c r="Q145" t="s">
        <v>1979</v>
      </c>
      <c r="R145" t="b">
        <v>0</v>
      </c>
      <c r="S145" t="s">
        <v>2526</v>
      </c>
      <c r="T145" t="s">
        <v>1300</v>
      </c>
      <c r="U145" t="s">
        <v>1532</v>
      </c>
      <c r="V145" t="b">
        <v>1</v>
      </c>
      <c r="W145" t="b">
        <v>0</v>
      </c>
    </row>
    <row r="146" spans="1:23" x14ac:dyDescent="0.3">
      <c r="A146" s="147">
        <f>IF(COUNTIF(LEDGER[LedgerCode],FinanceCodesBudget[[#This Row],[LedgerCode]])&gt;0,0,1)</f>
        <v>0</v>
      </c>
      <c r="B146" s="43">
        <f>IF(COUNTIF(Table_System_Grouping_Codes[groupingCodeCode],FinanceCodesBudget[[#This Row],[GroupingCode]])&gt;0,0,1)</f>
        <v>0</v>
      </c>
      <c r="C146" s="43">
        <f>IF(COUNTIF(CUSTGROUP[CustomGroupingCode],FinanceCodesBudget[[#This Row],[CustomGrouping]])&gt;0,0,1)</f>
        <v>0</v>
      </c>
      <c r="D146" s="43" cm="1">
        <f t="array" ref="D146">IF(FinanceCodesBudget[[#This Row],[AvailableToAllSchools]]=TRUE,0,COUNTA(_xlfn.TEXTSPLIT(FinanceCodesBudget[[#This Row],[SchoolCodes]],",",,TRUE))-SUM(COUNTIF(SCHOOLS[SchoolCode],_xlfn.TEXTSPLIT(FinanceCodesBudget[[#This Row],[SchoolCodes]],",",,TRUE))))</f>
        <v>0</v>
      </c>
      <c r="E146" s="43">
        <f>IF(FinanceCodesBudget[[#This Row],[FinanceCodeTypeCode]]="BUDGET",0,COUNTIF(FinanceCodesBudget[FinanceCode],FinanceCodesBudget[[#This Row],[FinanceCode]])-1)</f>
        <v>0</v>
      </c>
      <c r="F146" s="43">
        <f>IF(FinanceCodesBudget[[#This Row],[FinanceCodeTypeCode]]="BUDGET",0,COUNTIF(FinanceCodesBudget[Title],FinanceCodesBudget[[#This Row],[Title]])-1)</f>
        <v>0</v>
      </c>
      <c r="G146" s="43">
        <f>COUNTIF(Lookup!$A$2:$A$7,FinanceCodesBudget[[#This Row],[FinanceCodeTypeCode]])-1</f>
        <v>0</v>
      </c>
      <c r="H146" s="43">
        <f>IF(TRIM(FinanceCodesBudget[[#This Row],[Title]])="",1,0)</f>
        <v>0</v>
      </c>
      <c r="I146" s="43">
        <f>IF(TRIM(FinanceCodesBudget[[#This Row],[FinanceCode]])="",1,0)</f>
        <v>0</v>
      </c>
      <c r="J146" s="43">
        <f>IF(LEN(FinanceCodesBudget[[#This Row],[FinanceCode]])&lt;100,0,1)</f>
        <v>0</v>
      </c>
      <c r="K146" s="43">
        <f>IF(LEN(FinanceCodesBudget[[#This Row],[Title]])&lt;100,0,1)</f>
        <v>0</v>
      </c>
      <c r="L146" s="43">
        <f>IF(ISBLANK(FinanceCodesBudget[[#This Row],[BalanceToScenario]]),1,0)</f>
        <v>0</v>
      </c>
      <c r="M146" s="43">
        <f>SUM(FinanceCodesBudget[[#This Row],[LedgerIssue]:[CustGrIssue]],FinanceCodesBudget[[#This Row],[DupCode]:[Balance to Scenario Blank]])</f>
        <v>0</v>
      </c>
      <c r="N146">
        <v>622300</v>
      </c>
      <c r="O146" t="s">
        <v>2666</v>
      </c>
      <c r="P146" t="s">
        <v>1811</v>
      </c>
      <c r="Q146" t="s">
        <v>1979</v>
      </c>
      <c r="R146" t="b">
        <v>0</v>
      </c>
      <c r="S146" t="s">
        <v>2526</v>
      </c>
      <c r="T146" t="s">
        <v>1300</v>
      </c>
      <c r="U146" t="s">
        <v>1532</v>
      </c>
      <c r="V146" t="b">
        <v>1</v>
      </c>
      <c r="W146" t="b">
        <v>0</v>
      </c>
    </row>
    <row r="147" spans="1:23" x14ac:dyDescent="0.3">
      <c r="A147" s="147">
        <f>IF(COUNTIF(LEDGER[LedgerCode],FinanceCodesBudget[[#This Row],[LedgerCode]])&gt;0,0,1)</f>
        <v>0</v>
      </c>
      <c r="B147" s="43">
        <f>IF(COUNTIF(Table_System_Grouping_Codes[groupingCodeCode],FinanceCodesBudget[[#This Row],[GroupingCode]])&gt;0,0,1)</f>
        <v>0</v>
      </c>
      <c r="C147" s="43">
        <f>IF(COUNTIF(CUSTGROUP[CustomGroupingCode],FinanceCodesBudget[[#This Row],[CustomGrouping]])&gt;0,0,1)</f>
        <v>0</v>
      </c>
      <c r="D147" s="43" cm="1">
        <f t="array" ref="D147">IF(FinanceCodesBudget[[#This Row],[AvailableToAllSchools]]=TRUE,0,COUNTA(_xlfn.TEXTSPLIT(FinanceCodesBudget[[#This Row],[SchoolCodes]],",",,TRUE))-SUM(COUNTIF(SCHOOLS[SchoolCode],_xlfn.TEXTSPLIT(FinanceCodesBudget[[#This Row],[SchoolCodes]],",",,TRUE))))</f>
        <v>0</v>
      </c>
      <c r="E147" s="43">
        <f>IF(FinanceCodesBudget[[#This Row],[FinanceCodeTypeCode]]="BUDGET",0,COUNTIF(FinanceCodesBudget[FinanceCode],FinanceCodesBudget[[#This Row],[FinanceCode]])-1)</f>
        <v>0</v>
      </c>
      <c r="F147" s="43">
        <f>IF(FinanceCodesBudget[[#This Row],[FinanceCodeTypeCode]]="BUDGET",0,COUNTIF(FinanceCodesBudget[Title],FinanceCodesBudget[[#This Row],[Title]])-1)</f>
        <v>0</v>
      </c>
      <c r="G147" s="43">
        <f>COUNTIF(Lookup!$A$2:$A$7,FinanceCodesBudget[[#This Row],[FinanceCodeTypeCode]])-1</f>
        <v>0</v>
      </c>
      <c r="H147" s="43">
        <f>IF(TRIM(FinanceCodesBudget[[#This Row],[Title]])="",1,0)</f>
        <v>0</v>
      </c>
      <c r="I147" s="43">
        <f>IF(TRIM(FinanceCodesBudget[[#This Row],[FinanceCode]])="",1,0)</f>
        <v>0</v>
      </c>
      <c r="J147" s="43">
        <f>IF(LEN(FinanceCodesBudget[[#This Row],[FinanceCode]])&lt;100,0,1)</f>
        <v>0</v>
      </c>
      <c r="K147" s="43">
        <f>IF(LEN(FinanceCodesBudget[[#This Row],[Title]])&lt;100,0,1)</f>
        <v>0</v>
      </c>
      <c r="L147" s="43">
        <f>IF(ISBLANK(FinanceCodesBudget[[#This Row],[BalanceToScenario]]),1,0)</f>
        <v>0</v>
      </c>
      <c r="M147" s="43">
        <f>SUM(FinanceCodesBudget[[#This Row],[LedgerIssue]:[CustGrIssue]],FinanceCodesBudget[[#This Row],[DupCode]:[Balance to Scenario Blank]])</f>
        <v>0</v>
      </c>
      <c r="N147">
        <v>623100</v>
      </c>
      <c r="O147" t="s">
        <v>2667</v>
      </c>
      <c r="P147" t="s">
        <v>1811</v>
      </c>
      <c r="Q147" t="s">
        <v>1979</v>
      </c>
      <c r="R147" t="b">
        <v>0</v>
      </c>
      <c r="S147" t="s">
        <v>2521</v>
      </c>
      <c r="T147" t="s">
        <v>1300</v>
      </c>
      <c r="U147" t="s">
        <v>1532</v>
      </c>
      <c r="V147" t="b">
        <v>1</v>
      </c>
      <c r="W147" t="b">
        <v>0</v>
      </c>
    </row>
    <row r="148" spans="1:23" x14ac:dyDescent="0.3">
      <c r="A148" s="147">
        <f>IF(COUNTIF(LEDGER[LedgerCode],FinanceCodesBudget[[#This Row],[LedgerCode]])&gt;0,0,1)</f>
        <v>0</v>
      </c>
      <c r="B148" s="43">
        <f>IF(COUNTIF(Table_System_Grouping_Codes[groupingCodeCode],FinanceCodesBudget[[#This Row],[GroupingCode]])&gt;0,0,1)</f>
        <v>0</v>
      </c>
      <c r="C148" s="43">
        <f>IF(COUNTIF(CUSTGROUP[CustomGroupingCode],FinanceCodesBudget[[#This Row],[CustomGrouping]])&gt;0,0,1)</f>
        <v>0</v>
      </c>
      <c r="D148" s="43" cm="1">
        <f t="array" ref="D148">IF(FinanceCodesBudget[[#This Row],[AvailableToAllSchools]]=TRUE,0,COUNTA(_xlfn.TEXTSPLIT(FinanceCodesBudget[[#This Row],[SchoolCodes]],",",,TRUE))-SUM(COUNTIF(SCHOOLS[SchoolCode],_xlfn.TEXTSPLIT(FinanceCodesBudget[[#This Row],[SchoolCodes]],",",,TRUE))))</f>
        <v>0</v>
      </c>
      <c r="E148" s="43">
        <f>IF(FinanceCodesBudget[[#This Row],[FinanceCodeTypeCode]]="BUDGET",0,COUNTIF(FinanceCodesBudget[FinanceCode],FinanceCodesBudget[[#This Row],[FinanceCode]])-1)</f>
        <v>0</v>
      </c>
      <c r="F148" s="43">
        <f>IF(FinanceCodesBudget[[#This Row],[FinanceCodeTypeCode]]="BUDGET",0,COUNTIF(FinanceCodesBudget[Title],FinanceCodesBudget[[#This Row],[Title]])-1)</f>
        <v>0</v>
      </c>
      <c r="G148" s="43">
        <f>COUNTIF(Lookup!$A$2:$A$7,FinanceCodesBudget[[#This Row],[FinanceCodeTypeCode]])-1</f>
        <v>0</v>
      </c>
      <c r="H148" s="43">
        <f>IF(TRIM(FinanceCodesBudget[[#This Row],[Title]])="",1,0)</f>
        <v>0</v>
      </c>
      <c r="I148" s="43">
        <f>IF(TRIM(FinanceCodesBudget[[#This Row],[FinanceCode]])="",1,0)</f>
        <v>0</v>
      </c>
      <c r="J148" s="43">
        <f>IF(LEN(FinanceCodesBudget[[#This Row],[FinanceCode]])&lt;100,0,1)</f>
        <v>0</v>
      </c>
      <c r="K148" s="43">
        <f>IF(LEN(FinanceCodesBudget[[#This Row],[Title]])&lt;100,0,1)</f>
        <v>0</v>
      </c>
      <c r="L148" s="43">
        <f>IF(ISBLANK(FinanceCodesBudget[[#This Row],[BalanceToScenario]]),1,0)</f>
        <v>0</v>
      </c>
      <c r="M148" s="43">
        <f>SUM(FinanceCodesBudget[[#This Row],[LedgerIssue]:[CustGrIssue]],FinanceCodesBudget[[#This Row],[DupCode]:[Balance to Scenario Blank]])</f>
        <v>0</v>
      </c>
      <c r="N148">
        <v>623150</v>
      </c>
      <c r="O148" t="s">
        <v>2668</v>
      </c>
      <c r="P148" t="s">
        <v>1813</v>
      </c>
      <c r="Q148" t="s">
        <v>1979</v>
      </c>
      <c r="R148" t="b">
        <v>0</v>
      </c>
      <c r="S148" t="s">
        <v>2526</v>
      </c>
      <c r="T148" t="s">
        <v>1300</v>
      </c>
      <c r="U148" t="s">
        <v>1532</v>
      </c>
      <c r="V148" t="b">
        <v>1</v>
      </c>
      <c r="W148" t="b">
        <v>0</v>
      </c>
    </row>
    <row r="149" spans="1:23" x14ac:dyDescent="0.3">
      <c r="A149" s="147">
        <f>IF(COUNTIF(LEDGER[LedgerCode],FinanceCodesBudget[[#This Row],[LedgerCode]])&gt;0,0,1)</f>
        <v>0</v>
      </c>
      <c r="B149" s="43">
        <f>IF(COUNTIF(Table_System_Grouping_Codes[groupingCodeCode],FinanceCodesBudget[[#This Row],[GroupingCode]])&gt;0,0,1)</f>
        <v>0</v>
      </c>
      <c r="C149" s="43">
        <f>IF(COUNTIF(CUSTGROUP[CustomGroupingCode],FinanceCodesBudget[[#This Row],[CustomGrouping]])&gt;0,0,1)</f>
        <v>0</v>
      </c>
      <c r="D149" s="43" cm="1">
        <f t="array" ref="D149">IF(FinanceCodesBudget[[#This Row],[AvailableToAllSchools]]=TRUE,0,COUNTA(_xlfn.TEXTSPLIT(FinanceCodesBudget[[#This Row],[SchoolCodes]],",",,TRUE))-SUM(COUNTIF(SCHOOLS[SchoolCode],_xlfn.TEXTSPLIT(FinanceCodesBudget[[#This Row],[SchoolCodes]],",",,TRUE))))</f>
        <v>0</v>
      </c>
      <c r="E149" s="43">
        <f>IF(FinanceCodesBudget[[#This Row],[FinanceCodeTypeCode]]="BUDGET",0,COUNTIF(FinanceCodesBudget[FinanceCode],FinanceCodesBudget[[#This Row],[FinanceCode]])-1)</f>
        <v>0</v>
      </c>
      <c r="F149" s="43">
        <f>IF(FinanceCodesBudget[[#This Row],[FinanceCodeTypeCode]]="BUDGET",0,COUNTIF(FinanceCodesBudget[Title],FinanceCodesBudget[[#This Row],[Title]])-1)</f>
        <v>0</v>
      </c>
      <c r="G149" s="43">
        <f>COUNTIF(Lookup!$A$2:$A$7,FinanceCodesBudget[[#This Row],[FinanceCodeTypeCode]])-1</f>
        <v>0</v>
      </c>
      <c r="H149" s="43">
        <f>IF(TRIM(FinanceCodesBudget[[#This Row],[Title]])="",1,0)</f>
        <v>0</v>
      </c>
      <c r="I149" s="43">
        <f>IF(TRIM(FinanceCodesBudget[[#This Row],[FinanceCode]])="",1,0)</f>
        <v>0</v>
      </c>
      <c r="J149" s="43">
        <f>IF(LEN(FinanceCodesBudget[[#This Row],[FinanceCode]])&lt;100,0,1)</f>
        <v>0</v>
      </c>
      <c r="K149" s="43">
        <f>IF(LEN(FinanceCodesBudget[[#This Row],[Title]])&lt;100,0,1)</f>
        <v>0</v>
      </c>
      <c r="L149" s="43">
        <f>IF(ISBLANK(FinanceCodesBudget[[#This Row],[BalanceToScenario]]),1,0)</f>
        <v>0</v>
      </c>
      <c r="M149" s="43">
        <f>SUM(FinanceCodesBudget[[#This Row],[LedgerIssue]:[CustGrIssue]],FinanceCodesBudget[[#This Row],[DupCode]:[Balance to Scenario Blank]])</f>
        <v>0</v>
      </c>
      <c r="N149">
        <v>623200</v>
      </c>
      <c r="O149" t="s">
        <v>2669</v>
      </c>
      <c r="P149" t="s">
        <v>1813</v>
      </c>
      <c r="Q149" t="s">
        <v>1979</v>
      </c>
      <c r="R149" t="b">
        <v>0</v>
      </c>
      <c r="S149" t="s">
        <v>2526</v>
      </c>
      <c r="T149" t="s">
        <v>1300</v>
      </c>
      <c r="U149" t="s">
        <v>1532</v>
      </c>
      <c r="V149" t="b">
        <v>1</v>
      </c>
      <c r="W149" t="b">
        <v>0</v>
      </c>
    </row>
    <row r="150" spans="1:23" x14ac:dyDescent="0.3">
      <c r="A150" s="147">
        <f>IF(COUNTIF(LEDGER[LedgerCode],FinanceCodesBudget[[#This Row],[LedgerCode]])&gt;0,0,1)</f>
        <v>0</v>
      </c>
      <c r="B150" s="43">
        <f>IF(COUNTIF(Table_System_Grouping_Codes[groupingCodeCode],FinanceCodesBudget[[#This Row],[GroupingCode]])&gt;0,0,1)</f>
        <v>0</v>
      </c>
      <c r="C150" s="43">
        <f>IF(COUNTIF(CUSTGROUP[CustomGroupingCode],FinanceCodesBudget[[#This Row],[CustomGrouping]])&gt;0,0,1)</f>
        <v>0</v>
      </c>
      <c r="D150" s="43" cm="1">
        <f t="array" ref="D150">IF(FinanceCodesBudget[[#This Row],[AvailableToAllSchools]]=TRUE,0,COUNTA(_xlfn.TEXTSPLIT(FinanceCodesBudget[[#This Row],[SchoolCodes]],",",,TRUE))-SUM(COUNTIF(SCHOOLS[SchoolCode],_xlfn.TEXTSPLIT(FinanceCodesBudget[[#This Row],[SchoolCodes]],",",,TRUE))))</f>
        <v>0</v>
      </c>
      <c r="E150" s="43">
        <f>IF(FinanceCodesBudget[[#This Row],[FinanceCodeTypeCode]]="BUDGET",0,COUNTIF(FinanceCodesBudget[FinanceCode],FinanceCodesBudget[[#This Row],[FinanceCode]])-1)</f>
        <v>0</v>
      </c>
      <c r="F150" s="43">
        <f>IF(FinanceCodesBudget[[#This Row],[FinanceCodeTypeCode]]="BUDGET",0,COUNTIF(FinanceCodesBudget[Title],FinanceCodesBudget[[#This Row],[Title]])-1)</f>
        <v>0</v>
      </c>
      <c r="G150" s="43">
        <f>COUNTIF(Lookup!$A$2:$A$7,FinanceCodesBudget[[#This Row],[FinanceCodeTypeCode]])-1</f>
        <v>0</v>
      </c>
      <c r="H150" s="43">
        <f>IF(TRIM(FinanceCodesBudget[[#This Row],[Title]])="",1,0)</f>
        <v>0</v>
      </c>
      <c r="I150" s="43">
        <f>IF(TRIM(FinanceCodesBudget[[#This Row],[FinanceCode]])="",1,0)</f>
        <v>0</v>
      </c>
      <c r="J150" s="43">
        <f>IF(LEN(FinanceCodesBudget[[#This Row],[FinanceCode]])&lt;100,0,1)</f>
        <v>0</v>
      </c>
      <c r="K150" s="43">
        <f>IF(LEN(FinanceCodesBudget[[#This Row],[Title]])&lt;100,0,1)</f>
        <v>0</v>
      </c>
      <c r="L150" s="43">
        <f>IF(ISBLANK(FinanceCodesBudget[[#This Row],[BalanceToScenario]]),1,0)</f>
        <v>0</v>
      </c>
      <c r="M150" s="43">
        <f>SUM(FinanceCodesBudget[[#This Row],[LedgerIssue]:[CustGrIssue]],FinanceCodesBudget[[#This Row],[DupCode]:[Balance to Scenario Blank]])</f>
        <v>0</v>
      </c>
      <c r="N150">
        <v>623300</v>
      </c>
      <c r="O150" t="s">
        <v>2670</v>
      </c>
      <c r="P150" t="s">
        <v>281</v>
      </c>
      <c r="Q150" t="s">
        <v>1979</v>
      </c>
      <c r="R150" t="b">
        <v>0</v>
      </c>
      <c r="S150" t="s">
        <v>2526</v>
      </c>
      <c r="T150" t="s">
        <v>1300</v>
      </c>
      <c r="U150" t="s">
        <v>1532</v>
      </c>
      <c r="V150" t="b">
        <v>1</v>
      </c>
      <c r="W150" t="b">
        <v>0</v>
      </c>
    </row>
    <row r="151" spans="1:23" x14ac:dyDescent="0.3">
      <c r="A151" s="147">
        <f>IF(COUNTIF(LEDGER[LedgerCode],FinanceCodesBudget[[#This Row],[LedgerCode]])&gt;0,0,1)</f>
        <v>0</v>
      </c>
      <c r="B151" s="43">
        <f>IF(COUNTIF(Table_System_Grouping_Codes[groupingCodeCode],FinanceCodesBudget[[#This Row],[GroupingCode]])&gt;0,0,1)</f>
        <v>0</v>
      </c>
      <c r="C151" s="43">
        <f>IF(COUNTIF(CUSTGROUP[CustomGroupingCode],FinanceCodesBudget[[#This Row],[CustomGrouping]])&gt;0,0,1)</f>
        <v>0</v>
      </c>
      <c r="D151" s="43" cm="1">
        <f t="array" ref="D151">IF(FinanceCodesBudget[[#This Row],[AvailableToAllSchools]]=TRUE,0,COUNTA(_xlfn.TEXTSPLIT(FinanceCodesBudget[[#This Row],[SchoolCodes]],",",,TRUE))-SUM(COUNTIF(SCHOOLS[SchoolCode],_xlfn.TEXTSPLIT(FinanceCodesBudget[[#This Row],[SchoolCodes]],",",,TRUE))))</f>
        <v>0</v>
      </c>
      <c r="E151" s="43">
        <f>IF(FinanceCodesBudget[[#This Row],[FinanceCodeTypeCode]]="BUDGET",0,COUNTIF(FinanceCodesBudget[FinanceCode],FinanceCodesBudget[[#This Row],[FinanceCode]])-1)</f>
        <v>0</v>
      </c>
      <c r="F151" s="43">
        <f>IF(FinanceCodesBudget[[#This Row],[FinanceCodeTypeCode]]="BUDGET",0,COUNTIF(FinanceCodesBudget[Title],FinanceCodesBudget[[#This Row],[Title]])-1)</f>
        <v>0</v>
      </c>
      <c r="G151" s="43">
        <f>COUNTIF(Lookup!$A$2:$A$7,FinanceCodesBudget[[#This Row],[FinanceCodeTypeCode]])-1</f>
        <v>0</v>
      </c>
      <c r="H151" s="43">
        <f>IF(TRIM(FinanceCodesBudget[[#This Row],[Title]])="",1,0)</f>
        <v>0</v>
      </c>
      <c r="I151" s="43">
        <f>IF(TRIM(FinanceCodesBudget[[#This Row],[FinanceCode]])="",1,0)</f>
        <v>0</v>
      </c>
      <c r="J151" s="43">
        <f>IF(LEN(FinanceCodesBudget[[#This Row],[FinanceCode]])&lt;100,0,1)</f>
        <v>0</v>
      </c>
      <c r="K151" s="43">
        <f>IF(LEN(FinanceCodesBudget[[#This Row],[Title]])&lt;100,0,1)</f>
        <v>0</v>
      </c>
      <c r="L151" s="43">
        <f>IF(ISBLANK(FinanceCodesBudget[[#This Row],[BalanceToScenario]]),1,0)</f>
        <v>0</v>
      </c>
      <c r="M151" s="43">
        <f>SUM(FinanceCodesBudget[[#This Row],[LedgerIssue]:[CustGrIssue]],FinanceCodesBudget[[#This Row],[DupCode]:[Balance to Scenario Blank]])</f>
        <v>0</v>
      </c>
      <c r="N151">
        <v>624100</v>
      </c>
      <c r="O151" t="s">
        <v>2671</v>
      </c>
      <c r="P151" t="s">
        <v>283</v>
      </c>
      <c r="Q151" t="s">
        <v>1979</v>
      </c>
      <c r="R151" t="b">
        <v>0</v>
      </c>
      <c r="S151" t="s">
        <v>2526</v>
      </c>
      <c r="T151" t="s">
        <v>1300</v>
      </c>
      <c r="U151" t="s">
        <v>1532</v>
      </c>
      <c r="V151" t="b">
        <v>1</v>
      </c>
      <c r="W151" t="b">
        <v>0</v>
      </c>
    </row>
    <row r="152" spans="1:23" x14ac:dyDescent="0.3">
      <c r="A152" s="147">
        <f>IF(COUNTIF(LEDGER[LedgerCode],FinanceCodesBudget[[#This Row],[LedgerCode]])&gt;0,0,1)</f>
        <v>0</v>
      </c>
      <c r="B152" s="43">
        <f>IF(COUNTIF(Table_System_Grouping_Codes[groupingCodeCode],FinanceCodesBudget[[#This Row],[GroupingCode]])&gt;0,0,1)</f>
        <v>0</v>
      </c>
      <c r="C152" s="43">
        <f>IF(COUNTIF(CUSTGROUP[CustomGroupingCode],FinanceCodesBudget[[#This Row],[CustomGrouping]])&gt;0,0,1)</f>
        <v>0</v>
      </c>
      <c r="D152" s="43" cm="1">
        <f t="array" ref="D152">IF(FinanceCodesBudget[[#This Row],[AvailableToAllSchools]]=TRUE,0,COUNTA(_xlfn.TEXTSPLIT(FinanceCodesBudget[[#This Row],[SchoolCodes]],",",,TRUE))-SUM(COUNTIF(SCHOOLS[SchoolCode],_xlfn.TEXTSPLIT(FinanceCodesBudget[[#This Row],[SchoolCodes]],",",,TRUE))))</f>
        <v>0</v>
      </c>
      <c r="E152" s="43">
        <f>IF(FinanceCodesBudget[[#This Row],[FinanceCodeTypeCode]]="BUDGET",0,COUNTIF(FinanceCodesBudget[FinanceCode],FinanceCodesBudget[[#This Row],[FinanceCode]])-1)</f>
        <v>0</v>
      </c>
      <c r="F152" s="43">
        <f>IF(FinanceCodesBudget[[#This Row],[FinanceCodeTypeCode]]="BUDGET",0,COUNTIF(FinanceCodesBudget[Title],FinanceCodesBudget[[#This Row],[Title]])-1)</f>
        <v>0</v>
      </c>
      <c r="G152" s="43">
        <f>COUNTIF(Lookup!$A$2:$A$7,FinanceCodesBudget[[#This Row],[FinanceCodeTypeCode]])-1</f>
        <v>0</v>
      </c>
      <c r="H152" s="43">
        <f>IF(TRIM(FinanceCodesBudget[[#This Row],[Title]])="",1,0)</f>
        <v>0</v>
      </c>
      <c r="I152" s="43">
        <f>IF(TRIM(FinanceCodesBudget[[#This Row],[FinanceCode]])="",1,0)</f>
        <v>0</v>
      </c>
      <c r="J152" s="43">
        <f>IF(LEN(FinanceCodesBudget[[#This Row],[FinanceCode]])&lt;100,0,1)</f>
        <v>0</v>
      </c>
      <c r="K152" s="43">
        <f>IF(LEN(FinanceCodesBudget[[#This Row],[Title]])&lt;100,0,1)</f>
        <v>0</v>
      </c>
      <c r="L152" s="43">
        <f>IF(ISBLANK(FinanceCodesBudget[[#This Row],[BalanceToScenario]]),1,0)</f>
        <v>0</v>
      </c>
      <c r="M152" s="43">
        <f>SUM(FinanceCodesBudget[[#This Row],[LedgerIssue]:[CustGrIssue]],FinanceCodesBudget[[#This Row],[DupCode]:[Balance to Scenario Blank]])</f>
        <v>0</v>
      </c>
      <c r="N152">
        <v>624150</v>
      </c>
      <c r="O152" t="s">
        <v>2672</v>
      </c>
      <c r="P152" t="s">
        <v>285</v>
      </c>
      <c r="Q152" t="s">
        <v>1979</v>
      </c>
      <c r="R152" t="b">
        <v>0</v>
      </c>
      <c r="S152" t="s">
        <v>2526</v>
      </c>
      <c r="T152" t="s">
        <v>1300</v>
      </c>
      <c r="U152" t="s">
        <v>1532</v>
      </c>
      <c r="V152" t="b">
        <v>1</v>
      </c>
      <c r="W152" t="b">
        <v>0</v>
      </c>
    </row>
    <row r="153" spans="1:23" x14ac:dyDescent="0.3">
      <c r="A153" s="147">
        <f>IF(COUNTIF(LEDGER[LedgerCode],FinanceCodesBudget[[#This Row],[LedgerCode]])&gt;0,0,1)</f>
        <v>0</v>
      </c>
      <c r="B153" s="43">
        <f>IF(COUNTIF(Table_System_Grouping_Codes[groupingCodeCode],FinanceCodesBudget[[#This Row],[GroupingCode]])&gt;0,0,1)</f>
        <v>0</v>
      </c>
      <c r="C153" s="43">
        <f>IF(COUNTIF(CUSTGROUP[CustomGroupingCode],FinanceCodesBudget[[#This Row],[CustomGrouping]])&gt;0,0,1)</f>
        <v>0</v>
      </c>
      <c r="D153" s="43" cm="1">
        <f t="array" ref="D153">IF(FinanceCodesBudget[[#This Row],[AvailableToAllSchools]]=TRUE,0,COUNTA(_xlfn.TEXTSPLIT(FinanceCodesBudget[[#This Row],[SchoolCodes]],",",,TRUE))-SUM(COUNTIF(SCHOOLS[SchoolCode],_xlfn.TEXTSPLIT(FinanceCodesBudget[[#This Row],[SchoolCodes]],",",,TRUE))))</f>
        <v>0</v>
      </c>
      <c r="E153" s="43">
        <f>IF(FinanceCodesBudget[[#This Row],[FinanceCodeTypeCode]]="BUDGET",0,COUNTIF(FinanceCodesBudget[FinanceCode],FinanceCodesBudget[[#This Row],[FinanceCode]])-1)</f>
        <v>0</v>
      </c>
      <c r="F153" s="43">
        <f>IF(FinanceCodesBudget[[#This Row],[FinanceCodeTypeCode]]="BUDGET",0,COUNTIF(FinanceCodesBudget[Title],FinanceCodesBudget[[#This Row],[Title]])-1)</f>
        <v>0</v>
      </c>
      <c r="G153" s="43">
        <f>COUNTIF(Lookup!$A$2:$A$7,FinanceCodesBudget[[#This Row],[FinanceCodeTypeCode]])-1</f>
        <v>0</v>
      </c>
      <c r="H153" s="43">
        <f>IF(TRIM(FinanceCodesBudget[[#This Row],[Title]])="",1,0)</f>
        <v>0</v>
      </c>
      <c r="I153" s="43">
        <f>IF(TRIM(FinanceCodesBudget[[#This Row],[FinanceCode]])="",1,0)</f>
        <v>0</v>
      </c>
      <c r="J153" s="43">
        <f>IF(LEN(FinanceCodesBudget[[#This Row],[FinanceCode]])&lt;100,0,1)</f>
        <v>0</v>
      </c>
      <c r="K153" s="43">
        <f>IF(LEN(FinanceCodesBudget[[#This Row],[Title]])&lt;100,0,1)</f>
        <v>0</v>
      </c>
      <c r="L153" s="43">
        <f>IF(ISBLANK(FinanceCodesBudget[[#This Row],[BalanceToScenario]]),1,0)</f>
        <v>0</v>
      </c>
      <c r="M153" s="43">
        <f>SUM(FinanceCodesBudget[[#This Row],[LedgerIssue]:[CustGrIssue]],FinanceCodesBudget[[#This Row],[DupCode]:[Balance to Scenario Blank]])</f>
        <v>0</v>
      </c>
      <c r="N153">
        <v>624200</v>
      </c>
      <c r="O153" t="s">
        <v>2673</v>
      </c>
      <c r="P153" t="s">
        <v>287</v>
      </c>
      <c r="Q153" t="s">
        <v>1979</v>
      </c>
      <c r="R153" t="b">
        <v>0</v>
      </c>
      <c r="S153" t="s">
        <v>2526</v>
      </c>
      <c r="T153" t="s">
        <v>1300</v>
      </c>
      <c r="U153" t="s">
        <v>1532</v>
      </c>
      <c r="V153" t="b">
        <v>1</v>
      </c>
      <c r="W153" t="b">
        <v>0</v>
      </c>
    </row>
    <row r="154" spans="1:23" x14ac:dyDescent="0.3">
      <c r="A154" s="147">
        <f>IF(COUNTIF(LEDGER[LedgerCode],FinanceCodesBudget[[#This Row],[LedgerCode]])&gt;0,0,1)</f>
        <v>0</v>
      </c>
      <c r="B154" s="43">
        <f>IF(COUNTIF(Table_System_Grouping_Codes[groupingCodeCode],FinanceCodesBudget[[#This Row],[GroupingCode]])&gt;0,0,1)</f>
        <v>0</v>
      </c>
      <c r="C154" s="43">
        <f>IF(COUNTIF(CUSTGROUP[CustomGroupingCode],FinanceCodesBudget[[#This Row],[CustomGrouping]])&gt;0,0,1)</f>
        <v>0</v>
      </c>
      <c r="D154" s="43" cm="1">
        <f t="array" ref="D154">IF(FinanceCodesBudget[[#This Row],[AvailableToAllSchools]]=TRUE,0,COUNTA(_xlfn.TEXTSPLIT(FinanceCodesBudget[[#This Row],[SchoolCodes]],",",,TRUE))-SUM(COUNTIF(SCHOOLS[SchoolCode],_xlfn.TEXTSPLIT(FinanceCodesBudget[[#This Row],[SchoolCodes]],",",,TRUE))))</f>
        <v>0</v>
      </c>
      <c r="E154" s="43">
        <f>IF(FinanceCodesBudget[[#This Row],[FinanceCodeTypeCode]]="BUDGET",0,COUNTIF(FinanceCodesBudget[FinanceCode],FinanceCodesBudget[[#This Row],[FinanceCode]])-1)</f>
        <v>0</v>
      </c>
      <c r="F154" s="43">
        <f>IF(FinanceCodesBudget[[#This Row],[FinanceCodeTypeCode]]="BUDGET",0,COUNTIF(FinanceCodesBudget[Title],FinanceCodesBudget[[#This Row],[Title]])-1)</f>
        <v>0</v>
      </c>
      <c r="G154" s="43">
        <f>COUNTIF(Lookup!$A$2:$A$7,FinanceCodesBudget[[#This Row],[FinanceCodeTypeCode]])-1</f>
        <v>0</v>
      </c>
      <c r="H154" s="43">
        <f>IF(TRIM(FinanceCodesBudget[[#This Row],[Title]])="",1,0)</f>
        <v>0</v>
      </c>
      <c r="I154" s="43">
        <f>IF(TRIM(FinanceCodesBudget[[#This Row],[FinanceCode]])="",1,0)</f>
        <v>0</v>
      </c>
      <c r="J154" s="43">
        <f>IF(LEN(FinanceCodesBudget[[#This Row],[FinanceCode]])&lt;100,0,1)</f>
        <v>0</v>
      </c>
      <c r="K154" s="43">
        <f>IF(LEN(FinanceCodesBudget[[#This Row],[Title]])&lt;100,0,1)</f>
        <v>0</v>
      </c>
      <c r="L154" s="43">
        <f>IF(ISBLANK(FinanceCodesBudget[[#This Row],[BalanceToScenario]]),1,0)</f>
        <v>0</v>
      </c>
      <c r="M154" s="43">
        <f>SUM(FinanceCodesBudget[[#This Row],[LedgerIssue]:[CustGrIssue]],FinanceCodesBudget[[#This Row],[DupCode]:[Balance to Scenario Blank]])</f>
        <v>0</v>
      </c>
      <c r="N154">
        <v>624300</v>
      </c>
      <c r="O154" t="s">
        <v>2674</v>
      </c>
      <c r="P154" t="s">
        <v>289</v>
      </c>
      <c r="Q154" t="s">
        <v>1979</v>
      </c>
      <c r="R154" t="b">
        <v>0</v>
      </c>
      <c r="S154" t="s">
        <v>2526</v>
      </c>
      <c r="T154" t="s">
        <v>1300</v>
      </c>
      <c r="U154" t="s">
        <v>1532</v>
      </c>
      <c r="V154" t="b">
        <v>1</v>
      </c>
      <c r="W154" t="b">
        <v>0</v>
      </c>
    </row>
    <row r="155" spans="1:23" x14ac:dyDescent="0.3">
      <c r="A155" s="147">
        <f>IF(COUNTIF(LEDGER[LedgerCode],FinanceCodesBudget[[#This Row],[LedgerCode]])&gt;0,0,1)</f>
        <v>0</v>
      </c>
      <c r="B155" s="43">
        <f>IF(COUNTIF(Table_System_Grouping_Codes[groupingCodeCode],FinanceCodesBudget[[#This Row],[GroupingCode]])&gt;0,0,1)</f>
        <v>0</v>
      </c>
      <c r="C155" s="43">
        <f>IF(COUNTIF(CUSTGROUP[CustomGroupingCode],FinanceCodesBudget[[#This Row],[CustomGrouping]])&gt;0,0,1)</f>
        <v>0</v>
      </c>
      <c r="D155" s="43" cm="1">
        <f t="array" ref="D155">IF(FinanceCodesBudget[[#This Row],[AvailableToAllSchools]]=TRUE,0,COUNTA(_xlfn.TEXTSPLIT(FinanceCodesBudget[[#This Row],[SchoolCodes]],",",,TRUE))-SUM(COUNTIF(SCHOOLS[SchoolCode],_xlfn.TEXTSPLIT(FinanceCodesBudget[[#This Row],[SchoolCodes]],",",,TRUE))))</f>
        <v>0</v>
      </c>
      <c r="E155" s="43">
        <f>IF(FinanceCodesBudget[[#This Row],[FinanceCodeTypeCode]]="BUDGET",0,COUNTIF(FinanceCodesBudget[FinanceCode],FinanceCodesBudget[[#This Row],[FinanceCode]])-1)</f>
        <v>0</v>
      </c>
      <c r="F155" s="43">
        <f>IF(FinanceCodesBudget[[#This Row],[FinanceCodeTypeCode]]="BUDGET",0,COUNTIF(FinanceCodesBudget[Title],FinanceCodesBudget[[#This Row],[Title]])-1)</f>
        <v>0</v>
      </c>
      <c r="G155" s="43">
        <f>COUNTIF(Lookup!$A$2:$A$7,FinanceCodesBudget[[#This Row],[FinanceCodeTypeCode]])-1</f>
        <v>0</v>
      </c>
      <c r="H155" s="43">
        <f>IF(TRIM(FinanceCodesBudget[[#This Row],[Title]])="",1,0)</f>
        <v>0</v>
      </c>
      <c r="I155" s="43">
        <f>IF(TRIM(FinanceCodesBudget[[#This Row],[FinanceCode]])="",1,0)</f>
        <v>0</v>
      </c>
      <c r="J155" s="43">
        <f>IF(LEN(FinanceCodesBudget[[#This Row],[FinanceCode]])&lt;100,0,1)</f>
        <v>0</v>
      </c>
      <c r="K155" s="43">
        <f>IF(LEN(FinanceCodesBudget[[#This Row],[Title]])&lt;100,0,1)</f>
        <v>0</v>
      </c>
      <c r="L155" s="43">
        <f>IF(ISBLANK(FinanceCodesBudget[[#This Row],[BalanceToScenario]]),1,0)</f>
        <v>0</v>
      </c>
      <c r="M155" s="43">
        <f>SUM(FinanceCodesBudget[[#This Row],[LedgerIssue]:[CustGrIssue]],FinanceCodesBudget[[#This Row],[DupCode]:[Balance to Scenario Blank]])</f>
        <v>0</v>
      </c>
      <c r="N155">
        <v>625100</v>
      </c>
      <c r="O155" t="s">
        <v>2675</v>
      </c>
      <c r="P155" t="s">
        <v>291</v>
      </c>
      <c r="Q155" t="s">
        <v>1983</v>
      </c>
      <c r="R155" t="b">
        <v>0</v>
      </c>
      <c r="S155" t="s">
        <v>2526</v>
      </c>
      <c r="T155" t="s">
        <v>1300</v>
      </c>
      <c r="U155" t="s">
        <v>1532</v>
      </c>
      <c r="V155" t="b">
        <v>1</v>
      </c>
      <c r="W155" t="b">
        <v>0</v>
      </c>
    </row>
    <row r="156" spans="1:23" x14ac:dyDescent="0.3">
      <c r="A156" s="147">
        <f>IF(COUNTIF(LEDGER[LedgerCode],FinanceCodesBudget[[#This Row],[LedgerCode]])&gt;0,0,1)</f>
        <v>0</v>
      </c>
      <c r="B156" s="43">
        <f>IF(COUNTIF(Table_System_Grouping_Codes[groupingCodeCode],FinanceCodesBudget[[#This Row],[GroupingCode]])&gt;0,0,1)</f>
        <v>0</v>
      </c>
      <c r="C156" s="43">
        <f>IF(COUNTIF(CUSTGROUP[CustomGroupingCode],FinanceCodesBudget[[#This Row],[CustomGrouping]])&gt;0,0,1)</f>
        <v>0</v>
      </c>
      <c r="D156" s="43" cm="1">
        <f t="array" ref="D156">IF(FinanceCodesBudget[[#This Row],[AvailableToAllSchools]]=TRUE,0,COUNTA(_xlfn.TEXTSPLIT(FinanceCodesBudget[[#This Row],[SchoolCodes]],",",,TRUE))-SUM(COUNTIF(SCHOOLS[SchoolCode],_xlfn.TEXTSPLIT(FinanceCodesBudget[[#This Row],[SchoolCodes]],",",,TRUE))))</f>
        <v>0</v>
      </c>
      <c r="E156" s="43">
        <f>IF(FinanceCodesBudget[[#This Row],[FinanceCodeTypeCode]]="BUDGET",0,COUNTIF(FinanceCodesBudget[FinanceCode],FinanceCodesBudget[[#This Row],[FinanceCode]])-1)</f>
        <v>0</v>
      </c>
      <c r="F156" s="43">
        <f>IF(FinanceCodesBudget[[#This Row],[FinanceCodeTypeCode]]="BUDGET",0,COUNTIF(FinanceCodesBudget[Title],FinanceCodesBudget[[#This Row],[Title]])-1)</f>
        <v>0</v>
      </c>
      <c r="G156" s="43">
        <f>COUNTIF(Lookup!$A$2:$A$7,FinanceCodesBudget[[#This Row],[FinanceCodeTypeCode]])-1</f>
        <v>0</v>
      </c>
      <c r="H156" s="43">
        <f>IF(TRIM(FinanceCodesBudget[[#This Row],[Title]])="",1,0)</f>
        <v>0</v>
      </c>
      <c r="I156" s="43">
        <f>IF(TRIM(FinanceCodesBudget[[#This Row],[FinanceCode]])="",1,0)</f>
        <v>0</v>
      </c>
      <c r="J156" s="43">
        <f>IF(LEN(FinanceCodesBudget[[#This Row],[FinanceCode]])&lt;100,0,1)</f>
        <v>0</v>
      </c>
      <c r="K156" s="43">
        <f>IF(LEN(FinanceCodesBudget[[#This Row],[Title]])&lt;100,0,1)</f>
        <v>0</v>
      </c>
      <c r="L156" s="43">
        <f>IF(ISBLANK(FinanceCodesBudget[[#This Row],[BalanceToScenario]]),1,0)</f>
        <v>0</v>
      </c>
      <c r="M156" s="43">
        <f>SUM(FinanceCodesBudget[[#This Row],[LedgerIssue]:[CustGrIssue]],FinanceCodesBudget[[#This Row],[DupCode]:[Balance to Scenario Blank]])</f>
        <v>0</v>
      </c>
      <c r="N156">
        <v>625150</v>
      </c>
      <c r="O156" t="s">
        <v>2676</v>
      </c>
      <c r="P156" t="s">
        <v>293</v>
      </c>
      <c r="Q156" t="s">
        <v>1983</v>
      </c>
      <c r="R156" t="b">
        <v>0</v>
      </c>
      <c r="S156" t="s">
        <v>2526</v>
      </c>
      <c r="T156" t="s">
        <v>1300</v>
      </c>
      <c r="U156" t="s">
        <v>1532</v>
      </c>
      <c r="V156" t="b">
        <v>1</v>
      </c>
      <c r="W156" t="b">
        <v>0</v>
      </c>
    </row>
    <row r="157" spans="1:23" x14ac:dyDescent="0.3">
      <c r="A157" s="147">
        <f>IF(COUNTIF(LEDGER[LedgerCode],FinanceCodesBudget[[#This Row],[LedgerCode]])&gt;0,0,1)</f>
        <v>0</v>
      </c>
      <c r="B157" s="43">
        <f>IF(COUNTIF(Table_System_Grouping_Codes[groupingCodeCode],FinanceCodesBudget[[#This Row],[GroupingCode]])&gt;0,0,1)</f>
        <v>0</v>
      </c>
      <c r="C157" s="43">
        <f>IF(COUNTIF(CUSTGROUP[CustomGroupingCode],FinanceCodesBudget[[#This Row],[CustomGrouping]])&gt;0,0,1)</f>
        <v>0</v>
      </c>
      <c r="D157" s="43" cm="1">
        <f t="array" ref="D157">IF(FinanceCodesBudget[[#This Row],[AvailableToAllSchools]]=TRUE,0,COUNTA(_xlfn.TEXTSPLIT(FinanceCodesBudget[[#This Row],[SchoolCodes]],",",,TRUE))-SUM(COUNTIF(SCHOOLS[SchoolCode],_xlfn.TEXTSPLIT(FinanceCodesBudget[[#This Row],[SchoolCodes]],",",,TRUE))))</f>
        <v>0</v>
      </c>
      <c r="E157" s="43">
        <f>IF(FinanceCodesBudget[[#This Row],[FinanceCodeTypeCode]]="BUDGET",0,COUNTIF(FinanceCodesBudget[FinanceCode],FinanceCodesBudget[[#This Row],[FinanceCode]])-1)</f>
        <v>0</v>
      </c>
      <c r="F157" s="43">
        <f>IF(FinanceCodesBudget[[#This Row],[FinanceCodeTypeCode]]="BUDGET",0,COUNTIF(FinanceCodesBudget[Title],FinanceCodesBudget[[#This Row],[Title]])-1)</f>
        <v>0</v>
      </c>
      <c r="G157" s="43">
        <f>COUNTIF(Lookup!$A$2:$A$7,FinanceCodesBudget[[#This Row],[FinanceCodeTypeCode]])-1</f>
        <v>0</v>
      </c>
      <c r="H157" s="43">
        <f>IF(TRIM(FinanceCodesBudget[[#This Row],[Title]])="",1,0)</f>
        <v>0</v>
      </c>
      <c r="I157" s="43">
        <f>IF(TRIM(FinanceCodesBudget[[#This Row],[FinanceCode]])="",1,0)</f>
        <v>0</v>
      </c>
      <c r="J157" s="43">
        <f>IF(LEN(FinanceCodesBudget[[#This Row],[FinanceCode]])&lt;100,0,1)</f>
        <v>0</v>
      </c>
      <c r="K157" s="43">
        <f>IF(LEN(FinanceCodesBudget[[#This Row],[Title]])&lt;100,0,1)</f>
        <v>0</v>
      </c>
      <c r="L157" s="43">
        <f>IF(ISBLANK(FinanceCodesBudget[[#This Row],[BalanceToScenario]]),1,0)</f>
        <v>0</v>
      </c>
      <c r="M157" s="43">
        <f>SUM(FinanceCodesBudget[[#This Row],[LedgerIssue]:[CustGrIssue]],FinanceCodesBudget[[#This Row],[DupCode]:[Balance to Scenario Blank]])</f>
        <v>0</v>
      </c>
      <c r="N157">
        <v>625200</v>
      </c>
      <c r="O157" t="s">
        <v>2677</v>
      </c>
      <c r="P157" t="s">
        <v>295</v>
      </c>
      <c r="Q157" t="s">
        <v>1983</v>
      </c>
      <c r="R157" t="b">
        <v>0</v>
      </c>
      <c r="S157" t="s">
        <v>2526</v>
      </c>
      <c r="T157" t="s">
        <v>1300</v>
      </c>
      <c r="U157" t="s">
        <v>1532</v>
      </c>
      <c r="V157" t="b">
        <v>1</v>
      </c>
      <c r="W157" t="b">
        <v>0</v>
      </c>
    </row>
    <row r="158" spans="1:23" x14ac:dyDescent="0.3">
      <c r="A158" s="147">
        <f>IF(COUNTIF(LEDGER[LedgerCode],FinanceCodesBudget[[#This Row],[LedgerCode]])&gt;0,0,1)</f>
        <v>0</v>
      </c>
      <c r="B158" s="43">
        <f>IF(COUNTIF(Table_System_Grouping_Codes[groupingCodeCode],FinanceCodesBudget[[#This Row],[GroupingCode]])&gt;0,0,1)</f>
        <v>0</v>
      </c>
      <c r="C158" s="43">
        <f>IF(COUNTIF(CUSTGROUP[CustomGroupingCode],FinanceCodesBudget[[#This Row],[CustomGrouping]])&gt;0,0,1)</f>
        <v>0</v>
      </c>
      <c r="D158" s="43" cm="1">
        <f t="array" ref="D158">IF(FinanceCodesBudget[[#This Row],[AvailableToAllSchools]]=TRUE,0,COUNTA(_xlfn.TEXTSPLIT(FinanceCodesBudget[[#This Row],[SchoolCodes]],",",,TRUE))-SUM(COUNTIF(SCHOOLS[SchoolCode],_xlfn.TEXTSPLIT(FinanceCodesBudget[[#This Row],[SchoolCodes]],",",,TRUE))))</f>
        <v>0</v>
      </c>
      <c r="E158" s="43">
        <f>IF(FinanceCodesBudget[[#This Row],[FinanceCodeTypeCode]]="BUDGET",0,COUNTIF(FinanceCodesBudget[FinanceCode],FinanceCodesBudget[[#This Row],[FinanceCode]])-1)</f>
        <v>0</v>
      </c>
      <c r="F158" s="43">
        <f>IF(FinanceCodesBudget[[#This Row],[FinanceCodeTypeCode]]="BUDGET",0,COUNTIF(FinanceCodesBudget[Title],FinanceCodesBudget[[#This Row],[Title]])-1)</f>
        <v>0</v>
      </c>
      <c r="G158" s="43">
        <f>COUNTIF(Lookup!$A$2:$A$7,FinanceCodesBudget[[#This Row],[FinanceCodeTypeCode]])-1</f>
        <v>0</v>
      </c>
      <c r="H158" s="43">
        <f>IF(TRIM(FinanceCodesBudget[[#This Row],[Title]])="",1,0)</f>
        <v>0</v>
      </c>
      <c r="I158" s="43">
        <f>IF(TRIM(FinanceCodesBudget[[#This Row],[FinanceCode]])="",1,0)</f>
        <v>0</v>
      </c>
      <c r="J158" s="43">
        <f>IF(LEN(FinanceCodesBudget[[#This Row],[FinanceCode]])&lt;100,0,1)</f>
        <v>0</v>
      </c>
      <c r="K158" s="43">
        <f>IF(LEN(FinanceCodesBudget[[#This Row],[Title]])&lt;100,0,1)</f>
        <v>0</v>
      </c>
      <c r="L158" s="43">
        <f>IF(ISBLANK(FinanceCodesBudget[[#This Row],[BalanceToScenario]]),1,0)</f>
        <v>0</v>
      </c>
      <c r="M158" s="43">
        <f>SUM(FinanceCodesBudget[[#This Row],[LedgerIssue]:[CustGrIssue]],FinanceCodesBudget[[#This Row],[DupCode]:[Balance to Scenario Blank]])</f>
        <v>0</v>
      </c>
      <c r="N158">
        <v>625300</v>
      </c>
      <c r="O158" t="s">
        <v>2678</v>
      </c>
      <c r="P158" t="s">
        <v>297</v>
      </c>
      <c r="Q158" t="s">
        <v>1983</v>
      </c>
      <c r="R158" t="b">
        <v>0</v>
      </c>
      <c r="S158" t="s">
        <v>2526</v>
      </c>
      <c r="T158" t="s">
        <v>1300</v>
      </c>
      <c r="U158" t="s">
        <v>1532</v>
      </c>
      <c r="V158" t="b">
        <v>1</v>
      </c>
      <c r="W158" t="b">
        <v>0</v>
      </c>
    </row>
    <row r="159" spans="1:23" x14ac:dyDescent="0.3">
      <c r="A159" s="147">
        <f>IF(COUNTIF(LEDGER[LedgerCode],FinanceCodesBudget[[#This Row],[LedgerCode]])&gt;0,0,1)</f>
        <v>0</v>
      </c>
      <c r="B159" s="43">
        <f>IF(COUNTIF(Table_System_Grouping_Codes[groupingCodeCode],FinanceCodesBudget[[#This Row],[GroupingCode]])&gt;0,0,1)</f>
        <v>0</v>
      </c>
      <c r="C159" s="43">
        <f>IF(COUNTIF(CUSTGROUP[CustomGroupingCode],FinanceCodesBudget[[#This Row],[CustomGrouping]])&gt;0,0,1)</f>
        <v>0</v>
      </c>
      <c r="D159" s="43" cm="1">
        <f t="array" ref="D159">IF(FinanceCodesBudget[[#This Row],[AvailableToAllSchools]]=TRUE,0,COUNTA(_xlfn.TEXTSPLIT(FinanceCodesBudget[[#This Row],[SchoolCodes]],",",,TRUE))-SUM(COUNTIF(SCHOOLS[SchoolCode],_xlfn.TEXTSPLIT(FinanceCodesBudget[[#This Row],[SchoolCodes]],",",,TRUE))))</f>
        <v>0</v>
      </c>
      <c r="E159" s="43">
        <f>IF(FinanceCodesBudget[[#This Row],[FinanceCodeTypeCode]]="BUDGET",0,COUNTIF(FinanceCodesBudget[FinanceCode],FinanceCodesBudget[[#This Row],[FinanceCode]])-1)</f>
        <v>0</v>
      </c>
      <c r="F159" s="43">
        <f>IF(FinanceCodesBudget[[#This Row],[FinanceCodeTypeCode]]="BUDGET",0,COUNTIF(FinanceCodesBudget[Title],FinanceCodesBudget[[#This Row],[Title]])-1)</f>
        <v>0</v>
      </c>
      <c r="G159" s="43">
        <f>COUNTIF(Lookup!$A$2:$A$7,FinanceCodesBudget[[#This Row],[FinanceCodeTypeCode]])-1</f>
        <v>0</v>
      </c>
      <c r="H159" s="43">
        <f>IF(TRIM(FinanceCodesBudget[[#This Row],[Title]])="",1,0)</f>
        <v>0</v>
      </c>
      <c r="I159" s="43">
        <f>IF(TRIM(FinanceCodesBudget[[#This Row],[FinanceCode]])="",1,0)</f>
        <v>0</v>
      </c>
      <c r="J159" s="43">
        <f>IF(LEN(FinanceCodesBudget[[#This Row],[FinanceCode]])&lt;100,0,1)</f>
        <v>0</v>
      </c>
      <c r="K159" s="43">
        <f>IF(LEN(FinanceCodesBudget[[#This Row],[Title]])&lt;100,0,1)</f>
        <v>0</v>
      </c>
      <c r="L159" s="43">
        <f>IF(ISBLANK(FinanceCodesBudget[[#This Row],[BalanceToScenario]]),1,0)</f>
        <v>0</v>
      </c>
      <c r="M159" s="43">
        <f>SUM(FinanceCodesBudget[[#This Row],[LedgerIssue]:[CustGrIssue]],FinanceCodesBudget[[#This Row],[DupCode]:[Balance to Scenario Blank]])</f>
        <v>0</v>
      </c>
      <c r="N159">
        <v>627100</v>
      </c>
      <c r="O159" t="s">
        <v>2679</v>
      </c>
      <c r="P159" t="s">
        <v>299</v>
      </c>
      <c r="Q159" t="s">
        <v>1981</v>
      </c>
      <c r="R159" t="b">
        <v>0</v>
      </c>
      <c r="S159" t="s">
        <v>2526</v>
      </c>
      <c r="T159" t="s">
        <v>1300</v>
      </c>
      <c r="U159" t="s">
        <v>1532</v>
      </c>
      <c r="V159" t="b">
        <v>1</v>
      </c>
      <c r="W159" t="b">
        <v>0</v>
      </c>
    </row>
    <row r="160" spans="1:23" x14ac:dyDescent="0.3">
      <c r="A160" s="147">
        <f>IF(COUNTIF(LEDGER[LedgerCode],FinanceCodesBudget[[#This Row],[LedgerCode]])&gt;0,0,1)</f>
        <v>0</v>
      </c>
      <c r="B160" s="43">
        <f>IF(COUNTIF(Table_System_Grouping_Codes[groupingCodeCode],FinanceCodesBudget[[#This Row],[GroupingCode]])&gt;0,0,1)</f>
        <v>0</v>
      </c>
      <c r="C160" s="43">
        <f>IF(COUNTIF(CUSTGROUP[CustomGroupingCode],FinanceCodesBudget[[#This Row],[CustomGrouping]])&gt;0,0,1)</f>
        <v>0</v>
      </c>
      <c r="D160" s="43" cm="1">
        <f t="array" ref="D160">IF(FinanceCodesBudget[[#This Row],[AvailableToAllSchools]]=TRUE,0,COUNTA(_xlfn.TEXTSPLIT(FinanceCodesBudget[[#This Row],[SchoolCodes]],",",,TRUE))-SUM(COUNTIF(SCHOOLS[SchoolCode],_xlfn.TEXTSPLIT(FinanceCodesBudget[[#This Row],[SchoolCodes]],",",,TRUE))))</f>
        <v>0</v>
      </c>
      <c r="E160" s="43">
        <f>IF(FinanceCodesBudget[[#This Row],[FinanceCodeTypeCode]]="BUDGET",0,COUNTIF(FinanceCodesBudget[FinanceCode],FinanceCodesBudget[[#This Row],[FinanceCode]])-1)</f>
        <v>0</v>
      </c>
      <c r="F160" s="43">
        <f>IF(FinanceCodesBudget[[#This Row],[FinanceCodeTypeCode]]="BUDGET",0,COUNTIF(FinanceCodesBudget[Title],FinanceCodesBudget[[#This Row],[Title]])-1)</f>
        <v>0</v>
      </c>
      <c r="G160" s="43">
        <f>COUNTIF(Lookup!$A$2:$A$7,FinanceCodesBudget[[#This Row],[FinanceCodeTypeCode]])-1</f>
        <v>0</v>
      </c>
      <c r="H160" s="43">
        <f>IF(TRIM(FinanceCodesBudget[[#This Row],[Title]])="",1,0)</f>
        <v>0</v>
      </c>
      <c r="I160" s="43">
        <f>IF(TRIM(FinanceCodesBudget[[#This Row],[FinanceCode]])="",1,0)</f>
        <v>0</v>
      </c>
      <c r="J160" s="43">
        <f>IF(LEN(FinanceCodesBudget[[#This Row],[FinanceCode]])&lt;100,0,1)</f>
        <v>0</v>
      </c>
      <c r="K160" s="43">
        <f>IF(LEN(FinanceCodesBudget[[#This Row],[Title]])&lt;100,0,1)</f>
        <v>0</v>
      </c>
      <c r="L160" s="43">
        <f>IF(ISBLANK(FinanceCodesBudget[[#This Row],[BalanceToScenario]]),1,0)</f>
        <v>0</v>
      </c>
      <c r="M160" s="43">
        <f>SUM(FinanceCodesBudget[[#This Row],[LedgerIssue]:[CustGrIssue]],FinanceCodesBudget[[#This Row],[DupCode]:[Balance to Scenario Blank]])</f>
        <v>0</v>
      </c>
      <c r="N160">
        <v>627150</v>
      </c>
      <c r="O160" t="s">
        <v>2680</v>
      </c>
      <c r="P160" t="s">
        <v>301</v>
      </c>
      <c r="Q160" t="s">
        <v>1981</v>
      </c>
      <c r="R160" t="b">
        <v>0</v>
      </c>
      <c r="S160" t="s">
        <v>2526</v>
      </c>
      <c r="T160" t="s">
        <v>1300</v>
      </c>
      <c r="U160" t="s">
        <v>1532</v>
      </c>
      <c r="V160" t="b">
        <v>1</v>
      </c>
      <c r="W160" t="b">
        <v>0</v>
      </c>
    </row>
    <row r="161" spans="1:23" x14ac:dyDescent="0.3">
      <c r="A161" s="147">
        <f>IF(COUNTIF(LEDGER[LedgerCode],FinanceCodesBudget[[#This Row],[LedgerCode]])&gt;0,0,1)</f>
        <v>0</v>
      </c>
      <c r="B161" s="43">
        <f>IF(COUNTIF(Table_System_Grouping_Codes[groupingCodeCode],FinanceCodesBudget[[#This Row],[GroupingCode]])&gt;0,0,1)</f>
        <v>0</v>
      </c>
      <c r="C161" s="43">
        <f>IF(COUNTIF(CUSTGROUP[CustomGroupingCode],FinanceCodesBudget[[#This Row],[CustomGrouping]])&gt;0,0,1)</f>
        <v>0</v>
      </c>
      <c r="D161" s="43" cm="1">
        <f t="array" ref="D161">IF(FinanceCodesBudget[[#This Row],[AvailableToAllSchools]]=TRUE,0,COUNTA(_xlfn.TEXTSPLIT(FinanceCodesBudget[[#This Row],[SchoolCodes]],",",,TRUE))-SUM(COUNTIF(SCHOOLS[SchoolCode],_xlfn.TEXTSPLIT(FinanceCodesBudget[[#This Row],[SchoolCodes]],",",,TRUE))))</f>
        <v>0</v>
      </c>
      <c r="E161" s="43">
        <f>IF(FinanceCodesBudget[[#This Row],[FinanceCodeTypeCode]]="BUDGET",0,COUNTIF(FinanceCodesBudget[FinanceCode],FinanceCodesBudget[[#This Row],[FinanceCode]])-1)</f>
        <v>0</v>
      </c>
      <c r="F161" s="43">
        <f>IF(FinanceCodesBudget[[#This Row],[FinanceCodeTypeCode]]="BUDGET",0,COUNTIF(FinanceCodesBudget[Title],FinanceCodesBudget[[#This Row],[Title]])-1)</f>
        <v>0</v>
      </c>
      <c r="G161" s="43">
        <f>COUNTIF(Lookup!$A$2:$A$7,FinanceCodesBudget[[#This Row],[FinanceCodeTypeCode]])-1</f>
        <v>0</v>
      </c>
      <c r="H161" s="43">
        <f>IF(TRIM(FinanceCodesBudget[[#This Row],[Title]])="",1,0)</f>
        <v>0</v>
      </c>
      <c r="I161" s="43">
        <f>IF(TRIM(FinanceCodesBudget[[#This Row],[FinanceCode]])="",1,0)</f>
        <v>0</v>
      </c>
      <c r="J161" s="43">
        <f>IF(LEN(FinanceCodesBudget[[#This Row],[FinanceCode]])&lt;100,0,1)</f>
        <v>0</v>
      </c>
      <c r="K161" s="43">
        <f>IF(LEN(FinanceCodesBudget[[#This Row],[Title]])&lt;100,0,1)</f>
        <v>0</v>
      </c>
      <c r="L161" s="43">
        <f>IF(ISBLANK(FinanceCodesBudget[[#This Row],[BalanceToScenario]]),1,0)</f>
        <v>0</v>
      </c>
      <c r="M161" s="43">
        <f>SUM(FinanceCodesBudget[[#This Row],[LedgerIssue]:[CustGrIssue]],FinanceCodesBudget[[#This Row],[DupCode]:[Balance to Scenario Blank]])</f>
        <v>0</v>
      </c>
      <c r="N161">
        <v>627200</v>
      </c>
      <c r="O161" t="s">
        <v>2681</v>
      </c>
      <c r="P161" t="s">
        <v>303</v>
      </c>
      <c r="Q161" t="s">
        <v>1981</v>
      </c>
      <c r="R161" t="b">
        <v>0</v>
      </c>
      <c r="S161" t="s">
        <v>2526</v>
      </c>
      <c r="T161" t="s">
        <v>1300</v>
      </c>
      <c r="U161" t="s">
        <v>1532</v>
      </c>
      <c r="V161" t="b">
        <v>1</v>
      </c>
      <c r="W161" t="b">
        <v>0</v>
      </c>
    </row>
    <row r="162" spans="1:23" x14ac:dyDescent="0.3">
      <c r="A162" s="147">
        <f>IF(COUNTIF(LEDGER[LedgerCode],FinanceCodesBudget[[#This Row],[LedgerCode]])&gt;0,0,1)</f>
        <v>0</v>
      </c>
      <c r="B162" s="43">
        <f>IF(COUNTIF(Table_System_Grouping_Codes[groupingCodeCode],FinanceCodesBudget[[#This Row],[GroupingCode]])&gt;0,0,1)</f>
        <v>0</v>
      </c>
      <c r="C162" s="43">
        <f>IF(COUNTIF(CUSTGROUP[CustomGroupingCode],FinanceCodesBudget[[#This Row],[CustomGrouping]])&gt;0,0,1)</f>
        <v>0</v>
      </c>
      <c r="D162" s="43" cm="1">
        <f t="array" ref="D162">IF(FinanceCodesBudget[[#This Row],[AvailableToAllSchools]]=TRUE,0,COUNTA(_xlfn.TEXTSPLIT(FinanceCodesBudget[[#This Row],[SchoolCodes]],",",,TRUE))-SUM(COUNTIF(SCHOOLS[SchoolCode],_xlfn.TEXTSPLIT(FinanceCodesBudget[[#This Row],[SchoolCodes]],",",,TRUE))))</f>
        <v>0</v>
      </c>
      <c r="E162" s="43">
        <f>IF(FinanceCodesBudget[[#This Row],[FinanceCodeTypeCode]]="BUDGET",0,COUNTIF(FinanceCodesBudget[FinanceCode],FinanceCodesBudget[[#This Row],[FinanceCode]])-1)</f>
        <v>0</v>
      </c>
      <c r="F162" s="43">
        <f>IF(FinanceCodesBudget[[#This Row],[FinanceCodeTypeCode]]="BUDGET",0,COUNTIF(FinanceCodesBudget[Title],FinanceCodesBudget[[#This Row],[Title]])-1)</f>
        <v>0</v>
      </c>
      <c r="G162" s="43">
        <f>COUNTIF(Lookup!$A$2:$A$7,FinanceCodesBudget[[#This Row],[FinanceCodeTypeCode]])-1</f>
        <v>0</v>
      </c>
      <c r="H162" s="43">
        <f>IF(TRIM(FinanceCodesBudget[[#This Row],[Title]])="",1,0)</f>
        <v>0</v>
      </c>
      <c r="I162" s="43">
        <f>IF(TRIM(FinanceCodesBudget[[#This Row],[FinanceCode]])="",1,0)</f>
        <v>0</v>
      </c>
      <c r="J162" s="43">
        <f>IF(LEN(FinanceCodesBudget[[#This Row],[FinanceCode]])&lt;100,0,1)</f>
        <v>0</v>
      </c>
      <c r="K162" s="43">
        <f>IF(LEN(FinanceCodesBudget[[#This Row],[Title]])&lt;100,0,1)</f>
        <v>0</v>
      </c>
      <c r="L162" s="43">
        <f>IF(ISBLANK(FinanceCodesBudget[[#This Row],[BalanceToScenario]]),1,0)</f>
        <v>0</v>
      </c>
      <c r="M162" s="43">
        <f>SUM(FinanceCodesBudget[[#This Row],[LedgerIssue]:[CustGrIssue]],FinanceCodesBudget[[#This Row],[DupCode]:[Balance to Scenario Blank]])</f>
        <v>0</v>
      </c>
      <c r="N162">
        <v>627300</v>
      </c>
      <c r="O162" t="s">
        <v>2682</v>
      </c>
      <c r="P162" t="s">
        <v>305</v>
      </c>
      <c r="Q162" t="s">
        <v>1981</v>
      </c>
      <c r="R162" t="b">
        <v>0</v>
      </c>
      <c r="S162" t="s">
        <v>2526</v>
      </c>
      <c r="T162" t="s">
        <v>1300</v>
      </c>
      <c r="U162" t="s">
        <v>1532</v>
      </c>
      <c r="V162" t="b">
        <v>1</v>
      </c>
      <c r="W162" t="b">
        <v>0</v>
      </c>
    </row>
    <row r="163" spans="1:23" x14ac:dyDescent="0.3">
      <c r="A163" s="147">
        <f>IF(COUNTIF(LEDGER[LedgerCode],FinanceCodesBudget[[#This Row],[LedgerCode]])&gt;0,0,1)</f>
        <v>0</v>
      </c>
      <c r="B163" s="43">
        <f>IF(COUNTIF(Table_System_Grouping_Codes[groupingCodeCode],FinanceCodesBudget[[#This Row],[GroupingCode]])&gt;0,0,1)</f>
        <v>0</v>
      </c>
      <c r="C163" s="43">
        <f>IF(COUNTIF(CUSTGROUP[CustomGroupingCode],FinanceCodesBudget[[#This Row],[CustomGrouping]])&gt;0,0,1)</f>
        <v>0</v>
      </c>
      <c r="D163" s="43" cm="1">
        <f t="array" ref="D163">IF(FinanceCodesBudget[[#This Row],[AvailableToAllSchools]]=TRUE,0,COUNTA(_xlfn.TEXTSPLIT(FinanceCodesBudget[[#This Row],[SchoolCodes]],",",,TRUE))-SUM(COUNTIF(SCHOOLS[SchoolCode],_xlfn.TEXTSPLIT(FinanceCodesBudget[[#This Row],[SchoolCodes]],",",,TRUE))))</f>
        <v>0</v>
      </c>
      <c r="E163" s="43">
        <f>IF(FinanceCodesBudget[[#This Row],[FinanceCodeTypeCode]]="BUDGET",0,COUNTIF(FinanceCodesBudget[FinanceCode],FinanceCodesBudget[[#This Row],[FinanceCode]])-1)</f>
        <v>0</v>
      </c>
      <c r="F163" s="43">
        <f>IF(FinanceCodesBudget[[#This Row],[FinanceCodeTypeCode]]="BUDGET",0,COUNTIF(FinanceCodesBudget[Title],FinanceCodesBudget[[#This Row],[Title]])-1)</f>
        <v>0</v>
      </c>
      <c r="G163" s="43">
        <f>COUNTIF(Lookup!$A$2:$A$7,FinanceCodesBudget[[#This Row],[FinanceCodeTypeCode]])-1</f>
        <v>0</v>
      </c>
      <c r="H163" s="43">
        <f>IF(TRIM(FinanceCodesBudget[[#This Row],[Title]])="",1,0)</f>
        <v>0</v>
      </c>
      <c r="I163" s="43">
        <f>IF(TRIM(FinanceCodesBudget[[#This Row],[FinanceCode]])="",1,0)</f>
        <v>0</v>
      </c>
      <c r="J163" s="43">
        <f>IF(LEN(FinanceCodesBudget[[#This Row],[FinanceCode]])&lt;100,0,1)</f>
        <v>0</v>
      </c>
      <c r="K163" s="43">
        <f>IF(LEN(FinanceCodesBudget[[#This Row],[Title]])&lt;100,0,1)</f>
        <v>0</v>
      </c>
      <c r="L163" s="43">
        <f>IF(ISBLANK(FinanceCodesBudget[[#This Row],[BalanceToScenario]]),1,0)</f>
        <v>0</v>
      </c>
      <c r="M163" s="43">
        <f>SUM(FinanceCodesBudget[[#This Row],[LedgerIssue]:[CustGrIssue]],FinanceCodesBudget[[#This Row],[DupCode]:[Balance to Scenario Blank]])</f>
        <v>0</v>
      </c>
      <c r="N163">
        <v>630100</v>
      </c>
      <c r="O163" t="s">
        <v>2683</v>
      </c>
      <c r="P163" t="s">
        <v>307</v>
      </c>
      <c r="Q163" t="s">
        <v>1981</v>
      </c>
      <c r="R163" t="b">
        <v>0</v>
      </c>
      <c r="S163" t="s">
        <v>2526</v>
      </c>
      <c r="T163" t="s">
        <v>1300</v>
      </c>
      <c r="U163" t="s">
        <v>1532</v>
      </c>
      <c r="V163" t="b">
        <v>1</v>
      </c>
      <c r="W163" t="b">
        <v>0</v>
      </c>
    </row>
    <row r="164" spans="1:23" x14ac:dyDescent="0.3">
      <c r="A164" s="147">
        <f>IF(COUNTIF(LEDGER[LedgerCode],FinanceCodesBudget[[#This Row],[LedgerCode]])&gt;0,0,1)</f>
        <v>0</v>
      </c>
      <c r="B164" s="43">
        <f>IF(COUNTIF(Table_System_Grouping_Codes[groupingCodeCode],FinanceCodesBudget[[#This Row],[GroupingCode]])&gt;0,0,1)</f>
        <v>0</v>
      </c>
      <c r="C164" s="43">
        <f>IF(COUNTIF(CUSTGROUP[CustomGroupingCode],FinanceCodesBudget[[#This Row],[CustomGrouping]])&gt;0,0,1)</f>
        <v>0</v>
      </c>
      <c r="D164" s="43" cm="1">
        <f t="array" ref="D164">IF(FinanceCodesBudget[[#This Row],[AvailableToAllSchools]]=TRUE,0,COUNTA(_xlfn.TEXTSPLIT(FinanceCodesBudget[[#This Row],[SchoolCodes]],",",,TRUE))-SUM(COUNTIF(SCHOOLS[SchoolCode],_xlfn.TEXTSPLIT(FinanceCodesBudget[[#This Row],[SchoolCodes]],",",,TRUE))))</f>
        <v>0</v>
      </c>
      <c r="E164" s="43">
        <f>IF(FinanceCodesBudget[[#This Row],[FinanceCodeTypeCode]]="BUDGET",0,COUNTIF(FinanceCodesBudget[FinanceCode],FinanceCodesBudget[[#This Row],[FinanceCode]])-1)</f>
        <v>0</v>
      </c>
      <c r="F164" s="43">
        <f>IF(FinanceCodesBudget[[#This Row],[FinanceCodeTypeCode]]="BUDGET",0,COUNTIF(FinanceCodesBudget[Title],FinanceCodesBudget[[#This Row],[Title]])-1)</f>
        <v>0</v>
      </c>
      <c r="G164" s="43">
        <f>COUNTIF(Lookup!$A$2:$A$7,FinanceCodesBudget[[#This Row],[FinanceCodeTypeCode]])-1</f>
        <v>0</v>
      </c>
      <c r="H164" s="43">
        <f>IF(TRIM(FinanceCodesBudget[[#This Row],[Title]])="",1,0)</f>
        <v>0</v>
      </c>
      <c r="I164" s="43">
        <f>IF(TRIM(FinanceCodesBudget[[#This Row],[FinanceCode]])="",1,0)</f>
        <v>0</v>
      </c>
      <c r="J164" s="43">
        <f>IF(LEN(FinanceCodesBudget[[#This Row],[FinanceCode]])&lt;100,0,1)</f>
        <v>0</v>
      </c>
      <c r="K164" s="43">
        <f>IF(LEN(FinanceCodesBudget[[#This Row],[Title]])&lt;100,0,1)</f>
        <v>0</v>
      </c>
      <c r="L164" s="43">
        <f>IF(ISBLANK(FinanceCodesBudget[[#This Row],[BalanceToScenario]]),1,0)</f>
        <v>0</v>
      </c>
      <c r="M164" s="43">
        <f>SUM(FinanceCodesBudget[[#This Row],[LedgerIssue]:[CustGrIssue]],FinanceCodesBudget[[#This Row],[DupCode]:[Balance to Scenario Blank]])</f>
        <v>0</v>
      </c>
      <c r="N164">
        <v>630150</v>
      </c>
      <c r="O164" t="s">
        <v>2684</v>
      </c>
      <c r="P164" t="s">
        <v>309</v>
      </c>
      <c r="Q164" t="s">
        <v>1981</v>
      </c>
      <c r="R164" t="b">
        <v>0</v>
      </c>
      <c r="S164" t="s">
        <v>2526</v>
      </c>
      <c r="T164" t="s">
        <v>1300</v>
      </c>
      <c r="U164" t="s">
        <v>1532</v>
      </c>
      <c r="V164" t="b">
        <v>1</v>
      </c>
      <c r="W164" t="b">
        <v>0</v>
      </c>
    </row>
    <row r="165" spans="1:23" x14ac:dyDescent="0.3">
      <c r="A165" s="147">
        <f>IF(COUNTIF(LEDGER[LedgerCode],FinanceCodesBudget[[#This Row],[LedgerCode]])&gt;0,0,1)</f>
        <v>0</v>
      </c>
      <c r="B165" s="43">
        <f>IF(COUNTIF(Table_System_Grouping_Codes[groupingCodeCode],FinanceCodesBudget[[#This Row],[GroupingCode]])&gt;0,0,1)</f>
        <v>0</v>
      </c>
      <c r="C165" s="43">
        <f>IF(COUNTIF(CUSTGROUP[CustomGroupingCode],FinanceCodesBudget[[#This Row],[CustomGrouping]])&gt;0,0,1)</f>
        <v>0</v>
      </c>
      <c r="D165" s="43" cm="1">
        <f t="array" ref="D165">IF(FinanceCodesBudget[[#This Row],[AvailableToAllSchools]]=TRUE,0,COUNTA(_xlfn.TEXTSPLIT(FinanceCodesBudget[[#This Row],[SchoolCodes]],",",,TRUE))-SUM(COUNTIF(SCHOOLS[SchoolCode],_xlfn.TEXTSPLIT(FinanceCodesBudget[[#This Row],[SchoolCodes]],",",,TRUE))))</f>
        <v>0</v>
      </c>
      <c r="E165" s="43">
        <f>IF(FinanceCodesBudget[[#This Row],[FinanceCodeTypeCode]]="BUDGET",0,COUNTIF(FinanceCodesBudget[FinanceCode],FinanceCodesBudget[[#This Row],[FinanceCode]])-1)</f>
        <v>0</v>
      </c>
      <c r="F165" s="43">
        <f>IF(FinanceCodesBudget[[#This Row],[FinanceCodeTypeCode]]="BUDGET",0,COUNTIF(FinanceCodesBudget[Title],FinanceCodesBudget[[#This Row],[Title]])-1)</f>
        <v>0</v>
      </c>
      <c r="G165" s="43">
        <f>COUNTIF(Lookup!$A$2:$A$7,FinanceCodesBudget[[#This Row],[FinanceCodeTypeCode]])-1</f>
        <v>0</v>
      </c>
      <c r="H165" s="43">
        <f>IF(TRIM(FinanceCodesBudget[[#This Row],[Title]])="",1,0)</f>
        <v>0</v>
      </c>
      <c r="I165" s="43">
        <f>IF(TRIM(FinanceCodesBudget[[#This Row],[FinanceCode]])="",1,0)</f>
        <v>0</v>
      </c>
      <c r="J165" s="43">
        <f>IF(LEN(FinanceCodesBudget[[#This Row],[FinanceCode]])&lt;100,0,1)</f>
        <v>0</v>
      </c>
      <c r="K165" s="43">
        <f>IF(LEN(FinanceCodesBudget[[#This Row],[Title]])&lt;100,0,1)</f>
        <v>0</v>
      </c>
      <c r="L165" s="43">
        <f>IF(ISBLANK(FinanceCodesBudget[[#This Row],[BalanceToScenario]]),1,0)</f>
        <v>0</v>
      </c>
      <c r="M165" s="43">
        <f>SUM(FinanceCodesBudget[[#This Row],[LedgerIssue]:[CustGrIssue]],FinanceCodesBudget[[#This Row],[DupCode]:[Balance to Scenario Blank]])</f>
        <v>0</v>
      </c>
      <c r="N165">
        <v>630200</v>
      </c>
      <c r="O165" t="s">
        <v>2685</v>
      </c>
      <c r="P165" t="s">
        <v>311</v>
      </c>
      <c r="Q165" t="s">
        <v>1981</v>
      </c>
      <c r="R165" t="b">
        <v>0</v>
      </c>
      <c r="S165" t="s">
        <v>2526</v>
      </c>
      <c r="T165" t="s">
        <v>1300</v>
      </c>
      <c r="U165" t="s">
        <v>1532</v>
      </c>
      <c r="V165" t="b">
        <v>1</v>
      </c>
      <c r="W165" t="b">
        <v>0</v>
      </c>
    </row>
    <row r="166" spans="1:23" x14ac:dyDescent="0.3">
      <c r="A166" s="147">
        <f>IF(COUNTIF(LEDGER[LedgerCode],FinanceCodesBudget[[#This Row],[LedgerCode]])&gt;0,0,1)</f>
        <v>0</v>
      </c>
      <c r="B166" s="43">
        <f>IF(COUNTIF(Table_System_Grouping_Codes[groupingCodeCode],FinanceCodesBudget[[#This Row],[GroupingCode]])&gt;0,0,1)</f>
        <v>0</v>
      </c>
      <c r="C166" s="43">
        <f>IF(COUNTIF(CUSTGROUP[CustomGroupingCode],FinanceCodesBudget[[#This Row],[CustomGrouping]])&gt;0,0,1)</f>
        <v>0</v>
      </c>
      <c r="D166" s="43" cm="1">
        <f t="array" ref="D166">IF(FinanceCodesBudget[[#This Row],[AvailableToAllSchools]]=TRUE,0,COUNTA(_xlfn.TEXTSPLIT(FinanceCodesBudget[[#This Row],[SchoolCodes]],",",,TRUE))-SUM(COUNTIF(SCHOOLS[SchoolCode],_xlfn.TEXTSPLIT(FinanceCodesBudget[[#This Row],[SchoolCodes]],",",,TRUE))))</f>
        <v>0</v>
      </c>
      <c r="E166" s="43">
        <f>IF(FinanceCodesBudget[[#This Row],[FinanceCodeTypeCode]]="BUDGET",0,COUNTIF(FinanceCodesBudget[FinanceCode],FinanceCodesBudget[[#This Row],[FinanceCode]])-1)</f>
        <v>0</v>
      </c>
      <c r="F166" s="43">
        <f>IF(FinanceCodesBudget[[#This Row],[FinanceCodeTypeCode]]="BUDGET",0,COUNTIF(FinanceCodesBudget[Title],FinanceCodesBudget[[#This Row],[Title]])-1)</f>
        <v>0</v>
      </c>
      <c r="G166" s="43">
        <f>COUNTIF(Lookup!$A$2:$A$7,FinanceCodesBudget[[#This Row],[FinanceCodeTypeCode]])-1</f>
        <v>0</v>
      </c>
      <c r="H166" s="43">
        <f>IF(TRIM(FinanceCodesBudget[[#This Row],[Title]])="",1,0)</f>
        <v>0</v>
      </c>
      <c r="I166" s="43">
        <f>IF(TRIM(FinanceCodesBudget[[#This Row],[FinanceCode]])="",1,0)</f>
        <v>0</v>
      </c>
      <c r="J166" s="43">
        <f>IF(LEN(FinanceCodesBudget[[#This Row],[FinanceCode]])&lt;100,0,1)</f>
        <v>0</v>
      </c>
      <c r="K166" s="43">
        <f>IF(LEN(FinanceCodesBudget[[#This Row],[Title]])&lt;100,0,1)</f>
        <v>0</v>
      </c>
      <c r="L166" s="43">
        <f>IF(ISBLANK(FinanceCodesBudget[[#This Row],[BalanceToScenario]]),1,0)</f>
        <v>0</v>
      </c>
      <c r="M166" s="43">
        <f>SUM(FinanceCodesBudget[[#This Row],[LedgerIssue]:[CustGrIssue]],FinanceCodesBudget[[#This Row],[DupCode]:[Balance to Scenario Blank]])</f>
        <v>0</v>
      </c>
      <c r="N166">
        <v>630300</v>
      </c>
      <c r="O166" t="s">
        <v>2686</v>
      </c>
      <c r="P166" t="s">
        <v>313</v>
      </c>
      <c r="Q166" t="s">
        <v>1981</v>
      </c>
      <c r="R166" t="b">
        <v>0</v>
      </c>
      <c r="S166" t="s">
        <v>2526</v>
      </c>
      <c r="T166" t="s">
        <v>1300</v>
      </c>
      <c r="U166" t="s">
        <v>1532</v>
      </c>
      <c r="V166" t="b">
        <v>1</v>
      </c>
      <c r="W166" t="b">
        <v>0</v>
      </c>
    </row>
    <row r="167" spans="1:23" x14ac:dyDescent="0.3">
      <c r="A167" s="147">
        <f>IF(COUNTIF(LEDGER[LedgerCode],FinanceCodesBudget[[#This Row],[LedgerCode]])&gt;0,0,1)</f>
        <v>0</v>
      </c>
      <c r="B167" s="43">
        <f>IF(COUNTIF(Table_System_Grouping_Codes[groupingCodeCode],FinanceCodesBudget[[#This Row],[GroupingCode]])&gt;0,0,1)</f>
        <v>0</v>
      </c>
      <c r="C167" s="43">
        <f>IF(COUNTIF(CUSTGROUP[CustomGroupingCode],FinanceCodesBudget[[#This Row],[CustomGrouping]])&gt;0,0,1)</f>
        <v>0</v>
      </c>
      <c r="D167" s="43" cm="1">
        <f t="array" ref="D167">IF(FinanceCodesBudget[[#This Row],[AvailableToAllSchools]]=TRUE,0,COUNTA(_xlfn.TEXTSPLIT(FinanceCodesBudget[[#This Row],[SchoolCodes]],",",,TRUE))-SUM(COUNTIF(SCHOOLS[SchoolCode],_xlfn.TEXTSPLIT(FinanceCodesBudget[[#This Row],[SchoolCodes]],",",,TRUE))))</f>
        <v>0</v>
      </c>
      <c r="E167" s="43">
        <f>IF(FinanceCodesBudget[[#This Row],[FinanceCodeTypeCode]]="BUDGET",0,COUNTIF(FinanceCodesBudget[FinanceCode],FinanceCodesBudget[[#This Row],[FinanceCode]])-1)</f>
        <v>0</v>
      </c>
      <c r="F167" s="43">
        <f>IF(FinanceCodesBudget[[#This Row],[FinanceCodeTypeCode]]="BUDGET",0,COUNTIF(FinanceCodesBudget[Title],FinanceCodesBudget[[#This Row],[Title]])-1)</f>
        <v>0</v>
      </c>
      <c r="G167" s="43">
        <f>COUNTIF(Lookup!$A$2:$A$7,FinanceCodesBudget[[#This Row],[FinanceCodeTypeCode]])-1</f>
        <v>0</v>
      </c>
      <c r="H167" s="43">
        <f>IF(TRIM(FinanceCodesBudget[[#This Row],[Title]])="",1,0)</f>
        <v>0</v>
      </c>
      <c r="I167" s="43">
        <f>IF(TRIM(FinanceCodesBudget[[#This Row],[FinanceCode]])="",1,0)</f>
        <v>0</v>
      </c>
      <c r="J167" s="43">
        <f>IF(LEN(FinanceCodesBudget[[#This Row],[FinanceCode]])&lt;100,0,1)</f>
        <v>0</v>
      </c>
      <c r="K167" s="43">
        <f>IF(LEN(FinanceCodesBudget[[#This Row],[Title]])&lt;100,0,1)</f>
        <v>0</v>
      </c>
      <c r="L167" s="43">
        <f>IF(ISBLANK(FinanceCodesBudget[[#This Row],[BalanceToScenario]]),1,0)</f>
        <v>0</v>
      </c>
      <c r="M167" s="43">
        <f>SUM(FinanceCodesBudget[[#This Row],[LedgerIssue]:[CustGrIssue]],FinanceCodesBudget[[#This Row],[DupCode]:[Balance to Scenario Blank]])</f>
        <v>0</v>
      </c>
      <c r="N167">
        <v>632100</v>
      </c>
      <c r="O167" t="s">
        <v>2687</v>
      </c>
      <c r="P167" t="s">
        <v>315</v>
      </c>
      <c r="Q167" t="s">
        <v>1985</v>
      </c>
      <c r="R167" t="b">
        <v>0</v>
      </c>
      <c r="S167" t="s">
        <v>2526</v>
      </c>
      <c r="T167" t="s">
        <v>1300</v>
      </c>
      <c r="U167" t="s">
        <v>1532</v>
      </c>
      <c r="V167" t="b">
        <v>1</v>
      </c>
      <c r="W167" t="b">
        <v>0</v>
      </c>
    </row>
    <row r="168" spans="1:23" x14ac:dyDescent="0.3">
      <c r="A168" s="147">
        <f>IF(COUNTIF(LEDGER[LedgerCode],FinanceCodesBudget[[#This Row],[LedgerCode]])&gt;0,0,1)</f>
        <v>0</v>
      </c>
      <c r="B168" s="43">
        <f>IF(COUNTIF(Table_System_Grouping_Codes[groupingCodeCode],FinanceCodesBudget[[#This Row],[GroupingCode]])&gt;0,0,1)</f>
        <v>0</v>
      </c>
      <c r="C168" s="43">
        <f>IF(COUNTIF(CUSTGROUP[CustomGroupingCode],FinanceCodesBudget[[#This Row],[CustomGrouping]])&gt;0,0,1)</f>
        <v>0</v>
      </c>
      <c r="D168" s="43" cm="1">
        <f t="array" ref="D168">IF(FinanceCodesBudget[[#This Row],[AvailableToAllSchools]]=TRUE,0,COUNTA(_xlfn.TEXTSPLIT(FinanceCodesBudget[[#This Row],[SchoolCodes]],",",,TRUE))-SUM(COUNTIF(SCHOOLS[SchoolCode],_xlfn.TEXTSPLIT(FinanceCodesBudget[[#This Row],[SchoolCodes]],",",,TRUE))))</f>
        <v>0</v>
      </c>
      <c r="E168" s="43">
        <f>IF(FinanceCodesBudget[[#This Row],[FinanceCodeTypeCode]]="BUDGET",0,COUNTIF(FinanceCodesBudget[FinanceCode],FinanceCodesBudget[[#This Row],[FinanceCode]])-1)</f>
        <v>0</v>
      </c>
      <c r="F168" s="43">
        <f>IF(FinanceCodesBudget[[#This Row],[FinanceCodeTypeCode]]="BUDGET",0,COUNTIF(FinanceCodesBudget[Title],FinanceCodesBudget[[#This Row],[Title]])-1)</f>
        <v>0</v>
      </c>
      <c r="G168" s="43">
        <f>COUNTIF(Lookup!$A$2:$A$7,FinanceCodesBudget[[#This Row],[FinanceCodeTypeCode]])-1</f>
        <v>0</v>
      </c>
      <c r="H168" s="43">
        <f>IF(TRIM(FinanceCodesBudget[[#This Row],[Title]])="",1,0)</f>
        <v>0</v>
      </c>
      <c r="I168" s="43">
        <f>IF(TRIM(FinanceCodesBudget[[#This Row],[FinanceCode]])="",1,0)</f>
        <v>0</v>
      </c>
      <c r="J168" s="43">
        <f>IF(LEN(FinanceCodesBudget[[#This Row],[FinanceCode]])&lt;100,0,1)</f>
        <v>0</v>
      </c>
      <c r="K168" s="43">
        <f>IF(LEN(FinanceCodesBudget[[#This Row],[Title]])&lt;100,0,1)</f>
        <v>0</v>
      </c>
      <c r="L168" s="43">
        <f>IF(ISBLANK(FinanceCodesBudget[[#This Row],[BalanceToScenario]]),1,0)</f>
        <v>0</v>
      </c>
      <c r="M168" s="43">
        <f>SUM(FinanceCodesBudget[[#This Row],[LedgerIssue]:[CustGrIssue]],FinanceCodesBudget[[#This Row],[DupCode]:[Balance to Scenario Blank]])</f>
        <v>0</v>
      </c>
      <c r="N168">
        <v>632150</v>
      </c>
      <c r="O168" t="s">
        <v>2688</v>
      </c>
      <c r="P168" t="s">
        <v>317</v>
      </c>
      <c r="Q168" t="s">
        <v>1985</v>
      </c>
      <c r="R168" t="b">
        <v>0</v>
      </c>
      <c r="S168" t="s">
        <v>2526</v>
      </c>
      <c r="T168" t="s">
        <v>1300</v>
      </c>
      <c r="U168" t="s">
        <v>1532</v>
      </c>
      <c r="V168" t="b">
        <v>1</v>
      </c>
      <c r="W168" t="b">
        <v>0</v>
      </c>
    </row>
    <row r="169" spans="1:23" x14ac:dyDescent="0.3">
      <c r="A169" s="147">
        <f>IF(COUNTIF(LEDGER[LedgerCode],FinanceCodesBudget[[#This Row],[LedgerCode]])&gt;0,0,1)</f>
        <v>0</v>
      </c>
      <c r="B169" s="43">
        <f>IF(COUNTIF(Table_System_Grouping_Codes[groupingCodeCode],FinanceCodesBudget[[#This Row],[GroupingCode]])&gt;0,0,1)</f>
        <v>0</v>
      </c>
      <c r="C169" s="43">
        <f>IF(COUNTIF(CUSTGROUP[CustomGroupingCode],FinanceCodesBudget[[#This Row],[CustomGrouping]])&gt;0,0,1)</f>
        <v>0</v>
      </c>
      <c r="D169" s="43" cm="1">
        <f t="array" ref="D169">IF(FinanceCodesBudget[[#This Row],[AvailableToAllSchools]]=TRUE,0,COUNTA(_xlfn.TEXTSPLIT(FinanceCodesBudget[[#This Row],[SchoolCodes]],",",,TRUE))-SUM(COUNTIF(SCHOOLS[SchoolCode],_xlfn.TEXTSPLIT(FinanceCodesBudget[[#This Row],[SchoolCodes]],",",,TRUE))))</f>
        <v>0</v>
      </c>
      <c r="E169" s="43">
        <f>IF(FinanceCodesBudget[[#This Row],[FinanceCodeTypeCode]]="BUDGET",0,COUNTIF(FinanceCodesBudget[FinanceCode],FinanceCodesBudget[[#This Row],[FinanceCode]])-1)</f>
        <v>0</v>
      </c>
      <c r="F169" s="43">
        <f>IF(FinanceCodesBudget[[#This Row],[FinanceCodeTypeCode]]="BUDGET",0,COUNTIF(FinanceCodesBudget[Title],FinanceCodesBudget[[#This Row],[Title]])-1)</f>
        <v>0</v>
      </c>
      <c r="G169" s="43">
        <f>COUNTIF(Lookup!$A$2:$A$7,FinanceCodesBudget[[#This Row],[FinanceCodeTypeCode]])-1</f>
        <v>0</v>
      </c>
      <c r="H169" s="43">
        <f>IF(TRIM(FinanceCodesBudget[[#This Row],[Title]])="",1,0)</f>
        <v>0</v>
      </c>
      <c r="I169" s="43">
        <f>IF(TRIM(FinanceCodesBudget[[#This Row],[FinanceCode]])="",1,0)</f>
        <v>0</v>
      </c>
      <c r="J169" s="43">
        <f>IF(LEN(FinanceCodesBudget[[#This Row],[FinanceCode]])&lt;100,0,1)</f>
        <v>0</v>
      </c>
      <c r="K169" s="43">
        <f>IF(LEN(FinanceCodesBudget[[#This Row],[Title]])&lt;100,0,1)</f>
        <v>0</v>
      </c>
      <c r="L169" s="43">
        <f>IF(ISBLANK(FinanceCodesBudget[[#This Row],[BalanceToScenario]]),1,0)</f>
        <v>0</v>
      </c>
      <c r="M169" s="43">
        <f>SUM(FinanceCodesBudget[[#This Row],[LedgerIssue]:[CustGrIssue]],FinanceCodesBudget[[#This Row],[DupCode]:[Balance to Scenario Blank]])</f>
        <v>0</v>
      </c>
      <c r="N169">
        <v>632200</v>
      </c>
      <c r="O169" t="s">
        <v>2689</v>
      </c>
      <c r="P169" t="s">
        <v>319</v>
      </c>
      <c r="Q169" t="s">
        <v>1985</v>
      </c>
      <c r="R169" t="b">
        <v>0</v>
      </c>
      <c r="S169" t="s">
        <v>2526</v>
      </c>
      <c r="T169" t="s">
        <v>1300</v>
      </c>
      <c r="U169" t="s">
        <v>1532</v>
      </c>
      <c r="V169" t="b">
        <v>1</v>
      </c>
      <c r="W169" t="b">
        <v>0</v>
      </c>
    </row>
    <row r="170" spans="1:23" x14ac:dyDescent="0.3">
      <c r="A170" s="147">
        <f>IF(COUNTIF(LEDGER[LedgerCode],FinanceCodesBudget[[#This Row],[LedgerCode]])&gt;0,0,1)</f>
        <v>0</v>
      </c>
      <c r="B170" s="43">
        <f>IF(COUNTIF(Table_System_Grouping_Codes[groupingCodeCode],FinanceCodesBudget[[#This Row],[GroupingCode]])&gt;0,0,1)</f>
        <v>0</v>
      </c>
      <c r="C170" s="43">
        <f>IF(COUNTIF(CUSTGROUP[CustomGroupingCode],FinanceCodesBudget[[#This Row],[CustomGrouping]])&gt;0,0,1)</f>
        <v>0</v>
      </c>
      <c r="D170" s="43" cm="1">
        <f t="array" ref="D170">IF(FinanceCodesBudget[[#This Row],[AvailableToAllSchools]]=TRUE,0,COUNTA(_xlfn.TEXTSPLIT(FinanceCodesBudget[[#This Row],[SchoolCodes]],",",,TRUE))-SUM(COUNTIF(SCHOOLS[SchoolCode],_xlfn.TEXTSPLIT(FinanceCodesBudget[[#This Row],[SchoolCodes]],",",,TRUE))))</f>
        <v>0</v>
      </c>
      <c r="E170" s="43">
        <f>IF(FinanceCodesBudget[[#This Row],[FinanceCodeTypeCode]]="BUDGET",0,COUNTIF(FinanceCodesBudget[FinanceCode],FinanceCodesBudget[[#This Row],[FinanceCode]])-1)</f>
        <v>0</v>
      </c>
      <c r="F170" s="43">
        <f>IF(FinanceCodesBudget[[#This Row],[FinanceCodeTypeCode]]="BUDGET",0,COUNTIF(FinanceCodesBudget[Title],FinanceCodesBudget[[#This Row],[Title]])-1)</f>
        <v>0</v>
      </c>
      <c r="G170" s="43">
        <f>COUNTIF(Lookup!$A$2:$A$7,FinanceCodesBudget[[#This Row],[FinanceCodeTypeCode]])-1</f>
        <v>0</v>
      </c>
      <c r="H170" s="43">
        <f>IF(TRIM(FinanceCodesBudget[[#This Row],[Title]])="",1,0)</f>
        <v>0</v>
      </c>
      <c r="I170" s="43">
        <f>IF(TRIM(FinanceCodesBudget[[#This Row],[FinanceCode]])="",1,0)</f>
        <v>0</v>
      </c>
      <c r="J170" s="43">
        <f>IF(LEN(FinanceCodesBudget[[#This Row],[FinanceCode]])&lt;100,0,1)</f>
        <v>0</v>
      </c>
      <c r="K170" s="43">
        <f>IF(LEN(FinanceCodesBudget[[#This Row],[Title]])&lt;100,0,1)</f>
        <v>0</v>
      </c>
      <c r="L170" s="43">
        <f>IF(ISBLANK(FinanceCodesBudget[[#This Row],[BalanceToScenario]]),1,0)</f>
        <v>0</v>
      </c>
      <c r="M170" s="43">
        <f>SUM(FinanceCodesBudget[[#This Row],[LedgerIssue]:[CustGrIssue]],FinanceCodesBudget[[#This Row],[DupCode]:[Balance to Scenario Blank]])</f>
        <v>0</v>
      </c>
      <c r="N170">
        <v>632300</v>
      </c>
      <c r="O170" t="s">
        <v>2690</v>
      </c>
      <c r="P170" t="s">
        <v>321</v>
      </c>
      <c r="Q170" t="s">
        <v>1985</v>
      </c>
      <c r="R170" t="b">
        <v>0</v>
      </c>
      <c r="S170" t="s">
        <v>2526</v>
      </c>
      <c r="T170" t="s">
        <v>1300</v>
      </c>
      <c r="U170" t="s">
        <v>1532</v>
      </c>
      <c r="V170" t="b">
        <v>1</v>
      </c>
      <c r="W170" t="b">
        <v>0</v>
      </c>
    </row>
    <row r="171" spans="1:23" x14ac:dyDescent="0.3">
      <c r="A171" s="147">
        <f>IF(COUNTIF(LEDGER[LedgerCode],FinanceCodesBudget[[#This Row],[LedgerCode]])&gt;0,0,1)</f>
        <v>0</v>
      </c>
      <c r="B171" s="43">
        <f>IF(COUNTIF(Table_System_Grouping_Codes[groupingCodeCode],FinanceCodesBudget[[#This Row],[GroupingCode]])&gt;0,0,1)</f>
        <v>0</v>
      </c>
      <c r="C171" s="43">
        <f>IF(COUNTIF(CUSTGROUP[CustomGroupingCode],FinanceCodesBudget[[#This Row],[CustomGrouping]])&gt;0,0,1)</f>
        <v>0</v>
      </c>
      <c r="D171" s="43" cm="1">
        <f t="array" ref="D171">IF(FinanceCodesBudget[[#This Row],[AvailableToAllSchools]]=TRUE,0,COUNTA(_xlfn.TEXTSPLIT(FinanceCodesBudget[[#This Row],[SchoolCodes]],",",,TRUE))-SUM(COUNTIF(SCHOOLS[SchoolCode],_xlfn.TEXTSPLIT(FinanceCodesBudget[[#This Row],[SchoolCodes]],",",,TRUE))))</f>
        <v>0</v>
      </c>
      <c r="E171" s="43">
        <f>IF(FinanceCodesBudget[[#This Row],[FinanceCodeTypeCode]]="BUDGET",0,COUNTIF(FinanceCodesBudget[FinanceCode],FinanceCodesBudget[[#This Row],[FinanceCode]])-1)</f>
        <v>0</v>
      </c>
      <c r="F171" s="43">
        <f>IF(FinanceCodesBudget[[#This Row],[FinanceCodeTypeCode]]="BUDGET",0,COUNTIF(FinanceCodesBudget[Title],FinanceCodesBudget[[#This Row],[Title]])-1)</f>
        <v>0</v>
      </c>
      <c r="G171" s="43">
        <f>COUNTIF(Lookup!$A$2:$A$7,FinanceCodesBudget[[#This Row],[FinanceCodeTypeCode]])-1</f>
        <v>0</v>
      </c>
      <c r="H171" s="43">
        <f>IF(TRIM(FinanceCodesBudget[[#This Row],[Title]])="",1,0)</f>
        <v>0</v>
      </c>
      <c r="I171" s="43">
        <f>IF(TRIM(FinanceCodesBudget[[#This Row],[FinanceCode]])="",1,0)</f>
        <v>0</v>
      </c>
      <c r="J171" s="43">
        <f>IF(LEN(FinanceCodesBudget[[#This Row],[FinanceCode]])&lt;100,0,1)</f>
        <v>0</v>
      </c>
      <c r="K171" s="43">
        <f>IF(LEN(FinanceCodesBudget[[#This Row],[Title]])&lt;100,0,1)</f>
        <v>0</v>
      </c>
      <c r="L171" s="43">
        <f>IF(ISBLANK(FinanceCodesBudget[[#This Row],[BalanceToScenario]]),1,0)</f>
        <v>0</v>
      </c>
      <c r="M171" s="43">
        <f>SUM(FinanceCodesBudget[[#This Row],[LedgerIssue]:[CustGrIssue]],FinanceCodesBudget[[#This Row],[DupCode]:[Balance to Scenario Blank]])</f>
        <v>0</v>
      </c>
      <c r="N171">
        <v>635100</v>
      </c>
      <c r="O171" t="s">
        <v>2691</v>
      </c>
      <c r="P171" t="s">
        <v>323</v>
      </c>
      <c r="Q171" t="s">
        <v>1985</v>
      </c>
      <c r="R171" t="b">
        <v>0</v>
      </c>
      <c r="S171" t="s">
        <v>2526</v>
      </c>
      <c r="T171" t="s">
        <v>1300</v>
      </c>
      <c r="U171" t="s">
        <v>1532</v>
      </c>
      <c r="V171" t="b">
        <v>1</v>
      </c>
      <c r="W171" t="b">
        <v>0</v>
      </c>
    </row>
    <row r="172" spans="1:23" x14ac:dyDescent="0.3">
      <c r="A172" s="147">
        <f>IF(COUNTIF(LEDGER[LedgerCode],FinanceCodesBudget[[#This Row],[LedgerCode]])&gt;0,0,1)</f>
        <v>0</v>
      </c>
      <c r="B172" s="43">
        <f>IF(COUNTIF(Table_System_Grouping_Codes[groupingCodeCode],FinanceCodesBudget[[#This Row],[GroupingCode]])&gt;0,0,1)</f>
        <v>0</v>
      </c>
      <c r="C172" s="43">
        <f>IF(COUNTIF(CUSTGROUP[CustomGroupingCode],FinanceCodesBudget[[#This Row],[CustomGrouping]])&gt;0,0,1)</f>
        <v>0</v>
      </c>
      <c r="D172" s="43" cm="1">
        <f t="array" ref="D172">IF(FinanceCodesBudget[[#This Row],[AvailableToAllSchools]]=TRUE,0,COUNTA(_xlfn.TEXTSPLIT(FinanceCodesBudget[[#This Row],[SchoolCodes]],",",,TRUE))-SUM(COUNTIF(SCHOOLS[SchoolCode],_xlfn.TEXTSPLIT(FinanceCodesBudget[[#This Row],[SchoolCodes]],",",,TRUE))))</f>
        <v>0</v>
      </c>
      <c r="E172" s="43">
        <f>IF(FinanceCodesBudget[[#This Row],[FinanceCodeTypeCode]]="BUDGET",0,COUNTIF(FinanceCodesBudget[FinanceCode],FinanceCodesBudget[[#This Row],[FinanceCode]])-1)</f>
        <v>0</v>
      </c>
      <c r="F172" s="43">
        <f>IF(FinanceCodesBudget[[#This Row],[FinanceCodeTypeCode]]="BUDGET",0,COUNTIF(FinanceCodesBudget[Title],FinanceCodesBudget[[#This Row],[Title]])-1)</f>
        <v>0</v>
      </c>
      <c r="G172" s="43">
        <f>COUNTIF(Lookup!$A$2:$A$7,FinanceCodesBudget[[#This Row],[FinanceCodeTypeCode]])-1</f>
        <v>0</v>
      </c>
      <c r="H172" s="43">
        <f>IF(TRIM(FinanceCodesBudget[[#This Row],[Title]])="",1,0)</f>
        <v>0</v>
      </c>
      <c r="I172" s="43">
        <f>IF(TRIM(FinanceCodesBudget[[#This Row],[FinanceCode]])="",1,0)</f>
        <v>0</v>
      </c>
      <c r="J172" s="43">
        <f>IF(LEN(FinanceCodesBudget[[#This Row],[FinanceCode]])&lt;100,0,1)</f>
        <v>0</v>
      </c>
      <c r="K172" s="43">
        <f>IF(LEN(FinanceCodesBudget[[#This Row],[Title]])&lt;100,0,1)</f>
        <v>0</v>
      </c>
      <c r="L172" s="43">
        <f>IF(ISBLANK(FinanceCodesBudget[[#This Row],[BalanceToScenario]]),1,0)</f>
        <v>0</v>
      </c>
      <c r="M172" s="43">
        <f>SUM(FinanceCodesBudget[[#This Row],[LedgerIssue]:[CustGrIssue]],FinanceCodesBudget[[#This Row],[DupCode]:[Balance to Scenario Blank]])</f>
        <v>0</v>
      </c>
      <c r="N172">
        <v>635150</v>
      </c>
      <c r="O172" t="s">
        <v>2692</v>
      </c>
      <c r="P172" t="s">
        <v>325</v>
      </c>
      <c r="Q172" t="s">
        <v>1985</v>
      </c>
      <c r="R172" t="b">
        <v>0</v>
      </c>
      <c r="S172" t="s">
        <v>2526</v>
      </c>
      <c r="T172" t="s">
        <v>1300</v>
      </c>
      <c r="U172" t="s">
        <v>1532</v>
      </c>
      <c r="V172" t="b">
        <v>1</v>
      </c>
      <c r="W172" t="b">
        <v>0</v>
      </c>
    </row>
    <row r="173" spans="1:23" x14ac:dyDescent="0.3">
      <c r="A173" s="147">
        <f>IF(COUNTIF(LEDGER[LedgerCode],FinanceCodesBudget[[#This Row],[LedgerCode]])&gt;0,0,1)</f>
        <v>0</v>
      </c>
      <c r="B173" s="43">
        <f>IF(COUNTIF(Table_System_Grouping_Codes[groupingCodeCode],FinanceCodesBudget[[#This Row],[GroupingCode]])&gt;0,0,1)</f>
        <v>0</v>
      </c>
      <c r="C173" s="43">
        <f>IF(COUNTIF(CUSTGROUP[CustomGroupingCode],FinanceCodesBudget[[#This Row],[CustomGrouping]])&gt;0,0,1)</f>
        <v>0</v>
      </c>
      <c r="D173" s="43" cm="1">
        <f t="array" ref="D173">IF(FinanceCodesBudget[[#This Row],[AvailableToAllSchools]]=TRUE,0,COUNTA(_xlfn.TEXTSPLIT(FinanceCodesBudget[[#This Row],[SchoolCodes]],",",,TRUE))-SUM(COUNTIF(SCHOOLS[SchoolCode],_xlfn.TEXTSPLIT(FinanceCodesBudget[[#This Row],[SchoolCodes]],",",,TRUE))))</f>
        <v>0</v>
      </c>
      <c r="E173" s="43">
        <f>IF(FinanceCodesBudget[[#This Row],[FinanceCodeTypeCode]]="BUDGET",0,COUNTIF(FinanceCodesBudget[FinanceCode],FinanceCodesBudget[[#This Row],[FinanceCode]])-1)</f>
        <v>0</v>
      </c>
      <c r="F173" s="43">
        <f>IF(FinanceCodesBudget[[#This Row],[FinanceCodeTypeCode]]="BUDGET",0,COUNTIF(FinanceCodesBudget[Title],FinanceCodesBudget[[#This Row],[Title]])-1)</f>
        <v>0</v>
      </c>
      <c r="G173" s="43">
        <f>COUNTIF(Lookup!$A$2:$A$7,FinanceCodesBudget[[#This Row],[FinanceCodeTypeCode]])-1</f>
        <v>0</v>
      </c>
      <c r="H173" s="43">
        <f>IF(TRIM(FinanceCodesBudget[[#This Row],[Title]])="",1,0)</f>
        <v>0</v>
      </c>
      <c r="I173" s="43">
        <f>IF(TRIM(FinanceCodesBudget[[#This Row],[FinanceCode]])="",1,0)</f>
        <v>0</v>
      </c>
      <c r="J173" s="43">
        <f>IF(LEN(FinanceCodesBudget[[#This Row],[FinanceCode]])&lt;100,0,1)</f>
        <v>0</v>
      </c>
      <c r="K173" s="43">
        <f>IF(LEN(FinanceCodesBudget[[#This Row],[Title]])&lt;100,0,1)</f>
        <v>0</v>
      </c>
      <c r="L173" s="43">
        <f>IF(ISBLANK(FinanceCodesBudget[[#This Row],[BalanceToScenario]]),1,0)</f>
        <v>0</v>
      </c>
      <c r="M173" s="43">
        <f>SUM(FinanceCodesBudget[[#This Row],[LedgerIssue]:[CustGrIssue]],FinanceCodesBudget[[#This Row],[DupCode]:[Balance to Scenario Blank]])</f>
        <v>0</v>
      </c>
      <c r="N173">
        <v>635200</v>
      </c>
      <c r="O173" t="s">
        <v>2693</v>
      </c>
      <c r="P173" t="s">
        <v>327</v>
      </c>
      <c r="Q173" t="s">
        <v>1985</v>
      </c>
      <c r="R173" t="b">
        <v>0</v>
      </c>
      <c r="S173" t="s">
        <v>2526</v>
      </c>
      <c r="T173" t="s">
        <v>1300</v>
      </c>
      <c r="U173" t="s">
        <v>1532</v>
      </c>
      <c r="V173" t="b">
        <v>1</v>
      </c>
      <c r="W173" t="b">
        <v>0</v>
      </c>
    </row>
    <row r="174" spans="1:23" x14ac:dyDescent="0.3">
      <c r="A174" s="147">
        <f>IF(COUNTIF(LEDGER[LedgerCode],FinanceCodesBudget[[#This Row],[LedgerCode]])&gt;0,0,1)</f>
        <v>0</v>
      </c>
      <c r="B174" s="43">
        <f>IF(COUNTIF(Table_System_Grouping_Codes[groupingCodeCode],FinanceCodesBudget[[#This Row],[GroupingCode]])&gt;0,0,1)</f>
        <v>0</v>
      </c>
      <c r="C174" s="43">
        <f>IF(COUNTIF(CUSTGROUP[CustomGroupingCode],FinanceCodesBudget[[#This Row],[CustomGrouping]])&gt;0,0,1)</f>
        <v>0</v>
      </c>
      <c r="D174" s="43" cm="1">
        <f t="array" ref="D174">IF(FinanceCodesBudget[[#This Row],[AvailableToAllSchools]]=TRUE,0,COUNTA(_xlfn.TEXTSPLIT(FinanceCodesBudget[[#This Row],[SchoolCodes]],",",,TRUE))-SUM(COUNTIF(SCHOOLS[SchoolCode],_xlfn.TEXTSPLIT(FinanceCodesBudget[[#This Row],[SchoolCodes]],",",,TRUE))))</f>
        <v>0</v>
      </c>
      <c r="E174" s="43">
        <f>IF(FinanceCodesBudget[[#This Row],[FinanceCodeTypeCode]]="BUDGET",0,COUNTIF(FinanceCodesBudget[FinanceCode],FinanceCodesBudget[[#This Row],[FinanceCode]])-1)</f>
        <v>0</v>
      </c>
      <c r="F174" s="43">
        <f>IF(FinanceCodesBudget[[#This Row],[FinanceCodeTypeCode]]="BUDGET",0,COUNTIF(FinanceCodesBudget[Title],FinanceCodesBudget[[#This Row],[Title]])-1)</f>
        <v>0</v>
      </c>
      <c r="G174" s="43">
        <f>COUNTIF(Lookup!$A$2:$A$7,FinanceCodesBudget[[#This Row],[FinanceCodeTypeCode]])-1</f>
        <v>0</v>
      </c>
      <c r="H174" s="43">
        <f>IF(TRIM(FinanceCodesBudget[[#This Row],[Title]])="",1,0)</f>
        <v>0</v>
      </c>
      <c r="I174" s="43">
        <f>IF(TRIM(FinanceCodesBudget[[#This Row],[FinanceCode]])="",1,0)</f>
        <v>0</v>
      </c>
      <c r="J174" s="43">
        <f>IF(LEN(FinanceCodesBudget[[#This Row],[FinanceCode]])&lt;100,0,1)</f>
        <v>0</v>
      </c>
      <c r="K174" s="43">
        <f>IF(LEN(FinanceCodesBudget[[#This Row],[Title]])&lt;100,0,1)</f>
        <v>0</v>
      </c>
      <c r="L174" s="43">
        <f>IF(ISBLANK(FinanceCodesBudget[[#This Row],[BalanceToScenario]]),1,0)</f>
        <v>0</v>
      </c>
      <c r="M174" s="43">
        <f>SUM(FinanceCodesBudget[[#This Row],[LedgerIssue]:[CustGrIssue]],FinanceCodesBudget[[#This Row],[DupCode]:[Balance to Scenario Blank]])</f>
        <v>0</v>
      </c>
      <c r="N174">
        <v>635300</v>
      </c>
      <c r="O174" t="s">
        <v>2694</v>
      </c>
      <c r="P174" t="s">
        <v>329</v>
      </c>
      <c r="Q174" t="s">
        <v>1985</v>
      </c>
      <c r="R174" t="b">
        <v>0</v>
      </c>
      <c r="S174" t="s">
        <v>2526</v>
      </c>
      <c r="T174" t="s">
        <v>1300</v>
      </c>
      <c r="U174" t="s">
        <v>1532</v>
      </c>
      <c r="V174" t="b">
        <v>1</v>
      </c>
      <c r="W174" t="b">
        <v>0</v>
      </c>
    </row>
    <row r="175" spans="1:23" x14ac:dyDescent="0.3">
      <c r="A175" s="147">
        <f>IF(COUNTIF(LEDGER[LedgerCode],FinanceCodesBudget[[#This Row],[LedgerCode]])&gt;0,0,1)</f>
        <v>0</v>
      </c>
      <c r="B175" s="43">
        <f>IF(COUNTIF(Table_System_Grouping_Codes[groupingCodeCode],FinanceCodesBudget[[#This Row],[GroupingCode]])&gt;0,0,1)</f>
        <v>0</v>
      </c>
      <c r="C175" s="43">
        <f>IF(COUNTIF(CUSTGROUP[CustomGroupingCode],FinanceCodesBudget[[#This Row],[CustomGrouping]])&gt;0,0,1)</f>
        <v>0</v>
      </c>
      <c r="D175" s="43" cm="1">
        <f t="array" ref="D175">IF(FinanceCodesBudget[[#This Row],[AvailableToAllSchools]]=TRUE,0,COUNTA(_xlfn.TEXTSPLIT(FinanceCodesBudget[[#This Row],[SchoolCodes]],",",,TRUE))-SUM(COUNTIF(SCHOOLS[SchoolCode],_xlfn.TEXTSPLIT(FinanceCodesBudget[[#This Row],[SchoolCodes]],",",,TRUE))))</f>
        <v>0</v>
      </c>
      <c r="E175" s="43">
        <f>IF(FinanceCodesBudget[[#This Row],[FinanceCodeTypeCode]]="BUDGET",0,COUNTIF(FinanceCodesBudget[FinanceCode],FinanceCodesBudget[[#This Row],[FinanceCode]])-1)</f>
        <v>0</v>
      </c>
      <c r="F175" s="43">
        <f>IF(FinanceCodesBudget[[#This Row],[FinanceCodeTypeCode]]="BUDGET",0,COUNTIF(FinanceCodesBudget[Title],FinanceCodesBudget[[#This Row],[Title]])-1)</f>
        <v>0</v>
      </c>
      <c r="G175" s="43">
        <f>COUNTIF(Lookup!$A$2:$A$7,FinanceCodesBudget[[#This Row],[FinanceCodeTypeCode]])-1</f>
        <v>0</v>
      </c>
      <c r="H175" s="43">
        <f>IF(TRIM(FinanceCodesBudget[[#This Row],[Title]])="",1,0)</f>
        <v>0</v>
      </c>
      <c r="I175" s="43">
        <f>IF(TRIM(FinanceCodesBudget[[#This Row],[FinanceCode]])="",1,0)</f>
        <v>0</v>
      </c>
      <c r="J175" s="43">
        <f>IF(LEN(FinanceCodesBudget[[#This Row],[FinanceCode]])&lt;100,0,1)</f>
        <v>0</v>
      </c>
      <c r="K175" s="43">
        <f>IF(LEN(FinanceCodesBudget[[#This Row],[Title]])&lt;100,0,1)</f>
        <v>0</v>
      </c>
      <c r="L175" s="43">
        <f>IF(ISBLANK(FinanceCodesBudget[[#This Row],[BalanceToScenario]]),1,0)</f>
        <v>0</v>
      </c>
      <c r="M175" s="43">
        <f>SUM(FinanceCodesBudget[[#This Row],[LedgerIssue]:[CustGrIssue]],FinanceCodesBudget[[#This Row],[DupCode]:[Balance to Scenario Blank]])</f>
        <v>0</v>
      </c>
      <c r="N175">
        <v>637100</v>
      </c>
      <c r="O175" t="s">
        <v>2695</v>
      </c>
      <c r="P175" t="s">
        <v>331</v>
      </c>
      <c r="Q175" t="s">
        <v>1979</v>
      </c>
      <c r="R175" t="b">
        <v>0</v>
      </c>
      <c r="S175" t="s">
        <v>2526</v>
      </c>
      <c r="T175" t="s">
        <v>1300</v>
      </c>
      <c r="U175" t="s">
        <v>1532</v>
      </c>
      <c r="V175" t="b">
        <v>1</v>
      </c>
      <c r="W175" t="b">
        <v>0</v>
      </c>
    </row>
    <row r="176" spans="1:23" x14ac:dyDescent="0.3">
      <c r="A176" s="147">
        <f>IF(COUNTIF(LEDGER[LedgerCode],FinanceCodesBudget[[#This Row],[LedgerCode]])&gt;0,0,1)</f>
        <v>0</v>
      </c>
      <c r="B176" s="43">
        <f>IF(COUNTIF(Table_System_Grouping_Codes[groupingCodeCode],FinanceCodesBudget[[#This Row],[GroupingCode]])&gt;0,0,1)</f>
        <v>0</v>
      </c>
      <c r="C176" s="43">
        <f>IF(COUNTIF(CUSTGROUP[CustomGroupingCode],FinanceCodesBudget[[#This Row],[CustomGrouping]])&gt;0,0,1)</f>
        <v>0</v>
      </c>
      <c r="D176" s="43" cm="1">
        <f t="array" ref="D176">IF(FinanceCodesBudget[[#This Row],[AvailableToAllSchools]]=TRUE,0,COUNTA(_xlfn.TEXTSPLIT(FinanceCodesBudget[[#This Row],[SchoolCodes]],",",,TRUE))-SUM(COUNTIF(SCHOOLS[SchoolCode],_xlfn.TEXTSPLIT(FinanceCodesBudget[[#This Row],[SchoolCodes]],",",,TRUE))))</f>
        <v>0</v>
      </c>
      <c r="E176" s="43">
        <f>IF(FinanceCodesBudget[[#This Row],[FinanceCodeTypeCode]]="BUDGET",0,COUNTIF(FinanceCodesBudget[FinanceCode],FinanceCodesBudget[[#This Row],[FinanceCode]])-1)</f>
        <v>0</v>
      </c>
      <c r="F176" s="43">
        <f>IF(FinanceCodesBudget[[#This Row],[FinanceCodeTypeCode]]="BUDGET",0,COUNTIF(FinanceCodesBudget[Title],FinanceCodesBudget[[#This Row],[Title]])-1)</f>
        <v>0</v>
      </c>
      <c r="G176" s="43">
        <f>COUNTIF(Lookup!$A$2:$A$7,FinanceCodesBudget[[#This Row],[FinanceCodeTypeCode]])-1</f>
        <v>0</v>
      </c>
      <c r="H176" s="43">
        <f>IF(TRIM(FinanceCodesBudget[[#This Row],[Title]])="",1,0)</f>
        <v>0</v>
      </c>
      <c r="I176" s="43">
        <f>IF(TRIM(FinanceCodesBudget[[#This Row],[FinanceCode]])="",1,0)</f>
        <v>0</v>
      </c>
      <c r="J176" s="43">
        <f>IF(LEN(FinanceCodesBudget[[#This Row],[FinanceCode]])&lt;100,0,1)</f>
        <v>0</v>
      </c>
      <c r="K176" s="43">
        <f>IF(LEN(FinanceCodesBudget[[#This Row],[Title]])&lt;100,0,1)</f>
        <v>0</v>
      </c>
      <c r="L176" s="43">
        <f>IF(ISBLANK(FinanceCodesBudget[[#This Row],[BalanceToScenario]]),1,0)</f>
        <v>0</v>
      </c>
      <c r="M176" s="43">
        <f>SUM(FinanceCodesBudget[[#This Row],[LedgerIssue]:[CustGrIssue]],FinanceCodesBudget[[#This Row],[DupCode]:[Balance to Scenario Blank]])</f>
        <v>0</v>
      </c>
      <c r="N176">
        <v>637150</v>
      </c>
      <c r="O176" t="s">
        <v>2696</v>
      </c>
      <c r="P176" t="s">
        <v>333</v>
      </c>
      <c r="Q176" t="s">
        <v>1979</v>
      </c>
      <c r="R176" t="b">
        <v>0</v>
      </c>
      <c r="S176" t="s">
        <v>2526</v>
      </c>
      <c r="T176" t="s">
        <v>1300</v>
      </c>
      <c r="U176" t="s">
        <v>1532</v>
      </c>
      <c r="V176" t="b">
        <v>1</v>
      </c>
      <c r="W176" t="b">
        <v>0</v>
      </c>
    </row>
    <row r="177" spans="1:23" x14ac:dyDescent="0.3">
      <c r="A177" s="147">
        <f>IF(COUNTIF(LEDGER[LedgerCode],FinanceCodesBudget[[#This Row],[LedgerCode]])&gt;0,0,1)</f>
        <v>0</v>
      </c>
      <c r="B177" s="43">
        <f>IF(COUNTIF(Table_System_Grouping_Codes[groupingCodeCode],FinanceCodesBudget[[#This Row],[GroupingCode]])&gt;0,0,1)</f>
        <v>0</v>
      </c>
      <c r="C177" s="43">
        <f>IF(COUNTIF(CUSTGROUP[CustomGroupingCode],FinanceCodesBudget[[#This Row],[CustomGrouping]])&gt;0,0,1)</f>
        <v>0</v>
      </c>
      <c r="D177" s="43" cm="1">
        <f t="array" ref="D177">IF(FinanceCodesBudget[[#This Row],[AvailableToAllSchools]]=TRUE,0,COUNTA(_xlfn.TEXTSPLIT(FinanceCodesBudget[[#This Row],[SchoolCodes]],",",,TRUE))-SUM(COUNTIF(SCHOOLS[SchoolCode],_xlfn.TEXTSPLIT(FinanceCodesBudget[[#This Row],[SchoolCodes]],",",,TRUE))))</f>
        <v>0</v>
      </c>
      <c r="E177" s="43">
        <f>IF(FinanceCodesBudget[[#This Row],[FinanceCodeTypeCode]]="BUDGET",0,COUNTIF(FinanceCodesBudget[FinanceCode],FinanceCodesBudget[[#This Row],[FinanceCode]])-1)</f>
        <v>0</v>
      </c>
      <c r="F177" s="43">
        <f>IF(FinanceCodesBudget[[#This Row],[FinanceCodeTypeCode]]="BUDGET",0,COUNTIF(FinanceCodesBudget[Title],FinanceCodesBudget[[#This Row],[Title]])-1)</f>
        <v>0</v>
      </c>
      <c r="G177" s="43">
        <f>COUNTIF(Lookup!$A$2:$A$7,FinanceCodesBudget[[#This Row],[FinanceCodeTypeCode]])-1</f>
        <v>0</v>
      </c>
      <c r="H177" s="43">
        <f>IF(TRIM(FinanceCodesBudget[[#This Row],[Title]])="",1,0)</f>
        <v>0</v>
      </c>
      <c r="I177" s="43">
        <f>IF(TRIM(FinanceCodesBudget[[#This Row],[FinanceCode]])="",1,0)</f>
        <v>0</v>
      </c>
      <c r="J177" s="43">
        <f>IF(LEN(FinanceCodesBudget[[#This Row],[FinanceCode]])&lt;100,0,1)</f>
        <v>0</v>
      </c>
      <c r="K177" s="43">
        <f>IF(LEN(FinanceCodesBudget[[#This Row],[Title]])&lt;100,0,1)</f>
        <v>0</v>
      </c>
      <c r="L177" s="43">
        <f>IF(ISBLANK(FinanceCodesBudget[[#This Row],[BalanceToScenario]]),1,0)</f>
        <v>0</v>
      </c>
      <c r="M177" s="43">
        <f>SUM(FinanceCodesBudget[[#This Row],[LedgerIssue]:[CustGrIssue]],FinanceCodesBudget[[#This Row],[DupCode]:[Balance to Scenario Blank]])</f>
        <v>0</v>
      </c>
      <c r="N177">
        <v>637200</v>
      </c>
      <c r="O177" t="s">
        <v>2697</v>
      </c>
      <c r="P177" t="s">
        <v>335</v>
      </c>
      <c r="Q177" t="s">
        <v>1979</v>
      </c>
      <c r="R177" t="b">
        <v>0</v>
      </c>
      <c r="S177" t="s">
        <v>2526</v>
      </c>
      <c r="T177" t="s">
        <v>1300</v>
      </c>
      <c r="U177" t="s">
        <v>1532</v>
      </c>
      <c r="V177" t="b">
        <v>1</v>
      </c>
      <c r="W177" t="b">
        <v>0</v>
      </c>
    </row>
    <row r="178" spans="1:23" x14ac:dyDescent="0.3">
      <c r="A178" s="147">
        <f>IF(COUNTIF(LEDGER[LedgerCode],FinanceCodesBudget[[#This Row],[LedgerCode]])&gt;0,0,1)</f>
        <v>0</v>
      </c>
      <c r="B178" s="43">
        <f>IF(COUNTIF(Table_System_Grouping_Codes[groupingCodeCode],FinanceCodesBudget[[#This Row],[GroupingCode]])&gt;0,0,1)</f>
        <v>0</v>
      </c>
      <c r="C178" s="43">
        <f>IF(COUNTIF(CUSTGROUP[CustomGroupingCode],FinanceCodesBudget[[#This Row],[CustomGrouping]])&gt;0,0,1)</f>
        <v>0</v>
      </c>
      <c r="D178" s="43" cm="1">
        <f t="array" ref="D178">IF(FinanceCodesBudget[[#This Row],[AvailableToAllSchools]]=TRUE,0,COUNTA(_xlfn.TEXTSPLIT(FinanceCodesBudget[[#This Row],[SchoolCodes]],",",,TRUE))-SUM(COUNTIF(SCHOOLS[SchoolCode],_xlfn.TEXTSPLIT(FinanceCodesBudget[[#This Row],[SchoolCodes]],",",,TRUE))))</f>
        <v>0</v>
      </c>
      <c r="E178" s="43">
        <f>IF(FinanceCodesBudget[[#This Row],[FinanceCodeTypeCode]]="BUDGET",0,COUNTIF(FinanceCodesBudget[FinanceCode],FinanceCodesBudget[[#This Row],[FinanceCode]])-1)</f>
        <v>0</v>
      </c>
      <c r="F178" s="43">
        <f>IF(FinanceCodesBudget[[#This Row],[FinanceCodeTypeCode]]="BUDGET",0,COUNTIF(FinanceCodesBudget[Title],FinanceCodesBudget[[#This Row],[Title]])-1)</f>
        <v>0</v>
      </c>
      <c r="G178" s="43">
        <f>COUNTIF(Lookup!$A$2:$A$7,FinanceCodesBudget[[#This Row],[FinanceCodeTypeCode]])-1</f>
        <v>0</v>
      </c>
      <c r="H178" s="43">
        <f>IF(TRIM(FinanceCodesBudget[[#This Row],[Title]])="",1,0)</f>
        <v>0</v>
      </c>
      <c r="I178" s="43">
        <f>IF(TRIM(FinanceCodesBudget[[#This Row],[FinanceCode]])="",1,0)</f>
        <v>0</v>
      </c>
      <c r="J178" s="43">
        <f>IF(LEN(FinanceCodesBudget[[#This Row],[FinanceCode]])&lt;100,0,1)</f>
        <v>0</v>
      </c>
      <c r="K178" s="43">
        <f>IF(LEN(FinanceCodesBudget[[#This Row],[Title]])&lt;100,0,1)</f>
        <v>0</v>
      </c>
      <c r="L178" s="43">
        <f>IF(ISBLANK(FinanceCodesBudget[[#This Row],[BalanceToScenario]]),1,0)</f>
        <v>0</v>
      </c>
      <c r="M178" s="43">
        <f>SUM(FinanceCodesBudget[[#This Row],[LedgerIssue]:[CustGrIssue]],FinanceCodesBudget[[#This Row],[DupCode]:[Balance to Scenario Blank]])</f>
        <v>0</v>
      </c>
      <c r="N178">
        <v>637300</v>
      </c>
      <c r="O178" t="s">
        <v>2698</v>
      </c>
      <c r="P178" t="s">
        <v>337</v>
      </c>
      <c r="Q178" t="s">
        <v>1979</v>
      </c>
      <c r="R178" t="b">
        <v>0</v>
      </c>
      <c r="S178" t="s">
        <v>2526</v>
      </c>
      <c r="T178" t="s">
        <v>1300</v>
      </c>
      <c r="U178" t="s">
        <v>1532</v>
      </c>
      <c r="V178" t="b">
        <v>1</v>
      </c>
      <c r="W178" t="b">
        <v>0</v>
      </c>
    </row>
    <row r="179" spans="1:23" x14ac:dyDescent="0.3">
      <c r="A179" s="147">
        <f>IF(COUNTIF(LEDGER[LedgerCode],FinanceCodesBudget[[#This Row],[LedgerCode]])&gt;0,0,1)</f>
        <v>0</v>
      </c>
      <c r="B179" s="43">
        <f>IF(COUNTIF(Table_System_Grouping_Codes[groupingCodeCode],FinanceCodesBudget[[#This Row],[GroupingCode]])&gt;0,0,1)</f>
        <v>0</v>
      </c>
      <c r="C179" s="43">
        <f>IF(COUNTIF(CUSTGROUP[CustomGroupingCode],FinanceCodesBudget[[#This Row],[CustomGrouping]])&gt;0,0,1)</f>
        <v>0</v>
      </c>
      <c r="D179" s="43" cm="1">
        <f t="array" ref="D179">IF(FinanceCodesBudget[[#This Row],[AvailableToAllSchools]]=TRUE,0,COUNTA(_xlfn.TEXTSPLIT(FinanceCodesBudget[[#This Row],[SchoolCodes]],",",,TRUE))-SUM(COUNTIF(SCHOOLS[SchoolCode],_xlfn.TEXTSPLIT(FinanceCodesBudget[[#This Row],[SchoolCodes]],",",,TRUE))))</f>
        <v>0</v>
      </c>
      <c r="E179" s="43">
        <f>IF(FinanceCodesBudget[[#This Row],[FinanceCodeTypeCode]]="BUDGET",0,COUNTIF(FinanceCodesBudget[FinanceCode],FinanceCodesBudget[[#This Row],[FinanceCode]])-1)</f>
        <v>0</v>
      </c>
      <c r="F179" s="43">
        <f>IF(FinanceCodesBudget[[#This Row],[FinanceCodeTypeCode]]="BUDGET",0,COUNTIF(FinanceCodesBudget[Title],FinanceCodesBudget[[#This Row],[Title]])-1)</f>
        <v>0</v>
      </c>
      <c r="G179" s="43">
        <f>COUNTIF(Lookup!$A$2:$A$7,FinanceCodesBudget[[#This Row],[FinanceCodeTypeCode]])-1</f>
        <v>0</v>
      </c>
      <c r="H179" s="43">
        <f>IF(TRIM(FinanceCodesBudget[[#This Row],[Title]])="",1,0)</f>
        <v>0</v>
      </c>
      <c r="I179" s="43">
        <f>IF(TRIM(FinanceCodesBudget[[#This Row],[FinanceCode]])="",1,0)</f>
        <v>0</v>
      </c>
      <c r="J179" s="43">
        <f>IF(LEN(FinanceCodesBudget[[#This Row],[FinanceCode]])&lt;100,0,1)</f>
        <v>0</v>
      </c>
      <c r="K179" s="43">
        <f>IF(LEN(FinanceCodesBudget[[#This Row],[Title]])&lt;100,0,1)</f>
        <v>0</v>
      </c>
      <c r="L179" s="43">
        <f>IF(ISBLANK(FinanceCodesBudget[[#This Row],[BalanceToScenario]]),1,0)</f>
        <v>0</v>
      </c>
      <c r="M179" s="43">
        <f>SUM(FinanceCodesBudget[[#This Row],[LedgerIssue]:[CustGrIssue]],FinanceCodesBudget[[#This Row],[DupCode]:[Balance to Scenario Blank]])</f>
        <v>0</v>
      </c>
      <c r="N179">
        <v>640100</v>
      </c>
      <c r="O179" t="s">
        <v>2699</v>
      </c>
      <c r="P179" t="s">
        <v>339</v>
      </c>
      <c r="Q179" t="s">
        <v>1979</v>
      </c>
      <c r="R179" t="b">
        <v>0</v>
      </c>
      <c r="S179" t="s">
        <v>2526</v>
      </c>
      <c r="T179" t="s">
        <v>1300</v>
      </c>
      <c r="U179" t="s">
        <v>1532</v>
      </c>
      <c r="V179" t="b">
        <v>1</v>
      </c>
      <c r="W179" t="b">
        <v>0</v>
      </c>
    </row>
    <row r="180" spans="1:23" x14ac:dyDescent="0.3">
      <c r="A180" s="147">
        <f>IF(COUNTIF(LEDGER[LedgerCode],FinanceCodesBudget[[#This Row],[LedgerCode]])&gt;0,0,1)</f>
        <v>0</v>
      </c>
      <c r="B180" s="43">
        <f>IF(COUNTIF(Table_System_Grouping_Codes[groupingCodeCode],FinanceCodesBudget[[#This Row],[GroupingCode]])&gt;0,0,1)</f>
        <v>0</v>
      </c>
      <c r="C180" s="43">
        <f>IF(COUNTIF(CUSTGROUP[CustomGroupingCode],FinanceCodesBudget[[#This Row],[CustomGrouping]])&gt;0,0,1)</f>
        <v>0</v>
      </c>
      <c r="D180" s="43" cm="1">
        <f t="array" ref="D180">IF(FinanceCodesBudget[[#This Row],[AvailableToAllSchools]]=TRUE,0,COUNTA(_xlfn.TEXTSPLIT(FinanceCodesBudget[[#This Row],[SchoolCodes]],",",,TRUE))-SUM(COUNTIF(SCHOOLS[SchoolCode],_xlfn.TEXTSPLIT(FinanceCodesBudget[[#This Row],[SchoolCodes]],",",,TRUE))))</f>
        <v>0</v>
      </c>
      <c r="E180" s="43">
        <f>IF(FinanceCodesBudget[[#This Row],[FinanceCodeTypeCode]]="BUDGET",0,COUNTIF(FinanceCodesBudget[FinanceCode],FinanceCodesBudget[[#This Row],[FinanceCode]])-1)</f>
        <v>0</v>
      </c>
      <c r="F180" s="43">
        <f>IF(FinanceCodesBudget[[#This Row],[FinanceCodeTypeCode]]="BUDGET",0,COUNTIF(FinanceCodesBudget[Title],FinanceCodesBudget[[#This Row],[Title]])-1)</f>
        <v>0</v>
      </c>
      <c r="G180" s="43">
        <f>COUNTIF(Lookup!$A$2:$A$7,FinanceCodesBudget[[#This Row],[FinanceCodeTypeCode]])-1</f>
        <v>0</v>
      </c>
      <c r="H180" s="43">
        <f>IF(TRIM(FinanceCodesBudget[[#This Row],[Title]])="",1,0)</f>
        <v>0</v>
      </c>
      <c r="I180" s="43">
        <f>IF(TRIM(FinanceCodesBudget[[#This Row],[FinanceCode]])="",1,0)</f>
        <v>0</v>
      </c>
      <c r="J180" s="43">
        <f>IF(LEN(FinanceCodesBudget[[#This Row],[FinanceCode]])&lt;100,0,1)</f>
        <v>0</v>
      </c>
      <c r="K180" s="43">
        <f>IF(LEN(FinanceCodesBudget[[#This Row],[Title]])&lt;100,0,1)</f>
        <v>0</v>
      </c>
      <c r="L180" s="43">
        <f>IF(ISBLANK(FinanceCodesBudget[[#This Row],[BalanceToScenario]]),1,0)</f>
        <v>0</v>
      </c>
      <c r="M180" s="43">
        <f>SUM(FinanceCodesBudget[[#This Row],[LedgerIssue]:[CustGrIssue]],FinanceCodesBudget[[#This Row],[DupCode]:[Balance to Scenario Blank]])</f>
        <v>0</v>
      </c>
      <c r="N180">
        <v>640150</v>
      </c>
      <c r="O180" t="s">
        <v>2700</v>
      </c>
      <c r="P180" t="s">
        <v>341</v>
      </c>
      <c r="Q180" t="s">
        <v>1979</v>
      </c>
      <c r="R180" t="b">
        <v>0</v>
      </c>
      <c r="S180" t="s">
        <v>2526</v>
      </c>
      <c r="T180" t="s">
        <v>1300</v>
      </c>
      <c r="U180" t="s">
        <v>1532</v>
      </c>
      <c r="V180" t="b">
        <v>1</v>
      </c>
      <c r="W180" t="b">
        <v>0</v>
      </c>
    </row>
    <row r="181" spans="1:23" x14ac:dyDescent="0.3">
      <c r="A181" s="147">
        <f>IF(COUNTIF(LEDGER[LedgerCode],FinanceCodesBudget[[#This Row],[LedgerCode]])&gt;0,0,1)</f>
        <v>0</v>
      </c>
      <c r="B181" s="43">
        <f>IF(COUNTIF(Table_System_Grouping_Codes[groupingCodeCode],FinanceCodesBudget[[#This Row],[GroupingCode]])&gt;0,0,1)</f>
        <v>0</v>
      </c>
      <c r="C181" s="43">
        <f>IF(COUNTIF(CUSTGROUP[CustomGroupingCode],FinanceCodesBudget[[#This Row],[CustomGrouping]])&gt;0,0,1)</f>
        <v>0</v>
      </c>
      <c r="D181" s="43" cm="1">
        <f t="array" ref="D181">IF(FinanceCodesBudget[[#This Row],[AvailableToAllSchools]]=TRUE,0,COUNTA(_xlfn.TEXTSPLIT(FinanceCodesBudget[[#This Row],[SchoolCodes]],",",,TRUE))-SUM(COUNTIF(SCHOOLS[SchoolCode],_xlfn.TEXTSPLIT(FinanceCodesBudget[[#This Row],[SchoolCodes]],",",,TRUE))))</f>
        <v>0</v>
      </c>
      <c r="E181" s="43">
        <f>IF(FinanceCodesBudget[[#This Row],[FinanceCodeTypeCode]]="BUDGET",0,COUNTIF(FinanceCodesBudget[FinanceCode],FinanceCodesBudget[[#This Row],[FinanceCode]])-1)</f>
        <v>0</v>
      </c>
      <c r="F181" s="43">
        <f>IF(FinanceCodesBudget[[#This Row],[FinanceCodeTypeCode]]="BUDGET",0,COUNTIF(FinanceCodesBudget[Title],FinanceCodesBudget[[#This Row],[Title]])-1)</f>
        <v>0</v>
      </c>
      <c r="G181" s="43">
        <f>COUNTIF(Lookup!$A$2:$A$7,FinanceCodesBudget[[#This Row],[FinanceCodeTypeCode]])-1</f>
        <v>0</v>
      </c>
      <c r="H181" s="43">
        <f>IF(TRIM(FinanceCodesBudget[[#This Row],[Title]])="",1,0)</f>
        <v>0</v>
      </c>
      <c r="I181" s="43">
        <f>IF(TRIM(FinanceCodesBudget[[#This Row],[FinanceCode]])="",1,0)</f>
        <v>0</v>
      </c>
      <c r="J181" s="43">
        <f>IF(LEN(FinanceCodesBudget[[#This Row],[FinanceCode]])&lt;100,0,1)</f>
        <v>0</v>
      </c>
      <c r="K181" s="43">
        <f>IF(LEN(FinanceCodesBudget[[#This Row],[Title]])&lt;100,0,1)</f>
        <v>0</v>
      </c>
      <c r="L181" s="43">
        <f>IF(ISBLANK(FinanceCodesBudget[[#This Row],[BalanceToScenario]]),1,0)</f>
        <v>0</v>
      </c>
      <c r="M181" s="43">
        <f>SUM(FinanceCodesBudget[[#This Row],[LedgerIssue]:[CustGrIssue]],FinanceCodesBudget[[#This Row],[DupCode]:[Balance to Scenario Blank]])</f>
        <v>0</v>
      </c>
      <c r="N181">
        <v>640200</v>
      </c>
      <c r="O181" t="s">
        <v>2701</v>
      </c>
      <c r="P181" t="s">
        <v>343</v>
      </c>
      <c r="Q181" t="s">
        <v>1979</v>
      </c>
      <c r="R181" t="b">
        <v>0</v>
      </c>
      <c r="S181" t="s">
        <v>2526</v>
      </c>
      <c r="T181" t="s">
        <v>1300</v>
      </c>
      <c r="U181" t="s">
        <v>1532</v>
      </c>
      <c r="V181" t="b">
        <v>1</v>
      </c>
      <c r="W181" t="b">
        <v>0</v>
      </c>
    </row>
    <row r="182" spans="1:23" x14ac:dyDescent="0.3">
      <c r="A182" s="147">
        <f>IF(COUNTIF(LEDGER[LedgerCode],FinanceCodesBudget[[#This Row],[LedgerCode]])&gt;0,0,1)</f>
        <v>0</v>
      </c>
      <c r="B182" s="43">
        <f>IF(COUNTIF(Table_System_Grouping_Codes[groupingCodeCode],FinanceCodesBudget[[#This Row],[GroupingCode]])&gt;0,0,1)</f>
        <v>0</v>
      </c>
      <c r="C182" s="43">
        <f>IF(COUNTIF(CUSTGROUP[CustomGroupingCode],FinanceCodesBudget[[#This Row],[CustomGrouping]])&gt;0,0,1)</f>
        <v>0</v>
      </c>
      <c r="D182" s="43" cm="1">
        <f t="array" ref="D182">IF(FinanceCodesBudget[[#This Row],[AvailableToAllSchools]]=TRUE,0,COUNTA(_xlfn.TEXTSPLIT(FinanceCodesBudget[[#This Row],[SchoolCodes]],",",,TRUE))-SUM(COUNTIF(SCHOOLS[SchoolCode],_xlfn.TEXTSPLIT(FinanceCodesBudget[[#This Row],[SchoolCodes]],",",,TRUE))))</f>
        <v>0</v>
      </c>
      <c r="E182" s="43">
        <f>IF(FinanceCodesBudget[[#This Row],[FinanceCodeTypeCode]]="BUDGET",0,COUNTIF(FinanceCodesBudget[FinanceCode],FinanceCodesBudget[[#This Row],[FinanceCode]])-1)</f>
        <v>0</v>
      </c>
      <c r="F182" s="43">
        <f>IF(FinanceCodesBudget[[#This Row],[FinanceCodeTypeCode]]="BUDGET",0,COUNTIF(FinanceCodesBudget[Title],FinanceCodesBudget[[#This Row],[Title]])-1)</f>
        <v>0</v>
      </c>
      <c r="G182" s="43">
        <f>COUNTIF(Lookup!$A$2:$A$7,FinanceCodesBudget[[#This Row],[FinanceCodeTypeCode]])-1</f>
        <v>0</v>
      </c>
      <c r="H182" s="43">
        <f>IF(TRIM(FinanceCodesBudget[[#This Row],[Title]])="",1,0)</f>
        <v>0</v>
      </c>
      <c r="I182" s="43">
        <f>IF(TRIM(FinanceCodesBudget[[#This Row],[FinanceCode]])="",1,0)</f>
        <v>0</v>
      </c>
      <c r="J182" s="43">
        <f>IF(LEN(FinanceCodesBudget[[#This Row],[FinanceCode]])&lt;100,0,1)</f>
        <v>0</v>
      </c>
      <c r="K182" s="43">
        <f>IF(LEN(FinanceCodesBudget[[#This Row],[Title]])&lt;100,0,1)</f>
        <v>0</v>
      </c>
      <c r="L182" s="43">
        <f>IF(ISBLANK(FinanceCodesBudget[[#This Row],[BalanceToScenario]]),1,0)</f>
        <v>0</v>
      </c>
      <c r="M182" s="43">
        <f>SUM(FinanceCodesBudget[[#This Row],[LedgerIssue]:[CustGrIssue]],FinanceCodesBudget[[#This Row],[DupCode]:[Balance to Scenario Blank]])</f>
        <v>0</v>
      </c>
      <c r="N182">
        <v>640300</v>
      </c>
      <c r="O182" t="s">
        <v>2702</v>
      </c>
      <c r="P182" t="s">
        <v>345</v>
      </c>
      <c r="Q182" t="s">
        <v>1979</v>
      </c>
      <c r="R182" t="b">
        <v>0</v>
      </c>
      <c r="S182" t="s">
        <v>2526</v>
      </c>
      <c r="T182" t="s">
        <v>1300</v>
      </c>
      <c r="U182" t="s">
        <v>1532</v>
      </c>
      <c r="V182" t="b">
        <v>1</v>
      </c>
      <c r="W182" t="b">
        <v>0</v>
      </c>
    </row>
    <row r="183" spans="1:23" x14ac:dyDescent="0.3">
      <c r="A183" s="147">
        <f>IF(COUNTIF(LEDGER[LedgerCode],FinanceCodesBudget[[#This Row],[LedgerCode]])&gt;0,0,1)</f>
        <v>0</v>
      </c>
      <c r="B183" s="43">
        <f>IF(COUNTIF(Table_System_Grouping_Codes[groupingCodeCode],FinanceCodesBudget[[#This Row],[GroupingCode]])&gt;0,0,1)</f>
        <v>0</v>
      </c>
      <c r="C183" s="43">
        <f>IF(COUNTIF(CUSTGROUP[CustomGroupingCode],FinanceCodesBudget[[#This Row],[CustomGrouping]])&gt;0,0,1)</f>
        <v>0</v>
      </c>
      <c r="D183" s="43" cm="1">
        <f t="array" ref="D183">IF(FinanceCodesBudget[[#This Row],[AvailableToAllSchools]]=TRUE,0,COUNTA(_xlfn.TEXTSPLIT(FinanceCodesBudget[[#This Row],[SchoolCodes]],",",,TRUE))-SUM(COUNTIF(SCHOOLS[SchoolCode],_xlfn.TEXTSPLIT(FinanceCodesBudget[[#This Row],[SchoolCodes]],",",,TRUE))))</f>
        <v>0</v>
      </c>
      <c r="E183" s="43">
        <f>IF(FinanceCodesBudget[[#This Row],[FinanceCodeTypeCode]]="BUDGET",0,COUNTIF(FinanceCodesBudget[FinanceCode],FinanceCodesBudget[[#This Row],[FinanceCode]])-1)</f>
        <v>0</v>
      </c>
      <c r="F183" s="43">
        <f>IF(FinanceCodesBudget[[#This Row],[FinanceCodeTypeCode]]="BUDGET",0,COUNTIF(FinanceCodesBudget[Title],FinanceCodesBudget[[#This Row],[Title]])-1)</f>
        <v>0</v>
      </c>
      <c r="G183" s="43">
        <f>COUNTIF(Lookup!$A$2:$A$7,FinanceCodesBudget[[#This Row],[FinanceCodeTypeCode]])-1</f>
        <v>0</v>
      </c>
      <c r="H183" s="43">
        <f>IF(TRIM(FinanceCodesBudget[[#This Row],[Title]])="",1,0)</f>
        <v>0</v>
      </c>
      <c r="I183" s="43">
        <f>IF(TRIM(FinanceCodesBudget[[#This Row],[FinanceCode]])="",1,0)</f>
        <v>0</v>
      </c>
      <c r="J183" s="43">
        <f>IF(LEN(FinanceCodesBudget[[#This Row],[FinanceCode]])&lt;100,0,1)</f>
        <v>0</v>
      </c>
      <c r="K183" s="43">
        <f>IF(LEN(FinanceCodesBudget[[#This Row],[Title]])&lt;100,0,1)</f>
        <v>0</v>
      </c>
      <c r="L183" s="43">
        <f>IF(ISBLANK(FinanceCodesBudget[[#This Row],[BalanceToScenario]]),1,0)</f>
        <v>0</v>
      </c>
      <c r="M183" s="43">
        <f>SUM(FinanceCodesBudget[[#This Row],[LedgerIssue]:[CustGrIssue]],FinanceCodesBudget[[#This Row],[DupCode]:[Balance to Scenario Blank]])</f>
        <v>0</v>
      </c>
      <c r="N183">
        <v>642100</v>
      </c>
      <c r="O183" t="s">
        <v>2703</v>
      </c>
      <c r="P183" t="s">
        <v>347</v>
      </c>
      <c r="Q183" t="s">
        <v>1979</v>
      </c>
      <c r="R183" t="b">
        <v>0</v>
      </c>
      <c r="S183" t="s">
        <v>2526</v>
      </c>
      <c r="T183" t="s">
        <v>1300</v>
      </c>
      <c r="U183" t="s">
        <v>1532</v>
      </c>
      <c r="V183" t="b">
        <v>1</v>
      </c>
      <c r="W183" t="b">
        <v>0</v>
      </c>
    </row>
    <row r="184" spans="1:23" x14ac:dyDescent="0.3">
      <c r="A184" s="147">
        <f>IF(COUNTIF(LEDGER[LedgerCode],FinanceCodesBudget[[#This Row],[LedgerCode]])&gt;0,0,1)</f>
        <v>0</v>
      </c>
      <c r="B184" s="43">
        <f>IF(COUNTIF(Table_System_Grouping_Codes[groupingCodeCode],FinanceCodesBudget[[#This Row],[GroupingCode]])&gt;0,0,1)</f>
        <v>0</v>
      </c>
      <c r="C184" s="43">
        <f>IF(COUNTIF(CUSTGROUP[CustomGroupingCode],FinanceCodesBudget[[#This Row],[CustomGrouping]])&gt;0,0,1)</f>
        <v>0</v>
      </c>
      <c r="D184" s="43" cm="1">
        <f t="array" ref="D184">IF(FinanceCodesBudget[[#This Row],[AvailableToAllSchools]]=TRUE,0,COUNTA(_xlfn.TEXTSPLIT(FinanceCodesBudget[[#This Row],[SchoolCodes]],",",,TRUE))-SUM(COUNTIF(SCHOOLS[SchoolCode],_xlfn.TEXTSPLIT(FinanceCodesBudget[[#This Row],[SchoolCodes]],",",,TRUE))))</f>
        <v>0</v>
      </c>
      <c r="E184" s="43">
        <f>IF(FinanceCodesBudget[[#This Row],[FinanceCodeTypeCode]]="BUDGET",0,COUNTIF(FinanceCodesBudget[FinanceCode],FinanceCodesBudget[[#This Row],[FinanceCode]])-1)</f>
        <v>0</v>
      </c>
      <c r="F184" s="43">
        <f>IF(FinanceCodesBudget[[#This Row],[FinanceCodeTypeCode]]="BUDGET",0,COUNTIF(FinanceCodesBudget[Title],FinanceCodesBudget[[#This Row],[Title]])-1)</f>
        <v>0</v>
      </c>
      <c r="G184" s="43">
        <f>COUNTIF(Lookup!$A$2:$A$7,FinanceCodesBudget[[#This Row],[FinanceCodeTypeCode]])-1</f>
        <v>0</v>
      </c>
      <c r="H184" s="43">
        <f>IF(TRIM(FinanceCodesBudget[[#This Row],[Title]])="",1,0)</f>
        <v>0</v>
      </c>
      <c r="I184" s="43">
        <f>IF(TRIM(FinanceCodesBudget[[#This Row],[FinanceCode]])="",1,0)</f>
        <v>0</v>
      </c>
      <c r="J184" s="43">
        <f>IF(LEN(FinanceCodesBudget[[#This Row],[FinanceCode]])&lt;100,0,1)</f>
        <v>0</v>
      </c>
      <c r="K184" s="43">
        <f>IF(LEN(FinanceCodesBudget[[#This Row],[Title]])&lt;100,0,1)</f>
        <v>0</v>
      </c>
      <c r="L184" s="43">
        <f>IF(ISBLANK(FinanceCodesBudget[[#This Row],[BalanceToScenario]]),1,0)</f>
        <v>0</v>
      </c>
      <c r="M184" s="43">
        <f>SUM(FinanceCodesBudget[[#This Row],[LedgerIssue]:[CustGrIssue]],FinanceCodesBudget[[#This Row],[DupCode]:[Balance to Scenario Blank]])</f>
        <v>0</v>
      </c>
      <c r="N184">
        <v>642150</v>
      </c>
      <c r="O184" t="s">
        <v>2704</v>
      </c>
      <c r="P184" t="s">
        <v>349</v>
      </c>
      <c r="Q184" t="s">
        <v>1979</v>
      </c>
      <c r="R184" t="b">
        <v>0</v>
      </c>
      <c r="S184" t="s">
        <v>2526</v>
      </c>
      <c r="T184" t="s">
        <v>1300</v>
      </c>
      <c r="U184" t="s">
        <v>1532</v>
      </c>
      <c r="V184" t="b">
        <v>1</v>
      </c>
      <c r="W184" t="b">
        <v>0</v>
      </c>
    </row>
    <row r="185" spans="1:23" x14ac:dyDescent="0.3">
      <c r="A185" s="147">
        <f>IF(COUNTIF(LEDGER[LedgerCode],FinanceCodesBudget[[#This Row],[LedgerCode]])&gt;0,0,1)</f>
        <v>0</v>
      </c>
      <c r="B185" s="43">
        <f>IF(COUNTIF(Table_System_Grouping_Codes[groupingCodeCode],FinanceCodesBudget[[#This Row],[GroupingCode]])&gt;0,0,1)</f>
        <v>0</v>
      </c>
      <c r="C185" s="43">
        <f>IF(COUNTIF(CUSTGROUP[CustomGroupingCode],FinanceCodesBudget[[#This Row],[CustomGrouping]])&gt;0,0,1)</f>
        <v>0</v>
      </c>
      <c r="D185" s="43" cm="1">
        <f t="array" ref="D185">IF(FinanceCodesBudget[[#This Row],[AvailableToAllSchools]]=TRUE,0,COUNTA(_xlfn.TEXTSPLIT(FinanceCodesBudget[[#This Row],[SchoolCodes]],",",,TRUE))-SUM(COUNTIF(SCHOOLS[SchoolCode],_xlfn.TEXTSPLIT(FinanceCodesBudget[[#This Row],[SchoolCodes]],",",,TRUE))))</f>
        <v>0</v>
      </c>
      <c r="E185" s="43">
        <f>IF(FinanceCodesBudget[[#This Row],[FinanceCodeTypeCode]]="BUDGET",0,COUNTIF(FinanceCodesBudget[FinanceCode],FinanceCodesBudget[[#This Row],[FinanceCode]])-1)</f>
        <v>0</v>
      </c>
      <c r="F185" s="43">
        <f>IF(FinanceCodesBudget[[#This Row],[FinanceCodeTypeCode]]="BUDGET",0,COUNTIF(FinanceCodesBudget[Title],FinanceCodesBudget[[#This Row],[Title]])-1)</f>
        <v>0</v>
      </c>
      <c r="G185" s="43">
        <f>COUNTIF(Lookup!$A$2:$A$7,FinanceCodesBudget[[#This Row],[FinanceCodeTypeCode]])-1</f>
        <v>0</v>
      </c>
      <c r="H185" s="43">
        <f>IF(TRIM(FinanceCodesBudget[[#This Row],[Title]])="",1,0)</f>
        <v>0</v>
      </c>
      <c r="I185" s="43">
        <f>IF(TRIM(FinanceCodesBudget[[#This Row],[FinanceCode]])="",1,0)</f>
        <v>0</v>
      </c>
      <c r="J185" s="43">
        <f>IF(LEN(FinanceCodesBudget[[#This Row],[FinanceCode]])&lt;100,0,1)</f>
        <v>0</v>
      </c>
      <c r="K185" s="43">
        <f>IF(LEN(FinanceCodesBudget[[#This Row],[Title]])&lt;100,0,1)</f>
        <v>0</v>
      </c>
      <c r="L185" s="43">
        <f>IF(ISBLANK(FinanceCodesBudget[[#This Row],[BalanceToScenario]]),1,0)</f>
        <v>0</v>
      </c>
      <c r="M185" s="43">
        <f>SUM(FinanceCodesBudget[[#This Row],[LedgerIssue]:[CustGrIssue]],FinanceCodesBudget[[#This Row],[DupCode]:[Balance to Scenario Blank]])</f>
        <v>0</v>
      </c>
      <c r="N185">
        <v>642200</v>
      </c>
      <c r="O185" t="s">
        <v>2705</v>
      </c>
      <c r="P185" t="s">
        <v>351</v>
      </c>
      <c r="Q185" t="s">
        <v>1979</v>
      </c>
      <c r="R185" t="b">
        <v>0</v>
      </c>
      <c r="S185" t="s">
        <v>2526</v>
      </c>
      <c r="T185" t="s">
        <v>1300</v>
      </c>
      <c r="U185" t="s">
        <v>1532</v>
      </c>
      <c r="V185" t="b">
        <v>1</v>
      </c>
      <c r="W185" t="b">
        <v>0</v>
      </c>
    </row>
    <row r="186" spans="1:23" x14ac:dyDescent="0.3">
      <c r="A186" s="147">
        <f>IF(COUNTIF(LEDGER[LedgerCode],FinanceCodesBudget[[#This Row],[LedgerCode]])&gt;0,0,1)</f>
        <v>0</v>
      </c>
      <c r="B186" s="43">
        <f>IF(COUNTIF(Table_System_Grouping_Codes[groupingCodeCode],FinanceCodesBudget[[#This Row],[GroupingCode]])&gt;0,0,1)</f>
        <v>0</v>
      </c>
      <c r="C186" s="43">
        <f>IF(COUNTIF(CUSTGROUP[CustomGroupingCode],FinanceCodesBudget[[#This Row],[CustomGrouping]])&gt;0,0,1)</f>
        <v>0</v>
      </c>
      <c r="D186" s="43" cm="1">
        <f t="array" ref="D186">IF(FinanceCodesBudget[[#This Row],[AvailableToAllSchools]]=TRUE,0,COUNTA(_xlfn.TEXTSPLIT(FinanceCodesBudget[[#This Row],[SchoolCodes]],",",,TRUE))-SUM(COUNTIF(SCHOOLS[SchoolCode],_xlfn.TEXTSPLIT(FinanceCodesBudget[[#This Row],[SchoolCodes]],",",,TRUE))))</f>
        <v>0</v>
      </c>
      <c r="E186" s="43">
        <f>IF(FinanceCodesBudget[[#This Row],[FinanceCodeTypeCode]]="BUDGET",0,COUNTIF(FinanceCodesBudget[FinanceCode],FinanceCodesBudget[[#This Row],[FinanceCode]])-1)</f>
        <v>0</v>
      </c>
      <c r="F186" s="43">
        <f>IF(FinanceCodesBudget[[#This Row],[FinanceCodeTypeCode]]="BUDGET",0,COUNTIF(FinanceCodesBudget[Title],FinanceCodesBudget[[#This Row],[Title]])-1)</f>
        <v>0</v>
      </c>
      <c r="G186" s="43">
        <f>COUNTIF(Lookup!$A$2:$A$7,FinanceCodesBudget[[#This Row],[FinanceCodeTypeCode]])-1</f>
        <v>0</v>
      </c>
      <c r="H186" s="43">
        <f>IF(TRIM(FinanceCodesBudget[[#This Row],[Title]])="",1,0)</f>
        <v>0</v>
      </c>
      <c r="I186" s="43">
        <f>IF(TRIM(FinanceCodesBudget[[#This Row],[FinanceCode]])="",1,0)</f>
        <v>0</v>
      </c>
      <c r="J186" s="43">
        <f>IF(LEN(FinanceCodesBudget[[#This Row],[FinanceCode]])&lt;100,0,1)</f>
        <v>0</v>
      </c>
      <c r="K186" s="43">
        <f>IF(LEN(FinanceCodesBudget[[#This Row],[Title]])&lt;100,0,1)</f>
        <v>0</v>
      </c>
      <c r="L186" s="43">
        <f>IF(ISBLANK(FinanceCodesBudget[[#This Row],[BalanceToScenario]]),1,0)</f>
        <v>0</v>
      </c>
      <c r="M186" s="43">
        <f>SUM(FinanceCodesBudget[[#This Row],[LedgerIssue]:[CustGrIssue]],FinanceCodesBudget[[#This Row],[DupCode]:[Balance to Scenario Blank]])</f>
        <v>0</v>
      </c>
      <c r="N186">
        <v>642300</v>
      </c>
      <c r="O186" t="s">
        <v>2706</v>
      </c>
      <c r="P186" t="s">
        <v>353</v>
      </c>
      <c r="Q186" t="s">
        <v>1979</v>
      </c>
      <c r="R186" t="b">
        <v>0</v>
      </c>
      <c r="S186" t="s">
        <v>2526</v>
      </c>
      <c r="T186" t="s">
        <v>1300</v>
      </c>
      <c r="U186" t="s">
        <v>1532</v>
      </c>
      <c r="V186" t="b">
        <v>1</v>
      </c>
      <c r="W186" t="b">
        <v>0</v>
      </c>
    </row>
    <row r="187" spans="1:23" x14ac:dyDescent="0.3">
      <c r="A187" s="147">
        <f>IF(COUNTIF(LEDGER[LedgerCode],FinanceCodesBudget[[#This Row],[LedgerCode]])&gt;0,0,1)</f>
        <v>0</v>
      </c>
      <c r="B187" s="43">
        <f>IF(COUNTIF(Table_System_Grouping_Codes[groupingCodeCode],FinanceCodesBudget[[#This Row],[GroupingCode]])&gt;0,0,1)</f>
        <v>0</v>
      </c>
      <c r="C187" s="43">
        <f>IF(COUNTIF(CUSTGROUP[CustomGroupingCode],FinanceCodesBudget[[#This Row],[CustomGrouping]])&gt;0,0,1)</f>
        <v>0</v>
      </c>
      <c r="D187" s="43" cm="1">
        <f t="array" ref="D187">IF(FinanceCodesBudget[[#This Row],[AvailableToAllSchools]]=TRUE,0,COUNTA(_xlfn.TEXTSPLIT(FinanceCodesBudget[[#This Row],[SchoolCodes]],",",,TRUE))-SUM(COUNTIF(SCHOOLS[SchoolCode],_xlfn.TEXTSPLIT(FinanceCodesBudget[[#This Row],[SchoolCodes]],",",,TRUE))))</f>
        <v>0</v>
      </c>
      <c r="E187" s="43">
        <f>IF(FinanceCodesBudget[[#This Row],[FinanceCodeTypeCode]]="BUDGET",0,COUNTIF(FinanceCodesBudget[FinanceCode],FinanceCodesBudget[[#This Row],[FinanceCode]])-1)</f>
        <v>0</v>
      </c>
      <c r="F187" s="43">
        <f>IF(FinanceCodesBudget[[#This Row],[FinanceCodeTypeCode]]="BUDGET",0,COUNTIF(FinanceCodesBudget[Title],FinanceCodesBudget[[#This Row],[Title]])-1)</f>
        <v>0</v>
      </c>
      <c r="G187" s="43">
        <f>COUNTIF(Lookup!$A$2:$A$7,FinanceCodesBudget[[#This Row],[FinanceCodeTypeCode]])-1</f>
        <v>0</v>
      </c>
      <c r="H187" s="43">
        <f>IF(TRIM(FinanceCodesBudget[[#This Row],[Title]])="",1,0)</f>
        <v>0</v>
      </c>
      <c r="I187" s="43">
        <f>IF(TRIM(FinanceCodesBudget[[#This Row],[FinanceCode]])="",1,0)</f>
        <v>0</v>
      </c>
      <c r="J187" s="43">
        <f>IF(LEN(FinanceCodesBudget[[#This Row],[FinanceCode]])&lt;100,0,1)</f>
        <v>0</v>
      </c>
      <c r="K187" s="43">
        <f>IF(LEN(FinanceCodesBudget[[#This Row],[Title]])&lt;100,0,1)</f>
        <v>0</v>
      </c>
      <c r="L187" s="43">
        <f>IF(ISBLANK(FinanceCodesBudget[[#This Row],[BalanceToScenario]]),1,0)</f>
        <v>0</v>
      </c>
      <c r="M187" s="43">
        <f>SUM(FinanceCodesBudget[[#This Row],[LedgerIssue]:[CustGrIssue]],FinanceCodesBudget[[#This Row],[DupCode]:[Balance to Scenario Blank]])</f>
        <v>0</v>
      </c>
      <c r="N187">
        <v>645100</v>
      </c>
      <c r="O187" t="s">
        <v>2707</v>
      </c>
      <c r="P187" t="s">
        <v>353</v>
      </c>
      <c r="Q187" t="s">
        <v>1985</v>
      </c>
      <c r="R187" t="b">
        <v>0</v>
      </c>
      <c r="S187" t="s">
        <v>2526</v>
      </c>
      <c r="T187" t="s">
        <v>1300</v>
      </c>
      <c r="U187" t="s">
        <v>1532</v>
      </c>
      <c r="V187" t="b">
        <v>1</v>
      </c>
      <c r="W187" t="b">
        <v>0</v>
      </c>
    </row>
    <row r="188" spans="1:23" x14ac:dyDescent="0.3">
      <c r="A188" s="147">
        <f>IF(COUNTIF(LEDGER[LedgerCode],FinanceCodesBudget[[#This Row],[LedgerCode]])&gt;0,0,1)</f>
        <v>0</v>
      </c>
      <c r="B188" s="43">
        <f>IF(COUNTIF(Table_System_Grouping_Codes[groupingCodeCode],FinanceCodesBudget[[#This Row],[GroupingCode]])&gt;0,0,1)</f>
        <v>0</v>
      </c>
      <c r="C188" s="43">
        <f>IF(COUNTIF(CUSTGROUP[CustomGroupingCode],FinanceCodesBudget[[#This Row],[CustomGrouping]])&gt;0,0,1)</f>
        <v>0</v>
      </c>
      <c r="D188" s="43" cm="1">
        <f t="array" ref="D188">IF(FinanceCodesBudget[[#This Row],[AvailableToAllSchools]]=TRUE,0,COUNTA(_xlfn.TEXTSPLIT(FinanceCodesBudget[[#This Row],[SchoolCodes]],",",,TRUE))-SUM(COUNTIF(SCHOOLS[SchoolCode],_xlfn.TEXTSPLIT(FinanceCodesBudget[[#This Row],[SchoolCodes]],",",,TRUE))))</f>
        <v>0</v>
      </c>
      <c r="E188" s="43">
        <f>IF(FinanceCodesBudget[[#This Row],[FinanceCodeTypeCode]]="BUDGET",0,COUNTIF(FinanceCodesBudget[FinanceCode],FinanceCodesBudget[[#This Row],[FinanceCode]])-1)</f>
        <v>0</v>
      </c>
      <c r="F188" s="43">
        <f>IF(FinanceCodesBudget[[#This Row],[FinanceCodeTypeCode]]="BUDGET",0,COUNTIF(FinanceCodesBudget[Title],FinanceCodesBudget[[#This Row],[Title]])-1)</f>
        <v>0</v>
      </c>
      <c r="G188" s="43">
        <f>COUNTIF(Lookup!$A$2:$A$7,FinanceCodesBudget[[#This Row],[FinanceCodeTypeCode]])-1</f>
        <v>0</v>
      </c>
      <c r="H188" s="43">
        <f>IF(TRIM(FinanceCodesBudget[[#This Row],[Title]])="",1,0)</f>
        <v>0</v>
      </c>
      <c r="I188" s="43">
        <f>IF(TRIM(FinanceCodesBudget[[#This Row],[FinanceCode]])="",1,0)</f>
        <v>0</v>
      </c>
      <c r="J188" s="43">
        <f>IF(LEN(FinanceCodesBudget[[#This Row],[FinanceCode]])&lt;100,0,1)</f>
        <v>0</v>
      </c>
      <c r="K188" s="43">
        <f>IF(LEN(FinanceCodesBudget[[#This Row],[Title]])&lt;100,0,1)</f>
        <v>0</v>
      </c>
      <c r="L188" s="43">
        <f>IF(ISBLANK(FinanceCodesBudget[[#This Row],[BalanceToScenario]]),1,0)</f>
        <v>0</v>
      </c>
      <c r="M188" s="43">
        <f>SUM(FinanceCodesBudget[[#This Row],[LedgerIssue]:[CustGrIssue]],FinanceCodesBudget[[#This Row],[DupCode]:[Balance to Scenario Blank]])</f>
        <v>0</v>
      </c>
      <c r="N188">
        <v>645150</v>
      </c>
      <c r="O188" t="s">
        <v>2708</v>
      </c>
      <c r="P188" t="s">
        <v>354</v>
      </c>
      <c r="Q188" t="s">
        <v>1985</v>
      </c>
      <c r="R188" t="b">
        <v>0</v>
      </c>
      <c r="S188" t="s">
        <v>2526</v>
      </c>
      <c r="T188" t="s">
        <v>1300</v>
      </c>
      <c r="U188" t="s">
        <v>1532</v>
      </c>
      <c r="V188" t="b">
        <v>1</v>
      </c>
      <c r="W188" t="b">
        <v>0</v>
      </c>
    </row>
    <row r="189" spans="1:23" x14ac:dyDescent="0.3">
      <c r="A189" s="147">
        <f>IF(COUNTIF(LEDGER[LedgerCode],FinanceCodesBudget[[#This Row],[LedgerCode]])&gt;0,0,1)</f>
        <v>0</v>
      </c>
      <c r="B189" s="43">
        <f>IF(COUNTIF(Table_System_Grouping_Codes[groupingCodeCode],FinanceCodesBudget[[#This Row],[GroupingCode]])&gt;0,0,1)</f>
        <v>0</v>
      </c>
      <c r="C189" s="43">
        <f>IF(COUNTIF(CUSTGROUP[CustomGroupingCode],FinanceCodesBudget[[#This Row],[CustomGrouping]])&gt;0,0,1)</f>
        <v>0</v>
      </c>
      <c r="D189" s="43" cm="1">
        <f t="array" ref="D189">IF(FinanceCodesBudget[[#This Row],[AvailableToAllSchools]]=TRUE,0,COUNTA(_xlfn.TEXTSPLIT(FinanceCodesBudget[[#This Row],[SchoolCodes]],",",,TRUE))-SUM(COUNTIF(SCHOOLS[SchoolCode],_xlfn.TEXTSPLIT(FinanceCodesBudget[[#This Row],[SchoolCodes]],",",,TRUE))))</f>
        <v>0</v>
      </c>
      <c r="E189" s="43">
        <f>IF(FinanceCodesBudget[[#This Row],[FinanceCodeTypeCode]]="BUDGET",0,COUNTIF(FinanceCodesBudget[FinanceCode],FinanceCodesBudget[[#This Row],[FinanceCode]])-1)</f>
        <v>0</v>
      </c>
      <c r="F189" s="43">
        <f>IF(FinanceCodesBudget[[#This Row],[FinanceCodeTypeCode]]="BUDGET",0,COUNTIF(FinanceCodesBudget[Title],FinanceCodesBudget[[#This Row],[Title]])-1)</f>
        <v>0</v>
      </c>
      <c r="G189" s="43">
        <f>COUNTIF(Lookup!$A$2:$A$7,FinanceCodesBudget[[#This Row],[FinanceCodeTypeCode]])-1</f>
        <v>0</v>
      </c>
      <c r="H189" s="43">
        <f>IF(TRIM(FinanceCodesBudget[[#This Row],[Title]])="",1,0)</f>
        <v>0</v>
      </c>
      <c r="I189" s="43">
        <f>IF(TRIM(FinanceCodesBudget[[#This Row],[FinanceCode]])="",1,0)</f>
        <v>0</v>
      </c>
      <c r="J189" s="43">
        <f>IF(LEN(FinanceCodesBudget[[#This Row],[FinanceCode]])&lt;100,0,1)</f>
        <v>0</v>
      </c>
      <c r="K189" s="43">
        <f>IF(LEN(FinanceCodesBudget[[#This Row],[Title]])&lt;100,0,1)</f>
        <v>0</v>
      </c>
      <c r="L189" s="43">
        <f>IF(ISBLANK(FinanceCodesBudget[[#This Row],[BalanceToScenario]]),1,0)</f>
        <v>0</v>
      </c>
      <c r="M189" s="43">
        <f>SUM(FinanceCodesBudget[[#This Row],[LedgerIssue]:[CustGrIssue]],FinanceCodesBudget[[#This Row],[DupCode]:[Balance to Scenario Blank]])</f>
        <v>0</v>
      </c>
      <c r="N189">
        <v>645200</v>
      </c>
      <c r="O189" t="s">
        <v>2709</v>
      </c>
      <c r="P189" t="s">
        <v>355</v>
      </c>
      <c r="Q189" t="s">
        <v>1985</v>
      </c>
      <c r="R189" t="b">
        <v>0</v>
      </c>
      <c r="S189" t="s">
        <v>2526</v>
      </c>
      <c r="T189" t="s">
        <v>1300</v>
      </c>
      <c r="U189" t="s">
        <v>1532</v>
      </c>
      <c r="V189" t="b">
        <v>1</v>
      </c>
      <c r="W189" t="b">
        <v>0</v>
      </c>
    </row>
    <row r="190" spans="1:23" x14ac:dyDescent="0.3">
      <c r="A190" s="147">
        <f>IF(COUNTIF(LEDGER[LedgerCode],FinanceCodesBudget[[#This Row],[LedgerCode]])&gt;0,0,1)</f>
        <v>0</v>
      </c>
      <c r="B190" s="43">
        <f>IF(COUNTIF(Table_System_Grouping_Codes[groupingCodeCode],FinanceCodesBudget[[#This Row],[GroupingCode]])&gt;0,0,1)</f>
        <v>0</v>
      </c>
      <c r="C190" s="43">
        <f>IF(COUNTIF(CUSTGROUP[CustomGroupingCode],FinanceCodesBudget[[#This Row],[CustomGrouping]])&gt;0,0,1)</f>
        <v>0</v>
      </c>
      <c r="D190" s="43" cm="1">
        <f t="array" ref="D190">IF(FinanceCodesBudget[[#This Row],[AvailableToAllSchools]]=TRUE,0,COUNTA(_xlfn.TEXTSPLIT(FinanceCodesBudget[[#This Row],[SchoolCodes]],",",,TRUE))-SUM(COUNTIF(SCHOOLS[SchoolCode],_xlfn.TEXTSPLIT(FinanceCodesBudget[[#This Row],[SchoolCodes]],",",,TRUE))))</f>
        <v>0</v>
      </c>
      <c r="E190" s="43">
        <f>IF(FinanceCodesBudget[[#This Row],[FinanceCodeTypeCode]]="BUDGET",0,COUNTIF(FinanceCodesBudget[FinanceCode],FinanceCodesBudget[[#This Row],[FinanceCode]])-1)</f>
        <v>0</v>
      </c>
      <c r="F190" s="43">
        <f>IF(FinanceCodesBudget[[#This Row],[FinanceCodeTypeCode]]="BUDGET",0,COUNTIF(FinanceCodesBudget[Title],FinanceCodesBudget[[#This Row],[Title]])-1)</f>
        <v>0</v>
      </c>
      <c r="G190" s="43">
        <f>COUNTIF(Lookup!$A$2:$A$7,FinanceCodesBudget[[#This Row],[FinanceCodeTypeCode]])-1</f>
        <v>0</v>
      </c>
      <c r="H190" s="43">
        <f>IF(TRIM(FinanceCodesBudget[[#This Row],[Title]])="",1,0)</f>
        <v>0</v>
      </c>
      <c r="I190" s="43">
        <f>IF(TRIM(FinanceCodesBudget[[#This Row],[FinanceCode]])="",1,0)</f>
        <v>0</v>
      </c>
      <c r="J190" s="43">
        <f>IF(LEN(FinanceCodesBudget[[#This Row],[FinanceCode]])&lt;100,0,1)</f>
        <v>0</v>
      </c>
      <c r="K190" s="43">
        <f>IF(LEN(FinanceCodesBudget[[#This Row],[Title]])&lt;100,0,1)</f>
        <v>0</v>
      </c>
      <c r="L190" s="43">
        <f>IF(ISBLANK(FinanceCodesBudget[[#This Row],[BalanceToScenario]]),1,0)</f>
        <v>0</v>
      </c>
      <c r="M190" s="43">
        <f>SUM(FinanceCodesBudget[[#This Row],[LedgerIssue]:[CustGrIssue]],FinanceCodesBudget[[#This Row],[DupCode]:[Balance to Scenario Blank]])</f>
        <v>0</v>
      </c>
      <c r="N190">
        <v>645300</v>
      </c>
      <c r="O190" t="s">
        <v>2710</v>
      </c>
      <c r="P190" t="s">
        <v>356</v>
      </c>
      <c r="Q190" t="s">
        <v>1985</v>
      </c>
      <c r="R190" t="b">
        <v>0</v>
      </c>
      <c r="S190" t="s">
        <v>2526</v>
      </c>
      <c r="T190" t="s">
        <v>1300</v>
      </c>
      <c r="U190" t="s">
        <v>1532</v>
      </c>
      <c r="V190" t="b">
        <v>1</v>
      </c>
      <c r="W190" t="b">
        <v>0</v>
      </c>
    </row>
    <row r="191" spans="1:23" x14ac:dyDescent="0.3">
      <c r="A191" s="147">
        <f>IF(COUNTIF(LEDGER[LedgerCode],FinanceCodesBudget[[#This Row],[LedgerCode]])&gt;0,0,1)</f>
        <v>0</v>
      </c>
      <c r="B191" s="43">
        <f>IF(COUNTIF(Table_System_Grouping_Codes[groupingCodeCode],FinanceCodesBudget[[#This Row],[GroupingCode]])&gt;0,0,1)</f>
        <v>0</v>
      </c>
      <c r="C191" s="43">
        <f>IF(COUNTIF(CUSTGROUP[CustomGroupingCode],FinanceCodesBudget[[#This Row],[CustomGrouping]])&gt;0,0,1)</f>
        <v>0</v>
      </c>
      <c r="D191" s="43" cm="1">
        <f t="array" ref="D191">IF(FinanceCodesBudget[[#This Row],[AvailableToAllSchools]]=TRUE,0,COUNTA(_xlfn.TEXTSPLIT(FinanceCodesBudget[[#This Row],[SchoolCodes]],",",,TRUE))-SUM(COUNTIF(SCHOOLS[SchoolCode],_xlfn.TEXTSPLIT(FinanceCodesBudget[[#This Row],[SchoolCodes]],",",,TRUE))))</f>
        <v>0</v>
      </c>
      <c r="E191" s="43">
        <f>IF(FinanceCodesBudget[[#This Row],[FinanceCodeTypeCode]]="BUDGET",0,COUNTIF(FinanceCodesBudget[FinanceCode],FinanceCodesBudget[[#This Row],[FinanceCode]])-1)</f>
        <v>0</v>
      </c>
      <c r="F191" s="43">
        <f>IF(FinanceCodesBudget[[#This Row],[FinanceCodeTypeCode]]="BUDGET",0,COUNTIF(FinanceCodesBudget[Title],FinanceCodesBudget[[#This Row],[Title]])-1)</f>
        <v>0</v>
      </c>
      <c r="G191" s="43">
        <f>COUNTIF(Lookup!$A$2:$A$7,FinanceCodesBudget[[#This Row],[FinanceCodeTypeCode]])-1</f>
        <v>0</v>
      </c>
      <c r="H191" s="43">
        <f>IF(TRIM(FinanceCodesBudget[[#This Row],[Title]])="",1,0)</f>
        <v>0</v>
      </c>
      <c r="I191" s="43">
        <f>IF(TRIM(FinanceCodesBudget[[#This Row],[FinanceCode]])="",1,0)</f>
        <v>0</v>
      </c>
      <c r="J191" s="43">
        <f>IF(LEN(FinanceCodesBudget[[#This Row],[FinanceCode]])&lt;100,0,1)</f>
        <v>0</v>
      </c>
      <c r="K191" s="43">
        <f>IF(LEN(FinanceCodesBudget[[#This Row],[Title]])&lt;100,0,1)</f>
        <v>0</v>
      </c>
      <c r="L191" s="43">
        <f>IF(ISBLANK(FinanceCodesBudget[[#This Row],[BalanceToScenario]]),1,0)</f>
        <v>0</v>
      </c>
      <c r="M191" s="43">
        <f>SUM(FinanceCodesBudget[[#This Row],[LedgerIssue]:[CustGrIssue]],FinanceCodesBudget[[#This Row],[DupCode]:[Balance to Scenario Blank]])</f>
        <v>0</v>
      </c>
      <c r="N191">
        <v>647100</v>
      </c>
      <c r="O191" t="s">
        <v>2711</v>
      </c>
      <c r="P191" t="s">
        <v>357</v>
      </c>
      <c r="Q191" t="s">
        <v>1985</v>
      </c>
      <c r="R191" t="b">
        <v>0</v>
      </c>
      <c r="S191" t="s">
        <v>2526</v>
      </c>
      <c r="T191" t="s">
        <v>1300</v>
      </c>
      <c r="U191" t="s">
        <v>1532</v>
      </c>
      <c r="V191" t="b">
        <v>1</v>
      </c>
      <c r="W191" t="b">
        <v>0</v>
      </c>
    </row>
    <row r="192" spans="1:23" x14ac:dyDescent="0.3">
      <c r="A192" s="147">
        <f>IF(COUNTIF(LEDGER[LedgerCode],FinanceCodesBudget[[#This Row],[LedgerCode]])&gt;0,0,1)</f>
        <v>0</v>
      </c>
      <c r="B192" s="43">
        <f>IF(COUNTIF(Table_System_Grouping_Codes[groupingCodeCode],FinanceCodesBudget[[#This Row],[GroupingCode]])&gt;0,0,1)</f>
        <v>0</v>
      </c>
      <c r="C192" s="43">
        <f>IF(COUNTIF(CUSTGROUP[CustomGroupingCode],FinanceCodesBudget[[#This Row],[CustomGrouping]])&gt;0,0,1)</f>
        <v>0</v>
      </c>
      <c r="D192" s="43" cm="1">
        <f t="array" ref="D192">IF(FinanceCodesBudget[[#This Row],[AvailableToAllSchools]]=TRUE,0,COUNTA(_xlfn.TEXTSPLIT(FinanceCodesBudget[[#This Row],[SchoolCodes]],",",,TRUE))-SUM(COUNTIF(SCHOOLS[SchoolCode],_xlfn.TEXTSPLIT(FinanceCodesBudget[[#This Row],[SchoolCodes]],",",,TRUE))))</f>
        <v>0</v>
      </c>
      <c r="E192" s="43">
        <f>IF(FinanceCodesBudget[[#This Row],[FinanceCodeTypeCode]]="BUDGET",0,COUNTIF(FinanceCodesBudget[FinanceCode],FinanceCodesBudget[[#This Row],[FinanceCode]])-1)</f>
        <v>0</v>
      </c>
      <c r="F192" s="43">
        <f>IF(FinanceCodesBudget[[#This Row],[FinanceCodeTypeCode]]="BUDGET",0,COUNTIF(FinanceCodesBudget[Title],FinanceCodesBudget[[#This Row],[Title]])-1)</f>
        <v>0</v>
      </c>
      <c r="G192" s="43">
        <f>COUNTIF(Lookup!$A$2:$A$7,FinanceCodesBudget[[#This Row],[FinanceCodeTypeCode]])-1</f>
        <v>0</v>
      </c>
      <c r="H192" s="43">
        <f>IF(TRIM(FinanceCodesBudget[[#This Row],[Title]])="",1,0)</f>
        <v>0</v>
      </c>
      <c r="I192" s="43">
        <f>IF(TRIM(FinanceCodesBudget[[#This Row],[FinanceCode]])="",1,0)</f>
        <v>0</v>
      </c>
      <c r="J192" s="43">
        <f>IF(LEN(FinanceCodesBudget[[#This Row],[FinanceCode]])&lt;100,0,1)</f>
        <v>0</v>
      </c>
      <c r="K192" s="43">
        <f>IF(LEN(FinanceCodesBudget[[#This Row],[Title]])&lt;100,0,1)</f>
        <v>0</v>
      </c>
      <c r="L192" s="43">
        <f>IF(ISBLANK(FinanceCodesBudget[[#This Row],[BalanceToScenario]]),1,0)</f>
        <v>0</v>
      </c>
      <c r="M192" s="43">
        <f>SUM(FinanceCodesBudget[[#This Row],[LedgerIssue]:[CustGrIssue]],FinanceCodesBudget[[#This Row],[DupCode]:[Balance to Scenario Blank]])</f>
        <v>0</v>
      </c>
      <c r="N192">
        <v>647150</v>
      </c>
      <c r="O192" t="s">
        <v>2712</v>
      </c>
      <c r="P192" t="s">
        <v>359</v>
      </c>
      <c r="Q192" t="s">
        <v>1985</v>
      </c>
      <c r="R192" t="b">
        <v>0</v>
      </c>
      <c r="S192" t="s">
        <v>2526</v>
      </c>
      <c r="T192" t="s">
        <v>1300</v>
      </c>
      <c r="U192" t="s">
        <v>1532</v>
      </c>
      <c r="V192" t="b">
        <v>1</v>
      </c>
      <c r="W192" t="b">
        <v>0</v>
      </c>
    </row>
    <row r="193" spans="1:23" x14ac:dyDescent="0.3">
      <c r="A193" s="147">
        <f>IF(COUNTIF(LEDGER[LedgerCode],FinanceCodesBudget[[#This Row],[LedgerCode]])&gt;0,0,1)</f>
        <v>0</v>
      </c>
      <c r="B193" s="43">
        <f>IF(COUNTIF(Table_System_Grouping_Codes[groupingCodeCode],FinanceCodesBudget[[#This Row],[GroupingCode]])&gt;0,0,1)</f>
        <v>0</v>
      </c>
      <c r="C193" s="43">
        <f>IF(COUNTIF(CUSTGROUP[CustomGroupingCode],FinanceCodesBudget[[#This Row],[CustomGrouping]])&gt;0,0,1)</f>
        <v>0</v>
      </c>
      <c r="D193" s="43" cm="1">
        <f t="array" ref="D193">IF(FinanceCodesBudget[[#This Row],[AvailableToAllSchools]]=TRUE,0,COUNTA(_xlfn.TEXTSPLIT(FinanceCodesBudget[[#This Row],[SchoolCodes]],",",,TRUE))-SUM(COUNTIF(SCHOOLS[SchoolCode],_xlfn.TEXTSPLIT(FinanceCodesBudget[[#This Row],[SchoolCodes]],",",,TRUE))))</f>
        <v>0</v>
      </c>
      <c r="E193" s="43">
        <f>IF(FinanceCodesBudget[[#This Row],[FinanceCodeTypeCode]]="BUDGET",0,COUNTIF(FinanceCodesBudget[FinanceCode],FinanceCodesBudget[[#This Row],[FinanceCode]])-1)</f>
        <v>0</v>
      </c>
      <c r="F193" s="43">
        <f>IF(FinanceCodesBudget[[#This Row],[FinanceCodeTypeCode]]="BUDGET",0,COUNTIF(FinanceCodesBudget[Title],FinanceCodesBudget[[#This Row],[Title]])-1)</f>
        <v>0</v>
      </c>
      <c r="G193" s="43">
        <f>COUNTIF(Lookup!$A$2:$A$7,FinanceCodesBudget[[#This Row],[FinanceCodeTypeCode]])-1</f>
        <v>0</v>
      </c>
      <c r="H193" s="43">
        <f>IF(TRIM(FinanceCodesBudget[[#This Row],[Title]])="",1,0)</f>
        <v>0</v>
      </c>
      <c r="I193" s="43">
        <f>IF(TRIM(FinanceCodesBudget[[#This Row],[FinanceCode]])="",1,0)</f>
        <v>0</v>
      </c>
      <c r="J193" s="43">
        <f>IF(LEN(FinanceCodesBudget[[#This Row],[FinanceCode]])&lt;100,0,1)</f>
        <v>0</v>
      </c>
      <c r="K193" s="43">
        <f>IF(LEN(FinanceCodesBudget[[#This Row],[Title]])&lt;100,0,1)</f>
        <v>0</v>
      </c>
      <c r="L193" s="43">
        <f>IF(ISBLANK(FinanceCodesBudget[[#This Row],[BalanceToScenario]]),1,0)</f>
        <v>0</v>
      </c>
      <c r="M193" s="43">
        <f>SUM(FinanceCodesBudget[[#This Row],[LedgerIssue]:[CustGrIssue]],FinanceCodesBudget[[#This Row],[DupCode]:[Balance to Scenario Blank]])</f>
        <v>0</v>
      </c>
      <c r="N193">
        <v>647160</v>
      </c>
      <c r="O193" t="s">
        <v>2713</v>
      </c>
      <c r="P193" t="s">
        <v>361</v>
      </c>
      <c r="Q193" t="s">
        <v>1985</v>
      </c>
      <c r="R193" t="b">
        <v>0</v>
      </c>
      <c r="S193" t="s">
        <v>2275</v>
      </c>
      <c r="T193" t="s">
        <v>1300</v>
      </c>
      <c r="U193" t="s">
        <v>1532</v>
      </c>
      <c r="V193" t="b">
        <v>1</v>
      </c>
      <c r="W193" t="b">
        <v>0</v>
      </c>
    </row>
    <row r="194" spans="1:23" x14ac:dyDescent="0.3">
      <c r="A194" s="147">
        <f>IF(COUNTIF(LEDGER[LedgerCode],FinanceCodesBudget[[#This Row],[LedgerCode]])&gt;0,0,1)</f>
        <v>0</v>
      </c>
      <c r="B194" s="43">
        <f>IF(COUNTIF(Table_System_Grouping_Codes[groupingCodeCode],FinanceCodesBudget[[#This Row],[GroupingCode]])&gt;0,0,1)</f>
        <v>0</v>
      </c>
      <c r="C194" s="43">
        <f>IF(COUNTIF(CUSTGROUP[CustomGroupingCode],FinanceCodesBudget[[#This Row],[CustomGrouping]])&gt;0,0,1)</f>
        <v>0</v>
      </c>
      <c r="D194" s="43" cm="1">
        <f t="array" ref="D194">IF(FinanceCodesBudget[[#This Row],[AvailableToAllSchools]]=TRUE,0,COUNTA(_xlfn.TEXTSPLIT(FinanceCodesBudget[[#This Row],[SchoolCodes]],",",,TRUE))-SUM(COUNTIF(SCHOOLS[SchoolCode],_xlfn.TEXTSPLIT(FinanceCodesBudget[[#This Row],[SchoolCodes]],",",,TRUE))))</f>
        <v>0</v>
      </c>
      <c r="E194" s="43">
        <f>IF(FinanceCodesBudget[[#This Row],[FinanceCodeTypeCode]]="BUDGET",0,COUNTIF(FinanceCodesBudget[FinanceCode],FinanceCodesBudget[[#This Row],[FinanceCode]])-1)</f>
        <v>0</v>
      </c>
      <c r="F194" s="43">
        <f>IF(FinanceCodesBudget[[#This Row],[FinanceCodeTypeCode]]="BUDGET",0,COUNTIF(FinanceCodesBudget[Title],FinanceCodesBudget[[#This Row],[Title]])-1)</f>
        <v>0</v>
      </c>
      <c r="G194" s="43">
        <f>COUNTIF(Lookup!$A$2:$A$7,FinanceCodesBudget[[#This Row],[FinanceCodeTypeCode]])-1</f>
        <v>0</v>
      </c>
      <c r="H194" s="43">
        <f>IF(TRIM(FinanceCodesBudget[[#This Row],[Title]])="",1,0)</f>
        <v>0</v>
      </c>
      <c r="I194" s="43">
        <f>IF(TRIM(FinanceCodesBudget[[#This Row],[FinanceCode]])="",1,0)</f>
        <v>0</v>
      </c>
      <c r="J194" s="43">
        <f>IF(LEN(FinanceCodesBudget[[#This Row],[FinanceCode]])&lt;100,0,1)</f>
        <v>0</v>
      </c>
      <c r="K194" s="43">
        <f>IF(LEN(FinanceCodesBudget[[#This Row],[Title]])&lt;100,0,1)</f>
        <v>0</v>
      </c>
      <c r="L194" s="43">
        <f>IF(ISBLANK(FinanceCodesBudget[[#This Row],[BalanceToScenario]]),1,0)</f>
        <v>0</v>
      </c>
      <c r="M194" s="43">
        <f>SUM(FinanceCodesBudget[[#This Row],[LedgerIssue]:[CustGrIssue]],FinanceCodesBudget[[#This Row],[DupCode]:[Balance to Scenario Blank]])</f>
        <v>0</v>
      </c>
      <c r="N194">
        <v>647200</v>
      </c>
      <c r="O194" t="s">
        <v>2714</v>
      </c>
      <c r="P194" t="s">
        <v>363</v>
      </c>
      <c r="Q194" t="s">
        <v>1985</v>
      </c>
      <c r="R194" t="b">
        <v>0</v>
      </c>
      <c r="S194" t="s">
        <v>2526</v>
      </c>
      <c r="T194" t="s">
        <v>1300</v>
      </c>
      <c r="U194" t="s">
        <v>1532</v>
      </c>
      <c r="V194" t="b">
        <v>1</v>
      </c>
      <c r="W194" t="b">
        <v>0</v>
      </c>
    </row>
    <row r="195" spans="1:23" x14ac:dyDescent="0.3">
      <c r="A195" s="147">
        <f>IF(COUNTIF(LEDGER[LedgerCode],FinanceCodesBudget[[#This Row],[LedgerCode]])&gt;0,0,1)</f>
        <v>0</v>
      </c>
      <c r="B195" s="43">
        <f>IF(COUNTIF(Table_System_Grouping_Codes[groupingCodeCode],FinanceCodesBudget[[#This Row],[GroupingCode]])&gt;0,0,1)</f>
        <v>0</v>
      </c>
      <c r="C195" s="43">
        <f>IF(COUNTIF(CUSTGROUP[CustomGroupingCode],FinanceCodesBudget[[#This Row],[CustomGrouping]])&gt;0,0,1)</f>
        <v>0</v>
      </c>
      <c r="D195" s="43" cm="1">
        <f t="array" ref="D195">IF(FinanceCodesBudget[[#This Row],[AvailableToAllSchools]]=TRUE,0,COUNTA(_xlfn.TEXTSPLIT(FinanceCodesBudget[[#This Row],[SchoolCodes]],",",,TRUE))-SUM(COUNTIF(SCHOOLS[SchoolCode],_xlfn.TEXTSPLIT(FinanceCodesBudget[[#This Row],[SchoolCodes]],",",,TRUE))))</f>
        <v>0</v>
      </c>
      <c r="E195" s="43">
        <f>IF(FinanceCodesBudget[[#This Row],[FinanceCodeTypeCode]]="BUDGET",0,COUNTIF(FinanceCodesBudget[FinanceCode],FinanceCodesBudget[[#This Row],[FinanceCode]])-1)</f>
        <v>0</v>
      </c>
      <c r="F195" s="43">
        <f>IF(FinanceCodesBudget[[#This Row],[FinanceCodeTypeCode]]="BUDGET",0,COUNTIF(FinanceCodesBudget[Title],FinanceCodesBudget[[#This Row],[Title]])-1)</f>
        <v>0</v>
      </c>
      <c r="G195" s="43">
        <f>COUNTIF(Lookup!$A$2:$A$7,FinanceCodesBudget[[#This Row],[FinanceCodeTypeCode]])-1</f>
        <v>0</v>
      </c>
      <c r="H195" s="43">
        <f>IF(TRIM(FinanceCodesBudget[[#This Row],[Title]])="",1,0)</f>
        <v>0</v>
      </c>
      <c r="I195" s="43">
        <f>IF(TRIM(FinanceCodesBudget[[#This Row],[FinanceCode]])="",1,0)</f>
        <v>0</v>
      </c>
      <c r="J195" s="43">
        <f>IF(LEN(FinanceCodesBudget[[#This Row],[FinanceCode]])&lt;100,0,1)</f>
        <v>0</v>
      </c>
      <c r="K195" s="43">
        <f>IF(LEN(FinanceCodesBudget[[#This Row],[Title]])&lt;100,0,1)</f>
        <v>0</v>
      </c>
      <c r="L195" s="43">
        <f>IF(ISBLANK(FinanceCodesBudget[[#This Row],[BalanceToScenario]]),1,0)</f>
        <v>0</v>
      </c>
      <c r="M195" s="43">
        <f>SUM(FinanceCodesBudget[[#This Row],[LedgerIssue]:[CustGrIssue]],FinanceCodesBudget[[#This Row],[DupCode]:[Balance to Scenario Blank]])</f>
        <v>0</v>
      </c>
      <c r="N195">
        <v>647300</v>
      </c>
      <c r="O195" t="s">
        <v>2715</v>
      </c>
      <c r="P195" t="s">
        <v>365</v>
      </c>
      <c r="Q195" t="s">
        <v>1985</v>
      </c>
      <c r="R195" t="b">
        <v>0</v>
      </c>
      <c r="S195" t="s">
        <v>2526</v>
      </c>
      <c r="T195" t="s">
        <v>1300</v>
      </c>
      <c r="U195" t="s">
        <v>1532</v>
      </c>
      <c r="V195" t="b">
        <v>1</v>
      </c>
      <c r="W195" t="b">
        <v>0</v>
      </c>
    </row>
    <row r="196" spans="1:23" x14ac:dyDescent="0.3">
      <c r="A196" s="147">
        <f>IF(COUNTIF(LEDGER[LedgerCode],FinanceCodesBudget[[#This Row],[LedgerCode]])&gt;0,0,1)</f>
        <v>0</v>
      </c>
      <c r="B196" s="43">
        <f>IF(COUNTIF(Table_System_Grouping_Codes[groupingCodeCode],FinanceCodesBudget[[#This Row],[GroupingCode]])&gt;0,0,1)</f>
        <v>0</v>
      </c>
      <c r="C196" s="43">
        <f>IF(COUNTIF(CUSTGROUP[CustomGroupingCode],FinanceCodesBudget[[#This Row],[CustomGrouping]])&gt;0,0,1)</f>
        <v>0</v>
      </c>
      <c r="D196" s="43" cm="1">
        <f t="array" ref="D196">IF(FinanceCodesBudget[[#This Row],[AvailableToAllSchools]]=TRUE,0,COUNTA(_xlfn.TEXTSPLIT(FinanceCodesBudget[[#This Row],[SchoolCodes]],",",,TRUE))-SUM(COUNTIF(SCHOOLS[SchoolCode],_xlfn.TEXTSPLIT(FinanceCodesBudget[[#This Row],[SchoolCodes]],",",,TRUE))))</f>
        <v>0</v>
      </c>
      <c r="E196" s="43">
        <f>IF(FinanceCodesBudget[[#This Row],[FinanceCodeTypeCode]]="BUDGET",0,COUNTIF(FinanceCodesBudget[FinanceCode],FinanceCodesBudget[[#This Row],[FinanceCode]])-1)</f>
        <v>0</v>
      </c>
      <c r="F196" s="43">
        <f>IF(FinanceCodesBudget[[#This Row],[FinanceCodeTypeCode]]="BUDGET",0,COUNTIF(FinanceCodesBudget[Title],FinanceCodesBudget[[#This Row],[Title]])-1)</f>
        <v>0</v>
      </c>
      <c r="G196" s="43">
        <f>COUNTIF(Lookup!$A$2:$A$7,FinanceCodesBudget[[#This Row],[FinanceCodeTypeCode]])-1</f>
        <v>0</v>
      </c>
      <c r="H196" s="43">
        <f>IF(TRIM(FinanceCodesBudget[[#This Row],[Title]])="",1,0)</f>
        <v>0</v>
      </c>
      <c r="I196" s="43">
        <f>IF(TRIM(FinanceCodesBudget[[#This Row],[FinanceCode]])="",1,0)</f>
        <v>0</v>
      </c>
      <c r="J196" s="43">
        <f>IF(LEN(FinanceCodesBudget[[#This Row],[FinanceCode]])&lt;100,0,1)</f>
        <v>0</v>
      </c>
      <c r="K196" s="43">
        <f>IF(LEN(FinanceCodesBudget[[#This Row],[Title]])&lt;100,0,1)</f>
        <v>0</v>
      </c>
      <c r="L196" s="43">
        <f>IF(ISBLANK(FinanceCodesBudget[[#This Row],[BalanceToScenario]]),1,0)</f>
        <v>0</v>
      </c>
      <c r="M196" s="43">
        <f>SUM(FinanceCodesBudget[[#This Row],[LedgerIssue]:[CustGrIssue]],FinanceCodesBudget[[#This Row],[DupCode]:[Balance to Scenario Blank]])</f>
        <v>0</v>
      </c>
      <c r="N196">
        <v>648100</v>
      </c>
      <c r="O196" t="s">
        <v>2716</v>
      </c>
      <c r="P196" t="s">
        <v>1404</v>
      </c>
      <c r="Q196" t="s">
        <v>1985</v>
      </c>
      <c r="R196" t="b">
        <v>0</v>
      </c>
      <c r="S196" t="s">
        <v>2526</v>
      </c>
      <c r="T196" t="s">
        <v>1300</v>
      </c>
      <c r="U196" t="s">
        <v>1532</v>
      </c>
      <c r="V196" t="b">
        <v>1</v>
      </c>
      <c r="W196" t="b">
        <v>0</v>
      </c>
    </row>
    <row r="197" spans="1:23" x14ac:dyDescent="0.3">
      <c r="A197" s="147">
        <f>IF(COUNTIF(LEDGER[LedgerCode],FinanceCodesBudget[[#This Row],[LedgerCode]])&gt;0,0,1)</f>
        <v>0</v>
      </c>
      <c r="B197" s="43">
        <f>IF(COUNTIF(Table_System_Grouping_Codes[groupingCodeCode],FinanceCodesBudget[[#This Row],[GroupingCode]])&gt;0,0,1)</f>
        <v>0</v>
      </c>
      <c r="C197" s="43">
        <f>IF(COUNTIF(CUSTGROUP[CustomGroupingCode],FinanceCodesBudget[[#This Row],[CustomGrouping]])&gt;0,0,1)</f>
        <v>0</v>
      </c>
      <c r="D197" s="43" cm="1">
        <f t="array" ref="D197">IF(FinanceCodesBudget[[#This Row],[AvailableToAllSchools]]=TRUE,0,COUNTA(_xlfn.TEXTSPLIT(FinanceCodesBudget[[#This Row],[SchoolCodes]],",",,TRUE))-SUM(COUNTIF(SCHOOLS[SchoolCode],_xlfn.TEXTSPLIT(FinanceCodesBudget[[#This Row],[SchoolCodes]],",",,TRUE))))</f>
        <v>0</v>
      </c>
      <c r="E197" s="43">
        <f>IF(FinanceCodesBudget[[#This Row],[FinanceCodeTypeCode]]="BUDGET",0,COUNTIF(FinanceCodesBudget[FinanceCode],FinanceCodesBudget[[#This Row],[FinanceCode]])-1)</f>
        <v>0</v>
      </c>
      <c r="F197" s="43">
        <f>IF(FinanceCodesBudget[[#This Row],[FinanceCodeTypeCode]]="BUDGET",0,COUNTIF(FinanceCodesBudget[Title],FinanceCodesBudget[[#This Row],[Title]])-1)</f>
        <v>0</v>
      </c>
      <c r="G197" s="43">
        <f>COUNTIF(Lookup!$A$2:$A$7,FinanceCodesBudget[[#This Row],[FinanceCodeTypeCode]])-1</f>
        <v>0</v>
      </c>
      <c r="H197" s="43">
        <f>IF(TRIM(FinanceCodesBudget[[#This Row],[Title]])="",1,0)</f>
        <v>0</v>
      </c>
      <c r="I197" s="43">
        <f>IF(TRIM(FinanceCodesBudget[[#This Row],[FinanceCode]])="",1,0)</f>
        <v>0</v>
      </c>
      <c r="J197" s="43">
        <f>IF(LEN(FinanceCodesBudget[[#This Row],[FinanceCode]])&lt;100,0,1)</f>
        <v>0</v>
      </c>
      <c r="K197" s="43">
        <f>IF(LEN(FinanceCodesBudget[[#This Row],[Title]])&lt;100,0,1)</f>
        <v>0</v>
      </c>
      <c r="L197" s="43">
        <f>IF(ISBLANK(FinanceCodesBudget[[#This Row],[BalanceToScenario]]),1,0)</f>
        <v>0</v>
      </c>
      <c r="M197" s="43">
        <f>SUM(FinanceCodesBudget[[#This Row],[LedgerIssue]:[CustGrIssue]],FinanceCodesBudget[[#This Row],[DupCode]:[Balance to Scenario Blank]])</f>
        <v>0</v>
      </c>
      <c r="N197">
        <v>648150</v>
      </c>
      <c r="O197" t="s">
        <v>2717</v>
      </c>
      <c r="P197" t="s">
        <v>367</v>
      </c>
      <c r="Q197" t="s">
        <v>1985</v>
      </c>
      <c r="R197" t="b">
        <v>0</v>
      </c>
      <c r="S197" t="s">
        <v>2526</v>
      </c>
      <c r="T197" t="s">
        <v>1300</v>
      </c>
      <c r="U197" t="s">
        <v>1532</v>
      </c>
      <c r="V197" t="b">
        <v>1</v>
      </c>
      <c r="W197" t="b">
        <v>0</v>
      </c>
    </row>
    <row r="198" spans="1:23" x14ac:dyDescent="0.3">
      <c r="A198" s="147">
        <f>IF(COUNTIF(LEDGER[LedgerCode],FinanceCodesBudget[[#This Row],[LedgerCode]])&gt;0,0,1)</f>
        <v>0</v>
      </c>
      <c r="B198" s="43">
        <f>IF(COUNTIF(Table_System_Grouping_Codes[groupingCodeCode],FinanceCodesBudget[[#This Row],[GroupingCode]])&gt;0,0,1)</f>
        <v>0</v>
      </c>
      <c r="C198" s="43">
        <f>IF(COUNTIF(CUSTGROUP[CustomGroupingCode],FinanceCodesBudget[[#This Row],[CustomGrouping]])&gt;0,0,1)</f>
        <v>0</v>
      </c>
      <c r="D198" s="43" cm="1">
        <f t="array" ref="D198">IF(FinanceCodesBudget[[#This Row],[AvailableToAllSchools]]=TRUE,0,COUNTA(_xlfn.TEXTSPLIT(FinanceCodesBudget[[#This Row],[SchoolCodes]],",",,TRUE))-SUM(COUNTIF(SCHOOLS[SchoolCode],_xlfn.TEXTSPLIT(FinanceCodesBudget[[#This Row],[SchoolCodes]],",",,TRUE))))</f>
        <v>0</v>
      </c>
      <c r="E198" s="43">
        <f>IF(FinanceCodesBudget[[#This Row],[FinanceCodeTypeCode]]="BUDGET",0,COUNTIF(FinanceCodesBudget[FinanceCode],FinanceCodesBudget[[#This Row],[FinanceCode]])-1)</f>
        <v>0</v>
      </c>
      <c r="F198" s="43">
        <f>IF(FinanceCodesBudget[[#This Row],[FinanceCodeTypeCode]]="BUDGET",0,COUNTIF(FinanceCodesBudget[Title],FinanceCodesBudget[[#This Row],[Title]])-1)</f>
        <v>0</v>
      </c>
      <c r="G198" s="43">
        <f>COUNTIF(Lookup!$A$2:$A$7,FinanceCodesBudget[[#This Row],[FinanceCodeTypeCode]])-1</f>
        <v>0</v>
      </c>
      <c r="H198" s="43">
        <f>IF(TRIM(FinanceCodesBudget[[#This Row],[Title]])="",1,0)</f>
        <v>0</v>
      </c>
      <c r="I198" s="43">
        <f>IF(TRIM(FinanceCodesBudget[[#This Row],[FinanceCode]])="",1,0)</f>
        <v>0</v>
      </c>
      <c r="J198" s="43">
        <f>IF(LEN(FinanceCodesBudget[[#This Row],[FinanceCode]])&lt;100,0,1)</f>
        <v>0</v>
      </c>
      <c r="K198" s="43">
        <f>IF(LEN(FinanceCodesBudget[[#This Row],[Title]])&lt;100,0,1)</f>
        <v>0</v>
      </c>
      <c r="L198" s="43">
        <f>IF(ISBLANK(FinanceCodesBudget[[#This Row],[BalanceToScenario]]),1,0)</f>
        <v>0</v>
      </c>
      <c r="M198" s="43">
        <f>SUM(FinanceCodesBudget[[#This Row],[LedgerIssue]:[CustGrIssue]],FinanceCodesBudget[[#This Row],[DupCode]:[Balance to Scenario Blank]])</f>
        <v>0</v>
      </c>
      <c r="N198">
        <v>648200</v>
      </c>
      <c r="O198" t="s">
        <v>2718</v>
      </c>
      <c r="P198" t="s">
        <v>368</v>
      </c>
      <c r="Q198" t="s">
        <v>1985</v>
      </c>
      <c r="R198" t="b">
        <v>0</v>
      </c>
      <c r="S198" t="s">
        <v>2526</v>
      </c>
      <c r="T198" t="s">
        <v>1300</v>
      </c>
      <c r="U198" t="s">
        <v>1532</v>
      </c>
      <c r="V198" t="b">
        <v>1</v>
      </c>
      <c r="W198" t="b">
        <v>0</v>
      </c>
    </row>
    <row r="199" spans="1:23" x14ac:dyDescent="0.3">
      <c r="A199" s="147">
        <f>IF(COUNTIF(LEDGER[LedgerCode],FinanceCodesBudget[[#This Row],[LedgerCode]])&gt;0,0,1)</f>
        <v>0</v>
      </c>
      <c r="B199" s="43">
        <f>IF(COUNTIF(Table_System_Grouping_Codes[groupingCodeCode],FinanceCodesBudget[[#This Row],[GroupingCode]])&gt;0,0,1)</f>
        <v>0</v>
      </c>
      <c r="C199" s="43">
        <f>IF(COUNTIF(CUSTGROUP[CustomGroupingCode],FinanceCodesBudget[[#This Row],[CustomGrouping]])&gt;0,0,1)</f>
        <v>0</v>
      </c>
      <c r="D199" s="43" cm="1">
        <f t="array" ref="D199">IF(FinanceCodesBudget[[#This Row],[AvailableToAllSchools]]=TRUE,0,COUNTA(_xlfn.TEXTSPLIT(FinanceCodesBudget[[#This Row],[SchoolCodes]],",",,TRUE))-SUM(COUNTIF(SCHOOLS[SchoolCode],_xlfn.TEXTSPLIT(FinanceCodesBudget[[#This Row],[SchoolCodes]],",",,TRUE))))</f>
        <v>0</v>
      </c>
      <c r="E199" s="43">
        <f>IF(FinanceCodesBudget[[#This Row],[FinanceCodeTypeCode]]="BUDGET",0,COUNTIF(FinanceCodesBudget[FinanceCode],FinanceCodesBudget[[#This Row],[FinanceCode]])-1)</f>
        <v>0</v>
      </c>
      <c r="F199" s="43">
        <f>IF(FinanceCodesBudget[[#This Row],[FinanceCodeTypeCode]]="BUDGET",0,COUNTIF(FinanceCodesBudget[Title],FinanceCodesBudget[[#This Row],[Title]])-1)</f>
        <v>0</v>
      </c>
      <c r="G199" s="43">
        <f>COUNTIF(Lookup!$A$2:$A$7,FinanceCodesBudget[[#This Row],[FinanceCodeTypeCode]])-1</f>
        <v>0</v>
      </c>
      <c r="H199" s="43">
        <f>IF(TRIM(FinanceCodesBudget[[#This Row],[Title]])="",1,0)</f>
        <v>0</v>
      </c>
      <c r="I199" s="43">
        <f>IF(TRIM(FinanceCodesBudget[[#This Row],[FinanceCode]])="",1,0)</f>
        <v>0</v>
      </c>
      <c r="J199" s="43">
        <f>IF(LEN(FinanceCodesBudget[[#This Row],[FinanceCode]])&lt;100,0,1)</f>
        <v>0</v>
      </c>
      <c r="K199" s="43">
        <f>IF(LEN(FinanceCodesBudget[[#This Row],[Title]])&lt;100,0,1)</f>
        <v>0</v>
      </c>
      <c r="L199" s="43">
        <f>IF(ISBLANK(FinanceCodesBudget[[#This Row],[BalanceToScenario]]),1,0)</f>
        <v>0</v>
      </c>
      <c r="M199" s="43">
        <f>SUM(FinanceCodesBudget[[#This Row],[LedgerIssue]:[CustGrIssue]],FinanceCodesBudget[[#This Row],[DupCode]:[Balance to Scenario Blank]])</f>
        <v>0</v>
      </c>
      <c r="N199">
        <v>648300</v>
      </c>
      <c r="O199" t="s">
        <v>2719</v>
      </c>
      <c r="P199" t="s">
        <v>369</v>
      </c>
      <c r="Q199" t="s">
        <v>1985</v>
      </c>
      <c r="R199" t="b">
        <v>0</v>
      </c>
      <c r="S199" t="s">
        <v>2526</v>
      </c>
      <c r="T199" t="s">
        <v>1300</v>
      </c>
      <c r="U199" t="s">
        <v>1532</v>
      </c>
      <c r="V199" t="b">
        <v>1</v>
      </c>
      <c r="W199" t="b">
        <v>0</v>
      </c>
    </row>
    <row r="200" spans="1:23" x14ac:dyDescent="0.3">
      <c r="A200" s="147">
        <f>IF(COUNTIF(LEDGER[LedgerCode],FinanceCodesBudget[[#This Row],[LedgerCode]])&gt;0,0,1)</f>
        <v>0</v>
      </c>
      <c r="B200" s="43">
        <f>IF(COUNTIF(Table_System_Grouping_Codes[groupingCodeCode],FinanceCodesBudget[[#This Row],[GroupingCode]])&gt;0,0,1)</f>
        <v>0</v>
      </c>
      <c r="C200" s="43">
        <f>IF(COUNTIF(CUSTGROUP[CustomGroupingCode],FinanceCodesBudget[[#This Row],[CustomGrouping]])&gt;0,0,1)</f>
        <v>0</v>
      </c>
      <c r="D200" s="43" cm="1">
        <f t="array" ref="D200">IF(FinanceCodesBudget[[#This Row],[AvailableToAllSchools]]=TRUE,0,COUNTA(_xlfn.TEXTSPLIT(FinanceCodesBudget[[#This Row],[SchoolCodes]],",",,TRUE))-SUM(COUNTIF(SCHOOLS[SchoolCode],_xlfn.TEXTSPLIT(FinanceCodesBudget[[#This Row],[SchoolCodes]],",",,TRUE))))</f>
        <v>0</v>
      </c>
      <c r="E200" s="43">
        <f>IF(FinanceCodesBudget[[#This Row],[FinanceCodeTypeCode]]="BUDGET",0,COUNTIF(FinanceCodesBudget[FinanceCode],FinanceCodesBudget[[#This Row],[FinanceCode]])-1)</f>
        <v>0</v>
      </c>
      <c r="F200" s="43">
        <f>IF(FinanceCodesBudget[[#This Row],[FinanceCodeTypeCode]]="BUDGET",0,COUNTIF(FinanceCodesBudget[Title],FinanceCodesBudget[[#This Row],[Title]])-1)</f>
        <v>0</v>
      </c>
      <c r="G200" s="43">
        <f>COUNTIF(Lookup!$A$2:$A$7,FinanceCodesBudget[[#This Row],[FinanceCodeTypeCode]])-1</f>
        <v>0</v>
      </c>
      <c r="H200" s="43">
        <f>IF(TRIM(FinanceCodesBudget[[#This Row],[Title]])="",1,0)</f>
        <v>0</v>
      </c>
      <c r="I200" s="43">
        <f>IF(TRIM(FinanceCodesBudget[[#This Row],[FinanceCode]])="",1,0)</f>
        <v>0</v>
      </c>
      <c r="J200" s="43">
        <f>IF(LEN(FinanceCodesBudget[[#This Row],[FinanceCode]])&lt;100,0,1)</f>
        <v>0</v>
      </c>
      <c r="K200" s="43">
        <f>IF(LEN(FinanceCodesBudget[[#This Row],[Title]])&lt;100,0,1)</f>
        <v>0</v>
      </c>
      <c r="L200" s="43">
        <f>IF(ISBLANK(FinanceCodesBudget[[#This Row],[BalanceToScenario]]),1,0)</f>
        <v>0</v>
      </c>
      <c r="M200" s="43">
        <f>SUM(FinanceCodesBudget[[#This Row],[LedgerIssue]:[CustGrIssue]],FinanceCodesBudget[[#This Row],[DupCode]:[Balance to Scenario Blank]])</f>
        <v>0</v>
      </c>
      <c r="N200">
        <v>649300</v>
      </c>
      <c r="O200" t="s">
        <v>2720</v>
      </c>
      <c r="P200" t="s">
        <v>370</v>
      </c>
      <c r="Q200" t="s">
        <v>1985</v>
      </c>
      <c r="R200" t="b">
        <v>0</v>
      </c>
      <c r="S200" t="s">
        <v>2526</v>
      </c>
      <c r="T200" t="s">
        <v>1300</v>
      </c>
      <c r="U200" t="s">
        <v>1532</v>
      </c>
      <c r="V200" t="b">
        <v>1</v>
      </c>
      <c r="W200" t="b">
        <v>0</v>
      </c>
    </row>
    <row r="201" spans="1:23" x14ac:dyDescent="0.3">
      <c r="A201" s="147">
        <f>IF(COUNTIF(LEDGER[LedgerCode],FinanceCodesBudget[[#This Row],[LedgerCode]])&gt;0,0,1)</f>
        <v>0</v>
      </c>
      <c r="B201" s="43">
        <f>IF(COUNTIF(Table_System_Grouping_Codes[groupingCodeCode],FinanceCodesBudget[[#This Row],[GroupingCode]])&gt;0,0,1)</f>
        <v>0</v>
      </c>
      <c r="C201" s="43">
        <f>IF(COUNTIF(CUSTGROUP[CustomGroupingCode],FinanceCodesBudget[[#This Row],[CustomGrouping]])&gt;0,0,1)</f>
        <v>0</v>
      </c>
      <c r="D201" s="43" cm="1">
        <f t="array" ref="D201">IF(FinanceCodesBudget[[#This Row],[AvailableToAllSchools]]=TRUE,0,COUNTA(_xlfn.TEXTSPLIT(FinanceCodesBudget[[#This Row],[SchoolCodes]],",",,TRUE))-SUM(COUNTIF(SCHOOLS[SchoolCode],_xlfn.TEXTSPLIT(FinanceCodesBudget[[#This Row],[SchoolCodes]],",",,TRUE))))</f>
        <v>0</v>
      </c>
      <c r="E201" s="43">
        <f>IF(FinanceCodesBudget[[#This Row],[FinanceCodeTypeCode]]="BUDGET",0,COUNTIF(FinanceCodesBudget[FinanceCode],FinanceCodesBudget[[#This Row],[FinanceCode]])-1)</f>
        <v>0</v>
      </c>
      <c r="F201" s="43">
        <f>IF(FinanceCodesBudget[[#This Row],[FinanceCodeTypeCode]]="BUDGET",0,COUNTIF(FinanceCodesBudget[Title],FinanceCodesBudget[[#This Row],[Title]])-1)</f>
        <v>0</v>
      </c>
      <c r="G201" s="43">
        <f>COUNTIF(Lookup!$A$2:$A$7,FinanceCodesBudget[[#This Row],[FinanceCodeTypeCode]])-1</f>
        <v>0</v>
      </c>
      <c r="H201" s="43">
        <f>IF(TRIM(FinanceCodesBudget[[#This Row],[Title]])="",1,0)</f>
        <v>0</v>
      </c>
      <c r="I201" s="43">
        <f>IF(TRIM(FinanceCodesBudget[[#This Row],[FinanceCode]])="",1,0)</f>
        <v>0</v>
      </c>
      <c r="J201" s="43">
        <f>IF(LEN(FinanceCodesBudget[[#This Row],[FinanceCode]])&lt;100,0,1)</f>
        <v>0</v>
      </c>
      <c r="K201" s="43">
        <f>IF(LEN(FinanceCodesBudget[[#This Row],[Title]])&lt;100,0,1)</f>
        <v>0</v>
      </c>
      <c r="L201" s="43">
        <f>IF(ISBLANK(FinanceCodesBudget[[#This Row],[BalanceToScenario]]),1,0)</f>
        <v>0</v>
      </c>
      <c r="M201" s="43">
        <f>SUM(FinanceCodesBudget[[#This Row],[LedgerIssue]:[CustGrIssue]],FinanceCodesBudget[[#This Row],[DupCode]:[Balance to Scenario Blank]])</f>
        <v>0</v>
      </c>
      <c r="N201">
        <v>649350</v>
      </c>
      <c r="O201" t="s">
        <v>2721</v>
      </c>
      <c r="P201" t="s">
        <v>371</v>
      </c>
      <c r="Q201" t="s">
        <v>1985</v>
      </c>
      <c r="R201" t="b">
        <v>0</v>
      </c>
      <c r="S201" t="s">
        <v>2526</v>
      </c>
      <c r="T201" t="s">
        <v>1300</v>
      </c>
      <c r="U201" t="s">
        <v>1532</v>
      </c>
      <c r="V201" t="b">
        <v>1</v>
      </c>
      <c r="W201" t="b">
        <v>0</v>
      </c>
    </row>
    <row r="202" spans="1:23" x14ac:dyDescent="0.3">
      <c r="A202" s="147">
        <f>IF(COUNTIF(LEDGER[LedgerCode],FinanceCodesBudget[[#This Row],[LedgerCode]])&gt;0,0,1)</f>
        <v>0</v>
      </c>
      <c r="B202" s="43">
        <f>IF(COUNTIF(Table_System_Grouping_Codes[groupingCodeCode],FinanceCodesBudget[[#This Row],[GroupingCode]])&gt;0,0,1)</f>
        <v>0</v>
      </c>
      <c r="C202" s="43">
        <f>IF(COUNTIF(CUSTGROUP[CustomGroupingCode],FinanceCodesBudget[[#This Row],[CustomGrouping]])&gt;0,0,1)</f>
        <v>0</v>
      </c>
      <c r="D202" s="43" cm="1">
        <f t="array" ref="D202">IF(FinanceCodesBudget[[#This Row],[AvailableToAllSchools]]=TRUE,0,COUNTA(_xlfn.TEXTSPLIT(FinanceCodesBudget[[#This Row],[SchoolCodes]],",",,TRUE))-SUM(COUNTIF(SCHOOLS[SchoolCode],_xlfn.TEXTSPLIT(FinanceCodesBudget[[#This Row],[SchoolCodes]],",",,TRUE))))</f>
        <v>0</v>
      </c>
      <c r="E202" s="43">
        <f>IF(FinanceCodesBudget[[#This Row],[FinanceCodeTypeCode]]="BUDGET",0,COUNTIF(FinanceCodesBudget[FinanceCode],FinanceCodesBudget[[#This Row],[FinanceCode]])-1)</f>
        <v>0</v>
      </c>
      <c r="F202" s="43">
        <f>IF(FinanceCodesBudget[[#This Row],[FinanceCodeTypeCode]]="BUDGET",0,COUNTIF(FinanceCodesBudget[Title],FinanceCodesBudget[[#This Row],[Title]])-1)</f>
        <v>0</v>
      </c>
      <c r="G202" s="43">
        <f>COUNTIF(Lookup!$A$2:$A$7,FinanceCodesBudget[[#This Row],[FinanceCodeTypeCode]])-1</f>
        <v>0</v>
      </c>
      <c r="H202" s="43">
        <f>IF(TRIM(FinanceCodesBudget[[#This Row],[Title]])="",1,0)</f>
        <v>0</v>
      </c>
      <c r="I202" s="43">
        <f>IF(TRIM(FinanceCodesBudget[[#This Row],[FinanceCode]])="",1,0)</f>
        <v>0</v>
      </c>
      <c r="J202" s="43">
        <f>IF(LEN(FinanceCodesBudget[[#This Row],[FinanceCode]])&lt;100,0,1)</f>
        <v>0</v>
      </c>
      <c r="K202" s="43">
        <f>IF(LEN(FinanceCodesBudget[[#This Row],[Title]])&lt;100,0,1)</f>
        <v>0</v>
      </c>
      <c r="L202" s="43">
        <f>IF(ISBLANK(FinanceCodesBudget[[#This Row],[BalanceToScenario]]),1,0)</f>
        <v>0</v>
      </c>
      <c r="M202" s="43">
        <f>SUM(FinanceCodesBudget[[#This Row],[LedgerIssue]:[CustGrIssue]],FinanceCodesBudget[[#This Row],[DupCode]:[Balance to Scenario Blank]])</f>
        <v>0</v>
      </c>
      <c r="N202">
        <v>650400</v>
      </c>
      <c r="O202" t="s">
        <v>2722</v>
      </c>
      <c r="P202" t="s">
        <v>372</v>
      </c>
      <c r="Q202" t="s">
        <v>1977</v>
      </c>
      <c r="R202" t="b">
        <v>0</v>
      </c>
      <c r="S202" t="s">
        <v>2526</v>
      </c>
      <c r="T202" t="s">
        <v>1300</v>
      </c>
      <c r="U202" t="s">
        <v>1532</v>
      </c>
      <c r="V202" t="b">
        <v>1</v>
      </c>
      <c r="W202" t="b">
        <v>0</v>
      </c>
    </row>
    <row r="203" spans="1:23" x14ac:dyDescent="0.3">
      <c r="A203" s="147">
        <f>IF(COUNTIF(LEDGER[LedgerCode],FinanceCodesBudget[[#This Row],[LedgerCode]])&gt;0,0,1)</f>
        <v>0</v>
      </c>
      <c r="B203" s="43">
        <f>IF(COUNTIF(Table_System_Grouping_Codes[groupingCodeCode],FinanceCodesBudget[[#This Row],[GroupingCode]])&gt;0,0,1)</f>
        <v>0</v>
      </c>
      <c r="C203" s="43">
        <f>IF(COUNTIF(CUSTGROUP[CustomGroupingCode],FinanceCodesBudget[[#This Row],[CustomGrouping]])&gt;0,0,1)</f>
        <v>0</v>
      </c>
      <c r="D203" s="43" cm="1">
        <f t="array" ref="D203">IF(FinanceCodesBudget[[#This Row],[AvailableToAllSchools]]=TRUE,0,COUNTA(_xlfn.TEXTSPLIT(FinanceCodesBudget[[#This Row],[SchoolCodes]],",",,TRUE))-SUM(COUNTIF(SCHOOLS[SchoolCode],_xlfn.TEXTSPLIT(FinanceCodesBudget[[#This Row],[SchoolCodes]],",",,TRUE))))</f>
        <v>0</v>
      </c>
      <c r="E203" s="43">
        <f>IF(FinanceCodesBudget[[#This Row],[FinanceCodeTypeCode]]="BUDGET",0,COUNTIF(FinanceCodesBudget[FinanceCode],FinanceCodesBudget[[#This Row],[FinanceCode]])-1)</f>
        <v>0</v>
      </c>
      <c r="F203" s="43">
        <f>IF(FinanceCodesBudget[[#This Row],[FinanceCodeTypeCode]]="BUDGET",0,COUNTIF(FinanceCodesBudget[Title],FinanceCodesBudget[[#This Row],[Title]])-1)</f>
        <v>0</v>
      </c>
      <c r="G203" s="43">
        <f>COUNTIF(Lookup!$A$2:$A$7,FinanceCodesBudget[[#This Row],[FinanceCodeTypeCode]])-1</f>
        <v>0</v>
      </c>
      <c r="H203" s="43">
        <f>IF(TRIM(FinanceCodesBudget[[#This Row],[Title]])="",1,0)</f>
        <v>0</v>
      </c>
      <c r="I203" s="43">
        <f>IF(TRIM(FinanceCodesBudget[[#This Row],[FinanceCode]])="",1,0)</f>
        <v>0</v>
      </c>
      <c r="J203" s="43">
        <f>IF(LEN(FinanceCodesBudget[[#This Row],[FinanceCode]])&lt;100,0,1)</f>
        <v>0</v>
      </c>
      <c r="K203" s="43">
        <f>IF(LEN(FinanceCodesBudget[[#This Row],[Title]])&lt;100,0,1)</f>
        <v>0</v>
      </c>
      <c r="L203" s="43">
        <f>IF(ISBLANK(FinanceCodesBudget[[#This Row],[BalanceToScenario]]),1,0)</f>
        <v>0</v>
      </c>
      <c r="M203" s="43">
        <f>SUM(FinanceCodesBudget[[#This Row],[LedgerIssue]:[CustGrIssue]],FinanceCodesBudget[[#This Row],[DupCode]:[Balance to Scenario Blank]])</f>
        <v>0</v>
      </c>
      <c r="N203">
        <v>650410</v>
      </c>
      <c r="O203" t="s">
        <v>2723</v>
      </c>
      <c r="P203" t="s">
        <v>373</v>
      </c>
      <c r="Q203" t="s">
        <v>1977</v>
      </c>
      <c r="R203" t="b">
        <v>0</v>
      </c>
      <c r="S203" t="s">
        <v>2526</v>
      </c>
      <c r="T203" t="s">
        <v>1300</v>
      </c>
      <c r="U203" t="s">
        <v>1532</v>
      </c>
      <c r="V203" t="b">
        <v>1</v>
      </c>
      <c r="W203" t="b">
        <v>0</v>
      </c>
    </row>
    <row r="204" spans="1:23" x14ac:dyDescent="0.3">
      <c r="A204" s="147">
        <f>IF(COUNTIF(LEDGER[LedgerCode],FinanceCodesBudget[[#This Row],[LedgerCode]])&gt;0,0,1)</f>
        <v>0</v>
      </c>
      <c r="B204" s="43">
        <f>IF(COUNTIF(Table_System_Grouping_Codes[groupingCodeCode],FinanceCodesBudget[[#This Row],[GroupingCode]])&gt;0,0,1)</f>
        <v>0</v>
      </c>
      <c r="C204" s="43">
        <f>IF(COUNTIF(CUSTGROUP[CustomGroupingCode],FinanceCodesBudget[[#This Row],[CustomGrouping]])&gt;0,0,1)</f>
        <v>0</v>
      </c>
      <c r="D204" s="43" cm="1">
        <f t="array" ref="D204">IF(FinanceCodesBudget[[#This Row],[AvailableToAllSchools]]=TRUE,0,COUNTA(_xlfn.TEXTSPLIT(FinanceCodesBudget[[#This Row],[SchoolCodes]],",",,TRUE))-SUM(COUNTIF(SCHOOLS[SchoolCode],_xlfn.TEXTSPLIT(FinanceCodesBudget[[#This Row],[SchoolCodes]],",",,TRUE))))</f>
        <v>0</v>
      </c>
      <c r="E204" s="43">
        <f>IF(FinanceCodesBudget[[#This Row],[FinanceCodeTypeCode]]="BUDGET",0,COUNTIF(FinanceCodesBudget[FinanceCode],FinanceCodesBudget[[#This Row],[FinanceCode]])-1)</f>
        <v>0</v>
      </c>
      <c r="F204" s="43">
        <f>IF(FinanceCodesBudget[[#This Row],[FinanceCodeTypeCode]]="BUDGET",0,COUNTIF(FinanceCodesBudget[Title],FinanceCodesBudget[[#This Row],[Title]])-1)</f>
        <v>0</v>
      </c>
      <c r="G204" s="43">
        <f>COUNTIF(Lookup!$A$2:$A$7,FinanceCodesBudget[[#This Row],[FinanceCodeTypeCode]])-1</f>
        <v>0</v>
      </c>
      <c r="H204" s="43">
        <f>IF(TRIM(FinanceCodesBudget[[#This Row],[Title]])="",1,0)</f>
        <v>0</v>
      </c>
      <c r="I204" s="43">
        <f>IF(TRIM(FinanceCodesBudget[[#This Row],[FinanceCode]])="",1,0)</f>
        <v>0</v>
      </c>
      <c r="J204" s="43">
        <f>IF(LEN(FinanceCodesBudget[[#This Row],[FinanceCode]])&lt;100,0,1)</f>
        <v>0</v>
      </c>
      <c r="K204" s="43">
        <f>IF(LEN(FinanceCodesBudget[[#This Row],[Title]])&lt;100,0,1)</f>
        <v>0</v>
      </c>
      <c r="L204" s="43">
        <f>IF(ISBLANK(FinanceCodesBudget[[#This Row],[BalanceToScenario]]),1,0)</f>
        <v>0</v>
      </c>
      <c r="M204" s="43">
        <f>SUM(FinanceCodesBudget[[#This Row],[LedgerIssue]:[CustGrIssue]],FinanceCodesBudget[[#This Row],[DupCode]:[Balance to Scenario Blank]])</f>
        <v>0</v>
      </c>
      <c r="N204">
        <v>650420</v>
      </c>
      <c r="O204" t="s">
        <v>2724</v>
      </c>
      <c r="P204" t="s">
        <v>374</v>
      </c>
      <c r="Q204" t="s">
        <v>1977</v>
      </c>
      <c r="R204" t="b">
        <v>0</v>
      </c>
      <c r="S204" t="s">
        <v>2526</v>
      </c>
      <c r="T204" t="s">
        <v>1300</v>
      </c>
      <c r="U204" t="s">
        <v>1532</v>
      </c>
      <c r="V204" t="b">
        <v>1</v>
      </c>
      <c r="W204" t="b">
        <v>0</v>
      </c>
    </row>
    <row r="205" spans="1:23" x14ac:dyDescent="0.3">
      <c r="A205" s="147">
        <f>IF(COUNTIF(LEDGER[LedgerCode],FinanceCodesBudget[[#This Row],[LedgerCode]])&gt;0,0,1)</f>
        <v>0</v>
      </c>
      <c r="B205" s="43">
        <f>IF(COUNTIF(Table_System_Grouping_Codes[groupingCodeCode],FinanceCodesBudget[[#This Row],[GroupingCode]])&gt;0,0,1)</f>
        <v>0</v>
      </c>
      <c r="C205" s="43">
        <f>IF(COUNTIF(CUSTGROUP[CustomGroupingCode],FinanceCodesBudget[[#This Row],[CustomGrouping]])&gt;0,0,1)</f>
        <v>0</v>
      </c>
      <c r="D205" s="43" cm="1">
        <f t="array" ref="D205">IF(FinanceCodesBudget[[#This Row],[AvailableToAllSchools]]=TRUE,0,COUNTA(_xlfn.TEXTSPLIT(FinanceCodesBudget[[#This Row],[SchoolCodes]],",",,TRUE))-SUM(COUNTIF(SCHOOLS[SchoolCode],_xlfn.TEXTSPLIT(FinanceCodesBudget[[#This Row],[SchoolCodes]],",",,TRUE))))</f>
        <v>0</v>
      </c>
      <c r="E205" s="43">
        <f>IF(FinanceCodesBudget[[#This Row],[FinanceCodeTypeCode]]="BUDGET",0,COUNTIF(FinanceCodesBudget[FinanceCode],FinanceCodesBudget[[#This Row],[FinanceCode]])-1)</f>
        <v>0</v>
      </c>
      <c r="F205" s="43">
        <f>IF(FinanceCodesBudget[[#This Row],[FinanceCodeTypeCode]]="BUDGET",0,COUNTIF(FinanceCodesBudget[Title],FinanceCodesBudget[[#This Row],[Title]])-1)</f>
        <v>0</v>
      </c>
      <c r="G205" s="43">
        <f>COUNTIF(Lookup!$A$2:$A$7,FinanceCodesBudget[[#This Row],[FinanceCodeTypeCode]])-1</f>
        <v>0</v>
      </c>
      <c r="H205" s="43">
        <f>IF(TRIM(FinanceCodesBudget[[#This Row],[Title]])="",1,0)</f>
        <v>0</v>
      </c>
      <c r="I205" s="43">
        <f>IF(TRIM(FinanceCodesBudget[[#This Row],[FinanceCode]])="",1,0)</f>
        <v>0</v>
      </c>
      <c r="J205" s="43">
        <f>IF(LEN(FinanceCodesBudget[[#This Row],[FinanceCode]])&lt;100,0,1)</f>
        <v>0</v>
      </c>
      <c r="K205" s="43">
        <f>IF(LEN(FinanceCodesBudget[[#This Row],[Title]])&lt;100,0,1)</f>
        <v>0</v>
      </c>
      <c r="L205" s="43">
        <f>IF(ISBLANK(FinanceCodesBudget[[#This Row],[BalanceToScenario]]),1,0)</f>
        <v>0</v>
      </c>
      <c r="M205" s="43">
        <f>SUM(FinanceCodesBudget[[#This Row],[LedgerIssue]:[CustGrIssue]],FinanceCodesBudget[[#This Row],[DupCode]:[Balance to Scenario Blank]])</f>
        <v>0</v>
      </c>
      <c r="N205">
        <v>650450</v>
      </c>
      <c r="O205" t="s">
        <v>2725</v>
      </c>
      <c r="P205" t="s">
        <v>375</v>
      </c>
      <c r="Q205" t="s">
        <v>1977</v>
      </c>
      <c r="R205" t="b">
        <v>0</v>
      </c>
      <c r="S205" t="s">
        <v>2526</v>
      </c>
      <c r="T205" t="s">
        <v>1300</v>
      </c>
      <c r="U205" t="s">
        <v>1532</v>
      </c>
      <c r="V205" t="b">
        <v>1</v>
      </c>
      <c r="W205" t="b">
        <v>0</v>
      </c>
    </row>
    <row r="206" spans="1:23" x14ac:dyDescent="0.3">
      <c r="A206" s="147">
        <f>IF(COUNTIF(LEDGER[LedgerCode],FinanceCodesBudget[[#This Row],[LedgerCode]])&gt;0,0,1)</f>
        <v>0</v>
      </c>
      <c r="B206" s="43">
        <f>IF(COUNTIF(Table_System_Grouping_Codes[groupingCodeCode],FinanceCodesBudget[[#This Row],[GroupingCode]])&gt;0,0,1)</f>
        <v>0</v>
      </c>
      <c r="C206" s="43">
        <f>IF(COUNTIF(CUSTGROUP[CustomGroupingCode],FinanceCodesBudget[[#This Row],[CustomGrouping]])&gt;0,0,1)</f>
        <v>0</v>
      </c>
      <c r="D206" s="43" cm="1">
        <f t="array" ref="D206">IF(FinanceCodesBudget[[#This Row],[AvailableToAllSchools]]=TRUE,0,COUNTA(_xlfn.TEXTSPLIT(FinanceCodesBudget[[#This Row],[SchoolCodes]],",",,TRUE))-SUM(COUNTIF(SCHOOLS[SchoolCode],_xlfn.TEXTSPLIT(FinanceCodesBudget[[#This Row],[SchoolCodes]],",",,TRUE))))</f>
        <v>0</v>
      </c>
      <c r="E206" s="43">
        <f>IF(FinanceCodesBudget[[#This Row],[FinanceCodeTypeCode]]="BUDGET",0,COUNTIF(FinanceCodesBudget[FinanceCode],FinanceCodesBudget[[#This Row],[FinanceCode]])-1)</f>
        <v>0</v>
      </c>
      <c r="F206" s="43">
        <f>IF(FinanceCodesBudget[[#This Row],[FinanceCodeTypeCode]]="BUDGET",0,COUNTIF(FinanceCodesBudget[Title],FinanceCodesBudget[[#This Row],[Title]])-1)</f>
        <v>0</v>
      </c>
      <c r="G206" s="43">
        <f>COUNTIF(Lookup!$A$2:$A$7,FinanceCodesBudget[[#This Row],[FinanceCodeTypeCode]])-1</f>
        <v>0</v>
      </c>
      <c r="H206" s="43">
        <f>IF(TRIM(FinanceCodesBudget[[#This Row],[Title]])="",1,0)</f>
        <v>0</v>
      </c>
      <c r="I206" s="43">
        <f>IF(TRIM(FinanceCodesBudget[[#This Row],[FinanceCode]])="",1,0)</f>
        <v>0</v>
      </c>
      <c r="J206" s="43">
        <f>IF(LEN(FinanceCodesBudget[[#This Row],[FinanceCode]])&lt;100,0,1)</f>
        <v>0</v>
      </c>
      <c r="K206" s="43">
        <f>IF(LEN(FinanceCodesBudget[[#This Row],[Title]])&lt;100,0,1)</f>
        <v>0</v>
      </c>
      <c r="L206" s="43">
        <f>IF(ISBLANK(FinanceCodesBudget[[#This Row],[BalanceToScenario]]),1,0)</f>
        <v>0</v>
      </c>
      <c r="M206" s="43">
        <f>SUM(FinanceCodesBudget[[#This Row],[LedgerIssue]:[CustGrIssue]],FinanceCodesBudget[[#This Row],[DupCode]:[Balance to Scenario Blank]])</f>
        <v>0</v>
      </c>
      <c r="N206">
        <v>650460</v>
      </c>
      <c r="O206" t="s">
        <v>2726</v>
      </c>
      <c r="P206" t="s">
        <v>376</v>
      </c>
      <c r="Q206" t="s">
        <v>1977</v>
      </c>
      <c r="R206" t="b">
        <v>0</v>
      </c>
      <c r="S206" t="s">
        <v>2526</v>
      </c>
      <c r="T206" t="s">
        <v>1300</v>
      </c>
      <c r="U206" t="s">
        <v>1532</v>
      </c>
      <c r="V206" t="b">
        <v>1</v>
      </c>
      <c r="W206" t="b">
        <v>0</v>
      </c>
    </row>
    <row r="207" spans="1:23" x14ac:dyDescent="0.3">
      <c r="A207" s="147">
        <f>IF(COUNTIF(LEDGER[LedgerCode],FinanceCodesBudget[[#This Row],[LedgerCode]])&gt;0,0,1)</f>
        <v>0</v>
      </c>
      <c r="B207" s="43">
        <f>IF(COUNTIF(Table_System_Grouping_Codes[groupingCodeCode],FinanceCodesBudget[[#This Row],[GroupingCode]])&gt;0,0,1)</f>
        <v>0</v>
      </c>
      <c r="C207" s="43">
        <f>IF(COUNTIF(CUSTGROUP[CustomGroupingCode],FinanceCodesBudget[[#This Row],[CustomGrouping]])&gt;0,0,1)</f>
        <v>0</v>
      </c>
      <c r="D207" s="43" cm="1">
        <f t="array" ref="D207">IF(FinanceCodesBudget[[#This Row],[AvailableToAllSchools]]=TRUE,0,COUNTA(_xlfn.TEXTSPLIT(FinanceCodesBudget[[#This Row],[SchoolCodes]],",",,TRUE))-SUM(COUNTIF(SCHOOLS[SchoolCode],_xlfn.TEXTSPLIT(FinanceCodesBudget[[#This Row],[SchoolCodes]],",",,TRUE))))</f>
        <v>0</v>
      </c>
      <c r="E207" s="43">
        <f>IF(FinanceCodesBudget[[#This Row],[FinanceCodeTypeCode]]="BUDGET",0,COUNTIF(FinanceCodesBudget[FinanceCode],FinanceCodesBudget[[#This Row],[FinanceCode]])-1)</f>
        <v>0</v>
      </c>
      <c r="F207" s="43">
        <f>IF(FinanceCodesBudget[[#This Row],[FinanceCodeTypeCode]]="BUDGET",0,COUNTIF(FinanceCodesBudget[Title],FinanceCodesBudget[[#This Row],[Title]])-1)</f>
        <v>0</v>
      </c>
      <c r="G207" s="43">
        <f>COUNTIF(Lookup!$A$2:$A$7,FinanceCodesBudget[[#This Row],[FinanceCodeTypeCode]])-1</f>
        <v>0</v>
      </c>
      <c r="H207" s="43">
        <f>IF(TRIM(FinanceCodesBudget[[#This Row],[Title]])="",1,0)</f>
        <v>0</v>
      </c>
      <c r="I207" s="43">
        <f>IF(TRIM(FinanceCodesBudget[[#This Row],[FinanceCode]])="",1,0)</f>
        <v>0</v>
      </c>
      <c r="J207" s="43">
        <f>IF(LEN(FinanceCodesBudget[[#This Row],[FinanceCode]])&lt;100,0,1)</f>
        <v>0</v>
      </c>
      <c r="K207" s="43">
        <f>IF(LEN(FinanceCodesBudget[[#This Row],[Title]])&lt;100,0,1)</f>
        <v>0</v>
      </c>
      <c r="L207" s="43">
        <f>IF(ISBLANK(FinanceCodesBudget[[#This Row],[BalanceToScenario]]),1,0)</f>
        <v>0</v>
      </c>
      <c r="M207" s="43">
        <f>SUM(FinanceCodesBudget[[#This Row],[LedgerIssue]:[CustGrIssue]],FinanceCodesBudget[[#This Row],[DupCode]:[Balance to Scenario Blank]])</f>
        <v>0</v>
      </c>
      <c r="N207">
        <v>650470</v>
      </c>
      <c r="O207" t="s">
        <v>2727</v>
      </c>
      <c r="P207" t="s">
        <v>377</v>
      </c>
      <c r="Q207" t="s">
        <v>1977</v>
      </c>
      <c r="R207" t="b">
        <v>0</v>
      </c>
      <c r="S207" t="s">
        <v>2526</v>
      </c>
      <c r="T207" t="s">
        <v>1300</v>
      </c>
      <c r="U207" t="s">
        <v>1532</v>
      </c>
      <c r="V207" t="b">
        <v>1</v>
      </c>
      <c r="W207" t="b">
        <v>0</v>
      </c>
    </row>
    <row r="208" spans="1:23" x14ac:dyDescent="0.3">
      <c r="A208" s="147">
        <f>IF(COUNTIF(LEDGER[LedgerCode],FinanceCodesBudget[[#This Row],[LedgerCode]])&gt;0,0,1)</f>
        <v>0</v>
      </c>
      <c r="B208" s="43">
        <f>IF(COUNTIF(Table_System_Grouping_Codes[groupingCodeCode],FinanceCodesBudget[[#This Row],[GroupingCode]])&gt;0,0,1)</f>
        <v>0</v>
      </c>
      <c r="C208" s="43">
        <f>IF(COUNTIF(CUSTGROUP[CustomGroupingCode],FinanceCodesBudget[[#This Row],[CustomGrouping]])&gt;0,0,1)</f>
        <v>0</v>
      </c>
      <c r="D208" s="43" cm="1">
        <f t="array" ref="D208">IF(FinanceCodesBudget[[#This Row],[AvailableToAllSchools]]=TRUE,0,COUNTA(_xlfn.TEXTSPLIT(FinanceCodesBudget[[#This Row],[SchoolCodes]],",",,TRUE))-SUM(COUNTIF(SCHOOLS[SchoolCode],_xlfn.TEXTSPLIT(FinanceCodesBudget[[#This Row],[SchoolCodes]],",",,TRUE))))</f>
        <v>0</v>
      </c>
      <c r="E208" s="43">
        <f>IF(FinanceCodesBudget[[#This Row],[FinanceCodeTypeCode]]="BUDGET",0,COUNTIF(FinanceCodesBudget[FinanceCode],FinanceCodesBudget[[#This Row],[FinanceCode]])-1)</f>
        <v>0</v>
      </c>
      <c r="F208" s="43">
        <f>IF(FinanceCodesBudget[[#This Row],[FinanceCodeTypeCode]]="BUDGET",0,COUNTIF(FinanceCodesBudget[Title],FinanceCodesBudget[[#This Row],[Title]])-1)</f>
        <v>0</v>
      </c>
      <c r="G208" s="43">
        <f>COUNTIF(Lookup!$A$2:$A$7,FinanceCodesBudget[[#This Row],[FinanceCodeTypeCode]])-1</f>
        <v>0</v>
      </c>
      <c r="H208" s="43">
        <f>IF(TRIM(FinanceCodesBudget[[#This Row],[Title]])="",1,0)</f>
        <v>0</v>
      </c>
      <c r="I208" s="43">
        <f>IF(TRIM(FinanceCodesBudget[[#This Row],[FinanceCode]])="",1,0)</f>
        <v>0</v>
      </c>
      <c r="J208" s="43">
        <f>IF(LEN(FinanceCodesBudget[[#This Row],[FinanceCode]])&lt;100,0,1)</f>
        <v>0</v>
      </c>
      <c r="K208" s="43">
        <f>IF(LEN(FinanceCodesBudget[[#This Row],[Title]])&lt;100,0,1)</f>
        <v>0</v>
      </c>
      <c r="L208" s="43">
        <f>IF(ISBLANK(FinanceCodesBudget[[#This Row],[BalanceToScenario]]),1,0)</f>
        <v>0</v>
      </c>
      <c r="M208" s="43">
        <f>SUM(FinanceCodesBudget[[#This Row],[LedgerIssue]:[CustGrIssue]],FinanceCodesBudget[[#This Row],[DupCode]:[Balance to Scenario Blank]])</f>
        <v>0</v>
      </c>
      <c r="N208">
        <v>650500</v>
      </c>
      <c r="O208" t="s">
        <v>2728</v>
      </c>
      <c r="P208" t="s">
        <v>378</v>
      </c>
      <c r="Q208" t="s">
        <v>1979</v>
      </c>
      <c r="R208" t="b">
        <v>0</v>
      </c>
      <c r="S208" t="s">
        <v>2526</v>
      </c>
      <c r="T208" t="s">
        <v>1300</v>
      </c>
      <c r="U208" t="s">
        <v>1532</v>
      </c>
      <c r="V208" t="b">
        <v>1</v>
      </c>
      <c r="W208" t="b">
        <v>0</v>
      </c>
    </row>
    <row r="209" spans="1:23" x14ac:dyDescent="0.3">
      <c r="A209" s="147">
        <f>IF(COUNTIF(LEDGER[LedgerCode],FinanceCodesBudget[[#This Row],[LedgerCode]])&gt;0,0,1)</f>
        <v>0</v>
      </c>
      <c r="B209" s="43">
        <f>IF(COUNTIF(Table_System_Grouping_Codes[groupingCodeCode],FinanceCodesBudget[[#This Row],[GroupingCode]])&gt;0,0,1)</f>
        <v>0</v>
      </c>
      <c r="C209" s="43">
        <f>IF(COUNTIF(CUSTGROUP[CustomGroupingCode],FinanceCodesBudget[[#This Row],[CustomGrouping]])&gt;0,0,1)</f>
        <v>0</v>
      </c>
      <c r="D209" s="43" cm="1">
        <f t="array" ref="D209">IF(FinanceCodesBudget[[#This Row],[AvailableToAllSchools]]=TRUE,0,COUNTA(_xlfn.TEXTSPLIT(FinanceCodesBudget[[#This Row],[SchoolCodes]],",",,TRUE))-SUM(COUNTIF(SCHOOLS[SchoolCode],_xlfn.TEXTSPLIT(FinanceCodesBudget[[#This Row],[SchoolCodes]],",",,TRUE))))</f>
        <v>0</v>
      </c>
      <c r="E209" s="43">
        <f>IF(FinanceCodesBudget[[#This Row],[FinanceCodeTypeCode]]="BUDGET",0,COUNTIF(FinanceCodesBudget[FinanceCode],FinanceCodesBudget[[#This Row],[FinanceCode]])-1)</f>
        <v>0</v>
      </c>
      <c r="F209" s="43">
        <f>IF(FinanceCodesBudget[[#This Row],[FinanceCodeTypeCode]]="BUDGET",0,COUNTIF(FinanceCodesBudget[Title],FinanceCodesBudget[[#This Row],[Title]])-1)</f>
        <v>0</v>
      </c>
      <c r="G209" s="43">
        <f>COUNTIF(Lookup!$A$2:$A$7,FinanceCodesBudget[[#This Row],[FinanceCodeTypeCode]])-1</f>
        <v>0</v>
      </c>
      <c r="H209" s="43">
        <f>IF(TRIM(FinanceCodesBudget[[#This Row],[Title]])="",1,0)</f>
        <v>0</v>
      </c>
      <c r="I209" s="43">
        <f>IF(TRIM(FinanceCodesBudget[[#This Row],[FinanceCode]])="",1,0)</f>
        <v>0</v>
      </c>
      <c r="J209" s="43">
        <f>IF(LEN(FinanceCodesBudget[[#This Row],[FinanceCode]])&lt;100,0,1)</f>
        <v>0</v>
      </c>
      <c r="K209" s="43">
        <f>IF(LEN(FinanceCodesBudget[[#This Row],[Title]])&lt;100,0,1)</f>
        <v>0</v>
      </c>
      <c r="L209" s="43">
        <f>IF(ISBLANK(FinanceCodesBudget[[#This Row],[BalanceToScenario]]),1,0)</f>
        <v>0</v>
      </c>
      <c r="M209" s="43">
        <f>SUM(FinanceCodesBudget[[#This Row],[LedgerIssue]:[CustGrIssue]],FinanceCodesBudget[[#This Row],[DupCode]:[Balance to Scenario Blank]])</f>
        <v>0</v>
      </c>
      <c r="N209">
        <v>650510</v>
      </c>
      <c r="O209" t="s">
        <v>2729</v>
      </c>
      <c r="P209" t="s">
        <v>379</v>
      </c>
      <c r="Q209" t="s">
        <v>1979</v>
      </c>
      <c r="R209" t="b">
        <v>0</v>
      </c>
      <c r="S209" t="s">
        <v>2526</v>
      </c>
      <c r="T209" t="s">
        <v>1300</v>
      </c>
      <c r="U209" t="s">
        <v>1532</v>
      </c>
      <c r="V209" t="b">
        <v>1</v>
      </c>
      <c r="W209" t="b">
        <v>0</v>
      </c>
    </row>
    <row r="210" spans="1:23" x14ac:dyDescent="0.3">
      <c r="A210" s="147">
        <f>IF(COUNTIF(LEDGER[LedgerCode],FinanceCodesBudget[[#This Row],[LedgerCode]])&gt;0,0,1)</f>
        <v>0</v>
      </c>
      <c r="B210" s="43">
        <f>IF(COUNTIF(Table_System_Grouping_Codes[groupingCodeCode],FinanceCodesBudget[[#This Row],[GroupingCode]])&gt;0,0,1)</f>
        <v>0</v>
      </c>
      <c r="C210" s="43">
        <f>IF(COUNTIF(CUSTGROUP[CustomGroupingCode],FinanceCodesBudget[[#This Row],[CustomGrouping]])&gt;0,0,1)</f>
        <v>0</v>
      </c>
      <c r="D210" s="43" cm="1">
        <f t="array" ref="D210">IF(FinanceCodesBudget[[#This Row],[AvailableToAllSchools]]=TRUE,0,COUNTA(_xlfn.TEXTSPLIT(FinanceCodesBudget[[#This Row],[SchoolCodes]],",",,TRUE))-SUM(COUNTIF(SCHOOLS[SchoolCode],_xlfn.TEXTSPLIT(FinanceCodesBudget[[#This Row],[SchoolCodes]],",",,TRUE))))</f>
        <v>0</v>
      </c>
      <c r="E210" s="43">
        <f>IF(FinanceCodesBudget[[#This Row],[FinanceCodeTypeCode]]="BUDGET",0,COUNTIF(FinanceCodesBudget[FinanceCode],FinanceCodesBudget[[#This Row],[FinanceCode]])-1)</f>
        <v>0</v>
      </c>
      <c r="F210" s="43">
        <f>IF(FinanceCodesBudget[[#This Row],[FinanceCodeTypeCode]]="BUDGET",0,COUNTIF(FinanceCodesBudget[Title],FinanceCodesBudget[[#This Row],[Title]])-1)</f>
        <v>0</v>
      </c>
      <c r="G210" s="43">
        <f>COUNTIF(Lookup!$A$2:$A$7,FinanceCodesBudget[[#This Row],[FinanceCodeTypeCode]])-1</f>
        <v>0</v>
      </c>
      <c r="H210" s="43">
        <f>IF(TRIM(FinanceCodesBudget[[#This Row],[Title]])="",1,0)</f>
        <v>0</v>
      </c>
      <c r="I210" s="43">
        <f>IF(TRIM(FinanceCodesBudget[[#This Row],[FinanceCode]])="",1,0)</f>
        <v>0</v>
      </c>
      <c r="J210" s="43">
        <f>IF(LEN(FinanceCodesBudget[[#This Row],[FinanceCode]])&lt;100,0,1)</f>
        <v>0</v>
      </c>
      <c r="K210" s="43">
        <f>IF(LEN(FinanceCodesBudget[[#This Row],[Title]])&lt;100,0,1)</f>
        <v>0</v>
      </c>
      <c r="L210" s="43">
        <f>IF(ISBLANK(FinanceCodesBudget[[#This Row],[BalanceToScenario]]),1,0)</f>
        <v>0</v>
      </c>
      <c r="M210" s="43">
        <f>SUM(FinanceCodesBudget[[#This Row],[LedgerIssue]:[CustGrIssue]],FinanceCodesBudget[[#This Row],[DupCode]:[Balance to Scenario Blank]])</f>
        <v>0</v>
      </c>
      <c r="N210">
        <v>650520</v>
      </c>
      <c r="O210" t="s">
        <v>2730</v>
      </c>
      <c r="P210" t="s">
        <v>381</v>
      </c>
      <c r="Q210" t="s">
        <v>1979</v>
      </c>
      <c r="R210" t="b">
        <v>0</v>
      </c>
      <c r="S210" t="s">
        <v>2526</v>
      </c>
      <c r="T210" t="s">
        <v>1300</v>
      </c>
      <c r="U210" t="s">
        <v>1532</v>
      </c>
      <c r="V210" t="b">
        <v>1</v>
      </c>
      <c r="W210" t="b">
        <v>0</v>
      </c>
    </row>
    <row r="211" spans="1:23" x14ac:dyDescent="0.3">
      <c r="A211" s="147">
        <f>IF(COUNTIF(LEDGER[LedgerCode],FinanceCodesBudget[[#This Row],[LedgerCode]])&gt;0,0,1)</f>
        <v>0</v>
      </c>
      <c r="B211" s="43">
        <f>IF(COUNTIF(Table_System_Grouping_Codes[groupingCodeCode],FinanceCodesBudget[[#This Row],[GroupingCode]])&gt;0,0,1)</f>
        <v>0</v>
      </c>
      <c r="C211" s="43">
        <f>IF(COUNTIF(CUSTGROUP[CustomGroupingCode],FinanceCodesBudget[[#This Row],[CustomGrouping]])&gt;0,0,1)</f>
        <v>0</v>
      </c>
      <c r="D211" s="43" cm="1">
        <f t="array" ref="D211">IF(FinanceCodesBudget[[#This Row],[AvailableToAllSchools]]=TRUE,0,COUNTA(_xlfn.TEXTSPLIT(FinanceCodesBudget[[#This Row],[SchoolCodes]],",",,TRUE))-SUM(COUNTIF(SCHOOLS[SchoolCode],_xlfn.TEXTSPLIT(FinanceCodesBudget[[#This Row],[SchoolCodes]],",",,TRUE))))</f>
        <v>0</v>
      </c>
      <c r="E211" s="43">
        <f>IF(FinanceCodesBudget[[#This Row],[FinanceCodeTypeCode]]="BUDGET",0,COUNTIF(FinanceCodesBudget[FinanceCode],FinanceCodesBudget[[#This Row],[FinanceCode]])-1)</f>
        <v>0</v>
      </c>
      <c r="F211" s="43">
        <f>IF(FinanceCodesBudget[[#This Row],[FinanceCodeTypeCode]]="BUDGET",0,COUNTIF(FinanceCodesBudget[Title],FinanceCodesBudget[[#This Row],[Title]])-1)</f>
        <v>0</v>
      </c>
      <c r="G211" s="43">
        <f>COUNTIF(Lookup!$A$2:$A$7,FinanceCodesBudget[[#This Row],[FinanceCodeTypeCode]])-1</f>
        <v>0</v>
      </c>
      <c r="H211" s="43">
        <f>IF(TRIM(FinanceCodesBudget[[#This Row],[Title]])="",1,0)</f>
        <v>0</v>
      </c>
      <c r="I211" s="43">
        <f>IF(TRIM(FinanceCodesBudget[[#This Row],[FinanceCode]])="",1,0)</f>
        <v>0</v>
      </c>
      <c r="J211" s="43">
        <f>IF(LEN(FinanceCodesBudget[[#This Row],[FinanceCode]])&lt;100,0,1)</f>
        <v>0</v>
      </c>
      <c r="K211" s="43">
        <f>IF(LEN(FinanceCodesBudget[[#This Row],[Title]])&lt;100,0,1)</f>
        <v>0</v>
      </c>
      <c r="L211" s="43">
        <f>IF(ISBLANK(FinanceCodesBudget[[#This Row],[BalanceToScenario]]),1,0)</f>
        <v>0</v>
      </c>
      <c r="M211" s="43">
        <f>SUM(FinanceCodesBudget[[#This Row],[LedgerIssue]:[CustGrIssue]],FinanceCodesBudget[[#This Row],[DupCode]:[Balance to Scenario Blank]])</f>
        <v>0</v>
      </c>
      <c r="N211">
        <v>650550</v>
      </c>
      <c r="O211" t="s">
        <v>2731</v>
      </c>
      <c r="P211" t="s">
        <v>383</v>
      </c>
      <c r="Q211" t="s">
        <v>1979</v>
      </c>
      <c r="R211" t="b">
        <v>0</v>
      </c>
      <c r="S211" t="s">
        <v>2526</v>
      </c>
      <c r="T211" t="s">
        <v>1300</v>
      </c>
      <c r="U211" t="s">
        <v>1532</v>
      </c>
      <c r="V211" t="b">
        <v>1</v>
      </c>
      <c r="W211" t="b">
        <v>0</v>
      </c>
    </row>
    <row r="212" spans="1:23" x14ac:dyDescent="0.3">
      <c r="A212" s="147">
        <f>IF(COUNTIF(LEDGER[LedgerCode],FinanceCodesBudget[[#This Row],[LedgerCode]])&gt;0,0,1)</f>
        <v>0</v>
      </c>
      <c r="B212" s="43">
        <f>IF(COUNTIF(Table_System_Grouping_Codes[groupingCodeCode],FinanceCodesBudget[[#This Row],[GroupingCode]])&gt;0,0,1)</f>
        <v>0</v>
      </c>
      <c r="C212" s="43">
        <f>IF(COUNTIF(CUSTGROUP[CustomGroupingCode],FinanceCodesBudget[[#This Row],[CustomGrouping]])&gt;0,0,1)</f>
        <v>0</v>
      </c>
      <c r="D212" s="43" cm="1">
        <f t="array" ref="D212">IF(FinanceCodesBudget[[#This Row],[AvailableToAllSchools]]=TRUE,0,COUNTA(_xlfn.TEXTSPLIT(FinanceCodesBudget[[#This Row],[SchoolCodes]],",",,TRUE))-SUM(COUNTIF(SCHOOLS[SchoolCode],_xlfn.TEXTSPLIT(FinanceCodesBudget[[#This Row],[SchoolCodes]],",",,TRUE))))</f>
        <v>0</v>
      </c>
      <c r="E212" s="43">
        <f>IF(FinanceCodesBudget[[#This Row],[FinanceCodeTypeCode]]="BUDGET",0,COUNTIF(FinanceCodesBudget[FinanceCode],FinanceCodesBudget[[#This Row],[FinanceCode]])-1)</f>
        <v>0</v>
      </c>
      <c r="F212" s="43">
        <f>IF(FinanceCodesBudget[[#This Row],[FinanceCodeTypeCode]]="BUDGET",0,COUNTIF(FinanceCodesBudget[Title],FinanceCodesBudget[[#This Row],[Title]])-1)</f>
        <v>0</v>
      </c>
      <c r="G212" s="43">
        <f>COUNTIF(Lookup!$A$2:$A$7,FinanceCodesBudget[[#This Row],[FinanceCodeTypeCode]])-1</f>
        <v>0</v>
      </c>
      <c r="H212" s="43">
        <f>IF(TRIM(FinanceCodesBudget[[#This Row],[Title]])="",1,0)</f>
        <v>0</v>
      </c>
      <c r="I212" s="43">
        <f>IF(TRIM(FinanceCodesBudget[[#This Row],[FinanceCode]])="",1,0)</f>
        <v>0</v>
      </c>
      <c r="J212" s="43">
        <f>IF(LEN(FinanceCodesBudget[[#This Row],[FinanceCode]])&lt;100,0,1)</f>
        <v>0</v>
      </c>
      <c r="K212" s="43">
        <f>IF(LEN(FinanceCodesBudget[[#This Row],[Title]])&lt;100,0,1)</f>
        <v>0</v>
      </c>
      <c r="L212" s="43">
        <f>IF(ISBLANK(FinanceCodesBudget[[#This Row],[BalanceToScenario]]),1,0)</f>
        <v>0</v>
      </c>
      <c r="M212" s="43">
        <f>SUM(FinanceCodesBudget[[#This Row],[LedgerIssue]:[CustGrIssue]],FinanceCodesBudget[[#This Row],[DupCode]:[Balance to Scenario Blank]])</f>
        <v>0</v>
      </c>
      <c r="N212">
        <v>650560</v>
      </c>
      <c r="O212" t="s">
        <v>2732</v>
      </c>
      <c r="P212" t="s">
        <v>385</v>
      </c>
      <c r="Q212" t="s">
        <v>1979</v>
      </c>
      <c r="R212" t="b">
        <v>0</v>
      </c>
      <c r="S212" t="s">
        <v>2526</v>
      </c>
      <c r="T212" t="s">
        <v>1300</v>
      </c>
      <c r="U212" t="s">
        <v>1532</v>
      </c>
      <c r="V212" t="b">
        <v>1</v>
      </c>
      <c r="W212" t="b">
        <v>0</v>
      </c>
    </row>
    <row r="213" spans="1:23" x14ac:dyDescent="0.3">
      <c r="A213" s="147">
        <f>IF(COUNTIF(LEDGER[LedgerCode],FinanceCodesBudget[[#This Row],[LedgerCode]])&gt;0,0,1)</f>
        <v>0</v>
      </c>
      <c r="B213" s="43">
        <f>IF(COUNTIF(Table_System_Grouping_Codes[groupingCodeCode],FinanceCodesBudget[[#This Row],[GroupingCode]])&gt;0,0,1)</f>
        <v>0</v>
      </c>
      <c r="C213" s="43">
        <f>IF(COUNTIF(CUSTGROUP[CustomGroupingCode],FinanceCodesBudget[[#This Row],[CustomGrouping]])&gt;0,0,1)</f>
        <v>0</v>
      </c>
      <c r="D213" s="43" cm="1">
        <f t="array" ref="D213">IF(FinanceCodesBudget[[#This Row],[AvailableToAllSchools]]=TRUE,0,COUNTA(_xlfn.TEXTSPLIT(FinanceCodesBudget[[#This Row],[SchoolCodes]],",",,TRUE))-SUM(COUNTIF(SCHOOLS[SchoolCode],_xlfn.TEXTSPLIT(FinanceCodesBudget[[#This Row],[SchoolCodes]],",",,TRUE))))</f>
        <v>0</v>
      </c>
      <c r="E213" s="43">
        <f>IF(FinanceCodesBudget[[#This Row],[FinanceCodeTypeCode]]="BUDGET",0,COUNTIF(FinanceCodesBudget[FinanceCode],FinanceCodesBudget[[#This Row],[FinanceCode]])-1)</f>
        <v>0</v>
      </c>
      <c r="F213" s="43">
        <f>IF(FinanceCodesBudget[[#This Row],[FinanceCodeTypeCode]]="BUDGET",0,COUNTIF(FinanceCodesBudget[Title],FinanceCodesBudget[[#This Row],[Title]])-1)</f>
        <v>0</v>
      </c>
      <c r="G213" s="43">
        <f>COUNTIF(Lookup!$A$2:$A$7,FinanceCodesBudget[[#This Row],[FinanceCodeTypeCode]])-1</f>
        <v>0</v>
      </c>
      <c r="H213" s="43">
        <f>IF(TRIM(FinanceCodesBudget[[#This Row],[Title]])="",1,0)</f>
        <v>0</v>
      </c>
      <c r="I213" s="43">
        <f>IF(TRIM(FinanceCodesBudget[[#This Row],[FinanceCode]])="",1,0)</f>
        <v>0</v>
      </c>
      <c r="J213" s="43">
        <f>IF(LEN(FinanceCodesBudget[[#This Row],[FinanceCode]])&lt;100,0,1)</f>
        <v>0</v>
      </c>
      <c r="K213" s="43">
        <f>IF(LEN(FinanceCodesBudget[[#This Row],[Title]])&lt;100,0,1)</f>
        <v>0</v>
      </c>
      <c r="L213" s="43">
        <f>IF(ISBLANK(FinanceCodesBudget[[#This Row],[BalanceToScenario]]),1,0)</f>
        <v>0</v>
      </c>
      <c r="M213" s="43">
        <f>SUM(FinanceCodesBudget[[#This Row],[LedgerIssue]:[CustGrIssue]],FinanceCodesBudget[[#This Row],[DupCode]:[Balance to Scenario Blank]])</f>
        <v>0</v>
      </c>
      <c r="N213">
        <v>650570</v>
      </c>
      <c r="O213" t="s">
        <v>2733</v>
      </c>
      <c r="P213" t="s">
        <v>387</v>
      </c>
      <c r="Q213" t="s">
        <v>1979</v>
      </c>
      <c r="R213" t="b">
        <v>0</v>
      </c>
      <c r="S213" t="s">
        <v>2526</v>
      </c>
      <c r="T213" t="s">
        <v>1300</v>
      </c>
      <c r="U213" t="s">
        <v>1532</v>
      </c>
      <c r="V213" t="b">
        <v>1</v>
      </c>
      <c r="W213" t="b">
        <v>0</v>
      </c>
    </row>
    <row r="214" spans="1:23" x14ac:dyDescent="0.3">
      <c r="A214" s="147">
        <f>IF(COUNTIF(LEDGER[LedgerCode],FinanceCodesBudget[[#This Row],[LedgerCode]])&gt;0,0,1)</f>
        <v>0</v>
      </c>
      <c r="B214" s="43">
        <f>IF(COUNTIF(Table_System_Grouping_Codes[groupingCodeCode],FinanceCodesBudget[[#This Row],[GroupingCode]])&gt;0,0,1)</f>
        <v>0</v>
      </c>
      <c r="C214" s="43">
        <f>IF(COUNTIF(CUSTGROUP[CustomGroupingCode],FinanceCodesBudget[[#This Row],[CustomGrouping]])&gt;0,0,1)</f>
        <v>0</v>
      </c>
      <c r="D214" s="43" cm="1">
        <f t="array" ref="D214">IF(FinanceCodesBudget[[#This Row],[AvailableToAllSchools]]=TRUE,0,COUNTA(_xlfn.TEXTSPLIT(FinanceCodesBudget[[#This Row],[SchoolCodes]],",",,TRUE))-SUM(COUNTIF(SCHOOLS[SchoolCode],_xlfn.TEXTSPLIT(FinanceCodesBudget[[#This Row],[SchoolCodes]],",",,TRUE))))</f>
        <v>0</v>
      </c>
      <c r="E214" s="43">
        <f>IF(FinanceCodesBudget[[#This Row],[FinanceCodeTypeCode]]="BUDGET",0,COUNTIF(FinanceCodesBudget[FinanceCode],FinanceCodesBudget[[#This Row],[FinanceCode]])-1)</f>
        <v>0</v>
      </c>
      <c r="F214" s="43">
        <f>IF(FinanceCodesBudget[[#This Row],[FinanceCodeTypeCode]]="BUDGET",0,COUNTIF(FinanceCodesBudget[Title],FinanceCodesBudget[[#This Row],[Title]])-1)</f>
        <v>0</v>
      </c>
      <c r="G214" s="43">
        <f>COUNTIF(Lookup!$A$2:$A$7,FinanceCodesBudget[[#This Row],[FinanceCodeTypeCode]])-1</f>
        <v>0</v>
      </c>
      <c r="H214" s="43">
        <f>IF(TRIM(FinanceCodesBudget[[#This Row],[Title]])="",1,0)</f>
        <v>0</v>
      </c>
      <c r="I214" s="43">
        <f>IF(TRIM(FinanceCodesBudget[[#This Row],[FinanceCode]])="",1,0)</f>
        <v>0</v>
      </c>
      <c r="J214" s="43">
        <f>IF(LEN(FinanceCodesBudget[[#This Row],[FinanceCode]])&lt;100,0,1)</f>
        <v>0</v>
      </c>
      <c r="K214" s="43">
        <f>IF(LEN(FinanceCodesBudget[[#This Row],[Title]])&lt;100,0,1)</f>
        <v>0</v>
      </c>
      <c r="L214" s="43">
        <f>IF(ISBLANK(FinanceCodesBudget[[#This Row],[BalanceToScenario]]),1,0)</f>
        <v>0</v>
      </c>
      <c r="M214" s="43">
        <f>SUM(FinanceCodesBudget[[#This Row],[LedgerIssue]:[CustGrIssue]],FinanceCodesBudget[[#This Row],[DupCode]:[Balance to Scenario Blank]])</f>
        <v>0</v>
      </c>
      <c r="N214">
        <v>655100</v>
      </c>
      <c r="O214" t="s">
        <v>2734</v>
      </c>
      <c r="P214" t="s">
        <v>389</v>
      </c>
      <c r="Q214" t="s">
        <v>1985</v>
      </c>
      <c r="R214" t="b">
        <v>0</v>
      </c>
      <c r="S214" t="s">
        <v>2735</v>
      </c>
      <c r="T214" t="s">
        <v>1300</v>
      </c>
      <c r="U214" t="s">
        <v>1532</v>
      </c>
      <c r="V214" t="b">
        <v>1</v>
      </c>
      <c r="W214" t="b">
        <v>0</v>
      </c>
    </row>
    <row r="215" spans="1:23" x14ac:dyDescent="0.3">
      <c r="A215" s="147">
        <f>IF(COUNTIF(LEDGER[LedgerCode],FinanceCodesBudget[[#This Row],[LedgerCode]])&gt;0,0,1)</f>
        <v>0</v>
      </c>
      <c r="B215" s="43">
        <f>IF(COUNTIF(Table_System_Grouping_Codes[groupingCodeCode],FinanceCodesBudget[[#This Row],[GroupingCode]])&gt;0,0,1)</f>
        <v>0</v>
      </c>
      <c r="C215" s="43">
        <f>IF(COUNTIF(CUSTGROUP[CustomGroupingCode],FinanceCodesBudget[[#This Row],[CustomGrouping]])&gt;0,0,1)</f>
        <v>0</v>
      </c>
      <c r="D215" s="43" cm="1">
        <f t="array" ref="D215">IF(FinanceCodesBudget[[#This Row],[AvailableToAllSchools]]=TRUE,0,COUNTA(_xlfn.TEXTSPLIT(FinanceCodesBudget[[#This Row],[SchoolCodes]],",",,TRUE))-SUM(COUNTIF(SCHOOLS[SchoolCode],_xlfn.TEXTSPLIT(FinanceCodesBudget[[#This Row],[SchoolCodes]],",",,TRUE))))</f>
        <v>0</v>
      </c>
      <c r="E215" s="43">
        <f>IF(FinanceCodesBudget[[#This Row],[FinanceCodeTypeCode]]="BUDGET",0,COUNTIF(FinanceCodesBudget[FinanceCode],FinanceCodesBudget[[#This Row],[FinanceCode]])-1)</f>
        <v>0</v>
      </c>
      <c r="F215" s="43">
        <f>IF(FinanceCodesBudget[[#This Row],[FinanceCodeTypeCode]]="BUDGET",0,COUNTIF(FinanceCodesBudget[Title],FinanceCodesBudget[[#This Row],[Title]])-1)</f>
        <v>0</v>
      </c>
      <c r="G215" s="43">
        <f>COUNTIF(Lookup!$A$2:$A$7,FinanceCodesBudget[[#This Row],[FinanceCodeTypeCode]])-1</f>
        <v>0</v>
      </c>
      <c r="H215" s="43">
        <f>IF(TRIM(FinanceCodesBudget[[#This Row],[Title]])="",1,0)</f>
        <v>0</v>
      </c>
      <c r="I215" s="43">
        <f>IF(TRIM(FinanceCodesBudget[[#This Row],[FinanceCode]])="",1,0)</f>
        <v>0</v>
      </c>
      <c r="J215" s="43">
        <f>IF(LEN(FinanceCodesBudget[[#This Row],[FinanceCode]])&lt;100,0,1)</f>
        <v>0</v>
      </c>
      <c r="K215" s="43">
        <f>IF(LEN(FinanceCodesBudget[[#This Row],[Title]])&lt;100,0,1)</f>
        <v>0</v>
      </c>
      <c r="L215" s="43">
        <f>IF(ISBLANK(FinanceCodesBudget[[#This Row],[BalanceToScenario]]),1,0)</f>
        <v>0</v>
      </c>
      <c r="M215" s="43">
        <f>SUM(FinanceCodesBudget[[#This Row],[LedgerIssue]:[CustGrIssue]],FinanceCodesBudget[[#This Row],[DupCode]:[Balance to Scenario Blank]])</f>
        <v>0</v>
      </c>
      <c r="N215">
        <v>655150</v>
      </c>
      <c r="O215" t="s">
        <v>2736</v>
      </c>
      <c r="P215" t="s">
        <v>391</v>
      </c>
      <c r="Q215" t="s">
        <v>1985</v>
      </c>
      <c r="R215" t="b">
        <v>0</v>
      </c>
      <c r="S215" t="s">
        <v>2735</v>
      </c>
      <c r="T215" t="s">
        <v>1300</v>
      </c>
      <c r="U215" t="s">
        <v>1532</v>
      </c>
      <c r="V215" t="b">
        <v>1</v>
      </c>
      <c r="W215" t="b">
        <v>0</v>
      </c>
    </row>
    <row r="216" spans="1:23" x14ac:dyDescent="0.3">
      <c r="A216" s="147">
        <f>IF(COUNTIF(LEDGER[LedgerCode],FinanceCodesBudget[[#This Row],[LedgerCode]])&gt;0,0,1)</f>
        <v>0</v>
      </c>
      <c r="B216" s="43">
        <f>IF(COUNTIF(Table_System_Grouping_Codes[groupingCodeCode],FinanceCodesBudget[[#This Row],[GroupingCode]])&gt;0,0,1)</f>
        <v>0</v>
      </c>
      <c r="C216" s="43">
        <f>IF(COUNTIF(CUSTGROUP[CustomGroupingCode],FinanceCodesBudget[[#This Row],[CustomGrouping]])&gt;0,0,1)</f>
        <v>0</v>
      </c>
      <c r="D216" s="43" cm="1">
        <f t="array" ref="D216">IF(FinanceCodesBudget[[#This Row],[AvailableToAllSchools]]=TRUE,0,COUNTA(_xlfn.TEXTSPLIT(FinanceCodesBudget[[#This Row],[SchoolCodes]],",",,TRUE))-SUM(COUNTIF(SCHOOLS[SchoolCode],_xlfn.TEXTSPLIT(FinanceCodesBudget[[#This Row],[SchoolCodes]],",",,TRUE))))</f>
        <v>0</v>
      </c>
      <c r="E216" s="43">
        <f>IF(FinanceCodesBudget[[#This Row],[FinanceCodeTypeCode]]="BUDGET",0,COUNTIF(FinanceCodesBudget[FinanceCode],FinanceCodesBudget[[#This Row],[FinanceCode]])-1)</f>
        <v>0</v>
      </c>
      <c r="F216" s="43">
        <f>IF(FinanceCodesBudget[[#This Row],[FinanceCodeTypeCode]]="BUDGET",0,COUNTIF(FinanceCodesBudget[Title],FinanceCodesBudget[[#This Row],[Title]])-1)</f>
        <v>0</v>
      </c>
      <c r="G216" s="43">
        <f>COUNTIF(Lookup!$A$2:$A$7,FinanceCodesBudget[[#This Row],[FinanceCodeTypeCode]])-1</f>
        <v>0</v>
      </c>
      <c r="H216" s="43">
        <f>IF(TRIM(FinanceCodesBudget[[#This Row],[Title]])="",1,0)</f>
        <v>0</v>
      </c>
      <c r="I216" s="43">
        <f>IF(TRIM(FinanceCodesBudget[[#This Row],[FinanceCode]])="",1,0)</f>
        <v>0</v>
      </c>
      <c r="J216" s="43">
        <f>IF(LEN(FinanceCodesBudget[[#This Row],[FinanceCode]])&lt;100,0,1)</f>
        <v>0</v>
      </c>
      <c r="K216" s="43">
        <f>IF(LEN(FinanceCodesBudget[[#This Row],[Title]])&lt;100,0,1)</f>
        <v>0</v>
      </c>
      <c r="L216" s="43">
        <f>IF(ISBLANK(FinanceCodesBudget[[#This Row],[BalanceToScenario]]),1,0)</f>
        <v>0</v>
      </c>
      <c r="M216" s="43">
        <f>SUM(FinanceCodesBudget[[#This Row],[LedgerIssue]:[CustGrIssue]],FinanceCodesBudget[[#This Row],[DupCode]:[Balance to Scenario Blank]])</f>
        <v>0</v>
      </c>
      <c r="N216">
        <v>655200</v>
      </c>
      <c r="O216" t="s">
        <v>2737</v>
      </c>
      <c r="P216" t="s">
        <v>393</v>
      </c>
      <c r="Q216" t="s">
        <v>1985</v>
      </c>
      <c r="R216" t="b">
        <v>0</v>
      </c>
      <c r="S216" t="s">
        <v>2735</v>
      </c>
      <c r="T216" t="s">
        <v>1300</v>
      </c>
      <c r="U216" t="s">
        <v>1532</v>
      </c>
      <c r="V216" t="b">
        <v>1</v>
      </c>
      <c r="W216" t="b">
        <v>0</v>
      </c>
    </row>
    <row r="217" spans="1:23" x14ac:dyDescent="0.3">
      <c r="A217" s="147">
        <f>IF(COUNTIF(LEDGER[LedgerCode],FinanceCodesBudget[[#This Row],[LedgerCode]])&gt;0,0,1)</f>
        <v>0</v>
      </c>
      <c r="B217" s="43">
        <f>IF(COUNTIF(Table_System_Grouping_Codes[groupingCodeCode],FinanceCodesBudget[[#This Row],[GroupingCode]])&gt;0,0,1)</f>
        <v>0</v>
      </c>
      <c r="C217" s="43">
        <f>IF(COUNTIF(CUSTGROUP[CustomGroupingCode],FinanceCodesBudget[[#This Row],[CustomGrouping]])&gt;0,0,1)</f>
        <v>0</v>
      </c>
      <c r="D217" s="43" cm="1">
        <f t="array" ref="D217">IF(FinanceCodesBudget[[#This Row],[AvailableToAllSchools]]=TRUE,0,COUNTA(_xlfn.TEXTSPLIT(FinanceCodesBudget[[#This Row],[SchoolCodes]],",",,TRUE))-SUM(COUNTIF(SCHOOLS[SchoolCode],_xlfn.TEXTSPLIT(FinanceCodesBudget[[#This Row],[SchoolCodes]],",",,TRUE))))</f>
        <v>0</v>
      </c>
      <c r="E217" s="43">
        <f>IF(FinanceCodesBudget[[#This Row],[FinanceCodeTypeCode]]="BUDGET",0,COUNTIF(FinanceCodesBudget[FinanceCode],FinanceCodesBudget[[#This Row],[FinanceCode]])-1)</f>
        <v>0</v>
      </c>
      <c r="F217" s="43">
        <f>IF(FinanceCodesBudget[[#This Row],[FinanceCodeTypeCode]]="BUDGET",0,COUNTIF(FinanceCodesBudget[Title],FinanceCodesBudget[[#This Row],[Title]])-1)</f>
        <v>0</v>
      </c>
      <c r="G217" s="43">
        <f>COUNTIF(Lookup!$A$2:$A$7,FinanceCodesBudget[[#This Row],[FinanceCodeTypeCode]])-1</f>
        <v>0</v>
      </c>
      <c r="H217" s="43">
        <f>IF(TRIM(FinanceCodesBudget[[#This Row],[Title]])="",1,0)</f>
        <v>0</v>
      </c>
      <c r="I217" s="43">
        <f>IF(TRIM(FinanceCodesBudget[[#This Row],[FinanceCode]])="",1,0)</f>
        <v>0</v>
      </c>
      <c r="J217" s="43">
        <f>IF(LEN(FinanceCodesBudget[[#This Row],[FinanceCode]])&lt;100,0,1)</f>
        <v>0</v>
      </c>
      <c r="K217" s="43">
        <f>IF(LEN(FinanceCodesBudget[[#This Row],[Title]])&lt;100,0,1)</f>
        <v>0</v>
      </c>
      <c r="L217" s="43">
        <f>IF(ISBLANK(FinanceCodesBudget[[#This Row],[BalanceToScenario]]),1,0)</f>
        <v>0</v>
      </c>
      <c r="M217" s="43">
        <f>SUM(FinanceCodesBudget[[#This Row],[LedgerIssue]:[CustGrIssue]],FinanceCodesBudget[[#This Row],[DupCode]:[Balance to Scenario Blank]])</f>
        <v>0</v>
      </c>
      <c r="N217">
        <v>655300</v>
      </c>
      <c r="O217" t="s">
        <v>2738</v>
      </c>
      <c r="P217" t="s">
        <v>395</v>
      </c>
      <c r="Q217" t="s">
        <v>1985</v>
      </c>
      <c r="R217" t="b">
        <v>0</v>
      </c>
      <c r="S217" t="s">
        <v>2735</v>
      </c>
      <c r="T217" t="s">
        <v>1300</v>
      </c>
      <c r="U217" t="s">
        <v>1532</v>
      </c>
      <c r="V217" t="b">
        <v>1</v>
      </c>
      <c r="W217" t="b">
        <v>0</v>
      </c>
    </row>
    <row r="218" spans="1:23" x14ac:dyDescent="0.3">
      <c r="A218" s="147">
        <f>IF(COUNTIF(LEDGER[LedgerCode],FinanceCodesBudget[[#This Row],[LedgerCode]])&gt;0,0,1)</f>
        <v>0</v>
      </c>
      <c r="B218" s="43">
        <f>IF(COUNTIF(Table_System_Grouping_Codes[groupingCodeCode],FinanceCodesBudget[[#This Row],[GroupingCode]])&gt;0,0,1)</f>
        <v>0</v>
      </c>
      <c r="C218" s="43">
        <f>IF(COUNTIF(CUSTGROUP[CustomGroupingCode],FinanceCodesBudget[[#This Row],[CustomGrouping]])&gt;0,0,1)</f>
        <v>0</v>
      </c>
      <c r="D218" s="43" cm="1">
        <f t="array" ref="D218">IF(FinanceCodesBudget[[#This Row],[AvailableToAllSchools]]=TRUE,0,COUNTA(_xlfn.TEXTSPLIT(FinanceCodesBudget[[#This Row],[SchoolCodes]],",",,TRUE))-SUM(COUNTIF(SCHOOLS[SchoolCode],_xlfn.TEXTSPLIT(FinanceCodesBudget[[#This Row],[SchoolCodes]],",",,TRUE))))</f>
        <v>0</v>
      </c>
      <c r="E218" s="43">
        <f>IF(FinanceCodesBudget[[#This Row],[FinanceCodeTypeCode]]="BUDGET",0,COUNTIF(FinanceCodesBudget[FinanceCode],FinanceCodesBudget[[#This Row],[FinanceCode]])-1)</f>
        <v>0</v>
      </c>
      <c r="F218" s="43">
        <f>IF(FinanceCodesBudget[[#This Row],[FinanceCodeTypeCode]]="BUDGET",0,COUNTIF(FinanceCodesBudget[Title],FinanceCodesBudget[[#This Row],[Title]])-1)</f>
        <v>0</v>
      </c>
      <c r="G218" s="43">
        <f>COUNTIF(Lookup!$A$2:$A$7,FinanceCodesBudget[[#This Row],[FinanceCodeTypeCode]])-1</f>
        <v>0</v>
      </c>
      <c r="H218" s="43">
        <f>IF(TRIM(FinanceCodesBudget[[#This Row],[Title]])="",1,0)</f>
        <v>0</v>
      </c>
      <c r="I218" s="43">
        <f>IF(TRIM(FinanceCodesBudget[[#This Row],[FinanceCode]])="",1,0)</f>
        <v>0</v>
      </c>
      <c r="J218" s="43">
        <f>IF(LEN(FinanceCodesBudget[[#This Row],[FinanceCode]])&lt;100,0,1)</f>
        <v>0</v>
      </c>
      <c r="K218" s="43">
        <f>IF(LEN(FinanceCodesBudget[[#This Row],[Title]])&lt;100,0,1)</f>
        <v>0</v>
      </c>
      <c r="L218" s="43">
        <f>IF(ISBLANK(FinanceCodesBudget[[#This Row],[BalanceToScenario]]),1,0)</f>
        <v>0</v>
      </c>
      <c r="M218" s="43">
        <f>SUM(FinanceCodesBudget[[#This Row],[LedgerIssue]:[CustGrIssue]],FinanceCodesBudget[[#This Row],[DupCode]:[Balance to Scenario Blank]])</f>
        <v>0</v>
      </c>
      <c r="N218">
        <v>655500</v>
      </c>
      <c r="O218" t="s">
        <v>2739</v>
      </c>
      <c r="P218" t="s">
        <v>397</v>
      </c>
      <c r="Q218" t="s">
        <v>1985</v>
      </c>
      <c r="R218" t="b">
        <v>0</v>
      </c>
      <c r="S218" t="s">
        <v>2735</v>
      </c>
      <c r="T218" t="s">
        <v>1300</v>
      </c>
      <c r="U218" t="s">
        <v>1532</v>
      </c>
      <c r="V218" t="b">
        <v>1</v>
      </c>
      <c r="W218" t="b">
        <v>0</v>
      </c>
    </row>
    <row r="219" spans="1:23" x14ac:dyDescent="0.3">
      <c r="A219" s="147">
        <f>IF(COUNTIF(LEDGER[LedgerCode],FinanceCodesBudget[[#This Row],[LedgerCode]])&gt;0,0,1)</f>
        <v>0</v>
      </c>
      <c r="B219" s="43">
        <f>IF(COUNTIF(Table_System_Grouping_Codes[groupingCodeCode],FinanceCodesBudget[[#This Row],[GroupingCode]])&gt;0,0,1)</f>
        <v>0</v>
      </c>
      <c r="C219" s="43">
        <f>IF(COUNTIF(CUSTGROUP[CustomGroupingCode],FinanceCodesBudget[[#This Row],[CustomGrouping]])&gt;0,0,1)</f>
        <v>0</v>
      </c>
      <c r="D219" s="43" cm="1">
        <f t="array" ref="D219">IF(FinanceCodesBudget[[#This Row],[AvailableToAllSchools]]=TRUE,0,COUNTA(_xlfn.TEXTSPLIT(FinanceCodesBudget[[#This Row],[SchoolCodes]],",",,TRUE))-SUM(COUNTIF(SCHOOLS[SchoolCode],_xlfn.TEXTSPLIT(FinanceCodesBudget[[#This Row],[SchoolCodes]],",",,TRUE))))</f>
        <v>0</v>
      </c>
      <c r="E219" s="43">
        <f>IF(FinanceCodesBudget[[#This Row],[FinanceCodeTypeCode]]="BUDGET",0,COUNTIF(FinanceCodesBudget[FinanceCode],FinanceCodesBudget[[#This Row],[FinanceCode]])-1)</f>
        <v>0</v>
      </c>
      <c r="F219" s="43">
        <f>IF(FinanceCodesBudget[[#This Row],[FinanceCodeTypeCode]]="BUDGET",0,COUNTIF(FinanceCodesBudget[Title],FinanceCodesBudget[[#This Row],[Title]])-1)</f>
        <v>0</v>
      </c>
      <c r="G219" s="43">
        <f>COUNTIF(Lookup!$A$2:$A$7,FinanceCodesBudget[[#This Row],[FinanceCodeTypeCode]])-1</f>
        <v>0</v>
      </c>
      <c r="H219" s="43">
        <f>IF(TRIM(FinanceCodesBudget[[#This Row],[Title]])="",1,0)</f>
        <v>0</v>
      </c>
      <c r="I219" s="43">
        <f>IF(TRIM(FinanceCodesBudget[[#This Row],[FinanceCode]])="",1,0)</f>
        <v>0</v>
      </c>
      <c r="J219" s="43">
        <f>IF(LEN(FinanceCodesBudget[[#This Row],[FinanceCode]])&lt;100,0,1)</f>
        <v>0</v>
      </c>
      <c r="K219" s="43">
        <f>IF(LEN(FinanceCodesBudget[[#This Row],[Title]])&lt;100,0,1)</f>
        <v>0</v>
      </c>
      <c r="L219" s="43">
        <f>IF(ISBLANK(FinanceCodesBudget[[#This Row],[BalanceToScenario]]),1,0)</f>
        <v>0</v>
      </c>
      <c r="M219" s="43">
        <f>SUM(FinanceCodesBudget[[#This Row],[LedgerIssue]:[CustGrIssue]],FinanceCodesBudget[[#This Row],[DupCode]:[Balance to Scenario Blank]])</f>
        <v>0</v>
      </c>
      <c r="N219">
        <v>655550</v>
      </c>
      <c r="O219" t="s">
        <v>2740</v>
      </c>
      <c r="P219" t="s">
        <v>399</v>
      </c>
      <c r="Q219" t="s">
        <v>1985</v>
      </c>
      <c r="R219" t="b">
        <v>0</v>
      </c>
      <c r="S219" t="s">
        <v>2735</v>
      </c>
      <c r="T219" t="s">
        <v>1300</v>
      </c>
      <c r="U219" t="s">
        <v>1532</v>
      </c>
      <c r="V219" t="b">
        <v>1</v>
      </c>
      <c r="W219" t="b">
        <v>0</v>
      </c>
    </row>
    <row r="220" spans="1:23" x14ac:dyDescent="0.3">
      <c r="A220" s="147">
        <f>IF(COUNTIF(LEDGER[LedgerCode],FinanceCodesBudget[[#This Row],[LedgerCode]])&gt;0,0,1)</f>
        <v>0</v>
      </c>
      <c r="B220" s="43">
        <f>IF(COUNTIF(Table_System_Grouping_Codes[groupingCodeCode],FinanceCodesBudget[[#This Row],[GroupingCode]])&gt;0,0,1)</f>
        <v>0</v>
      </c>
      <c r="C220" s="43">
        <f>IF(COUNTIF(CUSTGROUP[CustomGroupingCode],FinanceCodesBudget[[#This Row],[CustomGrouping]])&gt;0,0,1)</f>
        <v>0</v>
      </c>
      <c r="D220" s="43" cm="1">
        <f t="array" ref="D220">IF(FinanceCodesBudget[[#This Row],[AvailableToAllSchools]]=TRUE,0,COUNTA(_xlfn.TEXTSPLIT(FinanceCodesBudget[[#This Row],[SchoolCodes]],",",,TRUE))-SUM(COUNTIF(SCHOOLS[SchoolCode],_xlfn.TEXTSPLIT(FinanceCodesBudget[[#This Row],[SchoolCodes]],",",,TRUE))))</f>
        <v>0</v>
      </c>
      <c r="E220" s="43">
        <f>IF(FinanceCodesBudget[[#This Row],[FinanceCodeTypeCode]]="BUDGET",0,COUNTIF(FinanceCodesBudget[FinanceCode],FinanceCodesBudget[[#This Row],[FinanceCode]])-1)</f>
        <v>0</v>
      </c>
      <c r="F220" s="43">
        <f>IF(FinanceCodesBudget[[#This Row],[FinanceCodeTypeCode]]="BUDGET",0,COUNTIF(FinanceCodesBudget[Title],FinanceCodesBudget[[#This Row],[Title]])-1)</f>
        <v>0</v>
      </c>
      <c r="G220" s="43">
        <f>COUNTIF(Lookup!$A$2:$A$7,FinanceCodesBudget[[#This Row],[FinanceCodeTypeCode]])-1</f>
        <v>0</v>
      </c>
      <c r="H220" s="43">
        <f>IF(TRIM(FinanceCodesBudget[[#This Row],[Title]])="",1,0)</f>
        <v>0</v>
      </c>
      <c r="I220" s="43">
        <f>IF(TRIM(FinanceCodesBudget[[#This Row],[FinanceCode]])="",1,0)</f>
        <v>0</v>
      </c>
      <c r="J220" s="43">
        <f>IF(LEN(FinanceCodesBudget[[#This Row],[FinanceCode]])&lt;100,0,1)</f>
        <v>0</v>
      </c>
      <c r="K220" s="43">
        <f>IF(LEN(FinanceCodesBudget[[#This Row],[Title]])&lt;100,0,1)</f>
        <v>0</v>
      </c>
      <c r="L220" s="43">
        <f>IF(ISBLANK(FinanceCodesBudget[[#This Row],[BalanceToScenario]]),1,0)</f>
        <v>0</v>
      </c>
      <c r="M220" s="43">
        <f>SUM(FinanceCodesBudget[[#This Row],[LedgerIssue]:[CustGrIssue]],FinanceCodesBudget[[#This Row],[DupCode]:[Balance to Scenario Blank]])</f>
        <v>0</v>
      </c>
      <c r="N220">
        <v>656100</v>
      </c>
      <c r="O220" t="s">
        <v>2741</v>
      </c>
      <c r="P220" t="s">
        <v>401</v>
      </c>
      <c r="Q220" t="s">
        <v>1985</v>
      </c>
      <c r="R220" t="b">
        <v>0</v>
      </c>
      <c r="S220" t="s">
        <v>2735</v>
      </c>
      <c r="T220" t="s">
        <v>1300</v>
      </c>
      <c r="U220" t="s">
        <v>1532</v>
      </c>
      <c r="V220" t="b">
        <v>1</v>
      </c>
      <c r="W220" t="b">
        <v>0</v>
      </c>
    </row>
    <row r="221" spans="1:23" x14ac:dyDescent="0.3">
      <c r="A221" s="147">
        <f>IF(COUNTIF(LEDGER[LedgerCode],FinanceCodesBudget[[#This Row],[LedgerCode]])&gt;0,0,1)</f>
        <v>0</v>
      </c>
      <c r="B221" s="43">
        <f>IF(COUNTIF(Table_System_Grouping_Codes[groupingCodeCode],FinanceCodesBudget[[#This Row],[GroupingCode]])&gt;0,0,1)</f>
        <v>0</v>
      </c>
      <c r="C221" s="43">
        <f>IF(COUNTIF(CUSTGROUP[CustomGroupingCode],FinanceCodesBudget[[#This Row],[CustomGrouping]])&gt;0,0,1)</f>
        <v>0</v>
      </c>
      <c r="D221" s="43" cm="1">
        <f t="array" ref="D221">IF(FinanceCodesBudget[[#This Row],[AvailableToAllSchools]]=TRUE,0,COUNTA(_xlfn.TEXTSPLIT(FinanceCodesBudget[[#This Row],[SchoolCodes]],",",,TRUE))-SUM(COUNTIF(SCHOOLS[SchoolCode],_xlfn.TEXTSPLIT(FinanceCodesBudget[[#This Row],[SchoolCodes]],",",,TRUE))))</f>
        <v>0</v>
      </c>
      <c r="E221" s="43">
        <f>IF(FinanceCodesBudget[[#This Row],[FinanceCodeTypeCode]]="BUDGET",0,COUNTIF(FinanceCodesBudget[FinanceCode],FinanceCodesBudget[[#This Row],[FinanceCode]])-1)</f>
        <v>0</v>
      </c>
      <c r="F221" s="43">
        <f>IF(FinanceCodesBudget[[#This Row],[FinanceCodeTypeCode]]="BUDGET",0,COUNTIF(FinanceCodesBudget[Title],FinanceCodesBudget[[#This Row],[Title]])-1)</f>
        <v>0</v>
      </c>
      <c r="G221" s="43">
        <f>COUNTIF(Lookup!$A$2:$A$7,FinanceCodesBudget[[#This Row],[FinanceCodeTypeCode]])-1</f>
        <v>0</v>
      </c>
      <c r="H221" s="43">
        <f>IF(TRIM(FinanceCodesBudget[[#This Row],[Title]])="",1,0)</f>
        <v>0</v>
      </c>
      <c r="I221" s="43">
        <f>IF(TRIM(FinanceCodesBudget[[#This Row],[FinanceCode]])="",1,0)</f>
        <v>0</v>
      </c>
      <c r="J221" s="43">
        <f>IF(LEN(FinanceCodesBudget[[#This Row],[FinanceCode]])&lt;100,0,1)</f>
        <v>0</v>
      </c>
      <c r="K221" s="43">
        <f>IF(LEN(FinanceCodesBudget[[#This Row],[Title]])&lt;100,0,1)</f>
        <v>0</v>
      </c>
      <c r="L221" s="43">
        <f>IF(ISBLANK(FinanceCodesBudget[[#This Row],[BalanceToScenario]]),1,0)</f>
        <v>0</v>
      </c>
      <c r="M221" s="43">
        <f>SUM(FinanceCodesBudget[[#This Row],[LedgerIssue]:[CustGrIssue]],FinanceCodesBudget[[#This Row],[DupCode]:[Balance to Scenario Blank]])</f>
        <v>0</v>
      </c>
      <c r="N221">
        <v>656150</v>
      </c>
      <c r="O221" t="s">
        <v>2742</v>
      </c>
      <c r="P221" t="s">
        <v>403</v>
      </c>
      <c r="Q221" t="s">
        <v>1985</v>
      </c>
      <c r="R221" t="b">
        <v>0</v>
      </c>
      <c r="S221" t="s">
        <v>2735</v>
      </c>
      <c r="T221" t="s">
        <v>1300</v>
      </c>
      <c r="U221" t="s">
        <v>1532</v>
      </c>
      <c r="V221" t="b">
        <v>1</v>
      </c>
      <c r="W221" t="b">
        <v>0</v>
      </c>
    </row>
    <row r="222" spans="1:23" x14ac:dyDescent="0.3">
      <c r="A222" s="147">
        <f>IF(COUNTIF(LEDGER[LedgerCode],FinanceCodesBudget[[#This Row],[LedgerCode]])&gt;0,0,1)</f>
        <v>0</v>
      </c>
      <c r="B222" s="43">
        <f>IF(COUNTIF(Table_System_Grouping_Codes[groupingCodeCode],FinanceCodesBudget[[#This Row],[GroupingCode]])&gt;0,0,1)</f>
        <v>0</v>
      </c>
      <c r="C222" s="43">
        <f>IF(COUNTIF(CUSTGROUP[CustomGroupingCode],FinanceCodesBudget[[#This Row],[CustomGrouping]])&gt;0,0,1)</f>
        <v>0</v>
      </c>
      <c r="D222" s="43" cm="1">
        <f t="array" ref="D222">IF(FinanceCodesBudget[[#This Row],[AvailableToAllSchools]]=TRUE,0,COUNTA(_xlfn.TEXTSPLIT(FinanceCodesBudget[[#This Row],[SchoolCodes]],",",,TRUE))-SUM(COUNTIF(SCHOOLS[SchoolCode],_xlfn.TEXTSPLIT(FinanceCodesBudget[[#This Row],[SchoolCodes]],",",,TRUE))))</f>
        <v>0</v>
      </c>
      <c r="E222" s="43">
        <f>IF(FinanceCodesBudget[[#This Row],[FinanceCodeTypeCode]]="BUDGET",0,COUNTIF(FinanceCodesBudget[FinanceCode],FinanceCodesBudget[[#This Row],[FinanceCode]])-1)</f>
        <v>0</v>
      </c>
      <c r="F222" s="43">
        <f>IF(FinanceCodesBudget[[#This Row],[FinanceCodeTypeCode]]="BUDGET",0,COUNTIF(FinanceCodesBudget[Title],FinanceCodesBudget[[#This Row],[Title]])-1)</f>
        <v>0</v>
      </c>
      <c r="G222" s="43">
        <f>COUNTIF(Lookup!$A$2:$A$7,FinanceCodesBudget[[#This Row],[FinanceCodeTypeCode]])-1</f>
        <v>0</v>
      </c>
      <c r="H222" s="43">
        <f>IF(TRIM(FinanceCodesBudget[[#This Row],[Title]])="",1,0)</f>
        <v>0</v>
      </c>
      <c r="I222" s="43">
        <f>IF(TRIM(FinanceCodesBudget[[#This Row],[FinanceCode]])="",1,0)</f>
        <v>0</v>
      </c>
      <c r="J222" s="43">
        <f>IF(LEN(FinanceCodesBudget[[#This Row],[FinanceCode]])&lt;100,0,1)</f>
        <v>0</v>
      </c>
      <c r="K222" s="43">
        <f>IF(LEN(FinanceCodesBudget[[#This Row],[Title]])&lt;100,0,1)</f>
        <v>0</v>
      </c>
      <c r="L222" s="43">
        <f>IF(ISBLANK(FinanceCodesBudget[[#This Row],[BalanceToScenario]]),1,0)</f>
        <v>0</v>
      </c>
      <c r="M222" s="43">
        <f>SUM(FinanceCodesBudget[[#This Row],[LedgerIssue]:[CustGrIssue]],FinanceCodesBudget[[#This Row],[DupCode]:[Balance to Scenario Blank]])</f>
        <v>0</v>
      </c>
      <c r="N222">
        <v>656200</v>
      </c>
      <c r="O222" t="s">
        <v>2743</v>
      </c>
      <c r="P222" t="s">
        <v>405</v>
      </c>
      <c r="Q222" t="s">
        <v>1985</v>
      </c>
      <c r="R222" t="b">
        <v>0</v>
      </c>
      <c r="S222" t="s">
        <v>2735</v>
      </c>
      <c r="T222" t="s">
        <v>1300</v>
      </c>
      <c r="U222" t="s">
        <v>1532</v>
      </c>
      <c r="V222" t="b">
        <v>1</v>
      </c>
      <c r="W222" t="b">
        <v>0</v>
      </c>
    </row>
    <row r="223" spans="1:23" x14ac:dyDescent="0.3">
      <c r="A223" s="147">
        <f>IF(COUNTIF(LEDGER[LedgerCode],FinanceCodesBudget[[#This Row],[LedgerCode]])&gt;0,0,1)</f>
        <v>0</v>
      </c>
      <c r="B223" s="43">
        <f>IF(COUNTIF(Table_System_Grouping_Codes[groupingCodeCode],FinanceCodesBudget[[#This Row],[GroupingCode]])&gt;0,0,1)</f>
        <v>0</v>
      </c>
      <c r="C223" s="43">
        <f>IF(COUNTIF(CUSTGROUP[CustomGroupingCode],FinanceCodesBudget[[#This Row],[CustomGrouping]])&gt;0,0,1)</f>
        <v>0</v>
      </c>
      <c r="D223" s="43" cm="1">
        <f t="array" ref="D223">IF(FinanceCodesBudget[[#This Row],[AvailableToAllSchools]]=TRUE,0,COUNTA(_xlfn.TEXTSPLIT(FinanceCodesBudget[[#This Row],[SchoolCodes]],",",,TRUE))-SUM(COUNTIF(SCHOOLS[SchoolCode],_xlfn.TEXTSPLIT(FinanceCodesBudget[[#This Row],[SchoolCodes]],",",,TRUE))))</f>
        <v>0</v>
      </c>
      <c r="E223" s="43">
        <f>IF(FinanceCodesBudget[[#This Row],[FinanceCodeTypeCode]]="BUDGET",0,COUNTIF(FinanceCodesBudget[FinanceCode],FinanceCodesBudget[[#This Row],[FinanceCode]])-1)</f>
        <v>0</v>
      </c>
      <c r="F223" s="43">
        <f>IF(FinanceCodesBudget[[#This Row],[FinanceCodeTypeCode]]="BUDGET",0,COUNTIF(FinanceCodesBudget[Title],FinanceCodesBudget[[#This Row],[Title]])-1)</f>
        <v>0</v>
      </c>
      <c r="G223" s="43">
        <f>COUNTIF(Lookup!$A$2:$A$7,FinanceCodesBudget[[#This Row],[FinanceCodeTypeCode]])-1</f>
        <v>0</v>
      </c>
      <c r="H223" s="43">
        <f>IF(TRIM(FinanceCodesBudget[[#This Row],[Title]])="",1,0)</f>
        <v>0</v>
      </c>
      <c r="I223" s="43">
        <f>IF(TRIM(FinanceCodesBudget[[#This Row],[FinanceCode]])="",1,0)</f>
        <v>0</v>
      </c>
      <c r="J223" s="43">
        <f>IF(LEN(FinanceCodesBudget[[#This Row],[FinanceCode]])&lt;100,0,1)</f>
        <v>0</v>
      </c>
      <c r="K223" s="43">
        <f>IF(LEN(FinanceCodesBudget[[#This Row],[Title]])&lt;100,0,1)</f>
        <v>0</v>
      </c>
      <c r="L223" s="43">
        <f>IF(ISBLANK(FinanceCodesBudget[[#This Row],[BalanceToScenario]]),1,0)</f>
        <v>0</v>
      </c>
      <c r="M223" s="43">
        <f>SUM(FinanceCodesBudget[[#This Row],[LedgerIssue]:[CustGrIssue]],FinanceCodesBudget[[#This Row],[DupCode]:[Balance to Scenario Blank]])</f>
        <v>0</v>
      </c>
      <c r="N223">
        <v>656300</v>
      </c>
      <c r="O223" t="s">
        <v>2744</v>
      </c>
      <c r="P223" t="s">
        <v>407</v>
      </c>
      <c r="Q223" t="s">
        <v>1985</v>
      </c>
      <c r="R223" t="b">
        <v>0</v>
      </c>
      <c r="S223" t="s">
        <v>2735</v>
      </c>
      <c r="T223" t="s">
        <v>1300</v>
      </c>
      <c r="U223" t="s">
        <v>1532</v>
      </c>
      <c r="V223" t="b">
        <v>1</v>
      </c>
      <c r="W223" t="b">
        <v>0</v>
      </c>
    </row>
    <row r="224" spans="1:23" x14ac:dyDescent="0.3">
      <c r="A224" s="147">
        <f>IF(COUNTIF(LEDGER[LedgerCode],FinanceCodesBudget[[#This Row],[LedgerCode]])&gt;0,0,1)</f>
        <v>0</v>
      </c>
      <c r="B224" s="43">
        <f>IF(COUNTIF(Table_System_Grouping_Codes[groupingCodeCode],FinanceCodesBudget[[#This Row],[GroupingCode]])&gt;0,0,1)</f>
        <v>0</v>
      </c>
      <c r="C224" s="43">
        <f>IF(COUNTIF(CUSTGROUP[CustomGroupingCode],FinanceCodesBudget[[#This Row],[CustomGrouping]])&gt;0,0,1)</f>
        <v>0</v>
      </c>
      <c r="D224" s="43" cm="1">
        <f t="array" ref="D224">IF(FinanceCodesBudget[[#This Row],[AvailableToAllSchools]]=TRUE,0,COUNTA(_xlfn.TEXTSPLIT(FinanceCodesBudget[[#This Row],[SchoolCodes]],",",,TRUE))-SUM(COUNTIF(SCHOOLS[SchoolCode],_xlfn.TEXTSPLIT(FinanceCodesBudget[[#This Row],[SchoolCodes]],",",,TRUE))))</f>
        <v>0</v>
      </c>
      <c r="E224" s="43">
        <f>IF(FinanceCodesBudget[[#This Row],[FinanceCodeTypeCode]]="BUDGET",0,COUNTIF(FinanceCodesBudget[FinanceCode],FinanceCodesBudget[[#This Row],[FinanceCode]])-1)</f>
        <v>0</v>
      </c>
      <c r="F224" s="43">
        <f>IF(FinanceCodesBudget[[#This Row],[FinanceCodeTypeCode]]="BUDGET",0,COUNTIF(FinanceCodesBudget[Title],FinanceCodesBudget[[#This Row],[Title]])-1)</f>
        <v>0</v>
      </c>
      <c r="G224" s="43">
        <f>COUNTIF(Lookup!$A$2:$A$7,FinanceCodesBudget[[#This Row],[FinanceCodeTypeCode]])-1</f>
        <v>0</v>
      </c>
      <c r="H224" s="43">
        <f>IF(TRIM(FinanceCodesBudget[[#This Row],[Title]])="",1,0)</f>
        <v>0</v>
      </c>
      <c r="I224" s="43">
        <f>IF(TRIM(FinanceCodesBudget[[#This Row],[FinanceCode]])="",1,0)</f>
        <v>0</v>
      </c>
      <c r="J224" s="43">
        <f>IF(LEN(FinanceCodesBudget[[#This Row],[FinanceCode]])&lt;100,0,1)</f>
        <v>0</v>
      </c>
      <c r="K224" s="43">
        <f>IF(LEN(FinanceCodesBudget[[#This Row],[Title]])&lt;100,0,1)</f>
        <v>0</v>
      </c>
      <c r="L224" s="43">
        <f>IF(ISBLANK(FinanceCodesBudget[[#This Row],[BalanceToScenario]]),1,0)</f>
        <v>0</v>
      </c>
      <c r="M224" s="43">
        <f>SUM(FinanceCodesBudget[[#This Row],[LedgerIssue]:[CustGrIssue]],FinanceCodesBudget[[#This Row],[DupCode]:[Balance to Scenario Blank]])</f>
        <v>0</v>
      </c>
      <c r="N224">
        <v>656520</v>
      </c>
      <c r="O224" t="s">
        <v>2745</v>
      </c>
      <c r="P224" t="s">
        <v>409</v>
      </c>
      <c r="Q224" t="s">
        <v>1985</v>
      </c>
      <c r="R224" t="b">
        <v>0</v>
      </c>
      <c r="S224" t="s">
        <v>2735</v>
      </c>
      <c r="T224" t="s">
        <v>1300</v>
      </c>
      <c r="U224" t="s">
        <v>1532</v>
      </c>
      <c r="V224" t="b">
        <v>1</v>
      </c>
      <c r="W224" t="b">
        <v>0</v>
      </c>
    </row>
    <row r="225" spans="1:23" x14ac:dyDescent="0.3">
      <c r="A225" s="147">
        <f>IF(COUNTIF(LEDGER[LedgerCode],FinanceCodesBudget[[#This Row],[LedgerCode]])&gt;0,0,1)</f>
        <v>0</v>
      </c>
      <c r="B225" s="43">
        <f>IF(COUNTIF(Table_System_Grouping_Codes[groupingCodeCode],FinanceCodesBudget[[#This Row],[GroupingCode]])&gt;0,0,1)</f>
        <v>0</v>
      </c>
      <c r="C225" s="43">
        <f>IF(COUNTIF(CUSTGROUP[CustomGroupingCode],FinanceCodesBudget[[#This Row],[CustomGrouping]])&gt;0,0,1)</f>
        <v>0</v>
      </c>
      <c r="D225" s="43" cm="1">
        <f t="array" ref="D225">IF(FinanceCodesBudget[[#This Row],[AvailableToAllSchools]]=TRUE,0,COUNTA(_xlfn.TEXTSPLIT(FinanceCodesBudget[[#This Row],[SchoolCodes]],",",,TRUE))-SUM(COUNTIF(SCHOOLS[SchoolCode],_xlfn.TEXTSPLIT(FinanceCodesBudget[[#This Row],[SchoolCodes]],",",,TRUE))))</f>
        <v>0</v>
      </c>
      <c r="E225" s="43">
        <f>IF(FinanceCodesBudget[[#This Row],[FinanceCodeTypeCode]]="BUDGET",0,COUNTIF(FinanceCodesBudget[FinanceCode],FinanceCodesBudget[[#This Row],[FinanceCode]])-1)</f>
        <v>0</v>
      </c>
      <c r="F225" s="43">
        <f>IF(FinanceCodesBudget[[#This Row],[FinanceCodeTypeCode]]="BUDGET",0,COUNTIF(FinanceCodesBudget[Title],FinanceCodesBudget[[#This Row],[Title]])-1)</f>
        <v>0</v>
      </c>
      <c r="G225" s="43">
        <f>COUNTIF(Lookup!$A$2:$A$7,FinanceCodesBudget[[#This Row],[FinanceCodeTypeCode]])-1</f>
        <v>0</v>
      </c>
      <c r="H225" s="43">
        <f>IF(TRIM(FinanceCodesBudget[[#This Row],[Title]])="",1,0)</f>
        <v>0</v>
      </c>
      <c r="I225" s="43">
        <f>IF(TRIM(FinanceCodesBudget[[#This Row],[FinanceCode]])="",1,0)</f>
        <v>0</v>
      </c>
      <c r="J225" s="43">
        <f>IF(LEN(FinanceCodesBudget[[#This Row],[FinanceCode]])&lt;100,0,1)</f>
        <v>0</v>
      </c>
      <c r="K225" s="43">
        <f>IF(LEN(FinanceCodesBudget[[#This Row],[Title]])&lt;100,0,1)</f>
        <v>0</v>
      </c>
      <c r="L225" s="43">
        <f>IF(ISBLANK(FinanceCodesBudget[[#This Row],[BalanceToScenario]]),1,0)</f>
        <v>0</v>
      </c>
      <c r="M225" s="43">
        <f>SUM(FinanceCodesBudget[[#This Row],[LedgerIssue]:[CustGrIssue]],FinanceCodesBudget[[#This Row],[DupCode]:[Balance to Scenario Blank]])</f>
        <v>0</v>
      </c>
      <c r="N225">
        <v>656570</v>
      </c>
      <c r="O225" t="s">
        <v>2746</v>
      </c>
      <c r="P225" t="s">
        <v>411</v>
      </c>
      <c r="Q225" t="s">
        <v>1985</v>
      </c>
      <c r="R225" t="b">
        <v>0</v>
      </c>
      <c r="S225" t="s">
        <v>2735</v>
      </c>
      <c r="T225" t="s">
        <v>1300</v>
      </c>
      <c r="U225" t="s">
        <v>1532</v>
      </c>
      <c r="V225" t="b">
        <v>1</v>
      </c>
      <c r="W225" t="b">
        <v>0</v>
      </c>
    </row>
    <row r="226" spans="1:23" x14ac:dyDescent="0.3">
      <c r="A226" s="147">
        <f>IF(COUNTIF(LEDGER[LedgerCode],FinanceCodesBudget[[#This Row],[LedgerCode]])&gt;0,0,1)</f>
        <v>0</v>
      </c>
      <c r="B226" s="43">
        <f>IF(COUNTIF(Table_System_Grouping_Codes[groupingCodeCode],FinanceCodesBudget[[#This Row],[GroupingCode]])&gt;0,0,1)</f>
        <v>0</v>
      </c>
      <c r="C226" s="43">
        <f>IF(COUNTIF(CUSTGROUP[CustomGroupingCode],FinanceCodesBudget[[#This Row],[CustomGrouping]])&gt;0,0,1)</f>
        <v>0</v>
      </c>
      <c r="D226" s="43" cm="1">
        <f t="array" ref="D226">IF(FinanceCodesBudget[[#This Row],[AvailableToAllSchools]]=TRUE,0,COUNTA(_xlfn.TEXTSPLIT(FinanceCodesBudget[[#This Row],[SchoolCodes]],",",,TRUE))-SUM(COUNTIF(SCHOOLS[SchoolCode],_xlfn.TEXTSPLIT(FinanceCodesBudget[[#This Row],[SchoolCodes]],",",,TRUE))))</f>
        <v>0</v>
      </c>
      <c r="E226" s="43">
        <f>IF(FinanceCodesBudget[[#This Row],[FinanceCodeTypeCode]]="BUDGET",0,COUNTIF(FinanceCodesBudget[FinanceCode],FinanceCodesBudget[[#This Row],[FinanceCode]])-1)</f>
        <v>0</v>
      </c>
      <c r="F226" s="43">
        <f>IF(FinanceCodesBudget[[#This Row],[FinanceCodeTypeCode]]="BUDGET",0,COUNTIF(FinanceCodesBudget[Title],FinanceCodesBudget[[#This Row],[Title]])-1)</f>
        <v>0</v>
      </c>
      <c r="G226" s="43">
        <f>COUNTIF(Lookup!$A$2:$A$7,FinanceCodesBudget[[#This Row],[FinanceCodeTypeCode]])-1</f>
        <v>0</v>
      </c>
      <c r="H226" s="43">
        <f>IF(TRIM(FinanceCodesBudget[[#This Row],[Title]])="",1,0)</f>
        <v>0</v>
      </c>
      <c r="I226" s="43">
        <f>IF(TRIM(FinanceCodesBudget[[#This Row],[FinanceCode]])="",1,0)</f>
        <v>0</v>
      </c>
      <c r="J226" s="43">
        <f>IF(LEN(FinanceCodesBudget[[#This Row],[FinanceCode]])&lt;100,0,1)</f>
        <v>0</v>
      </c>
      <c r="K226" s="43">
        <f>IF(LEN(FinanceCodesBudget[[#This Row],[Title]])&lt;100,0,1)</f>
        <v>0</v>
      </c>
      <c r="L226" s="43">
        <f>IF(ISBLANK(FinanceCodesBudget[[#This Row],[BalanceToScenario]]),1,0)</f>
        <v>0</v>
      </c>
      <c r="M226" s="43">
        <f>SUM(FinanceCodesBudget[[#This Row],[LedgerIssue]:[CustGrIssue]],FinanceCodesBudget[[#This Row],[DupCode]:[Balance to Scenario Blank]])</f>
        <v>0</v>
      </c>
      <c r="N226">
        <v>656600</v>
      </c>
      <c r="O226" t="s">
        <v>2747</v>
      </c>
      <c r="P226" t="s">
        <v>1833</v>
      </c>
      <c r="Q226" t="s">
        <v>1985</v>
      </c>
      <c r="R226" t="b">
        <v>0</v>
      </c>
      <c r="S226" t="s">
        <v>2735</v>
      </c>
      <c r="T226" t="s">
        <v>1300</v>
      </c>
      <c r="U226" t="s">
        <v>1532</v>
      </c>
      <c r="V226" t="b">
        <v>1</v>
      </c>
      <c r="W226" t="b">
        <v>0</v>
      </c>
    </row>
    <row r="227" spans="1:23" x14ac:dyDescent="0.3">
      <c r="A227" s="147">
        <f>IF(COUNTIF(LEDGER[LedgerCode],FinanceCodesBudget[[#This Row],[LedgerCode]])&gt;0,0,1)</f>
        <v>0</v>
      </c>
      <c r="B227" s="43">
        <f>IF(COUNTIF(Table_System_Grouping_Codes[groupingCodeCode],FinanceCodesBudget[[#This Row],[GroupingCode]])&gt;0,0,1)</f>
        <v>0</v>
      </c>
      <c r="C227" s="43">
        <f>IF(COUNTIF(CUSTGROUP[CustomGroupingCode],FinanceCodesBudget[[#This Row],[CustomGrouping]])&gt;0,0,1)</f>
        <v>0</v>
      </c>
      <c r="D227" s="43" cm="1">
        <f t="array" ref="D227">IF(FinanceCodesBudget[[#This Row],[AvailableToAllSchools]]=TRUE,0,COUNTA(_xlfn.TEXTSPLIT(FinanceCodesBudget[[#This Row],[SchoolCodes]],",",,TRUE))-SUM(COUNTIF(SCHOOLS[SchoolCode],_xlfn.TEXTSPLIT(FinanceCodesBudget[[#This Row],[SchoolCodes]],",",,TRUE))))</f>
        <v>0</v>
      </c>
      <c r="E227" s="43">
        <f>IF(FinanceCodesBudget[[#This Row],[FinanceCodeTypeCode]]="BUDGET",0,COUNTIF(FinanceCodesBudget[FinanceCode],FinanceCodesBudget[[#This Row],[FinanceCode]])-1)</f>
        <v>0</v>
      </c>
      <c r="F227" s="43">
        <f>IF(FinanceCodesBudget[[#This Row],[FinanceCodeTypeCode]]="BUDGET",0,COUNTIF(FinanceCodesBudget[Title],FinanceCodesBudget[[#This Row],[Title]])-1)</f>
        <v>0</v>
      </c>
      <c r="G227" s="43">
        <f>COUNTIF(Lookup!$A$2:$A$7,FinanceCodesBudget[[#This Row],[FinanceCodeTypeCode]])-1</f>
        <v>0</v>
      </c>
      <c r="H227" s="43">
        <f>IF(TRIM(FinanceCodesBudget[[#This Row],[Title]])="",1,0)</f>
        <v>0</v>
      </c>
      <c r="I227" s="43">
        <f>IF(TRIM(FinanceCodesBudget[[#This Row],[FinanceCode]])="",1,0)</f>
        <v>0</v>
      </c>
      <c r="J227" s="43">
        <f>IF(LEN(FinanceCodesBudget[[#This Row],[FinanceCode]])&lt;100,0,1)</f>
        <v>0</v>
      </c>
      <c r="K227" s="43">
        <f>IF(LEN(FinanceCodesBudget[[#This Row],[Title]])&lt;100,0,1)</f>
        <v>0</v>
      </c>
      <c r="L227" s="43">
        <f>IF(ISBLANK(FinanceCodesBudget[[#This Row],[BalanceToScenario]]),1,0)</f>
        <v>0</v>
      </c>
      <c r="M227" s="43">
        <f>SUM(FinanceCodesBudget[[#This Row],[LedgerIssue]:[CustGrIssue]],FinanceCodesBudget[[#This Row],[DupCode]:[Balance to Scenario Blank]])</f>
        <v>0</v>
      </c>
      <c r="N227">
        <v>656620</v>
      </c>
      <c r="O227" t="s">
        <v>2748</v>
      </c>
      <c r="P227" t="s">
        <v>412</v>
      </c>
      <c r="Q227" t="s">
        <v>1985</v>
      </c>
      <c r="R227" t="b">
        <v>0</v>
      </c>
      <c r="S227" t="s">
        <v>2735</v>
      </c>
      <c r="T227" t="s">
        <v>1300</v>
      </c>
      <c r="U227" t="s">
        <v>1532</v>
      </c>
      <c r="V227" t="b">
        <v>1</v>
      </c>
      <c r="W227" t="b">
        <v>0</v>
      </c>
    </row>
    <row r="228" spans="1:23" x14ac:dyDescent="0.3">
      <c r="A228" s="147">
        <f>IF(COUNTIF(LEDGER[LedgerCode],FinanceCodesBudget[[#This Row],[LedgerCode]])&gt;0,0,1)</f>
        <v>0</v>
      </c>
      <c r="B228" s="43">
        <f>IF(COUNTIF(Table_System_Grouping_Codes[groupingCodeCode],FinanceCodesBudget[[#This Row],[GroupingCode]])&gt;0,0,1)</f>
        <v>0</v>
      </c>
      <c r="C228" s="43">
        <f>IF(COUNTIF(CUSTGROUP[CustomGroupingCode],FinanceCodesBudget[[#This Row],[CustomGrouping]])&gt;0,0,1)</f>
        <v>0</v>
      </c>
      <c r="D228" s="43" cm="1">
        <f t="array" ref="D228">IF(FinanceCodesBudget[[#This Row],[AvailableToAllSchools]]=TRUE,0,COUNTA(_xlfn.TEXTSPLIT(FinanceCodesBudget[[#This Row],[SchoolCodes]],",",,TRUE))-SUM(COUNTIF(SCHOOLS[SchoolCode],_xlfn.TEXTSPLIT(FinanceCodesBudget[[#This Row],[SchoolCodes]],",",,TRUE))))</f>
        <v>0</v>
      </c>
      <c r="E228" s="43">
        <f>IF(FinanceCodesBudget[[#This Row],[FinanceCodeTypeCode]]="BUDGET",0,COUNTIF(FinanceCodesBudget[FinanceCode],FinanceCodesBudget[[#This Row],[FinanceCode]])-1)</f>
        <v>0</v>
      </c>
      <c r="F228" s="43">
        <f>IF(FinanceCodesBudget[[#This Row],[FinanceCodeTypeCode]]="BUDGET",0,COUNTIF(FinanceCodesBudget[Title],FinanceCodesBudget[[#This Row],[Title]])-1)</f>
        <v>0</v>
      </c>
      <c r="G228" s="43">
        <f>COUNTIF(Lookup!$A$2:$A$7,FinanceCodesBudget[[#This Row],[FinanceCodeTypeCode]])-1</f>
        <v>0</v>
      </c>
      <c r="H228" s="43">
        <f>IF(TRIM(FinanceCodesBudget[[#This Row],[Title]])="",1,0)</f>
        <v>0</v>
      </c>
      <c r="I228" s="43">
        <f>IF(TRIM(FinanceCodesBudget[[#This Row],[FinanceCode]])="",1,0)</f>
        <v>0</v>
      </c>
      <c r="J228" s="43">
        <f>IF(LEN(FinanceCodesBudget[[#This Row],[FinanceCode]])&lt;100,0,1)</f>
        <v>0</v>
      </c>
      <c r="K228" s="43">
        <f>IF(LEN(FinanceCodesBudget[[#This Row],[Title]])&lt;100,0,1)</f>
        <v>0</v>
      </c>
      <c r="L228" s="43">
        <f>IF(ISBLANK(FinanceCodesBudget[[#This Row],[BalanceToScenario]]),1,0)</f>
        <v>0</v>
      </c>
      <c r="M228" s="43">
        <f>SUM(FinanceCodesBudget[[#This Row],[LedgerIssue]:[CustGrIssue]],FinanceCodesBudget[[#This Row],[DupCode]:[Balance to Scenario Blank]])</f>
        <v>0</v>
      </c>
      <c r="N228">
        <v>656650</v>
      </c>
      <c r="O228" t="s">
        <v>2749</v>
      </c>
      <c r="P228" t="s">
        <v>413</v>
      </c>
      <c r="Q228" t="s">
        <v>1985</v>
      </c>
      <c r="R228" t="b">
        <v>0</v>
      </c>
      <c r="S228" t="s">
        <v>2735</v>
      </c>
      <c r="T228" t="s">
        <v>1300</v>
      </c>
      <c r="U228" t="s">
        <v>1532</v>
      </c>
      <c r="V228" t="b">
        <v>1</v>
      </c>
      <c r="W228" t="b">
        <v>0</v>
      </c>
    </row>
    <row r="229" spans="1:23" x14ac:dyDescent="0.3">
      <c r="A229" s="147">
        <f>IF(COUNTIF(LEDGER[LedgerCode],FinanceCodesBudget[[#This Row],[LedgerCode]])&gt;0,0,1)</f>
        <v>0</v>
      </c>
      <c r="B229" s="43">
        <f>IF(COUNTIF(Table_System_Grouping_Codes[groupingCodeCode],FinanceCodesBudget[[#This Row],[GroupingCode]])&gt;0,0,1)</f>
        <v>0</v>
      </c>
      <c r="C229" s="43">
        <f>IF(COUNTIF(CUSTGROUP[CustomGroupingCode],FinanceCodesBudget[[#This Row],[CustomGrouping]])&gt;0,0,1)</f>
        <v>0</v>
      </c>
      <c r="D229" s="43" cm="1">
        <f t="array" ref="D229">IF(FinanceCodesBudget[[#This Row],[AvailableToAllSchools]]=TRUE,0,COUNTA(_xlfn.TEXTSPLIT(FinanceCodesBudget[[#This Row],[SchoolCodes]],",",,TRUE))-SUM(COUNTIF(SCHOOLS[SchoolCode],_xlfn.TEXTSPLIT(FinanceCodesBudget[[#This Row],[SchoolCodes]],",",,TRUE))))</f>
        <v>0</v>
      </c>
      <c r="E229" s="43">
        <f>IF(FinanceCodesBudget[[#This Row],[FinanceCodeTypeCode]]="BUDGET",0,COUNTIF(FinanceCodesBudget[FinanceCode],FinanceCodesBudget[[#This Row],[FinanceCode]])-1)</f>
        <v>0</v>
      </c>
      <c r="F229" s="43">
        <f>IF(FinanceCodesBudget[[#This Row],[FinanceCodeTypeCode]]="BUDGET",0,COUNTIF(FinanceCodesBudget[Title],FinanceCodesBudget[[#This Row],[Title]])-1)</f>
        <v>0</v>
      </c>
      <c r="G229" s="43">
        <f>COUNTIF(Lookup!$A$2:$A$7,FinanceCodesBudget[[#This Row],[FinanceCodeTypeCode]])-1</f>
        <v>0</v>
      </c>
      <c r="H229" s="43">
        <f>IF(TRIM(FinanceCodesBudget[[#This Row],[Title]])="",1,0)</f>
        <v>0</v>
      </c>
      <c r="I229" s="43">
        <f>IF(TRIM(FinanceCodesBudget[[#This Row],[FinanceCode]])="",1,0)</f>
        <v>0</v>
      </c>
      <c r="J229" s="43">
        <f>IF(LEN(FinanceCodesBudget[[#This Row],[FinanceCode]])&lt;100,0,1)</f>
        <v>0</v>
      </c>
      <c r="K229" s="43">
        <f>IF(LEN(FinanceCodesBudget[[#This Row],[Title]])&lt;100,0,1)</f>
        <v>0</v>
      </c>
      <c r="L229" s="43">
        <f>IF(ISBLANK(FinanceCodesBudget[[#This Row],[BalanceToScenario]]),1,0)</f>
        <v>0</v>
      </c>
      <c r="M229" s="43">
        <f>SUM(FinanceCodesBudget[[#This Row],[LedgerIssue]:[CustGrIssue]],FinanceCodesBudget[[#This Row],[DupCode]:[Balance to Scenario Blank]])</f>
        <v>0</v>
      </c>
      <c r="N229">
        <v>656700</v>
      </c>
      <c r="O229" t="s">
        <v>2750</v>
      </c>
      <c r="P229" t="s">
        <v>414</v>
      </c>
      <c r="Q229" t="s">
        <v>1985</v>
      </c>
      <c r="R229" t="b">
        <v>0</v>
      </c>
      <c r="S229" t="s">
        <v>2735</v>
      </c>
      <c r="T229" t="s">
        <v>1300</v>
      </c>
      <c r="U229" t="s">
        <v>1532</v>
      </c>
      <c r="V229" t="b">
        <v>1</v>
      </c>
      <c r="W229" t="b">
        <v>0</v>
      </c>
    </row>
    <row r="230" spans="1:23" x14ac:dyDescent="0.3">
      <c r="A230" s="147">
        <f>IF(COUNTIF(LEDGER[LedgerCode],FinanceCodesBudget[[#This Row],[LedgerCode]])&gt;0,0,1)</f>
        <v>0</v>
      </c>
      <c r="B230" s="43">
        <f>IF(COUNTIF(Table_System_Grouping_Codes[groupingCodeCode],FinanceCodesBudget[[#This Row],[GroupingCode]])&gt;0,0,1)</f>
        <v>0</v>
      </c>
      <c r="C230" s="43">
        <f>IF(COUNTIF(CUSTGROUP[CustomGroupingCode],FinanceCodesBudget[[#This Row],[CustomGrouping]])&gt;0,0,1)</f>
        <v>0</v>
      </c>
      <c r="D230" s="43" cm="1">
        <f t="array" ref="D230">IF(FinanceCodesBudget[[#This Row],[AvailableToAllSchools]]=TRUE,0,COUNTA(_xlfn.TEXTSPLIT(FinanceCodesBudget[[#This Row],[SchoolCodes]],",",,TRUE))-SUM(COUNTIF(SCHOOLS[SchoolCode],_xlfn.TEXTSPLIT(FinanceCodesBudget[[#This Row],[SchoolCodes]],",",,TRUE))))</f>
        <v>0</v>
      </c>
      <c r="E230" s="43">
        <f>IF(FinanceCodesBudget[[#This Row],[FinanceCodeTypeCode]]="BUDGET",0,COUNTIF(FinanceCodesBudget[FinanceCode],FinanceCodesBudget[[#This Row],[FinanceCode]])-1)</f>
        <v>0</v>
      </c>
      <c r="F230" s="43">
        <f>IF(FinanceCodesBudget[[#This Row],[FinanceCodeTypeCode]]="BUDGET",0,COUNTIF(FinanceCodesBudget[Title],FinanceCodesBudget[[#This Row],[Title]])-1)</f>
        <v>0</v>
      </c>
      <c r="G230" s="43">
        <f>COUNTIF(Lookup!$A$2:$A$7,FinanceCodesBudget[[#This Row],[FinanceCodeTypeCode]])-1</f>
        <v>0</v>
      </c>
      <c r="H230" s="43">
        <f>IF(TRIM(FinanceCodesBudget[[#This Row],[Title]])="",1,0)</f>
        <v>0</v>
      </c>
      <c r="I230" s="43">
        <f>IF(TRIM(FinanceCodesBudget[[#This Row],[FinanceCode]])="",1,0)</f>
        <v>0</v>
      </c>
      <c r="J230" s="43">
        <f>IF(LEN(FinanceCodesBudget[[#This Row],[FinanceCode]])&lt;100,0,1)</f>
        <v>0</v>
      </c>
      <c r="K230" s="43">
        <f>IF(LEN(FinanceCodesBudget[[#This Row],[Title]])&lt;100,0,1)</f>
        <v>0</v>
      </c>
      <c r="L230" s="43">
        <f>IF(ISBLANK(FinanceCodesBudget[[#This Row],[BalanceToScenario]]),1,0)</f>
        <v>0</v>
      </c>
      <c r="M230" s="43">
        <f>SUM(FinanceCodesBudget[[#This Row],[LedgerIssue]:[CustGrIssue]],FinanceCodesBudget[[#This Row],[DupCode]:[Balance to Scenario Blank]])</f>
        <v>0</v>
      </c>
      <c r="N230">
        <v>675100</v>
      </c>
      <c r="O230" t="s">
        <v>2751</v>
      </c>
      <c r="P230" t="s">
        <v>415</v>
      </c>
      <c r="Q230" t="s">
        <v>2004</v>
      </c>
      <c r="R230" t="b">
        <v>0</v>
      </c>
      <c r="S230" t="s">
        <v>2526</v>
      </c>
      <c r="T230" t="s">
        <v>1300</v>
      </c>
      <c r="U230" t="s">
        <v>1532</v>
      </c>
      <c r="V230" t="b">
        <v>1</v>
      </c>
      <c r="W230" t="b">
        <v>0</v>
      </c>
    </row>
    <row r="231" spans="1:23" x14ac:dyDescent="0.3">
      <c r="A231" s="147">
        <f>IF(COUNTIF(LEDGER[LedgerCode],FinanceCodesBudget[[#This Row],[LedgerCode]])&gt;0,0,1)</f>
        <v>0</v>
      </c>
      <c r="B231" s="43">
        <f>IF(COUNTIF(Table_System_Grouping_Codes[groupingCodeCode],FinanceCodesBudget[[#This Row],[GroupingCode]])&gt;0,0,1)</f>
        <v>0</v>
      </c>
      <c r="C231" s="43">
        <f>IF(COUNTIF(CUSTGROUP[CustomGroupingCode],FinanceCodesBudget[[#This Row],[CustomGrouping]])&gt;0,0,1)</f>
        <v>0</v>
      </c>
      <c r="D231" s="43" cm="1">
        <f t="array" ref="D231">IF(FinanceCodesBudget[[#This Row],[AvailableToAllSchools]]=TRUE,0,COUNTA(_xlfn.TEXTSPLIT(FinanceCodesBudget[[#This Row],[SchoolCodes]],",",,TRUE))-SUM(COUNTIF(SCHOOLS[SchoolCode],_xlfn.TEXTSPLIT(FinanceCodesBudget[[#This Row],[SchoolCodes]],",",,TRUE))))</f>
        <v>0</v>
      </c>
      <c r="E231" s="43">
        <f>IF(FinanceCodesBudget[[#This Row],[FinanceCodeTypeCode]]="BUDGET",0,COUNTIF(FinanceCodesBudget[FinanceCode],FinanceCodesBudget[[#This Row],[FinanceCode]])-1)</f>
        <v>0</v>
      </c>
      <c r="F231" s="43">
        <f>IF(FinanceCodesBudget[[#This Row],[FinanceCodeTypeCode]]="BUDGET",0,COUNTIF(FinanceCodesBudget[Title],FinanceCodesBudget[[#This Row],[Title]])-1)</f>
        <v>0</v>
      </c>
      <c r="G231" s="43">
        <f>COUNTIF(Lookup!$A$2:$A$7,FinanceCodesBudget[[#This Row],[FinanceCodeTypeCode]])-1</f>
        <v>0</v>
      </c>
      <c r="H231" s="43">
        <f>IF(TRIM(FinanceCodesBudget[[#This Row],[Title]])="",1,0)</f>
        <v>0</v>
      </c>
      <c r="I231" s="43">
        <f>IF(TRIM(FinanceCodesBudget[[#This Row],[FinanceCode]])="",1,0)</f>
        <v>0</v>
      </c>
      <c r="J231" s="43">
        <f>IF(LEN(FinanceCodesBudget[[#This Row],[FinanceCode]])&lt;100,0,1)</f>
        <v>0</v>
      </c>
      <c r="K231" s="43">
        <f>IF(LEN(FinanceCodesBudget[[#This Row],[Title]])&lt;100,0,1)</f>
        <v>0</v>
      </c>
      <c r="L231" s="43">
        <f>IF(ISBLANK(FinanceCodesBudget[[#This Row],[BalanceToScenario]]),1,0)</f>
        <v>0</v>
      </c>
      <c r="M231" s="43">
        <f>SUM(FinanceCodesBudget[[#This Row],[LedgerIssue]:[CustGrIssue]],FinanceCodesBudget[[#This Row],[DupCode]:[Balance to Scenario Blank]])</f>
        <v>0</v>
      </c>
      <c r="N231">
        <v>675110</v>
      </c>
      <c r="O231" t="s">
        <v>2752</v>
      </c>
      <c r="P231" t="s">
        <v>417</v>
      </c>
      <c r="Q231" t="s">
        <v>2004</v>
      </c>
      <c r="R231" t="b">
        <v>0</v>
      </c>
      <c r="S231" t="s">
        <v>2526</v>
      </c>
      <c r="T231" t="s">
        <v>1300</v>
      </c>
      <c r="U231" t="s">
        <v>1532</v>
      </c>
      <c r="V231" t="b">
        <v>1</v>
      </c>
      <c r="W231" t="b">
        <v>0</v>
      </c>
    </row>
    <row r="232" spans="1:23" x14ac:dyDescent="0.3">
      <c r="A232" s="147">
        <f>IF(COUNTIF(LEDGER[LedgerCode],FinanceCodesBudget[[#This Row],[LedgerCode]])&gt;0,0,1)</f>
        <v>0</v>
      </c>
      <c r="B232" s="43">
        <f>IF(COUNTIF(Table_System_Grouping_Codes[groupingCodeCode],FinanceCodesBudget[[#This Row],[GroupingCode]])&gt;0,0,1)</f>
        <v>0</v>
      </c>
      <c r="C232" s="43">
        <f>IF(COUNTIF(CUSTGROUP[CustomGroupingCode],FinanceCodesBudget[[#This Row],[CustomGrouping]])&gt;0,0,1)</f>
        <v>0</v>
      </c>
      <c r="D232" s="43" cm="1">
        <f t="array" ref="D232">IF(FinanceCodesBudget[[#This Row],[AvailableToAllSchools]]=TRUE,0,COUNTA(_xlfn.TEXTSPLIT(FinanceCodesBudget[[#This Row],[SchoolCodes]],",",,TRUE))-SUM(COUNTIF(SCHOOLS[SchoolCode],_xlfn.TEXTSPLIT(FinanceCodesBudget[[#This Row],[SchoolCodes]],",",,TRUE))))</f>
        <v>0</v>
      </c>
      <c r="E232" s="43">
        <f>IF(FinanceCodesBudget[[#This Row],[FinanceCodeTypeCode]]="BUDGET",0,COUNTIF(FinanceCodesBudget[FinanceCode],FinanceCodesBudget[[#This Row],[FinanceCode]])-1)</f>
        <v>0</v>
      </c>
      <c r="F232" s="43">
        <f>IF(FinanceCodesBudget[[#This Row],[FinanceCodeTypeCode]]="BUDGET",0,COUNTIF(FinanceCodesBudget[Title],FinanceCodesBudget[[#This Row],[Title]])-1)</f>
        <v>0</v>
      </c>
      <c r="G232" s="43">
        <f>COUNTIF(Lookup!$A$2:$A$7,FinanceCodesBudget[[#This Row],[FinanceCodeTypeCode]])-1</f>
        <v>0</v>
      </c>
      <c r="H232" s="43">
        <f>IF(TRIM(FinanceCodesBudget[[#This Row],[Title]])="",1,0)</f>
        <v>0</v>
      </c>
      <c r="I232" s="43">
        <f>IF(TRIM(FinanceCodesBudget[[#This Row],[FinanceCode]])="",1,0)</f>
        <v>0</v>
      </c>
      <c r="J232" s="43">
        <f>IF(LEN(FinanceCodesBudget[[#This Row],[FinanceCode]])&lt;100,0,1)</f>
        <v>0</v>
      </c>
      <c r="K232" s="43">
        <f>IF(LEN(FinanceCodesBudget[[#This Row],[Title]])&lt;100,0,1)</f>
        <v>0</v>
      </c>
      <c r="L232" s="43">
        <f>IF(ISBLANK(FinanceCodesBudget[[#This Row],[BalanceToScenario]]),1,0)</f>
        <v>0</v>
      </c>
      <c r="M232" s="43">
        <f>SUM(FinanceCodesBudget[[#This Row],[LedgerIssue]:[CustGrIssue]],FinanceCodesBudget[[#This Row],[DupCode]:[Balance to Scenario Blank]])</f>
        <v>0</v>
      </c>
      <c r="N232">
        <v>675150</v>
      </c>
      <c r="O232" t="s">
        <v>2753</v>
      </c>
      <c r="P232" t="s">
        <v>418</v>
      </c>
      <c r="Q232" t="s">
        <v>2004</v>
      </c>
      <c r="R232" t="b">
        <v>0</v>
      </c>
      <c r="S232" t="s">
        <v>2526</v>
      </c>
      <c r="T232" t="s">
        <v>1300</v>
      </c>
      <c r="U232" t="s">
        <v>1532</v>
      </c>
      <c r="V232" t="b">
        <v>1</v>
      </c>
      <c r="W232" t="b">
        <v>0</v>
      </c>
    </row>
    <row r="233" spans="1:23" x14ac:dyDescent="0.3">
      <c r="A233" s="147">
        <f>IF(COUNTIF(LEDGER[LedgerCode],FinanceCodesBudget[[#This Row],[LedgerCode]])&gt;0,0,1)</f>
        <v>0</v>
      </c>
      <c r="B233" s="43">
        <f>IF(COUNTIF(Table_System_Grouping_Codes[groupingCodeCode],FinanceCodesBudget[[#This Row],[GroupingCode]])&gt;0,0,1)</f>
        <v>0</v>
      </c>
      <c r="C233" s="43">
        <f>IF(COUNTIF(CUSTGROUP[CustomGroupingCode],FinanceCodesBudget[[#This Row],[CustomGrouping]])&gt;0,0,1)</f>
        <v>0</v>
      </c>
      <c r="D233" s="43" cm="1">
        <f t="array" ref="D233">IF(FinanceCodesBudget[[#This Row],[AvailableToAllSchools]]=TRUE,0,COUNTA(_xlfn.TEXTSPLIT(FinanceCodesBudget[[#This Row],[SchoolCodes]],",",,TRUE))-SUM(COUNTIF(SCHOOLS[SchoolCode],_xlfn.TEXTSPLIT(FinanceCodesBudget[[#This Row],[SchoolCodes]],",",,TRUE))))</f>
        <v>0</v>
      </c>
      <c r="E233" s="43">
        <f>IF(FinanceCodesBudget[[#This Row],[FinanceCodeTypeCode]]="BUDGET",0,COUNTIF(FinanceCodesBudget[FinanceCode],FinanceCodesBudget[[#This Row],[FinanceCode]])-1)</f>
        <v>0</v>
      </c>
      <c r="F233" s="43">
        <f>IF(FinanceCodesBudget[[#This Row],[FinanceCodeTypeCode]]="BUDGET",0,COUNTIF(FinanceCodesBudget[Title],FinanceCodesBudget[[#This Row],[Title]])-1)</f>
        <v>0</v>
      </c>
      <c r="G233" s="43">
        <f>COUNTIF(Lookup!$A$2:$A$7,FinanceCodesBudget[[#This Row],[FinanceCodeTypeCode]])-1</f>
        <v>0</v>
      </c>
      <c r="H233" s="43">
        <f>IF(TRIM(FinanceCodesBudget[[#This Row],[Title]])="",1,0)</f>
        <v>0</v>
      </c>
      <c r="I233" s="43">
        <f>IF(TRIM(FinanceCodesBudget[[#This Row],[FinanceCode]])="",1,0)</f>
        <v>0</v>
      </c>
      <c r="J233" s="43">
        <f>IF(LEN(FinanceCodesBudget[[#This Row],[FinanceCode]])&lt;100,0,1)</f>
        <v>0</v>
      </c>
      <c r="K233" s="43">
        <f>IF(LEN(FinanceCodesBudget[[#This Row],[Title]])&lt;100,0,1)</f>
        <v>0</v>
      </c>
      <c r="L233" s="43">
        <f>IF(ISBLANK(FinanceCodesBudget[[#This Row],[BalanceToScenario]]),1,0)</f>
        <v>0</v>
      </c>
      <c r="M233" s="43">
        <f>SUM(FinanceCodesBudget[[#This Row],[LedgerIssue]:[CustGrIssue]],FinanceCodesBudget[[#This Row],[DupCode]:[Balance to Scenario Blank]])</f>
        <v>0</v>
      </c>
      <c r="N233">
        <v>675170</v>
      </c>
      <c r="O233" t="s">
        <v>2754</v>
      </c>
      <c r="P233" t="s">
        <v>419</v>
      </c>
      <c r="Q233" t="s">
        <v>2004</v>
      </c>
      <c r="R233" t="b">
        <v>0</v>
      </c>
      <c r="S233" t="s">
        <v>2526</v>
      </c>
      <c r="T233" t="s">
        <v>1300</v>
      </c>
      <c r="U233" t="s">
        <v>1532</v>
      </c>
      <c r="V233" t="b">
        <v>1</v>
      </c>
      <c r="W233" t="b">
        <v>0</v>
      </c>
    </row>
    <row r="234" spans="1:23" x14ac:dyDescent="0.3">
      <c r="A234" s="147">
        <f>IF(COUNTIF(LEDGER[LedgerCode],FinanceCodesBudget[[#This Row],[LedgerCode]])&gt;0,0,1)</f>
        <v>0</v>
      </c>
      <c r="B234" s="43">
        <f>IF(COUNTIF(Table_System_Grouping_Codes[groupingCodeCode],FinanceCodesBudget[[#This Row],[GroupingCode]])&gt;0,0,1)</f>
        <v>0</v>
      </c>
      <c r="C234" s="43">
        <f>IF(COUNTIF(CUSTGROUP[CustomGroupingCode],FinanceCodesBudget[[#This Row],[CustomGrouping]])&gt;0,0,1)</f>
        <v>0</v>
      </c>
      <c r="D234" s="43" cm="1">
        <f t="array" ref="D234">IF(FinanceCodesBudget[[#This Row],[AvailableToAllSchools]]=TRUE,0,COUNTA(_xlfn.TEXTSPLIT(FinanceCodesBudget[[#This Row],[SchoolCodes]],",",,TRUE))-SUM(COUNTIF(SCHOOLS[SchoolCode],_xlfn.TEXTSPLIT(FinanceCodesBudget[[#This Row],[SchoolCodes]],",",,TRUE))))</f>
        <v>0</v>
      </c>
      <c r="E234" s="43">
        <f>IF(FinanceCodesBudget[[#This Row],[FinanceCodeTypeCode]]="BUDGET",0,COUNTIF(FinanceCodesBudget[FinanceCode],FinanceCodesBudget[[#This Row],[FinanceCode]])-1)</f>
        <v>0</v>
      </c>
      <c r="F234" s="43">
        <f>IF(FinanceCodesBudget[[#This Row],[FinanceCodeTypeCode]]="BUDGET",0,COUNTIF(FinanceCodesBudget[Title],FinanceCodesBudget[[#This Row],[Title]])-1)</f>
        <v>0</v>
      </c>
      <c r="G234" s="43">
        <f>COUNTIF(Lookup!$A$2:$A$7,FinanceCodesBudget[[#This Row],[FinanceCodeTypeCode]])-1</f>
        <v>0</v>
      </c>
      <c r="H234" s="43">
        <f>IF(TRIM(FinanceCodesBudget[[#This Row],[Title]])="",1,0)</f>
        <v>0</v>
      </c>
      <c r="I234" s="43">
        <f>IF(TRIM(FinanceCodesBudget[[#This Row],[FinanceCode]])="",1,0)</f>
        <v>0</v>
      </c>
      <c r="J234" s="43">
        <f>IF(LEN(FinanceCodesBudget[[#This Row],[FinanceCode]])&lt;100,0,1)</f>
        <v>0</v>
      </c>
      <c r="K234" s="43">
        <f>IF(LEN(FinanceCodesBudget[[#This Row],[Title]])&lt;100,0,1)</f>
        <v>0</v>
      </c>
      <c r="L234" s="43">
        <f>IF(ISBLANK(FinanceCodesBudget[[#This Row],[BalanceToScenario]]),1,0)</f>
        <v>0</v>
      </c>
      <c r="M234" s="43">
        <f>SUM(FinanceCodesBudget[[#This Row],[LedgerIssue]:[CustGrIssue]],FinanceCodesBudget[[#This Row],[DupCode]:[Balance to Scenario Blank]])</f>
        <v>0</v>
      </c>
      <c r="N234">
        <v>675200</v>
      </c>
      <c r="O234" t="s">
        <v>2755</v>
      </c>
      <c r="P234" t="s">
        <v>419</v>
      </c>
      <c r="Q234" t="s">
        <v>2004</v>
      </c>
      <c r="R234" t="b">
        <v>0</v>
      </c>
      <c r="S234" t="s">
        <v>2526</v>
      </c>
      <c r="T234" t="s">
        <v>1300</v>
      </c>
      <c r="U234" t="s">
        <v>1532</v>
      </c>
      <c r="V234" t="b">
        <v>1</v>
      </c>
      <c r="W234" t="b">
        <v>0</v>
      </c>
    </row>
    <row r="235" spans="1:23" x14ac:dyDescent="0.3">
      <c r="A235" s="147">
        <f>IF(COUNTIF(LEDGER[LedgerCode],FinanceCodesBudget[[#This Row],[LedgerCode]])&gt;0,0,1)</f>
        <v>0</v>
      </c>
      <c r="B235" s="43">
        <f>IF(COUNTIF(Table_System_Grouping_Codes[groupingCodeCode],FinanceCodesBudget[[#This Row],[GroupingCode]])&gt;0,0,1)</f>
        <v>0</v>
      </c>
      <c r="C235" s="43">
        <f>IF(COUNTIF(CUSTGROUP[CustomGroupingCode],FinanceCodesBudget[[#This Row],[CustomGrouping]])&gt;0,0,1)</f>
        <v>0</v>
      </c>
      <c r="D235" s="43" cm="1">
        <f t="array" ref="D235">IF(FinanceCodesBudget[[#This Row],[AvailableToAllSchools]]=TRUE,0,COUNTA(_xlfn.TEXTSPLIT(FinanceCodesBudget[[#This Row],[SchoolCodes]],",",,TRUE))-SUM(COUNTIF(SCHOOLS[SchoolCode],_xlfn.TEXTSPLIT(FinanceCodesBudget[[#This Row],[SchoolCodes]],",",,TRUE))))</f>
        <v>0</v>
      </c>
      <c r="E235" s="43">
        <f>IF(FinanceCodesBudget[[#This Row],[FinanceCodeTypeCode]]="BUDGET",0,COUNTIF(FinanceCodesBudget[FinanceCode],FinanceCodesBudget[[#This Row],[FinanceCode]])-1)</f>
        <v>0</v>
      </c>
      <c r="F235" s="43">
        <f>IF(FinanceCodesBudget[[#This Row],[FinanceCodeTypeCode]]="BUDGET",0,COUNTIF(FinanceCodesBudget[Title],FinanceCodesBudget[[#This Row],[Title]])-1)</f>
        <v>0</v>
      </c>
      <c r="G235" s="43">
        <f>COUNTIF(Lookup!$A$2:$A$7,FinanceCodesBudget[[#This Row],[FinanceCodeTypeCode]])-1</f>
        <v>0</v>
      </c>
      <c r="H235" s="43">
        <f>IF(TRIM(FinanceCodesBudget[[#This Row],[Title]])="",1,0)</f>
        <v>0</v>
      </c>
      <c r="I235" s="43">
        <f>IF(TRIM(FinanceCodesBudget[[#This Row],[FinanceCode]])="",1,0)</f>
        <v>0</v>
      </c>
      <c r="J235" s="43">
        <f>IF(LEN(FinanceCodesBudget[[#This Row],[FinanceCode]])&lt;100,0,1)</f>
        <v>0</v>
      </c>
      <c r="K235" s="43">
        <f>IF(LEN(FinanceCodesBudget[[#This Row],[Title]])&lt;100,0,1)</f>
        <v>0</v>
      </c>
      <c r="L235" s="43">
        <f>IF(ISBLANK(FinanceCodesBudget[[#This Row],[BalanceToScenario]]),1,0)</f>
        <v>0</v>
      </c>
      <c r="M235" s="43">
        <f>SUM(FinanceCodesBudget[[#This Row],[LedgerIssue]:[CustGrIssue]],FinanceCodesBudget[[#This Row],[DupCode]:[Balance to Scenario Blank]])</f>
        <v>0</v>
      </c>
      <c r="N235">
        <v>675220</v>
      </c>
      <c r="O235" t="s">
        <v>2756</v>
      </c>
      <c r="P235" t="s">
        <v>420</v>
      </c>
      <c r="Q235" t="s">
        <v>2004</v>
      </c>
      <c r="R235" t="b">
        <v>0</v>
      </c>
      <c r="S235" t="s">
        <v>2526</v>
      </c>
      <c r="T235" t="s">
        <v>1300</v>
      </c>
      <c r="U235" t="s">
        <v>1532</v>
      </c>
      <c r="V235" t="b">
        <v>1</v>
      </c>
      <c r="W235" t="b">
        <v>0</v>
      </c>
    </row>
    <row r="236" spans="1:23" x14ac:dyDescent="0.3">
      <c r="A236" s="147">
        <f>IF(COUNTIF(LEDGER[LedgerCode],FinanceCodesBudget[[#This Row],[LedgerCode]])&gt;0,0,1)</f>
        <v>0</v>
      </c>
      <c r="B236" s="43">
        <f>IF(COUNTIF(Table_System_Grouping_Codes[groupingCodeCode],FinanceCodesBudget[[#This Row],[GroupingCode]])&gt;0,0,1)</f>
        <v>0</v>
      </c>
      <c r="C236" s="43">
        <f>IF(COUNTIF(CUSTGROUP[CustomGroupingCode],FinanceCodesBudget[[#This Row],[CustomGrouping]])&gt;0,0,1)</f>
        <v>0</v>
      </c>
      <c r="D236" s="43" cm="1">
        <f t="array" ref="D236">IF(FinanceCodesBudget[[#This Row],[AvailableToAllSchools]]=TRUE,0,COUNTA(_xlfn.TEXTSPLIT(FinanceCodesBudget[[#This Row],[SchoolCodes]],",",,TRUE))-SUM(COUNTIF(SCHOOLS[SchoolCode],_xlfn.TEXTSPLIT(FinanceCodesBudget[[#This Row],[SchoolCodes]],",",,TRUE))))</f>
        <v>0</v>
      </c>
      <c r="E236" s="43">
        <f>IF(FinanceCodesBudget[[#This Row],[FinanceCodeTypeCode]]="BUDGET",0,COUNTIF(FinanceCodesBudget[FinanceCode],FinanceCodesBudget[[#This Row],[FinanceCode]])-1)</f>
        <v>0</v>
      </c>
      <c r="F236" s="43">
        <f>IF(FinanceCodesBudget[[#This Row],[FinanceCodeTypeCode]]="BUDGET",0,COUNTIF(FinanceCodesBudget[Title],FinanceCodesBudget[[#This Row],[Title]])-1)</f>
        <v>0</v>
      </c>
      <c r="G236" s="43">
        <f>COUNTIF(Lookup!$A$2:$A$7,FinanceCodesBudget[[#This Row],[FinanceCodeTypeCode]])-1</f>
        <v>0</v>
      </c>
      <c r="H236" s="43">
        <f>IF(TRIM(FinanceCodesBudget[[#This Row],[Title]])="",1,0)</f>
        <v>0</v>
      </c>
      <c r="I236" s="43">
        <f>IF(TRIM(FinanceCodesBudget[[#This Row],[FinanceCode]])="",1,0)</f>
        <v>0</v>
      </c>
      <c r="J236" s="43">
        <f>IF(LEN(FinanceCodesBudget[[#This Row],[FinanceCode]])&lt;100,0,1)</f>
        <v>0</v>
      </c>
      <c r="K236" s="43">
        <f>IF(LEN(FinanceCodesBudget[[#This Row],[Title]])&lt;100,0,1)</f>
        <v>0</v>
      </c>
      <c r="L236" s="43">
        <f>IF(ISBLANK(FinanceCodesBudget[[#This Row],[BalanceToScenario]]),1,0)</f>
        <v>0</v>
      </c>
      <c r="M236" s="43">
        <f>SUM(FinanceCodesBudget[[#This Row],[LedgerIssue]:[CustGrIssue]],FinanceCodesBudget[[#This Row],[DupCode]:[Balance to Scenario Blank]])</f>
        <v>0</v>
      </c>
      <c r="N236">
        <v>675250</v>
      </c>
      <c r="O236" t="s">
        <v>2757</v>
      </c>
      <c r="P236" t="s">
        <v>421</v>
      </c>
      <c r="Q236" t="s">
        <v>2004</v>
      </c>
      <c r="R236" t="b">
        <v>0</v>
      </c>
      <c r="S236" t="s">
        <v>2526</v>
      </c>
      <c r="T236" t="s">
        <v>1300</v>
      </c>
      <c r="U236" t="s">
        <v>1532</v>
      </c>
      <c r="V236" t="b">
        <v>1</v>
      </c>
      <c r="W236" t="b">
        <v>0</v>
      </c>
    </row>
    <row r="237" spans="1:23" x14ac:dyDescent="0.3">
      <c r="A237" s="147">
        <f>IF(COUNTIF(LEDGER[LedgerCode],FinanceCodesBudget[[#This Row],[LedgerCode]])&gt;0,0,1)</f>
        <v>0</v>
      </c>
      <c r="B237" s="43">
        <f>IF(COUNTIF(Table_System_Grouping_Codes[groupingCodeCode],FinanceCodesBudget[[#This Row],[GroupingCode]])&gt;0,0,1)</f>
        <v>0</v>
      </c>
      <c r="C237" s="43">
        <f>IF(COUNTIF(CUSTGROUP[CustomGroupingCode],FinanceCodesBudget[[#This Row],[CustomGrouping]])&gt;0,0,1)</f>
        <v>0</v>
      </c>
      <c r="D237" s="43" cm="1">
        <f t="array" ref="D237">IF(FinanceCodesBudget[[#This Row],[AvailableToAllSchools]]=TRUE,0,COUNTA(_xlfn.TEXTSPLIT(FinanceCodesBudget[[#This Row],[SchoolCodes]],",",,TRUE))-SUM(COUNTIF(SCHOOLS[SchoolCode],_xlfn.TEXTSPLIT(FinanceCodesBudget[[#This Row],[SchoolCodes]],",",,TRUE))))</f>
        <v>0</v>
      </c>
      <c r="E237" s="43">
        <f>IF(FinanceCodesBudget[[#This Row],[FinanceCodeTypeCode]]="BUDGET",0,COUNTIF(FinanceCodesBudget[FinanceCode],FinanceCodesBudget[[#This Row],[FinanceCode]])-1)</f>
        <v>0</v>
      </c>
      <c r="F237" s="43">
        <f>IF(FinanceCodesBudget[[#This Row],[FinanceCodeTypeCode]]="BUDGET",0,COUNTIF(FinanceCodesBudget[Title],FinanceCodesBudget[[#This Row],[Title]])-1)</f>
        <v>0</v>
      </c>
      <c r="G237" s="43">
        <f>COUNTIF(Lookup!$A$2:$A$7,FinanceCodesBudget[[#This Row],[FinanceCodeTypeCode]])-1</f>
        <v>0</v>
      </c>
      <c r="H237" s="43">
        <f>IF(TRIM(FinanceCodesBudget[[#This Row],[Title]])="",1,0)</f>
        <v>0</v>
      </c>
      <c r="I237" s="43">
        <f>IF(TRIM(FinanceCodesBudget[[#This Row],[FinanceCode]])="",1,0)</f>
        <v>0</v>
      </c>
      <c r="J237" s="43">
        <f>IF(LEN(FinanceCodesBudget[[#This Row],[FinanceCode]])&lt;100,0,1)</f>
        <v>0</v>
      </c>
      <c r="K237" s="43">
        <f>IF(LEN(FinanceCodesBudget[[#This Row],[Title]])&lt;100,0,1)</f>
        <v>0</v>
      </c>
      <c r="L237" s="43">
        <f>IF(ISBLANK(FinanceCodesBudget[[#This Row],[BalanceToScenario]]),1,0)</f>
        <v>0</v>
      </c>
      <c r="M237" s="43">
        <f>SUM(FinanceCodesBudget[[#This Row],[LedgerIssue]:[CustGrIssue]],FinanceCodesBudget[[#This Row],[DupCode]:[Balance to Scenario Blank]])</f>
        <v>0</v>
      </c>
      <c r="N237">
        <v>675270</v>
      </c>
      <c r="O237" t="s">
        <v>2758</v>
      </c>
      <c r="P237" t="s">
        <v>423</v>
      </c>
      <c r="Q237" t="s">
        <v>2004</v>
      </c>
      <c r="R237" t="b">
        <v>0</v>
      </c>
      <c r="S237" t="s">
        <v>2526</v>
      </c>
      <c r="T237" t="s">
        <v>1300</v>
      </c>
      <c r="U237" t="s">
        <v>1532</v>
      </c>
      <c r="V237" t="b">
        <v>1</v>
      </c>
      <c r="W237" t="b">
        <v>0</v>
      </c>
    </row>
    <row r="238" spans="1:23" x14ac:dyDescent="0.3">
      <c r="A238" s="147">
        <f>IF(COUNTIF(LEDGER[LedgerCode],FinanceCodesBudget[[#This Row],[LedgerCode]])&gt;0,0,1)</f>
        <v>0</v>
      </c>
      <c r="B238" s="43">
        <f>IF(COUNTIF(Table_System_Grouping_Codes[groupingCodeCode],FinanceCodesBudget[[#This Row],[GroupingCode]])&gt;0,0,1)</f>
        <v>0</v>
      </c>
      <c r="C238" s="43">
        <f>IF(COUNTIF(CUSTGROUP[CustomGroupingCode],FinanceCodesBudget[[#This Row],[CustomGrouping]])&gt;0,0,1)</f>
        <v>0</v>
      </c>
      <c r="D238" s="43" cm="1">
        <f t="array" ref="D238">IF(FinanceCodesBudget[[#This Row],[AvailableToAllSchools]]=TRUE,0,COUNTA(_xlfn.TEXTSPLIT(FinanceCodesBudget[[#This Row],[SchoolCodes]],",",,TRUE))-SUM(COUNTIF(SCHOOLS[SchoolCode],_xlfn.TEXTSPLIT(FinanceCodesBudget[[#This Row],[SchoolCodes]],",",,TRUE))))</f>
        <v>0</v>
      </c>
      <c r="E238" s="43">
        <f>IF(FinanceCodesBudget[[#This Row],[FinanceCodeTypeCode]]="BUDGET",0,COUNTIF(FinanceCodesBudget[FinanceCode],FinanceCodesBudget[[#This Row],[FinanceCode]])-1)</f>
        <v>0</v>
      </c>
      <c r="F238" s="43">
        <f>IF(FinanceCodesBudget[[#This Row],[FinanceCodeTypeCode]]="BUDGET",0,COUNTIF(FinanceCodesBudget[Title],FinanceCodesBudget[[#This Row],[Title]])-1)</f>
        <v>0</v>
      </c>
      <c r="G238" s="43">
        <f>COUNTIF(Lookup!$A$2:$A$7,FinanceCodesBudget[[#This Row],[FinanceCodeTypeCode]])-1</f>
        <v>0</v>
      </c>
      <c r="H238" s="43">
        <f>IF(TRIM(FinanceCodesBudget[[#This Row],[Title]])="",1,0)</f>
        <v>0</v>
      </c>
      <c r="I238" s="43">
        <f>IF(TRIM(FinanceCodesBudget[[#This Row],[FinanceCode]])="",1,0)</f>
        <v>0</v>
      </c>
      <c r="J238" s="43">
        <f>IF(LEN(FinanceCodesBudget[[#This Row],[FinanceCode]])&lt;100,0,1)</f>
        <v>0</v>
      </c>
      <c r="K238" s="43">
        <f>IF(LEN(FinanceCodesBudget[[#This Row],[Title]])&lt;100,0,1)</f>
        <v>0</v>
      </c>
      <c r="L238" s="43">
        <f>IF(ISBLANK(FinanceCodesBudget[[#This Row],[BalanceToScenario]]),1,0)</f>
        <v>0</v>
      </c>
      <c r="M238" s="43">
        <f>SUM(FinanceCodesBudget[[#This Row],[LedgerIssue]:[CustGrIssue]],FinanceCodesBudget[[#This Row],[DupCode]:[Balance to Scenario Blank]])</f>
        <v>0</v>
      </c>
      <c r="N238">
        <v>675300</v>
      </c>
      <c r="O238" t="s">
        <v>2759</v>
      </c>
      <c r="P238" t="s">
        <v>425</v>
      </c>
      <c r="Q238" t="s">
        <v>2004</v>
      </c>
      <c r="R238" t="b">
        <v>0</v>
      </c>
      <c r="S238" t="s">
        <v>2526</v>
      </c>
      <c r="T238" t="s">
        <v>1300</v>
      </c>
      <c r="U238" t="s">
        <v>1532</v>
      </c>
      <c r="V238" t="b">
        <v>1</v>
      </c>
      <c r="W238" t="b">
        <v>0</v>
      </c>
    </row>
    <row r="239" spans="1:23" x14ac:dyDescent="0.3">
      <c r="A239" s="147">
        <f>IF(COUNTIF(LEDGER[LedgerCode],FinanceCodesBudget[[#This Row],[LedgerCode]])&gt;0,0,1)</f>
        <v>0</v>
      </c>
      <c r="B239" s="43">
        <f>IF(COUNTIF(Table_System_Grouping_Codes[groupingCodeCode],FinanceCodesBudget[[#This Row],[GroupingCode]])&gt;0,0,1)</f>
        <v>0</v>
      </c>
      <c r="C239" s="43">
        <f>IF(COUNTIF(CUSTGROUP[CustomGroupingCode],FinanceCodesBudget[[#This Row],[CustomGrouping]])&gt;0,0,1)</f>
        <v>0</v>
      </c>
      <c r="D239" s="43" cm="1">
        <f t="array" ref="D239">IF(FinanceCodesBudget[[#This Row],[AvailableToAllSchools]]=TRUE,0,COUNTA(_xlfn.TEXTSPLIT(FinanceCodesBudget[[#This Row],[SchoolCodes]],",",,TRUE))-SUM(COUNTIF(SCHOOLS[SchoolCode],_xlfn.TEXTSPLIT(FinanceCodesBudget[[#This Row],[SchoolCodes]],",",,TRUE))))</f>
        <v>0</v>
      </c>
      <c r="E239" s="43">
        <f>IF(FinanceCodesBudget[[#This Row],[FinanceCodeTypeCode]]="BUDGET",0,COUNTIF(FinanceCodesBudget[FinanceCode],FinanceCodesBudget[[#This Row],[FinanceCode]])-1)</f>
        <v>0</v>
      </c>
      <c r="F239" s="43">
        <f>IF(FinanceCodesBudget[[#This Row],[FinanceCodeTypeCode]]="BUDGET",0,COUNTIF(FinanceCodesBudget[Title],FinanceCodesBudget[[#This Row],[Title]])-1)</f>
        <v>0</v>
      </c>
      <c r="G239" s="43">
        <f>COUNTIF(Lookup!$A$2:$A$7,FinanceCodesBudget[[#This Row],[FinanceCodeTypeCode]])-1</f>
        <v>0</v>
      </c>
      <c r="H239" s="43">
        <f>IF(TRIM(FinanceCodesBudget[[#This Row],[Title]])="",1,0)</f>
        <v>0</v>
      </c>
      <c r="I239" s="43">
        <f>IF(TRIM(FinanceCodesBudget[[#This Row],[FinanceCode]])="",1,0)</f>
        <v>0</v>
      </c>
      <c r="J239" s="43">
        <f>IF(LEN(FinanceCodesBudget[[#This Row],[FinanceCode]])&lt;100,0,1)</f>
        <v>0</v>
      </c>
      <c r="K239" s="43">
        <f>IF(LEN(FinanceCodesBudget[[#This Row],[Title]])&lt;100,0,1)</f>
        <v>0</v>
      </c>
      <c r="L239" s="43">
        <f>IF(ISBLANK(FinanceCodesBudget[[#This Row],[BalanceToScenario]]),1,0)</f>
        <v>0</v>
      </c>
      <c r="M239" s="43">
        <f>SUM(FinanceCodesBudget[[#This Row],[LedgerIssue]:[CustGrIssue]],FinanceCodesBudget[[#This Row],[DupCode]:[Balance to Scenario Blank]])</f>
        <v>0</v>
      </c>
      <c r="N239">
        <v>675320</v>
      </c>
      <c r="O239" t="s">
        <v>2760</v>
      </c>
      <c r="P239" t="s">
        <v>427</v>
      </c>
      <c r="Q239" t="s">
        <v>2004</v>
      </c>
      <c r="R239" t="b">
        <v>0</v>
      </c>
      <c r="S239" t="s">
        <v>2526</v>
      </c>
      <c r="T239" t="s">
        <v>1300</v>
      </c>
      <c r="U239" t="s">
        <v>1532</v>
      </c>
      <c r="V239" t="b">
        <v>1</v>
      </c>
      <c r="W239" t="b">
        <v>0</v>
      </c>
    </row>
    <row r="240" spans="1:23" x14ac:dyDescent="0.3">
      <c r="A240" s="147">
        <f>IF(COUNTIF(LEDGER[LedgerCode],FinanceCodesBudget[[#This Row],[LedgerCode]])&gt;0,0,1)</f>
        <v>0</v>
      </c>
      <c r="B240" s="43">
        <f>IF(COUNTIF(Table_System_Grouping_Codes[groupingCodeCode],FinanceCodesBudget[[#This Row],[GroupingCode]])&gt;0,0,1)</f>
        <v>0</v>
      </c>
      <c r="C240" s="43">
        <f>IF(COUNTIF(CUSTGROUP[CustomGroupingCode],FinanceCodesBudget[[#This Row],[CustomGrouping]])&gt;0,0,1)</f>
        <v>0</v>
      </c>
      <c r="D240" s="43" cm="1">
        <f t="array" ref="D240">IF(FinanceCodesBudget[[#This Row],[AvailableToAllSchools]]=TRUE,0,COUNTA(_xlfn.TEXTSPLIT(FinanceCodesBudget[[#This Row],[SchoolCodes]],",",,TRUE))-SUM(COUNTIF(SCHOOLS[SchoolCode],_xlfn.TEXTSPLIT(FinanceCodesBudget[[#This Row],[SchoolCodes]],",",,TRUE))))</f>
        <v>0</v>
      </c>
      <c r="E240" s="43">
        <f>IF(FinanceCodesBudget[[#This Row],[FinanceCodeTypeCode]]="BUDGET",0,COUNTIF(FinanceCodesBudget[FinanceCode],FinanceCodesBudget[[#This Row],[FinanceCode]])-1)</f>
        <v>0</v>
      </c>
      <c r="F240" s="43">
        <f>IF(FinanceCodesBudget[[#This Row],[FinanceCodeTypeCode]]="BUDGET",0,COUNTIF(FinanceCodesBudget[Title],FinanceCodesBudget[[#This Row],[Title]])-1)</f>
        <v>0</v>
      </c>
      <c r="G240" s="43">
        <f>COUNTIF(Lookup!$A$2:$A$7,FinanceCodesBudget[[#This Row],[FinanceCodeTypeCode]])-1</f>
        <v>0</v>
      </c>
      <c r="H240" s="43">
        <f>IF(TRIM(FinanceCodesBudget[[#This Row],[Title]])="",1,0)</f>
        <v>0</v>
      </c>
      <c r="I240" s="43">
        <f>IF(TRIM(FinanceCodesBudget[[#This Row],[FinanceCode]])="",1,0)</f>
        <v>0</v>
      </c>
      <c r="J240" s="43">
        <f>IF(LEN(FinanceCodesBudget[[#This Row],[FinanceCode]])&lt;100,0,1)</f>
        <v>0</v>
      </c>
      <c r="K240" s="43">
        <f>IF(LEN(FinanceCodesBudget[[#This Row],[Title]])&lt;100,0,1)</f>
        <v>0</v>
      </c>
      <c r="L240" s="43">
        <f>IF(ISBLANK(FinanceCodesBudget[[#This Row],[BalanceToScenario]]),1,0)</f>
        <v>0</v>
      </c>
      <c r="M240" s="43">
        <f>SUM(FinanceCodesBudget[[#This Row],[LedgerIssue]:[CustGrIssue]],FinanceCodesBudget[[#This Row],[DupCode]:[Balance to Scenario Blank]])</f>
        <v>0</v>
      </c>
      <c r="N240">
        <v>675400</v>
      </c>
      <c r="O240" t="s">
        <v>2761</v>
      </c>
      <c r="P240" t="s">
        <v>429</v>
      </c>
      <c r="Q240" t="s">
        <v>2004</v>
      </c>
      <c r="R240" t="b">
        <v>0</v>
      </c>
      <c r="S240" t="s">
        <v>2526</v>
      </c>
      <c r="T240" t="s">
        <v>1300</v>
      </c>
      <c r="U240" t="s">
        <v>1532</v>
      </c>
      <c r="V240" t="b">
        <v>1</v>
      </c>
      <c r="W240" t="b">
        <v>0</v>
      </c>
    </row>
    <row r="241" spans="1:23" x14ac:dyDescent="0.3">
      <c r="A241" s="147">
        <f>IF(COUNTIF(LEDGER[LedgerCode],FinanceCodesBudget[[#This Row],[LedgerCode]])&gt;0,0,1)</f>
        <v>0</v>
      </c>
      <c r="B241" s="43">
        <f>IF(COUNTIF(Table_System_Grouping_Codes[groupingCodeCode],FinanceCodesBudget[[#This Row],[GroupingCode]])&gt;0,0,1)</f>
        <v>0</v>
      </c>
      <c r="C241" s="43">
        <f>IF(COUNTIF(CUSTGROUP[CustomGroupingCode],FinanceCodesBudget[[#This Row],[CustomGrouping]])&gt;0,0,1)</f>
        <v>0</v>
      </c>
      <c r="D241" s="43" cm="1">
        <f t="array" ref="D241">IF(FinanceCodesBudget[[#This Row],[AvailableToAllSchools]]=TRUE,0,COUNTA(_xlfn.TEXTSPLIT(FinanceCodesBudget[[#This Row],[SchoolCodes]],",",,TRUE))-SUM(COUNTIF(SCHOOLS[SchoolCode],_xlfn.TEXTSPLIT(FinanceCodesBudget[[#This Row],[SchoolCodes]],",",,TRUE))))</f>
        <v>0</v>
      </c>
      <c r="E241" s="43">
        <f>IF(FinanceCodesBudget[[#This Row],[FinanceCodeTypeCode]]="BUDGET",0,COUNTIF(FinanceCodesBudget[FinanceCode],FinanceCodesBudget[[#This Row],[FinanceCode]])-1)</f>
        <v>0</v>
      </c>
      <c r="F241" s="43">
        <f>IF(FinanceCodesBudget[[#This Row],[FinanceCodeTypeCode]]="BUDGET",0,COUNTIF(FinanceCodesBudget[Title],FinanceCodesBudget[[#This Row],[Title]])-1)</f>
        <v>0</v>
      </c>
      <c r="G241" s="43">
        <f>COUNTIF(Lookup!$A$2:$A$7,FinanceCodesBudget[[#This Row],[FinanceCodeTypeCode]])-1</f>
        <v>0</v>
      </c>
      <c r="H241" s="43">
        <f>IF(TRIM(FinanceCodesBudget[[#This Row],[Title]])="",1,0)</f>
        <v>0</v>
      </c>
      <c r="I241" s="43">
        <f>IF(TRIM(FinanceCodesBudget[[#This Row],[FinanceCode]])="",1,0)</f>
        <v>0</v>
      </c>
      <c r="J241" s="43">
        <f>IF(LEN(FinanceCodesBudget[[#This Row],[FinanceCode]])&lt;100,0,1)</f>
        <v>0</v>
      </c>
      <c r="K241" s="43">
        <f>IF(LEN(FinanceCodesBudget[[#This Row],[Title]])&lt;100,0,1)</f>
        <v>0</v>
      </c>
      <c r="L241" s="43">
        <f>IF(ISBLANK(FinanceCodesBudget[[#This Row],[BalanceToScenario]]),1,0)</f>
        <v>0</v>
      </c>
      <c r="M241" s="43">
        <f>SUM(FinanceCodesBudget[[#This Row],[LedgerIssue]:[CustGrIssue]],FinanceCodesBudget[[#This Row],[DupCode]:[Balance to Scenario Blank]])</f>
        <v>0</v>
      </c>
      <c r="N241">
        <v>675410</v>
      </c>
      <c r="O241" t="s">
        <v>2762</v>
      </c>
      <c r="P241" t="s">
        <v>430</v>
      </c>
      <c r="Q241" t="s">
        <v>2004</v>
      </c>
      <c r="R241" t="b">
        <v>0</v>
      </c>
      <c r="S241" t="s">
        <v>2526</v>
      </c>
      <c r="T241" t="s">
        <v>1300</v>
      </c>
      <c r="U241" t="s">
        <v>1532</v>
      </c>
      <c r="V241" t="b">
        <v>1</v>
      </c>
      <c r="W241" t="b">
        <v>0</v>
      </c>
    </row>
    <row r="242" spans="1:23" x14ac:dyDescent="0.3">
      <c r="A242" s="147">
        <f>IF(COUNTIF(LEDGER[LedgerCode],FinanceCodesBudget[[#This Row],[LedgerCode]])&gt;0,0,1)</f>
        <v>0</v>
      </c>
      <c r="B242" s="43">
        <f>IF(COUNTIF(Table_System_Grouping_Codes[groupingCodeCode],FinanceCodesBudget[[#This Row],[GroupingCode]])&gt;0,0,1)</f>
        <v>0</v>
      </c>
      <c r="C242" s="43">
        <f>IF(COUNTIF(CUSTGROUP[CustomGroupingCode],FinanceCodesBudget[[#This Row],[CustomGrouping]])&gt;0,0,1)</f>
        <v>0</v>
      </c>
      <c r="D242" s="43" cm="1">
        <f t="array" ref="D242">IF(FinanceCodesBudget[[#This Row],[AvailableToAllSchools]]=TRUE,0,COUNTA(_xlfn.TEXTSPLIT(FinanceCodesBudget[[#This Row],[SchoolCodes]],",",,TRUE))-SUM(COUNTIF(SCHOOLS[SchoolCode],_xlfn.TEXTSPLIT(FinanceCodesBudget[[#This Row],[SchoolCodes]],",",,TRUE))))</f>
        <v>0</v>
      </c>
      <c r="E242" s="43">
        <f>IF(FinanceCodesBudget[[#This Row],[FinanceCodeTypeCode]]="BUDGET",0,COUNTIF(FinanceCodesBudget[FinanceCode],FinanceCodesBudget[[#This Row],[FinanceCode]])-1)</f>
        <v>0</v>
      </c>
      <c r="F242" s="43">
        <f>IF(FinanceCodesBudget[[#This Row],[FinanceCodeTypeCode]]="BUDGET",0,COUNTIF(FinanceCodesBudget[Title],FinanceCodesBudget[[#This Row],[Title]])-1)</f>
        <v>0</v>
      </c>
      <c r="G242" s="43">
        <f>COUNTIF(Lookup!$A$2:$A$7,FinanceCodesBudget[[#This Row],[FinanceCodeTypeCode]])-1</f>
        <v>0</v>
      </c>
      <c r="H242" s="43">
        <f>IF(TRIM(FinanceCodesBudget[[#This Row],[Title]])="",1,0)</f>
        <v>0</v>
      </c>
      <c r="I242" s="43">
        <f>IF(TRIM(FinanceCodesBudget[[#This Row],[FinanceCode]])="",1,0)</f>
        <v>0</v>
      </c>
      <c r="J242" s="43">
        <f>IF(LEN(FinanceCodesBudget[[#This Row],[FinanceCode]])&lt;100,0,1)</f>
        <v>0</v>
      </c>
      <c r="K242" s="43">
        <f>IF(LEN(FinanceCodesBudget[[#This Row],[Title]])&lt;100,0,1)</f>
        <v>0</v>
      </c>
      <c r="L242" s="43">
        <f>IF(ISBLANK(FinanceCodesBudget[[#This Row],[BalanceToScenario]]),1,0)</f>
        <v>0</v>
      </c>
      <c r="M242" s="43">
        <f>SUM(FinanceCodesBudget[[#This Row],[LedgerIssue]:[CustGrIssue]],FinanceCodesBudget[[#This Row],[DupCode]:[Balance to Scenario Blank]])</f>
        <v>0</v>
      </c>
      <c r="N242">
        <v>675420</v>
      </c>
      <c r="O242" t="s">
        <v>2763</v>
      </c>
      <c r="P242" t="s">
        <v>432</v>
      </c>
      <c r="Q242" t="s">
        <v>2004</v>
      </c>
      <c r="R242" t="b">
        <v>0</v>
      </c>
      <c r="S242" t="s">
        <v>2526</v>
      </c>
      <c r="T242" t="s">
        <v>1300</v>
      </c>
      <c r="U242" t="s">
        <v>1532</v>
      </c>
      <c r="V242" t="b">
        <v>1</v>
      </c>
      <c r="W242" t="b">
        <v>0</v>
      </c>
    </row>
    <row r="243" spans="1:23" x14ac:dyDescent="0.3">
      <c r="A243" s="147">
        <f>IF(COUNTIF(LEDGER[LedgerCode],FinanceCodesBudget[[#This Row],[LedgerCode]])&gt;0,0,1)</f>
        <v>0</v>
      </c>
      <c r="B243" s="43">
        <f>IF(COUNTIF(Table_System_Grouping_Codes[groupingCodeCode],FinanceCodesBudget[[#This Row],[GroupingCode]])&gt;0,0,1)</f>
        <v>0</v>
      </c>
      <c r="C243" s="43">
        <f>IF(COUNTIF(CUSTGROUP[CustomGroupingCode],FinanceCodesBudget[[#This Row],[CustomGrouping]])&gt;0,0,1)</f>
        <v>0</v>
      </c>
      <c r="D243" s="43" cm="1">
        <f t="array" ref="D243">IF(FinanceCodesBudget[[#This Row],[AvailableToAllSchools]]=TRUE,0,COUNTA(_xlfn.TEXTSPLIT(FinanceCodesBudget[[#This Row],[SchoolCodes]],",",,TRUE))-SUM(COUNTIF(SCHOOLS[SchoolCode],_xlfn.TEXTSPLIT(FinanceCodesBudget[[#This Row],[SchoolCodes]],",",,TRUE))))</f>
        <v>0</v>
      </c>
      <c r="E243" s="43">
        <f>IF(FinanceCodesBudget[[#This Row],[FinanceCodeTypeCode]]="BUDGET",0,COUNTIF(FinanceCodesBudget[FinanceCode],FinanceCodesBudget[[#This Row],[FinanceCode]])-1)</f>
        <v>0</v>
      </c>
      <c r="F243" s="43">
        <f>IF(FinanceCodesBudget[[#This Row],[FinanceCodeTypeCode]]="BUDGET",0,COUNTIF(FinanceCodesBudget[Title],FinanceCodesBudget[[#This Row],[Title]])-1)</f>
        <v>0</v>
      </c>
      <c r="G243" s="43">
        <f>COUNTIF(Lookup!$A$2:$A$7,FinanceCodesBudget[[#This Row],[FinanceCodeTypeCode]])-1</f>
        <v>0</v>
      </c>
      <c r="H243" s="43">
        <f>IF(TRIM(FinanceCodesBudget[[#This Row],[Title]])="",1,0)</f>
        <v>0</v>
      </c>
      <c r="I243" s="43">
        <f>IF(TRIM(FinanceCodesBudget[[#This Row],[FinanceCode]])="",1,0)</f>
        <v>0</v>
      </c>
      <c r="J243" s="43">
        <f>IF(LEN(FinanceCodesBudget[[#This Row],[FinanceCode]])&lt;100,0,1)</f>
        <v>0</v>
      </c>
      <c r="K243" s="43">
        <f>IF(LEN(FinanceCodesBudget[[#This Row],[Title]])&lt;100,0,1)</f>
        <v>0</v>
      </c>
      <c r="L243" s="43">
        <f>IF(ISBLANK(FinanceCodesBudget[[#This Row],[BalanceToScenario]]),1,0)</f>
        <v>0</v>
      </c>
      <c r="M243" s="43">
        <f>SUM(FinanceCodesBudget[[#This Row],[LedgerIssue]:[CustGrIssue]],FinanceCodesBudget[[#This Row],[DupCode]:[Balance to Scenario Blank]])</f>
        <v>0</v>
      </c>
      <c r="N243">
        <v>675430</v>
      </c>
      <c r="O243" t="s">
        <v>2764</v>
      </c>
      <c r="P243" t="s">
        <v>1843</v>
      </c>
      <c r="Q243" t="s">
        <v>2004</v>
      </c>
      <c r="R243" t="b">
        <v>0</v>
      </c>
      <c r="S243" t="s">
        <v>2526</v>
      </c>
      <c r="T243" t="s">
        <v>1300</v>
      </c>
      <c r="U243" t="s">
        <v>1532</v>
      </c>
      <c r="V243" t="b">
        <v>1</v>
      </c>
      <c r="W243" t="b">
        <v>0</v>
      </c>
    </row>
    <row r="244" spans="1:23" x14ac:dyDescent="0.3">
      <c r="A244" s="147">
        <f>IF(COUNTIF(LEDGER[LedgerCode],FinanceCodesBudget[[#This Row],[LedgerCode]])&gt;0,0,1)</f>
        <v>0</v>
      </c>
      <c r="B244" s="43">
        <f>IF(COUNTIF(Table_System_Grouping_Codes[groupingCodeCode],FinanceCodesBudget[[#This Row],[GroupingCode]])&gt;0,0,1)</f>
        <v>0</v>
      </c>
      <c r="C244" s="43">
        <f>IF(COUNTIF(CUSTGROUP[CustomGroupingCode],FinanceCodesBudget[[#This Row],[CustomGrouping]])&gt;0,0,1)</f>
        <v>0</v>
      </c>
      <c r="D244" s="43" cm="1">
        <f t="array" ref="D244">IF(FinanceCodesBudget[[#This Row],[AvailableToAllSchools]]=TRUE,0,COUNTA(_xlfn.TEXTSPLIT(FinanceCodesBudget[[#This Row],[SchoolCodes]],",",,TRUE))-SUM(COUNTIF(SCHOOLS[SchoolCode],_xlfn.TEXTSPLIT(FinanceCodesBudget[[#This Row],[SchoolCodes]],",",,TRUE))))</f>
        <v>0</v>
      </c>
      <c r="E244" s="43">
        <f>IF(FinanceCodesBudget[[#This Row],[FinanceCodeTypeCode]]="BUDGET",0,COUNTIF(FinanceCodesBudget[FinanceCode],FinanceCodesBudget[[#This Row],[FinanceCode]])-1)</f>
        <v>0</v>
      </c>
      <c r="F244" s="43">
        <f>IF(FinanceCodesBudget[[#This Row],[FinanceCodeTypeCode]]="BUDGET",0,COUNTIF(FinanceCodesBudget[Title],FinanceCodesBudget[[#This Row],[Title]])-1)</f>
        <v>0</v>
      </c>
      <c r="G244" s="43">
        <f>COUNTIF(Lookup!$A$2:$A$7,FinanceCodesBudget[[#This Row],[FinanceCodeTypeCode]])-1</f>
        <v>0</v>
      </c>
      <c r="H244" s="43">
        <f>IF(TRIM(FinanceCodesBudget[[#This Row],[Title]])="",1,0)</f>
        <v>0</v>
      </c>
      <c r="I244" s="43">
        <f>IF(TRIM(FinanceCodesBudget[[#This Row],[FinanceCode]])="",1,0)</f>
        <v>0</v>
      </c>
      <c r="J244" s="43">
        <f>IF(LEN(FinanceCodesBudget[[#This Row],[FinanceCode]])&lt;100,0,1)</f>
        <v>0</v>
      </c>
      <c r="K244" s="43">
        <f>IF(LEN(FinanceCodesBudget[[#This Row],[Title]])&lt;100,0,1)</f>
        <v>0</v>
      </c>
      <c r="L244" s="43">
        <f>IF(ISBLANK(FinanceCodesBudget[[#This Row],[BalanceToScenario]]),1,0)</f>
        <v>0</v>
      </c>
      <c r="M244" s="43">
        <f>SUM(FinanceCodesBudget[[#This Row],[LedgerIssue]:[CustGrIssue]],FinanceCodesBudget[[#This Row],[DupCode]:[Balance to Scenario Blank]])</f>
        <v>0</v>
      </c>
      <c r="N244">
        <v>675440</v>
      </c>
      <c r="O244" t="s">
        <v>2765</v>
      </c>
      <c r="P244" t="s">
        <v>1843</v>
      </c>
      <c r="Q244" t="s">
        <v>2004</v>
      </c>
      <c r="R244" t="b">
        <v>0</v>
      </c>
      <c r="S244" t="s">
        <v>2526</v>
      </c>
      <c r="T244" t="s">
        <v>1300</v>
      </c>
      <c r="U244" t="s">
        <v>1532</v>
      </c>
      <c r="V244" t="b">
        <v>1</v>
      </c>
      <c r="W244" t="b">
        <v>0</v>
      </c>
    </row>
    <row r="245" spans="1:23" x14ac:dyDescent="0.3">
      <c r="A245" s="147">
        <f>IF(COUNTIF(LEDGER[LedgerCode],FinanceCodesBudget[[#This Row],[LedgerCode]])&gt;0,0,1)</f>
        <v>0</v>
      </c>
      <c r="B245" s="43">
        <f>IF(COUNTIF(Table_System_Grouping_Codes[groupingCodeCode],FinanceCodesBudget[[#This Row],[GroupingCode]])&gt;0,0,1)</f>
        <v>0</v>
      </c>
      <c r="C245" s="43">
        <f>IF(COUNTIF(CUSTGROUP[CustomGroupingCode],FinanceCodesBudget[[#This Row],[CustomGrouping]])&gt;0,0,1)</f>
        <v>0</v>
      </c>
      <c r="D245" s="43" cm="1">
        <f t="array" ref="D245">IF(FinanceCodesBudget[[#This Row],[AvailableToAllSchools]]=TRUE,0,COUNTA(_xlfn.TEXTSPLIT(FinanceCodesBudget[[#This Row],[SchoolCodes]],",",,TRUE))-SUM(COUNTIF(SCHOOLS[SchoolCode],_xlfn.TEXTSPLIT(FinanceCodesBudget[[#This Row],[SchoolCodes]],",",,TRUE))))</f>
        <v>0</v>
      </c>
      <c r="E245" s="43">
        <f>IF(FinanceCodesBudget[[#This Row],[FinanceCodeTypeCode]]="BUDGET",0,COUNTIF(FinanceCodesBudget[FinanceCode],FinanceCodesBudget[[#This Row],[FinanceCode]])-1)</f>
        <v>0</v>
      </c>
      <c r="F245" s="43">
        <f>IF(FinanceCodesBudget[[#This Row],[FinanceCodeTypeCode]]="BUDGET",0,COUNTIF(FinanceCodesBudget[Title],FinanceCodesBudget[[#This Row],[Title]])-1)</f>
        <v>0</v>
      </c>
      <c r="G245" s="43">
        <f>COUNTIF(Lookup!$A$2:$A$7,FinanceCodesBudget[[#This Row],[FinanceCodeTypeCode]])-1</f>
        <v>0</v>
      </c>
      <c r="H245" s="43">
        <f>IF(TRIM(FinanceCodesBudget[[#This Row],[Title]])="",1,0)</f>
        <v>0</v>
      </c>
      <c r="I245" s="43">
        <f>IF(TRIM(FinanceCodesBudget[[#This Row],[FinanceCode]])="",1,0)</f>
        <v>0</v>
      </c>
      <c r="J245" s="43">
        <f>IF(LEN(FinanceCodesBudget[[#This Row],[FinanceCode]])&lt;100,0,1)</f>
        <v>0</v>
      </c>
      <c r="K245" s="43">
        <f>IF(LEN(FinanceCodesBudget[[#This Row],[Title]])&lt;100,0,1)</f>
        <v>0</v>
      </c>
      <c r="L245" s="43">
        <f>IF(ISBLANK(FinanceCodesBudget[[#This Row],[BalanceToScenario]]),1,0)</f>
        <v>0</v>
      </c>
      <c r="M245" s="43">
        <f>SUM(FinanceCodesBudget[[#This Row],[LedgerIssue]:[CustGrIssue]],FinanceCodesBudget[[#This Row],[DupCode]:[Balance to Scenario Blank]])</f>
        <v>0</v>
      </c>
      <c r="N245">
        <v>675450</v>
      </c>
      <c r="O245" t="s">
        <v>2766</v>
      </c>
      <c r="P245" t="s">
        <v>434</v>
      </c>
      <c r="Q245" t="s">
        <v>2004</v>
      </c>
      <c r="R245" t="b">
        <v>0</v>
      </c>
      <c r="S245" t="s">
        <v>2526</v>
      </c>
      <c r="T245" t="s">
        <v>1300</v>
      </c>
      <c r="U245" t="s">
        <v>1532</v>
      </c>
      <c r="V245" t="b">
        <v>1</v>
      </c>
      <c r="W245" t="b">
        <v>0</v>
      </c>
    </row>
    <row r="246" spans="1:23" x14ac:dyDescent="0.3">
      <c r="A246" s="147">
        <f>IF(COUNTIF(LEDGER[LedgerCode],FinanceCodesBudget[[#This Row],[LedgerCode]])&gt;0,0,1)</f>
        <v>0</v>
      </c>
      <c r="B246" s="43">
        <f>IF(COUNTIF(Table_System_Grouping_Codes[groupingCodeCode],FinanceCodesBudget[[#This Row],[GroupingCode]])&gt;0,0,1)</f>
        <v>0</v>
      </c>
      <c r="C246" s="43">
        <f>IF(COUNTIF(CUSTGROUP[CustomGroupingCode],FinanceCodesBudget[[#This Row],[CustomGrouping]])&gt;0,0,1)</f>
        <v>0</v>
      </c>
      <c r="D246" s="43" cm="1">
        <f t="array" ref="D246">IF(FinanceCodesBudget[[#This Row],[AvailableToAllSchools]]=TRUE,0,COUNTA(_xlfn.TEXTSPLIT(FinanceCodesBudget[[#This Row],[SchoolCodes]],",",,TRUE))-SUM(COUNTIF(SCHOOLS[SchoolCode],_xlfn.TEXTSPLIT(FinanceCodesBudget[[#This Row],[SchoolCodes]],",",,TRUE))))</f>
        <v>0</v>
      </c>
      <c r="E246" s="43">
        <f>IF(FinanceCodesBudget[[#This Row],[FinanceCodeTypeCode]]="BUDGET",0,COUNTIF(FinanceCodesBudget[FinanceCode],FinanceCodesBudget[[#This Row],[FinanceCode]])-1)</f>
        <v>0</v>
      </c>
      <c r="F246" s="43">
        <f>IF(FinanceCodesBudget[[#This Row],[FinanceCodeTypeCode]]="BUDGET",0,COUNTIF(FinanceCodesBudget[Title],FinanceCodesBudget[[#This Row],[Title]])-1)</f>
        <v>0</v>
      </c>
      <c r="G246" s="43">
        <f>COUNTIF(Lookup!$A$2:$A$7,FinanceCodesBudget[[#This Row],[FinanceCodeTypeCode]])-1</f>
        <v>0</v>
      </c>
      <c r="H246" s="43">
        <f>IF(TRIM(FinanceCodesBudget[[#This Row],[Title]])="",1,0)</f>
        <v>0</v>
      </c>
      <c r="I246" s="43">
        <f>IF(TRIM(FinanceCodesBudget[[#This Row],[FinanceCode]])="",1,0)</f>
        <v>0</v>
      </c>
      <c r="J246" s="43">
        <f>IF(LEN(FinanceCodesBudget[[#This Row],[FinanceCode]])&lt;100,0,1)</f>
        <v>0</v>
      </c>
      <c r="K246" s="43">
        <f>IF(LEN(FinanceCodesBudget[[#This Row],[Title]])&lt;100,0,1)</f>
        <v>0</v>
      </c>
      <c r="L246" s="43">
        <f>IF(ISBLANK(FinanceCodesBudget[[#This Row],[BalanceToScenario]]),1,0)</f>
        <v>0</v>
      </c>
      <c r="M246" s="43">
        <f>SUM(FinanceCodesBudget[[#This Row],[LedgerIssue]:[CustGrIssue]],FinanceCodesBudget[[#This Row],[DupCode]:[Balance to Scenario Blank]])</f>
        <v>0</v>
      </c>
      <c r="N246">
        <v>675460</v>
      </c>
      <c r="O246" t="s">
        <v>2767</v>
      </c>
      <c r="P246" t="s">
        <v>435</v>
      </c>
      <c r="Q246" t="s">
        <v>2004</v>
      </c>
      <c r="R246" t="b">
        <v>0</v>
      </c>
      <c r="S246" t="s">
        <v>2526</v>
      </c>
      <c r="T246" t="s">
        <v>1300</v>
      </c>
      <c r="U246" t="s">
        <v>1532</v>
      </c>
      <c r="V246" t="b">
        <v>1</v>
      </c>
      <c r="W246" t="b">
        <v>0</v>
      </c>
    </row>
    <row r="247" spans="1:23" x14ac:dyDescent="0.3">
      <c r="A247" s="147">
        <f>IF(COUNTIF(LEDGER[LedgerCode],FinanceCodesBudget[[#This Row],[LedgerCode]])&gt;0,0,1)</f>
        <v>0</v>
      </c>
      <c r="B247" s="43">
        <f>IF(COUNTIF(Table_System_Grouping_Codes[groupingCodeCode],FinanceCodesBudget[[#This Row],[GroupingCode]])&gt;0,0,1)</f>
        <v>0</v>
      </c>
      <c r="C247" s="43">
        <f>IF(COUNTIF(CUSTGROUP[CustomGroupingCode],FinanceCodesBudget[[#This Row],[CustomGrouping]])&gt;0,0,1)</f>
        <v>0</v>
      </c>
      <c r="D247" s="43" cm="1">
        <f t="array" ref="D247">IF(FinanceCodesBudget[[#This Row],[AvailableToAllSchools]]=TRUE,0,COUNTA(_xlfn.TEXTSPLIT(FinanceCodesBudget[[#This Row],[SchoolCodes]],",",,TRUE))-SUM(COUNTIF(SCHOOLS[SchoolCode],_xlfn.TEXTSPLIT(FinanceCodesBudget[[#This Row],[SchoolCodes]],",",,TRUE))))</f>
        <v>0</v>
      </c>
      <c r="E247" s="43">
        <f>IF(FinanceCodesBudget[[#This Row],[FinanceCodeTypeCode]]="BUDGET",0,COUNTIF(FinanceCodesBudget[FinanceCode],FinanceCodesBudget[[#This Row],[FinanceCode]])-1)</f>
        <v>0</v>
      </c>
      <c r="F247" s="43">
        <f>IF(FinanceCodesBudget[[#This Row],[FinanceCodeTypeCode]]="BUDGET",0,COUNTIF(FinanceCodesBudget[Title],FinanceCodesBudget[[#This Row],[Title]])-1)</f>
        <v>0</v>
      </c>
      <c r="G247" s="43">
        <f>COUNTIF(Lookup!$A$2:$A$7,FinanceCodesBudget[[#This Row],[FinanceCodeTypeCode]])-1</f>
        <v>0</v>
      </c>
      <c r="H247" s="43">
        <f>IF(TRIM(FinanceCodesBudget[[#This Row],[Title]])="",1,0)</f>
        <v>0</v>
      </c>
      <c r="I247" s="43">
        <f>IF(TRIM(FinanceCodesBudget[[#This Row],[FinanceCode]])="",1,0)</f>
        <v>0</v>
      </c>
      <c r="J247" s="43">
        <f>IF(LEN(FinanceCodesBudget[[#This Row],[FinanceCode]])&lt;100,0,1)</f>
        <v>0</v>
      </c>
      <c r="K247" s="43">
        <f>IF(LEN(FinanceCodesBudget[[#This Row],[Title]])&lt;100,0,1)</f>
        <v>0</v>
      </c>
      <c r="L247" s="43">
        <f>IF(ISBLANK(FinanceCodesBudget[[#This Row],[BalanceToScenario]]),1,0)</f>
        <v>0</v>
      </c>
      <c r="M247" s="43">
        <f>SUM(FinanceCodesBudget[[#This Row],[LedgerIssue]:[CustGrIssue]],FinanceCodesBudget[[#This Row],[DupCode]:[Balance to Scenario Blank]])</f>
        <v>0</v>
      </c>
      <c r="N247">
        <v>675480</v>
      </c>
      <c r="O247" t="s">
        <v>2768</v>
      </c>
      <c r="P247" t="s">
        <v>437</v>
      </c>
      <c r="Q247" t="s">
        <v>2004</v>
      </c>
      <c r="R247" t="b">
        <v>0</v>
      </c>
      <c r="S247" t="s">
        <v>2526</v>
      </c>
      <c r="T247" t="s">
        <v>1300</v>
      </c>
      <c r="U247" t="s">
        <v>1532</v>
      </c>
      <c r="V247" t="b">
        <v>1</v>
      </c>
      <c r="W247" t="b">
        <v>0</v>
      </c>
    </row>
    <row r="248" spans="1:23" x14ac:dyDescent="0.3">
      <c r="A248" s="147">
        <f>IF(COUNTIF(LEDGER[LedgerCode],FinanceCodesBudget[[#This Row],[LedgerCode]])&gt;0,0,1)</f>
        <v>0</v>
      </c>
      <c r="B248" s="43">
        <f>IF(COUNTIF(Table_System_Grouping_Codes[groupingCodeCode],FinanceCodesBudget[[#This Row],[GroupingCode]])&gt;0,0,1)</f>
        <v>0</v>
      </c>
      <c r="C248" s="43">
        <f>IF(COUNTIF(CUSTGROUP[CustomGroupingCode],FinanceCodesBudget[[#This Row],[CustomGrouping]])&gt;0,0,1)</f>
        <v>0</v>
      </c>
      <c r="D248" s="43" cm="1">
        <f t="array" ref="D248">IF(FinanceCodesBudget[[#This Row],[AvailableToAllSchools]]=TRUE,0,COUNTA(_xlfn.TEXTSPLIT(FinanceCodesBudget[[#This Row],[SchoolCodes]],",",,TRUE))-SUM(COUNTIF(SCHOOLS[SchoolCode],_xlfn.TEXTSPLIT(FinanceCodesBudget[[#This Row],[SchoolCodes]],",",,TRUE))))</f>
        <v>0</v>
      </c>
      <c r="E248" s="43">
        <f>IF(FinanceCodesBudget[[#This Row],[FinanceCodeTypeCode]]="BUDGET",0,COUNTIF(FinanceCodesBudget[FinanceCode],FinanceCodesBudget[[#This Row],[FinanceCode]])-1)</f>
        <v>0</v>
      </c>
      <c r="F248" s="43">
        <f>IF(FinanceCodesBudget[[#This Row],[FinanceCodeTypeCode]]="BUDGET",0,COUNTIF(FinanceCodesBudget[Title],FinanceCodesBudget[[#This Row],[Title]])-1)</f>
        <v>0</v>
      </c>
      <c r="G248" s="43">
        <f>COUNTIF(Lookup!$A$2:$A$7,FinanceCodesBudget[[#This Row],[FinanceCodeTypeCode]])-1</f>
        <v>0</v>
      </c>
      <c r="H248" s="43">
        <f>IF(TRIM(FinanceCodesBudget[[#This Row],[Title]])="",1,0)</f>
        <v>0</v>
      </c>
      <c r="I248" s="43">
        <f>IF(TRIM(FinanceCodesBudget[[#This Row],[FinanceCode]])="",1,0)</f>
        <v>0</v>
      </c>
      <c r="J248" s="43">
        <f>IF(LEN(FinanceCodesBudget[[#This Row],[FinanceCode]])&lt;100,0,1)</f>
        <v>0</v>
      </c>
      <c r="K248" s="43">
        <f>IF(LEN(FinanceCodesBudget[[#This Row],[Title]])&lt;100,0,1)</f>
        <v>0</v>
      </c>
      <c r="L248" s="43">
        <f>IF(ISBLANK(FinanceCodesBudget[[#This Row],[BalanceToScenario]]),1,0)</f>
        <v>0</v>
      </c>
      <c r="M248" s="43">
        <f>SUM(FinanceCodesBudget[[#This Row],[LedgerIssue]:[CustGrIssue]],FinanceCodesBudget[[#This Row],[DupCode]:[Balance to Scenario Blank]])</f>
        <v>0</v>
      </c>
      <c r="N248">
        <v>675500</v>
      </c>
      <c r="O248" t="s">
        <v>2769</v>
      </c>
      <c r="P248" t="s">
        <v>439</v>
      </c>
      <c r="Q248" t="s">
        <v>2004</v>
      </c>
      <c r="R248" t="b">
        <v>0</v>
      </c>
      <c r="S248" t="s">
        <v>2526</v>
      </c>
      <c r="T248" t="s">
        <v>1300</v>
      </c>
      <c r="U248" t="s">
        <v>1532</v>
      </c>
      <c r="V248" t="b">
        <v>1</v>
      </c>
      <c r="W248" t="b">
        <v>0</v>
      </c>
    </row>
    <row r="249" spans="1:23" x14ac:dyDescent="0.3">
      <c r="A249" s="147">
        <f>IF(COUNTIF(LEDGER[LedgerCode],FinanceCodesBudget[[#This Row],[LedgerCode]])&gt;0,0,1)</f>
        <v>0</v>
      </c>
      <c r="B249" s="43">
        <f>IF(COUNTIF(Table_System_Grouping_Codes[groupingCodeCode],FinanceCodesBudget[[#This Row],[GroupingCode]])&gt;0,0,1)</f>
        <v>0</v>
      </c>
      <c r="C249" s="43">
        <f>IF(COUNTIF(CUSTGROUP[CustomGroupingCode],FinanceCodesBudget[[#This Row],[CustomGrouping]])&gt;0,0,1)</f>
        <v>0</v>
      </c>
      <c r="D249" s="43" cm="1">
        <f t="array" ref="D249">IF(FinanceCodesBudget[[#This Row],[AvailableToAllSchools]]=TRUE,0,COUNTA(_xlfn.TEXTSPLIT(FinanceCodesBudget[[#This Row],[SchoolCodes]],",",,TRUE))-SUM(COUNTIF(SCHOOLS[SchoolCode],_xlfn.TEXTSPLIT(FinanceCodesBudget[[#This Row],[SchoolCodes]],",",,TRUE))))</f>
        <v>0</v>
      </c>
      <c r="E249" s="43">
        <f>IF(FinanceCodesBudget[[#This Row],[FinanceCodeTypeCode]]="BUDGET",0,COUNTIF(FinanceCodesBudget[FinanceCode],FinanceCodesBudget[[#This Row],[FinanceCode]])-1)</f>
        <v>0</v>
      </c>
      <c r="F249" s="43">
        <f>IF(FinanceCodesBudget[[#This Row],[FinanceCodeTypeCode]]="BUDGET",0,COUNTIF(FinanceCodesBudget[Title],FinanceCodesBudget[[#This Row],[Title]])-1)</f>
        <v>0</v>
      </c>
      <c r="G249" s="43">
        <f>COUNTIF(Lookup!$A$2:$A$7,FinanceCodesBudget[[#This Row],[FinanceCodeTypeCode]])-1</f>
        <v>0</v>
      </c>
      <c r="H249" s="43">
        <f>IF(TRIM(FinanceCodesBudget[[#This Row],[Title]])="",1,0)</f>
        <v>0</v>
      </c>
      <c r="I249" s="43">
        <f>IF(TRIM(FinanceCodesBudget[[#This Row],[FinanceCode]])="",1,0)</f>
        <v>0</v>
      </c>
      <c r="J249" s="43">
        <f>IF(LEN(FinanceCodesBudget[[#This Row],[FinanceCode]])&lt;100,0,1)</f>
        <v>0</v>
      </c>
      <c r="K249" s="43">
        <f>IF(LEN(FinanceCodesBudget[[#This Row],[Title]])&lt;100,0,1)</f>
        <v>0</v>
      </c>
      <c r="L249" s="43">
        <f>IF(ISBLANK(FinanceCodesBudget[[#This Row],[BalanceToScenario]]),1,0)</f>
        <v>0</v>
      </c>
      <c r="M249" s="43">
        <f>SUM(FinanceCodesBudget[[#This Row],[LedgerIssue]:[CustGrIssue]],FinanceCodesBudget[[#This Row],[DupCode]:[Balance to Scenario Blank]])</f>
        <v>0</v>
      </c>
      <c r="N249">
        <v>675510</v>
      </c>
      <c r="O249" t="s">
        <v>2770</v>
      </c>
      <c r="P249" t="s">
        <v>440</v>
      </c>
      <c r="Q249" t="s">
        <v>2004</v>
      </c>
      <c r="R249" t="b">
        <v>0</v>
      </c>
      <c r="S249" t="s">
        <v>2526</v>
      </c>
      <c r="T249" t="s">
        <v>1300</v>
      </c>
      <c r="U249" t="s">
        <v>1532</v>
      </c>
      <c r="V249" t="b">
        <v>1</v>
      </c>
      <c r="W249" t="b">
        <v>0</v>
      </c>
    </row>
    <row r="250" spans="1:23" x14ac:dyDescent="0.3">
      <c r="A250" s="147">
        <f>IF(COUNTIF(LEDGER[LedgerCode],FinanceCodesBudget[[#This Row],[LedgerCode]])&gt;0,0,1)</f>
        <v>0</v>
      </c>
      <c r="B250" s="43">
        <f>IF(COUNTIF(Table_System_Grouping_Codes[groupingCodeCode],FinanceCodesBudget[[#This Row],[GroupingCode]])&gt;0,0,1)</f>
        <v>0</v>
      </c>
      <c r="C250" s="43">
        <f>IF(COUNTIF(CUSTGROUP[CustomGroupingCode],FinanceCodesBudget[[#This Row],[CustomGrouping]])&gt;0,0,1)</f>
        <v>0</v>
      </c>
      <c r="D250" s="43" cm="1">
        <f t="array" ref="D250">IF(FinanceCodesBudget[[#This Row],[AvailableToAllSchools]]=TRUE,0,COUNTA(_xlfn.TEXTSPLIT(FinanceCodesBudget[[#This Row],[SchoolCodes]],",",,TRUE))-SUM(COUNTIF(SCHOOLS[SchoolCode],_xlfn.TEXTSPLIT(FinanceCodesBudget[[#This Row],[SchoolCodes]],",",,TRUE))))</f>
        <v>0</v>
      </c>
      <c r="E250" s="43">
        <f>IF(FinanceCodesBudget[[#This Row],[FinanceCodeTypeCode]]="BUDGET",0,COUNTIF(FinanceCodesBudget[FinanceCode],FinanceCodesBudget[[#This Row],[FinanceCode]])-1)</f>
        <v>0</v>
      </c>
      <c r="F250" s="43">
        <f>IF(FinanceCodesBudget[[#This Row],[FinanceCodeTypeCode]]="BUDGET",0,COUNTIF(FinanceCodesBudget[Title],FinanceCodesBudget[[#This Row],[Title]])-1)</f>
        <v>0</v>
      </c>
      <c r="G250" s="43">
        <f>COUNTIF(Lookup!$A$2:$A$7,FinanceCodesBudget[[#This Row],[FinanceCodeTypeCode]])-1</f>
        <v>0</v>
      </c>
      <c r="H250" s="43">
        <f>IF(TRIM(FinanceCodesBudget[[#This Row],[Title]])="",1,0)</f>
        <v>0</v>
      </c>
      <c r="I250" s="43">
        <f>IF(TRIM(FinanceCodesBudget[[#This Row],[FinanceCode]])="",1,0)</f>
        <v>0</v>
      </c>
      <c r="J250" s="43">
        <f>IF(LEN(FinanceCodesBudget[[#This Row],[FinanceCode]])&lt;100,0,1)</f>
        <v>0</v>
      </c>
      <c r="K250" s="43">
        <f>IF(LEN(FinanceCodesBudget[[#This Row],[Title]])&lt;100,0,1)</f>
        <v>0</v>
      </c>
      <c r="L250" s="43">
        <f>IF(ISBLANK(FinanceCodesBudget[[#This Row],[BalanceToScenario]]),1,0)</f>
        <v>0</v>
      </c>
      <c r="M250" s="43">
        <f>SUM(FinanceCodesBudget[[#This Row],[LedgerIssue]:[CustGrIssue]],FinanceCodesBudget[[#This Row],[DupCode]:[Balance to Scenario Blank]])</f>
        <v>0</v>
      </c>
      <c r="N250">
        <v>675520</v>
      </c>
      <c r="O250" t="s">
        <v>2771</v>
      </c>
      <c r="P250" t="s">
        <v>441</v>
      </c>
      <c r="Q250" t="s">
        <v>2004</v>
      </c>
      <c r="R250" t="b">
        <v>0</v>
      </c>
      <c r="S250" t="s">
        <v>2526</v>
      </c>
      <c r="T250" t="s">
        <v>1300</v>
      </c>
      <c r="U250" t="s">
        <v>1532</v>
      </c>
      <c r="V250" t="b">
        <v>1</v>
      </c>
      <c r="W250" t="b">
        <v>0</v>
      </c>
    </row>
    <row r="251" spans="1:23" x14ac:dyDescent="0.3">
      <c r="A251" s="147">
        <f>IF(COUNTIF(LEDGER[LedgerCode],FinanceCodesBudget[[#This Row],[LedgerCode]])&gt;0,0,1)</f>
        <v>0</v>
      </c>
      <c r="B251" s="43">
        <f>IF(COUNTIF(Table_System_Grouping_Codes[groupingCodeCode],FinanceCodesBudget[[#This Row],[GroupingCode]])&gt;0,0,1)</f>
        <v>0</v>
      </c>
      <c r="C251" s="43">
        <f>IF(COUNTIF(CUSTGROUP[CustomGroupingCode],FinanceCodesBudget[[#This Row],[CustomGrouping]])&gt;0,0,1)</f>
        <v>0</v>
      </c>
      <c r="D251" s="43" cm="1">
        <f t="array" ref="D251">IF(FinanceCodesBudget[[#This Row],[AvailableToAllSchools]]=TRUE,0,COUNTA(_xlfn.TEXTSPLIT(FinanceCodesBudget[[#This Row],[SchoolCodes]],",",,TRUE))-SUM(COUNTIF(SCHOOLS[SchoolCode],_xlfn.TEXTSPLIT(FinanceCodesBudget[[#This Row],[SchoolCodes]],",",,TRUE))))</f>
        <v>0</v>
      </c>
      <c r="E251" s="43">
        <f>IF(FinanceCodesBudget[[#This Row],[FinanceCodeTypeCode]]="BUDGET",0,COUNTIF(FinanceCodesBudget[FinanceCode],FinanceCodesBudget[[#This Row],[FinanceCode]])-1)</f>
        <v>0</v>
      </c>
      <c r="F251" s="43">
        <f>IF(FinanceCodesBudget[[#This Row],[FinanceCodeTypeCode]]="BUDGET",0,COUNTIF(FinanceCodesBudget[Title],FinanceCodesBudget[[#This Row],[Title]])-1)</f>
        <v>0</v>
      </c>
      <c r="G251" s="43">
        <f>COUNTIF(Lookup!$A$2:$A$7,FinanceCodesBudget[[#This Row],[FinanceCodeTypeCode]])-1</f>
        <v>0</v>
      </c>
      <c r="H251" s="43">
        <f>IF(TRIM(FinanceCodesBudget[[#This Row],[Title]])="",1,0)</f>
        <v>0</v>
      </c>
      <c r="I251" s="43">
        <f>IF(TRIM(FinanceCodesBudget[[#This Row],[FinanceCode]])="",1,0)</f>
        <v>0</v>
      </c>
      <c r="J251" s="43">
        <f>IF(LEN(FinanceCodesBudget[[#This Row],[FinanceCode]])&lt;100,0,1)</f>
        <v>0</v>
      </c>
      <c r="K251" s="43">
        <f>IF(LEN(FinanceCodesBudget[[#This Row],[Title]])&lt;100,0,1)</f>
        <v>0</v>
      </c>
      <c r="L251" s="43">
        <f>IF(ISBLANK(FinanceCodesBudget[[#This Row],[BalanceToScenario]]),1,0)</f>
        <v>0</v>
      </c>
      <c r="M251" s="43">
        <f>SUM(FinanceCodesBudget[[#This Row],[LedgerIssue]:[CustGrIssue]],FinanceCodesBudget[[#This Row],[DupCode]:[Balance to Scenario Blank]])</f>
        <v>0</v>
      </c>
      <c r="N251">
        <v>675550</v>
      </c>
      <c r="O251" t="s">
        <v>2772</v>
      </c>
      <c r="P251" t="s">
        <v>442</v>
      </c>
      <c r="Q251" t="s">
        <v>2004</v>
      </c>
      <c r="R251" t="b">
        <v>0</v>
      </c>
      <c r="S251" t="s">
        <v>2526</v>
      </c>
      <c r="T251" t="s">
        <v>1300</v>
      </c>
      <c r="U251" t="s">
        <v>1532</v>
      </c>
      <c r="V251" t="b">
        <v>1</v>
      </c>
      <c r="W251" t="b">
        <v>0</v>
      </c>
    </row>
    <row r="252" spans="1:23" x14ac:dyDescent="0.3">
      <c r="A252" s="147">
        <f>IF(COUNTIF(LEDGER[LedgerCode],FinanceCodesBudget[[#This Row],[LedgerCode]])&gt;0,0,1)</f>
        <v>0</v>
      </c>
      <c r="B252" s="43">
        <f>IF(COUNTIF(Table_System_Grouping_Codes[groupingCodeCode],FinanceCodesBudget[[#This Row],[GroupingCode]])&gt;0,0,1)</f>
        <v>0</v>
      </c>
      <c r="C252" s="43">
        <f>IF(COUNTIF(CUSTGROUP[CustomGroupingCode],FinanceCodesBudget[[#This Row],[CustomGrouping]])&gt;0,0,1)</f>
        <v>0</v>
      </c>
      <c r="D252" s="43" cm="1">
        <f t="array" ref="D252">IF(FinanceCodesBudget[[#This Row],[AvailableToAllSchools]]=TRUE,0,COUNTA(_xlfn.TEXTSPLIT(FinanceCodesBudget[[#This Row],[SchoolCodes]],",",,TRUE))-SUM(COUNTIF(SCHOOLS[SchoolCode],_xlfn.TEXTSPLIT(FinanceCodesBudget[[#This Row],[SchoolCodes]],",",,TRUE))))</f>
        <v>0</v>
      </c>
      <c r="E252" s="43">
        <f>IF(FinanceCodesBudget[[#This Row],[FinanceCodeTypeCode]]="BUDGET",0,COUNTIF(FinanceCodesBudget[FinanceCode],FinanceCodesBudget[[#This Row],[FinanceCode]])-1)</f>
        <v>0</v>
      </c>
      <c r="F252" s="43">
        <f>IF(FinanceCodesBudget[[#This Row],[FinanceCodeTypeCode]]="BUDGET",0,COUNTIF(FinanceCodesBudget[Title],FinanceCodesBudget[[#This Row],[Title]])-1)</f>
        <v>0</v>
      </c>
      <c r="G252" s="43">
        <f>COUNTIF(Lookup!$A$2:$A$7,FinanceCodesBudget[[#This Row],[FinanceCodeTypeCode]])-1</f>
        <v>0</v>
      </c>
      <c r="H252" s="43">
        <f>IF(TRIM(FinanceCodesBudget[[#This Row],[Title]])="",1,0)</f>
        <v>0</v>
      </c>
      <c r="I252" s="43">
        <f>IF(TRIM(FinanceCodesBudget[[#This Row],[FinanceCode]])="",1,0)</f>
        <v>0</v>
      </c>
      <c r="J252" s="43">
        <f>IF(LEN(FinanceCodesBudget[[#This Row],[FinanceCode]])&lt;100,0,1)</f>
        <v>0</v>
      </c>
      <c r="K252" s="43">
        <f>IF(LEN(FinanceCodesBudget[[#This Row],[Title]])&lt;100,0,1)</f>
        <v>0</v>
      </c>
      <c r="L252" s="43">
        <f>IF(ISBLANK(FinanceCodesBudget[[#This Row],[BalanceToScenario]]),1,0)</f>
        <v>0</v>
      </c>
      <c r="M252" s="43">
        <f>SUM(FinanceCodesBudget[[#This Row],[LedgerIssue]:[CustGrIssue]],FinanceCodesBudget[[#This Row],[DupCode]:[Balance to Scenario Blank]])</f>
        <v>0</v>
      </c>
      <c r="N252">
        <v>675560</v>
      </c>
      <c r="O252" t="s">
        <v>2773</v>
      </c>
      <c r="P252" t="s">
        <v>443</v>
      </c>
      <c r="Q252" t="s">
        <v>2004</v>
      </c>
      <c r="R252" t="b">
        <v>0</v>
      </c>
      <c r="S252" t="s">
        <v>2526</v>
      </c>
      <c r="T252" t="s">
        <v>1300</v>
      </c>
      <c r="U252" t="s">
        <v>1532</v>
      </c>
      <c r="V252" t="b">
        <v>1</v>
      </c>
      <c r="W252" t="b">
        <v>0</v>
      </c>
    </row>
    <row r="253" spans="1:23" x14ac:dyDescent="0.3">
      <c r="A253" s="147">
        <f>IF(COUNTIF(LEDGER[LedgerCode],FinanceCodesBudget[[#This Row],[LedgerCode]])&gt;0,0,1)</f>
        <v>0</v>
      </c>
      <c r="B253" s="43">
        <f>IF(COUNTIF(Table_System_Grouping_Codes[groupingCodeCode],FinanceCodesBudget[[#This Row],[GroupingCode]])&gt;0,0,1)</f>
        <v>0</v>
      </c>
      <c r="C253" s="43">
        <f>IF(COUNTIF(CUSTGROUP[CustomGroupingCode],FinanceCodesBudget[[#This Row],[CustomGrouping]])&gt;0,0,1)</f>
        <v>0</v>
      </c>
      <c r="D253" s="43" cm="1">
        <f t="array" ref="D253">IF(FinanceCodesBudget[[#This Row],[AvailableToAllSchools]]=TRUE,0,COUNTA(_xlfn.TEXTSPLIT(FinanceCodesBudget[[#This Row],[SchoolCodes]],",",,TRUE))-SUM(COUNTIF(SCHOOLS[SchoolCode],_xlfn.TEXTSPLIT(FinanceCodesBudget[[#This Row],[SchoolCodes]],",",,TRUE))))</f>
        <v>0</v>
      </c>
      <c r="E253" s="43">
        <f>IF(FinanceCodesBudget[[#This Row],[FinanceCodeTypeCode]]="BUDGET",0,COUNTIF(FinanceCodesBudget[FinanceCode],FinanceCodesBudget[[#This Row],[FinanceCode]])-1)</f>
        <v>0</v>
      </c>
      <c r="F253" s="43">
        <f>IF(FinanceCodesBudget[[#This Row],[FinanceCodeTypeCode]]="BUDGET",0,COUNTIF(FinanceCodesBudget[Title],FinanceCodesBudget[[#This Row],[Title]])-1)</f>
        <v>0</v>
      </c>
      <c r="G253" s="43">
        <f>COUNTIF(Lookup!$A$2:$A$7,FinanceCodesBudget[[#This Row],[FinanceCodeTypeCode]])-1</f>
        <v>0</v>
      </c>
      <c r="H253" s="43">
        <f>IF(TRIM(FinanceCodesBudget[[#This Row],[Title]])="",1,0)</f>
        <v>0</v>
      </c>
      <c r="I253" s="43">
        <f>IF(TRIM(FinanceCodesBudget[[#This Row],[FinanceCode]])="",1,0)</f>
        <v>0</v>
      </c>
      <c r="J253" s="43">
        <f>IF(LEN(FinanceCodesBudget[[#This Row],[FinanceCode]])&lt;100,0,1)</f>
        <v>0</v>
      </c>
      <c r="K253" s="43">
        <f>IF(LEN(FinanceCodesBudget[[#This Row],[Title]])&lt;100,0,1)</f>
        <v>0</v>
      </c>
      <c r="L253" s="43">
        <f>IF(ISBLANK(FinanceCodesBudget[[#This Row],[BalanceToScenario]]),1,0)</f>
        <v>0</v>
      </c>
      <c r="M253" s="43">
        <f>SUM(FinanceCodesBudget[[#This Row],[LedgerIssue]:[CustGrIssue]],FinanceCodesBudget[[#This Row],[DupCode]:[Balance to Scenario Blank]])</f>
        <v>0</v>
      </c>
      <c r="N253">
        <v>675570</v>
      </c>
      <c r="O253" t="s">
        <v>2774</v>
      </c>
      <c r="P253" t="s">
        <v>445</v>
      </c>
      <c r="Q253" t="s">
        <v>2004</v>
      </c>
      <c r="R253" t="b">
        <v>0</v>
      </c>
      <c r="S253" t="s">
        <v>2526</v>
      </c>
      <c r="T253" t="s">
        <v>1300</v>
      </c>
      <c r="U253" t="s">
        <v>1532</v>
      </c>
      <c r="V253" t="b">
        <v>1</v>
      </c>
      <c r="W253" t="b">
        <v>0</v>
      </c>
    </row>
    <row r="254" spans="1:23" x14ac:dyDescent="0.3">
      <c r="A254" s="147">
        <f>IF(COUNTIF(LEDGER[LedgerCode],FinanceCodesBudget[[#This Row],[LedgerCode]])&gt;0,0,1)</f>
        <v>0</v>
      </c>
      <c r="B254" s="43">
        <f>IF(COUNTIF(Table_System_Grouping_Codes[groupingCodeCode],FinanceCodesBudget[[#This Row],[GroupingCode]])&gt;0,0,1)</f>
        <v>0</v>
      </c>
      <c r="C254" s="43">
        <f>IF(COUNTIF(CUSTGROUP[CustomGroupingCode],FinanceCodesBudget[[#This Row],[CustomGrouping]])&gt;0,0,1)</f>
        <v>0</v>
      </c>
      <c r="D254" s="43" cm="1">
        <f t="array" ref="D254">IF(FinanceCodesBudget[[#This Row],[AvailableToAllSchools]]=TRUE,0,COUNTA(_xlfn.TEXTSPLIT(FinanceCodesBudget[[#This Row],[SchoolCodes]],",",,TRUE))-SUM(COUNTIF(SCHOOLS[SchoolCode],_xlfn.TEXTSPLIT(FinanceCodesBudget[[#This Row],[SchoolCodes]],",",,TRUE))))</f>
        <v>0</v>
      </c>
      <c r="E254" s="43">
        <f>IF(FinanceCodesBudget[[#This Row],[FinanceCodeTypeCode]]="BUDGET",0,COUNTIF(FinanceCodesBudget[FinanceCode],FinanceCodesBudget[[#This Row],[FinanceCode]])-1)</f>
        <v>0</v>
      </c>
      <c r="F254" s="43">
        <f>IF(FinanceCodesBudget[[#This Row],[FinanceCodeTypeCode]]="BUDGET",0,COUNTIF(FinanceCodesBudget[Title],FinanceCodesBudget[[#This Row],[Title]])-1)</f>
        <v>0</v>
      </c>
      <c r="G254" s="43">
        <f>COUNTIF(Lookup!$A$2:$A$7,FinanceCodesBudget[[#This Row],[FinanceCodeTypeCode]])-1</f>
        <v>0</v>
      </c>
      <c r="H254" s="43">
        <f>IF(TRIM(FinanceCodesBudget[[#This Row],[Title]])="",1,0)</f>
        <v>0</v>
      </c>
      <c r="I254" s="43">
        <f>IF(TRIM(FinanceCodesBudget[[#This Row],[FinanceCode]])="",1,0)</f>
        <v>0</v>
      </c>
      <c r="J254" s="43">
        <f>IF(LEN(FinanceCodesBudget[[#This Row],[FinanceCode]])&lt;100,0,1)</f>
        <v>0</v>
      </c>
      <c r="K254" s="43">
        <f>IF(LEN(FinanceCodesBudget[[#This Row],[Title]])&lt;100,0,1)</f>
        <v>0</v>
      </c>
      <c r="L254" s="43">
        <f>IF(ISBLANK(FinanceCodesBudget[[#This Row],[BalanceToScenario]]),1,0)</f>
        <v>0</v>
      </c>
      <c r="M254" s="43">
        <f>SUM(FinanceCodesBudget[[#This Row],[LedgerIssue]:[CustGrIssue]],FinanceCodesBudget[[#This Row],[DupCode]:[Balance to Scenario Blank]])</f>
        <v>0</v>
      </c>
      <c r="N254">
        <v>675600</v>
      </c>
      <c r="O254" t="s">
        <v>2775</v>
      </c>
      <c r="P254" t="s">
        <v>446</v>
      </c>
      <c r="Q254" t="s">
        <v>2004</v>
      </c>
      <c r="R254" t="b">
        <v>0</v>
      </c>
      <c r="S254" t="s">
        <v>2526</v>
      </c>
      <c r="T254" t="s">
        <v>1300</v>
      </c>
      <c r="U254" t="s">
        <v>1532</v>
      </c>
      <c r="V254" t="b">
        <v>1</v>
      </c>
      <c r="W254" t="b">
        <v>0</v>
      </c>
    </row>
    <row r="255" spans="1:23" x14ac:dyDescent="0.3">
      <c r="A255" s="147">
        <f>IF(COUNTIF(LEDGER[LedgerCode],FinanceCodesBudget[[#This Row],[LedgerCode]])&gt;0,0,1)</f>
        <v>0</v>
      </c>
      <c r="B255" s="43">
        <f>IF(COUNTIF(Table_System_Grouping_Codes[groupingCodeCode],FinanceCodesBudget[[#This Row],[GroupingCode]])&gt;0,0,1)</f>
        <v>0</v>
      </c>
      <c r="C255" s="43">
        <f>IF(COUNTIF(CUSTGROUP[CustomGroupingCode],FinanceCodesBudget[[#This Row],[CustomGrouping]])&gt;0,0,1)</f>
        <v>0</v>
      </c>
      <c r="D255" s="43" cm="1">
        <f t="array" ref="D255">IF(FinanceCodesBudget[[#This Row],[AvailableToAllSchools]]=TRUE,0,COUNTA(_xlfn.TEXTSPLIT(FinanceCodesBudget[[#This Row],[SchoolCodes]],",",,TRUE))-SUM(COUNTIF(SCHOOLS[SchoolCode],_xlfn.TEXTSPLIT(FinanceCodesBudget[[#This Row],[SchoolCodes]],",",,TRUE))))</f>
        <v>0</v>
      </c>
      <c r="E255" s="43">
        <f>IF(FinanceCodesBudget[[#This Row],[FinanceCodeTypeCode]]="BUDGET",0,COUNTIF(FinanceCodesBudget[FinanceCode],FinanceCodesBudget[[#This Row],[FinanceCode]])-1)</f>
        <v>0</v>
      </c>
      <c r="F255" s="43">
        <f>IF(FinanceCodesBudget[[#This Row],[FinanceCodeTypeCode]]="BUDGET",0,COUNTIF(FinanceCodesBudget[Title],FinanceCodesBudget[[#This Row],[Title]])-1)</f>
        <v>0</v>
      </c>
      <c r="G255" s="43">
        <f>COUNTIF(Lookup!$A$2:$A$7,FinanceCodesBudget[[#This Row],[FinanceCodeTypeCode]])-1</f>
        <v>0</v>
      </c>
      <c r="H255" s="43">
        <f>IF(TRIM(FinanceCodesBudget[[#This Row],[Title]])="",1,0)</f>
        <v>0</v>
      </c>
      <c r="I255" s="43">
        <f>IF(TRIM(FinanceCodesBudget[[#This Row],[FinanceCode]])="",1,0)</f>
        <v>0</v>
      </c>
      <c r="J255" s="43">
        <f>IF(LEN(FinanceCodesBudget[[#This Row],[FinanceCode]])&lt;100,0,1)</f>
        <v>0</v>
      </c>
      <c r="K255" s="43">
        <f>IF(LEN(FinanceCodesBudget[[#This Row],[Title]])&lt;100,0,1)</f>
        <v>0</v>
      </c>
      <c r="L255" s="43">
        <f>IF(ISBLANK(FinanceCodesBudget[[#This Row],[BalanceToScenario]]),1,0)</f>
        <v>0</v>
      </c>
      <c r="M255" s="43">
        <f>SUM(FinanceCodesBudget[[#This Row],[LedgerIssue]:[CustGrIssue]],FinanceCodesBudget[[#This Row],[DupCode]:[Balance to Scenario Blank]])</f>
        <v>0</v>
      </c>
      <c r="N255">
        <v>675620</v>
      </c>
      <c r="O255" t="s">
        <v>2776</v>
      </c>
      <c r="P255" t="s">
        <v>448</v>
      </c>
      <c r="Q255" t="s">
        <v>2004</v>
      </c>
      <c r="R255" t="b">
        <v>0</v>
      </c>
      <c r="S255" t="s">
        <v>2526</v>
      </c>
      <c r="T255" t="s">
        <v>1300</v>
      </c>
      <c r="U255" t="s">
        <v>1532</v>
      </c>
      <c r="V255" t="b">
        <v>1</v>
      </c>
      <c r="W255" t="b">
        <v>0</v>
      </c>
    </row>
    <row r="256" spans="1:23" x14ac:dyDescent="0.3">
      <c r="A256" s="147">
        <f>IF(COUNTIF(LEDGER[LedgerCode],FinanceCodesBudget[[#This Row],[LedgerCode]])&gt;0,0,1)</f>
        <v>0</v>
      </c>
      <c r="B256" s="43">
        <f>IF(COUNTIF(Table_System_Grouping_Codes[groupingCodeCode],FinanceCodesBudget[[#This Row],[GroupingCode]])&gt;0,0,1)</f>
        <v>0</v>
      </c>
      <c r="C256" s="43">
        <f>IF(COUNTIF(CUSTGROUP[CustomGroupingCode],FinanceCodesBudget[[#This Row],[CustomGrouping]])&gt;0,0,1)</f>
        <v>0</v>
      </c>
      <c r="D256" s="43" cm="1">
        <f t="array" ref="D256">IF(FinanceCodesBudget[[#This Row],[AvailableToAllSchools]]=TRUE,0,COUNTA(_xlfn.TEXTSPLIT(FinanceCodesBudget[[#This Row],[SchoolCodes]],",",,TRUE))-SUM(COUNTIF(SCHOOLS[SchoolCode],_xlfn.TEXTSPLIT(FinanceCodesBudget[[#This Row],[SchoolCodes]],",",,TRUE))))</f>
        <v>0</v>
      </c>
      <c r="E256" s="43">
        <f>IF(FinanceCodesBudget[[#This Row],[FinanceCodeTypeCode]]="BUDGET",0,COUNTIF(FinanceCodesBudget[FinanceCode],FinanceCodesBudget[[#This Row],[FinanceCode]])-1)</f>
        <v>0</v>
      </c>
      <c r="F256" s="43">
        <f>IF(FinanceCodesBudget[[#This Row],[FinanceCodeTypeCode]]="BUDGET",0,COUNTIF(FinanceCodesBudget[Title],FinanceCodesBudget[[#This Row],[Title]])-1)</f>
        <v>0</v>
      </c>
      <c r="G256" s="43">
        <f>COUNTIF(Lookup!$A$2:$A$7,FinanceCodesBudget[[#This Row],[FinanceCodeTypeCode]])-1</f>
        <v>0</v>
      </c>
      <c r="H256" s="43">
        <f>IF(TRIM(FinanceCodesBudget[[#This Row],[Title]])="",1,0)</f>
        <v>0</v>
      </c>
      <c r="I256" s="43">
        <f>IF(TRIM(FinanceCodesBudget[[#This Row],[FinanceCode]])="",1,0)</f>
        <v>0</v>
      </c>
      <c r="J256" s="43">
        <f>IF(LEN(FinanceCodesBudget[[#This Row],[FinanceCode]])&lt;100,0,1)</f>
        <v>0</v>
      </c>
      <c r="K256" s="43">
        <f>IF(LEN(FinanceCodesBudget[[#This Row],[Title]])&lt;100,0,1)</f>
        <v>0</v>
      </c>
      <c r="L256" s="43">
        <f>IF(ISBLANK(FinanceCodesBudget[[#This Row],[BalanceToScenario]]),1,0)</f>
        <v>0</v>
      </c>
      <c r="M256" s="43">
        <f>SUM(FinanceCodesBudget[[#This Row],[LedgerIssue]:[CustGrIssue]],FinanceCodesBudget[[#This Row],[DupCode]:[Balance to Scenario Blank]])</f>
        <v>0</v>
      </c>
      <c r="N256">
        <v>675650</v>
      </c>
      <c r="O256" t="s">
        <v>2777</v>
      </c>
      <c r="P256" t="s">
        <v>450</v>
      </c>
      <c r="Q256" t="s">
        <v>2004</v>
      </c>
      <c r="R256" t="b">
        <v>0</v>
      </c>
      <c r="S256" t="s">
        <v>2526</v>
      </c>
      <c r="T256" t="s">
        <v>1300</v>
      </c>
      <c r="U256" t="s">
        <v>1532</v>
      </c>
      <c r="V256" t="b">
        <v>1</v>
      </c>
      <c r="W256" t="b">
        <v>0</v>
      </c>
    </row>
    <row r="257" spans="1:23" x14ac:dyDescent="0.3">
      <c r="A257" s="147">
        <f>IF(COUNTIF(LEDGER[LedgerCode],FinanceCodesBudget[[#This Row],[LedgerCode]])&gt;0,0,1)</f>
        <v>0</v>
      </c>
      <c r="B257" s="43">
        <f>IF(COUNTIF(Table_System_Grouping_Codes[groupingCodeCode],FinanceCodesBudget[[#This Row],[GroupingCode]])&gt;0,0,1)</f>
        <v>0</v>
      </c>
      <c r="C257" s="43">
        <f>IF(COUNTIF(CUSTGROUP[CustomGroupingCode],FinanceCodesBudget[[#This Row],[CustomGrouping]])&gt;0,0,1)</f>
        <v>0</v>
      </c>
      <c r="D257" s="43" cm="1">
        <f t="array" ref="D257">IF(FinanceCodesBudget[[#This Row],[AvailableToAllSchools]]=TRUE,0,COUNTA(_xlfn.TEXTSPLIT(FinanceCodesBudget[[#This Row],[SchoolCodes]],",",,TRUE))-SUM(COUNTIF(SCHOOLS[SchoolCode],_xlfn.TEXTSPLIT(FinanceCodesBudget[[#This Row],[SchoolCodes]],",",,TRUE))))</f>
        <v>0</v>
      </c>
      <c r="E257" s="43">
        <f>IF(FinanceCodesBudget[[#This Row],[FinanceCodeTypeCode]]="BUDGET",0,COUNTIF(FinanceCodesBudget[FinanceCode],FinanceCodesBudget[[#This Row],[FinanceCode]])-1)</f>
        <v>0</v>
      </c>
      <c r="F257" s="43">
        <f>IF(FinanceCodesBudget[[#This Row],[FinanceCodeTypeCode]]="BUDGET",0,COUNTIF(FinanceCodesBudget[Title],FinanceCodesBudget[[#This Row],[Title]])-1)</f>
        <v>0</v>
      </c>
      <c r="G257" s="43">
        <f>COUNTIF(Lookup!$A$2:$A$7,FinanceCodesBudget[[#This Row],[FinanceCodeTypeCode]])-1</f>
        <v>0</v>
      </c>
      <c r="H257" s="43">
        <f>IF(TRIM(FinanceCodesBudget[[#This Row],[Title]])="",1,0)</f>
        <v>0</v>
      </c>
      <c r="I257" s="43">
        <f>IF(TRIM(FinanceCodesBudget[[#This Row],[FinanceCode]])="",1,0)</f>
        <v>0</v>
      </c>
      <c r="J257" s="43">
        <f>IF(LEN(FinanceCodesBudget[[#This Row],[FinanceCode]])&lt;100,0,1)</f>
        <v>0</v>
      </c>
      <c r="K257" s="43">
        <f>IF(LEN(FinanceCodesBudget[[#This Row],[Title]])&lt;100,0,1)</f>
        <v>0</v>
      </c>
      <c r="L257" s="43">
        <f>IF(ISBLANK(FinanceCodesBudget[[#This Row],[BalanceToScenario]]),1,0)</f>
        <v>0</v>
      </c>
      <c r="M257" s="43">
        <f>SUM(FinanceCodesBudget[[#This Row],[LedgerIssue]:[CustGrIssue]],FinanceCodesBudget[[#This Row],[DupCode]:[Balance to Scenario Blank]])</f>
        <v>0</v>
      </c>
      <c r="N257">
        <v>675670</v>
      </c>
      <c r="O257" t="s">
        <v>2778</v>
      </c>
      <c r="P257" t="s">
        <v>451</v>
      </c>
      <c r="Q257" t="s">
        <v>2004</v>
      </c>
      <c r="R257" t="b">
        <v>0</v>
      </c>
      <c r="S257" t="s">
        <v>2526</v>
      </c>
      <c r="T257" t="s">
        <v>1300</v>
      </c>
      <c r="U257" t="s">
        <v>1532</v>
      </c>
      <c r="V257" t="b">
        <v>1</v>
      </c>
      <c r="W257" t="b">
        <v>0</v>
      </c>
    </row>
    <row r="258" spans="1:23" x14ac:dyDescent="0.3">
      <c r="A258" s="147">
        <f>IF(COUNTIF(LEDGER[LedgerCode],FinanceCodesBudget[[#This Row],[LedgerCode]])&gt;0,0,1)</f>
        <v>0</v>
      </c>
      <c r="B258" s="43">
        <f>IF(COUNTIF(Table_System_Grouping_Codes[groupingCodeCode],FinanceCodesBudget[[#This Row],[GroupingCode]])&gt;0,0,1)</f>
        <v>0</v>
      </c>
      <c r="C258" s="43">
        <f>IF(COUNTIF(CUSTGROUP[CustomGroupingCode],FinanceCodesBudget[[#This Row],[CustomGrouping]])&gt;0,0,1)</f>
        <v>0</v>
      </c>
      <c r="D258" s="43" cm="1">
        <f t="array" ref="D258">IF(FinanceCodesBudget[[#This Row],[AvailableToAllSchools]]=TRUE,0,COUNTA(_xlfn.TEXTSPLIT(FinanceCodesBudget[[#This Row],[SchoolCodes]],",",,TRUE))-SUM(COUNTIF(SCHOOLS[SchoolCode],_xlfn.TEXTSPLIT(FinanceCodesBudget[[#This Row],[SchoolCodes]],",",,TRUE))))</f>
        <v>0</v>
      </c>
      <c r="E258" s="43">
        <f>IF(FinanceCodesBudget[[#This Row],[FinanceCodeTypeCode]]="BUDGET",0,COUNTIF(FinanceCodesBudget[FinanceCode],FinanceCodesBudget[[#This Row],[FinanceCode]])-1)</f>
        <v>0</v>
      </c>
      <c r="F258" s="43">
        <f>IF(FinanceCodesBudget[[#This Row],[FinanceCodeTypeCode]]="BUDGET",0,COUNTIF(FinanceCodesBudget[Title],FinanceCodesBudget[[#This Row],[Title]])-1)</f>
        <v>0</v>
      </c>
      <c r="G258" s="43">
        <f>COUNTIF(Lookup!$A$2:$A$7,FinanceCodesBudget[[#This Row],[FinanceCodeTypeCode]])-1</f>
        <v>0</v>
      </c>
      <c r="H258" s="43">
        <f>IF(TRIM(FinanceCodesBudget[[#This Row],[Title]])="",1,0)</f>
        <v>0</v>
      </c>
      <c r="I258" s="43">
        <f>IF(TRIM(FinanceCodesBudget[[#This Row],[FinanceCode]])="",1,0)</f>
        <v>0</v>
      </c>
      <c r="J258" s="43">
        <f>IF(LEN(FinanceCodesBudget[[#This Row],[FinanceCode]])&lt;100,0,1)</f>
        <v>0</v>
      </c>
      <c r="K258" s="43">
        <f>IF(LEN(FinanceCodesBudget[[#This Row],[Title]])&lt;100,0,1)</f>
        <v>0</v>
      </c>
      <c r="L258" s="43">
        <f>IF(ISBLANK(FinanceCodesBudget[[#This Row],[BalanceToScenario]]),1,0)</f>
        <v>0</v>
      </c>
      <c r="M258" s="43">
        <f>SUM(FinanceCodesBudget[[#This Row],[LedgerIssue]:[CustGrIssue]],FinanceCodesBudget[[#This Row],[DupCode]:[Balance to Scenario Blank]])</f>
        <v>0</v>
      </c>
      <c r="N258">
        <v>675690</v>
      </c>
      <c r="O258" t="s">
        <v>2779</v>
      </c>
      <c r="P258" t="s">
        <v>451</v>
      </c>
      <c r="Q258" t="s">
        <v>2004</v>
      </c>
      <c r="R258" t="b">
        <v>0</v>
      </c>
      <c r="S258" t="s">
        <v>2526</v>
      </c>
      <c r="T258" t="s">
        <v>1300</v>
      </c>
      <c r="U258" t="s">
        <v>1532</v>
      </c>
      <c r="V258" t="b">
        <v>1</v>
      </c>
      <c r="W258" t="b">
        <v>0</v>
      </c>
    </row>
    <row r="259" spans="1:23" x14ac:dyDescent="0.3">
      <c r="A259" s="147">
        <f>IF(COUNTIF(LEDGER[LedgerCode],FinanceCodesBudget[[#This Row],[LedgerCode]])&gt;0,0,1)</f>
        <v>0</v>
      </c>
      <c r="B259" s="43">
        <f>IF(COUNTIF(Table_System_Grouping_Codes[groupingCodeCode],FinanceCodesBudget[[#This Row],[GroupingCode]])&gt;0,0,1)</f>
        <v>0</v>
      </c>
      <c r="C259" s="43">
        <f>IF(COUNTIF(CUSTGROUP[CustomGroupingCode],FinanceCodesBudget[[#This Row],[CustomGrouping]])&gt;0,0,1)</f>
        <v>0</v>
      </c>
      <c r="D259" s="43" cm="1">
        <f t="array" ref="D259">IF(FinanceCodesBudget[[#This Row],[AvailableToAllSchools]]=TRUE,0,COUNTA(_xlfn.TEXTSPLIT(FinanceCodesBudget[[#This Row],[SchoolCodes]],",",,TRUE))-SUM(COUNTIF(SCHOOLS[SchoolCode],_xlfn.TEXTSPLIT(FinanceCodesBudget[[#This Row],[SchoolCodes]],",",,TRUE))))</f>
        <v>0</v>
      </c>
      <c r="E259" s="43">
        <f>IF(FinanceCodesBudget[[#This Row],[FinanceCodeTypeCode]]="BUDGET",0,COUNTIF(FinanceCodesBudget[FinanceCode],FinanceCodesBudget[[#This Row],[FinanceCode]])-1)</f>
        <v>0</v>
      </c>
      <c r="F259" s="43">
        <f>IF(FinanceCodesBudget[[#This Row],[FinanceCodeTypeCode]]="BUDGET",0,COUNTIF(FinanceCodesBudget[Title],FinanceCodesBudget[[#This Row],[Title]])-1)</f>
        <v>0</v>
      </c>
      <c r="G259" s="43">
        <f>COUNTIF(Lookup!$A$2:$A$7,FinanceCodesBudget[[#This Row],[FinanceCodeTypeCode]])-1</f>
        <v>0</v>
      </c>
      <c r="H259" s="43">
        <f>IF(TRIM(FinanceCodesBudget[[#This Row],[Title]])="",1,0)</f>
        <v>0</v>
      </c>
      <c r="I259" s="43">
        <f>IF(TRIM(FinanceCodesBudget[[#This Row],[FinanceCode]])="",1,0)</f>
        <v>0</v>
      </c>
      <c r="J259" s="43">
        <f>IF(LEN(FinanceCodesBudget[[#This Row],[FinanceCode]])&lt;100,0,1)</f>
        <v>0</v>
      </c>
      <c r="K259" s="43">
        <f>IF(LEN(FinanceCodesBudget[[#This Row],[Title]])&lt;100,0,1)</f>
        <v>0</v>
      </c>
      <c r="L259" s="43">
        <f>IF(ISBLANK(FinanceCodesBudget[[#This Row],[BalanceToScenario]]),1,0)</f>
        <v>0</v>
      </c>
      <c r="M259" s="43">
        <f>SUM(FinanceCodesBudget[[#This Row],[LedgerIssue]:[CustGrIssue]],FinanceCodesBudget[[#This Row],[DupCode]:[Balance to Scenario Blank]])</f>
        <v>0</v>
      </c>
      <c r="N259">
        <v>675700</v>
      </c>
      <c r="O259" t="s">
        <v>2780</v>
      </c>
      <c r="P259" t="s">
        <v>452</v>
      </c>
      <c r="Q259" t="s">
        <v>2004</v>
      </c>
      <c r="R259" t="b">
        <v>0</v>
      </c>
      <c r="S259" t="s">
        <v>2526</v>
      </c>
      <c r="T259" t="s">
        <v>1300</v>
      </c>
      <c r="U259" t="s">
        <v>1532</v>
      </c>
      <c r="V259" t="b">
        <v>1</v>
      </c>
      <c r="W259" t="b">
        <v>0</v>
      </c>
    </row>
    <row r="260" spans="1:23" x14ac:dyDescent="0.3">
      <c r="A260" s="147">
        <f>IF(COUNTIF(LEDGER[LedgerCode],FinanceCodesBudget[[#This Row],[LedgerCode]])&gt;0,0,1)</f>
        <v>0</v>
      </c>
      <c r="B260" s="43">
        <f>IF(COUNTIF(Table_System_Grouping_Codes[groupingCodeCode],FinanceCodesBudget[[#This Row],[GroupingCode]])&gt;0,0,1)</f>
        <v>0</v>
      </c>
      <c r="C260" s="43">
        <f>IF(COUNTIF(CUSTGROUP[CustomGroupingCode],FinanceCodesBudget[[#This Row],[CustomGrouping]])&gt;0,0,1)</f>
        <v>0</v>
      </c>
      <c r="D260" s="43" cm="1">
        <f t="array" ref="D260">IF(FinanceCodesBudget[[#This Row],[AvailableToAllSchools]]=TRUE,0,COUNTA(_xlfn.TEXTSPLIT(FinanceCodesBudget[[#This Row],[SchoolCodes]],",",,TRUE))-SUM(COUNTIF(SCHOOLS[SchoolCode],_xlfn.TEXTSPLIT(FinanceCodesBudget[[#This Row],[SchoolCodes]],",",,TRUE))))</f>
        <v>0</v>
      </c>
      <c r="E260" s="43">
        <f>IF(FinanceCodesBudget[[#This Row],[FinanceCodeTypeCode]]="BUDGET",0,COUNTIF(FinanceCodesBudget[FinanceCode],FinanceCodesBudget[[#This Row],[FinanceCode]])-1)</f>
        <v>0</v>
      </c>
      <c r="F260" s="43">
        <f>IF(FinanceCodesBudget[[#This Row],[FinanceCodeTypeCode]]="BUDGET",0,COUNTIF(FinanceCodesBudget[Title],FinanceCodesBudget[[#This Row],[Title]])-1)</f>
        <v>0</v>
      </c>
      <c r="G260" s="43">
        <f>COUNTIF(Lookup!$A$2:$A$7,FinanceCodesBudget[[#This Row],[FinanceCodeTypeCode]])-1</f>
        <v>0</v>
      </c>
      <c r="H260" s="43">
        <f>IF(TRIM(FinanceCodesBudget[[#This Row],[Title]])="",1,0)</f>
        <v>0</v>
      </c>
      <c r="I260" s="43">
        <f>IF(TRIM(FinanceCodesBudget[[#This Row],[FinanceCode]])="",1,0)</f>
        <v>0</v>
      </c>
      <c r="J260" s="43">
        <f>IF(LEN(FinanceCodesBudget[[#This Row],[FinanceCode]])&lt;100,0,1)</f>
        <v>0</v>
      </c>
      <c r="K260" s="43">
        <f>IF(LEN(FinanceCodesBudget[[#This Row],[Title]])&lt;100,0,1)</f>
        <v>0</v>
      </c>
      <c r="L260" s="43">
        <f>IF(ISBLANK(FinanceCodesBudget[[#This Row],[BalanceToScenario]]),1,0)</f>
        <v>0</v>
      </c>
      <c r="M260" s="43">
        <f>SUM(FinanceCodesBudget[[#This Row],[LedgerIssue]:[CustGrIssue]],FinanceCodesBudget[[#This Row],[DupCode]:[Balance to Scenario Blank]])</f>
        <v>0</v>
      </c>
      <c r="N260">
        <v>675720</v>
      </c>
      <c r="O260" t="s">
        <v>2781</v>
      </c>
      <c r="P260" t="s">
        <v>453</v>
      </c>
      <c r="Q260" t="s">
        <v>2004</v>
      </c>
      <c r="R260" t="b">
        <v>0</v>
      </c>
      <c r="S260" t="s">
        <v>2526</v>
      </c>
      <c r="T260" t="s">
        <v>1300</v>
      </c>
      <c r="U260" t="s">
        <v>1532</v>
      </c>
      <c r="V260" t="b">
        <v>1</v>
      </c>
      <c r="W260" t="b">
        <v>0</v>
      </c>
    </row>
    <row r="261" spans="1:23" x14ac:dyDescent="0.3">
      <c r="A261" s="147">
        <f>IF(COUNTIF(LEDGER[LedgerCode],FinanceCodesBudget[[#This Row],[LedgerCode]])&gt;0,0,1)</f>
        <v>0</v>
      </c>
      <c r="B261" s="43">
        <f>IF(COUNTIF(Table_System_Grouping_Codes[groupingCodeCode],FinanceCodesBudget[[#This Row],[GroupingCode]])&gt;0,0,1)</f>
        <v>0</v>
      </c>
      <c r="C261" s="43">
        <f>IF(COUNTIF(CUSTGROUP[CustomGroupingCode],FinanceCodesBudget[[#This Row],[CustomGrouping]])&gt;0,0,1)</f>
        <v>0</v>
      </c>
      <c r="D261" s="43" cm="1">
        <f t="array" ref="D261">IF(FinanceCodesBudget[[#This Row],[AvailableToAllSchools]]=TRUE,0,COUNTA(_xlfn.TEXTSPLIT(FinanceCodesBudget[[#This Row],[SchoolCodes]],",",,TRUE))-SUM(COUNTIF(SCHOOLS[SchoolCode],_xlfn.TEXTSPLIT(FinanceCodesBudget[[#This Row],[SchoolCodes]],",",,TRUE))))</f>
        <v>0</v>
      </c>
      <c r="E261" s="43">
        <f>IF(FinanceCodesBudget[[#This Row],[FinanceCodeTypeCode]]="BUDGET",0,COUNTIF(FinanceCodesBudget[FinanceCode],FinanceCodesBudget[[#This Row],[FinanceCode]])-1)</f>
        <v>0</v>
      </c>
      <c r="F261" s="43">
        <f>IF(FinanceCodesBudget[[#This Row],[FinanceCodeTypeCode]]="BUDGET",0,COUNTIF(FinanceCodesBudget[Title],FinanceCodesBudget[[#This Row],[Title]])-1)</f>
        <v>0</v>
      </c>
      <c r="G261" s="43">
        <f>COUNTIF(Lookup!$A$2:$A$7,FinanceCodesBudget[[#This Row],[FinanceCodeTypeCode]])-1</f>
        <v>0</v>
      </c>
      <c r="H261" s="43">
        <f>IF(TRIM(FinanceCodesBudget[[#This Row],[Title]])="",1,0)</f>
        <v>0</v>
      </c>
      <c r="I261" s="43">
        <f>IF(TRIM(FinanceCodesBudget[[#This Row],[FinanceCode]])="",1,0)</f>
        <v>0</v>
      </c>
      <c r="J261" s="43">
        <f>IF(LEN(FinanceCodesBudget[[#This Row],[FinanceCode]])&lt;100,0,1)</f>
        <v>0</v>
      </c>
      <c r="K261" s="43">
        <f>IF(LEN(FinanceCodesBudget[[#This Row],[Title]])&lt;100,0,1)</f>
        <v>0</v>
      </c>
      <c r="L261" s="43">
        <f>IF(ISBLANK(FinanceCodesBudget[[#This Row],[BalanceToScenario]]),1,0)</f>
        <v>0</v>
      </c>
      <c r="M261" s="43">
        <f>SUM(FinanceCodesBudget[[#This Row],[LedgerIssue]:[CustGrIssue]],FinanceCodesBudget[[#This Row],[DupCode]:[Balance to Scenario Blank]])</f>
        <v>0</v>
      </c>
      <c r="N261">
        <v>675730</v>
      </c>
      <c r="O261" t="s">
        <v>2782</v>
      </c>
      <c r="P261" t="s">
        <v>454</v>
      </c>
      <c r="Q261" t="s">
        <v>2004</v>
      </c>
      <c r="R261" t="b">
        <v>0</v>
      </c>
      <c r="S261" t="s">
        <v>2526</v>
      </c>
      <c r="T261" t="s">
        <v>1300</v>
      </c>
      <c r="U261" t="s">
        <v>1532</v>
      </c>
      <c r="V261" t="b">
        <v>1</v>
      </c>
      <c r="W261" t="b">
        <v>0</v>
      </c>
    </row>
    <row r="262" spans="1:23" x14ac:dyDescent="0.3">
      <c r="A262" s="147">
        <f>IF(COUNTIF(LEDGER[LedgerCode],FinanceCodesBudget[[#This Row],[LedgerCode]])&gt;0,0,1)</f>
        <v>0</v>
      </c>
      <c r="B262" s="43">
        <f>IF(COUNTIF(Table_System_Grouping_Codes[groupingCodeCode],FinanceCodesBudget[[#This Row],[GroupingCode]])&gt;0,0,1)</f>
        <v>0</v>
      </c>
      <c r="C262" s="43">
        <f>IF(COUNTIF(CUSTGROUP[CustomGroupingCode],FinanceCodesBudget[[#This Row],[CustomGrouping]])&gt;0,0,1)</f>
        <v>0</v>
      </c>
      <c r="D262" s="43" cm="1">
        <f t="array" ref="D262">IF(FinanceCodesBudget[[#This Row],[AvailableToAllSchools]]=TRUE,0,COUNTA(_xlfn.TEXTSPLIT(FinanceCodesBudget[[#This Row],[SchoolCodes]],",",,TRUE))-SUM(COUNTIF(SCHOOLS[SchoolCode],_xlfn.TEXTSPLIT(FinanceCodesBudget[[#This Row],[SchoolCodes]],",",,TRUE))))</f>
        <v>0</v>
      </c>
      <c r="E262" s="43">
        <f>IF(FinanceCodesBudget[[#This Row],[FinanceCodeTypeCode]]="BUDGET",0,COUNTIF(FinanceCodesBudget[FinanceCode],FinanceCodesBudget[[#This Row],[FinanceCode]])-1)</f>
        <v>0</v>
      </c>
      <c r="F262" s="43">
        <f>IF(FinanceCodesBudget[[#This Row],[FinanceCodeTypeCode]]="BUDGET",0,COUNTIF(FinanceCodesBudget[Title],FinanceCodesBudget[[#This Row],[Title]])-1)</f>
        <v>0</v>
      </c>
      <c r="G262" s="43">
        <f>COUNTIF(Lookup!$A$2:$A$7,FinanceCodesBudget[[#This Row],[FinanceCodeTypeCode]])-1</f>
        <v>0</v>
      </c>
      <c r="H262" s="43">
        <f>IF(TRIM(FinanceCodesBudget[[#This Row],[Title]])="",1,0)</f>
        <v>0</v>
      </c>
      <c r="I262" s="43">
        <f>IF(TRIM(FinanceCodesBudget[[#This Row],[FinanceCode]])="",1,0)</f>
        <v>0</v>
      </c>
      <c r="J262" s="43">
        <f>IF(LEN(FinanceCodesBudget[[#This Row],[FinanceCode]])&lt;100,0,1)</f>
        <v>0</v>
      </c>
      <c r="K262" s="43">
        <f>IF(LEN(FinanceCodesBudget[[#This Row],[Title]])&lt;100,0,1)</f>
        <v>0</v>
      </c>
      <c r="L262" s="43">
        <f>IF(ISBLANK(FinanceCodesBudget[[#This Row],[BalanceToScenario]]),1,0)</f>
        <v>0</v>
      </c>
      <c r="M262" s="43">
        <f>SUM(FinanceCodesBudget[[#This Row],[LedgerIssue]:[CustGrIssue]],FinanceCodesBudget[[#This Row],[DupCode]:[Balance to Scenario Blank]])</f>
        <v>0</v>
      </c>
      <c r="N262">
        <v>675750</v>
      </c>
      <c r="O262" t="s">
        <v>2783</v>
      </c>
      <c r="P262" t="s">
        <v>456</v>
      </c>
      <c r="Q262" t="s">
        <v>2004</v>
      </c>
      <c r="R262" t="b">
        <v>0</v>
      </c>
      <c r="S262" t="s">
        <v>2526</v>
      </c>
      <c r="T262" t="s">
        <v>1300</v>
      </c>
      <c r="U262" t="s">
        <v>1532</v>
      </c>
      <c r="V262" t="b">
        <v>1</v>
      </c>
      <c r="W262" t="b">
        <v>0</v>
      </c>
    </row>
    <row r="263" spans="1:23" x14ac:dyDescent="0.3">
      <c r="A263" s="147">
        <f>IF(COUNTIF(LEDGER[LedgerCode],FinanceCodesBudget[[#This Row],[LedgerCode]])&gt;0,0,1)</f>
        <v>0</v>
      </c>
      <c r="B263" s="43">
        <f>IF(COUNTIF(Table_System_Grouping_Codes[groupingCodeCode],FinanceCodesBudget[[#This Row],[GroupingCode]])&gt;0,0,1)</f>
        <v>0</v>
      </c>
      <c r="C263" s="43">
        <f>IF(COUNTIF(CUSTGROUP[CustomGroupingCode],FinanceCodesBudget[[#This Row],[CustomGrouping]])&gt;0,0,1)</f>
        <v>0</v>
      </c>
      <c r="D263" s="43" cm="1">
        <f t="array" ref="D263">IF(FinanceCodesBudget[[#This Row],[AvailableToAllSchools]]=TRUE,0,COUNTA(_xlfn.TEXTSPLIT(FinanceCodesBudget[[#This Row],[SchoolCodes]],",",,TRUE))-SUM(COUNTIF(SCHOOLS[SchoolCode],_xlfn.TEXTSPLIT(FinanceCodesBudget[[#This Row],[SchoolCodes]],",",,TRUE))))</f>
        <v>0</v>
      </c>
      <c r="E263" s="43">
        <f>IF(FinanceCodesBudget[[#This Row],[FinanceCodeTypeCode]]="BUDGET",0,COUNTIF(FinanceCodesBudget[FinanceCode],FinanceCodesBudget[[#This Row],[FinanceCode]])-1)</f>
        <v>0</v>
      </c>
      <c r="F263" s="43">
        <f>IF(FinanceCodesBudget[[#This Row],[FinanceCodeTypeCode]]="BUDGET",0,COUNTIF(FinanceCodesBudget[Title],FinanceCodesBudget[[#This Row],[Title]])-1)</f>
        <v>0</v>
      </c>
      <c r="G263" s="43">
        <f>COUNTIF(Lookup!$A$2:$A$7,FinanceCodesBudget[[#This Row],[FinanceCodeTypeCode]])-1</f>
        <v>0</v>
      </c>
      <c r="H263" s="43">
        <f>IF(TRIM(FinanceCodesBudget[[#This Row],[Title]])="",1,0)</f>
        <v>0</v>
      </c>
      <c r="I263" s="43">
        <f>IF(TRIM(FinanceCodesBudget[[#This Row],[FinanceCode]])="",1,0)</f>
        <v>0</v>
      </c>
      <c r="J263" s="43">
        <f>IF(LEN(FinanceCodesBudget[[#This Row],[FinanceCode]])&lt;100,0,1)</f>
        <v>0</v>
      </c>
      <c r="K263" s="43">
        <f>IF(LEN(FinanceCodesBudget[[#This Row],[Title]])&lt;100,0,1)</f>
        <v>0</v>
      </c>
      <c r="L263" s="43">
        <f>IF(ISBLANK(FinanceCodesBudget[[#This Row],[BalanceToScenario]]),1,0)</f>
        <v>0</v>
      </c>
      <c r="M263" s="43">
        <f>SUM(FinanceCodesBudget[[#This Row],[LedgerIssue]:[CustGrIssue]],FinanceCodesBudget[[#This Row],[DupCode]:[Balance to Scenario Blank]])</f>
        <v>0</v>
      </c>
      <c r="N263">
        <v>675770</v>
      </c>
      <c r="O263" t="s">
        <v>2784</v>
      </c>
      <c r="P263" t="s">
        <v>1855</v>
      </c>
      <c r="Q263" t="s">
        <v>2004</v>
      </c>
      <c r="R263" t="b">
        <v>0</v>
      </c>
      <c r="S263" t="s">
        <v>2526</v>
      </c>
      <c r="T263" t="s">
        <v>1300</v>
      </c>
      <c r="U263" t="s">
        <v>1532</v>
      </c>
      <c r="V263" t="b">
        <v>1</v>
      </c>
      <c r="W263" t="b">
        <v>0</v>
      </c>
    </row>
    <row r="264" spans="1:23" x14ac:dyDescent="0.3">
      <c r="A264" s="147">
        <f>IF(COUNTIF(LEDGER[LedgerCode],FinanceCodesBudget[[#This Row],[LedgerCode]])&gt;0,0,1)</f>
        <v>0</v>
      </c>
      <c r="B264" s="43">
        <f>IF(COUNTIF(Table_System_Grouping_Codes[groupingCodeCode],FinanceCodesBudget[[#This Row],[GroupingCode]])&gt;0,0,1)</f>
        <v>0</v>
      </c>
      <c r="C264" s="43">
        <f>IF(COUNTIF(CUSTGROUP[CustomGroupingCode],FinanceCodesBudget[[#This Row],[CustomGrouping]])&gt;0,0,1)</f>
        <v>0</v>
      </c>
      <c r="D264" s="43" cm="1">
        <f t="array" ref="D264">IF(FinanceCodesBudget[[#This Row],[AvailableToAllSchools]]=TRUE,0,COUNTA(_xlfn.TEXTSPLIT(FinanceCodesBudget[[#This Row],[SchoolCodes]],",",,TRUE))-SUM(COUNTIF(SCHOOLS[SchoolCode],_xlfn.TEXTSPLIT(FinanceCodesBudget[[#This Row],[SchoolCodes]],",",,TRUE))))</f>
        <v>0</v>
      </c>
      <c r="E264" s="43">
        <f>IF(FinanceCodesBudget[[#This Row],[FinanceCodeTypeCode]]="BUDGET",0,COUNTIF(FinanceCodesBudget[FinanceCode],FinanceCodesBudget[[#This Row],[FinanceCode]])-1)</f>
        <v>0</v>
      </c>
      <c r="F264" s="43">
        <f>IF(FinanceCodesBudget[[#This Row],[FinanceCodeTypeCode]]="BUDGET",0,COUNTIF(FinanceCodesBudget[Title],FinanceCodesBudget[[#This Row],[Title]])-1)</f>
        <v>0</v>
      </c>
      <c r="G264" s="43">
        <f>COUNTIF(Lookup!$A$2:$A$7,FinanceCodesBudget[[#This Row],[FinanceCodeTypeCode]])-1</f>
        <v>0</v>
      </c>
      <c r="H264" s="43">
        <f>IF(TRIM(FinanceCodesBudget[[#This Row],[Title]])="",1,0)</f>
        <v>0</v>
      </c>
      <c r="I264" s="43">
        <f>IF(TRIM(FinanceCodesBudget[[#This Row],[FinanceCode]])="",1,0)</f>
        <v>0</v>
      </c>
      <c r="J264" s="43">
        <f>IF(LEN(FinanceCodesBudget[[#This Row],[FinanceCode]])&lt;100,0,1)</f>
        <v>0</v>
      </c>
      <c r="K264" s="43">
        <f>IF(LEN(FinanceCodesBudget[[#This Row],[Title]])&lt;100,0,1)</f>
        <v>0</v>
      </c>
      <c r="L264" s="43">
        <f>IF(ISBLANK(FinanceCodesBudget[[#This Row],[BalanceToScenario]]),1,0)</f>
        <v>0</v>
      </c>
      <c r="M264" s="43">
        <f>SUM(FinanceCodesBudget[[#This Row],[LedgerIssue]:[CustGrIssue]],FinanceCodesBudget[[#This Row],[DupCode]:[Balance to Scenario Blank]])</f>
        <v>0</v>
      </c>
      <c r="N264">
        <v>675780</v>
      </c>
      <c r="O264" t="s">
        <v>2785</v>
      </c>
      <c r="P264" t="s">
        <v>1857</v>
      </c>
      <c r="Q264" t="s">
        <v>2004</v>
      </c>
      <c r="R264" t="b">
        <v>0</v>
      </c>
      <c r="S264" t="s">
        <v>2526</v>
      </c>
      <c r="T264" t="s">
        <v>1300</v>
      </c>
      <c r="U264" t="s">
        <v>1532</v>
      </c>
      <c r="V264" t="b">
        <v>1</v>
      </c>
      <c r="W264" t="b">
        <v>0</v>
      </c>
    </row>
    <row r="265" spans="1:23" x14ac:dyDescent="0.3">
      <c r="A265" s="147">
        <f>IF(COUNTIF(LEDGER[LedgerCode],FinanceCodesBudget[[#This Row],[LedgerCode]])&gt;0,0,1)</f>
        <v>0</v>
      </c>
      <c r="B265" s="43">
        <f>IF(COUNTIF(Table_System_Grouping_Codes[groupingCodeCode],FinanceCodesBudget[[#This Row],[GroupingCode]])&gt;0,0,1)</f>
        <v>0</v>
      </c>
      <c r="C265" s="43">
        <f>IF(COUNTIF(CUSTGROUP[CustomGroupingCode],FinanceCodesBudget[[#This Row],[CustomGrouping]])&gt;0,0,1)</f>
        <v>0</v>
      </c>
      <c r="D265" s="43" cm="1">
        <f t="array" ref="D265">IF(FinanceCodesBudget[[#This Row],[AvailableToAllSchools]]=TRUE,0,COUNTA(_xlfn.TEXTSPLIT(FinanceCodesBudget[[#This Row],[SchoolCodes]],",",,TRUE))-SUM(COUNTIF(SCHOOLS[SchoolCode],_xlfn.TEXTSPLIT(FinanceCodesBudget[[#This Row],[SchoolCodes]],",",,TRUE))))</f>
        <v>0</v>
      </c>
      <c r="E265" s="43">
        <f>IF(FinanceCodesBudget[[#This Row],[FinanceCodeTypeCode]]="BUDGET",0,COUNTIF(FinanceCodesBudget[FinanceCode],FinanceCodesBudget[[#This Row],[FinanceCode]])-1)</f>
        <v>0</v>
      </c>
      <c r="F265" s="43">
        <f>IF(FinanceCodesBudget[[#This Row],[FinanceCodeTypeCode]]="BUDGET",0,COUNTIF(FinanceCodesBudget[Title],FinanceCodesBudget[[#This Row],[Title]])-1)</f>
        <v>0</v>
      </c>
      <c r="G265" s="43">
        <f>COUNTIF(Lookup!$A$2:$A$7,FinanceCodesBudget[[#This Row],[FinanceCodeTypeCode]])-1</f>
        <v>0</v>
      </c>
      <c r="H265" s="43">
        <f>IF(TRIM(FinanceCodesBudget[[#This Row],[Title]])="",1,0)</f>
        <v>0</v>
      </c>
      <c r="I265" s="43">
        <f>IF(TRIM(FinanceCodesBudget[[#This Row],[FinanceCode]])="",1,0)</f>
        <v>0</v>
      </c>
      <c r="J265" s="43">
        <f>IF(LEN(FinanceCodesBudget[[#This Row],[FinanceCode]])&lt;100,0,1)</f>
        <v>0</v>
      </c>
      <c r="K265" s="43">
        <f>IF(LEN(FinanceCodesBudget[[#This Row],[Title]])&lt;100,0,1)</f>
        <v>0</v>
      </c>
      <c r="L265" s="43">
        <f>IF(ISBLANK(FinanceCodesBudget[[#This Row],[BalanceToScenario]]),1,0)</f>
        <v>0</v>
      </c>
      <c r="M265" s="43">
        <f>SUM(FinanceCodesBudget[[#This Row],[LedgerIssue]:[CustGrIssue]],FinanceCodesBudget[[#This Row],[DupCode]:[Balance to Scenario Blank]])</f>
        <v>0</v>
      </c>
      <c r="N265">
        <v>675790</v>
      </c>
      <c r="O265" t="s">
        <v>2786</v>
      </c>
      <c r="P265" t="s">
        <v>457</v>
      </c>
      <c r="Q265" t="s">
        <v>2004</v>
      </c>
      <c r="R265" t="b">
        <v>0</v>
      </c>
      <c r="S265" t="s">
        <v>2526</v>
      </c>
      <c r="T265" t="s">
        <v>1300</v>
      </c>
      <c r="U265" t="s">
        <v>1532</v>
      </c>
      <c r="V265" t="b">
        <v>1</v>
      </c>
      <c r="W265" t="b">
        <v>0</v>
      </c>
    </row>
    <row r="266" spans="1:23" x14ac:dyDescent="0.3">
      <c r="A266" s="147">
        <f>IF(COUNTIF(LEDGER[LedgerCode],FinanceCodesBudget[[#This Row],[LedgerCode]])&gt;0,0,1)</f>
        <v>0</v>
      </c>
      <c r="B266" s="43">
        <f>IF(COUNTIF(Table_System_Grouping_Codes[groupingCodeCode],FinanceCodesBudget[[#This Row],[GroupingCode]])&gt;0,0,1)</f>
        <v>0</v>
      </c>
      <c r="C266" s="43">
        <f>IF(COUNTIF(CUSTGROUP[CustomGroupingCode],FinanceCodesBudget[[#This Row],[CustomGrouping]])&gt;0,0,1)</f>
        <v>0</v>
      </c>
      <c r="D266" s="43" cm="1">
        <f t="array" ref="D266">IF(FinanceCodesBudget[[#This Row],[AvailableToAllSchools]]=TRUE,0,COUNTA(_xlfn.TEXTSPLIT(FinanceCodesBudget[[#This Row],[SchoolCodes]],",",,TRUE))-SUM(COUNTIF(SCHOOLS[SchoolCode],_xlfn.TEXTSPLIT(FinanceCodesBudget[[#This Row],[SchoolCodes]],",",,TRUE))))</f>
        <v>0</v>
      </c>
      <c r="E266" s="43">
        <f>IF(FinanceCodesBudget[[#This Row],[FinanceCodeTypeCode]]="BUDGET",0,COUNTIF(FinanceCodesBudget[FinanceCode],FinanceCodesBudget[[#This Row],[FinanceCode]])-1)</f>
        <v>0</v>
      </c>
      <c r="F266" s="43">
        <f>IF(FinanceCodesBudget[[#This Row],[FinanceCodeTypeCode]]="BUDGET",0,COUNTIF(FinanceCodesBudget[Title],FinanceCodesBudget[[#This Row],[Title]])-1)</f>
        <v>0</v>
      </c>
      <c r="G266" s="43">
        <f>COUNTIF(Lookup!$A$2:$A$7,FinanceCodesBudget[[#This Row],[FinanceCodeTypeCode]])-1</f>
        <v>0</v>
      </c>
      <c r="H266" s="43">
        <f>IF(TRIM(FinanceCodesBudget[[#This Row],[Title]])="",1,0)</f>
        <v>0</v>
      </c>
      <c r="I266" s="43">
        <f>IF(TRIM(FinanceCodesBudget[[#This Row],[FinanceCode]])="",1,0)</f>
        <v>0</v>
      </c>
      <c r="J266" s="43">
        <f>IF(LEN(FinanceCodesBudget[[#This Row],[FinanceCode]])&lt;100,0,1)</f>
        <v>0</v>
      </c>
      <c r="K266" s="43">
        <f>IF(LEN(FinanceCodesBudget[[#This Row],[Title]])&lt;100,0,1)</f>
        <v>0</v>
      </c>
      <c r="L266" s="43">
        <f>IF(ISBLANK(FinanceCodesBudget[[#This Row],[BalanceToScenario]]),1,0)</f>
        <v>0</v>
      </c>
      <c r="M266" s="43">
        <f>SUM(FinanceCodesBudget[[#This Row],[LedgerIssue]:[CustGrIssue]],FinanceCodesBudget[[#This Row],[DupCode]:[Balance to Scenario Blank]])</f>
        <v>0</v>
      </c>
      <c r="N266">
        <v>675800</v>
      </c>
      <c r="O266" t="s">
        <v>2787</v>
      </c>
      <c r="P266" t="s">
        <v>459</v>
      </c>
      <c r="Q266" t="s">
        <v>2004</v>
      </c>
      <c r="R266" t="b">
        <v>0</v>
      </c>
      <c r="S266" t="s">
        <v>2526</v>
      </c>
      <c r="T266" t="s">
        <v>1300</v>
      </c>
      <c r="U266" t="s">
        <v>1532</v>
      </c>
      <c r="V266" t="b">
        <v>1</v>
      </c>
      <c r="W266" t="b">
        <v>0</v>
      </c>
    </row>
    <row r="267" spans="1:23" x14ac:dyDescent="0.3">
      <c r="A267" s="147">
        <f>IF(COUNTIF(LEDGER[LedgerCode],FinanceCodesBudget[[#This Row],[LedgerCode]])&gt;0,0,1)</f>
        <v>0</v>
      </c>
      <c r="B267" s="43">
        <f>IF(COUNTIF(Table_System_Grouping_Codes[groupingCodeCode],FinanceCodesBudget[[#This Row],[GroupingCode]])&gt;0,0,1)</f>
        <v>0</v>
      </c>
      <c r="C267" s="43">
        <f>IF(COUNTIF(CUSTGROUP[CustomGroupingCode],FinanceCodesBudget[[#This Row],[CustomGrouping]])&gt;0,0,1)</f>
        <v>0</v>
      </c>
      <c r="D267" s="43" cm="1">
        <f t="array" ref="D267">IF(FinanceCodesBudget[[#This Row],[AvailableToAllSchools]]=TRUE,0,COUNTA(_xlfn.TEXTSPLIT(FinanceCodesBudget[[#This Row],[SchoolCodes]],",",,TRUE))-SUM(COUNTIF(SCHOOLS[SchoolCode],_xlfn.TEXTSPLIT(FinanceCodesBudget[[#This Row],[SchoolCodes]],",",,TRUE))))</f>
        <v>0</v>
      </c>
      <c r="E267" s="43">
        <f>IF(FinanceCodesBudget[[#This Row],[FinanceCodeTypeCode]]="BUDGET",0,COUNTIF(FinanceCodesBudget[FinanceCode],FinanceCodesBudget[[#This Row],[FinanceCode]])-1)</f>
        <v>0</v>
      </c>
      <c r="F267" s="43">
        <f>IF(FinanceCodesBudget[[#This Row],[FinanceCodeTypeCode]]="BUDGET",0,COUNTIF(FinanceCodesBudget[Title],FinanceCodesBudget[[#This Row],[Title]])-1)</f>
        <v>0</v>
      </c>
      <c r="G267" s="43">
        <f>COUNTIF(Lookup!$A$2:$A$7,FinanceCodesBudget[[#This Row],[FinanceCodeTypeCode]])-1</f>
        <v>0</v>
      </c>
      <c r="H267" s="43">
        <f>IF(TRIM(FinanceCodesBudget[[#This Row],[Title]])="",1,0)</f>
        <v>0</v>
      </c>
      <c r="I267" s="43">
        <f>IF(TRIM(FinanceCodesBudget[[#This Row],[FinanceCode]])="",1,0)</f>
        <v>0</v>
      </c>
      <c r="J267" s="43">
        <f>IF(LEN(FinanceCodesBudget[[#This Row],[FinanceCode]])&lt;100,0,1)</f>
        <v>0</v>
      </c>
      <c r="K267" s="43">
        <f>IF(LEN(FinanceCodesBudget[[#This Row],[Title]])&lt;100,0,1)</f>
        <v>0</v>
      </c>
      <c r="L267" s="43">
        <f>IF(ISBLANK(FinanceCodesBudget[[#This Row],[BalanceToScenario]]),1,0)</f>
        <v>0</v>
      </c>
      <c r="M267" s="43">
        <f>SUM(FinanceCodesBudget[[#This Row],[LedgerIssue]:[CustGrIssue]],FinanceCodesBudget[[#This Row],[DupCode]:[Balance to Scenario Blank]])</f>
        <v>0</v>
      </c>
      <c r="N267">
        <v>675810</v>
      </c>
      <c r="O267" t="s">
        <v>2788</v>
      </c>
      <c r="P267" t="s">
        <v>461</v>
      </c>
      <c r="Q267" t="s">
        <v>2004</v>
      </c>
      <c r="R267" t="b">
        <v>0</v>
      </c>
      <c r="S267" t="s">
        <v>2526</v>
      </c>
      <c r="T267" t="s">
        <v>1300</v>
      </c>
      <c r="U267" t="s">
        <v>1532</v>
      </c>
      <c r="V267" t="b">
        <v>1</v>
      </c>
      <c r="W267" t="b">
        <v>0</v>
      </c>
    </row>
    <row r="268" spans="1:23" x14ac:dyDescent="0.3">
      <c r="A268" s="147">
        <f>IF(COUNTIF(LEDGER[LedgerCode],FinanceCodesBudget[[#This Row],[LedgerCode]])&gt;0,0,1)</f>
        <v>0</v>
      </c>
      <c r="B268" s="43">
        <f>IF(COUNTIF(Table_System_Grouping_Codes[groupingCodeCode],FinanceCodesBudget[[#This Row],[GroupingCode]])&gt;0,0,1)</f>
        <v>0</v>
      </c>
      <c r="C268" s="43">
        <f>IF(COUNTIF(CUSTGROUP[CustomGroupingCode],FinanceCodesBudget[[#This Row],[CustomGrouping]])&gt;0,0,1)</f>
        <v>0</v>
      </c>
      <c r="D268" s="43" cm="1">
        <f t="array" ref="D268">IF(FinanceCodesBudget[[#This Row],[AvailableToAllSchools]]=TRUE,0,COUNTA(_xlfn.TEXTSPLIT(FinanceCodesBudget[[#This Row],[SchoolCodes]],",",,TRUE))-SUM(COUNTIF(SCHOOLS[SchoolCode],_xlfn.TEXTSPLIT(FinanceCodesBudget[[#This Row],[SchoolCodes]],",",,TRUE))))</f>
        <v>0</v>
      </c>
      <c r="E268" s="43">
        <f>IF(FinanceCodesBudget[[#This Row],[FinanceCodeTypeCode]]="BUDGET",0,COUNTIF(FinanceCodesBudget[FinanceCode],FinanceCodesBudget[[#This Row],[FinanceCode]])-1)</f>
        <v>0</v>
      </c>
      <c r="F268" s="43">
        <f>IF(FinanceCodesBudget[[#This Row],[FinanceCodeTypeCode]]="BUDGET",0,COUNTIF(FinanceCodesBudget[Title],FinanceCodesBudget[[#This Row],[Title]])-1)</f>
        <v>0</v>
      </c>
      <c r="G268" s="43">
        <f>COUNTIF(Lookup!$A$2:$A$7,FinanceCodesBudget[[#This Row],[FinanceCodeTypeCode]])-1</f>
        <v>0</v>
      </c>
      <c r="H268" s="43">
        <f>IF(TRIM(FinanceCodesBudget[[#This Row],[Title]])="",1,0)</f>
        <v>0</v>
      </c>
      <c r="I268" s="43">
        <f>IF(TRIM(FinanceCodesBudget[[#This Row],[FinanceCode]])="",1,0)</f>
        <v>0</v>
      </c>
      <c r="J268" s="43">
        <f>IF(LEN(FinanceCodesBudget[[#This Row],[FinanceCode]])&lt;100,0,1)</f>
        <v>0</v>
      </c>
      <c r="K268" s="43">
        <f>IF(LEN(FinanceCodesBudget[[#This Row],[Title]])&lt;100,0,1)</f>
        <v>0</v>
      </c>
      <c r="L268" s="43">
        <f>IF(ISBLANK(FinanceCodesBudget[[#This Row],[BalanceToScenario]]),1,0)</f>
        <v>0</v>
      </c>
      <c r="M268" s="43">
        <f>SUM(FinanceCodesBudget[[#This Row],[LedgerIssue]:[CustGrIssue]],FinanceCodesBudget[[#This Row],[DupCode]:[Balance to Scenario Blank]])</f>
        <v>0</v>
      </c>
      <c r="N268">
        <v>675820</v>
      </c>
      <c r="O268" t="s">
        <v>2789</v>
      </c>
      <c r="P268" t="s">
        <v>463</v>
      </c>
      <c r="Q268" t="s">
        <v>2004</v>
      </c>
      <c r="R268" t="b">
        <v>0</v>
      </c>
      <c r="S268" t="s">
        <v>2526</v>
      </c>
      <c r="T268" t="s">
        <v>1300</v>
      </c>
      <c r="U268" t="s">
        <v>1532</v>
      </c>
      <c r="V268" t="b">
        <v>1</v>
      </c>
      <c r="W268" t="b">
        <v>0</v>
      </c>
    </row>
    <row r="269" spans="1:23" x14ac:dyDescent="0.3">
      <c r="A269" s="147">
        <f>IF(COUNTIF(LEDGER[LedgerCode],FinanceCodesBudget[[#This Row],[LedgerCode]])&gt;0,0,1)</f>
        <v>0</v>
      </c>
      <c r="B269" s="43">
        <f>IF(COUNTIF(Table_System_Grouping_Codes[groupingCodeCode],FinanceCodesBudget[[#This Row],[GroupingCode]])&gt;0,0,1)</f>
        <v>0</v>
      </c>
      <c r="C269" s="43">
        <f>IF(COUNTIF(CUSTGROUP[CustomGroupingCode],FinanceCodesBudget[[#This Row],[CustomGrouping]])&gt;0,0,1)</f>
        <v>0</v>
      </c>
      <c r="D269" s="43" cm="1">
        <f t="array" ref="D269">IF(FinanceCodesBudget[[#This Row],[AvailableToAllSchools]]=TRUE,0,COUNTA(_xlfn.TEXTSPLIT(FinanceCodesBudget[[#This Row],[SchoolCodes]],",",,TRUE))-SUM(COUNTIF(SCHOOLS[SchoolCode],_xlfn.TEXTSPLIT(FinanceCodesBudget[[#This Row],[SchoolCodes]],",",,TRUE))))</f>
        <v>0</v>
      </c>
      <c r="E269" s="43">
        <f>IF(FinanceCodesBudget[[#This Row],[FinanceCodeTypeCode]]="BUDGET",0,COUNTIF(FinanceCodesBudget[FinanceCode],FinanceCodesBudget[[#This Row],[FinanceCode]])-1)</f>
        <v>0</v>
      </c>
      <c r="F269" s="43">
        <f>IF(FinanceCodesBudget[[#This Row],[FinanceCodeTypeCode]]="BUDGET",0,COUNTIF(FinanceCodesBudget[Title],FinanceCodesBudget[[#This Row],[Title]])-1)</f>
        <v>0</v>
      </c>
      <c r="G269" s="43">
        <f>COUNTIF(Lookup!$A$2:$A$7,FinanceCodesBudget[[#This Row],[FinanceCodeTypeCode]])-1</f>
        <v>0</v>
      </c>
      <c r="H269" s="43">
        <f>IF(TRIM(FinanceCodesBudget[[#This Row],[Title]])="",1,0)</f>
        <v>0</v>
      </c>
      <c r="I269" s="43">
        <f>IF(TRIM(FinanceCodesBudget[[#This Row],[FinanceCode]])="",1,0)</f>
        <v>0</v>
      </c>
      <c r="J269" s="43">
        <f>IF(LEN(FinanceCodesBudget[[#This Row],[FinanceCode]])&lt;100,0,1)</f>
        <v>0</v>
      </c>
      <c r="K269" s="43">
        <f>IF(LEN(FinanceCodesBudget[[#This Row],[Title]])&lt;100,0,1)</f>
        <v>0</v>
      </c>
      <c r="L269" s="43">
        <f>IF(ISBLANK(FinanceCodesBudget[[#This Row],[BalanceToScenario]]),1,0)</f>
        <v>0</v>
      </c>
      <c r="M269" s="43">
        <f>SUM(FinanceCodesBudget[[#This Row],[LedgerIssue]:[CustGrIssue]],FinanceCodesBudget[[#This Row],[DupCode]:[Balance to Scenario Blank]])</f>
        <v>0</v>
      </c>
      <c r="N269">
        <v>710100</v>
      </c>
      <c r="O269" t="s">
        <v>2790</v>
      </c>
      <c r="P269" t="s">
        <v>465</v>
      </c>
      <c r="Q269" t="s">
        <v>1992</v>
      </c>
      <c r="R269" t="b">
        <v>0</v>
      </c>
      <c r="S269" t="s">
        <v>2526</v>
      </c>
      <c r="T269" t="s">
        <v>1300</v>
      </c>
      <c r="U269" t="s">
        <v>1532</v>
      </c>
      <c r="V269" t="b">
        <v>1</v>
      </c>
      <c r="W269" t="b">
        <v>0</v>
      </c>
    </row>
    <row r="270" spans="1:23" x14ac:dyDescent="0.3">
      <c r="A270" s="147">
        <f>IF(COUNTIF(LEDGER[LedgerCode],FinanceCodesBudget[[#This Row],[LedgerCode]])&gt;0,0,1)</f>
        <v>0</v>
      </c>
      <c r="B270" s="43">
        <f>IF(COUNTIF(Table_System_Grouping_Codes[groupingCodeCode],FinanceCodesBudget[[#This Row],[GroupingCode]])&gt;0,0,1)</f>
        <v>0</v>
      </c>
      <c r="C270" s="43">
        <f>IF(COUNTIF(CUSTGROUP[CustomGroupingCode],FinanceCodesBudget[[#This Row],[CustomGrouping]])&gt;0,0,1)</f>
        <v>0</v>
      </c>
      <c r="D270" s="43" cm="1">
        <f t="array" ref="D270">IF(FinanceCodesBudget[[#This Row],[AvailableToAllSchools]]=TRUE,0,COUNTA(_xlfn.TEXTSPLIT(FinanceCodesBudget[[#This Row],[SchoolCodes]],",",,TRUE))-SUM(COUNTIF(SCHOOLS[SchoolCode],_xlfn.TEXTSPLIT(FinanceCodesBudget[[#This Row],[SchoolCodes]],",",,TRUE))))</f>
        <v>0</v>
      </c>
      <c r="E270" s="43">
        <f>IF(FinanceCodesBudget[[#This Row],[FinanceCodeTypeCode]]="BUDGET",0,COUNTIF(FinanceCodesBudget[FinanceCode],FinanceCodesBudget[[#This Row],[FinanceCode]])-1)</f>
        <v>0</v>
      </c>
      <c r="F270" s="43">
        <f>IF(FinanceCodesBudget[[#This Row],[FinanceCodeTypeCode]]="BUDGET",0,COUNTIF(FinanceCodesBudget[Title],FinanceCodesBudget[[#This Row],[Title]])-1)</f>
        <v>0</v>
      </c>
      <c r="G270" s="43">
        <f>COUNTIF(Lookup!$A$2:$A$7,FinanceCodesBudget[[#This Row],[FinanceCodeTypeCode]])-1</f>
        <v>0</v>
      </c>
      <c r="H270" s="43">
        <f>IF(TRIM(FinanceCodesBudget[[#This Row],[Title]])="",1,0)</f>
        <v>0</v>
      </c>
      <c r="I270" s="43">
        <f>IF(TRIM(FinanceCodesBudget[[#This Row],[FinanceCode]])="",1,0)</f>
        <v>0</v>
      </c>
      <c r="J270" s="43">
        <f>IF(LEN(FinanceCodesBudget[[#This Row],[FinanceCode]])&lt;100,0,1)</f>
        <v>0</v>
      </c>
      <c r="K270" s="43">
        <f>IF(LEN(FinanceCodesBudget[[#This Row],[Title]])&lt;100,0,1)</f>
        <v>0</v>
      </c>
      <c r="L270" s="43">
        <f>IF(ISBLANK(FinanceCodesBudget[[#This Row],[BalanceToScenario]]),1,0)</f>
        <v>0</v>
      </c>
      <c r="M270" s="43">
        <f>SUM(FinanceCodesBudget[[#This Row],[LedgerIssue]:[CustGrIssue]],FinanceCodesBudget[[#This Row],[DupCode]:[Balance to Scenario Blank]])</f>
        <v>0</v>
      </c>
      <c r="N270">
        <v>710200</v>
      </c>
      <c r="O270" t="s">
        <v>2791</v>
      </c>
      <c r="P270" t="s">
        <v>467</v>
      </c>
      <c r="Q270" t="s">
        <v>1992</v>
      </c>
      <c r="R270" t="b">
        <v>0</v>
      </c>
      <c r="S270" t="s">
        <v>2526</v>
      </c>
      <c r="T270" t="s">
        <v>1300</v>
      </c>
      <c r="U270" t="s">
        <v>1532</v>
      </c>
      <c r="V270" t="b">
        <v>1</v>
      </c>
      <c r="W270" t="b">
        <v>0</v>
      </c>
    </row>
    <row r="271" spans="1:23" x14ac:dyDescent="0.3">
      <c r="A271" s="147">
        <f>IF(COUNTIF(LEDGER[LedgerCode],FinanceCodesBudget[[#This Row],[LedgerCode]])&gt;0,0,1)</f>
        <v>0</v>
      </c>
      <c r="B271" s="43">
        <f>IF(COUNTIF(Table_System_Grouping_Codes[groupingCodeCode],FinanceCodesBudget[[#This Row],[GroupingCode]])&gt;0,0,1)</f>
        <v>0</v>
      </c>
      <c r="C271" s="43">
        <f>IF(COUNTIF(CUSTGROUP[CustomGroupingCode],FinanceCodesBudget[[#This Row],[CustomGrouping]])&gt;0,0,1)</f>
        <v>0</v>
      </c>
      <c r="D271" s="43" cm="1">
        <f t="array" ref="D271">IF(FinanceCodesBudget[[#This Row],[AvailableToAllSchools]]=TRUE,0,COUNTA(_xlfn.TEXTSPLIT(FinanceCodesBudget[[#This Row],[SchoolCodes]],",",,TRUE))-SUM(COUNTIF(SCHOOLS[SchoolCode],_xlfn.TEXTSPLIT(FinanceCodesBudget[[#This Row],[SchoolCodes]],",",,TRUE))))</f>
        <v>0</v>
      </c>
      <c r="E271" s="43">
        <f>IF(FinanceCodesBudget[[#This Row],[FinanceCodeTypeCode]]="BUDGET",0,COUNTIF(FinanceCodesBudget[FinanceCode],FinanceCodesBudget[[#This Row],[FinanceCode]])-1)</f>
        <v>0</v>
      </c>
      <c r="F271" s="43">
        <f>IF(FinanceCodesBudget[[#This Row],[FinanceCodeTypeCode]]="BUDGET",0,COUNTIF(FinanceCodesBudget[Title],FinanceCodesBudget[[#This Row],[Title]])-1)</f>
        <v>0</v>
      </c>
      <c r="G271" s="43">
        <f>COUNTIF(Lookup!$A$2:$A$7,FinanceCodesBudget[[#This Row],[FinanceCodeTypeCode]])-1</f>
        <v>0</v>
      </c>
      <c r="H271" s="43">
        <f>IF(TRIM(FinanceCodesBudget[[#This Row],[Title]])="",1,0)</f>
        <v>0</v>
      </c>
      <c r="I271" s="43">
        <f>IF(TRIM(FinanceCodesBudget[[#This Row],[FinanceCode]])="",1,0)</f>
        <v>0</v>
      </c>
      <c r="J271" s="43">
        <f>IF(LEN(FinanceCodesBudget[[#This Row],[FinanceCode]])&lt;100,0,1)</f>
        <v>0</v>
      </c>
      <c r="K271" s="43">
        <f>IF(LEN(FinanceCodesBudget[[#This Row],[Title]])&lt;100,0,1)</f>
        <v>0</v>
      </c>
      <c r="L271" s="43">
        <f>IF(ISBLANK(FinanceCodesBudget[[#This Row],[BalanceToScenario]]),1,0)</f>
        <v>0</v>
      </c>
      <c r="M271" s="43">
        <f>SUM(FinanceCodesBudget[[#This Row],[LedgerIssue]:[CustGrIssue]],FinanceCodesBudget[[#This Row],[DupCode]:[Balance to Scenario Blank]])</f>
        <v>0</v>
      </c>
      <c r="N271">
        <v>715100</v>
      </c>
      <c r="O271" t="s">
        <v>2792</v>
      </c>
      <c r="P271" t="s">
        <v>1859</v>
      </c>
      <c r="Q271" t="s">
        <v>1994</v>
      </c>
      <c r="R271" t="b">
        <v>0</v>
      </c>
      <c r="S271" t="s">
        <v>2526</v>
      </c>
      <c r="T271" t="s">
        <v>1300</v>
      </c>
      <c r="U271" t="s">
        <v>1532</v>
      </c>
      <c r="V271" t="b">
        <v>1</v>
      </c>
      <c r="W271" t="b">
        <v>0</v>
      </c>
    </row>
    <row r="272" spans="1:23" x14ac:dyDescent="0.3">
      <c r="A272" s="147">
        <f>IF(COUNTIF(LEDGER[LedgerCode],FinanceCodesBudget[[#This Row],[LedgerCode]])&gt;0,0,1)</f>
        <v>0</v>
      </c>
      <c r="B272" s="43">
        <f>IF(COUNTIF(Table_System_Grouping_Codes[groupingCodeCode],FinanceCodesBudget[[#This Row],[GroupingCode]])&gt;0,0,1)</f>
        <v>0</v>
      </c>
      <c r="C272" s="43">
        <f>IF(COUNTIF(CUSTGROUP[CustomGroupingCode],FinanceCodesBudget[[#This Row],[CustomGrouping]])&gt;0,0,1)</f>
        <v>0</v>
      </c>
      <c r="D272" s="43" cm="1">
        <f t="array" ref="D272">IF(FinanceCodesBudget[[#This Row],[AvailableToAllSchools]]=TRUE,0,COUNTA(_xlfn.TEXTSPLIT(FinanceCodesBudget[[#This Row],[SchoolCodes]],",",,TRUE))-SUM(COUNTIF(SCHOOLS[SchoolCode],_xlfn.TEXTSPLIT(FinanceCodesBudget[[#This Row],[SchoolCodes]],",",,TRUE))))</f>
        <v>0</v>
      </c>
      <c r="E272" s="43">
        <f>IF(FinanceCodesBudget[[#This Row],[FinanceCodeTypeCode]]="BUDGET",0,COUNTIF(FinanceCodesBudget[FinanceCode],FinanceCodesBudget[[#This Row],[FinanceCode]])-1)</f>
        <v>0</v>
      </c>
      <c r="F272" s="43">
        <f>IF(FinanceCodesBudget[[#This Row],[FinanceCodeTypeCode]]="BUDGET",0,COUNTIF(FinanceCodesBudget[Title],FinanceCodesBudget[[#This Row],[Title]])-1)</f>
        <v>0</v>
      </c>
      <c r="G272" s="43">
        <f>COUNTIF(Lookup!$A$2:$A$7,FinanceCodesBudget[[#This Row],[FinanceCodeTypeCode]])-1</f>
        <v>0</v>
      </c>
      <c r="H272" s="43">
        <f>IF(TRIM(FinanceCodesBudget[[#This Row],[Title]])="",1,0)</f>
        <v>0</v>
      </c>
      <c r="I272" s="43">
        <f>IF(TRIM(FinanceCodesBudget[[#This Row],[FinanceCode]])="",1,0)</f>
        <v>0</v>
      </c>
      <c r="J272" s="43">
        <f>IF(LEN(FinanceCodesBudget[[#This Row],[FinanceCode]])&lt;100,0,1)</f>
        <v>0</v>
      </c>
      <c r="K272" s="43">
        <f>IF(LEN(FinanceCodesBudget[[#This Row],[Title]])&lt;100,0,1)</f>
        <v>0</v>
      </c>
      <c r="L272" s="43">
        <f>IF(ISBLANK(FinanceCodesBudget[[#This Row],[BalanceToScenario]]),1,0)</f>
        <v>0</v>
      </c>
      <c r="M272" s="43">
        <f>SUM(FinanceCodesBudget[[#This Row],[LedgerIssue]:[CustGrIssue]],FinanceCodesBudget[[#This Row],[DupCode]:[Balance to Scenario Blank]])</f>
        <v>0</v>
      </c>
      <c r="N272">
        <v>720100</v>
      </c>
      <c r="O272" t="s">
        <v>2793</v>
      </c>
      <c r="P272" t="s">
        <v>469</v>
      </c>
      <c r="Q272" t="s">
        <v>1994</v>
      </c>
      <c r="R272" t="b">
        <v>0</v>
      </c>
      <c r="S272" t="s">
        <v>2526</v>
      </c>
      <c r="T272" t="s">
        <v>1300</v>
      </c>
      <c r="U272" t="s">
        <v>1532</v>
      </c>
      <c r="V272" t="b">
        <v>1</v>
      </c>
      <c r="W272" t="b">
        <v>0</v>
      </c>
    </row>
    <row r="273" spans="1:23" x14ac:dyDescent="0.3">
      <c r="A273" s="147">
        <f>IF(COUNTIF(LEDGER[LedgerCode],FinanceCodesBudget[[#This Row],[LedgerCode]])&gt;0,0,1)</f>
        <v>0</v>
      </c>
      <c r="B273" s="43">
        <f>IF(COUNTIF(Table_System_Grouping_Codes[groupingCodeCode],FinanceCodesBudget[[#This Row],[GroupingCode]])&gt;0,0,1)</f>
        <v>0</v>
      </c>
      <c r="C273" s="43">
        <f>IF(COUNTIF(CUSTGROUP[CustomGroupingCode],FinanceCodesBudget[[#This Row],[CustomGrouping]])&gt;0,0,1)</f>
        <v>0</v>
      </c>
      <c r="D273" s="43" cm="1">
        <f t="array" ref="D273">IF(FinanceCodesBudget[[#This Row],[AvailableToAllSchools]]=TRUE,0,COUNTA(_xlfn.TEXTSPLIT(FinanceCodesBudget[[#This Row],[SchoolCodes]],",",,TRUE))-SUM(COUNTIF(SCHOOLS[SchoolCode],_xlfn.TEXTSPLIT(FinanceCodesBudget[[#This Row],[SchoolCodes]],",",,TRUE))))</f>
        <v>0</v>
      </c>
      <c r="E273" s="43">
        <f>IF(FinanceCodesBudget[[#This Row],[FinanceCodeTypeCode]]="BUDGET",0,COUNTIF(FinanceCodesBudget[FinanceCode],FinanceCodesBudget[[#This Row],[FinanceCode]])-1)</f>
        <v>0</v>
      </c>
      <c r="F273" s="43">
        <f>IF(FinanceCodesBudget[[#This Row],[FinanceCodeTypeCode]]="BUDGET",0,COUNTIF(FinanceCodesBudget[Title],FinanceCodesBudget[[#This Row],[Title]])-1)</f>
        <v>0</v>
      </c>
      <c r="G273" s="43">
        <f>COUNTIF(Lookup!$A$2:$A$7,FinanceCodesBudget[[#This Row],[FinanceCodeTypeCode]])-1</f>
        <v>0</v>
      </c>
      <c r="H273" s="43">
        <f>IF(TRIM(FinanceCodesBudget[[#This Row],[Title]])="",1,0)</f>
        <v>0</v>
      </c>
      <c r="I273" s="43">
        <f>IF(TRIM(FinanceCodesBudget[[#This Row],[FinanceCode]])="",1,0)</f>
        <v>0</v>
      </c>
      <c r="J273" s="43">
        <f>IF(LEN(FinanceCodesBudget[[#This Row],[FinanceCode]])&lt;100,0,1)</f>
        <v>0</v>
      </c>
      <c r="K273" s="43">
        <f>IF(LEN(FinanceCodesBudget[[#This Row],[Title]])&lt;100,0,1)</f>
        <v>0</v>
      </c>
      <c r="L273" s="43">
        <f>IF(ISBLANK(FinanceCodesBudget[[#This Row],[BalanceToScenario]]),1,0)</f>
        <v>0</v>
      </c>
      <c r="M273" s="43">
        <f>SUM(FinanceCodesBudget[[#This Row],[LedgerIssue]:[CustGrIssue]],FinanceCodesBudget[[#This Row],[DupCode]:[Balance to Scenario Blank]])</f>
        <v>0</v>
      </c>
      <c r="N273">
        <v>720200</v>
      </c>
      <c r="O273" t="s">
        <v>2794</v>
      </c>
      <c r="P273" t="s">
        <v>471</v>
      </c>
      <c r="Q273" t="s">
        <v>1994</v>
      </c>
      <c r="R273" t="b">
        <v>0</v>
      </c>
      <c r="S273" t="s">
        <v>2526</v>
      </c>
      <c r="T273" t="s">
        <v>1300</v>
      </c>
      <c r="U273" t="s">
        <v>1532</v>
      </c>
      <c r="V273" t="b">
        <v>1</v>
      </c>
      <c r="W273" t="b">
        <v>0</v>
      </c>
    </row>
    <row r="274" spans="1:23" x14ac:dyDescent="0.3">
      <c r="A274" s="147">
        <f>IF(COUNTIF(LEDGER[LedgerCode],FinanceCodesBudget[[#This Row],[LedgerCode]])&gt;0,0,1)</f>
        <v>0</v>
      </c>
      <c r="B274" s="43">
        <f>IF(COUNTIF(Table_System_Grouping_Codes[groupingCodeCode],FinanceCodesBudget[[#This Row],[GroupingCode]])&gt;0,0,1)</f>
        <v>0</v>
      </c>
      <c r="C274" s="43">
        <f>IF(COUNTIF(CUSTGROUP[CustomGroupingCode],FinanceCodesBudget[[#This Row],[CustomGrouping]])&gt;0,0,1)</f>
        <v>0</v>
      </c>
      <c r="D274" s="43" cm="1">
        <f t="array" ref="D274">IF(FinanceCodesBudget[[#This Row],[AvailableToAllSchools]]=TRUE,0,COUNTA(_xlfn.TEXTSPLIT(FinanceCodesBudget[[#This Row],[SchoolCodes]],",",,TRUE))-SUM(COUNTIF(SCHOOLS[SchoolCode],_xlfn.TEXTSPLIT(FinanceCodesBudget[[#This Row],[SchoolCodes]],",",,TRUE))))</f>
        <v>0</v>
      </c>
      <c r="E274" s="43">
        <f>IF(FinanceCodesBudget[[#This Row],[FinanceCodeTypeCode]]="BUDGET",0,COUNTIF(FinanceCodesBudget[FinanceCode],FinanceCodesBudget[[#This Row],[FinanceCode]])-1)</f>
        <v>0</v>
      </c>
      <c r="F274" s="43">
        <f>IF(FinanceCodesBudget[[#This Row],[FinanceCodeTypeCode]]="BUDGET",0,COUNTIF(FinanceCodesBudget[Title],FinanceCodesBudget[[#This Row],[Title]])-1)</f>
        <v>0</v>
      </c>
      <c r="G274" s="43">
        <f>COUNTIF(Lookup!$A$2:$A$7,FinanceCodesBudget[[#This Row],[FinanceCodeTypeCode]])-1</f>
        <v>0</v>
      </c>
      <c r="H274" s="43">
        <f>IF(TRIM(FinanceCodesBudget[[#This Row],[Title]])="",1,0)</f>
        <v>0</v>
      </c>
      <c r="I274" s="43">
        <f>IF(TRIM(FinanceCodesBudget[[#This Row],[FinanceCode]])="",1,0)</f>
        <v>0</v>
      </c>
      <c r="J274" s="43">
        <f>IF(LEN(FinanceCodesBudget[[#This Row],[FinanceCode]])&lt;100,0,1)</f>
        <v>0</v>
      </c>
      <c r="K274" s="43">
        <f>IF(LEN(FinanceCodesBudget[[#This Row],[Title]])&lt;100,0,1)</f>
        <v>0</v>
      </c>
      <c r="L274" s="43">
        <f>IF(ISBLANK(FinanceCodesBudget[[#This Row],[BalanceToScenario]]),1,0)</f>
        <v>0</v>
      </c>
      <c r="M274" s="43">
        <f>SUM(FinanceCodesBudget[[#This Row],[LedgerIssue]:[CustGrIssue]],FinanceCodesBudget[[#This Row],[DupCode]:[Balance to Scenario Blank]])</f>
        <v>0</v>
      </c>
      <c r="N274">
        <v>720300</v>
      </c>
      <c r="O274" t="s">
        <v>2795</v>
      </c>
      <c r="P274" t="s">
        <v>473</v>
      </c>
      <c r="Q274" t="s">
        <v>1994</v>
      </c>
      <c r="R274" t="b">
        <v>0</v>
      </c>
      <c r="S274" t="s">
        <v>2526</v>
      </c>
      <c r="T274" t="s">
        <v>1300</v>
      </c>
      <c r="U274" t="s">
        <v>1532</v>
      </c>
      <c r="V274" t="b">
        <v>1</v>
      </c>
      <c r="W274" t="b">
        <v>0</v>
      </c>
    </row>
    <row r="275" spans="1:23" x14ac:dyDescent="0.3">
      <c r="A275" s="147">
        <f>IF(COUNTIF(LEDGER[LedgerCode],FinanceCodesBudget[[#This Row],[LedgerCode]])&gt;0,0,1)</f>
        <v>0</v>
      </c>
      <c r="B275" s="43">
        <f>IF(COUNTIF(Table_System_Grouping_Codes[groupingCodeCode],FinanceCodesBudget[[#This Row],[GroupingCode]])&gt;0,0,1)</f>
        <v>0</v>
      </c>
      <c r="C275" s="43">
        <f>IF(COUNTIF(CUSTGROUP[CustomGroupingCode],FinanceCodesBudget[[#This Row],[CustomGrouping]])&gt;0,0,1)</f>
        <v>0</v>
      </c>
      <c r="D275" s="43" cm="1">
        <f t="array" ref="D275">IF(FinanceCodesBudget[[#This Row],[AvailableToAllSchools]]=TRUE,0,COUNTA(_xlfn.TEXTSPLIT(FinanceCodesBudget[[#This Row],[SchoolCodes]],",",,TRUE))-SUM(COUNTIF(SCHOOLS[SchoolCode],_xlfn.TEXTSPLIT(FinanceCodesBudget[[#This Row],[SchoolCodes]],",",,TRUE))))</f>
        <v>0</v>
      </c>
      <c r="E275" s="43">
        <f>IF(FinanceCodesBudget[[#This Row],[FinanceCodeTypeCode]]="BUDGET",0,COUNTIF(FinanceCodesBudget[FinanceCode],FinanceCodesBudget[[#This Row],[FinanceCode]])-1)</f>
        <v>0</v>
      </c>
      <c r="F275" s="43">
        <f>IF(FinanceCodesBudget[[#This Row],[FinanceCodeTypeCode]]="BUDGET",0,COUNTIF(FinanceCodesBudget[Title],FinanceCodesBudget[[#This Row],[Title]])-1)</f>
        <v>0</v>
      </c>
      <c r="G275" s="43">
        <f>COUNTIF(Lookup!$A$2:$A$7,FinanceCodesBudget[[#This Row],[FinanceCodeTypeCode]])-1</f>
        <v>0</v>
      </c>
      <c r="H275" s="43">
        <f>IF(TRIM(FinanceCodesBudget[[#This Row],[Title]])="",1,0)</f>
        <v>0</v>
      </c>
      <c r="I275" s="43">
        <f>IF(TRIM(FinanceCodesBudget[[#This Row],[FinanceCode]])="",1,0)</f>
        <v>0</v>
      </c>
      <c r="J275" s="43">
        <f>IF(LEN(FinanceCodesBudget[[#This Row],[FinanceCode]])&lt;100,0,1)</f>
        <v>0</v>
      </c>
      <c r="K275" s="43">
        <f>IF(LEN(FinanceCodesBudget[[#This Row],[Title]])&lt;100,0,1)</f>
        <v>0</v>
      </c>
      <c r="L275" s="43">
        <f>IF(ISBLANK(FinanceCodesBudget[[#This Row],[BalanceToScenario]]),1,0)</f>
        <v>0</v>
      </c>
      <c r="M275" s="43">
        <f>SUM(FinanceCodesBudget[[#This Row],[LedgerIssue]:[CustGrIssue]],FinanceCodesBudget[[#This Row],[DupCode]:[Balance to Scenario Blank]])</f>
        <v>0</v>
      </c>
      <c r="N275">
        <v>720500</v>
      </c>
      <c r="O275" t="s">
        <v>2796</v>
      </c>
      <c r="P275" t="s">
        <v>475</v>
      </c>
      <c r="Q275" t="s">
        <v>1998</v>
      </c>
      <c r="R275" t="b">
        <v>0</v>
      </c>
      <c r="S275" t="s">
        <v>2526</v>
      </c>
      <c r="T275" t="s">
        <v>1300</v>
      </c>
      <c r="U275" t="s">
        <v>1532</v>
      </c>
      <c r="V275" t="b">
        <v>1</v>
      </c>
      <c r="W275" t="b">
        <v>0</v>
      </c>
    </row>
    <row r="276" spans="1:23" x14ac:dyDescent="0.3">
      <c r="A276" s="147">
        <f>IF(COUNTIF(LEDGER[LedgerCode],FinanceCodesBudget[[#This Row],[LedgerCode]])&gt;0,0,1)</f>
        <v>0</v>
      </c>
      <c r="B276" s="43">
        <f>IF(COUNTIF(Table_System_Grouping_Codes[groupingCodeCode],FinanceCodesBudget[[#This Row],[GroupingCode]])&gt;0,0,1)</f>
        <v>0</v>
      </c>
      <c r="C276" s="43">
        <f>IF(COUNTIF(CUSTGROUP[CustomGroupingCode],FinanceCodesBudget[[#This Row],[CustomGrouping]])&gt;0,0,1)</f>
        <v>0</v>
      </c>
      <c r="D276" s="43" cm="1">
        <f t="array" ref="D276">IF(FinanceCodesBudget[[#This Row],[AvailableToAllSchools]]=TRUE,0,COUNTA(_xlfn.TEXTSPLIT(FinanceCodesBudget[[#This Row],[SchoolCodes]],",",,TRUE))-SUM(COUNTIF(SCHOOLS[SchoolCode],_xlfn.TEXTSPLIT(FinanceCodesBudget[[#This Row],[SchoolCodes]],",",,TRUE))))</f>
        <v>0</v>
      </c>
      <c r="E276" s="43">
        <f>IF(FinanceCodesBudget[[#This Row],[FinanceCodeTypeCode]]="BUDGET",0,COUNTIF(FinanceCodesBudget[FinanceCode],FinanceCodesBudget[[#This Row],[FinanceCode]])-1)</f>
        <v>0</v>
      </c>
      <c r="F276" s="43">
        <f>IF(FinanceCodesBudget[[#This Row],[FinanceCodeTypeCode]]="BUDGET",0,COUNTIF(FinanceCodesBudget[Title],FinanceCodesBudget[[#This Row],[Title]])-1)</f>
        <v>0</v>
      </c>
      <c r="G276" s="43">
        <f>COUNTIF(Lookup!$A$2:$A$7,FinanceCodesBudget[[#This Row],[FinanceCodeTypeCode]])-1</f>
        <v>0</v>
      </c>
      <c r="H276" s="43">
        <f>IF(TRIM(FinanceCodesBudget[[#This Row],[Title]])="",1,0)</f>
        <v>0</v>
      </c>
      <c r="I276" s="43">
        <f>IF(TRIM(FinanceCodesBudget[[#This Row],[FinanceCode]])="",1,0)</f>
        <v>0</v>
      </c>
      <c r="J276" s="43">
        <f>IF(LEN(FinanceCodesBudget[[#This Row],[FinanceCode]])&lt;100,0,1)</f>
        <v>0</v>
      </c>
      <c r="K276" s="43">
        <f>IF(LEN(FinanceCodesBudget[[#This Row],[Title]])&lt;100,0,1)</f>
        <v>0</v>
      </c>
      <c r="L276" s="43">
        <f>IF(ISBLANK(FinanceCodesBudget[[#This Row],[BalanceToScenario]]),1,0)</f>
        <v>0</v>
      </c>
      <c r="M276" s="43">
        <f>SUM(FinanceCodesBudget[[#This Row],[LedgerIssue]:[CustGrIssue]],FinanceCodesBudget[[#This Row],[DupCode]:[Balance to Scenario Blank]])</f>
        <v>0</v>
      </c>
      <c r="N276">
        <v>725100</v>
      </c>
      <c r="O276" t="s">
        <v>2797</v>
      </c>
      <c r="P276" t="s">
        <v>477</v>
      </c>
      <c r="Q276" t="s">
        <v>1994</v>
      </c>
      <c r="R276" t="b">
        <v>0</v>
      </c>
      <c r="S276" t="s">
        <v>2526</v>
      </c>
      <c r="T276" t="s">
        <v>1300</v>
      </c>
      <c r="U276" t="s">
        <v>1532</v>
      </c>
      <c r="V276" t="b">
        <v>1</v>
      </c>
      <c r="W276" t="b">
        <v>0</v>
      </c>
    </row>
    <row r="277" spans="1:23" x14ac:dyDescent="0.3">
      <c r="A277" s="147">
        <f>IF(COUNTIF(LEDGER[LedgerCode],FinanceCodesBudget[[#This Row],[LedgerCode]])&gt;0,0,1)</f>
        <v>0</v>
      </c>
      <c r="B277" s="43">
        <f>IF(COUNTIF(Table_System_Grouping_Codes[groupingCodeCode],FinanceCodesBudget[[#This Row],[GroupingCode]])&gt;0,0,1)</f>
        <v>0</v>
      </c>
      <c r="C277" s="43">
        <f>IF(COUNTIF(CUSTGROUP[CustomGroupingCode],FinanceCodesBudget[[#This Row],[CustomGrouping]])&gt;0,0,1)</f>
        <v>0</v>
      </c>
      <c r="D277" s="43" cm="1">
        <f t="array" ref="D277">IF(FinanceCodesBudget[[#This Row],[AvailableToAllSchools]]=TRUE,0,COUNTA(_xlfn.TEXTSPLIT(FinanceCodesBudget[[#This Row],[SchoolCodes]],",",,TRUE))-SUM(COUNTIF(SCHOOLS[SchoolCode],_xlfn.TEXTSPLIT(FinanceCodesBudget[[#This Row],[SchoolCodes]],",",,TRUE))))</f>
        <v>0</v>
      </c>
      <c r="E277" s="43">
        <f>IF(FinanceCodesBudget[[#This Row],[FinanceCodeTypeCode]]="BUDGET",0,COUNTIF(FinanceCodesBudget[FinanceCode],FinanceCodesBudget[[#This Row],[FinanceCode]])-1)</f>
        <v>0</v>
      </c>
      <c r="F277" s="43">
        <f>IF(FinanceCodesBudget[[#This Row],[FinanceCodeTypeCode]]="BUDGET",0,COUNTIF(FinanceCodesBudget[Title],FinanceCodesBudget[[#This Row],[Title]])-1)</f>
        <v>0</v>
      </c>
      <c r="G277" s="43">
        <f>COUNTIF(Lookup!$A$2:$A$7,FinanceCodesBudget[[#This Row],[FinanceCodeTypeCode]])-1</f>
        <v>0</v>
      </c>
      <c r="H277" s="43">
        <f>IF(TRIM(FinanceCodesBudget[[#This Row],[Title]])="",1,0)</f>
        <v>0</v>
      </c>
      <c r="I277" s="43">
        <f>IF(TRIM(FinanceCodesBudget[[#This Row],[FinanceCode]])="",1,0)</f>
        <v>0</v>
      </c>
      <c r="J277" s="43">
        <f>IF(LEN(FinanceCodesBudget[[#This Row],[FinanceCode]])&lt;100,0,1)</f>
        <v>0</v>
      </c>
      <c r="K277" s="43">
        <f>IF(LEN(FinanceCodesBudget[[#This Row],[Title]])&lt;100,0,1)</f>
        <v>0</v>
      </c>
      <c r="L277" s="43">
        <f>IF(ISBLANK(FinanceCodesBudget[[#This Row],[BalanceToScenario]]),1,0)</f>
        <v>0</v>
      </c>
      <c r="M277" s="43">
        <f>SUM(FinanceCodesBudget[[#This Row],[LedgerIssue]:[CustGrIssue]],FinanceCodesBudget[[#This Row],[DupCode]:[Balance to Scenario Blank]])</f>
        <v>0</v>
      </c>
      <c r="N277">
        <v>725200</v>
      </c>
      <c r="O277" t="s">
        <v>2798</v>
      </c>
      <c r="P277" t="s">
        <v>479</v>
      </c>
      <c r="Q277" t="s">
        <v>1994</v>
      </c>
      <c r="R277" t="b">
        <v>0</v>
      </c>
      <c r="S277" t="s">
        <v>2526</v>
      </c>
      <c r="T277" t="s">
        <v>1300</v>
      </c>
      <c r="U277" t="s">
        <v>1532</v>
      </c>
      <c r="V277" t="b">
        <v>1</v>
      </c>
      <c r="W277" t="b">
        <v>0</v>
      </c>
    </row>
    <row r="278" spans="1:23" x14ac:dyDescent="0.3">
      <c r="A278" s="147">
        <f>IF(COUNTIF(LEDGER[LedgerCode],FinanceCodesBudget[[#This Row],[LedgerCode]])&gt;0,0,1)</f>
        <v>0</v>
      </c>
      <c r="B278" s="43">
        <f>IF(COUNTIF(Table_System_Grouping_Codes[groupingCodeCode],FinanceCodesBudget[[#This Row],[GroupingCode]])&gt;0,0,1)</f>
        <v>0</v>
      </c>
      <c r="C278" s="43">
        <f>IF(COUNTIF(CUSTGROUP[CustomGroupingCode],FinanceCodesBudget[[#This Row],[CustomGrouping]])&gt;0,0,1)</f>
        <v>0</v>
      </c>
      <c r="D278" s="43" cm="1">
        <f t="array" ref="D278">IF(FinanceCodesBudget[[#This Row],[AvailableToAllSchools]]=TRUE,0,COUNTA(_xlfn.TEXTSPLIT(FinanceCodesBudget[[#This Row],[SchoolCodes]],",",,TRUE))-SUM(COUNTIF(SCHOOLS[SchoolCode],_xlfn.TEXTSPLIT(FinanceCodesBudget[[#This Row],[SchoolCodes]],",",,TRUE))))</f>
        <v>0</v>
      </c>
      <c r="E278" s="43">
        <f>IF(FinanceCodesBudget[[#This Row],[FinanceCodeTypeCode]]="BUDGET",0,COUNTIF(FinanceCodesBudget[FinanceCode],FinanceCodesBudget[[#This Row],[FinanceCode]])-1)</f>
        <v>0</v>
      </c>
      <c r="F278" s="43">
        <f>IF(FinanceCodesBudget[[#This Row],[FinanceCodeTypeCode]]="BUDGET",0,COUNTIF(FinanceCodesBudget[Title],FinanceCodesBudget[[#This Row],[Title]])-1)</f>
        <v>0</v>
      </c>
      <c r="G278" s="43">
        <f>COUNTIF(Lookup!$A$2:$A$7,FinanceCodesBudget[[#This Row],[FinanceCodeTypeCode]])-1</f>
        <v>0</v>
      </c>
      <c r="H278" s="43">
        <f>IF(TRIM(FinanceCodesBudget[[#This Row],[Title]])="",1,0)</f>
        <v>0</v>
      </c>
      <c r="I278" s="43">
        <f>IF(TRIM(FinanceCodesBudget[[#This Row],[FinanceCode]])="",1,0)</f>
        <v>0</v>
      </c>
      <c r="J278" s="43">
        <f>IF(LEN(FinanceCodesBudget[[#This Row],[FinanceCode]])&lt;100,0,1)</f>
        <v>0</v>
      </c>
      <c r="K278" s="43">
        <f>IF(LEN(FinanceCodesBudget[[#This Row],[Title]])&lt;100,0,1)</f>
        <v>0</v>
      </c>
      <c r="L278" s="43">
        <f>IF(ISBLANK(FinanceCodesBudget[[#This Row],[BalanceToScenario]]),1,0)</f>
        <v>0</v>
      </c>
      <c r="M278" s="43">
        <f>SUM(FinanceCodesBudget[[#This Row],[LedgerIssue]:[CustGrIssue]],FinanceCodesBudget[[#This Row],[DupCode]:[Balance to Scenario Blank]])</f>
        <v>0</v>
      </c>
      <c r="N278">
        <v>725300</v>
      </c>
      <c r="O278" t="s">
        <v>2799</v>
      </c>
      <c r="P278" t="s">
        <v>481</v>
      </c>
      <c r="Q278" t="s">
        <v>1994</v>
      </c>
      <c r="R278" t="b">
        <v>0</v>
      </c>
      <c r="S278" t="s">
        <v>2526</v>
      </c>
      <c r="T278" t="s">
        <v>1300</v>
      </c>
      <c r="U278" t="s">
        <v>1532</v>
      </c>
      <c r="V278" t="b">
        <v>1</v>
      </c>
      <c r="W278" t="b">
        <v>0</v>
      </c>
    </row>
    <row r="279" spans="1:23" x14ac:dyDescent="0.3">
      <c r="A279" s="147">
        <f>IF(COUNTIF(LEDGER[LedgerCode],FinanceCodesBudget[[#This Row],[LedgerCode]])&gt;0,0,1)</f>
        <v>0</v>
      </c>
      <c r="B279" s="43">
        <f>IF(COUNTIF(Table_System_Grouping_Codes[groupingCodeCode],FinanceCodesBudget[[#This Row],[GroupingCode]])&gt;0,0,1)</f>
        <v>0</v>
      </c>
      <c r="C279" s="43">
        <f>IF(COUNTIF(CUSTGROUP[CustomGroupingCode],FinanceCodesBudget[[#This Row],[CustomGrouping]])&gt;0,0,1)</f>
        <v>0</v>
      </c>
      <c r="D279" s="43" cm="1">
        <f t="array" ref="D279">IF(FinanceCodesBudget[[#This Row],[AvailableToAllSchools]]=TRUE,0,COUNTA(_xlfn.TEXTSPLIT(FinanceCodesBudget[[#This Row],[SchoolCodes]],",",,TRUE))-SUM(COUNTIF(SCHOOLS[SchoolCode],_xlfn.TEXTSPLIT(FinanceCodesBudget[[#This Row],[SchoolCodes]],",",,TRUE))))</f>
        <v>0</v>
      </c>
      <c r="E279" s="43">
        <f>IF(FinanceCodesBudget[[#This Row],[FinanceCodeTypeCode]]="BUDGET",0,COUNTIF(FinanceCodesBudget[FinanceCode],FinanceCodesBudget[[#This Row],[FinanceCode]])-1)</f>
        <v>0</v>
      </c>
      <c r="F279" s="43">
        <f>IF(FinanceCodesBudget[[#This Row],[FinanceCodeTypeCode]]="BUDGET",0,COUNTIF(FinanceCodesBudget[Title],FinanceCodesBudget[[#This Row],[Title]])-1)</f>
        <v>0</v>
      </c>
      <c r="G279" s="43">
        <f>COUNTIF(Lookup!$A$2:$A$7,FinanceCodesBudget[[#This Row],[FinanceCodeTypeCode]])-1</f>
        <v>0</v>
      </c>
      <c r="H279" s="43">
        <f>IF(TRIM(FinanceCodesBudget[[#This Row],[Title]])="",1,0)</f>
        <v>0</v>
      </c>
      <c r="I279" s="43">
        <f>IF(TRIM(FinanceCodesBudget[[#This Row],[FinanceCode]])="",1,0)</f>
        <v>0</v>
      </c>
      <c r="J279" s="43">
        <f>IF(LEN(FinanceCodesBudget[[#This Row],[FinanceCode]])&lt;100,0,1)</f>
        <v>0</v>
      </c>
      <c r="K279" s="43">
        <f>IF(LEN(FinanceCodesBudget[[#This Row],[Title]])&lt;100,0,1)</f>
        <v>0</v>
      </c>
      <c r="L279" s="43">
        <f>IF(ISBLANK(FinanceCodesBudget[[#This Row],[BalanceToScenario]]),1,0)</f>
        <v>0</v>
      </c>
      <c r="M279" s="43">
        <f>SUM(FinanceCodesBudget[[#This Row],[LedgerIssue]:[CustGrIssue]],FinanceCodesBudget[[#This Row],[DupCode]:[Balance to Scenario Blank]])</f>
        <v>0</v>
      </c>
      <c r="N279">
        <v>725400</v>
      </c>
      <c r="O279" t="s">
        <v>2800</v>
      </c>
      <c r="P279" t="s">
        <v>483</v>
      </c>
      <c r="Q279" t="s">
        <v>1994</v>
      </c>
      <c r="R279" t="b">
        <v>0</v>
      </c>
      <c r="S279" t="s">
        <v>2526</v>
      </c>
      <c r="T279" t="s">
        <v>1300</v>
      </c>
      <c r="U279" t="s">
        <v>1532</v>
      </c>
      <c r="V279" t="b">
        <v>1</v>
      </c>
      <c r="W279" t="b">
        <v>0</v>
      </c>
    </row>
    <row r="280" spans="1:23" x14ac:dyDescent="0.3">
      <c r="A280" s="147">
        <f>IF(COUNTIF(LEDGER[LedgerCode],FinanceCodesBudget[[#This Row],[LedgerCode]])&gt;0,0,1)</f>
        <v>0</v>
      </c>
      <c r="B280" s="43">
        <f>IF(COUNTIF(Table_System_Grouping_Codes[groupingCodeCode],FinanceCodesBudget[[#This Row],[GroupingCode]])&gt;0,0,1)</f>
        <v>0</v>
      </c>
      <c r="C280" s="43">
        <f>IF(COUNTIF(CUSTGROUP[CustomGroupingCode],FinanceCodesBudget[[#This Row],[CustomGrouping]])&gt;0,0,1)</f>
        <v>0</v>
      </c>
      <c r="D280" s="43" cm="1">
        <f t="array" ref="D280">IF(FinanceCodesBudget[[#This Row],[AvailableToAllSchools]]=TRUE,0,COUNTA(_xlfn.TEXTSPLIT(FinanceCodesBudget[[#This Row],[SchoolCodes]],",",,TRUE))-SUM(COUNTIF(SCHOOLS[SchoolCode],_xlfn.TEXTSPLIT(FinanceCodesBudget[[#This Row],[SchoolCodes]],",",,TRUE))))</f>
        <v>0</v>
      </c>
      <c r="E280" s="43">
        <f>IF(FinanceCodesBudget[[#This Row],[FinanceCodeTypeCode]]="BUDGET",0,COUNTIF(FinanceCodesBudget[FinanceCode],FinanceCodesBudget[[#This Row],[FinanceCode]])-1)</f>
        <v>0</v>
      </c>
      <c r="F280" s="43">
        <f>IF(FinanceCodesBudget[[#This Row],[FinanceCodeTypeCode]]="BUDGET",0,COUNTIF(FinanceCodesBudget[Title],FinanceCodesBudget[[#This Row],[Title]])-1)</f>
        <v>0</v>
      </c>
      <c r="G280" s="43">
        <f>COUNTIF(Lookup!$A$2:$A$7,FinanceCodesBudget[[#This Row],[FinanceCodeTypeCode]])-1</f>
        <v>0</v>
      </c>
      <c r="H280" s="43">
        <f>IF(TRIM(FinanceCodesBudget[[#This Row],[Title]])="",1,0)</f>
        <v>0</v>
      </c>
      <c r="I280" s="43">
        <f>IF(TRIM(FinanceCodesBudget[[#This Row],[FinanceCode]])="",1,0)</f>
        <v>0</v>
      </c>
      <c r="J280" s="43">
        <f>IF(LEN(FinanceCodesBudget[[#This Row],[FinanceCode]])&lt;100,0,1)</f>
        <v>0</v>
      </c>
      <c r="K280" s="43">
        <f>IF(LEN(FinanceCodesBudget[[#This Row],[Title]])&lt;100,0,1)</f>
        <v>0</v>
      </c>
      <c r="L280" s="43">
        <f>IF(ISBLANK(FinanceCodesBudget[[#This Row],[BalanceToScenario]]),1,0)</f>
        <v>0</v>
      </c>
      <c r="M280" s="43">
        <f>SUM(FinanceCodesBudget[[#This Row],[LedgerIssue]:[CustGrIssue]],FinanceCodesBudget[[#This Row],[DupCode]:[Balance to Scenario Blank]])</f>
        <v>0</v>
      </c>
      <c r="N280">
        <v>730100</v>
      </c>
      <c r="O280" t="s">
        <v>2801</v>
      </c>
      <c r="P280" t="s">
        <v>485</v>
      </c>
      <c r="Q280" t="s">
        <v>1994</v>
      </c>
      <c r="R280" t="b">
        <v>0</v>
      </c>
      <c r="S280" t="s">
        <v>2526</v>
      </c>
      <c r="T280" t="s">
        <v>1300</v>
      </c>
      <c r="U280" t="s">
        <v>1532</v>
      </c>
      <c r="V280" t="b">
        <v>1</v>
      </c>
      <c r="W280" t="b">
        <v>0</v>
      </c>
    </row>
    <row r="281" spans="1:23" x14ac:dyDescent="0.3">
      <c r="A281" s="147">
        <f>IF(COUNTIF(LEDGER[LedgerCode],FinanceCodesBudget[[#This Row],[LedgerCode]])&gt;0,0,1)</f>
        <v>0</v>
      </c>
      <c r="B281" s="43">
        <f>IF(COUNTIF(Table_System_Grouping_Codes[groupingCodeCode],FinanceCodesBudget[[#This Row],[GroupingCode]])&gt;0,0,1)</f>
        <v>0</v>
      </c>
      <c r="C281" s="43">
        <f>IF(COUNTIF(CUSTGROUP[CustomGroupingCode],FinanceCodesBudget[[#This Row],[CustomGrouping]])&gt;0,0,1)</f>
        <v>0</v>
      </c>
      <c r="D281" s="43" cm="1">
        <f t="array" ref="D281">IF(FinanceCodesBudget[[#This Row],[AvailableToAllSchools]]=TRUE,0,COUNTA(_xlfn.TEXTSPLIT(FinanceCodesBudget[[#This Row],[SchoolCodes]],",",,TRUE))-SUM(COUNTIF(SCHOOLS[SchoolCode],_xlfn.TEXTSPLIT(FinanceCodesBudget[[#This Row],[SchoolCodes]],",",,TRUE))))</f>
        <v>0</v>
      </c>
      <c r="E281" s="43">
        <f>IF(FinanceCodesBudget[[#This Row],[FinanceCodeTypeCode]]="BUDGET",0,COUNTIF(FinanceCodesBudget[FinanceCode],FinanceCodesBudget[[#This Row],[FinanceCode]])-1)</f>
        <v>0</v>
      </c>
      <c r="F281" s="43">
        <f>IF(FinanceCodesBudget[[#This Row],[FinanceCodeTypeCode]]="BUDGET",0,COUNTIF(FinanceCodesBudget[Title],FinanceCodesBudget[[#This Row],[Title]])-1)</f>
        <v>0</v>
      </c>
      <c r="G281" s="43">
        <f>COUNTIF(Lookup!$A$2:$A$7,FinanceCodesBudget[[#This Row],[FinanceCodeTypeCode]])-1</f>
        <v>0</v>
      </c>
      <c r="H281" s="43">
        <f>IF(TRIM(FinanceCodesBudget[[#This Row],[Title]])="",1,0)</f>
        <v>0</v>
      </c>
      <c r="I281" s="43">
        <f>IF(TRIM(FinanceCodesBudget[[#This Row],[FinanceCode]])="",1,0)</f>
        <v>0</v>
      </c>
      <c r="J281" s="43">
        <f>IF(LEN(FinanceCodesBudget[[#This Row],[FinanceCode]])&lt;100,0,1)</f>
        <v>0</v>
      </c>
      <c r="K281" s="43">
        <f>IF(LEN(FinanceCodesBudget[[#This Row],[Title]])&lt;100,0,1)</f>
        <v>0</v>
      </c>
      <c r="L281" s="43">
        <f>IF(ISBLANK(FinanceCodesBudget[[#This Row],[BalanceToScenario]]),1,0)</f>
        <v>0</v>
      </c>
      <c r="M281" s="43">
        <f>SUM(FinanceCodesBudget[[#This Row],[LedgerIssue]:[CustGrIssue]],FinanceCodesBudget[[#This Row],[DupCode]:[Balance to Scenario Blank]])</f>
        <v>0</v>
      </c>
      <c r="N281">
        <v>730200</v>
      </c>
      <c r="O281" t="s">
        <v>2802</v>
      </c>
      <c r="P281" t="s">
        <v>486</v>
      </c>
      <c r="Q281" t="s">
        <v>1994</v>
      </c>
      <c r="R281" t="b">
        <v>0</v>
      </c>
      <c r="S281" t="s">
        <v>2526</v>
      </c>
      <c r="T281" t="s">
        <v>1300</v>
      </c>
      <c r="U281" t="s">
        <v>1532</v>
      </c>
      <c r="V281" t="b">
        <v>1</v>
      </c>
      <c r="W281" t="b">
        <v>0</v>
      </c>
    </row>
    <row r="282" spans="1:23" x14ac:dyDescent="0.3">
      <c r="A282" s="147">
        <f>IF(COUNTIF(LEDGER[LedgerCode],FinanceCodesBudget[[#This Row],[LedgerCode]])&gt;0,0,1)</f>
        <v>0</v>
      </c>
      <c r="B282" s="43">
        <f>IF(COUNTIF(Table_System_Grouping_Codes[groupingCodeCode],FinanceCodesBudget[[#This Row],[GroupingCode]])&gt;0,0,1)</f>
        <v>0</v>
      </c>
      <c r="C282" s="43">
        <f>IF(COUNTIF(CUSTGROUP[CustomGroupingCode],FinanceCodesBudget[[#This Row],[CustomGrouping]])&gt;0,0,1)</f>
        <v>0</v>
      </c>
      <c r="D282" s="43" cm="1">
        <f t="array" ref="D282">IF(FinanceCodesBudget[[#This Row],[AvailableToAllSchools]]=TRUE,0,COUNTA(_xlfn.TEXTSPLIT(FinanceCodesBudget[[#This Row],[SchoolCodes]],",",,TRUE))-SUM(COUNTIF(SCHOOLS[SchoolCode],_xlfn.TEXTSPLIT(FinanceCodesBudget[[#This Row],[SchoolCodes]],",",,TRUE))))</f>
        <v>0</v>
      </c>
      <c r="E282" s="43">
        <f>IF(FinanceCodesBudget[[#This Row],[FinanceCodeTypeCode]]="BUDGET",0,COUNTIF(FinanceCodesBudget[FinanceCode],FinanceCodesBudget[[#This Row],[FinanceCode]])-1)</f>
        <v>0</v>
      </c>
      <c r="F282" s="43">
        <f>IF(FinanceCodesBudget[[#This Row],[FinanceCodeTypeCode]]="BUDGET",0,COUNTIF(FinanceCodesBudget[Title],FinanceCodesBudget[[#This Row],[Title]])-1)</f>
        <v>0</v>
      </c>
      <c r="G282" s="43">
        <f>COUNTIF(Lookup!$A$2:$A$7,FinanceCodesBudget[[#This Row],[FinanceCodeTypeCode]])-1</f>
        <v>0</v>
      </c>
      <c r="H282" s="43">
        <f>IF(TRIM(FinanceCodesBudget[[#This Row],[Title]])="",1,0)</f>
        <v>0</v>
      </c>
      <c r="I282" s="43">
        <f>IF(TRIM(FinanceCodesBudget[[#This Row],[FinanceCode]])="",1,0)</f>
        <v>0</v>
      </c>
      <c r="J282" s="43">
        <f>IF(LEN(FinanceCodesBudget[[#This Row],[FinanceCode]])&lt;100,0,1)</f>
        <v>0</v>
      </c>
      <c r="K282" s="43">
        <f>IF(LEN(FinanceCodesBudget[[#This Row],[Title]])&lt;100,0,1)</f>
        <v>0</v>
      </c>
      <c r="L282" s="43">
        <f>IF(ISBLANK(FinanceCodesBudget[[#This Row],[BalanceToScenario]]),1,0)</f>
        <v>0</v>
      </c>
      <c r="M282" s="43">
        <f>SUM(FinanceCodesBudget[[#This Row],[LedgerIssue]:[CustGrIssue]],FinanceCodesBudget[[#This Row],[DupCode]:[Balance to Scenario Blank]])</f>
        <v>0</v>
      </c>
      <c r="N282">
        <v>730300</v>
      </c>
      <c r="O282" t="s">
        <v>2803</v>
      </c>
      <c r="P282" t="s">
        <v>488</v>
      </c>
      <c r="Q282" t="s">
        <v>1994</v>
      </c>
      <c r="R282" t="b">
        <v>0</v>
      </c>
      <c r="S282" t="s">
        <v>2526</v>
      </c>
      <c r="T282" t="s">
        <v>1300</v>
      </c>
      <c r="U282" t="s">
        <v>1532</v>
      </c>
      <c r="V282" t="b">
        <v>1</v>
      </c>
      <c r="W282" t="b">
        <v>0</v>
      </c>
    </row>
    <row r="283" spans="1:23" x14ac:dyDescent="0.3">
      <c r="A283" s="147">
        <f>IF(COUNTIF(LEDGER[LedgerCode],FinanceCodesBudget[[#This Row],[LedgerCode]])&gt;0,0,1)</f>
        <v>0</v>
      </c>
      <c r="B283" s="43">
        <f>IF(COUNTIF(Table_System_Grouping_Codes[groupingCodeCode],FinanceCodesBudget[[#This Row],[GroupingCode]])&gt;0,0,1)</f>
        <v>0</v>
      </c>
      <c r="C283" s="43">
        <f>IF(COUNTIF(CUSTGROUP[CustomGroupingCode],FinanceCodesBudget[[#This Row],[CustomGrouping]])&gt;0,0,1)</f>
        <v>0</v>
      </c>
      <c r="D283" s="43" cm="1">
        <f t="array" ref="D283">IF(FinanceCodesBudget[[#This Row],[AvailableToAllSchools]]=TRUE,0,COUNTA(_xlfn.TEXTSPLIT(FinanceCodesBudget[[#This Row],[SchoolCodes]],",",,TRUE))-SUM(COUNTIF(SCHOOLS[SchoolCode],_xlfn.TEXTSPLIT(FinanceCodesBudget[[#This Row],[SchoolCodes]],",",,TRUE))))</f>
        <v>0</v>
      </c>
      <c r="E283" s="43">
        <f>IF(FinanceCodesBudget[[#This Row],[FinanceCodeTypeCode]]="BUDGET",0,COUNTIF(FinanceCodesBudget[FinanceCode],FinanceCodesBudget[[#This Row],[FinanceCode]])-1)</f>
        <v>0</v>
      </c>
      <c r="F283" s="43">
        <f>IF(FinanceCodesBudget[[#This Row],[FinanceCodeTypeCode]]="BUDGET",0,COUNTIF(FinanceCodesBudget[Title],FinanceCodesBudget[[#This Row],[Title]])-1)</f>
        <v>0</v>
      </c>
      <c r="G283" s="43">
        <f>COUNTIF(Lookup!$A$2:$A$7,FinanceCodesBudget[[#This Row],[FinanceCodeTypeCode]])-1</f>
        <v>0</v>
      </c>
      <c r="H283" s="43">
        <f>IF(TRIM(FinanceCodesBudget[[#This Row],[Title]])="",1,0)</f>
        <v>0</v>
      </c>
      <c r="I283" s="43">
        <f>IF(TRIM(FinanceCodesBudget[[#This Row],[FinanceCode]])="",1,0)</f>
        <v>0</v>
      </c>
      <c r="J283" s="43">
        <f>IF(LEN(FinanceCodesBudget[[#This Row],[FinanceCode]])&lt;100,0,1)</f>
        <v>0</v>
      </c>
      <c r="K283" s="43">
        <f>IF(LEN(FinanceCodesBudget[[#This Row],[Title]])&lt;100,0,1)</f>
        <v>0</v>
      </c>
      <c r="L283" s="43">
        <f>IF(ISBLANK(FinanceCodesBudget[[#This Row],[BalanceToScenario]]),1,0)</f>
        <v>0</v>
      </c>
      <c r="M283" s="43">
        <f>SUM(FinanceCodesBudget[[#This Row],[LedgerIssue]:[CustGrIssue]],FinanceCodesBudget[[#This Row],[DupCode]:[Balance to Scenario Blank]])</f>
        <v>0</v>
      </c>
      <c r="N283">
        <v>730400</v>
      </c>
      <c r="O283" t="s">
        <v>2804</v>
      </c>
      <c r="P283" t="s">
        <v>1863</v>
      </c>
      <c r="Q283" t="s">
        <v>1994</v>
      </c>
      <c r="R283" t="b">
        <v>0</v>
      </c>
      <c r="S283" t="s">
        <v>2526</v>
      </c>
      <c r="T283" t="s">
        <v>1300</v>
      </c>
      <c r="U283" t="s">
        <v>1532</v>
      </c>
      <c r="V283" t="b">
        <v>1</v>
      </c>
      <c r="W283" t="b">
        <v>0</v>
      </c>
    </row>
    <row r="284" spans="1:23" x14ac:dyDescent="0.3">
      <c r="A284" s="147">
        <f>IF(COUNTIF(LEDGER[LedgerCode],FinanceCodesBudget[[#This Row],[LedgerCode]])&gt;0,0,1)</f>
        <v>0</v>
      </c>
      <c r="B284" s="43">
        <f>IF(COUNTIF(Table_System_Grouping_Codes[groupingCodeCode],FinanceCodesBudget[[#This Row],[GroupingCode]])&gt;0,0,1)</f>
        <v>0</v>
      </c>
      <c r="C284" s="43">
        <f>IF(COUNTIF(CUSTGROUP[CustomGroupingCode],FinanceCodesBudget[[#This Row],[CustomGrouping]])&gt;0,0,1)</f>
        <v>0</v>
      </c>
      <c r="D284" s="43" cm="1">
        <f t="array" ref="D284">IF(FinanceCodesBudget[[#This Row],[AvailableToAllSchools]]=TRUE,0,COUNTA(_xlfn.TEXTSPLIT(FinanceCodesBudget[[#This Row],[SchoolCodes]],",",,TRUE))-SUM(COUNTIF(SCHOOLS[SchoolCode],_xlfn.TEXTSPLIT(FinanceCodesBudget[[#This Row],[SchoolCodes]],",",,TRUE))))</f>
        <v>0</v>
      </c>
      <c r="E284" s="43">
        <f>IF(FinanceCodesBudget[[#This Row],[FinanceCodeTypeCode]]="BUDGET",0,COUNTIF(FinanceCodesBudget[FinanceCode],FinanceCodesBudget[[#This Row],[FinanceCode]])-1)</f>
        <v>0</v>
      </c>
      <c r="F284" s="43">
        <f>IF(FinanceCodesBudget[[#This Row],[FinanceCodeTypeCode]]="BUDGET",0,COUNTIF(FinanceCodesBudget[Title],FinanceCodesBudget[[#This Row],[Title]])-1)</f>
        <v>0</v>
      </c>
      <c r="G284" s="43">
        <f>COUNTIF(Lookup!$A$2:$A$7,FinanceCodesBudget[[#This Row],[FinanceCodeTypeCode]])-1</f>
        <v>0</v>
      </c>
      <c r="H284" s="43">
        <f>IF(TRIM(FinanceCodesBudget[[#This Row],[Title]])="",1,0)</f>
        <v>0</v>
      </c>
      <c r="I284" s="43">
        <f>IF(TRIM(FinanceCodesBudget[[#This Row],[FinanceCode]])="",1,0)</f>
        <v>0</v>
      </c>
      <c r="J284" s="43">
        <f>IF(LEN(FinanceCodesBudget[[#This Row],[FinanceCode]])&lt;100,0,1)</f>
        <v>0</v>
      </c>
      <c r="K284" s="43">
        <f>IF(LEN(FinanceCodesBudget[[#This Row],[Title]])&lt;100,0,1)</f>
        <v>0</v>
      </c>
      <c r="L284" s="43">
        <f>IF(ISBLANK(FinanceCodesBudget[[#This Row],[BalanceToScenario]]),1,0)</f>
        <v>0</v>
      </c>
      <c r="M284" s="43">
        <f>SUM(FinanceCodesBudget[[#This Row],[LedgerIssue]:[CustGrIssue]],FinanceCodesBudget[[#This Row],[DupCode]:[Balance to Scenario Blank]])</f>
        <v>0</v>
      </c>
      <c r="N284">
        <v>735100</v>
      </c>
      <c r="O284" t="s">
        <v>2805</v>
      </c>
      <c r="P284" t="s">
        <v>1865</v>
      </c>
      <c r="Q284" t="s">
        <v>1998</v>
      </c>
      <c r="R284" t="b">
        <v>0</v>
      </c>
      <c r="S284" t="s">
        <v>2526</v>
      </c>
      <c r="T284" t="s">
        <v>1300</v>
      </c>
      <c r="U284" t="s">
        <v>1532</v>
      </c>
      <c r="V284" t="b">
        <v>1</v>
      </c>
      <c r="W284" t="b">
        <v>0</v>
      </c>
    </row>
    <row r="285" spans="1:23" x14ac:dyDescent="0.3">
      <c r="A285" s="147">
        <f>IF(COUNTIF(LEDGER[LedgerCode],FinanceCodesBudget[[#This Row],[LedgerCode]])&gt;0,0,1)</f>
        <v>0</v>
      </c>
      <c r="B285" s="43">
        <f>IF(COUNTIF(Table_System_Grouping_Codes[groupingCodeCode],FinanceCodesBudget[[#This Row],[GroupingCode]])&gt;0,0,1)</f>
        <v>0</v>
      </c>
      <c r="C285" s="43">
        <f>IF(COUNTIF(CUSTGROUP[CustomGroupingCode],FinanceCodesBudget[[#This Row],[CustomGrouping]])&gt;0,0,1)</f>
        <v>0</v>
      </c>
      <c r="D285" s="43" cm="1">
        <f t="array" ref="D285">IF(FinanceCodesBudget[[#This Row],[AvailableToAllSchools]]=TRUE,0,COUNTA(_xlfn.TEXTSPLIT(FinanceCodesBudget[[#This Row],[SchoolCodes]],",",,TRUE))-SUM(COUNTIF(SCHOOLS[SchoolCode],_xlfn.TEXTSPLIT(FinanceCodesBudget[[#This Row],[SchoolCodes]],",",,TRUE))))</f>
        <v>0</v>
      </c>
      <c r="E285" s="43">
        <f>IF(FinanceCodesBudget[[#This Row],[FinanceCodeTypeCode]]="BUDGET",0,COUNTIF(FinanceCodesBudget[FinanceCode],FinanceCodesBudget[[#This Row],[FinanceCode]])-1)</f>
        <v>0</v>
      </c>
      <c r="F285" s="43">
        <f>IF(FinanceCodesBudget[[#This Row],[FinanceCodeTypeCode]]="BUDGET",0,COUNTIF(FinanceCodesBudget[Title],FinanceCodesBudget[[#This Row],[Title]])-1)</f>
        <v>0</v>
      </c>
      <c r="G285" s="43">
        <f>COUNTIF(Lookup!$A$2:$A$7,FinanceCodesBudget[[#This Row],[FinanceCodeTypeCode]])-1</f>
        <v>0</v>
      </c>
      <c r="H285" s="43">
        <f>IF(TRIM(FinanceCodesBudget[[#This Row],[Title]])="",1,0)</f>
        <v>0</v>
      </c>
      <c r="I285" s="43">
        <f>IF(TRIM(FinanceCodesBudget[[#This Row],[FinanceCode]])="",1,0)</f>
        <v>0</v>
      </c>
      <c r="J285" s="43">
        <f>IF(LEN(FinanceCodesBudget[[#This Row],[FinanceCode]])&lt;100,0,1)</f>
        <v>0</v>
      </c>
      <c r="K285" s="43">
        <f>IF(LEN(FinanceCodesBudget[[#This Row],[Title]])&lt;100,0,1)</f>
        <v>0</v>
      </c>
      <c r="L285" s="43">
        <f>IF(ISBLANK(FinanceCodesBudget[[#This Row],[BalanceToScenario]]),1,0)</f>
        <v>0</v>
      </c>
      <c r="M285" s="43">
        <f>SUM(FinanceCodesBudget[[#This Row],[LedgerIssue]:[CustGrIssue]],FinanceCodesBudget[[#This Row],[DupCode]:[Balance to Scenario Blank]])</f>
        <v>0</v>
      </c>
      <c r="N285">
        <v>735200</v>
      </c>
      <c r="O285" t="s">
        <v>2806</v>
      </c>
      <c r="P285" t="s">
        <v>489</v>
      </c>
      <c r="Q285" t="s">
        <v>1998</v>
      </c>
      <c r="R285" t="b">
        <v>0</v>
      </c>
      <c r="S285" t="s">
        <v>2526</v>
      </c>
      <c r="T285" t="s">
        <v>1300</v>
      </c>
      <c r="U285" t="s">
        <v>1532</v>
      </c>
      <c r="V285" t="b">
        <v>1</v>
      </c>
      <c r="W285" t="b">
        <v>0</v>
      </c>
    </row>
    <row r="286" spans="1:23" x14ac:dyDescent="0.3">
      <c r="A286" s="147">
        <f>IF(COUNTIF(LEDGER[LedgerCode],FinanceCodesBudget[[#This Row],[LedgerCode]])&gt;0,0,1)</f>
        <v>0</v>
      </c>
      <c r="B286" s="43">
        <f>IF(COUNTIF(Table_System_Grouping_Codes[groupingCodeCode],FinanceCodesBudget[[#This Row],[GroupingCode]])&gt;0,0,1)</f>
        <v>0</v>
      </c>
      <c r="C286" s="43">
        <f>IF(COUNTIF(CUSTGROUP[CustomGroupingCode],FinanceCodesBudget[[#This Row],[CustomGrouping]])&gt;0,0,1)</f>
        <v>0</v>
      </c>
      <c r="D286" s="43" cm="1">
        <f t="array" ref="D286">IF(FinanceCodesBudget[[#This Row],[AvailableToAllSchools]]=TRUE,0,COUNTA(_xlfn.TEXTSPLIT(FinanceCodesBudget[[#This Row],[SchoolCodes]],",",,TRUE))-SUM(COUNTIF(SCHOOLS[SchoolCode],_xlfn.TEXTSPLIT(FinanceCodesBudget[[#This Row],[SchoolCodes]],",",,TRUE))))</f>
        <v>0</v>
      </c>
      <c r="E286" s="43">
        <f>IF(FinanceCodesBudget[[#This Row],[FinanceCodeTypeCode]]="BUDGET",0,COUNTIF(FinanceCodesBudget[FinanceCode],FinanceCodesBudget[[#This Row],[FinanceCode]])-1)</f>
        <v>0</v>
      </c>
      <c r="F286" s="43">
        <f>IF(FinanceCodesBudget[[#This Row],[FinanceCodeTypeCode]]="BUDGET",0,COUNTIF(FinanceCodesBudget[Title],FinanceCodesBudget[[#This Row],[Title]])-1)</f>
        <v>0</v>
      </c>
      <c r="G286" s="43">
        <f>COUNTIF(Lookup!$A$2:$A$7,FinanceCodesBudget[[#This Row],[FinanceCodeTypeCode]])-1</f>
        <v>0</v>
      </c>
      <c r="H286" s="43">
        <f>IF(TRIM(FinanceCodesBudget[[#This Row],[Title]])="",1,0)</f>
        <v>0</v>
      </c>
      <c r="I286" s="43">
        <f>IF(TRIM(FinanceCodesBudget[[#This Row],[FinanceCode]])="",1,0)</f>
        <v>0</v>
      </c>
      <c r="J286" s="43">
        <f>IF(LEN(FinanceCodesBudget[[#This Row],[FinanceCode]])&lt;100,0,1)</f>
        <v>0</v>
      </c>
      <c r="K286" s="43">
        <f>IF(LEN(FinanceCodesBudget[[#This Row],[Title]])&lt;100,0,1)</f>
        <v>0</v>
      </c>
      <c r="L286" s="43">
        <f>IF(ISBLANK(FinanceCodesBudget[[#This Row],[BalanceToScenario]]),1,0)</f>
        <v>0</v>
      </c>
      <c r="M286" s="43">
        <f>SUM(FinanceCodesBudget[[#This Row],[LedgerIssue]:[CustGrIssue]],FinanceCodesBudget[[#This Row],[DupCode]:[Balance to Scenario Blank]])</f>
        <v>0</v>
      </c>
      <c r="N286">
        <v>735300</v>
      </c>
      <c r="O286" t="s">
        <v>2807</v>
      </c>
      <c r="P286" t="s">
        <v>1867</v>
      </c>
      <c r="Q286" t="s">
        <v>1998</v>
      </c>
      <c r="R286" t="b">
        <v>0</v>
      </c>
      <c r="S286" t="s">
        <v>2526</v>
      </c>
      <c r="T286" t="s">
        <v>1300</v>
      </c>
      <c r="U286" t="s">
        <v>1532</v>
      </c>
      <c r="V286" t="b">
        <v>1</v>
      </c>
      <c r="W286" t="b">
        <v>0</v>
      </c>
    </row>
    <row r="287" spans="1:23" x14ac:dyDescent="0.3">
      <c r="A287" s="147">
        <f>IF(COUNTIF(LEDGER[LedgerCode],FinanceCodesBudget[[#This Row],[LedgerCode]])&gt;0,0,1)</f>
        <v>0</v>
      </c>
      <c r="B287" s="43">
        <f>IF(COUNTIF(Table_System_Grouping_Codes[groupingCodeCode],FinanceCodesBudget[[#This Row],[GroupingCode]])&gt;0,0,1)</f>
        <v>0</v>
      </c>
      <c r="C287" s="43">
        <f>IF(COUNTIF(CUSTGROUP[CustomGroupingCode],FinanceCodesBudget[[#This Row],[CustomGrouping]])&gt;0,0,1)</f>
        <v>0</v>
      </c>
      <c r="D287" s="43" cm="1">
        <f t="array" ref="D287">IF(FinanceCodesBudget[[#This Row],[AvailableToAllSchools]]=TRUE,0,COUNTA(_xlfn.TEXTSPLIT(FinanceCodesBudget[[#This Row],[SchoolCodes]],",",,TRUE))-SUM(COUNTIF(SCHOOLS[SchoolCode],_xlfn.TEXTSPLIT(FinanceCodesBudget[[#This Row],[SchoolCodes]],",",,TRUE))))</f>
        <v>0</v>
      </c>
      <c r="E287" s="43">
        <f>IF(FinanceCodesBudget[[#This Row],[FinanceCodeTypeCode]]="BUDGET",0,COUNTIF(FinanceCodesBudget[FinanceCode],FinanceCodesBudget[[#This Row],[FinanceCode]])-1)</f>
        <v>0</v>
      </c>
      <c r="F287" s="43">
        <f>IF(FinanceCodesBudget[[#This Row],[FinanceCodeTypeCode]]="BUDGET",0,COUNTIF(FinanceCodesBudget[Title],FinanceCodesBudget[[#This Row],[Title]])-1)</f>
        <v>0</v>
      </c>
      <c r="G287" s="43">
        <f>COUNTIF(Lookup!$A$2:$A$7,FinanceCodesBudget[[#This Row],[FinanceCodeTypeCode]])-1</f>
        <v>0</v>
      </c>
      <c r="H287" s="43">
        <f>IF(TRIM(FinanceCodesBudget[[#This Row],[Title]])="",1,0)</f>
        <v>0</v>
      </c>
      <c r="I287" s="43">
        <f>IF(TRIM(FinanceCodesBudget[[#This Row],[FinanceCode]])="",1,0)</f>
        <v>0</v>
      </c>
      <c r="J287" s="43">
        <f>IF(LEN(FinanceCodesBudget[[#This Row],[FinanceCode]])&lt;100,0,1)</f>
        <v>0</v>
      </c>
      <c r="K287" s="43">
        <f>IF(LEN(FinanceCodesBudget[[#This Row],[Title]])&lt;100,0,1)</f>
        <v>0</v>
      </c>
      <c r="L287" s="43">
        <f>IF(ISBLANK(FinanceCodesBudget[[#This Row],[BalanceToScenario]]),1,0)</f>
        <v>0</v>
      </c>
      <c r="M287" s="43">
        <f>SUM(FinanceCodesBudget[[#This Row],[LedgerIssue]:[CustGrIssue]],FinanceCodesBudget[[#This Row],[DupCode]:[Balance to Scenario Blank]])</f>
        <v>0</v>
      </c>
      <c r="N287">
        <v>735310</v>
      </c>
      <c r="O287" t="s">
        <v>2808</v>
      </c>
      <c r="P287" t="s">
        <v>1869</v>
      </c>
      <c r="Q287" t="s">
        <v>1998</v>
      </c>
      <c r="R287" t="b">
        <v>0</v>
      </c>
      <c r="S287" t="s">
        <v>2526</v>
      </c>
      <c r="T287" t="s">
        <v>1300</v>
      </c>
      <c r="U287" t="s">
        <v>1532</v>
      </c>
      <c r="V287" t="b">
        <v>1</v>
      </c>
      <c r="W287" t="b">
        <v>0</v>
      </c>
    </row>
    <row r="288" spans="1:23" x14ac:dyDescent="0.3">
      <c r="A288" s="147">
        <f>IF(COUNTIF(LEDGER[LedgerCode],FinanceCodesBudget[[#This Row],[LedgerCode]])&gt;0,0,1)</f>
        <v>0</v>
      </c>
      <c r="B288" s="43">
        <f>IF(COUNTIF(Table_System_Grouping_Codes[groupingCodeCode],FinanceCodesBudget[[#This Row],[GroupingCode]])&gt;0,0,1)</f>
        <v>0</v>
      </c>
      <c r="C288" s="43">
        <f>IF(COUNTIF(CUSTGROUP[CustomGroupingCode],FinanceCodesBudget[[#This Row],[CustomGrouping]])&gt;0,0,1)</f>
        <v>0</v>
      </c>
      <c r="D288" s="43" cm="1">
        <f t="array" ref="D288">IF(FinanceCodesBudget[[#This Row],[AvailableToAllSchools]]=TRUE,0,COUNTA(_xlfn.TEXTSPLIT(FinanceCodesBudget[[#This Row],[SchoolCodes]],",",,TRUE))-SUM(COUNTIF(SCHOOLS[SchoolCode],_xlfn.TEXTSPLIT(FinanceCodesBudget[[#This Row],[SchoolCodes]],",",,TRUE))))</f>
        <v>0</v>
      </c>
      <c r="E288" s="43">
        <f>IF(FinanceCodesBudget[[#This Row],[FinanceCodeTypeCode]]="BUDGET",0,COUNTIF(FinanceCodesBudget[FinanceCode],FinanceCodesBudget[[#This Row],[FinanceCode]])-1)</f>
        <v>0</v>
      </c>
      <c r="F288" s="43">
        <f>IF(FinanceCodesBudget[[#This Row],[FinanceCodeTypeCode]]="BUDGET",0,COUNTIF(FinanceCodesBudget[Title],FinanceCodesBudget[[#This Row],[Title]])-1)</f>
        <v>0</v>
      </c>
      <c r="G288" s="43">
        <f>COUNTIF(Lookup!$A$2:$A$7,FinanceCodesBudget[[#This Row],[FinanceCodeTypeCode]])-1</f>
        <v>0</v>
      </c>
      <c r="H288" s="43">
        <f>IF(TRIM(FinanceCodesBudget[[#This Row],[Title]])="",1,0)</f>
        <v>0</v>
      </c>
      <c r="I288" s="43">
        <f>IF(TRIM(FinanceCodesBudget[[#This Row],[FinanceCode]])="",1,0)</f>
        <v>0</v>
      </c>
      <c r="J288" s="43">
        <f>IF(LEN(FinanceCodesBudget[[#This Row],[FinanceCode]])&lt;100,0,1)</f>
        <v>0</v>
      </c>
      <c r="K288" s="43">
        <f>IF(LEN(FinanceCodesBudget[[#This Row],[Title]])&lt;100,0,1)</f>
        <v>0</v>
      </c>
      <c r="L288" s="43">
        <f>IF(ISBLANK(FinanceCodesBudget[[#This Row],[BalanceToScenario]]),1,0)</f>
        <v>0</v>
      </c>
      <c r="M288" s="43">
        <f>SUM(FinanceCodesBudget[[#This Row],[LedgerIssue]:[CustGrIssue]],FinanceCodesBudget[[#This Row],[DupCode]:[Balance to Scenario Blank]])</f>
        <v>0</v>
      </c>
      <c r="N288">
        <v>735320</v>
      </c>
      <c r="O288" t="s">
        <v>2809</v>
      </c>
      <c r="P288" t="s">
        <v>491</v>
      </c>
      <c r="Q288" t="s">
        <v>1998</v>
      </c>
      <c r="R288" t="b">
        <v>0</v>
      </c>
      <c r="S288" t="s">
        <v>2526</v>
      </c>
      <c r="T288" t="s">
        <v>1300</v>
      </c>
      <c r="U288" t="s">
        <v>1532</v>
      </c>
      <c r="V288" t="b">
        <v>1</v>
      </c>
      <c r="W288" t="b">
        <v>0</v>
      </c>
    </row>
    <row r="289" spans="1:23" x14ac:dyDescent="0.3">
      <c r="A289" s="147">
        <f>IF(COUNTIF(LEDGER[LedgerCode],FinanceCodesBudget[[#This Row],[LedgerCode]])&gt;0,0,1)</f>
        <v>0</v>
      </c>
      <c r="B289" s="43">
        <f>IF(COUNTIF(Table_System_Grouping_Codes[groupingCodeCode],FinanceCodesBudget[[#This Row],[GroupingCode]])&gt;0,0,1)</f>
        <v>0</v>
      </c>
      <c r="C289" s="43">
        <f>IF(COUNTIF(CUSTGROUP[CustomGroupingCode],FinanceCodesBudget[[#This Row],[CustomGrouping]])&gt;0,0,1)</f>
        <v>0</v>
      </c>
      <c r="D289" s="43" cm="1">
        <f t="array" ref="D289">IF(FinanceCodesBudget[[#This Row],[AvailableToAllSchools]]=TRUE,0,COUNTA(_xlfn.TEXTSPLIT(FinanceCodesBudget[[#This Row],[SchoolCodes]],",",,TRUE))-SUM(COUNTIF(SCHOOLS[SchoolCode],_xlfn.TEXTSPLIT(FinanceCodesBudget[[#This Row],[SchoolCodes]],",",,TRUE))))</f>
        <v>0</v>
      </c>
      <c r="E289" s="43">
        <f>IF(FinanceCodesBudget[[#This Row],[FinanceCodeTypeCode]]="BUDGET",0,COUNTIF(FinanceCodesBudget[FinanceCode],FinanceCodesBudget[[#This Row],[FinanceCode]])-1)</f>
        <v>0</v>
      </c>
      <c r="F289" s="43">
        <f>IF(FinanceCodesBudget[[#This Row],[FinanceCodeTypeCode]]="BUDGET",0,COUNTIF(FinanceCodesBudget[Title],FinanceCodesBudget[[#This Row],[Title]])-1)</f>
        <v>0</v>
      </c>
      <c r="G289" s="43">
        <f>COUNTIF(Lookup!$A$2:$A$7,FinanceCodesBudget[[#This Row],[FinanceCodeTypeCode]])-1</f>
        <v>0</v>
      </c>
      <c r="H289" s="43">
        <f>IF(TRIM(FinanceCodesBudget[[#This Row],[Title]])="",1,0)</f>
        <v>0</v>
      </c>
      <c r="I289" s="43">
        <f>IF(TRIM(FinanceCodesBudget[[#This Row],[FinanceCode]])="",1,0)</f>
        <v>0</v>
      </c>
      <c r="J289" s="43">
        <f>IF(LEN(FinanceCodesBudget[[#This Row],[FinanceCode]])&lt;100,0,1)</f>
        <v>0</v>
      </c>
      <c r="K289" s="43">
        <f>IF(LEN(FinanceCodesBudget[[#This Row],[Title]])&lt;100,0,1)</f>
        <v>0</v>
      </c>
      <c r="L289" s="43">
        <f>IF(ISBLANK(FinanceCodesBudget[[#This Row],[BalanceToScenario]]),1,0)</f>
        <v>0</v>
      </c>
      <c r="M289" s="43">
        <f>SUM(FinanceCodesBudget[[#This Row],[LedgerIssue]:[CustGrIssue]],FinanceCodesBudget[[#This Row],[DupCode]:[Balance to Scenario Blank]])</f>
        <v>0</v>
      </c>
      <c r="N289">
        <v>735400</v>
      </c>
      <c r="O289" t="s">
        <v>2810</v>
      </c>
      <c r="P289" t="s">
        <v>493</v>
      </c>
      <c r="Q289" t="s">
        <v>1998</v>
      </c>
      <c r="R289" t="b">
        <v>0</v>
      </c>
      <c r="S289" t="s">
        <v>2526</v>
      </c>
      <c r="T289" t="s">
        <v>1300</v>
      </c>
      <c r="U289" t="s">
        <v>1532</v>
      </c>
      <c r="V289" t="b">
        <v>1</v>
      </c>
      <c r="W289" t="b">
        <v>0</v>
      </c>
    </row>
    <row r="290" spans="1:23" x14ac:dyDescent="0.3">
      <c r="A290" s="147">
        <f>IF(COUNTIF(LEDGER[LedgerCode],FinanceCodesBudget[[#This Row],[LedgerCode]])&gt;0,0,1)</f>
        <v>0</v>
      </c>
      <c r="B290" s="43">
        <f>IF(COUNTIF(Table_System_Grouping_Codes[groupingCodeCode],FinanceCodesBudget[[#This Row],[GroupingCode]])&gt;0,0,1)</f>
        <v>0</v>
      </c>
      <c r="C290" s="43">
        <f>IF(COUNTIF(CUSTGROUP[CustomGroupingCode],FinanceCodesBudget[[#This Row],[CustomGrouping]])&gt;0,0,1)</f>
        <v>0</v>
      </c>
      <c r="D290" s="43" cm="1">
        <f t="array" ref="D290">IF(FinanceCodesBudget[[#This Row],[AvailableToAllSchools]]=TRUE,0,COUNTA(_xlfn.TEXTSPLIT(FinanceCodesBudget[[#This Row],[SchoolCodes]],",",,TRUE))-SUM(COUNTIF(SCHOOLS[SchoolCode],_xlfn.TEXTSPLIT(FinanceCodesBudget[[#This Row],[SchoolCodes]],",",,TRUE))))</f>
        <v>0</v>
      </c>
      <c r="E290" s="43">
        <f>IF(FinanceCodesBudget[[#This Row],[FinanceCodeTypeCode]]="BUDGET",0,COUNTIF(FinanceCodesBudget[FinanceCode],FinanceCodesBudget[[#This Row],[FinanceCode]])-1)</f>
        <v>0</v>
      </c>
      <c r="F290" s="43">
        <f>IF(FinanceCodesBudget[[#This Row],[FinanceCodeTypeCode]]="BUDGET",0,COUNTIF(FinanceCodesBudget[Title],FinanceCodesBudget[[#This Row],[Title]])-1)</f>
        <v>0</v>
      </c>
      <c r="G290" s="43">
        <f>COUNTIF(Lookup!$A$2:$A$7,FinanceCodesBudget[[#This Row],[FinanceCodeTypeCode]])-1</f>
        <v>0</v>
      </c>
      <c r="H290" s="43">
        <f>IF(TRIM(FinanceCodesBudget[[#This Row],[Title]])="",1,0)</f>
        <v>0</v>
      </c>
      <c r="I290" s="43">
        <f>IF(TRIM(FinanceCodesBudget[[#This Row],[FinanceCode]])="",1,0)</f>
        <v>0</v>
      </c>
      <c r="J290" s="43">
        <f>IF(LEN(FinanceCodesBudget[[#This Row],[FinanceCode]])&lt;100,0,1)</f>
        <v>0</v>
      </c>
      <c r="K290" s="43">
        <f>IF(LEN(FinanceCodesBudget[[#This Row],[Title]])&lt;100,0,1)</f>
        <v>0</v>
      </c>
      <c r="L290" s="43">
        <f>IF(ISBLANK(FinanceCodesBudget[[#This Row],[BalanceToScenario]]),1,0)</f>
        <v>0</v>
      </c>
      <c r="M290" s="43">
        <f>SUM(FinanceCodesBudget[[#This Row],[LedgerIssue]:[CustGrIssue]],FinanceCodesBudget[[#This Row],[DupCode]:[Balance to Scenario Blank]])</f>
        <v>0</v>
      </c>
      <c r="N290">
        <v>735410</v>
      </c>
      <c r="O290" t="s">
        <v>2811</v>
      </c>
      <c r="P290" t="s">
        <v>495</v>
      </c>
      <c r="Q290" t="s">
        <v>1998</v>
      </c>
      <c r="R290" t="b">
        <v>0</v>
      </c>
      <c r="S290" t="s">
        <v>2526</v>
      </c>
      <c r="T290" t="s">
        <v>1300</v>
      </c>
      <c r="U290" t="s">
        <v>1532</v>
      </c>
      <c r="V290" t="b">
        <v>1</v>
      </c>
      <c r="W290" t="b">
        <v>0</v>
      </c>
    </row>
    <row r="291" spans="1:23" x14ac:dyDescent="0.3">
      <c r="A291" s="147">
        <f>IF(COUNTIF(LEDGER[LedgerCode],FinanceCodesBudget[[#This Row],[LedgerCode]])&gt;0,0,1)</f>
        <v>0</v>
      </c>
      <c r="B291" s="43">
        <f>IF(COUNTIF(Table_System_Grouping_Codes[groupingCodeCode],FinanceCodesBudget[[#This Row],[GroupingCode]])&gt;0,0,1)</f>
        <v>0</v>
      </c>
      <c r="C291" s="43">
        <f>IF(COUNTIF(CUSTGROUP[CustomGroupingCode],FinanceCodesBudget[[#This Row],[CustomGrouping]])&gt;0,0,1)</f>
        <v>0</v>
      </c>
      <c r="D291" s="43" cm="1">
        <f t="array" ref="D291">IF(FinanceCodesBudget[[#This Row],[AvailableToAllSchools]]=TRUE,0,COUNTA(_xlfn.TEXTSPLIT(FinanceCodesBudget[[#This Row],[SchoolCodes]],",",,TRUE))-SUM(COUNTIF(SCHOOLS[SchoolCode],_xlfn.TEXTSPLIT(FinanceCodesBudget[[#This Row],[SchoolCodes]],",",,TRUE))))</f>
        <v>0</v>
      </c>
      <c r="E291" s="43">
        <f>IF(FinanceCodesBudget[[#This Row],[FinanceCodeTypeCode]]="BUDGET",0,COUNTIF(FinanceCodesBudget[FinanceCode],FinanceCodesBudget[[#This Row],[FinanceCode]])-1)</f>
        <v>0</v>
      </c>
      <c r="F291" s="43">
        <f>IF(FinanceCodesBudget[[#This Row],[FinanceCodeTypeCode]]="BUDGET",0,COUNTIF(FinanceCodesBudget[Title],FinanceCodesBudget[[#This Row],[Title]])-1)</f>
        <v>0</v>
      </c>
      <c r="G291" s="43">
        <f>COUNTIF(Lookup!$A$2:$A$7,FinanceCodesBudget[[#This Row],[FinanceCodeTypeCode]])-1</f>
        <v>0</v>
      </c>
      <c r="H291" s="43">
        <f>IF(TRIM(FinanceCodesBudget[[#This Row],[Title]])="",1,0)</f>
        <v>0</v>
      </c>
      <c r="I291" s="43">
        <f>IF(TRIM(FinanceCodesBudget[[#This Row],[FinanceCode]])="",1,0)</f>
        <v>0</v>
      </c>
      <c r="J291" s="43">
        <f>IF(LEN(FinanceCodesBudget[[#This Row],[FinanceCode]])&lt;100,0,1)</f>
        <v>0</v>
      </c>
      <c r="K291" s="43">
        <f>IF(LEN(FinanceCodesBudget[[#This Row],[Title]])&lt;100,0,1)</f>
        <v>0</v>
      </c>
      <c r="L291" s="43">
        <f>IF(ISBLANK(FinanceCodesBudget[[#This Row],[BalanceToScenario]]),1,0)</f>
        <v>0</v>
      </c>
      <c r="M291" s="43">
        <f>SUM(FinanceCodesBudget[[#This Row],[LedgerIssue]:[CustGrIssue]],FinanceCodesBudget[[#This Row],[DupCode]:[Balance to Scenario Blank]])</f>
        <v>0</v>
      </c>
      <c r="N291">
        <v>735500</v>
      </c>
      <c r="O291" t="s">
        <v>2812</v>
      </c>
      <c r="P291" t="s">
        <v>497</v>
      </c>
      <c r="Q291" t="s">
        <v>1998</v>
      </c>
      <c r="R291" t="b">
        <v>0</v>
      </c>
      <c r="S291" t="s">
        <v>2526</v>
      </c>
      <c r="T291" t="s">
        <v>1300</v>
      </c>
      <c r="U291" t="s">
        <v>1532</v>
      </c>
      <c r="V291" t="b">
        <v>1</v>
      </c>
      <c r="W291" t="b">
        <v>0</v>
      </c>
    </row>
    <row r="292" spans="1:23" x14ac:dyDescent="0.3">
      <c r="A292" s="147">
        <f>IF(COUNTIF(LEDGER[LedgerCode],FinanceCodesBudget[[#This Row],[LedgerCode]])&gt;0,0,1)</f>
        <v>0</v>
      </c>
      <c r="B292" s="43">
        <f>IF(COUNTIF(Table_System_Grouping_Codes[groupingCodeCode],FinanceCodesBudget[[#This Row],[GroupingCode]])&gt;0,0,1)</f>
        <v>0</v>
      </c>
      <c r="C292" s="43">
        <f>IF(COUNTIF(CUSTGROUP[CustomGroupingCode],FinanceCodesBudget[[#This Row],[CustomGrouping]])&gt;0,0,1)</f>
        <v>0</v>
      </c>
      <c r="D292" s="43" cm="1">
        <f t="array" ref="D292">IF(FinanceCodesBudget[[#This Row],[AvailableToAllSchools]]=TRUE,0,COUNTA(_xlfn.TEXTSPLIT(FinanceCodesBudget[[#This Row],[SchoolCodes]],",",,TRUE))-SUM(COUNTIF(SCHOOLS[SchoolCode],_xlfn.TEXTSPLIT(FinanceCodesBudget[[#This Row],[SchoolCodes]],",",,TRUE))))</f>
        <v>0</v>
      </c>
      <c r="E292" s="43">
        <f>IF(FinanceCodesBudget[[#This Row],[FinanceCodeTypeCode]]="BUDGET",0,COUNTIF(FinanceCodesBudget[FinanceCode],FinanceCodesBudget[[#This Row],[FinanceCode]])-1)</f>
        <v>0</v>
      </c>
      <c r="F292" s="43">
        <f>IF(FinanceCodesBudget[[#This Row],[FinanceCodeTypeCode]]="BUDGET",0,COUNTIF(FinanceCodesBudget[Title],FinanceCodesBudget[[#This Row],[Title]])-1)</f>
        <v>0</v>
      </c>
      <c r="G292" s="43">
        <f>COUNTIF(Lookup!$A$2:$A$7,FinanceCodesBudget[[#This Row],[FinanceCodeTypeCode]])-1</f>
        <v>0</v>
      </c>
      <c r="H292" s="43">
        <f>IF(TRIM(FinanceCodesBudget[[#This Row],[Title]])="",1,0)</f>
        <v>0</v>
      </c>
      <c r="I292" s="43">
        <f>IF(TRIM(FinanceCodesBudget[[#This Row],[FinanceCode]])="",1,0)</f>
        <v>0</v>
      </c>
      <c r="J292" s="43">
        <f>IF(LEN(FinanceCodesBudget[[#This Row],[FinanceCode]])&lt;100,0,1)</f>
        <v>0</v>
      </c>
      <c r="K292" s="43">
        <f>IF(LEN(FinanceCodesBudget[[#This Row],[Title]])&lt;100,0,1)</f>
        <v>0</v>
      </c>
      <c r="L292" s="43">
        <f>IF(ISBLANK(FinanceCodesBudget[[#This Row],[BalanceToScenario]]),1,0)</f>
        <v>0</v>
      </c>
      <c r="M292" s="43">
        <f>SUM(FinanceCodesBudget[[#This Row],[LedgerIssue]:[CustGrIssue]],FinanceCodesBudget[[#This Row],[DupCode]:[Balance to Scenario Blank]])</f>
        <v>0</v>
      </c>
      <c r="N292">
        <v>740100</v>
      </c>
      <c r="O292" t="s">
        <v>2813</v>
      </c>
      <c r="P292" t="s">
        <v>499</v>
      </c>
      <c r="Q292" t="s">
        <v>1998</v>
      </c>
      <c r="R292" t="b">
        <v>0</v>
      </c>
      <c r="S292" t="s">
        <v>2526</v>
      </c>
      <c r="T292" t="s">
        <v>1300</v>
      </c>
      <c r="U292" t="s">
        <v>1532</v>
      </c>
      <c r="V292" t="b">
        <v>1</v>
      </c>
      <c r="W292" t="b">
        <v>0</v>
      </c>
    </row>
    <row r="293" spans="1:23" x14ac:dyDescent="0.3">
      <c r="A293" s="147">
        <f>IF(COUNTIF(LEDGER[LedgerCode],FinanceCodesBudget[[#This Row],[LedgerCode]])&gt;0,0,1)</f>
        <v>0</v>
      </c>
      <c r="B293" s="43">
        <f>IF(COUNTIF(Table_System_Grouping_Codes[groupingCodeCode],FinanceCodesBudget[[#This Row],[GroupingCode]])&gt;0,0,1)</f>
        <v>0</v>
      </c>
      <c r="C293" s="43">
        <f>IF(COUNTIF(CUSTGROUP[CustomGroupingCode],FinanceCodesBudget[[#This Row],[CustomGrouping]])&gt;0,0,1)</f>
        <v>0</v>
      </c>
      <c r="D293" s="43" cm="1">
        <f t="array" ref="D293">IF(FinanceCodesBudget[[#This Row],[AvailableToAllSchools]]=TRUE,0,COUNTA(_xlfn.TEXTSPLIT(FinanceCodesBudget[[#This Row],[SchoolCodes]],",",,TRUE))-SUM(COUNTIF(SCHOOLS[SchoolCode],_xlfn.TEXTSPLIT(FinanceCodesBudget[[#This Row],[SchoolCodes]],",",,TRUE))))</f>
        <v>0</v>
      </c>
      <c r="E293" s="43">
        <f>IF(FinanceCodesBudget[[#This Row],[FinanceCodeTypeCode]]="BUDGET",0,COUNTIF(FinanceCodesBudget[FinanceCode],FinanceCodesBudget[[#This Row],[FinanceCode]])-1)</f>
        <v>0</v>
      </c>
      <c r="F293" s="43">
        <f>IF(FinanceCodesBudget[[#This Row],[FinanceCodeTypeCode]]="BUDGET",0,COUNTIF(FinanceCodesBudget[Title],FinanceCodesBudget[[#This Row],[Title]])-1)</f>
        <v>0</v>
      </c>
      <c r="G293" s="43">
        <f>COUNTIF(Lookup!$A$2:$A$7,FinanceCodesBudget[[#This Row],[FinanceCodeTypeCode]])-1</f>
        <v>0</v>
      </c>
      <c r="H293" s="43">
        <f>IF(TRIM(FinanceCodesBudget[[#This Row],[Title]])="",1,0)</f>
        <v>0</v>
      </c>
      <c r="I293" s="43">
        <f>IF(TRIM(FinanceCodesBudget[[#This Row],[FinanceCode]])="",1,0)</f>
        <v>0</v>
      </c>
      <c r="J293" s="43">
        <f>IF(LEN(FinanceCodesBudget[[#This Row],[FinanceCode]])&lt;100,0,1)</f>
        <v>0</v>
      </c>
      <c r="K293" s="43">
        <f>IF(LEN(FinanceCodesBudget[[#This Row],[Title]])&lt;100,0,1)</f>
        <v>0</v>
      </c>
      <c r="L293" s="43">
        <f>IF(ISBLANK(FinanceCodesBudget[[#This Row],[BalanceToScenario]]),1,0)</f>
        <v>0</v>
      </c>
      <c r="M293" s="43">
        <f>SUM(FinanceCodesBudget[[#This Row],[LedgerIssue]:[CustGrIssue]],FinanceCodesBudget[[#This Row],[DupCode]:[Balance to Scenario Blank]])</f>
        <v>0</v>
      </c>
      <c r="N293">
        <v>740200</v>
      </c>
      <c r="O293" t="s">
        <v>2814</v>
      </c>
      <c r="P293" t="s">
        <v>501</v>
      </c>
      <c r="Q293" t="s">
        <v>1998</v>
      </c>
      <c r="R293" t="b">
        <v>0</v>
      </c>
      <c r="S293" t="s">
        <v>2526</v>
      </c>
      <c r="T293" t="s">
        <v>1300</v>
      </c>
      <c r="U293" t="s">
        <v>1532</v>
      </c>
      <c r="V293" t="b">
        <v>1</v>
      </c>
      <c r="W293" t="b">
        <v>0</v>
      </c>
    </row>
    <row r="294" spans="1:23" x14ac:dyDescent="0.3">
      <c r="A294" s="147">
        <f>IF(COUNTIF(LEDGER[LedgerCode],FinanceCodesBudget[[#This Row],[LedgerCode]])&gt;0,0,1)</f>
        <v>0</v>
      </c>
      <c r="B294" s="43">
        <f>IF(COUNTIF(Table_System_Grouping_Codes[groupingCodeCode],FinanceCodesBudget[[#This Row],[GroupingCode]])&gt;0,0,1)</f>
        <v>0</v>
      </c>
      <c r="C294" s="43">
        <f>IF(COUNTIF(CUSTGROUP[CustomGroupingCode],FinanceCodesBudget[[#This Row],[CustomGrouping]])&gt;0,0,1)</f>
        <v>0</v>
      </c>
      <c r="D294" s="43" cm="1">
        <f t="array" ref="D294">IF(FinanceCodesBudget[[#This Row],[AvailableToAllSchools]]=TRUE,0,COUNTA(_xlfn.TEXTSPLIT(FinanceCodesBudget[[#This Row],[SchoolCodes]],",",,TRUE))-SUM(COUNTIF(SCHOOLS[SchoolCode],_xlfn.TEXTSPLIT(FinanceCodesBudget[[#This Row],[SchoolCodes]],",",,TRUE))))</f>
        <v>0</v>
      </c>
      <c r="E294" s="43">
        <f>IF(FinanceCodesBudget[[#This Row],[FinanceCodeTypeCode]]="BUDGET",0,COUNTIF(FinanceCodesBudget[FinanceCode],FinanceCodesBudget[[#This Row],[FinanceCode]])-1)</f>
        <v>0</v>
      </c>
      <c r="F294" s="43">
        <f>IF(FinanceCodesBudget[[#This Row],[FinanceCodeTypeCode]]="BUDGET",0,COUNTIF(FinanceCodesBudget[Title],FinanceCodesBudget[[#This Row],[Title]])-1)</f>
        <v>0</v>
      </c>
      <c r="G294" s="43">
        <f>COUNTIF(Lookup!$A$2:$A$7,FinanceCodesBudget[[#This Row],[FinanceCodeTypeCode]])-1</f>
        <v>0</v>
      </c>
      <c r="H294" s="43">
        <f>IF(TRIM(FinanceCodesBudget[[#This Row],[Title]])="",1,0)</f>
        <v>0</v>
      </c>
      <c r="I294" s="43">
        <f>IF(TRIM(FinanceCodesBudget[[#This Row],[FinanceCode]])="",1,0)</f>
        <v>0</v>
      </c>
      <c r="J294" s="43">
        <f>IF(LEN(FinanceCodesBudget[[#This Row],[FinanceCode]])&lt;100,0,1)</f>
        <v>0</v>
      </c>
      <c r="K294" s="43">
        <f>IF(LEN(FinanceCodesBudget[[#This Row],[Title]])&lt;100,0,1)</f>
        <v>0</v>
      </c>
      <c r="L294" s="43">
        <f>IF(ISBLANK(FinanceCodesBudget[[#This Row],[BalanceToScenario]]),1,0)</f>
        <v>0</v>
      </c>
      <c r="M294" s="43">
        <f>SUM(FinanceCodesBudget[[#This Row],[LedgerIssue]:[CustGrIssue]],FinanceCodesBudget[[#This Row],[DupCode]:[Balance to Scenario Blank]])</f>
        <v>0</v>
      </c>
      <c r="N294">
        <v>750100</v>
      </c>
      <c r="O294" t="s">
        <v>2815</v>
      </c>
      <c r="P294" t="s">
        <v>503</v>
      </c>
      <c r="Q294" t="s">
        <v>1998</v>
      </c>
      <c r="R294" t="b">
        <v>0</v>
      </c>
      <c r="S294" t="s">
        <v>2526</v>
      </c>
      <c r="T294" t="s">
        <v>1300</v>
      </c>
      <c r="U294" t="s">
        <v>1532</v>
      </c>
      <c r="V294" t="b">
        <v>1</v>
      </c>
      <c r="W294" t="b">
        <v>0</v>
      </c>
    </row>
    <row r="295" spans="1:23" x14ac:dyDescent="0.3">
      <c r="A295" s="147">
        <f>IF(COUNTIF(LEDGER[LedgerCode],FinanceCodesBudget[[#This Row],[LedgerCode]])&gt;0,0,1)</f>
        <v>0</v>
      </c>
      <c r="B295" s="43">
        <f>IF(COUNTIF(Table_System_Grouping_Codes[groupingCodeCode],FinanceCodesBudget[[#This Row],[GroupingCode]])&gt;0,0,1)</f>
        <v>0</v>
      </c>
      <c r="C295" s="43">
        <f>IF(COUNTIF(CUSTGROUP[CustomGroupingCode],FinanceCodesBudget[[#This Row],[CustomGrouping]])&gt;0,0,1)</f>
        <v>0</v>
      </c>
      <c r="D295" s="43" cm="1">
        <f t="array" ref="D295">IF(FinanceCodesBudget[[#This Row],[AvailableToAllSchools]]=TRUE,0,COUNTA(_xlfn.TEXTSPLIT(FinanceCodesBudget[[#This Row],[SchoolCodes]],",",,TRUE))-SUM(COUNTIF(SCHOOLS[SchoolCode],_xlfn.TEXTSPLIT(FinanceCodesBudget[[#This Row],[SchoolCodes]],",",,TRUE))))</f>
        <v>0</v>
      </c>
      <c r="E295" s="43">
        <f>IF(FinanceCodesBudget[[#This Row],[FinanceCodeTypeCode]]="BUDGET",0,COUNTIF(FinanceCodesBudget[FinanceCode],FinanceCodesBudget[[#This Row],[FinanceCode]])-1)</f>
        <v>0</v>
      </c>
      <c r="F295" s="43">
        <f>IF(FinanceCodesBudget[[#This Row],[FinanceCodeTypeCode]]="BUDGET",0,COUNTIF(FinanceCodesBudget[Title],FinanceCodesBudget[[#This Row],[Title]])-1)</f>
        <v>0</v>
      </c>
      <c r="G295" s="43">
        <f>COUNTIF(Lookup!$A$2:$A$7,FinanceCodesBudget[[#This Row],[FinanceCodeTypeCode]])-1</f>
        <v>0</v>
      </c>
      <c r="H295" s="43">
        <f>IF(TRIM(FinanceCodesBudget[[#This Row],[Title]])="",1,0)</f>
        <v>0</v>
      </c>
      <c r="I295" s="43">
        <f>IF(TRIM(FinanceCodesBudget[[#This Row],[FinanceCode]])="",1,0)</f>
        <v>0</v>
      </c>
      <c r="J295" s="43">
        <f>IF(LEN(FinanceCodesBudget[[#This Row],[FinanceCode]])&lt;100,0,1)</f>
        <v>0</v>
      </c>
      <c r="K295" s="43">
        <f>IF(LEN(FinanceCodesBudget[[#This Row],[Title]])&lt;100,0,1)</f>
        <v>0</v>
      </c>
      <c r="L295" s="43">
        <f>IF(ISBLANK(FinanceCodesBudget[[#This Row],[BalanceToScenario]]),1,0)</f>
        <v>0</v>
      </c>
      <c r="M295" s="43">
        <f>SUM(FinanceCodesBudget[[#This Row],[LedgerIssue]:[CustGrIssue]],FinanceCodesBudget[[#This Row],[DupCode]:[Balance to Scenario Blank]])</f>
        <v>0</v>
      </c>
      <c r="N295">
        <v>750150</v>
      </c>
      <c r="O295" t="s">
        <v>2816</v>
      </c>
      <c r="P295" t="s">
        <v>505</v>
      </c>
      <c r="Q295" t="s">
        <v>1998</v>
      </c>
      <c r="R295" t="b">
        <v>0</v>
      </c>
      <c r="S295" t="s">
        <v>2526</v>
      </c>
      <c r="T295" t="s">
        <v>1300</v>
      </c>
      <c r="U295" t="s">
        <v>1532</v>
      </c>
      <c r="V295" t="b">
        <v>1</v>
      </c>
      <c r="W295" t="b">
        <v>0</v>
      </c>
    </row>
    <row r="296" spans="1:23" x14ac:dyDescent="0.3">
      <c r="A296" s="147">
        <f>IF(COUNTIF(LEDGER[LedgerCode],FinanceCodesBudget[[#This Row],[LedgerCode]])&gt;0,0,1)</f>
        <v>0</v>
      </c>
      <c r="B296" s="43">
        <f>IF(COUNTIF(Table_System_Grouping_Codes[groupingCodeCode],FinanceCodesBudget[[#This Row],[GroupingCode]])&gt;0,0,1)</f>
        <v>0</v>
      </c>
      <c r="C296" s="43">
        <f>IF(COUNTIF(CUSTGROUP[CustomGroupingCode],FinanceCodesBudget[[#This Row],[CustomGrouping]])&gt;0,0,1)</f>
        <v>0</v>
      </c>
      <c r="D296" s="43" cm="1">
        <f t="array" ref="D296">IF(FinanceCodesBudget[[#This Row],[AvailableToAllSchools]]=TRUE,0,COUNTA(_xlfn.TEXTSPLIT(FinanceCodesBudget[[#This Row],[SchoolCodes]],",",,TRUE))-SUM(COUNTIF(SCHOOLS[SchoolCode],_xlfn.TEXTSPLIT(FinanceCodesBudget[[#This Row],[SchoolCodes]],",",,TRUE))))</f>
        <v>0</v>
      </c>
      <c r="E296" s="43">
        <f>IF(FinanceCodesBudget[[#This Row],[FinanceCodeTypeCode]]="BUDGET",0,COUNTIF(FinanceCodesBudget[FinanceCode],FinanceCodesBudget[[#This Row],[FinanceCode]])-1)</f>
        <v>0</v>
      </c>
      <c r="F296" s="43">
        <f>IF(FinanceCodesBudget[[#This Row],[FinanceCodeTypeCode]]="BUDGET",0,COUNTIF(FinanceCodesBudget[Title],FinanceCodesBudget[[#This Row],[Title]])-1)</f>
        <v>0</v>
      </c>
      <c r="G296" s="43">
        <f>COUNTIF(Lookup!$A$2:$A$7,FinanceCodesBudget[[#This Row],[FinanceCodeTypeCode]])-1</f>
        <v>0</v>
      </c>
      <c r="H296" s="43">
        <f>IF(TRIM(FinanceCodesBudget[[#This Row],[Title]])="",1,0)</f>
        <v>0</v>
      </c>
      <c r="I296" s="43">
        <f>IF(TRIM(FinanceCodesBudget[[#This Row],[FinanceCode]])="",1,0)</f>
        <v>0</v>
      </c>
      <c r="J296" s="43">
        <f>IF(LEN(FinanceCodesBudget[[#This Row],[FinanceCode]])&lt;100,0,1)</f>
        <v>0</v>
      </c>
      <c r="K296" s="43">
        <f>IF(LEN(FinanceCodesBudget[[#This Row],[Title]])&lt;100,0,1)</f>
        <v>0</v>
      </c>
      <c r="L296" s="43">
        <f>IF(ISBLANK(FinanceCodesBudget[[#This Row],[BalanceToScenario]]),1,0)</f>
        <v>0</v>
      </c>
      <c r="M296" s="43">
        <f>SUM(FinanceCodesBudget[[#This Row],[LedgerIssue]:[CustGrIssue]],FinanceCodesBudget[[#This Row],[DupCode]:[Balance to Scenario Blank]])</f>
        <v>0</v>
      </c>
      <c r="N296">
        <v>750200</v>
      </c>
      <c r="O296" t="s">
        <v>2817</v>
      </c>
      <c r="P296" t="s">
        <v>507</v>
      </c>
      <c r="Q296" t="s">
        <v>1998</v>
      </c>
      <c r="R296" t="b">
        <v>0</v>
      </c>
      <c r="S296" t="s">
        <v>2526</v>
      </c>
      <c r="T296" t="s">
        <v>1300</v>
      </c>
      <c r="U296" t="s">
        <v>1532</v>
      </c>
      <c r="V296" t="b">
        <v>1</v>
      </c>
      <c r="W296" t="b">
        <v>0</v>
      </c>
    </row>
    <row r="297" spans="1:23" x14ac:dyDescent="0.3">
      <c r="A297" s="147">
        <f>IF(COUNTIF(LEDGER[LedgerCode],FinanceCodesBudget[[#This Row],[LedgerCode]])&gt;0,0,1)</f>
        <v>0</v>
      </c>
      <c r="B297" s="43">
        <f>IF(COUNTIF(Table_System_Grouping_Codes[groupingCodeCode],FinanceCodesBudget[[#This Row],[GroupingCode]])&gt;0,0,1)</f>
        <v>0</v>
      </c>
      <c r="C297" s="43">
        <f>IF(COUNTIF(CUSTGROUP[CustomGroupingCode],FinanceCodesBudget[[#This Row],[CustomGrouping]])&gt;0,0,1)</f>
        <v>0</v>
      </c>
      <c r="D297" s="43" cm="1">
        <f t="array" ref="D297">IF(FinanceCodesBudget[[#This Row],[AvailableToAllSchools]]=TRUE,0,COUNTA(_xlfn.TEXTSPLIT(FinanceCodesBudget[[#This Row],[SchoolCodes]],",",,TRUE))-SUM(COUNTIF(SCHOOLS[SchoolCode],_xlfn.TEXTSPLIT(FinanceCodesBudget[[#This Row],[SchoolCodes]],",",,TRUE))))</f>
        <v>0</v>
      </c>
      <c r="E297" s="43">
        <f>IF(FinanceCodesBudget[[#This Row],[FinanceCodeTypeCode]]="BUDGET",0,COUNTIF(FinanceCodesBudget[FinanceCode],FinanceCodesBudget[[#This Row],[FinanceCode]])-1)</f>
        <v>0</v>
      </c>
      <c r="F297" s="43">
        <f>IF(FinanceCodesBudget[[#This Row],[FinanceCodeTypeCode]]="BUDGET",0,COUNTIF(FinanceCodesBudget[Title],FinanceCodesBudget[[#This Row],[Title]])-1)</f>
        <v>0</v>
      </c>
      <c r="G297" s="43">
        <f>COUNTIF(Lookup!$A$2:$A$7,FinanceCodesBudget[[#This Row],[FinanceCodeTypeCode]])-1</f>
        <v>0</v>
      </c>
      <c r="H297" s="43">
        <f>IF(TRIM(FinanceCodesBudget[[#This Row],[Title]])="",1,0)</f>
        <v>0</v>
      </c>
      <c r="I297" s="43">
        <f>IF(TRIM(FinanceCodesBudget[[#This Row],[FinanceCode]])="",1,0)</f>
        <v>0</v>
      </c>
      <c r="J297" s="43">
        <f>IF(LEN(FinanceCodesBudget[[#This Row],[FinanceCode]])&lt;100,0,1)</f>
        <v>0</v>
      </c>
      <c r="K297" s="43">
        <f>IF(LEN(FinanceCodesBudget[[#This Row],[Title]])&lt;100,0,1)</f>
        <v>0</v>
      </c>
      <c r="L297" s="43">
        <f>IF(ISBLANK(FinanceCodesBudget[[#This Row],[BalanceToScenario]]),1,0)</f>
        <v>0</v>
      </c>
      <c r="M297" s="43">
        <f>SUM(FinanceCodesBudget[[#This Row],[LedgerIssue]:[CustGrIssue]],FinanceCodesBudget[[#This Row],[DupCode]:[Balance to Scenario Blank]])</f>
        <v>0</v>
      </c>
      <c r="N297">
        <v>750250</v>
      </c>
      <c r="O297" t="s">
        <v>2818</v>
      </c>
      <c r="P297" t="s">
        <v>509</v>
      </c>
      <c r="Q297" t="s">
        <v>1998</v>
      </c>
      <c r="R297" t="b">
        <v>0</v>
      </c>
      <c r="S297" t="s">
        <v>2526</v>
      </c>
      <c r="T297" t="s">
        <v>1300</v>
      </c>
      <c r="U297" t="s">
        <v>1532</v>
      </c>
      <c r="V297" t="b">
        <v>1</v>
      </c>
      <c r="W297" t="b">
        <v>0</v>
      </c>
    </row>
    <row r="298" spans="1:23" x14ac:dyDescent="0.3">
      <c r="A298" s="147">
        <f>IF(COUNTIF(LEDGER[LedgerCode],FinanceCodesBudget[[#This Row],[LedgerCode]])&gt;0,0,1)</f>
        <v>0</v>
      </c>
      <c r="B298" s="43">
        <f>IF(COUNTIF(Table_System_Grouping_Codes[groupingCodeCode],FinanceCodesBudget[[#This Row],[GroupingCode]])&gt;0,0,1)</f>
        <v>0</v>
      </c>
      <c r="C298" s="43">
        <f>IF(COUNTIF(CUSTGROUP[CustomGroupingCode],FinanceCodesBudget[[#This Row],[CustomGrouping]])&gt;0,0,1)</f>
        <v>0</v>
      </c>
      <c r="D298" s="43" cm="1">
        <f t="array" ref="D298">IF(FinanceCodesBudget[[#This Row],[AvailableToAllSchools]]=TRUE,0,COUNTA(_xlfn.TEXTSPLIT(FinanceCodesBudget[[#This Row],[SchoolCodes]],",",,TRUE))-SUM(COUNTIF(SCHOOLS[SchoolCode],_xlfn.TEXTSPLIT(FinanceCodesBudget[[#This Row],[SchoolCodes]],",",,TRUE))))</f>
        <v>0</v>
      </c>
      <c r="E298" s="43">
        <f>IF(FinanceCodesBudget[[#This Row],[FinanceCodeTypeCode]]="BUDGET",0,COUNTIF(FinanceCodesBudget[FinanceCode],FinanceCodesBudget[[#This Row],[FinanceCode]])-1)</f>
        <v>0</v>
      </c>
      <c r="F298" s="43">
        <f>IF(FinanceCodesBudget[[#This Row],[FinanceCodeTypeCode]]="BUDGET",0,COUNTIF(FinanceCodesBudget[Title],FinanceCodesBudget[[#This Row],[Title]])-1)</f>
        <v>0</v>
      </c>
      <c r="G298" s="43">
        <f>COUNTIF(Lookup!$A$2:$A$7,FinanceCodesBudget[[#This Row],[FinanceCodeTypeCode]])-1</f>
        <v>0</v>
      </c>
      <c r="H298" s="43">
        <f>IF(TRIM(FinanceCodesBudget[[#This Row],[Title]])="",1,0)</f>
        <v>0</v>
      </c>
      <c r="I298" s="43">
        <f>IF(TRIM(FinanceCodesBudget[[#This Row],[FinanceCode]])="",1,0)</f>
        <v>0</v>
      </c>
      <c r="J298" s="43">
        <f>IF(LEN(FinanceCodesBudget[[#This Row],[FinanceCode]])&lt;100,0,1)</f>
        <v>0</v>
      </c>
      <c r="K298" s="43">
        <f>IF(LEN(FinanceCodesBudget[[#This Row],[Title]])&lt;100,0,1)</f>
        <v>0</v>
      </c>
      <c r="L298" s="43">
        <f>IF(ISBLANK(FinanceCodesBudget[[#This Row],[BalanceToScenario]]),1,0)</f>
        <v>0</v>
      </c>
      <c r="M298" s="43">
        <f>SUM(FinanceCodesBudget[[#This Row],[LedgerIssue]:[CustGrIssue]],FinanceCodesBudget[[#This Row],[DupCode]:[Balance to Scenario Blank]])</f>
        <v>0</v>
      </c>
      <c r="N298">
        <v>750300</v>
      </c>
      <c r="O298" t="s">
        <v>2819</v>
      </c>
      <c r="P298" t="s">
        <v>511</v>
      </c>
      <c r="Q298" t="s">
        <v>1998</v>
      </c>
      <c r="R298" t="b">
        <v>0</v>
      </c>
      <c r="S298" t="s">
        <v>2526</v>
      </c>
      <c r="T298" t="s">
        <v>1300</v>
      </c>
      <c r="U298" t="s">
        <v>1532</v>
      </c>
      <c r="V298" t="b">
        <v>1</v>
      </c>
      <c r="W298" t="b">
        <v>0</v>
      </c>
    </row>
    <row r="299" spans="1:23" x14ac:dyDescent="0.3">
      <c r="A299" s="147">
        <f>IF(COUNTIF(LEDGER[LedgerCode],FinanceCodesBudget[[#This Row],[LedgerCode]])&gt;0,0,1)</f>
        <v>0</v>
      </c>
      <c r="B299" s="43">
        <f>IF(COUNTIF(Table_System_Grouping_Codes[groupingCodeCode],FinanceCodesBudget[[#This Row],[GroupingCode]])&gt;0,0,1)</f>
        <v>0</v>
      </c>
      <c r="C299" s="43">
        <f>IF(COUNTIF(CUSTGROUP[CustomGroupingCode],FinanceCodesBudget[[#This Row],[CustomGrouping]])&gt;0,0,1)</f>
        <v>0</v>
      </c>
      <c r="D299" s="43" cm="1">
        <f t="array" ref="D299">IF(FinanceCodesBudget[[#This Row],[AvailableToAllSchools]]=TRUE,0,COUNTA(_xlfn.TEXTSPLIT(FinanceCodesBudget[[#This Row],[SchoolCodes]],",",,TRUE))-SUM(COUNTIF(SCHOOLS[SchoolCode],_xlfn.TEXTSPLIT(FinanceCodesBudget[[#This Row],[SchoolCodes]],",",,TRUE))))</f>
        <v>0</v>
      </c>
      <c r="E299" s="43">
        <f>IF(FinanceCodesBudget[[#This Row],[FinanceCodeTypeCode]]="BUDGET",0,COUNTIF(FinanceCodesBudget[FinanceCode],FinanceCodesBudget[[#This Row],[FinanceCode]])-1)</f>
        <v>0</v>
      </c>
      <c r="F299" s="43">
        <f>IF(FinanceCodesBudget[[#This Row],[FinanceCodeTypeCode]]="BUDGET",0,COUNTIF(FinanceCodesBudget[Title],FinanceCodesBudget[[#This Row],[Title]])-1)</f>
        <v>0</v>
      </c>
      <c r="G299" s="43">
        <f>COUNTIF(Lookup!$A$2:$A$7,FinanceCodesBudget[[#This Row],[FinanceCodeTypeCode]])-1</f>
        <v>0</v>
      </c>
      <c r="H299" s="43">
        <f>IF(TRIM(FinanceCodesBudget[[#This Row],[Title]])="",1,0)</f>
        <v>0</v>
      </c>
      <c r="I299" s="43">
        <f>IF(TRIM(FinanceCodesBudget[[#This Row],[FinanceCode]])="",1,0)</f>
        <v>0</v>
      </c>
      <c r="J299" s="43">
        <f>IF(LEN(FinanceCodesBudget[[#This Row],[FinanceCode]])&lt;100,0,1)</f>
        <v>0</v>
      </c>
      <c r="K299" s="43">
        <f>IF(LEN(FinanceCodesBudget[[#This Row],[Title]])&lt;100,0,1)</f>
        <v>0</v>
      </c>
      <c r="L299" s="43">
        <f>IF(ISBLANK(FinanceCodesBudget[[#This Row],[BalanceToScenario]]),1,0)</f>
        <v>0</v>
      </c>
      <c r="M299" s="43">
        <f>SUM(FinanceCodesBudget[[#This Row],[LedgerIssue]:[CustGrIssue]],FinanceCodesBudget[[#This Row],[DupCode]:[Balance to Scenario Blank]])</f>
        <v>0</v>
      </c>
      <c r="N299">
        <v>750350</v>
      </c>
      <c r="O299" t="s">
        <v>2820</v>
      </c>
      <c r="P299" t="s">
        <v>513</v>
      </c>
      <c r="Q299" t="s">
        <v>1998</v>
      </c>
      <c r="R299" t="b">
        <v>0</v>
      </c>
      <c r="S299" t="s">
        <v>2526</v>
      </c>
      <c r="T299" t="s">
        <v>1300</v>
      </c>
      <c r="U299" t="s">
        <v>1532</v>
      </c>
      <c r="V299" t="b">
        <v>1</v>
      </c>
      <c r="W299" t="b">
        <v>0</v>
      </c>
    </row>
    <row r="300" spans="1:23" x14ac:dyDescent="0.3">
      <c r="A300" s="147">
        <f>IF(COUNTIF(LEDGER[LedgerCode],FinanceCodesBudget[[#This Row],[LedgerCode]])&gt;0,0,1)</f>
        <v>0</v>
      </c>
      <c r="B300" s="43">
        <f>IF(COUNTIF(Table_System_Grouping_Codes[groupingCodeCode],FinanceCodesBudget[[#This Row],[GroupingCode]])&gt;0,0,1)</f>
        <v>0</v>
      </c>
      <c r="C300" s="43">
        <f>IF(COUNTIF(CUSTGROUP[CustomGroupingCode],FinanceCodesBudget[[#This Row],[CustomGrouping]])&gt;0,0,1)</f>
        <v>0</v>
      </c>
      <c r="D300" s="43" cm="1">
        <f t="array" ref="D300">IF(FinanceCodesBudget[[#This Row],[AvailableToAllSchools]]=TRUE,0,COUNTA(_xlfn.TEXTSPLIT(FinanceCodesBudget[[#This Row],[SchoolCodes]],",",,TRUE))-SUM(COUNTIF(SCHOOLS[SchoolCode],_xlfn.TEXTSPLIT(FinanceCodesBudget[[#This Row],[SchoolCodes]],",",,TRUE))))</f>
        <v>0</v>
      </c>
      <c r="E300" s="43">
        <f>IF(FinanceCodesBudget[[#This Row],[FinanceCodeTypeCode]]="BUDGET",0,COUNTIF(FinanceCodesBudget[FinanceCode],FinanceCodesBudget[[#This Row],[FinanceCode]])-1)</f>
        <v>0</v>
      </c>
      <c r="F300" s="43">
        <f>IF(FinanceCodesBudget[[#This Row],[FinanceCodeTypeCode]]="BUDGET",0,COUNTIF(FinanceCodesBudget[Title],FinanceCodesBudget[[#This Row],[Title]])-1)</f>
        <v>0</v>
      </c>
      <c r="G300" s="43">
        <f>COUNTIF(Lookup!$A$2:$A$7,FinanceCodesBudget[[#This Row],[FinanceCodeTypeCode]])-1</f>
        <v>0</v>
      </c>
      <c r="H300" s="43">
        <f>IF(TRIM(FinanceCodesBudget[[#This Row],[Title]])="",1,0)</f>
        <v>0</v>
      </c>
      <c r="I300" s="43">
        <f>IF(TRIM(FinanceCodesBudget[[#This Row],[FinanceCode]])="",1,0)</f>
        <v>0</v>
      </c>
      <c r="J300" s="43">
        <f>IF(LEN(FinanceCodesBudget[[#This Row],[FinanceCode]])&lt;100,0,1)</f>
        <v>0</v>
      </c>
      <c r="K300" s="43">
        <f>IF(LEN(FinanceCodesBudget[[#This Row],[Title]])&lt;100,0,1)</f>
        <v>0</v>
      </c>
      <c r="L300" s="43">
        <f>IF(ISBLANK(FinanceCodesBudget[[#This Row],[BalanceToScenario]]),1,0)</f>
        <v>0</v>
      </c>
      <c r="M300" s="43">
        <f>SUM(FinanceCodesBudget[[#This Row],[LedgerIssue]:[CustGrIssue]],FinanceCodesBudget[[#This Row],[DupCode]:[Balance to Scenario Blank]])</f>
        <v>0</v>
      </c>
      <c r="N300">
        <v>750400</v>
      </c>
      <c r="O300" t="s">
        <v>2821</v>
      </c>
      <c r="P300" t="s">
        <v>515</v>
      </c>
      <c r="Q300" t="s">
        <v>1998</v>
      </c>
      <c r="R300" t="b">
        <v>0</v>
      </c>
      <c r="S300" t="s">
        <v>2526</v>
      </c>
      <c r="T300" t="s">
        <v>1300</v>
      </c>
      <c r="U300" t="s">
        <v>1532</v>
      </c>
      <c r="V300" t="b">
        <v>1</v>
      </c>
      <c r="W300" t="b">
        <v>0</v>
      </c>
    </row>
    <row r="301" spans="1:23" x14ac:dyDescent="0.3">
      <c r="A301" s="147">
        <f>IF(COUNTIF(LEDGER[LedgerCode],FinanceCodesBudget[[#This Row],[LedgerCode]])&gt;0,0,1)</f>
        <v>0</v>
      </c>
      <c r="B301" s="43">
        <f>IF(COUNTIF(Table_System_Grouping_Codes[groupingCodeCode],FinanceCodesBudget[[#This Row],[GroupingCode]])&gt;0,0,1)</f>
        <v>0</v>
      </c>
      <c r="C301" s="43">
        <f>IF(COUNTIF(CUSTGROUP[CustomGroupingCode],FinanceCodesBudget[[#This Row],[CustomGrouping]])&gt;0,0,1)</f>
        <v>0</v>
      </c>
      <c r="D301" s="43" cm="1">
        <f t="array" ref="D301">IF(FinanceCodesBudget[[#This Row],[AvailableToAllSchools]]=TRUE,0,COUNTA(_xlfn.TEXTSPLIT(FinanceCodesBudget[[#This Row],[SchoolCodes]],",",,TRUE))-SUM(COUNTIF(SCHOOLS[SchoolCode],_xlfn.TEXTSPLIT(FinanceCodesBudget[[#This Row],[SchoolCodes]],",",,TRUE))))</f>
        <v>0</v>
      </c>
      <c r="E301" s="43">
        <f>IF(FinanceCodesBudget[[#This Row],[FinanceCodeTypeCode]]="BUDGET",0,COUNTIF(FinanceCodesBudget[FinanceCode],FinanceCodesBudget[[#This Row],[FinanceCode]])-1)</f>
        <v>0</v>
      </c>
      <c r="F301" s="43">
        <f>IF(FinanceCodesBudget[[#This Row],[FinanceCodeTypeCode]]="BUDGET",0,COUNTIF(FinanceCodesBudget[Title],FinanceCodesBudget[[#This Row],[Title]])-1)</f>
        <v>0</v>
      </c>
      <c r="G301" s="43">
        <f>COUNTIF(Lookup!$A$2:$A$7,FinanceCodesBudget[[#This Row],[FinanceCodeTypeCode]])-1</f>
        <v>0</v>
      </c>
      <c r="H301" s="43">
        <f>IF(TRIM(FinanceCodesBudget[[#This Row],[Title]])="",1,0)</f>
        <v>0</v>
      </c>
      <c r="I301" s="43">
        <f>IF(TRIM(FinanceCodesBudget[[#This Row],[FinanceCode]])="",1,0)</f>
        <v>0</v>
      </c>
      <c r="J301" s="43">
        <f>IF(LEN(FinanceCodesBudget[[#This Row],[FinanceCode]])&lt;100,0,1)</f>
        <v>0</v>
      </c>
      <c r="K301" s="43">
        <f>IF(LEN(FinanceCodesBudget[[#This Row],[Title]])&lt;100,0,1)</f>
        <v>0</v>
      </c>
      <c r="L301" s="43">
        <f>IF(ISBLANK(FinanceCodesBudget[[#This Row],[BalanceToScenario]]),1,0)</f>
        <v>0</v>
      </c>
      <c r="M301" s="43">
        <f>SUM(FinanceCodesBudget[[#This Row],[LedgerIssue]:[CustGrIssue]],FinanceCodesBudget[[#This Row],[DupCode]:[Balance to Scenario Blank]])</f>
        <v>0</v>
      </c>
      <c r="N301">
        <v>760100</v>
      </c>
      <c r="O301" t="s">
        <v>2822</v>
      </c>
      <c r="P301" t="s">
        <v>517</v>
      </c>
      <c r="Q301" t="s">
        <v>1992</v>
      </c>
      <c r="R301" t="b">
        <v>0</v>
      </c>
      <c r="S301" t="s">
        <v>2526</v>
      </c>
      <c r="T301" t="s">
        <v>1300</v>
      </c>
      <c r="U301" t="s">
        <v>1532</v>
      </c>
      <c r="V301" t="b">
        <v>1</v>
      </c>
      <c r="W301" t="b">
        <v>0</v>
      </c>
    </row>
    <row r="302" spans="1:23" x14ac:dyDescent="0.3">
      <c r="A302" s="147">
        <f>IF(COUNTIF(LEDGER[LedgerCode],FinanceCodesBudget[[#This Row],[LedgerCode]])&gt;0,0,1)</f>
        <v>0</v>
      </c>
      <c r="B302" s="43">
        <f>IF(COUNTIF(Table_System_Grouping_Codes[groupingCodeCode],FinanceCodesBudget[[#This Row],[GroupingCode]])&gt;0,0,1)</f>
        <v>0</v>
      </c>
      <c r="C302" s="43">
        <f>IF(COUNTIF(CUSTGROUP[CustomGroupingCode],FinanceCodesBudget[[#This Row],[CustomGrouping]])&gt;0,0,1)</f>
        <v>0</v>
      </c>
      <c r="D302" s="43" cm="1">
        <f t="array" ref="D302">IF(FinanceCodesBudget[[#This Row],[AvailableToAllSchools]]=TRUE,0,COUNTA(_xlfn.TEXTSPLIT(FinanceCodesBudget[[#This Row],[SchoolCodes]],",",,TRUE))-SUM(COUNTIF(SCHOOLS[SchoolCode],_xlfn.TEXTSPLIT(FinanceCodesBudget[[#This Row],[SchoolCodes]],",",,TRUE))))</f>
        <v>0</v>
      </c>
      <c r="E302" s="43">
        <f>IF(FinanceCodesBudget[[#This Row],[FinanceCodeTypeCode]]="BUDGET",0,COUNTIF(FinanceCodesBudget[FinanceCode],FinanceCodesBudget[[#This Row],[FinanceCode]])-1)</f>
        <v>0</v>
      </c>
      <c r="F302" s="43">
        <f>IF(FinanceCodesBudget[[#This Row],[FinanceCodeTypeCode]]="BUDGET",0,COUNTIF(FinanceCodesBudget[Title],FinanceCodesBudget[[#This Row],[Title]])-1)</f>
        <v>0</v>
      </c>
      <c r="G302" s="43">
        <f>COUNTIF(Lookup!$A$2:$A$7,FinanceCodesBudget[[#This Row],[FinanceCodeTypeCode]])-1</f>
        <v>0</v>
      </c>
      <c r="H302" s="43">
        <f>IF(TRIM(FinanceCodesBudget[[#This Row],[Title]])="",1,0)</f>
        <v>0</v>
      </c>
      <c r="I302" s="43">
        <f>IF(TRIM(FinanceCodesBudget[[#This Row],[FinanceCode]])="",1,0)</f>
        <v>0</v>
      </c>
      <c r="J302" s="43">
        <f>IF(LEN(FinanceCodesBudget[[#This Row],[FinanceCode]])&lt;100,0,1)</f>
        <v>0</v>
      </c>
      <c r="K302" s="43">
        <f>IF(LEN(FinanceCodesBudget[[#This Row],[Title]])&lt;100,0,1)</f>
        <v>0</v>
      </c>
      <c r="L302" s="43">
        <f>IF(ISBLANK(FinanceCodesBudget[[#This Row],[BalanceToScenario]]),1,0)</f>
        <v>0</v>
      </c>
      <c r="M302" s="43">
        <f>SUM(FinanceCodesBudget[[#This Row],[LedgerIssue]:[CustGrIssue]],FinanceCodesBudget[[#This Row],[DupCode]:[Balance to Scenario Blank]])</f>
        <v>0</v>
      </c>
      <c r="N302">
        <v>760150</v>
      </c>
      <c r="O302" t="s">
        <v>2823</v>
      </c>
      <c r="P302" t="s">
        <v>519</v>
      </c>
      <c r="Q302" t="s">
        <v>1992</v>
      </c>
      <c r="R302" t="b">
        <v>0</v>
      </c>
      <c r="S302" t="s">
        <v>2526</v>
      </c>
      <c r="T302" t="s">
        <v>1300</v>
      </c>
      <c r="U302" t="s">
        <v>1532</v>
      </c>
      <c r="V302" t="b">
        <v>1</v>
      </c>
      <c r="W302" t="b">
        <v>0</v>
      </c>
    </row>
    <row r="303" spans="1:23" x14ac:dyDescent="0.3">
      <c r="A303" s="147">
        <f>IF(COUNTIF(LEDGER[LedgerCode],FinanceCodesBudget[[#This Row],[LedgerCode]])&gt;0,0,1)</f>
        <v>0</v>
      </c>
      <c r="B303" s="43">
        <f>IF(COUNTIF(Table_System_Grouping_Codes[groupingCodeCode],FinanceCodesBudget[[#This Row],[GroupingCode]])&gt;0,0,1)</f>
        <v>0</v>
      </c>
      <c r="C303" s="43">
        <f>IF(COUNTIF(CUSTGROUP[CustomGroupingCode],FinanceCodesBudget[[#This Row],[CustomGrouping]])&gt;0,0,1)</f>
        <v>0</v>
      </c>
      <c r="D303" s="43" cm="1">
        <f t="array" ref="D303">IF(FinanceCodesBudget[[#This Row],[AvailableToAllSchools]]=TRUE,0,COUNTA(_xlfn.TEXTSPLIT(FinanceCodesBudget[[#This Row],[SchoolCodes]],",",,TRUE))-SUM(COUNTIF(SCHOOLS[SchoolCode],_xlfn.TEXTSPLIT(FinanceCodesBudget[[#This Row],[SchoolCodes]],",",,TRUE))))</f>
        <v>0</v>
      </c>
      <c r="E303" s="43">
        <f>IF(FinanceCodesBudget[[#This Row],[FinanceCodeTypeCode]]="BUDGET",0,COUNTIF(FinanceCodesBudget[FinanceCode],FinanceCodesBudget[[#This Row],[FinanceCode]])-1)</f>
        <v>0</v>
      </c>
      <c r="F303" s="43">
        <f>IF(FinanceCodesBudget[[#This Row],[FinanceCodeTypeCode]]="BUDGET",0,COUNTIF(FinanceCodesBudget[Title],FinanceCodesBudget[[#This Row],[Title]])-1)</f>
        <v>0</v>
      </c>
      <c r="G303" s="43">
        <f>COUNTIF(Lookup!$A$2:$A$7,FinanceCodesBudget[[#This Row],[FinanceCodeTypeCode]])-1</f>
        <v>0</v>
      </c>
      <c r="H303" s="43">
        <f>IF(TRIM(FinanceCodesBudget[[#This Row],[Title]])="",1,0)</f>
        <v>0</v>
      </c>
      <c r="I303" s="43">
        <f>IF(TRIM(FinanceCodesBudget[[#This Row],[FinanceCode]])="",1,0)</f>
        <v>0</v>
      </c>
      <c r="J303" s="43">
        <f>IF(LEN(FinanceCodesBudget[[#This Row],[FinanceCode]])&lt;100,0,1)</f>
        <v>0</v>
      </c>
      <c r="K303" s="43">
        <f>IF(LEN(FinanceCodesBudget[[#This Row],[Title]])&lt;100,0,1)</f>
        <v>0</v>
      </c>
      <c r="L303" s="43">
        <f>IF(ISBLANK(FinanceCodesBudget[[#This Row],[BalanceToScenario]]),1,0)</f>
        <v>0</v>
      </c>
      <c r="M303" s="43">
        <f>SUM(FinanceCodesBudget[[#This Row],[LedgerIssue]:[CustGrIssue]],FinanceCodesBudget[[#This Row],[DupCode]:[Balance to Scenario Blank]])</f>
        <v>0</v>
      </c>
      <c r="N303">
        <v>760200</v>
      </c>
      <c r="O303" t="s">
        <v>2824</v>
      </c>
      <c r="P303" t="s">
        <v>521</v>
      </c>
      <c r="Q303" t="s">
        <v>1992</v>
      </c>
      <c r="R303" t="b">
        <v>0</v>
      </c>
      <c r="S303" t="s">
        <v>2526</v>
      </c>
      <c r="T303" t="s">
        <v>1300</v>
      </c>
      <c r="U303" t="s">
        <v>1532</v>
      </c>
      <c r="V303" t="b">
        <v>1</v>
      </c>
      <c r="W303" t="b">
        <v>0</v>
      </c>
    </row>
    <row r="304" spans="1:23" x14ac:dyDescent="0.3">
      <c r="A304" s="147">
        <f>IF(COUNTIF(LEDGER[LedgerCode],FinanceCodesBudget[[#This Row],[LedgerCode]])&gt;0,0,1)</f>
        <v>0</v>
      </c>
      <c r="B304" s="43">
        <f>IF(COUNTIF(Table_System_Grouping_Codes[groupingCodeCode],FinanceCodesBudget[[#This Row],[GroupingCode]])&gt;0,0,1)</f>
        <v>0</v>
      </c>
      <c r="C304" s="43">
        <f>IF(COUNTIF(CUSTGROUP[CustomGroupingCode],FinanceCodesBudget[[#This Row],[CustomGrouping]])&gt;0,0,1)</f>
        <v>0</v>
      </c>
      <c r="D304" s="43" cm="1">
        <f t="array" ref="D304">IF(FinanceCodesBudget[[#This Row],[AvailableToAllSchools]]=TRUE,0,COUNTA(_xlfn.TEXTSPLIT(FinanceCodesBudget[[#This Row],[SchoolCodes]],",",,TRUE))-SUM(COUNTIF(SCHOOLS[SchoolCode],_xlfn.TEXTSPLIT(FinanceCodesBudget[[#This Row],[SchoolCodes]],",",,TRUE))))</f>
        <v>0</v>
      </c>
      <c r="E304" s="43">
        <f>IF(FinanceCodesBudget[[#This Row],[FinanceCodeTypeCode]]="BUDGET",0,COUNTIF(FinanceCodesBudget[FinanceCode],FinanceCodesBudget[[#This Row],[FinanceCode]])-1)</f>
        <v>0</v>
      </c>
      <c r="F304" s="43">
        <f>IF(FinanceCodesBudget[[#This Row],[FinanceCodeTypeCode]]="BUDGET",0,COUNTIF(FinanceCodesBudget[Title],FinanceCodesBudget[[#This Row],[Title]])-1)</f>
        <v>0</v>
      </c>
      <c r="G304" s="43">
        <f>COUNTIF(Lookup!$A$2:$A$7,FinanceCodesBudget[[#This Row],[FinanceCodeTypeCode]])-1</f>
        <v>0</v>
      </c>
      <c r="H304" s="43">
        <f>IF(TRIM(FinanceCodesBudget[[#This Row],[Title]])="",1,0)</f>
        <v>0</v>
      </c>
      <c r="I304" s="43">
        <f>IF(TRIM(FinanceCodesBudget[[#This Row],[FinanceCode]])="",1,0)</f>
        <v>0</v>
      </c>
      <c r="J304" s="43">
        <f>IF(LEN(FinanceCodesBudget[[#This Row],[FinanceCode]])&lt;100,0,1)</f>
        <v>0</v>
      </c>
      <c r="K304" s="43">
        <f>IF(LEN(FinanceCodesBudget[[#This Row],[Title]])&lt;100,0,1)</f>
        <v>0</v>
      </c>
      <c r="L304" s="43">
        <f>IF(ISBLANK(FinanceCodesBudget[[#This Row],[BalanceToScenario]]),1,0)</f>
        <v>0</v>
      </c>
      <c r="M304" s="43">
        <f>SUM(FinanceCodesBudget[[#This Row],[LedgerIssue]:[CustGrIssue]],FinanceCodesBudget[[#This Row],[DupCode]:[Balance to Scenario Blank]])</f>
        <v>0</v>
      </c>
      <c r="N304">
        <v>760250</v>
      </c>
      <c r="O304" t="s">
        <v>2825</v>
      </c>
      <c r="P304" t="s">
        <v>523</v>
      </c>
      <c r="Q304" t="s">
        <v>1992</v>
      </c>
      <c r="R304" t="b">
        <v>0</v>
      </c>
      <c r="S304" t="s">
        <v>2526</v>
      </c>
      <c r="T304" t="s">
        <v>1300</v>
      </c>
      <c r="U304" t="s">
        <v>1532</v>
      </c>
      <c r="V304" t="b">
        <v>1</v>
      </c>
      <c r="W304" t="b">
        <v>0</v>
      </c>
    </row>
    <row r="305" spans="1:23" x14ac:dyDescent="0.3">
      <c r="A305" s="147">
        <f>IF(COUNTIF(LEDGER[LedgerCode],FinanceCodesBudget[[#This Row],[LedgerCode]])&gt;0,0,1)</f>
        <v>0</v>
      </c>
      <c r="B305" s="43">
        <f>IF(COUNTIF(Table_System_Grouping_Codes[groupingCodeCode],FinanceCodesBudget[[#This Row],[GroupingCode]])&gt;0,0,1)</f>
        <v>0</v>
      </c>
      <c r="C305" s="43">
        <f>IF(COUNTIF(CUSTGROUP[CustomGroupingCode],FinanceCodesBudget[[#This Row],[CustomGrouping]])&gt;0,0,1)</f>
        <v>0</v>
      </c>
      <c r="D305" s="43" cm="1">
        <f t="array" ref="D305">IF(FinanceCodesBudget[[#This Row],[AvailableToAllSchools]]=TRUE,0,COUNTA(_xlfn.TEXTSPLIT(FinanceCodesBudget[[#This Row],[SchoolCodes]],",",,TRUE))-SUM(COUNTIF(SCHOOLS[SchoolCode],_xlfn.TEXTSPLIT(FinanceCodesBudget[[#This Row],[SchoolCodes]],",",,TRUE))))</f>
        <v>0</v>
      </c>
      <c r="E305" s="43">
        <f>IF(FinanceCodesBudget[[#This Row],[FinanceCodeTypeCode]]="BUDGET",0,COUNTIF(FinanceCodesBudget[FinanceCode],FinanceCodesBudget[[#This Row],[FinanceCode]])-1)</f>
        <v>0</v>
      </c>
      <c r="F305" s="43">
        <f>IF(FinanceCodesBudget[[#This Row],[FinanceCodeTypeCode]]="BUDGET",0,COUNTIF(FinanceCodesBudget[Title],FinanceCodesBudget[[#This Row],[Title]])-1)</f>
        <v>0</v>
      </c>
      <c r="G305" s="43">
        <f>COUNTIF(Lookup!$A$2:$A$7,FinanceCodesBudget[[#This Row],[FinanceCodeTypeCode]])-1</f>
        <v>0</v>
      </c>
      <c r="H305" s="43">
        <f>IF(TRIM(FinanceCodesBudget[[#This Row],[Title]])="",1,0)</f>
        <v>0</v>
      </c>
      <c r="I305" s="43">
        <f>IF(TRIM(FinanceCodesBudget[[#This Row],[FinanceCode]])="",1,0)</f>
        <v>0</v>
      </c>
      <c r="J305" s="43">
        <f>IF(LEN(FinanceCodesBudget[[#This Row],[FinanceCode]])&lt;100,0,1)</f>
        <v>0</v>
      </c>
      <c r="K305" s="43">
        <f>IF(LEN(FinanceCodesBudget[[#This Row],[Title]])&lt;100,0,1)</f>
        <v>0</v>
      </c>
      <c r="L305" s="43">
        <f>IF(ISBLANK(FinanceCodesBudget[[#This Row],[BalanceToScenario]]),1,0)</f>
        <v>0</v>
      </c>
      <c r="M305" s="43">
        <f>SUM(FinanceCodesBudget[[#This Row],[LedgerIssue]:[CustGrIssue]],FinanceCodesBudget[[#This Row],[DupCode]:[Balance to Scenario Blank]])</f>
        <v>0</v>
      </c>
      <c r="N305">
        <v>760300</v>
      </c>
      <c r="O305" t="s">
        <v>2826</v>
      </c>
      <c r="P305" t="s">
        <v>525</v>
      </c>
      <c r="Q305" t="s">
        <v>1992</v>
      </c>
      <c r="R305" t="b">
        <v>0</v>
      </c>
      <c r="S305" t="s">
        <v>2526</v>
      </c>
      <c r="T305" t="s">
        <v>1300</v>
      </c>
      <c r="U305" t="s">
        <v>1532</v>
      </c>
      <c r="V305" t="b">
        <v>1</v>
      </c>
      <c r="W305" t="b">
        <v>0</v>
      </c>
    </row>
    <row r="306" spans="1:23" x14ac:dyDescent="0.3">
      <c r="A306" s="147">
        <f>IF(COUNTIF(LEDGER[LedgerCode],FinanceCodesBudget[[#This Row],[LedgerCode]])&gt;0,0,1)</f>
        <v>0</v>
      </c>
      <c r="B306" s="43">
        <f>IF(COUNTIF(Table_System_Grouping_Codes[groupingCodeCode],FinanceCodesBudget[[#This Row],[GroupingCode]])&gt;0,0,1)</f>
        <v>0</v>
      </c>
      <c r="C306" s="43">
        <f>IF(COUNTIF(CUSTGROUP[CustomGroupingCode],FinanceCodesBudget[[#This Row],[CustomGrouping]])&gt;0,0,1)</f>
        <v>0</v>
      </c>
      <c r="D306" s="43" cm="1">
        <f t="array" ref="D306">IF(FinanceCodesBudget[[#This Row],[AvailableToAllSchools]]=TRUE,0,COUNTA(_xlfn.TEXTSPLIT(FinanceCodesBudget[[#This Row],[SchoolCodes]],",",,TRUE))-SUM(COUNTIF(SCHOOLS[SchoolCode],_xlfn.TEXTSPLIT(FinanceCodesBudget[[#This Row],[SchoolCodes]],",",,TRUE))))</f>
        <v>0</v>
      </c>
      <c r="E306" s="43">
        <f>IF(FinanceCodesBudget[[#This Row],[FinanceCodeTypeCode]]="BUDGET",0,COUNTIF(FinanceCodesBudget[FinanceCode],FinanceCodesBudget[[#This Row],[FinanceCode]])-1)</f>
        <v>0</v>
      </c>
      <c r="F306" s="43">
        <f>IF(FinanceCodesBudget[[#This Row],[FinanceCodeTypeCode]]="BUDGET",0,COUNTIF(FinanceCodesBudget[Title],FinanceCodesBudget[[#This Row],[Title]])-1)</f>
        <v>0</v>
      </c>
      <c r="G306" s="43">
        <f>COUNTIF(Lookup!$A$2:$A$7,FinanceCodesBudget[[#This Row],[FinanceCodeTypeCode]])-1</f>
        <v>0</v>
      </c>
      <c r="H306" s="43">
        <f>IF(TRIM(FinanceCodesBudget[[#This Row],[Title]])="",1,0)</f>
        <v>0</v>
      </c>
      <c r="I306" s="43">
        <f>IF(TRIM(FinanceCodesBudget[[#This Row],[FinanceCode]])="",1,0)</f>
        <v>0</v>
      </c>
      <c r="J306" s="43">
        <f>IF(LEN(FinanceCodesBudget[[#This Row],[FinanceCode]])&lt;100,0,1)</f>
        <v>0</v>
      </c>
      <c r="K306" s="43">
        <f>IF(LEN(FinanceCodesBudget[[#This Row],[Title]])&lt;100,0,1)</f>
        <v>0</v>
      </c>
      <c r="L306" s="43">
        <f>IF(ISBLANK(FinanceCodesBudget[[#This Row],[BalanceToScenario]]),1,0)</f>
        <v>0</v>
      </c>
      <c r="M306" s="43">
        <f>SUM(FinanceCodesBudget[[#This Row],[LedgerIssue]:[CustGrIssue]],FinanceCodesBudget[[#This Row],[DupCode]:[Balance to Scenario Blank]])</f>
        <v>0</v>
      </c>
      <c r="N306">
        <v>760350</v>
      </c>
      <c r="O306" t="s">
        <v>2827</v>
      </c>
      <c r="P306" t="s">
        <v>527</v>
      </c>
      <c r="Q306" t="s">
        <v>1992</v>
      </c>
      <c r="R306" t="b">
        <v>0</v>
      </c>
      <c r="S306" t="s">
        <v>2526</v>
      </c>
      <c r="T306" t="s">
        <v>1300</v>
      </c>
      <c r="U306" t="s">
        <v>1532</v>
      </c>
      <c r="V306" t="b">
        <v>1</v>
      </c>
      <c r="W306" t="b">
        <v>0</v>
      </c>
    </row>
    <row r="307" spans="1:23" x14ac:dyDescent="0.3">
      <c r="A307" s="147">
        <f>IF(COUNTIF(LEDGER[LedgerCode],FinanceCodesBudget[[#This Row],[LedgerCode]])&gt;0,0,1)</f>
        <v>0</v>
      </c>
      <c r="B307" s="43">
        <f>IF(COUNTIF(Table_System_Grouping_Codes[groupingCodeCode],FinanceCodesBudget[[#This Row],[GroupingCode]])&gt;0,0,1)</f>
        <v>0</v>
      </c>
      <c r="C307" s="43">
        <f>IF(COUNTIF(CUSTGROUP[CustomGroupingCode],FinanceCodesBudget[[#This Row],[CustomGrouping]])&gt;0,0,1)</f>
        <v>0</v>
      </c>
      <c r="D307" s="43" cm="1">
        <f t="array" ref="D307">IF(FinanceCodesBudget[[#This Row],[AvailableToAllSchools]]=TRUE,0,COUNTA(_xlfn.TEXTSPLIT(FinanceCodesBudget[[#This Row],[SchoolCodes]],",",,TRUE))-SUM(COUNTIF(SCHOOLS[SchoolCode],_xlfn.TEXTSPLIT(FinanceCodesBudget[[#This Row],[SchoolCodes]],",",,TRUE))))</f>
        <v>0</v>
      </c>
      <c r="E307" s="43">
        <f>IF(FinanceCodesBudget[[#This Row],[FinanceCodeTypeCode]]="BUDGET",0,COUNTIF(FinanceCodesBudget[FinanceCode],FinanceCodesBudget[[#This Row],[FinanceCode]])-1)</f>
        <v>0</v>
      </c>
      <c r="F307" s="43">
        <f>IF(FinanceCodesBudget[[#This Row],[FinanceCodeTypeCode]]="BUDGET",0,COUNTIF(FinanceCodesBudget[Title],FinanceCodesBudget[[#This Row],[Title]])-1)</f>
        <v>0</v>
      </c>
      <c r="G307" s="43">
        <f>COUNTIF(Lookup!$A$2:$A$7,FinanceCodesBudget[[#This Row],[FinanceCodeTypeCode]])-1</f>
        <v>0</v>
      </c>
      <c r="H307" s="43">
        <f>IF(TRIM(FinanceCodesBudget[[#This Row],[Title]])="",1,0)</f>
        <v>0</v>
      </c>
      <c r="I307" s="43">
        <f>IF(TRIM(FinanceCodesBudget[[#This Row],[FinanceCode]])="",1,0)</f>
        <v>0</v>
      </c>
      <c r="J307" s="43">
        <f>IF(LEN(FinanceCodesBudget[[#This Row],[FinanceCode]])&lt;100,0,1)</f>
        <v>0</v>
      </c>
      <c r="K307" s="43">
        <f>IF(LEN(FinanceCodesBudget[[#This Row],[Title]])&lt;100,0,1)</f>
        <v>0</v>
      </c>
      <c r="L307" s="43">
        <f>IF(ISBLANK(FinanceCodesBudget[[#This Row],[BalanceToScenario]]),1,0)</f>
        <v>0</v>
      </c>
      <c r="M307" s="43">
        <f>SUM(FinanceCodesBudget[[#This Row],[LedgerIssue]:[CustGrIssue]],FinanceCodesBudget[[#This Row],[DupCode]:[Balance to Scenario Blank]])</f>
        <v>0</v>
      </c>
      <c r="N307">
        <v>760400</v>
      </c>
      <c r="O307" t="s">
        <v>2828</v>
      </c>
      <c r="P307" t="s">
        <v>529</v>
      </c>
      <c r="Q307" t="s">
        <v>1992</v>
      </c>
      <c r="R307" t="b">
        <v>0</v>
      </c>
      <c r="S307" t="s">
        <v>2526</v>
      </c>
      <c r="T307" t="s">
        <v>1300</v>
      </c>
      <c r="U307" t="s">
        <v>1532</v>
      </c>
      <c r="V307" t="b">
        <v>1</v>
      </c>
      <c r="W307" t="b">
        <v>0</v>
      </c>
    </row>
    <row r="308" spans="1:23" x14ac:dyDescent="0.3">
      <c r="A308" s="147">
        <f>IF(COUNTIF(LEDGER[LedgerCode],FinanceCodesBudget[[#This Row],[LedgerCode]])&gt;0,0,1)</f>
        <v>0</v>
      </c>
      <c r="B308" s="43">
        <f>IF(COUNTIF(Table_System_Grouping_Codes[groupingCodeCode],FinanceCodesBudget[[#This Row],[GroupingCode]])&gt;0,0,1)</f>
        <v>0</v>
      </c>
      <c r="C308" s="43">
        <f>IF(COUNTIF(CUSTGROUP[CustomGroupingCode],FinanceCodesBudget[[#This Row],[CustomGrouping]])&gt;0,0,1)</f>
        <v>0</v>
      </c>
      <c r="D308" s="43" cm="1">
        <f t="array" ref="D308">IF(FinanceCodesBudget[[#This Row],[AvailableToAllSchools]]=TRUE,0,COUNTA(_xlfn.TEXTSPLIT(FinanceCodesBudget[[#This Row],[SchoolCodes]],",",,TRUE))-SUM(COUNTIF(SCHOOLS[SchoolCode],_xlfn.TEXTSPLIT(FinanceCodesBudget[[#This Row],[SchoolCodes]],",",,TRUE))))</f>
        <v>0</v>
      </c>
      <c r="E308" s="43">
        <f>IF(FinanceCodesBudget[[#This Row],[FinanceCodeTypeCode]]="BUDGET",0,COUNTIF(FinanceCodesBudget[FinanceCode],FinanceCodesBudget[[#This Row],[FinanceCode]])-1)</f>
        <v>0</v>
      </c>
      <c r="F308" s="43">
        <f>IF(FinanceCodesBudget[[#This Row],[FinanceCodeTypeCode]]="BUDGET",0,COUNTIF(FinanceCodesBudget[Title],FinanceCodesBudget[[#This Row],[Title]])-1)</f>
        <v>0</v>
      </c>
      <c r="G308" s="43">
        <f>COUNTIF(Lookup!$A$2:$A$7,FinanceCodesBudget[[#This Row],[FinanceCodeTypeCode]])-1</f>
        <v>0</v>
      </c>
      <c r="H308" s="43">
        <f>IF(TRIM(FinanceCodesBudget[[#This Row],[Title]])="",1,0)</f>
        <v>0</v>
      </c>
      <c r="I308" s="43">
        <f>IF(TRIM(FinanceCodesBudget[[#This Row],[FinanceCode]])="",1,0)</f>
        <v>0</v>
      </c>
      <c r="J308" s="43">
        <f>IF(LEN(FinanceCodesBudget[[#This Row],[FinanceCode]])&lt;100,0,1)</f>
        <v>0</v>
      </c>
      <c r="K308" s="43">
        <f>IF(LEN(FinanceCodesBudget[[#This Row],[Title]])&lt;100,0,1)</f>
        <v>0</v>
      </c>
      <c r="L308" s="43">
        <f>IF(ISBLANK(FinanceCodesBudget[[#This Row],[BalanceToScenario]]),1,0)</f>
        <v>0</v>
      </c>
      <c r="M308" s="43">
        <f>SUM(FinanceCodesBudget[[#This Row],[LedgerIssue]:[CustGrIssue]],FinanceCodesBudget[[#This Row],[DupCode]:[Balance to Scenario Blank]])</f>
        <v>0</v>
      </c>
      <c r="N308">
        <v>760450</v>
      </c>
      <c r="O308" t="s">
        <v>2829</v>
      </c>
      <c r="P308" t="s">
        <v>531</v>
      </c>
      <c r="Q308" t="s">
        <v>1992</v>
      </c>
      <c r="R308" t="b">
        <v>0</v>
      </c>
      <c r="S308" t="s">
        <v>2526</v>
      </c>
      <c r="T308" t="s">
        <v>1300</v>
      </c>
      <c r="U308" t="s">
        <v>1532</v>
      </c>
      <c r="V308" t="b">
        <v>1</v>
      </c>
      <c r="W308" t="b">
        <v>0</v>
      </c>
    </row>
    <row r="309" spans="1:23" x14ac:dyDescent="0.3">
      <c r="A309" s="147">
        <f>IF(COUNTIF(LEDGER[LedgerCode],FinanceCodesBudget[[#This Row],[LedgerCode]])&gt;0,0,1)</f>
        <v>0</v>
      </c>
      <c r="B309" s="43">
        <f>IF(COUNTIF(Table_System_Grouping_Codes[groupingCodeCode],FinanceCodesBudget[[#This Row],[GroupingCode]])&gt;0,0,1)</f>
        <v>0</v>
      </c>
      <c r="C309" s="43">
        <f>IF(COUNTIF(CUSTGROUP[CustomGroupingCode],FinanceCodesBudget[[#This Row],[CustomGrouping]])&gt;0,0,1)</f>
        <v>0</v>
      </c>
      <c r="D309" s="43" cm="1">
        <f t="array" ref="D309">IF(FinanceCodesBudget[[#This Row],[AvailableToAllSchools]]=TRUE,0,COUNTA(_xlfn.TEXTSPLIT(FinanceCodesBudget[[#This Row],[SchoolCodes]],",",,TRUE))-SUM(COUNTIF(SCHOOLS[SchoolCode],_xlfn.TEXTSPLIT(FinanceCodesBudget[[#This Row],[SchoolCodes]],",",,TRUE))))</f>
        <v>0</v>
      </c>
      <c r="E309" s="43">
        <f>IF(FinanceCodesBudget[[#This Row],[FinanceCodeTypeCode]]="BUDGET",0,COUNTIF(FinanceCodesBudget[FinanceCode],FinanceCodesBudget[[#This Row],[FinanceCode]])-1)</f>
        <v>0</v>
      </c>
      <c r="F309" s="43">
        <f>IF(FinanceCodesBudget[[#This Row],[FinanceCodeTypeCode]]="BUDGET",0,COUNTIF(FinanceCodesBudget[Title],FinanceCodesBudget[[#This Row],[Title]])-1)</f>
        <v>0</v>
      </c>
      <c r="G309" s="43">
        <f>COUNTIF(Lookup!$A$2:$A$7,FinanceCodesBudget[[#This Row],[FinanceCodeTypeCode]])-1</f>
        <v>0</v>
      </c>
      <c r="H309" s="43">
        <f>IF(TRIM(FinanceCodesBudget[[#This Row],[Title]])="",1,0)</f>
        <v>0</v>
      </c>
      <c r="I309" s="43">
        <f>IF(TRIM(FinanceCodesBudget[[#This Row],[FinanceCode]])="",1,0)</f>
        <v>0</v>
      </c>
      <c r="J309" s="43">
        <f>IF(LEN(FinanceCodesBudget[[#This Row],[FinanceCode]])&lt;100,0,1)</f>
        <v>0</v>
      </c>
      <c r="K309" s="43">
        <f>IF(LEN(FinanceCodesBudget[[#This Row],[Title]])&lt;100,0,1)</f>
        <v>0</v>
      </c>
      <c r="L309" s="43">
        <f>IF(ISBLANK(FinanceCodesBudget[[#This Row],[BalanceToScenario]]),1,0)</f>
        <v>0</v>
      </c>
      <c r="M309" s="43">
        <f>SUM(FinanceCodesBudget[[#This Row],[LedgerIssue]:[CustGrIssue]],FinanceCodesBudget[[#This Row],[DupCode]:[Balance to Scenario Blank]])</f>
        <v>0</v>
      </c>
      <c r="N309">
        <v>760500</v>
      </c>
      <c r="O309" t="s">
        <v>2830</v>
      </c>
      <c r="P309" t="s">
        <v>1871</v>
      </c>
      <c r="Q309" t="s">
        <v>1992</v>
      </c>
      <c r="R309" t="b">
        <v>0</v>
      </c>
      <c r="S309" t="s">
        <v>2526</v>
      </c>
      <c r="T309" t="s">
        <v>1300</v>
      </c>
      <c r="U309" t="s">
        <v>1532</v>
      </c>
      <c r="V309" t="b">
        <v>1</v>
      </c>
      <c r="W309" t="b">
        <v>0</v>
      </c>
    </row>
    <row r="310" spans="1:23" x14ac:dyDescent="0.3">
      <c r="A310" s="147">
        <f>IF(COUNTIF(LEDGER[LedgerCode],FinanceCodesBudget[[#This Row],[LedgerCode]])&gt;0,0,1)</f>
        <v>0</v>
      </c>
      <c r="B310" s="43">
        <f>IF(COUNTIF(Table_System_Grouping_Codes[groupingCodeCode],FinanceCodesBudget[[#This Row],[GroupingCode]])&gt;0,0,1)</f>
        <v>0</v>
      </c>
      <c r="C310" s="43">
        <f>IF(COUNTIF(CUSTGROUP[CustomGroupingCode],FinanceCodesBudget[[#This Row],[CustomGrouping]])&gt;0,0,1)</f>
        <v>0</v>
      </c>
      <c r="D310" s="43" cm="1">
        <f t="array" ref="D310">IF(FinanceCodesBudget[[#This Row],[AvailableToAllSchools]]=TRUE,0,COUNTA(_xlfn.TEXTSPLIT(FinanceCodesBudget[[#This Row],[SchoolCodes]],",",,TRUE))-SUM(COUNTIF(SCHOOLS[SchoolCode],_xlfn.TEXTSPLIT(FinanceCodesBudget[[#This Row],[SchoolCodes]],",",,TRUE))))</f>
        <v>0</v>
      </c>
      <c r="E310" s="43">
        <f>IF(FinanceCodesBudget[[#This Row],[FinanceCodeTypeCode]]="BUDGET",0,COUNTIF(FinanceCodesBudget[FinanceCode],FinanceCodesBudget[[#This Row],[FinanceCode]])-1)</f>
        <v>0</v>
      </c>
      <c r="F310" s="43">
        <f>IF(FinanceCodesBudget[[#This Row],[FinanceCodeTypeCode]]="BUDGET",0,COUNTIF(FinanceCodesBudget[Title],FinanceCodesBudget[[#This Row],[Title]])-1)</f>
        <v>0</v>
      </c>
      <c r="G310" s="43">
        <f>COUNTIF(Lookup!$A$2:$A$7,FinanceCodesBudget[[#This Row],[FinanceCodeTypeCode]])-1</f>
        <v>0</v>
      </c>
      <c r="H310" s="43">
        <f>IF(TRIM(FinanceCodesBudget[[#This Row],[Title]])="",1,0)</f>
        <v>0</v>
      </c>
      <c r="I310" s="43">
        <f>IF(TRIM(FinanceCodesBudget[[#This Row],[FinanceCode]])="",1,0)</f>
        <v>0</v>
      </c>
      <c r="J310" s="43">
        <f>IF(LEN(FinanceCodesBudget[[#This Row],[FinanceCode]])&lt;100,0,1)</f>
        <v>0</v>
      </c>
      <c r="K310" s="43">
        <f>IF(LEN(FinanceCodesBudget[[#This Row],[Title]])&lt;100,0,1)</f>
        <v>0</v>
      </c>
      <c r="L310" s="43">
        <f>IF(ISBLANK(FinanceCodesBudget[[#This Row],[BalanceToScenario]]),1,0)</f>
        <v>0</v>
      </c>
      <c r="M310" s="43">
        <f>SUM(FinanceCodesBudget[[#This Row],[LedgerIssue]:[CustGrIssue]],FinanceCodesBudget[[#This Row],[DupCode]:[Balance to Scenario Blank]])</f>
        <v>0</v>
      </c>
      <c r="N310">
        <v>760550</v>
      </c>
      <c r="O310" t="s">
        <v>2831</v>
      </c>
      <c r="P310" t="s">
        <v>533</v>
      </c>
      <c r="Q310" t="s">
        <v>1992</v>
      </c>
      <c r="R310" t="b">
        <v>0</v>
      </c>
      <c r="S310" t="s">
        <v>2526</v>
      </c>
      <c r="T310" t="s">
        <v>1300</v>
      </c>
      <c r="U310" t="s">
        <v>1532</v>
      </c>
      <c r="V310" t="b">
        <v>1</v>
      </c>
      <c r="W310" t="b">
        <v>0</v>
      </c>
    </row>
    <row r="311" spans="1:23" x14ac:dyDescent="0.3">
      <c r="A311" s="147">
        <f>IF(COUNTIF(LEDGER[LedgerCode],FinanceCodesBudget[[#This Row],[LedgerCode]])&gt;0,0,1)</f>
        <v>0</v>
      </c>
      <c r="B311" s="43">
        <f>IF(COUNTIF(Table_System_Grouping_Codes[groupingCodeCode],FinanceCodesBudget[[#This Row],[GroupingCode]])&gt;0,0,1)</f>
        <v>0</v>
      </c>
      <c r="C311" s="43">
        <f>IF(COUNTIF(CUSTGROUP[CustomGroupingCode],FinanceCodesBudget[[#This Row],[CustomGrouping]])&gt;0,0,1)</f>
        <v>0</v>
      </c>
      <c r="D311" s="43" cm="1">
        <f t="array" ref="D311">IF(FinanceCodesBudget[[#This Row],[AvailableToAllSchools]]=TRUE,0,COUNTA(_xlfn.TEXTSPLIT(FinanceCodesBudget[[#This Row],[SchoolCodes]],",",,TRUE))-SUM(COUNTIF(SCHOOLS[SchoolCode],_xlfn.TEXTSPLIT(FinanceCodesBudget[[#This Row],[SchoolCodes]],",",,TRUE))))</f>
        <v>0</v>
      </c>
      <c r="E311" s="43">
        <f>IF(FinanceCodesBudget[[#This Row],[FinanceCodeTypeCode]]="BUDGET",0,COUNTIF(FinanceCodesBudget[FinanceCode],FinanceCodesBudget[[#This Row],[FinanceCode]])-1)</f>
        <v>0</v>
      </c>
      <c r="F311" s="43">
        <f>IF(FinanceCodesBudget[[#This Row],[FinanceCodeTypeCode]]="BUDGET",0,COUNTIF(FinanceCodesBudget[Title],FinanceCodesBudget[[#This Row],[Title]])-1)</f>
        <v>0</v>
      </c>
      <c r="G311" s="43">
        <f>COUNTIF(Lookup!$A$2:$A$7,FinanceCodesBudget[[#This Row],[FinanceCodeTypeCode]])-1</f>
        <v>0</v>
      </c>
      <c r="H311" s="43">
        <f>IF(TRIM(FinanceCodesBudget[[#This Row],[Title]])="",1,0)</f>
        <v>0</v>
      </c>
      <c r="I311" s="43">
        <f>IF(TRIM(FinanceCodesBudget[[#This Row],[FinanceCode]])="",1,0)</f>
        <v>0</v>
      </c>
      <c r="J311" s="43">
        <f>IF(LEN(FinanceCodesBudget[[#This Row],[FinanceCode]])&lt;100,0,1)</f>
        <v>0</v>
      </c>
      <c r="K311" s="43">
        <f>IF(LEN(FinanceCodesBudget[[#This Row],[Title]])&lt;100,0,1)</f>
        <v>0</v>
      </c>
      <c r="L311" s="43">
        <f>IF(ISBLANK(FinanceCodesBudget[[#This Row],[BalanceToScenario]]),1,0)</f>
        <v>0</v>
      </c>
      <c r="M311" s="43">
        <f>SUM(FinanceCodesBudget[[#This Row],[LedgerIssue]:[CustGrIssue]],FinanceCodesBudget[[#This Row],[DupCode]:[Balance to Scenario Blank]])</f>
        <v>0</v>
      </c>
      <c r="N311">
        <v>760600</v>
      </c>
      <c r="O311" t="s">
        <v>2832</v>
      </c>
      <c r="P311" t="s">
        <v>535</v>
      </c>
      <c r="Q311" t="s">
        <v>1992</v>
      </c>
      <c r="R311" t="b">
        <v>0</v>
      </c>
      <c r="S311" t="s">
        <v>2526</v>
      </c>
      <c r="T311" t="s">
        <v>1300</v>
      </c>
      <c r="U311" t="s">
        <v>1532</v>
      </c>
      <c r="V311" t="b">
        <v>1</v>
      </c>
      <c r="W311" t="b">
        <v>0</v>
      </c>
    </row>
    <row r="312" spans="1:23" x14ac:dyDescent="0.3">
      <c r="A312" s="147">
        <f>IF(COUNTIF(LEDGER[LedgerCode],FinanceCodesBudget[[#This Row],[LedgerCode]])&gt;0,0,1)</f>
        <v>0</v>
      </c>
      <c r="B312" s="43">
        <f>IF(COUNTIF(Table_System_Grouping_Codes[groupingCodeCode],FinanceCodesBudget[[#This Row],[GroupingCode]])&gt;0,0,1)</f>
        <v>0</v>
      </c>
      <c r="C312" s="43">
        <f>IF(COUNTIF(CUSTGROUP[CustomGroupingCode],FinanceCodesBudget[[#This Row],[CustomGrouping]])&gt;0,0,1)</f>
        <v>0</v>
      </c>
      <c r="D312" s="43" cm="1">
        <f t="array" ref="D312">IF(FinanceCodesBudget[[#This Row],[AvailableToAllSchools]]=TRUE,0,COUNTA(_xlfn.TEXTSPLIT(FinanceCodesBudget[[#This Row],[SchoolCodes]],",",,TRUE))-SUM(COUNTIF(SCHOOLS[SchoolCode],_xlfn.TEXTSPLIT(FinanceCodesBudget[[#This Row],[SchoolCodes]],",",,TRUE))))</f>
        <v>0</v>
      </c>
      <c r="E312" s="43">
        <f>IF(FinanceCodesBudget[[#This Row],[FinanceCodeTypeCode]]="BUDGET",0,COUNTIF(FinanceCodesBudget[FinanceCode],FinanceCodesBudget[[#This Row],[FinanceCode]])-1)</f>
        <v>0</v>
      </c>
      <c r="F312" s="43">
        <f>IF(FinanceCodesBudget[[#This Row],[FinanceCodeTypeCode]]="BUDGET",0,COUNTIF(FinanceCodesBudget[Title],FinanceCodesBudget[[#This Row],[Title]])-1)</f>
        <v>0</v>
      </c>
      <c r="G312" s="43">
        <f>COUNTIF(Lookup!$A$2:$A$7,FinanceCodesBudget[[#This Row],[FinanceCodeTypeCode]])-1</f>
        <v>0</v>
      </c>
      <c r="H312" s="43">
        <f>IF(TRIM(FinanceCodesBudget[[#This Row],[Title]])="",1,0)</f>
        <v>0</v>
      </c>
      <c r="I312" s="43">
        <f>IF(TRIM(FinanceCodesBudget[[#This Row],[FinanceCode]])="",1,0)</f>
        <v>0</v>
      </c>
      <c r="J312" s="43">
        <f>IF(LEN(FinanceCodesBudget[[#This Row],[FinanceCode]])&lt;100,0,1)</f>
        <v>0</v>
      </c>
      <c r="K312" s="43">
        <f>IF(LEN(FinanceCodesBudget[[#This Row],[Title]])&lt;100,0,1)</f>
        <v>0</v>
      </c>
      <c r="L312" s="43">
        <f>IF(ISBLANK(FinanceCodesBudget[[#This Row],[BalanceToScenario]]),1,0)</f>
        <v>0</v>
      </c>
      <c r="M312" s="43">
        <f>SUM(FinanceCodesBudget[[#This Row],[LedgerIssue]:[CustGrIssue]],FinanceCodesBudget[[#This Row],[DupCode]:[Balance to Scenario Blank]])</f>
        <v>0</v>
      </c>
      <c r="N312">
        <v>760650</v>
      </c>
      <c r="O312" t="s">
        <v>2833</v>
      </c>
      <c r="P312" t="s">
        <v>536</v>
      </c>
      <c r="Q312" t="s">
        <v>1992</v>
      </c>
      <c r="R312" t="b">
        <v>0</v>
      </c>
      <c r="S312" t="s">
        <v>2526</v>
      </c>
      <c r="T312" t="s">
        <v>1300</v>
      </c>
      <c r="U312" t="s">
        <v>1532</v>
      </c>
      <c r="V312" t="b">
        <v>1</v>
      </c>
      <c r="W312" t="b">
        <v>0</v>
      </c>
    </row>
    <row r="313" spans="1:23" x14ac:dyDescent="0.3">
      <c r="A313" s="147">
        <f>IF(COUNTIF(LEDGER[LedgerCode],FinanceCodesBudget[[#This Row],[LedgerCode]])&gt;0,0,1)</f>
        <v>0</v>
      </c>
      <c r="B313" s="43">
        <f>IF(COUNTIF(Table_System_Grouping_Codes[groupingCodeCode],FinanceCodesBudget[[#This Row],[GroupingCode]])&gt;0,0,1)</f>
        <v>0</v>
      </c>
      <c r="C313" s="43">
        <f>IF(COUNTIF(CUSTGROUP[CustomGroupingCode],FinanceCodesBudget[[#This Row],[CustomGrouping]])&gt;0,0,1)</f>
        <v>0</v>
      </c>
      <c r="D313" s="43" cm="1">
        <f t="array" ref="D313">IF(FinanceCodesBudget[[#This Row],[AvailableToAllSchools]]=TRUE,0,COUNTA(_xlfn.TEXTSPLIT(FinanceCodesBudget[[#This Row],[SchoolCodes]],",",,TRUE))-SUM(COUNTIF(SCHOOLS[SchoolCode],_xlfn.TEXTSPLIT(FinanceCodesBudget[[#This Row],[SchoolCodes]],",",,TRUE))))</f>
        <v>0</v>
      </c>
      <c r="E313" s="43">
        <f>IF(FinanceCodesBudget[[#This Row],[FinanceCodeTypeCode]]="BUDGET",0,COUNTIF(FinanceCodesBudget[FinanceCode],FinanceCodesBudget[[#This Row],[FinanceCode]])-1)</f>
        <v>0</v>
      </c>
      <c r="F313" s="43">
        <f>IF(FinanceCodesBudget[[#This Row],[FinanceCodeTypeCode]]="BUDGET",0,COUNTIF(FinanceCodesBudget[Title],FinanceCodesBudget[[#This Row],[Title]])-1)</f>
        <v>0</v>
      </c>
      <c r="G313" s="43">
        <f>COUNTIF(Lookup!$A$2:$A$7,FinanceCodesBudget[[#This Row],[FinanceCodeTypeCode]])-1</f>
        <v>0</v>
      </c>
      <c r="H313" s="43">
        <f>IF(TRIM(FinanceCodesBudget[[#This Row],[Title]])="",1,0)</f>
        <v>0</v>
      </c>
      <c r="I313" s="43">
        <f>IF(TRIM(FinanceCodesBudget[[#This Row],[FinanceCode]])="",1,0)</f>
        <v>0</v>
      </c>
      <c r="J313" s="43">
        <f>IF(LEN(FinanceCodesBudget[[#This Row],[FinanceCode]])&lt;100,0,1)</f>
        <v>0</v>
      </c>
      <c r="K313" s="43">
        <f>IF(LEN(FinanceCodesBudget[[#This Row],[Title]])&lt;100,0,1)</f>
        <v>0</v>
      </c>
      <c r="L313" s="43">
        <f>IF(ISBLANK(FinanceCodesBudget[[#This Row],[BalanceToScenario]]),1,0)</f>
        <v>0</v>
      </c>
      <c r="M313" s="43">
        <f>SUM(FinanceCodesBudget[[#This Row],[LedgerIssue]:[CustGrIssue]],FinanceCodesBudget[[#This Row],[DupCode]:[Balance to Scenario Blank]])</f>
        <v>0</v>
      </c>
      <c r="N313">
        <v>760655</v>
      </c>
      <c r="O313" t="s">
        <v>2834</v>
      </c>
      <c r="P313" t="s">
        <v>538</v>
      </c>
      <c r="Q313" t="s">
        <v>1992</v>
      </c>
      <c r="R313" t="b">
        <v>0</v>
      </c>
      <c r="S313" t="s">
        <v>2521</v>
      </c>
      <c r="T313" t="s">
        <v>1300</v>
      </c>
      <c r="U313" t="s">
        <v>1532</v>
      </c>
      <c r="V313" t="b">
        <v>1</v>
      </c>
      <c r="W313" t="b">
        <v>0</v>
      </c>
    </row>
    <row r="314" spans="1:23" x14ac:dyDescent="0.3">
      <c r="A314" s="147">
        <f>IF(COUNTIF(LEDGER[LedgerCode],FinanceCodesBudget[[#This Row],[LedgerCode]])&gt;0,0,1)</f>
        <v>0</v>
      </c>
      <c r="B314" s="43">
        <f>IF(COUNTIF(Table_System_Grouping_Codes[groupingCodeCode],FinanceCodesBudget[[#This Row],[GroupingCode]])&gt;0,0,1)</f>
        <v>0</v>
      </c>
      <c r="C314" s="43">
        <f>IF(COUNTIF(CUSTGROUP[CustomGroupingCode],FinanceCodesBudget[[#This Row],[CustomGrouping]])&gt;0,0,1)</f>
        <v>0</v>
      </c>
      <c r="D314" s="43" cm="1">
        <f t="array" ref="D314">IF(FinanceCodesBudget[[#This Row],[AvailableToAllSchools]]=TRUE,0,COUNTA(_xlfn.TEXTSPLIT(FinanceCodesBudget[[#This Row],[SchoolCodes]],",",,TRUE))-SUM(COUNTIF(SCHOOLS[SchoolCode],_xlfn.TEXTSPLIT(FinanceCodesBudget[[#This Row],[SchoolCodes]],",",,TRUE))))</f>
        <v>0</v>
      </c>
      <c r="E314" s="43">
        <f>IF(FinanceCodesBudget[[#This Row],[FinanceCodeTypeCode]]="BUDGET",0,COUNTIF(FinanceCodesBudget[FinanceCode],FinanceCodesBudget[[#This Row],[FinanceCode]])-1)</f>
        <v>0</v>
      </c>
      <c r="F314" s="43">
        <f>IF(FinanceCodesBudget[[#This Row],[FinanceCodeTypeCode]]="BUDGET",0,COUNTIF(FinanceCodesBudget[Title],FinanceCodesBudget[[#This Row],[Title]])-1)</f>
        <v>0</v>
      </c>
      <c r="G314" s="43">
        <f>COUNTIF(Lookup!$A$2:$A$7,FinanceCodesBudget[[#This Row],[FinanceCodeTypeCode]])-1</f>
        <v>0</v>
      </c>
      <c r="H314" s="43">
        <f>IF(TRIM(FinanceCodesBudget[[#This Row],[Title]])="",1,0)</f>
        <v>0</v>
      </c>
      <c r="I314" s="43">
        <f>IF(TRIM(FinanceCodesBudget[[#This Row],[FinanceCode]])="",1,0)</f>
        <v>0</v>
      </c>
      <c r="J314" s="43">
        <f>IF(LEN(FinanceCodesBudget[[#This Row],[FinanceCode]])&lt;100,0,1)</f>
        <v>0</v>
      </c>
      <c r="K314" s="43">
        <f>IF(LEN(FinanceCodesBudget[[#This Row],[Title]])&lt;100,0,1)</f>
        <v>0</v>
      </c>
      <c r="L314" s="43">
        <f>IF(ISBLANK(FinanceCodesBudget[[#This Row],[BalanceToScenario]]),1,0)</f>
        <v>0</v>
      </c>
      <c r="M314" s="43">
        <f>SUM(FinanceCodesBudget[[#This Row],[LedgerIssue]:[CustGrIssue]],FinanceCodesBudget[[#This Row],[DupCode]:[Balance to Scenario Blank]])</f>
        <v>0</v>
      </c>
      <c r="N314">
        <v>760680</v>
      </c>
      <c r="O314" t="s">
        <v>2835</v>
      </c>
      <c r="P314" t="s">
        <v>540</v>
      </c>
      <c r="Q314" t="s">
        <v>1992</v>
      </c>
      <c r="R314" t="b">
        <v>0</v>
      </c>
      <c r="S314" t="s">
        <v>2526</v>
      </c>
      <c r="T314" t="s">
        <v>1300</v>
      </c>
      <c r="U314" t="s">
        <v>1532</v>
      </c>
      <c r="V314" t="b">
        <v>1</v>
      </c>
      <c r="W314" t="b">
        <v>0</v>
      </c>
    </row>
    <row r="315" spans="1:23" x14ac:dyDescent="0.3">
      <c r="A315" s="147">
        <f>IF(COUNTIF(LEDGER[LedgerCode],FinanceCodesBudget[[#This Row],[LedgerCode]])&gt;0,0,1)</f>
        <v>0</v>
      </c>
      <c r="B315" s="43">
        <f>IF(COUNTIF(Table_System_Grouping_Codes[groupingCodeCode],FinanceCodesBudget[[#This Row],[GroupingCode]])&gt;0,0,1)</f>
        <v>0</v>
      </c>
      <c r="C315" s="43">
        <f>IF(COUNTIF(CUSTGROUP[CustomGroupingCode],FinanceCodesBudget[[#This Row],[CustomGrouping]])&gt;0,0,1)</f>
        <v>0</v>
      </c>
      <c r="D315" s="43" cm="1">
        <f t="array" ref="D315">IF(FinanceCodesBudget[[#This Row],[AvailableToAllSchools]]=TRUE,0,COUNTA(_xlfn.TEXTSPLIT(FinanceCodesBudget[[#This Row],[SchoolCodes]],",",,TRUE))-SUM(COUNTIF(SCHOOLS[SchoolCode],_xlfn.TEXTSPLIT(FinanceCodesBudget[[#This Row],[SchoolCodes]],",",,TRUE))))</f>
        <v>0</v>
      </c>
      <c r="E315" s="43">
        <f>IF(FinanceCodesBudget[[#This Row],[FinanceCodeTypeCode]]="BUDGET",0,COUNTIF(FinanceCodesBudget[FinanceCode],FinanceCodesBudget[[#This Row],[FinanceCode]])-1)</f>
        <v>0</v>
      </c>
      <c r="F315" s="43">
        <f>IF(FinanceCodesBudget[[#This Row],[FinanceCodeTypeCode]]="BUDGET",0,COUNTIF(FinanceCodesBudget[Title],FinanceCodesBudget[[#This Row],[Title]])-1)</f>
        <v>0</v>
      </c>
      <c r="G315" s="43">
        <f>COUNTIF(Lookup!$A$2:$A$7,FinanceCodesBudget[[#This Row],[FinanceCodeTypeCode]])-1</f>
        <v>0</v>
      </c>
      <c r="H315" s="43">
        <f>IF(TRIM(FinanceCodesBudget[[#This Row],[Title]])="",1,0)</f>
        <v>0</v>
      </c>
      <c r="I315" s="43">
        <f>IF(TRIM(FinanceCodesBudget[[#This Row],[FinanceCode]])="",1,0)</f>
        <v>0</v>
      </c>
      <c r="J315" s="43">
        <f>IF(LEN(FinanceCodesBudget[[#This Row],[FinanceCode]])&lt;100,0,1)</f>
        <v>0</v>
      </c>
      <c r="K315" s="43">
        <f>IF(LEN(FinanceCodesBudget[[#This Row],[Title]])&lt;100,0,1)</f>
        <v>0</v>
      </c>
      <c r="L315" s="43">
        <f>IF(ISBLANK(FinanceCodesBudget[[#This Row],[BalanceToScenario]]),1,0)</f>
        <v>0</v>
      </c>
      <c r="M315" s="43">
        <f>SUM(FinanceCodesBudget[[#This Row],[LedgerIssue]:[CustGrIssue]],FinanceCodesBudget[[#This Row],[DupCode]:[Balance to Scenario Blank]])</f>
        <v>0</v>
      </c>
      <c r="N315">
        <v>760700</v>
      </c>
      <c r="O315" t="s">
        <v>2836</v>
      </c>
      <c r="P315" t="s">
        <v>542</v>
      </c>
      <c r="Q315" t="s">
        <v>1992</v>
      </c>
      <c r="R315" t="b">
        <v>0</v>
      </c>
      <c r="S315" t="s">
        <v>2526</v>
      </c>
      <c r="T315" t="s">
        <v>1300</v>
      </c>
      <c r="U315" t="s">
        <v>1532</v>
      </c>
      <c r="V315" t="b">
        <v>1</v>
      </c>
      <c r="W315" t="b">
        <v>0</v>
      </c>
    </row>
    <row r="316" spans="1:23" x14ac:dyDescent="0.3">
      <c r="A316" s="147">
        <f>IF(COUNTIF(LEDGER[LedgerCode],FinanceCodesBudget[[#This Row],[LedgerCode]])&gt;0,0,1)</f>
        <v>0</v>
      </c>
      <c r="B316" s="43">
        <f>IF(COUNTIF(Table_System_Grouping_Codes[groupingCodeCode],FinanceCodesBudget[[#This Row],[GroupingCode]])&gt;0,0,1)</f>
        <v>0</v>
      </c>
      <c r="C316" s="43">
        <f>IF(COUNTIF(CUSTGROUP[CustomGroupingCode],FinanceCodesBudget[[#This Row],[CustomGrouping]])&gt;0,0,1)</f>
        <v>0</v>
      </c>
      <c r="D316" s="43" cm="1">
        <f t="array" ref="D316">IF(FinanceCodesBudget[[#This Row],[AvailableToAllSchools]]=TRUE,0,COUNTA(_xlfn.TEXTSPLIT(FinanceCodesBudget[[#This Row],[SchoolCodes]],",",,TRUE))-SUM(COUNTIF(SCHOOLS[SchoolCode],_xlfn.TEXTSPLIT(FinanceCodesBudget[[#This Row],[SchoolCodes]],",",,TRUE))))</f>
        <v>0</v>
      </c>
      <c r="E316" s="43">
        <f>IF(FinanceCodesBudget[[#This Row],[FinanceCodeTypeCode]]="BUDGET",0,COUNTIF(FinanceCodesBudget[FinanceCode],FinanceCodesBudget[[#This Row],[FinanceCode]])-1)</f>
        <v>0</v>
      </c>
      <c r="F316" s="43">
        <f>IF(FinanceCodesBudget[[#This Row],[FinanceCodeTypeCode]]="BUDGET",0,COUNTIF(FinanceCodesBudget[Title],FinanceCodesBudget[[#This Row],[Title]])-1)</f>
        <v>0</v>
      </c>
      <c r="G316" s="43">
        <f>COUNTIF(Lookup!$A$2:$A$7,FinanceCodesBudget[[#This Row],[FinanceCodeTypeCode]])-1</f>
        <v>0</v>
      </c>
      <c r="H316" s="43">
        <f>IF(TRIM(FinanceCodesBudget[[#This Row],[Title]])="",1,0)</f>
        <v>0</v>
      </c>
      <c r="I316" s="43">
        <f>IF(TRIM(FinanceCodesBudget[[#This Row],[FinanceCode]])="",1,0)</f>
        <v>0</v>
      </c>
      <c r="J316" s="43">
        <f>IF(LEN(FinanceCodesBudget[[#This Row],[FinanceCode]])&lt;100,0,1)</f>
        <v>0</v>
      </c>
      <c r="K316" s="43">
        <f>IF(LEN(FinanceCodesBudget[[#This Row],[Title]])&lt;100,0,1)</f>
        <v>0</v>
      </c>
      <c r="L316" s="43">
        <f>IF(ISBLANK(FinanceCodesBudget[[#This Row],[BalanceToScenario]]),1,0)</f>
        <v>0</v>
      </c>
      <c r="M316" s="43">
        <f>SUM(FinanceCodesBudget[[#This Row],[LedgerIssue]:[CustGrIssue]],FinanceCodesBudget[[#This Row],[DupCode]:[Balance to Scenario Blank]])</f>
        <v>0</v>
      </c>
      <c r="N316">
        <v>760710</v>
      </c>
      <c r="O316" t="s">
        <v>2837</v>
      </c>
      <c r="P316" t="s">
        <v>544</v>
      </c>
      <c r="Q316" t="s">
        <v>851</v>
      </c>
      <c r="R316" t="b">
        <v>0</v>
      </c>
      <c r="S316" t="s">
        <v>2526</v>
      </c>
      <c r="T316" t="s">
        <v>1300</v>
      </c>
      <c r="U316" t="s">
        <v>1532</v>
      </c>
      <c r="V316" t="b">
        <v>1</v>
      </c>
      <c r="W316" t="b">
        <v>0</v>
      </c>
    </row>
    <row r="317" spans="1:23" x14ac:dyDescent="0.3">
      <c r="A317" s="147">
        <f>IF(COUNTIF(LEDGER[LedgerCode],FinanceCodesBudget[[#This Row],[LedgerCode]])&gt;0,0,1)</f>
        <v>0</v>
      </c>
      <c r="B317" s="43">
        <f>IF(COUNTIF(Table_System_Grouping_Codes[groupingCodeCode],FinanceCodesBudget[[#This Row],[GroupingCode]])&gt;0,0,1)</f>
        <v>0</v>
      </c>
      <c r="C317" s="43">
        <f>IF(COUNTIF(CUSTGROUP[CustomGroupingCode],FinanceCodesBudget[[#This Row],[CustomGrouping]])&gt;0,0,1)</f>
        <v>0</v>
      </c>
      <c r="D317" s="43" cm="1">
        <f t="array" ref="D317">IF(FinanceCodesBudget[[#This Row],[AvailableToAllSchools]]=TRUE,0,COUNTA(_xlfn.TEXTSPLIT(FinanceCodesBudget[[#This Row],[SchoolCodes]],",",,TRUE))-SUM(COUNTIF(SCHOOLS[SchoolCode],_xlfn.TEXTSPLIT(FinanceCodesBudget[[#This Row],[SchoolCodes]],",",,TRUE))))</f>
        <v>0</v>
      </c>
      <c r="E317" s="43">
        <f>IF(FinanceCodesBudget[[#This Row],[FinanceCodeTypeCode]]="BUDGET",0,COUNTIF(FinanceCodesBudget[FinanceCode],FinanceCodesBudget[[#This Row],[FinanceCode]])-1)</f>
        <v>0</v>
      </c>
      <c r="F317" s="43">
        <f>IF(FinanceCodesBudget[[#This Row],[FinanceCodeTypeCode]]="BUDGET",0,COUNTIF(FinanceCodesBudget[Title],FinanceCodesBudget[[#This Row],[Title]])-1)</f>
        <v>0</v>
      </c>
      <c r="G317" s="43">
        <f>COUNTIF(Lookup!$A$2:$A$7,FinanceCodesBudget[[#This Row],[FinanceCodeTypeCode]])-1</f>
        <v>0</v>
      </c>
      <c r="H317" s="43">
        <f>IF(TRIM(FinanceCodesBudget[[#This Row],[Title]])="",1,0)</f>
        <v>0</v>
      </c>
      <c r="I317" s="43">
        <f>IF(TRIM(FinanceCodesBudget[[#This Row],[FinanceCode]])="",1,0)</f>
        <v>0</v>
      </c>
      <c r="J317" s="43">
        <f>IF(LEN(FinanceCodesBudget[[#This Row],[FinanceCode]])&lt;100,0,1)</f>
        <v>0</v>
      </c>
      <c r="K317" s="43">
        <f>IF(LEN(FinanceCodesBudget[[#This Row],[Title]])&lt;100,0,1)</f>
        <v>0</v>
      </c>
      <c r="L317" s="43">
        <f>IF(ISBLANK(FinanceCodesBudget[[#This Row],[BalanceToScenario]]),1,0)</f>
        <v>0</v>
      </c>
      <c r="M317" s="43">
        <f>SUM(FinanceCodesBudget[[#This Row],[LedgerIssue]:[CustGrIssue]],FinanceCodesBudget[[#This Row],[DupCode]:[Balance to Scenario Blank]])</f>
        <v>0</v>
      </c>
      <c r="N317">
        <v>770100</v>
      </c>
      <c r="O317" t="s">
        <v>2838</v>
      </c>
      <c r="P317" t="s">
        <v>546</v>
      </c>
      <c r="Q317" t="s">
        <v>851</v>
      </c>
      <c r="R317" t="b">
        <v>0</v>
      </c>
      <c r="S317" t="s">
        <v>2526</v>
      </c>
      <c r="T317" t="s">
        <v>1300</v>
      </c>
      <c r="U317" t="s">
        <v>1965</v>
      </c>
      <c r="V317" t="b">
        <v>1</v>
      </c>
      <c r="W317" t="b">
        <v>0</v>
      </c>
    </row>
    <row r="318" spans="1:23" x14ac:dyDescent="0.3">
      <c r="A318" s="147">
        <f>IF(COUNTIF(LEDGER[LedgerCode],FinanceCodesBudget[[#This Row],[LedgerCode]])&gt;0,0,1)</f>
        <v>0</v>
      </c>
      <c r="B318" s="43">
        <f>IF(COUNTIF(Table_System_Grouping_Codes[groupingCodeCode],FinanceCodesBudget[[#This Row],[GroupingCode]])&gt;0,0,1)</f>
        <v>0</v>
      </c>
      <c r="C318" s="43">
        <f>IF(COUNTIF(CUSTGROUP[CustomGroupingCode],FinanceCodesBudget[[#This Row],[CustomGrouping]])&gt;0,0,1)</f>
        <v>0</v>
      </c>
      <c r="D318" s="43" cm="1">
        <f t="array" ref="D318">IF(FinanceCodesBudget[[#This Row],[AvailableToAllSchools]]=TRUE,0,COUNTA(_xlfn.TEXTSPLIT(FinanceCodesBudget[[#This Row],[SchoolCodes]],",",,TRUE))-SUM(COUNTIF(SCHOOLS[SchoolCode],_xlfn.TEXTSPLIT(FinanceCodesBudget[[#This Row],[SchoolCodes]],",",,TRUE))))</f>
        <v>0</v>
      </c>
      <c r="E318" s="43">
        <f>IF(FinanceCodesBudget[[#This Row],[FinanceCodeTypeCode]]="BUDGET",0,COUNTIF(FinanceCodesBudget[FinanceCode],FinanceCodesBudget[[#This Row],[FinanceCode]])-1)</f>
        <v>0</v>
      </c>
      <c r="F318" s="43">
        <f>IF(FinanceCodesBudget[[#This Row],[FinanceCodeTypeCode]]="BUDGET",0,COUNTIF(FinanceCodesBudget[Title],FinanceCodesBudget[[#This Row],[Title]])-1)</f>
        <v>0</v>
      </c>
      <c r="G318" s="43">
        <f>COUNTIF(Lookup!$A$2:$A$7,FinanceCodesBudget[[#This Row],[FinanceCodeTypeCode]])-1</f>
        <v>0</v>
      </c>
      <c r="H318" s="43">
        <f>IF(TRIM(FinanceCodesBudget[[#This Row],[Title]])="",1,0)</f>
        <v>0</v>
      </c>
      <c r="I318" s="43">
        <f>IF(TRIM(FinanceCodesBudget[[#This Row],[FinanceCode]])="",1,0)</f>
        <v>0</v>
      </c>
      <c r="J318" s="43">
        <f>IF(LEN(FinanceCodesBudget[[#This Row],[FinanceCode]])&lt;100,0,1)</f>
        <v>0</v>
      </c>
      <c r="K318" s="43">
        <f>IF(LEN(FinanceCodesBudget[[#This Row],[Title]])&lt;100,0,1)</f>
        <v>0</v>
      </c>
      <c r="L318" s="43">
        <f>IF(ISBLANK(FinanceCodesBudget[[#This Row],[BalanceToScenario]]),1,0)</f>
        <v>0</v>
      </c>
      <c r="M318" s="43">
        <f>SUM(FinanceCodesBudget[[#This Row],[LedgerIssue]:[CustGrIssue]],FinanceCodesBudget[[#This Row],[DupCode]:[Balance to Scenario Blank]])</f>
        <v>0</v>
      </c>
      <c r="N318">
        <v>770101</v>
      </c>
      <c r="O318" t="s">
        <v>2839</v>
      </c>
      <c r="P318" t="s">
        <v>548</v>
      </c>
      <c r="Q318" t="s">
        <v>851</v>
      </c>
      <c r="R318" t="b">
        <v>0</v>
      </c>
      <c r="S318" t="s">
        <v>2526</v>
      </c>
      <c r="T318" t="s">
        <v>1300</v>
      </c>
      <c r="U318" t="s">
        <v>1965</v>
      </c>
      <c r="V318" t="b">
        <v>1</v>
      </c>
      <c r="W318" t="b">
        <v>0</v>
      </c>
    </row>
    <row r="319" spans="1:23" x14ac:dyDescent="0.3">
      <c r="A319" s="147">
        <f>IF(COUNTIF(LEDGER[LedgerCode],FinanceCodesBudget[[#This Row],[LedgerCode]])&gt;0,0,1)</f>
        <v>0</v>
      </c>
      <c r="B319" s="43">
        <f>IF(COUNTIF(Table_System_Grouping_Codes[groupingCodeCode],FinanceCodesBudget[[#This Row],[GroupingCode]])&gt;0,0,1)</f>
        <v>0</v>
      </c>
      <c r="C319" s="43">
        <f>IF(COUNTIF(CUSTGROUP[CustomGroupingCode],FinanceCodesBudget[[#This Row],[CustomGrouping]])&gt;0,0,1)</f>
        <v>0</v>
      </c>
      <c r="D319" s="43" cm="1">
        <f t="array" ref="D319">IF(FinanceCodesBudget[[#This Row],[AvailableToAllSchools]]=TRUE,0,COUNTA(_xlfn.TEXTSPLIT(FinanceCodesBudget[[#This Row],[SchoolCodes]],",",,TRUE))-SUM(COUNTIF(SCHOOLS[SchoolCode],_xlfn.TEXTSPLIT(FinanceCodesBudget[[#This Row],[SchoolCodes]],",",,TRUE))))</f>
        <v>0</v>
      </c>
      <c r="E319" s="43">
        <f>IF(FinanceCodesBudget[[#This Row],[FinanceCodeTypeCode]]="BUDGET",0,COUNTIF(FinanceCodesBudget[FinanceCode],FinanceCodesBudget[[#This Row],[FinanceCode]])-1)</f>
        <v>0</v>
      </c>
      <c r="F319" s="43">
        <f>IF(FinanceCodesBudget[[#This Row],[FinanceCodeTypeCode]]="BUDGET",0,COUNTIF(FinanceCodesBudget[Title],FinanceCodesBudget[[#This Row],[Title]])-1)</f>
        <v>0</v>
      </c>
      <c r="G319" s="43">
        <f>COUNTIF(Lookup!$A$2:$A$7,FinanceCodesBudget[[#This Row],[FinanceCodeTypeCode]])-1</f>
        <v>0</v>
      </c>
      <c r="H319" s="43">
        <f>IF(TRIM(FinanceCodesBudget[[#This Row],[Title]])="",1,0)</f>
        <v>0</v>
      </c>
      <c r="I319" s="43">
        <f>IF(TRIM(FinanceCodesBudget[[#This Row],[FinanceCode]])="",1,0)</f>
        <v>0</v>
      </c>
      <c r="J319" s="43">
        <f>IF(LEN(FinanceCodesBudget[[#This Row],[FinanceCode]])&lt;100,0,1)</f>
        <v>0</v>
      </c>
      <c r="K319" s="43">
        <f>IF(LEN(FinanceCodesBudget[[#This Row],[Title]])&lt;100,0,1)</f>
        <v>0</v>
      </c>
      <c r="L319" s="43">
        <f>IF(ISBLANK(FinanceCodesBudget[[#This Row],[BalanceToScenario]]),1,0)</f>
        <v>0</v>
      </c>
      <c r="M319" s="43">
        <f>SUM(FinanceCodesBudget[[#This Row],[LedgerIssue]:[CustGrIssue]],FinanceCodesBudget[[#This Row],[DupCode]:[Balance to Scenario Blank]])</f>
        <v>0</v>
      </c>
      <c r="N319">
        <v>770102</v>
      </c>
      <c r="O319" t="s">
        <v>2840</v>
      </c>
      <c r="P319" t="s">
        <v>550</v>
      </c>
      <c r="Q319" t="s">
        <v>851</v>
      </c>
      <c r="R319" t="b">
        <v>0</v>
      </c>
      <c r="S319" t="s">
        <v>2526</v>
      </c>
      <c r="T319" t="s">
        <v>1300</v>
      </c>
      <c r="U319" t="s">
        <v>1965</v>
      </c>
      <c r="V319" t="b">
        <v>1</v>
      </c>
      <c r="W319" t="b">
        <v>0</v>
      </c>
    </row>
    <row r="320" spans="1:23" x14ac:dyDescent="0.3">
      <c r="A320" s="147">
        <f>IF(COUNTIF(LEDGER[LedgerCode],FinanceCodesBudget[[#This Row],[LedgerCode]])&gt;0,0,1)</f>
        <v>0</v>
      </c>
      <c r="B320" s="43">
        <f>IF(COUNTIF(Table_System_Grouping_Codes[groupingCodeCode],FinanceCodesBudget[[#This Row],[GroupingCode]])&gt;0,0,1)</f>
        <v>0</v>
      </c>
      <c r="C320" s="43">
        <f>IF(COUNTIF(CUSTGROUP[CustomGroupingCode],FinanceCodesBudget[[#This Row],[CustomGrouping]])&gt;0,0,1)</f>
        <v>0</v>
      </c>
      <c r="D320" s="43" cm="1">
        <f t="array" ref="D320">IF(FinanceCodesBudget[[#This Row],[AvailableToAllSchools]]=TRUE,0,COUNTA(_xlfn.TEXTSPLIT(FinanceCodesBudget[[#This Row],[SchoolCodes]],",",,TRUE))-SUM(COUNTIF(SCHOOLS[SchoolCode],_xlfn.TEXTSPLIT(FinanceCodesBudget[[#This Row],[SchoolCodes]],",",,TRUE))))</f>
        <v>0</v>
      </c>
      <c r="E320" s="43">
        <f>IF(FinanceCodesBudget[[#This Row],[FinanceCodeTypeCode]]="BUDGET",0,COUNTIF(FinanceCodesBudget[FinanceCode],FinanceCodesBudget[[#This Row],[FinanceCode]])-1)</f>
        <v>0</v>
      </c>
      <c r="F320" s="43">
        <f>IF(FinanceCodesBudget[[#This Row],[FinanceCodeTypeCode]]="BUDGET",0,COUNTIF(FinanceCodesBudget[Title],FinanceCodesBudget[[#This Row],[Title]])-1)</f>
        <v>0</v>
      </c>
      <c r="G320" s="43">
        <f>COUNTIF(Lookup!$A$2:$A$7,FinanceCodesBudget[[#This Row],[FinanceCodeTypeCode]])-1</f>
        <v>0</v>
      </c>
      <c r="H320" s="43">
        <f>IF(TRIM(FinanceCodesBudget[[#This Row],[Title]])="",1,0)</f>
        <v>0</v>
      </c>
      <c r="I320" s="43">
        <f>IF(TRIM(FinanceCodesBudget[[#This Row],[FinanceCode]])="",1,0)</f>
        <v>0</v>
      </c>
      <c r="J320" s="43">
        <f>IF(LEN(FinanceCodesBudget[[#This Row],[FinanceCode]])&lt;100,0,1)</f>
        <v>0</v>
      </c>
      <c r="K320" s="43">
        <f>IF(LEN(FinanceCodesBudget[[#This Row],[Title]])&lt;100,0,1)</f>
        <v>0</v>
      </c>
      <c r="L320" s="43">
        <f>IF(ISBLANK(FinanceCodesBudget[[#This Row],[BalanceToScenario]]),1,0)</f>
        <v>0</v>
      </c>
      <c r="M320" s="43">
        <f>SUM(FinanceCodesBudget[[#This Row],[LedgerIssue]:[CustGrIssue]],FinanceCodesBudget[[#This Row],[DupCode]:[Balance to Scenario Blank]])</f>
        <v>0</v>
      </c>
      <c r="N320">
        <v>770103</v>
      </c>
      <c r="O320" t="s">
        <v>2841</v>
      </c>
      <c r="P320" t="s">
        <v>552</v>
      </c>
      <c r="Q320" t="s">
        <v>851</v>
      </c>
      <c r="R320" t="b">
        <v>0</v>
      </c>
      <c r="S320" t="s">
        <v>2526</v>
      </c>
      <c r="T320" t="s">
        <v>1300</v>
      </c>
      <c r="U320" t="s">
        <v>1965</v>
      </c>
      <c r="V320" t="b">
        <v>1</v>
      </c>
      <c r="W320" t="b">
        <v>0</v>
      </c>
    </row>
    <row r="321" spans="1:23" x14ac:dyDescent="0.3">
      <c r="A321" s="147">
        <f>IF(COUNTIF(LEDGER[LedgerCode],FinanceCodesBudget[[#This Row],[LedgerCode]])&gt;0,0,1)</f>
        <v>0</v>
      </c>
      <c r="B321" s="43">
        <f>IF(COUNTIF(Table_System_Grouping_Codes[groupingCodeCode],FinanceCodesBudget[[#This Row],[GroupingCode]])&gt;0,0,1)</f>
        <v>0</v>
      </c>
      <c r="C321" s="43">
        <f>IF(COUNTIF(CUSTGROUP[CustomGroupingCode],FinanceCodesBudget[[#This Row],[CustomGrouping]])&gt;0,0,1)</f>
        <v>0</v>
      </c>
      <c r="D321" s="43" cm="1">
        <f t="array" ref="D321">IF(FinanceCodesBudget[[#This Row],[AvailableToAllSchools]]=TRUE,0,COUNTA(_xlfn.TEXTSPLIT(FinanceCodesBudget[[#This Row],[SchoolCodes]],",",,TRUE))-SUM(COUNTIF(SCHOOLS[SchoolCode],_xlfn.TEXTSPLIT(FinanceCodesBudget[[#This Row],[SchoolCodes]],",",,TRUE))))</f>
        <v>0</v>
      </c>
      <c r="E321" s="43">
        <f>IF(FinanceCodesBudget[[#This Row],[FinanceCodeTypeCode]]="BUDGET",0,COUNTIF(FinanceCodesBudget[FinanceCode],FinanceCodesBudget[[#This Row],[FinanceCode]])-1)</f>
        <v>0</v>
      </c>
      <c r="F321" s="43">
        <f>IF(FinanceCodesBudget[[#This Row],[FinanceCodeTypeCode]]="BUDGET",0,COUNTIF(FinanceCodesBudget[Title],FinanceCodesBudget[[#This Row],[Title]])-1)</f>
        <v>0</v>
      </c>
      <c r="G321" s="43">
        <f>COUNTIF(Lookup!$A$2:$A$7,FinanceCodesBudget[[#This Row],[FinanceCodeTypeCode]])-1</f>
        <v>0</v>
      </c>
      <c r="H321" s="43">
        <f>IF(TRIM(FinanceCodesBudget[[#This Row],[Title]])="",1,0)</f>
        <v>0</v>
      </c>
      <c r="I321" s="43">
        <f>IF(TRIM(FinanceCodesBudget[[#This Row],[FinanceCode]])="",1,0)</f>
        <v>0</v>
      </c>
      <c r="J321" s="43">
        <f>IF(LEN(FinanceCodesBudget[[#This Row],[FinanceCode]])&lt;100,0,1)</f>
        <v>0</v>
      </c>
      <c r="K321" s="43">
        <f>IF(LEN(FinanceCodesBudget[[#This Row],[Title]])&lt;100,0,1)</f>
        <v>0</v>
      </c>
      <c r="L321" s="43">
        <f>IF(ISBLANK(FinanceCodesBudget[[#This Row],[BalanceToScenario]]),1,0)</f>
        <v>0</v>
      </c>
      <c r="M321" s="43">
        <f>SUM(FinanceCodesBudget[[#This Row],[LedgerIssue]:[CustGrIssue]],FinanceCodesBudget[[#This Row],[DupCode]:[Balance to Scenario Blank]])</f>
        <v>0</v>
      </c>
      <c r="N321">
        <v>770104</v>
      </c>
      <c r="O321" t="s">
        <v>2842</v>
      </c>
      <c r="P321" t="s">
        <v>554</v>
      </c>
      <c r="Q321" t="s">
        <v>851</v>
      </c>
      <c r="R321" t="b">
        <v>0</v>
      </c>
      <c r="S321" t="s">
        <v>2843</v>
      </c>
      <c r="T321" t="s">
        <v>1300</v>
      </c>
      <c r="U321" t="s">
        <v>1965</v>
      </c>
      <c r="V321" t="b">
        <v>1</v>
      </c>
      <c r="W321" t="b">
        <v>0</v>
      </c>
    </row>
    <row r="322" spans="1:23" x14ac:dyDescent="0.3">
      <c r="A322" s="147">
        <f>IF(COUNTIF(LEDGER[LedgerCode],FinanceCodesBudget[[#This Row],[LedgerCode]])&gt;0,0,1)</f>
        <v>0</v>
      </c>
      <c r="B322" s="43">
        <f>IF(COUNTIF(Table_System_Grouping_Codes[groupingCodeCode],FinanceCodesBudget[[#This Row],[GroupingCode]])&gt;0,0,1)</f>
        <v>0</v>
      </c>
      <c r="C322" s="43">
        <f>IF(COUNTIF(CUSTGROUP[CustomGroupingCode],FinanceCodesBudget[[#This Row],[CustomGrouping]])&gt;0,0,1)</f>
        <v>0</v>
      </c>
      <c r="D322" s="43" cm="1">
        <f t="array" ref="D322">IF(FinanceCodesBudget[[#This Row],[AvailableToAllSchools]]=TRUE,0,COUNTA(_xlfn.TEXTSPLIT(FinanceCodesBudget[[#This Row],[SchoolCodes]],",",,TRUE))-SUM(COUNTIF(SCHOOLS[SchoolCode],_xlfn.TEXTSPLIT(FinanceCodesBudget[[#This Row],[SchoolCodes]],",",,TRUE))))</f>
        <v>0</v>
      </c>
      <c r="E322" s="43">
        <f>IF(FinanceCodesBudget[[#This Row],[FinanceCodeTypeCode]]="BUDGET",0,COUNTIF(FinanceCodesBudget[FinanceCode],FinanceCodesBudget[[#This Row],[FinanceCode]])-1)</f>
        <v>0</v>
      </c>
      <c r="F322" s="43">
        <f>IF(FinanceCodesBudget[[#This Row],[FinanceCodeTypeCode]]="BUDGET",0,COUNTIF(FinanceCodesBudget[Title],FinanceCodesBudget[[#This Row],[Title]])-1)</f>
        <v>0</v>
      </c>
      <c r="G322" s="43">
        <f>COUNTIF(Lookup!$A$2:$A$7,FinanceCodesBudget[[#This Row],[FinanceCodeTypeCode]])-1</f>
        <v>0</v>
      </c>
      <c r="H322" s="43">
        <f>IF(TRIM(FinanceCodesBudget[[#This Row],[Title]])="",1,0)</f>
        <v>0</v>
      </c>
      <c r="I322" s="43">
        <f>IF(TRIM(FinanceCodesBudget[[#This Row],[FinanceCode]])="",1,0)</f>
        <v>0</v>
      </c>
      <c r="J322" s="43">
        <f>IF(LEN(FinanceCodesBudget[[#This Row],[FinanceCode]])&lt;100,0,1)</f>
        <v>0</v>
      </c>
      <c r="K322" s="43">
        <f>IF(LEN(FinanceCodesBudget[[#This Row],[Title]])&lt;100,0,1)</f>
        <v>0</v>
      </c>
      <c r="L322" s="43">
        <f>IF(ISBLANK(FinanceCodesBudget[[#This Row],[BalanceToScenario]]),1,0)</f>
        <v>0</v>
      </c>
      <c r="M322" s="43">
        <f>SUM(FinanceCodesBudget[[#This Row],[LedgerIssue]:[CustGrIssue]],FinanceCodesBudget[[#This Row],[DupCode]:[Balance to Scenario Blank]])</f>
        <v>0</v>
      </c>
      <c r="N322">
        <v>770105</v>
      </c>
      <c r="O322" t="s">
        <v>2844</v>
      </c>
      <c r="P322" t="s">
        <v>556</v>
      </c>
      <c r="Q322" t="s">
        <v>851</v>
      </c>
      <c r="R322" t="b">
        <v>0</v>
      </c>
      <c r="S322" t="s">
        <v>2526</v>
      </c>
      <c r="T322" t="s">
        <v>1300</v>
      </c>
      <c r="U322" t="s">
        <v>1965</v>
      </c>
      <c r="V322" t="b">
        <v>1</v>
      </c>
      <c r="W322" t="b">
        <v>0</v>
      </c>
    </row>
    <row r="323" spans="1:23" x14ac:dyDescent="0.3">
      <c r="A323" s="147">
        <f>IF(COUNTIF(LEDGER[LedgerCode],FinanceCodesBudget[[#This Row],[LedgerCode]])&gt;0,0,1)</f>
        <v>0</v>
      </c>
      <c r="B323" s="43">
        <f>IF(COUNTIF(Table_System_Grouping_Codes[groupingCodeCode],FinanceCodesBudget[[#This Row],[GroupingCode]])&gt;0,0,1)</f>
        <v>0</v>
      </c>
      <c r="C323" s="43">
        <f>IF(COUNTIF(CUSTGROUP[CustomGroupingCode],FinanceCodesBudget[[#This Row],[CustomGrouping]])&gt;0,0,1)</f>
        <v>0</v>
      </c>
      <c r="D323" s="43" cm="1">
        <f t="array" ref="D323">IF(FinanceCodesBudget[[#This Row],[AvailableToAllSchools]]=TRUE,0,COUNTA(_xlfn.TEXTSPLIT(FinanceCodesBudget[[#This Row],[SchoolCodes]],",",,TRUE))-SUM(COUNTIF(SCHOOLS[SchoolCode],_xlfn.TEXTSPLIT(FinanceCodesBudget[[#This Row],[SchoolCodes]],",",,TRUE))))</f>
        <v>0</v>
      </c>
      <c r="E323" s="43">
        <f>IF(FinanceCodesBudget[[#This Row],[FinanceCodeTypeCode]]="BUDGET",0,COUNTIF(FinanceCodesBudget[FinanceCode],FinanceCodesBudget[[#This Row],[FinanceCode]])-1)</f>
        <v>0</v>
      </c>
      <c r="F323" s="43">
        <f>IF(FinanceCodesBudget[[#This Row],[FinanceCodeTypeCode]]="BUDGET",0,COUNTIF(FinanceCodesBudget[Title],FinanceCodesBudget[[#This Row],[Title]])-1)</f>
        <v>0</v>
      </c>
      <c r="G323" s="43">
        <f>COUNTIF(Lookup!$A$2:$A$7,FinanceCodesBudget[[#This Row],[FinanceCodeTypeCode]])-1</f>
        <v>0</v>
      </c>
      <c r="H323" s="43">
        <f>IF(TRIM(FinanceCodesBudget[[#This Row],[Title]])="",1,0)</f>
        <v>0</v>
      </c>
      <c r="I323" s="43">
        <f>IF(TRIM(FinanceCodesBudget[[#This Row],[FinanceCode]])="",1,0)</f>
        <v>0</v>
      </c>
      <c r="J323" s="43">
        <f>IF(LEN(FinanceCodesBudget[[#This Row],[FinanceCode]])&lt;100,0,1)</f>
        <v>0</v>
      </c>
      <c r="K323" s="43">
        <f>IF(LEN(FinanceCodesBudget[[#This Row],[Title]])&lt;100,0,1)</f>
        <v>0</v>
      </c>
      <c r="L323" s="43">
        <f>IF(ISBLANK(FinanceCodesBudget[[#This Row],[BalanceToScenario]]),1,0)</f>
        <v>0</v>
      </c>
      <c r="M323" s="43">
        <f>SUM(FinanceCodesBudget[[#This Row],[LedgerIssue]:[CustGrIssue]],FinanceCodesBudget[[#This Row],[DupCode]:[Balance to Scenario Blank]])</f>
        <v>0</v>
      </c>
      <c r="N323">
        <v>780100</v>
      </c>
      <c r="O323" t="s">
        <v>2845</v>
      </c>
      <c r="P323" t="s">
        <v>558</v>
      </c>
      <c r="Q323" t="s">
        <v>1994</v>
      </c>
      <c r="R323" t="b">
        <v>0</v>
      </c>
      <c r="S323" t="s">
        <v>2846</v>
      </c>
      <c r="T323" t="s">
        <v>1300</v>
      </c>
      <c r="U323" t="s">
        <v>1532</v>
      </c>
      <c r="V323" t="b">
        <v>1</v>
      </c>
      <c r="W323" t="b">
        <v>0</v>
      </c>
    </row>
    <row r="324" spans="1:23" x14ac:dyDescent="0.3">
      <c r="A324" s="147">
        <f>IF(COUNTIF(LEDGER[LedgerCode],FinanceCodesBudget[[#This Row],[LedgerCode]])&gt;0,0,1)</f>
        <v>0</v>
      </c>
      <c r="B324" s="43">
        <f>IF(COUNTIF(Table_System_Grouping_Codes[groupingCodeCode],FinanceCodesBudget[[#This Row],[GroupingCode]])&gt;0,0,1)</f>
        <v>0</v>
      </c>
      <c r="C324" s="43">
        <f>IF(COUNTIF(CUSTGROUP[CustomGroupingCode],FinanceCodesBudget[[#This Row],[CustomGrouping]])&gt;0,0,1)</f>
        <v>0</v>
      </c>
      <c r="D324" s="43" cm="1">
        <f t="array" ref="D324">IF(FinanceCodesBudget[[#This Row],[AvailableToAllSchools]]=TRUE,0,COUNTA(_xlfn.TEXTSPLIT(FinanceCodesBudget[[#This Row],[SchoolCodes]],",",,TRUE))-SUM(COUNTIF(SCHOOLS[SchoolCode],_xlfn.TEXTSPLIT(FinanceCodesBudget[[#This Row],[SchoolCodes]],",",,TRUE))))</f>
        <v>0</v>
      </c>
      <c r="E324" s="43">
        <f>IF(FinanceCodesBudget[[#This Row],[FinanceCodeTypeCode]]="BUDGET",0,COUNTIF(FinanceCodesBudget[FinanceCode],FinanceCodesBudget[[#This Row],[FinanceCode]])-1)</f>
        <v>0</v>
      </c>
      <c r="F324" s="43">
        <f>IF(FinanceCodesBudget[[#This Row],[FinanceCodeTypeCode]]="BUDGET",0,COUNTIF(FinanceCodesBudget[Title],FinanceCodesBudget[[#This Row],[Title]])-1)</f>
        <v>0</v>
      </c>
      <c r="G324" s="43">
        <f>COUNTIF(Lookup!$A$2:$A$7,FinanceCodesBudget[[#This Row],[FinanceCodeTypeCode]])-1</f>
        <v>0</v>
      </c>
      <c r="H324" s="43">
        <f>IF(TRIM(FinanceCodesBudget[[#This Row],[Title]])="",1,0)</f>
        <v>0</v>
      </c>
      <c r="I324" s="43">
        <f>IF(TRIM(FinanceCodesBudget[[#This Row],[FinanceCode]])="",1,0)</f>
        <v>0</v>
      </c>
      <c r="J324" s="43">
        <f>IF(LEN(FinanceCodesBudget[[#This Row],[FinanceCode]])&lt;100,0,1)</f>
        <v>0</v>
      </c>
      <c r="K324" s="43">
        <f>IF(LEN(FinanceCodesBudget[[#This Row],[Title]])&lt;100,0,1)</f>
        <v>0</v>
      </c>
      <c r="L324" s="43">
        <f>IF(ISBLANK(FinanceCodesBudget[[#This Row],[BalanceToScenario]]),1,0)</f>
        <v>0</v>
      </c>
      <c r="M324" s="43">
        <f>SUM(FinanceCodesBudget[[#This Row],[LedgerIssue]:[CustGrIssue]],FinanceCodesBudget[[#This Row],[DupCode]:[Balance to Scenario Blank]])</f>
        <v>0</v>
      </c>
      <c r="N324">
        <v>780150</v>
      </c>
      <c r="O324" t="s">
        <v>2847</v>
      </c>
      <c r="P324" t="s">
        <v>560</v>
      </c>
      <c r="Q324" t="s">
        <v>1994</v>
      </c>
      <c r="R324" t="b">
        <v>0</v>
      </c>
      <c r="S324" t="s">
        <v>2846</v>
      </c>
      <c r="T324" t="s">
        <v>1300</v>
      </c>
      <c r="U324" t="s">
        <v>1532</v>
      </c>
      <c r="V324" t="b">
        <v>1</v>
      </c>
      <c r="W324" t="b">
        <v>0</v>
      </c>
    </row>
    <row r="325" spans="1:23" x14ac:dyDescent="0.3">
      <c r="A325" s="147">
        <f>IF(COUNTIF(LEDGER[LedgerCode],FinanceCodesBudget[[#This Row],[LedgerCode]])&gt;0,0,1)</f>
        <v>0</v>
      </c>
      <c r="B325" s="43">
        <f>IF(COUNTIF(Table_System_Grouping_Codes[groupingCodeCode],FinanceCodesBudget[[#This Row],[GroupingCode]])&gt;0,0,1)</f>
        <v>0</v>
      </c>
      <c r="C325" s="43">
        <f>IF(COUNTIF(CUSTGROUP[CustomGroupingCode],FinanceCodesBudget[[#This Row],[CustomGrouping]])&gt;0,0,1)</f>
        <v>0</v>
      </c>
      <c r="D325" s="43" cm="1">
        <f t="array" ref="D325">IF(FinanceCodesBudget[[#This Row],[AvailableToAllSchools]]=TRUE,0,COUNTA(_xlfn.TEXTSPLIT(FinanceCodesBudget[[#This Row],[SchoolCodes]],",",,TRUE))-SUM(COUNTIF(SCHOOLS[SchoolCode],_xlfn.TEXTSPLIT(FinanceCodesBudget[[#This Row],[SchoolCodes]],",",,TRUE))))</f>
        <v>0</v>
      </c>
      <c r="E325" s="43">
        <f>IF(FinanceCodesBudget[[#This Row],[FinanceCodeTypeCode]]="BUDGET",0,COUNTIF(FinanceCodesBudget[FinanceCode],FinanceCodesBudget[[#This Row],[FinanceCode]])-1)</f>
        <v>0</v>
      </c>
      <c r="F325" s="43">
        <f>IF(FinanceCodesBudget[[#This Row],[FinanceCodeTypeCode]]="BUDGET",0,COUNTIF(FinanceCodesBudget[Title],FinanceCodesBudget[[#This Row],[Title]])-1)</f>
        <v>0</v>
      </c>
      <c r="G325" s="43">
        <f>COUNTIF(Lookup!$A$2:$A$7,FinanceCodesBudget[[#This Row],[FinanceCodeTypeCode]])-1</f>
        <v>0</v>
      </c>
      <c r="H325" s="43">
        <f>IF(TRIM(FinanceCodesBudget[[#This Row],[Title]])="",1,0)</f>
        <v>0</v>
      </c>
      <c r="I325" s="43">
        <f>IF(TRIM(FinanceCodesBudget[[#This Row],[FinanceCode]])="",1,0)</f>
        <v>0</v>
      </c>
      <c r="J325" s="43">
        <f>IF(LEN(FinanceCodesBudget[[#This Row],[FinanceCode]])&lt;100,0,1)</f>
        <v>0</v>
      </c>
      <c r="K325" s="43">
        <f>IF(LEN(FinanceCodesBudget[[#This Row],[Title]])&lt;100,0,1)</f>
        <v>0</v>
      </c>
      <c r="L325" s="43">
        <f>IF(ISBLANK(FinanceCodesBudget[[#This Row],[BalanceToScenario]]),1,0)</f>
        <v>0</v>
      </c>
      <c r="M325" s="43">
        <f>SUM(FinanceCodesBudget[[#This Row],[LedgerIssue]:[CustGrIssue]],FinanceCodesBudget[[#This Row],[DupCode]:[Balance to Scenario Blank]])</f>
        <v>0</v>
      </c>
      <c r="N325">
        <v>780200</v>
      </c>
      <c r="O325" t="s">
        <v>2848</v>
      </c>
      <c r="P325" t="s">
        <v>562</v>
      </c>
      <c r="Q325" t="s">
        <v>1994</v>
      </c>
      <c r="R325" t="b">
        <v>0</v>
      </c>
      <c r="S325" t="s">
        <v>2846</v>
      </c>
      <c r="T325" t="s">
        <v>1300</v>
      </c>
      <c r="U325" t="s">
        <v>1532</v>
      </c>
      <c r="V325" t="b">
        <v>1</v>
      </c>
      <c r="W325" t="b">
        <v>0</v>
      </c>
    </row>
    <row r="326" spans="1:23" x14ac:dyDescent="0.3">
      <c r="A326" s="147">
        <f>IF(COUNTIF(LEDGER[LedgerCode],FinanceCodesBudget[[#This Row],[LedgerCode]])&gt;0,0,1)</f>
        <v>0</v>
      </c>
      <c r="B326" s="43">
        <f>IF(COUNTIF(Table_System_Grouping_Codes[groupingCodeCode],FinanceCodesBudget[[#This Row],[GroupingCode]])&gt;0,0,1)</f>
        <v>0</v>
      </c>
      <c r="C326" s="43">
        <f>IF(COUNTIF(CUSTGROUP[CustomGroupingCode],FinanceCodesBudget[[#This Row],[CustomGrouping]])&gt;0,0,1)</f>
        <v>0</v>
      </c>
      <c r="D326" s="43" cm="1">
        <f t="array" ref="D326">IF(FinanceCodesBudget[[#This Row],[AvailableToAllSchools]]=TRUE,0,COUNTA(_xlfn.TEXTSPLIT(FinanceCodesBudget[[#This Row],[SchoolCodes]],",",,TRUE))-SUM(COUNTIF(SCHOOLS[SchoolCode],_xlfn.TEXTSPLIT(FinanceCodesBudget[[#This Row],[SchoolCodes]],",",,TRUE))))</f>
        <v>0</v>
      </c>
      <c r="E326" s="43">
        <f>IF(FinanceCodesBudget[[#This Row],[FinanceCodeTypeCode]]="BUDGET",0,COUNTIF(FinanceCodesBudget[FinanceCode],FinanceCodesBudget[[#This Row],[FinanceCode]])-1)</f>
        <v>0</v>
      </c>
      <c r="F326" s="43">
        <f>IF(FinanceCodesBudget[[#This Row],[FinanceCodeTypeCode]]="BUDGET",0,COUNTIF(FinanceCodesBudget[Title],FinanceCodesBudget[[#This Row],[Title]])-1)</f>
        <v>0</v>
      </c>
      <c r="G326" s="43">
        <f>COUNTIF(Lookup!$A$2:$A$7,FinanceCodesBudget[[#This Row],[FinanceCodeTypeCode]])-1</f>
        <v>0</v>
      </c>
      <c r="H326" s="43">
        <f>IF(TRIM(FinanceCodesBudget[[#This Row],[Title]])="",1,0)</f>
        <v>0</v>
      </c>
      <c r="I326" s="43">
        <f>IF(TRIM(FinanceCodesBudget[[#This Row],[FinanceCode]])="",1,0)</f>
        <v>0</v>
      </c>
      <c r="J326" s="43">
        <f>IF(LEN(FinanceCodesBudget[[#This Row],[FinanceCode]])&lt;100,0,1)</f>
        <v>0</v>
      </c>
      <c r="K326" s="43">
        <f>IF(LEN(FinanceCodesBudget[[#This Row],[Title]])&lt;100,0,1)</f>
        <v>0</v>
      </c>
      <c r="L326" s="43">
        <f>IF(ISBLANK(FinanceCodesBudget[[#This Row],[BalanceToScenario]]),1,0)</f>
        <v>0</v>
      </c>
      <c r="M326" s="43">
        <f>SUM(FinanceCodesBudget[[#This Row],[LedgerIssue]:[CustGrIssue]],FinanceCodesBudget[[#This Row],[DupCode]:[Balance to Scenario Blank]])</f>
        <v>0</v>
      </c>
      <c r="N326">
        <v>780250</v>
      </c>
      <c r="O326" t="s">
        <v>2849</v>
      </c>
      <c r="P326" t="s">
        <v>564</v>
      </c>
      <c r="Q326" t="s">
        <v>1994</v>
      </c>
      <c r="R326" t="b">
        <v>0</v>
      </c>
      <c r="S326" t="s">
        <v>2846</v>
      </c>
      <c r="T326" t="s">
        <v>1300</v>
      </c>
      <c r="U326" t="s">
        <v>1532</v>
      </c>
      <c r="V326" t="b">
        <v>1</v>
      </c>
      <c r="W326" t="b">
        <v>0</v>
      </c>
    </row>
    <row r="327" spans="1:23" x14ac:dyDescent="0.3">
      <c r="A327" s="147">
        <f>IF(COUNTIF(LEDGER[LedgerCode],FinanceCodesBudget[[#This Row],[LedgerCode]])&gt;0,0,1)</f>
        <v>0</v>
      </c>
      <c r="B327" s="43">
        <f>IF(COUNTIF(Table_System_Grouping_Codes[groupingCodeCode],FinanceCodesBudget[[#This Row],[GroupingCode]])&gt;0,0,1)</f>
        <v>0</v>
      </c>
      <c r="C327" s="43">
        <f>IF(COUNTIF(CUSTGROUP[CustomGroupingCode],FinanceCodesBudget[[#This Row],[CustomGrouping]])&gt;0,0,1)</f>
        <v>0</v>
      </c>
      <c r="D327" s="43" cm="1">
        <f t="array" ref="D327">IF(FinanceCodesBudget[[#This Row],[AvailableToAllSchools]]=TRUE,0,COUNTA(_xlfn.TEXTSPLIT(FinanceCodesBudget[[#This Row],[SchoolCodes]],",",,TRUE))-SUM(COUNTIF(SCHOOLS[SchoolCode],_xlfn.TEXTSPLIT(FinanceCodesBudget[[#This Row],[SchoolCodes]],",",,TRUE))))</f>
        <v>0</v>
      </c>
      <c r="E327" s="43">
        <f>IF(FinanceCodesBudget[[#This Row],[FinanceCodeTypeCode]]="BUDGET",0,COUNTIF(FinanceCodesBudget[FinanceCode],FinanceCodesBudget[[#This Row],[FinanceCode]])-1)</f>
        <v>0</v>
      </c>
      <c r="F327" s="43">
        <f>IF(FinanceCodesBudget[[#This Row],[FinanceCodeTypeCode]]="BUDGET",0,COUNTIF(FinanceCodesBudget[Title],FinanceCodesBudget[[#This Row],[Title]])-1)</f>
        <v>0</v>
      </c>
      <c r="G327" s="43">
        <f>COUNTIF(Lookup!$A$2:$A$7,FinanceCodesBudget[[#This Row],[FinanceCodeTypeCode]])-1</f>
        <v>0</v>
      </c>
      <c r="H327" s="43">
        <f>IF(TRIM(FinanceCodesBudget[[#This Row],[Title]])="",1,0)</f>
        <v>0</v>
      </c>
      <c r="I327" s="43">
        <f>IF(TRIM(FinanceCodesBudget[[#This Row],[FinanceCode]])="",1,0)</f>
        <v>0</v>
      </c>
      <c r="J327" s="43">
        <f>IF(LEN(FinanceCodesBudget[[#This Row],[FinanceCode]])&lt;100,0,1)</f>
        <v>0</v>
      </c>
      <c r="K327" s="43">
        <f>IF(LEN(FinanceCodesBudget[[#This Row],[Title]])&lt;100,0,1)</f>
        <v>0</v>
      </c>
      <c r="L327" s="43">
        <f>IF(ISBLANK(FinanceCodesBudget[[#This Row],[BalanceToScenario]]),1,0)</f>
        <v>0</v>
      </c>
      <c r="M327" s="43">
        <f>SUM(FinanceCodesBudget[[#This Row],[LedgerIssue]:[CustGrIssue]],FinanceCodesBudget[[#This Row],[DupCode]:[Balance to Scenario Blank]])</f>
        <v>0</v>
      </c>
      <c r="N327">
        <v>780300</v>
      </c>
      <c r="O327" t="s">
        <v>2850</v>
      </c>
      <c r="P327" t="s">
        <v>566</v>
      </c>
      <c r="Q327" t="s">
        <v>1994</v>
      </c>
      <c r="R327" t="b">
        <v>0</v>
      </c>
      <c r="S327" t="s">
        <v>2846</v>
      </c>
      <c r="T327" t="s">
        <v>1300</v>
      </c>
      <c r="U327" t="s">
        <v>1532</v>
      </c>
      <c r="V327" t="b">
        <v>1</v>
      </c>
      <c r="W327" t="b">
        <v>0</v>
      </c>
    </row>
    <row r="328" spans="1:23" x14ac:dyDescent="0.3">
      <c r="A328" s="147">
        <f>IF(COUNTIF(LEDGER[LedgerCode],FinanceCodesBudget[[#This Row],[LedgerCode]])&gt;0,0,1)</f>
        <v>0</v>
      </c>
      <c r="B328" s="43">
        <f>IF(COUNTIF(Table_System_Grouping_Codes[groupingCodeCode],FinanceCodesBudget[[#This Row],[GroupingCode]])&gt;0,0,1)</f>
        <v>0</v>
      </c>
      <c r="C328" s="43">
        <f>IF(COUNTIF(CUSTGROUP[CustomGroupingCode],FinanceCodesBudget[[#This Row],[CustomGrouping]])&gt;0,0,1)</f>
        <v>0</v>
      </c>
      <c r="D328" s="43" cm="1">
        <f t="array" ref="D328">IF(FinanceCodesBudget[[#This Row],[AvailableToAllSchools]]=TRUE,0,COUNTA(_xlfn.TEXTSPLIT(FinanceCodesBudget[[#This Row],[SchoolCodes]],",",,TRUE))-SUM(COUNTIF(SCHOOLS[SchoolCode],_xlfn.TEXTSPLIT(FinanceCodesBudget[[#This Row],[SchoolCodes]],",",,TRUE))))</f>
        <v>0</v>
      </c>
      <c r="E328" s="43">
        <f>IF(FinanceCodesBudget[[#This Row],[FinanceCodeTypeCode]]="BUDGET",0,COUNTIF(FinanceCodesBudget[FinanceCode],FinanceCodesBudget[[#This Row],[FinanceCode]])-1)</f>
        <v>0</v>
      </c>
      <c r="F328" s="43">
        <f>IF(FinanceCodesBudget[[#This Row],[FinanceCodeTypeCode]]="BUDGET",0,COUNTIF(FinanceCodesBudget[Title],FinanceCodesBudget[[#This Row],[Title]])-1)</f>
        <v>0</v>
      </c>
      <c r="G328" s="43">
        <f>COUNTIF(Lookup!$A$2:$A$7,FinanceCodesBudget[[#This Row],[FinanceCodeTypeCode]])-1</f>
        <v>0</v>
      </c>
      <c r="H328" s="43">
        <f>IF(TRIM(FinanceCodesBudget[[#This Row],[Title]])="",1,0)</f>
        <v>0</v>
      </c>
      <c r="I328" s="43">
        <f>IF(TRIM(FinanceCodesBudget[[#This Row],[FinanceCode]])="",1,0)</f>
        <v>0</v>
      </c>
      <c r="J328" s="43">
        <f>IF(LEN(FinanceCodesBudget[[#This Row],[FinanceCode]])&lt;100,0,1)</f>
        <v>0</v>
      </c>
      <c r="K328" s="43">
        <f>IF(LEN(FinanceCodesBudget[[#This Row],[Title]])&lt;100,0,1)</f>
        <v>0</v>
      </c>
      <c r="L328" s="43">
        <f>IF(ISBLANK(FinanceCodesBudget[[#This Row],[BalanceToScenario]]),1,0)</f>
        <v>0</v>
      </c>
      <c r="M328" s="43">
        <f>SUM(FinanceCodesBudget[[#This Row],[LedgerIssue]:[CustGrIssue]],FinanceCodesBudget[[#This Row],[DupCode]:[Balance to Scenario Blank]])</f>
        <v>0</v>
      </c>
      <c r="N328">
        <v>780350</v>
      </c>
      <c r="O328" t="s">
        <v>2851</v>
      </c>
      <c r="P328" t="s">
        <v>568</v>
      </c>
      <c r="Q328" t="s">
        <v>1994</v>
      </c>
      <c r="R328" t="b">
        <v>0</v>
      </c>
      <c r="S328" t="s">
        <v>2846</v>
      </c>
      <c r="T328" t="s">
        <v>1300</v>
      </c>
      <c r="U328" t="s">
        <v>1532</v>
      </c>
      <c r="V328" t="b">
        <v>1</v>
      </c>
      <c r="W328" t="b">
        <v>0</v>
      </c>
    </row>
    <row r="329" spans="1:23" x14ac:dyDescent="0.3">
      <c r="A329" s="147">
        <f>IF(COUNTIF(LEDGER[LedgerCode],FinanceCodesBudget[[#This Row],[LedgerCode]])&gt;0,0,1)</f>
        <v>0</v>
      </c>
      <c r="B329" s="43">
        <f>IF(COUNTIF(Table_System_Grouping_Codes[groupingCodeCode],FinanceCodesBudget[[#This Row],[GroupingCode]])&gt;0,0,1)</f>
        <v>0</v>
      </c>
      <c r="C329" s="43">
        <f>IF(COUNTIF(CUSTGROUP[CustomGroupingCode],FinanceCodesBudget[[#This Row],[CustomGrouping]])&gt;0,0,1)</f>
        <v>0</v>
      </c>
      <c r="D329" s="43" cm="1">
        <f t="array" ref="D329">IF(FinanceCodesBudget[[#This Row],[AvailableToAllSchools]]=TRUE,0,COUNTA(_xlfn.TEXTSPLIT(FinanceCodesBudget[[#This Row],[SchoolCodes]],",",,TRUE))-SUM(COUNTIF(SCHOOLS[SchoolCode],_xlfn.TEXTSPLIT(FinanceCodesBudget[[#This Row],[SchoolCodes]],",",,TRUE))))</f>
        <v>0</v>
      </c>
      <c r="E329" s="43">
        <f>IF(FinanceCodesBudget[[#This Row],[FinanceCodeTypeCode]]="BUDGET",0,COUNTIF(FinanceCodesBudget[FinanceCode],FinanceCodesBudget[[#This Row],[FinanceCode]])-1)</f>
        <v>0</v>
      </c>
      <c r="F329" s="43">
        <f>IF(FinanceCodesBudget[[#This Row],[FinanceCodeTypeCode]]="BUDGET",0,COUNTIF(FinanceCodesBudget[Title],FinanceCodesBudget[[#This Row],[Title]])-1)</f>
        <v>0</v>
      </c>
      <c r="G329" s="43">
        <f>COUNTIF(Lookup!$A$2:$A$7,FinanceCodesBudget[[#This Row],[FinanceCodeTypeCode]])-1</f>
        <v>0</v>
      </c>
      <c r="H329" s="43">
        <f>IF(TRIM(FinanceCodesBudget[[#This Row],[Title]])="",1,0)</f>
        <v>0</v>
      </c>
      <c r="I329" s="43">
        <f>IF(TRIM(FinanceCodesBudget[[#This Row],[FinanceCode]])="",1,0)</f>
        <v>0</v>
      </c>
      <c r="J329" s="43">
        <f>IF(LEN(FinanceCodesBudget[[#This Row],[FinanceCode]])&lt;100,0,1)</f>
        <v>0</v>
      </c>
      <c r="K329" s="43">
        <f>IF(LEN(FinanceCodesBudget[[#This Row],[Title]])&lt;100,0,1)</f>
        <v>0</v>
      </c>
      <c r="L329" s="43">
        <f>IF(ISBLANK(FinanceCodesBudget[[#This Row],[BalanceToScenario]]),1,0)</f>
        <v>0</v>
      </c>
      <c r="M329" s="43">
        <f>SUM(FinanceCodesBudget[[#This Row],[LedgerIssue]:[CustGrIssue]],FinanceCodesBudget[[#This Row],[DupCode]:[Balance to Scenario Blank]])</f>
        <v>0</v>
      </c>
      <c r="N329">
        <v>780400</v>
      </c>
      <c r="O329" t="s">
        <v>2852</v>
      </c>
      <c r="P329" t="s">
        <v>570</v>
      </c>
      <c r="Q329" t="s">
        <v>1994</v>
      </c>
      <c r="R329" t="b">
        <v>0</v>
      </c>
      <c r="S329" t="s">
        <v>2846</v>
      </c>
      <c r="T329" t="s">
        <v>1300</v>
      </c>
      <c r="U329" t="s">
        <v>1532</v>
      </c>
      <c r="V329" t="b">
        <v>1</v>
      </c>
      <c r="W329" t="b">
        <v>0</v>
      </c>
    </row>
    <row r="330" spans="1:23" x14ac:dyDescent="0.3">
      <c r="A330" s="147">
        <f>IF(COUNTIF(LEDGER[LedgerCode],FinanceCodesBudget[[#This Row],[LedgerCode]])&gt;0,0,1)</f>
        <v>0</v>
      </c>
      <c r="B330" s="43">
        <f>IF(COUNTIF(Table_System_Grouping_Codes[groupingCodeCode],FinanceCodesBudget[[#This Row],[GroupingCode]])&gt;0,0,1)</f>
        <v>0</v>
      </c>
      <c r="C330" s="43">
        <f>IF(COUNTIF(CUSTGROUP[CustomGroupingCode],FinanceCodesBudget[[#This Row],[CustomGrouping]])&gt;0,0,1)</f>
        <v>0</v>
      </c>
      <c r="D330" s="43" cm="1">
        <f t="array" ref="D330">IF(FinanceCodesBudget[[#This Row],[AvailableToAllSchools]]=TRUE,0,COUNTA(_xlfn.TEXTSPLIT(FinanceCodesBudget[[#This Row],[SchoolCodes]],",",,TRUE))-SUM(COUNTIF(SCHOOLS[SchoolCode],_xlfn.TEXTSPLIT(FinanceCodesBudget[[#This Row],[SchoolCodes]],",",,TRUE))))</f>
        <v>0</v>
      </c>
      <c r="E330" s="43">
        <f>IF(FinanceCodesBudget[[#This Row],[FinanceCodeTypeCode]]="BUDGET",0,COUNTIF(FinanceCodesBudget[FinanceCode],FinanceCodesBudget[[#This Row],[FinanceCode]])-1)</f>
        <v>0</v>
      </c>
      <c r="F330" s="43">
        <f>IF(FinanceCodesBudget[[#This Row],[FinanceCodeTypeCode]]="BUDGET",0,COUNTIF(FinanceCodesBudget[Title],FinanceCodesBudget[[#This Row],[Title]])-1)</f>
        <v>0</v>
      </c>
      <c r="G330" s="43">
        <f>COUNTIF(Lookup!$A$2:$A$7,FinanceCodesBudget[[#This Row],[FinanceCodeTypeCode]])-1</f>
        <v>0</v>
      </c>
      <c r="H330" s="43">
        <f>IF(TRIM(FinanceCodesBudget[[#This Row],[Title]])="",1,0)</f>
        <v>0</v>
      </c>
      <c r="I330" s="43">
        <f>IF(TRIM(FinanceCodesBudget[[#This Row],[FinanceCode]])="",1,0)</f>
        <v>0</v>
      </c>
      <c r="J330" s="43">
        <f>IF(LEN(FinanceCodesBudget[[#This Row],[FinanceCode]])&lt;100,0,1)</f>
        <v>0</v>
      </c>
      <c r="K330" s="43">
        <f>IF(LEN(FinanceCodesBudget[[#This Row],[Title]])&lt;100,0,1)</f>
        <v>0</v>
      </c>
      <c r="L330" s="43">
        <f>IF(ISBLANK(FinanceCodesBudget[[#This Row],[BalanceToScenario]]),1,0)</f>
        <v>0</v>
      </c>
      <c r="M330" s="43">
        <f>SUM(FinanceCodesBudget[[#This Row],[LedgerIssue]:[CustGrIssue]],FinanceCodesBudget[[#This Row],[DupCode]:[Balance to Scenario Blank]])</f>
        <v>0</v>
      </c>
      <c r="N330">
        <v>780450</v>
      </c>
      <c r="O330" t="s">
        <v>2853</v>
      </c>
      <c r="P330" t="s">
        <v>572</v>
      </c>
      <c r="Q330" t="s">
        <v>1994</v>
      </c>
      <c r="R330" t="b">
        <v>0</v>
      </c>
      <c r="S330" t="s">
        <v>2846</v>
      </c>
      <c r="T330" t="s">
        <v>1300</v>
      </c>
      <c r="U330" t="s">
        <v>1532</v>
      </c>
      <c r="V330" t="b">
        <v>1</v>
      </c>
      <c r="W330" t="b">
        <v>0</v>
      </c>
    </row>
    <row r="331" spans="1:23" x14ac:dyDescent="0.3">
      <c r="A331" s="147">
        <f>IF(COUNTIF(LEDGER[LedgerCode],FinanceCodesBudget[[#This Row],[LedgerCode]])&gt;0,0,1)</f>
        <v>0</v>
      </c>
      <c r="B331" s="43">
        <f>IF(COUNTIF(Table_System_Grouping_Codes[groupingCodeCode],FinanceCodesBudget[[#This Row],[GroupingCode]])&gt;0,0,1)</f>
        <v>0</v>
      </c>
      <c r="C331" s="43">
        <f>IF(COUNTIF(CUSTGROUP[CustomGroupingCode],FinanceCodesBudget[[#This Row],[CustomGrouping]])&gt;0,0,1)</f>
        <v>0</v>
      </c>
      <c r="D331" s="43" cm="1">
        <f t="array" ref="D331">IF(FinanceCodesBudget[[#This Row],[AvailableToAllSchools]]=TRUE,0,COUNTA(_xlfn.TEXTSPLIT(FinanceCodesBudget[[#This Row],[SchoolCodes]],",",,TRUE))-SUM(COUNTIF(SCHOOLS[SchoolCode],_xlfn.TEXTSPLIT(FinanceCodesBudget[[#This Row],[SchoolCodes]],",",,TRUE))))</f>
        <v>0</v>
      </c>
      <c r="E331" s="43">
        <f>IF(FinanceCodesBudget[[#This Row],[FinanceCodeTypeCode]]="BUDGET",0,COUNTIF(FinanceCodesBudget[FinanceCode],FinanceCodesBudget[[#This Row],[FinanceCode]])-1)</f>
        <v>0</v>
      </c>
      <c r="F331" s="43">
        <f>IF(FinanceCodesBudget[[#This Row],[FinanceCodeTypeCode]]="BUDGET",0,COUNTIF(FinanceCodesBudget[Title],FinanceCodesBudget[[#This Row],[Title]])-1)</f>
        <v>0</v>
      </c>
      <c r="G331" s="43">
        <f>COUNTIF(Lookup!$A$2:$A$7,FinanceCodesBudget[[#This Row],[FinanceCodeTypeCode]])-1</f>
        <v>0</v>
      </c>
      <c r="H331" s="43">
        <f>IF(TRIM(FinanceCodesBudget[[#This Row],[Title]])="",1,0)</f>
        <v>0</v>
      </c>
      <c r="I331" s="43">
        <f>IF(TRIM(FinanceCodesBudget[[#This Row],[FinanceCode]])="",1,0)</f>
        <v>0</v>
      </c>
      <c r="J331" s="43">
        <f>IF(LEN(FinanceCodesBudget[[#This Row],[FinanceCode]])&lt;100,0,1)</f>
        <v>0</v>
      </c>
      <c r="K331" s="43">
        <f>IF(LEN(FinanceCodesBudget[[#This Row],[Title]])&lt;100,0,1)</f>
        <v>0</v>
      </c>
      <c r="L331" s="43">
        <f>IF(ISBLANK(FinanceCodesBudget[[#This Row],[BalanceToScenario]]),1,0)</f>
        <v>0</v>
      </c>
      <c r="M331" s="43">
        <f>SUM(FinanceCodesBudget[[#This Row],[LedgerIssue]:[CustGrIssue]],FinanceCodesBudget[[#This Row],[DupCode]:[Balance to Scenario Blank]])</f>
        <v>0</v>
      </c>
      <c r="N331">
        <v>780500</v>
      </c>
      <c r="O331" t="s">
        <v>2854</v>
      </c>
      <c r="P331" t="s">
        <v>1874</v>
      </c>
      <c r="Q331" t="s">
        <v>1994</v>
      </c>
      <c r="R331" t="b">
        <v>0</v>
      </c>
      <c r="S331" t="s">
        <v>2846</v>
      </c>
      <c r="T331" t="s">
        <v>1300</v>
      </c>
      <c r="U331" t="s">
        <v>1532</v>
      </c>
      <c r="V331" t="b">
        <v>1</v>
      </c>
      <c r="W331" t="b">
        <v>0</v>
      </c>
    </row>
    <row r="332" spans="1:23" x14ac:dyDescent="0.3">
      <c r="A332" s="147">
        <f>IF(COUNTIF(LEDGER[LedgerCode],FinanceCodesBudget[[#This Row],[LedgerCode]])&gt;0,0,1)</f>
        <v>0</v>
      </c>
      <c r="B332" s="43">
        <f>IF(COUNTIF(Table_System_Grouping_Codes[groupingCodeCode],FinanceCodesBudget[[#This Row],[GroupingCode]])&gt;0,0,1)</f>
        <v>0</v>
      </c>
      <c r="C332" s="43">
        <f>IF(COUNTIF(CUSTGROUP[CustomGroupingCode],FinanceCodesBudget[[#This Row],[CustomGrouping]])&gt;0,0,1)</f>
        <v>0</v>
      </c>
      <c r="D332" s="43" cm="1">
        <f t="array" ref="D332">IF(FinanceCodesBudget[[#This Row],[AvailableToAllSchools]]=TRUE,0,COUNTA(_xlfn.TEXTSPLIT(FinanceCodesBudget[[#This Row],[SchoolCodes]],",",,TRUE))-SUM(COUNTIF(SCHOOLS[SchoolCode],_xlfn.TEXTSPLIT(FinanceCodesBudget[[#This Row],[SchoolCodes]],",",,TRUE))))</f>
        <v>0</v>
      </c>
      <c r="E332" s="43">
        <f>IF(FinanceCodesBudget[[#This Row],[FinanceCodeTypeCode]]="BUDGET",0,COUNTIF(FinanceCodesBudget[FinanceCode],FinanceCodesBudget[[#This Row],[FinanceCode]])-1)</f>
        <v>0</v>
      </c>
      <c r="F332" s="43">
        <f>IF(FinanceCodesBudget[[#This Row],[FinanceCodeTypeCode]]="BUDGET",0,COUNTIF(FinanceCodesBudget[Title],FinanceCodesBudget[[#This Row],[Title]])-1)</f>
        <v>0</v>
      </c>
      <c r="G332" s="43">
        <f>COUNTIF(Lookup!$A$2:$A$7,FinanceCodesBudget[[#This Row],[FinanceCodeTypeCode]])-1</f>
        <v>0</v>
      </c>
      <c r="H332" s="43">
        <f>IF(TRIM(FinanceCodesBudget[[#This Row],[Title]])="",1,0)</f>
        <v>0</v>
      </c>
      <c r="I332" s="43">
        <f>IF(TRIM(FinanceCodesBudget[[#This Row],[FinanceCode]])="",1,0)</f>
        <v>0</v>
      </c>
      <c r="J332" s="43">
        <f>IF(LEN(FinanceCodesBudget[[#This Row],[FinanceCode]])&lt;100,0,1)</f>
        <v>0</v>
      </c>
      <c r="K332" s="43">
        <f>IF(LEN(FinanceCodesBudget[[#This Row],[Title]])&lt;100,0,1)</f>
        <v>0</v>
      </c>
      <c r="L332" s="43">
        <f>IF(ISBLANK(FinanceCodesBudget[[#This Row],[BalanceToScenario]]),1,0)</f>
        <v>0</v>
      </c>
      <c r="M332" s="43">
        <f>SUM(FinanceCodesBudget[[#This Row],[LedgerIssue]:[CustGrIssue]],FinanceCodesBudget[[#This Row],[DupCode]:[Balance to Scenario Blank]])</f>
        <v>0</v>
      </c>
      <c r="N332">
        <v>780600</v>
      </c>
      <c r="O332" t="s">
        <v>2855</v>
      </c>
      <c r="P332" t="s">
        <v>574</v>
      </c>
      <c r="Q332" t="s">
        <v>1994</v>
      </c>
      <c r="R332" t="b">
        <v>0</v>
      </c>
      <c r="S332" t="s">
        <v>2846</v>
      </c>
      <c r="T332" t="s">
        <v>1300</v>
      </c>
      <c r="U332" t="s">
        <v>1532</v>
      </c>
      <c r="V332" t="b">
        <v>1</v>
      </c>
      <c r="W332" t="b">
        <v>0</v>
      </c>
    </row>
    <row r="333" spans="1:23" x14ac:dyDescent="0.3">
      <c r="A333" s="147">
        <f>IF(COUNTIF(LEDGER[LedgerCode],FinanceCodesBudget[[#This Row],[LedgerCode]])&gt;0,0,1)</f>
        <v>0</v>
      </c>
      <c r="B333" s="43">
        <f>IF(COUNTIF(Table_System_Grouping_Codes[groupingCodeCode],FinanceCodesBudget[[#This Row],[GroupingCode]])&gt;0,0,1)</f>
        <v>0</v>
      </c>
      <c r="C333" s="43">
        <f>IF(COUNTIF(CUSTGROUP[CustomGroupingCode],FinanceCodesBudget[[#This Row],[CustomGrouping]])&gt;0,0,1)</f>
        <v>0</v>
      </c>
      <c r="D333" s="43" cm="1">
        <f t="array" ref="D333">IF(FinanceCodesBudget[[#This Row],[AvailableToAllSchools]]=TRUE,0,COUNTA(_xlfn.TEXTSPLIT(FinanceCodesBudget[[#This Row],[SchoolCodes]],",",,TRUE))-SUM(COUNTIF(SCHOOLS[SchoolCode],_xlfn.TEXTSPLIT(FinanceCodesBudget[[#This Row],[SchoolCodes]],",",,TRUE))))</f>
        <v>0</v>
      </c>
      <c r="E333" s="43">
        <f>IF(FinanceCodesBudget[[#This Row],[FinanceCodeTypeCode]]="BUDGET",0,COUNTIF(FinanceCodesBudget[FinanceCode],FinanceCodesBudget[[#This Row],[FinanceCode]])-1)</f>
        <v>0</v>
      </c>
      <c r="F333" s="43">
        <f>IF(FinanceCodesBudget[[#This Row],[FinanceCodeTypeCode]]="BUDGET",0,COUNTIF(FinanceCodesBudget[Title],FinanceCodesBudget[[#This Row],[Title]])-1)</f>
        <v>0</v>
      </c>
      <c r="G333" s="43">
        <f>COUNTIF(Lookup!$A$2:$A$7,FinanceCodesBudget[[#This Row],[FinanceCodeTypeCode]])-1</f>
        <v>0</v>
      </c>
      <c r="H333" s="43">
        <f>IF(TRIM(FinanceCodesBudget[[#This Row],[Title]])="",1,0)</f>
        <v>0</v>
      </c>
      <c r="I333" s="43">
        <f>IF(TRIM(FinanceCodesBudget[[#This Row],[FinanceCode]])="",1,0)</f>
        <v>0</v>
      </c>
      <c r="J333" s="43">
        <f>IF(LEN(FinanceCodesBudget[[#This Row],[FinanceCode]])&lt;100,0,1)</f>
        <v>0</v>
      </c>
      <c r="K333" s="43">
        <f>IF(LEN(FinanceCodesBudget[[#This Row],[Title]])&lt;100,0,1)</f>
        <v>0</v>
      </c>
      <c r="L333" s="43">
        <f>IF(ISBLANK(FinanceCodesBudget[[#This Row],[BalanceToScenario]]),1,0)</f>
        <v>0</v>
      </c>
      <c r="M333" s="43">
        <f>SUM(FinanceCodesBudget[[#This Row],[LedgerIssue]:[CustGrIssue]],FinanceCodesBudget[[#This Row],[DupCode]:[Balance to Scenario Blank]])</f>
        <v>0</v>
      </c>
      <c r="N333">
        <v>780700</v>
      </c>
      <c r="O333" t="s">
        <v>2856</v>
      </c>
      <c r="P333" t="s">
        <v>576</v>
      </c>
      <c r="Q333" t="s">
        <v>1994</v>
      </c>
      <c r="R333" t="b">
        <v>0</v>
      </c>
      <c r="S333" t="s">
        <v>2846</v>
      </c>
      <c r="T333" t="s">
        <v>1300</v>
      </c>
      <c r="U333" t="s">
        <v>1532</v>
      </c>
      <c r="V333" t="b">
        <v>1</v>
      </c>
      <c r="W333" t="b">
        <v>0</v>
      </c>
    </row>
    <row r="334" spans="1:23" x14ac:dyDescent="0.3">
      <c r="A334" s="147">
        <f>IF(COUNTIF(LEDGER[LedgerCode],FinanceCodesBudget[[#This Row],[LedgerCode]])&gt;0,0,1)</f>
        <v>0</v>
      </c>
      <c r="B334" s="43">
        <f>IF(COUNTIF(Table_System_Grouping_Codes[groupingCodeCode],FinanceCodesBudget[[#This Row],[GroupingCode]])&gt;0,0,1)</f>
        <v>0</v>
      </c>
      <c r="C334" s="43">
        <f>IF(COUNTIF(CUSTGROUP[CustomGroupingCode],FinanceCodesBudget[[#This Row],[CustomGrouping]])&gt;0,0,1)</f>
        <v>0</v>
      </c>
      <c r="D334" s="43" cm="1">
        <f t="array" ref="D334">IF(FinanceCodesBudget[[#This Row],[AvailableToAllSchools]]=TRUE,0,COUNTA(_xlfn.TEXTSPLIT(FinanceCodesBudget[[#This Row],[SchoolCodes]],",",,TRUE))-SUM(COUNTIF(SCHOOLS[SchoolCode],_xlfn.TEXTSPLIT(FinanceCodesBudget[[#This Row],[SchoolCodes]],",",,TRUE))))</f>
        <v>0</v>
      </c>
      <c r="E334" s="43">
        <f>IF(FinanceCodesBudget[[#This Row],[FinanceCodeTypeCode]]="BUDGET",0,COUNTIF(FinanceCodesBudget[FinanceCode],FinanceCodesBudget[[#This Row],[FinanceCode]])-1)</f>
        <v>0</v>
      </c>
      <c r="F334" s="43">
        <f>IF(FinanceCodesBudget[[#This Row],[FinanceCodeTypeCode]]="BUDGET",0,COUNTIF(FinanceCodesBudget[Title],FinanceCodesBudget[[#This Row],[Title]])-1)</f>
        <v>0</v>
      </c>
      <c r="G334" s="43">
        <f>COUNTIF(Lookup!$A$2:$A$7,FinanceCodesBudget[[#This Row],[FinanceCodeTypeCode]])-1</f>
        <v>0</v>
      </c>
      <c r="H334" s="43">
        <f>IF(TRIM(FinanceCodesBudget[[#This Row],[Title]])="",1,0)</f>
        <v>0</v>
      </c>
      <c r="I334" s="43">
        <f>IF(TRIM(FinanceCodesBudget[[#This Row],[FinanceCode]])="",1,0)</f>
        <v>0</v>
      </c>
      <c r="J334" s="43">
        <f>IF(LEN(FinanceCodesBudget[[#This Row],[FinanceCode]])&lt;100,0,1)</f>
        <v>0</v>
      </c>
      <c r="K334" s="43">
        <f>IF(LEN(FinanceCodesBudget[[#This Row],[Title]])&lt;100,0,1)</f>
        <v>0</v>
      </c>
      <c r="L334" s="43">
        <f>IF(ISBLANK(FinanceCodesBudget[[#This Row],[BalanceToScenario]]),1,0)</f>
        <v>0</v>
      </c>
      <c r="M334" s="43">
        <f>SUM(FinanceCodesBudget[[#This Row],[LedgerIssue]:[CustGrIssue]],FinanceCodesBudget[[#This Row],[DupCode]:[Balance to Scenario Blank]])</f>
        <v>0</v>
      </c>
      <c r="N334">
        <v>780720</v>
      </c>
      <c r="O334" t="s">
        <v>2857</v>
      </c>
      <c r="P334" t="s">
        <v>578</v>
      </c>
      <c r="Q334" t="s">
        <v>1994</v>
      </c>
      <c r="R334" t="b">
        <v>0</v>
      </c>
      <c r="S334" t="s">
        <v>2846</v>
      </c>
      <c r="T334" t="s">
        <v>1300</v>
      </c>
      <c r="U334" t="s">
        <v>1532</v>
      </c>
      <c r="V334" t="b">
        <v>1</v>
      </c>
      <c r="W334" t="b">
        <v>0</v>
      </c>
    </row>
    <row r="335" spans="1:23" x14ac:dyDescent="0.3">
      <c r="A335" s="147">
        <f>IF(COUNTIF(LEDGER[LedgerCode],FinanceCodesBudget[[#This Row],[LedgerCode]])&gt;0,0,1)</f>
        <v>0</v>
      </c>
      <c r="B335" s="43">
        <f>IF(COUNTIF(Table_System_Grouping_Codes[groupingCodeCode],FinanceCodesBudget[[#This Row],[GroupingCode]])&gt;0,0,1)</f>
        <v>0</v>
      </c>
      <c r="C335" s="43">
        <f>IF(COUNTIF(CUSTGROUP[CustomGroupingCode],FinanceCodesBudget[[#This Row],[CustomGrouping]])&gt;0,0,1)</f>
        <v>0</v>
      </c>
      <c r="D335" s="43" cm="1">
        <f t="array" ref="D335">IF(FinanceCodesBudget[[#This Row],[AvailableToAllSchools]]=TRUE,0,COUNTA(_xlfn.TEXTSPLIT(FinanceCodesBudget[[#This Row],[SchoolCodes]],",",,TRUE))-SUM(COUNTIF(SCHOOLS[SchoolCode],_xlfn.TEXTSPLIT(FinanceCodesBudget[[#This Row],[SchoolCodes]],",",,TRUE))))</f>
        <v>0</v>
      </c>
      <c r="E335" s="43">
        <f>IF(FinanceCodesBudget[[#This Row],[FinanceCodeTypeCode]]="BUDGET",0,COUNTIF(FinanceCodesBudget[FinanceCode],FinanceCodesBudget[[#This Row],[FinanceCode]])-1)</f>
        <v>0</v>
      </c>
      <c r="F335" s="43">
        <f>IF(FinanceCodesBudget[[#This Row],[FinanceCodeTypeCode]]="BUDGET",0,COUNTIF(FinanceCodesBudget[Title],FinanceCodesBudget[[#This Row],[Title]])-1)</f>
        <v>0</v>
      </c>
      <c r="G335" s="43">
        <f>COUNTIF(Lookup!$A$2:$A$7,FinanceCodesBudget[[#This Row],[FinanceCodeTypeCode]])-1</f>
        <v>0</v>
      </c>
      <c r="H335" s="43">
        <f>IF(TRIM(FinanceCodesBudget[[#This Row],[Title]])="",1,0)</f>
        <v>0</v>
      </c>
      <c r="I335" s="43">
        <f>IF(TRIM(FinanceCodesBudget[[#This Row],[FinanceCode]])="",1,0)</f>
        <v>0</v>
      </c>
      <c r="J335" s="43">
        <f>IF(LEN(FinanceCodesBudget[[#This Row],[FinanceCode]])&lt;100,0,1)</f>
        <v>0</v>
      </c>
      <c r="K335" s="43">
        <f>IF(LEN(FinanceCodesBudget[[#This Row],[Title]])&lt;100,0,1)</f>
        <v>0</v>
      </c>
      <c r="L335" s="43">
        <f>IF(ISBLANK(FinanceCodesBudget[[#This Row],[BalanceToScenario]]),1,0)</f>
        <v>0</v>
      </c>
      <c r="M335" s="43">
        <f>SUM(FinanceCodesBudget[[#This Row],[LedgerIssue]:[CustGrIssue]],FinanceCodesBudget[[#This Row],[DupCode]:[Balance to Scenario Blank]])</f>
        <v>0</v>
      </c>
      <c r="N335">
        <v>780750</v>
      </c>
      <c r="O335" t="s">
        <v>2858</v>
      </c>
      <c r="P335" t="s">
        <v>580</v>
      </c>
      <c r="Q335" t="s">
        <v>1994</v>
      </c>
      <c r="R335" t="b">
        <v>0</v>
      </c>
      <c r="S335" t="s">
        <v>2846</v>
      </c>
      <c r="T335" t="s">
        <v>1300</v>
      </c>
      <c r="U335" t="s">
        <v>1532</v>
      </c>
      <c r="V335" t="b">
        <v>1</v>
      </c>
      <c r="W335" t="b">
        <v>0</v>
      </c>
    </row>
    <row r="336" spans="1:23" x14ac:dyDescent="0.3">
      <c r="A336" s="147">
        <f>IF(COUNTIF(LEDGER[LedgerCode],FinanceCodesBudget[[#This Row],[LedgerCode]])&gt;0,0,1)</f>
        <v>0</v>
      </c>
      <c r="B336" s="43">
        <f>IF(COUNTIF(Table_System_Grouping_Codes[groupingCodeCode],FinanceCodesBudget[[#This Row],[GroupingCode]])&gt;0,0,1)</f>
        <v>0</v>
      </c>
      <c r="C336" s="43">
        <f>IF(COUNTIF(CUSTGROUP[CustomGroupingCode],FinanceCodesBudget[[#This Row],[CustomGrouping]])&gt;0,0,1)</f>
        <v>0</v>
      </c>
      <c r="D336" s="43" cm="1">
        <f t="array" ref="D336">IF(FinanceCodesBudget[[#This Row],[AvailableToAllSchools]]=TRUE,0,COUNTA(_xlfn.TEXTSPLIT(FinanceCodesBudget[[#This Row],[SchoolCodes]],",",,TRUE))-SUM(COUNTIF(SCHOOLS[SchoolCode],_xlfn.TEXTSPLIT(FinanceCodesBudget[[#This Row],[SchoolCodes]],",",,TRUE))))</f>
        <v>0</v>
      </c>
      <c r="E336" s="43">
        <f>IF(FinanceCodesBudget[[#This Row],[FinanceCodeTypeCode]]="BUDGET",0,COUNTIF(FinanceCodesBudget[FinanceCode],FinanceCodesBudget[[#This Row],[FinanceCode]])-1)</f>
        <v>0</v>
      </c>
      <c r="F336" s="43">
        <f>IF(FinanceCodesBudget[[#This Row],[FinanceCodeTypeCode]]="BUDGET",0,COUNTIF(FinanceCodesBudget[Title],FinanceCodesBudget[[#This Row],[Title]])-1)</f>
        <v>0</v>
      </c>
      <c r="G336" s="43">
        <f>COUNTIF(Lookup!$A$2:$A$7,FinanceCodesBudget[[#This Row],[FinanceCodeTypeCode]])-1</f>
        <v>0</v>
      </c>
      <c r="H336" s="43">
        <f>IF(TRIM(FinanceCodesBudget[[#This Row],[Title]])="",1,0)</f>
        <v>0</v>
      </c>
      <c r="I336" s="43">
        <f>IF(TRIM(FinanceCodesBudget[[#This Row],[FinanceCode]])="",1,0)</f>
        <v>0</v>
      </c>
      <c r="J336" s="43">
        <f>IF(LEN(FinanceCodesBudget[[#This Row],[FinanceCode]])&lt;100,0,1)</f>
        <v>0</v>
      </c>
      <c r="K336" s="43">
        <f>IF(LEN(FinanceCodesBudget[[#This Row],[Title]])&lt;100,0,1)</f>
        <v>0</v>
      </c>
      <c r="L336" s="43">
        <f>IF(ISBLANK(FinanceCodesBudget[[#This Row],[BalanceToScenario]]),1,0)</f>
        <v>0</v>
      </c>
      <c r="M336" s="43">
        <f>SUM(FinanceCodesBudget[[#This Row],[LedgerIssue]:[CustGrIssue]],FinanceCodesBudget[[#This Row],[DupCode]:[Balance to Scenario Blank]])</f>
        <v>0</v>
      </c>
      <c r="N336">
        <v>780770</v>
      </c>
      <c r="O336" t="s">
        <v>2859</v>
      </c>
      <c r="P336" t="s">
        <v>582</v>
      </c>
      <c r="Q336" t="s">
        <v>1994</v>
      </c>
      <c r="R336" t="b">
        <v>0</v>
      </c>
      <c r="S336" t="s">
        <v>2846</v>
      </c>
      <c r="T336" t="s">
        <v>1300</v>
      </c>
      <c r="U336" t="s">
        <v>1532</v>
      </c>
      <c r="V336" t="b">
        <v>1</v>
      </c>
      <c r="W336" t="b">
        <v>0</v>
      </c>
    </row>
    <row r="337" spans="1:23" x14ac:dyDescent="0.3">
      <c r="A337" s="147">
        <f>IF(COUNTIF(LEDGER[LedgerCode],FinanceCodesBudget[[#This Row],[LedgerCode]])&gt;0,0,1)</f>
        <v>0</v>
      </c>
      <c r="B337" s="43">
        <f>IF(COUNTIF(Table_System_Grouping_Codes[groupingCodeCode],FinanceCodesBudget[[#This Row],[GroupingCode]])&gt;0,0,1)</f>
        <v>0</v>
      </c>
      <c r="C337" s="43">
        <f>IF(COUNTIF(CUSTGROUP[CustomGroupingCode],FinanceCodesBudget[[#This Row],[CustomGrouping]])&gt;0,0,1)</f>
        <v>0</v>
      </c>
      <c r="D337" s="43" cm="1">
        <f t="array" ref="D337">IF(FinanceCodesBudget[[#This Row],[AvailableToAllSchools]]=TRUE,0,COUNTA(_xlfn.TEXTSPLIT(FinanceCodesBudget[[#This Row],[SchoolCodes]],",",,TRUE))-SUM(COUNTIF(SCHOOLS[SchoolCode],_xlfn.TEXTSPLIT(FinanceCodesBudget[[#This Row],[SchoolCodes]],",",,TRUE))))</f>
        <v>0</v>
      </c>
      <c r="E337" s="43">
        <f>IF(FinanceCodesBudget[[#This Row],[FinanceCodeTypeCode]]="BUDGET",0,COUNTIF(FinanceCodesBudget[FinanceCode],FinanceCodesBudget[[#This Row],[FinanceCode]])-1)</f>
        <v>0</v>
      </c>
      <c r="F337" s="43">
        <f>IF(FinanceCodesBudget[[#This Row],[FinanceCodeTypeCode]]="BUDGET",0,COUNTIF(FinanceCodesBudget[Title],FinanceCodesBudget[[#This Row],[Title]])-1)</f>
        <v>0</v>
      </c>
      <c r="G337" s="43">
        <f>COUNTIF(Lookup!$A$2:$A$7,FinanceCodesBudget[[#This Row],[FinanceCodeTypeCode]])-1</f>
        <v>0</v>
      </c>
      <c r="H337" s="43">
        <f>IF(TRIM(FinanceCodesBudget[[#This Row],[Title]])="",1,0)</f>
        <v>0</v>
      </c>
      <c r="I337" s="43">
        <f>IF(TRIM(FinanceCodesBudget[[#This Row],[FinanceCode]])="",1,0)</f>
        <v>0</v>
      </c>
      <c r="J337" s="43">
        <f>IF(LEN(FinanceCodesBudget[[#This Row],[FinanceCode]])&lt;100,0,1)</f>
        <v>0</v>
      </c>
      <c r="K337" s="43">
        <f>IF(LEN(FinanceCodesBudget[[#This Row],[Title]])&lt;100,0,1)</f>
        <v>0</v>
      </c>
      <c r="L337" s="43">
        <f>IF(ISBLANK(FinanceCodesBudget[[#This Row],[BalanceToScenario]]),1,0)</f>
        <v>0</v>
      </c>
      <c r="M337" s="43">
        <f>SUM(FinanceCodesBudget[[#This Row],[LedgerIssue]:[CustGrIssue]],FinanceCodesBudget[[#This Row],[DupCode]:[Balance to Scenario Blank]])</f>
        <v>0</v>
      </c>
      <c r="N337">
        <v>780800</v>
      </c>
      <c r="O337" t="s">
        <v>2860</v>
      </c>
      <c r="P337" t="s">
        <v>582</v>
      </c>
      <c r="Q337" t="s">
        <v>1994</v>
      </c>
      <c r="R337" t="b">
        <v>0</v>
      </c>
      <c r="S337" t="s">
        <v>2846</v>
      </c>
      <c r="T337" t="s">
        <v>1300</v>
      </c>
      <c r="U337" t="s">
        <v>1532</v>
      </c>
      <c r="V337" t="b">
        <v>1</v>
      </c>
      <c r="W337" t="b">
        <v>0</v>
      </c>
    </row>
    <row r="338" spans="1:23" x14ac:dyDescent="0.3">
      <c r="A338" s="147">
        <f>IF(COUNTIF(LEDGER[LedgerCode],FinanceCodesBudget[[#This Row],[LedgerCode]])&gt;0,0,1)</f>
        <v>0</v>
      </c>
      <c r="B338" s="43">
        <f>IF(COUNTIF(Table_System_Grouping_Codes[groupingCodeCode],FinanceCodesBudget[[#This Row],[GroupingCode]])&gt;0,0,1)</f>
        <v>0</v>
      </c>
      <c r="C338" s="43">
        <f>IF(COUNTIF(CUSTGROUP[CustomGroupingCode],FinanceCodesBudget[[#This Row],[CustomGrouping]])&gt;0,0,1)</f>
        <v>0</v>
      </c>
      <c r="D338" s="43" cm="1">
        <f t="array" ref="D338">IF(FinanceCodesBudget[[#This Row],[AvailableToAllSchools]]=TRUE,0,COUNTA(_xlfn.TEXTSPLIT(FinanceCodesBudget[[#This Row],[SchoolCodes]],",",,TRUE))-SUM(COUNTIF(SCHOOLS[SchoolCode],_xlfn.TEXTSPLIT(FinanceCodesBudget[[#This Row],[SchoolCodes]],",",,TRUE))))</f>
        <v>0</v>
      </c>
      <c r="E338" s="43">
        <f>IF(FinanceCodesBudget[[#This Row],[FinanceCodeTypeCode]]="BUDGET",0,COUNTIF(FinanceCodesBudget[FinanceCode],FinanceCodesBudget[[#This Row],[FinanceCode]])-1)</f>
        <v>0</v>
      </c>
      <c r="F338" s="43">
        <f>IF(FinanceCodesBudget[[#This Row],[FinanceCodeTypeCode]]="BUDGET",0,COUNTIF(FinanceCodesBudget[Title],FinanceCodesBudget[[#This Row],[Title]])-1)</f>
        <v>0</v>
      </c>
      <c r="G338" s="43">
        <f>COUNTIF(Lookup!$A$2:$A$7,FinanceCodesBudget[[#This Row],[FinanceCodeTypeCode]])-1</f>
        <v>0</v>
      </c>
      <c r="H338" s="43">
        <f>IF(TRIM(FinanceCodesBudget[[#This Row],[Title]])="",1,0)</f>
        <v>0</v>
      </c>
      <c r="I338" s="43">
        <f>IF(TRIM(FinanceCodesBudget[[#This Row],[FinanceCode]])="",1,0)</f>
        <v>0</v>
      </c>
      <c r="J338" s="43">
        <f>IF(LEN(FinanceCodesBudget[[#This Row],[FinanceCode]])&lt;100,0,1)</f>
        <v>0</v>
      </c>
      <c r="K338" s="43">
        <f>IF(LEN(FinanceCodesBudget[[#This Row],[Title]])&lt;100,0,1)</f>
        <v>0</v>
      </c>
      <c r="L338" s="43">
        <f>IF(ISBLANK(FinanceCodesBudget[[#This Row],[BalanceToScenario]]),1,0)</f>
        <v>0</v>
      </c>
      <c r="M338" s="43">
        <f>SUM(FinanceCodesBudget[[#This Row],[LedgerIssue]:[CustGrIssue]],FinanceCodesBudget[[#This Row],[DupCode]:[Balance to Scenario Blank]])</f>
        <v>0</v>
      </c>
      <c r="N338">
        <v>780850</v>
      </c>
      <c r="O338" t="s">
        <v>2861</v>
      </c>
      <c r="P338" t="s">
        <v>584</v>
      </c>
      <c r="Q338" t="s">
        <v>1994</v>
      </c>
      <c r="R338" t="b">
        <v>0</v>
      </c>
      <c r="S338" t="s">
        <v>2526</v>
      </c>
      <c r="T338" t="s">
        <v>1300</v>
      </c>
      <c r="U338" t="s">
        <v>1532</v>
      </c>
      <c r="V338" t="b">
        <v>1</v>
      </c>
      <c r="W338" t="b">
        <v>0</v>
      </c>
    </row>
    <row r="339" spans="1:23" x14ac:dyDescent="0.3">
      <c r="A339" s="147">
        <f>IF(COUNTIF(LEDGER[LedgerCode],FinanceCodesBudget[[#This Row],[LedgerCode]])&gt;0,0,1)</f>
        <v>0</v>
      </c>
      <c r="B339" s="43">
        <f>IF(COUNTIF(Table_System_Grouping_Codes[groupingCodeCode],FinanceCodesBudget[[#This Row],[GroupingCode]])&gt;0,0,1)</f>
        <v>0</v>
      </c>
      <c r="C339" s="43">
        <f>IF(COUNTIF(CUSTGROUP[CustomGroupingCode],FinanceCodesBudget[[#This Row],[CustomGrouping]])&gt;0,0,1)</f>
        <v>0</v>
      </c>
      <c r="D339" s="43" cm="1">
        <f t="array" ref="D339">IF(FinanceCodesBudget[[#This Row],[AvailableToAllSchools]]=TRUE,0,COUNTA(_xlfn.TEXTSPLIT(FinanceCodesBudget[[#This Row],[SchoolCodes]],",",,TRUE))-SUM(COUNTIF(SCHOOLS[SchoolCode],_xlfn.TEXTSPLIT(FinanceCodesBudget[[#This Row],[SchoolCodes]],",",,TRUE))))</f>
        <v>0</v>
      </c>
      <c r="E339" s="43">
        <f>IF(FinanceCodesBudget[[#This Row],[FinanceCodeTypeCode]]="BUDGET",0,COUNTIF(FinanceCodesBudget[FinanceCode],FinanceCodesBudget[[#This Row],[FinanceCode]])-1)</f>
        <v>0</v>
      </c>
      <c r="F339" s="43">
        <f>IF(FinanceCodesBudget[[#This Row],[FinanceCodeTypeCode]]="BUDGET",0,COUNTIF(FinanceCodesBudget[Title],FinanceCodesBudget[[#This Row],[Title]])-1)</f>
        <v>0</v>
      </c>
      <c r="G339" s="43">
        <f>COUNTIF(Lookup!$A$2:$A$7,FinanceCodesBudget[[#This Row],[FinanceCodeTypeCode]])-1</f>
        <v>0</v>
      </c>
      <c r="H339" s="43">
        <f>IF(TRIM(FinanceCodesBudget[[#This Row],[Title]])="",1,0)</f>
        <v>0</v>
      </c>
      <c r="I339" s="43">
        <f>IF(TRIM(FinanceCodesBudget[[#This Row],[FinanceCode]])="",1,0)</f>
        <v>0</v>
      </c>
      <c r="J339" s="43">
        <f>IF(LEN(FinanceCodesBudget[[#This Row],[FinanceCode]])&lt;100,0,1)</f>
        <v>0</v>
      </c>
      <c r="K339" s="43">
        <f>IF(LEN(FinanceCodesBudget[[#This Row],[Title]])&lt;100,0,1)</f>
        <v>0</v>
      </c>
      <c r="L339" s="43">
        <f>IF(ISBLANK(FinanceCodesBudget[[#This Row],[BalanceToScenario]]),1,0)</f>
        <v>0</v>
      </c>
      <c r="M339" s="43">
        <f>SUM(FinanceCodesBudget[[#This Row],[LedgerIssue]:[CustGrIssue]],FinanceCodesBudget[[#This Row],[DupCode]:[Balance to Scenario Blank]])</f>
        <v>0</v>
      </c>
      <c r="N339">
        <v>810100</v>
      </c>
      <c r="O339" t="s">
        <v>2862</v>
      </c>
      <c r="P339" t="s">
        <v>1876</v>
      </c>
      <c r="Q339" t="s">
        <v>1996</v>
      </c>
      <c r="R339" t="b">
        <v>0</v>
      </c>
      <c r="S339" t="s">
        <v>2526</v>
      </c>
      <c r="T339" t="s">
        <v>1300</v>
      </c>
      <c r="U339" t="s">
        <v>1532</v>
      </c>
      <c r="V339" t="b">
        <v>1</v>
      </c>
      <c r="W339" t="b">
        <v>0</v>
      </c>
    </row>
    <row r="340" spans="1:23" x14ac:dyDescent="0.3">
      <c r="A340" s="147">
        <f>IF(COUNTIF(LEDGER[LedgerCode],FinanceCodesBudget[[#This Row],[LedgerCode]])&gt;0,0,1)</f>
        <v>0</v>
      </c>
      <c r="B340" s="43">
        <f>IF(COUNTIF(Table_System_Grouping_Codes[groupingCodeCode],FinanceCodesBudget[[#This Row],[GroupingCode]])&gt;0,0,1)</f>
        <v>0</v>
      </c>
      <c r="C340" s="43">
        <f>IF(COUNTIF(CUSTGROUP[CustomGroupingCode],FinanceCodesBudget[[#This Row],[CustomGrouping]])&gt;0,0,1)</f>
        <v>0</v>
      </c>
      <c r="D340" s="43" cm="1">
        <f t="array" ref="D340">IF(FinanceCodesBudget[[#This Row],[AvailableToAllSchools]]=TRUE,0,COUNTA(_xlfn.TEXTSPLIT(FinanceCodesBudget[[#This Row],[SchoolCodes]],",",,TRUE))-SUM(COUNTIF(SCHOOLS[SchoolCode],_xlfn.TEXTSPLIT(FinanceCodesBudget[[#This Row],[SchoolCodes]],",",,TRUE))))</f>
        <v>0</v>
      </c>
      <c r="E340" s="43">
        <f>IF(FinanceCodesBudget[[#This Row],[FinanceCodeTypeCode]]="BUDGET",0,COUNTIF(FinanceCodesBudget[FinanceCode],FinanceCodesBudget[[#This Row],[FinanceCode]])-1)</f>
        <v>0</v>
      </c>
      <c r="F340" s="43">
        <f>IF(FinanceCodesBudget[[#This Row],[FinanceCodeTypeCode]]="BUDGET",0,COUNTIF(FinanceCodesBudget[Title],FinanceCodesBudget[[#This Row],[Title]])-1)</f>
        <v>0</v>
      </c>
      <c r="G340" s="43">
        <f>COUNTIF(Lookup!$A$2:$A$7,FinanceCodesBudget[[#This Row],[FinanceCodeTypeCode]])-1</f>
        <v>0</v>
      </c>
      <c r="H340" s="43">
        <f>IF(TRIM(FinanceCodesBudget[[#This Row],[Title]])="",1,0)</f>
        <v>0</v>
      </c>
      <c r="I340" s="43">
        <f>IF(TRIM(FinanceCodesBudget[[#This Row],[FinanceCode]])="",1,0)</f>
        <v>0</v>
      </c>
      <c r="J340" s="43">
        <f>IF(LEN(FinanceCodesBudget[[#This Row],[FinanceCode]])&lt;100,0,1)</f>
        <v>0</v>
      </c>
      <c r="K340" s="43">
        <f>IF(LEN(FinanceCodesBudget[[#This Row],[Title]])&lt;100,0,1)</f>
        <v>0</v>
      </c>
      <c r="L340" s="43">
        <f>IF(ISBLANK(FinanceCodesBudget[[#This Row],[BalanceToScenario]]),1,0)</f>
        <v>0</v>
      </c>
      <c r="M340" s="43">
        <f>SUM(FinanceCodesBudget[[#This Row],[LedgerIssue]:[CustGrIssue]],FinanceCodesBudget[[#This Row],[DupCode]:[Balance to Scenario Blank]])</f>
        <v>0</v>
      </c>
      <c r="N340">
        <v>810150</v>
      </c>
      <c r="O340" t="s">
        <v>2863</v>
      </c>
      <c r="P340" t="s">
        <v>586</v>
      </c>
      <c r="Q340" t="s">
        <v>1996</v>
      </c>
      <c r="R340" t="b">
        <v>0</v>
      </c>
      <c r="S340" t="s">
        <v>2526</v>
      </c>
      <c r="T340" t="s">
        <v>1300</v>
      </c>
      <c r="U340" t="s">
        <v>1532</v>
      </c>
      <c r="V340" t="b">
        <v>1</v>
      </c>
      <c r="W340" t="b">
        <v>0</v>
      </c>
    </row>
    <row r="341" spans="1:23" x14ac:dyDescent="0.3">
      <c r="A341" s="147">
        <f>IF(COUNTIF(LEDGER[LedgerCode],FinanceCodesBudget[[#This Row],[LedgerCode]])&gt;0,0,1)</f>
        <v>0</v>
      </c>
      <c r="B341" s="43">
        <f>IF(COUNTIF(Table_System_Grouping_Codes[groupingCodeCode],FinanceCodesBudget[[#This Row],[GroupingCode]])&gt;0,0,1)</f>
        <v>0</v>
      </c>
      <c r="C341" s="43">
        <f>IF(COUNTIF(CUSTGROUP[CustomGroupingCode],FinanceCodesBudget[[#This Row],[CustomGrouping]])&gt;0,0,1)</f>
        <v>0</v>
      </c>
      <c r="D341" s="43" cm="1">
        <f t="array" ref="D341">IF(FinanceCodesBudget[[#This Row],[AvailableToAllSchools]]=TRUE,0,COUNTA(_xlfn.TEXTSPLIT(FinanceCodesBudget[[#This Row],[SchoolCodes]],",",,TRUE))-SUM(COUNTIF(SCHOOLS[SchoolCode],_xlfn.TEXTSPLIT(FinanceCodesBudget[[#This Row],[SchoolCodes]],",",,TRUE))))</f>
        <v>0</v>
      </c>
      <c r="E341" s="43">
        <f>IF(FinanceCodesBudget[[#This Row],[FinanceCodeTypeCode]]="BUDGET",0,COUNTIF(FinanceCodesBudget[FinanceCode],FinanceCodesBudget[[#This Row],[FinanceCode]])-1)</f>
        <v>0</v>
      </c>
      <c r="F341" s="43">
        <f>IF(FinanceCodesBudget[[#This Row],[FinanceCodeTypeCode]]="BUDGET",0,COUNTIF(FinanceCodesBudget[Title],FinanceCodesBudget[[#This Row],[Title]])-1)</f>
        <v>0</v>
      </c>
      <c r="G341" s="43">
        <f>COUNTIF(Lookup!$A$2:$A$7,FinanceCodesBudget[[#This Row],[FinanceCodeTypeCode]])-1</f>
        <v>0</v>
      </c>
      <c r="H341" s="43">
        <f>IF(TRIM(FinanceCodesBudget[[#This Row],[Title]])="",1,0)</f>
        <v>0</v>
      </c>
      <c r="I341" s="43">
        <f>IF(TRIM(FinanceCodesBudget[[#This Row],[FinanceCode]])="",1,0)</f>
        <v>0</v>
      </c>
      <c r="J341" s="43">
        <f>IF(LEN(FinanceCodesBudget[[#This Row],[FinanceCode]])&lt;100,0,1)</f>
        <v>0</v>
      </c>
      <c r="K341" s="43">
        <f>IF(LEN(FinanceCodesBudget[[#This Row],[Title]])&lt;100,0,1)</f>
        <v>0</v>
      </c>
      <c r="L341" s="43">
        <f>IF(ISBLANK(FinanceCodesBudget[[#This Row],[BalanceToScenario]]),1,0)</f>
        <v>0</v>
      </c>
      <c r="M341" s="43">
        <f>SUM(FinanceCodesBudget[[#This Row],[LedgerIssue]:[CustGrIssue]],FinanceCodesBudget[[#This Row],[DupCode]:[Balance to Scenario Blank]])</f>
        <v>0</v>
      </c>
      <c r="N341">
        <v>810200</v>
      </c>
      <c r="O341" t="s">
        <v>2864</v>
      </c>
      <c r="P341" t="s">
        <v>588</v>
      </c>
      <c r="Q341" t="s">
        <v>1996</v>
      </c>
      <c r="R341" t="b">
        <v>0</v>
      </c>
      <c r="S341" t="s">
        <v>2526</v>
      </c>
      <c r="T341" t="s">
        <v>1300</v>
      </c>
      <c r="U341" t="s">
        <v>1532</v>
      </c>
      <c r="V341" t="b">
        <v>1</v>
      </c>
      <c r="W341" t="b">
        <v>0</v>
      </c>
    </row>
    <row r="342" spans="1:23" x14ac:dyDescent="0.3">
      <c r="A342" s="147">
        <f>IF(COUNTIF(LEDGER[LedgerCode],FinanceCodesBudget[[#This Row],[LedgerCode]])&gt;0,0,1)</f>
        <v>0</v>
      </c>
      <c r="B342" s="43">
        <f>IF(COUNTIF(Table_System_Grouping_Codes[groupingCodeCode],FinanceCodesBudget[[#This Row],[GroupingCode]])&gt;0,0,1)</f>
        <v>0</v>
      </c>
      <c r="C342" s="43">
        <f>IF(COUNTIF(CUSTGROUP[CustomGroupingCode],FinanceCodesBudget[[#This Row],[CustomGrouping]])&gt;0,0,1)</f>
        <v>0</v>
      </c>
      <c r="D342" s="43" cm="1">
        <f t="array" ref="D342">IF(FinanceCodesBudget[[#This Row],[AvailableToAllSchools]]=TRUE,0,COUNTA(_xlfn.TEXTSPLIT(FinanceCodesBudget[[#This Row],[SchoolCodes]],",",,TRUE))-SUM(COUNTIF(SCHOOLS[SchoolCode],_xlfn.TEXTSPLIT(FinanceCodesBudget[[#This Row],[SchoolCodes]],",",,TRUE))))</f>
        <v>0</v>
      </c>
      <c r="E342" s="43">
        <f>IF(FinanceCodesBudget[[#This Row],[FinanceCodeTypeCode]]="BUDGET",0,COUNTIF(FinanceCodesBudget[FinanceCode],FinanceCodesBudget[[#This Row],[FinanceCode]])-1)</f>
        <v>0</v>
      </c>
      <c r="F342" s="43">
        <f>IF(FinanceCodesBudget[[#This Row],[FinanceCodeTypeCode]]="BUDGET",0,COUNTIF(FinanceCodesBudget[Title],FinanceCodesBudget[[#This Row],[Title]])-1)</f>
        <v>0</v>
      </c>
      <c r="G342" s="43">
        <f>COUNTIF(Lookup!$A$2:$A$7,FinanceCodesBudget[[#This Row],[FinanceCodeTypeCode]])-1</f>
        <v>0</v>
      </c>
      <c r="H342" s="43">
        <f>IF(TRIM(FinanceCodesBudget[[#This Row],[Title]])="",1,0)</f>
        <v>0</v>
      </c>
      <c r="I342" s="43">
        <f>IF(TRIM(FinanceCodesBudget[[#This Row],[FinanceCode]])="",1,0)</f>
        <v>0</v>
      </c>
      <c r="J342" s="43">
        <f>IF(LEN(FinanceCodesBudget[[#This Row],[FinanceCode]])&lt;100,0,1)</f>
        <v>0</v>
      </c>
      <c r="K342" s="43">
        <f>IF(LEN(FinanceCodesBudget[[#This Row],[Title]])&lt;100,0,1)</f>
        <v>0</v>
      </c>
      <c r="L342" s="43">
        <f>IF(ISBLANK(FinanceCodesBudget[[#This Row],[BalanceToScenario]]),1,0)</f>
        <v>0</v>
      </c>
      <c r="M342" s="43">
        <f>SUM(FinanceCodesBudget[[#This Row],[LedgerIssue]:[CustGrIssue]],FinanceCodesBudget[[#This Row],[DupCode]:[Balance to Scenario Blank]])</f>
        <v>0</v>
      </c>
      <c r="N342">
        <v>810220</v>
      </c>
      <c r="O342" t="s">
        <v>2865</v>
      </c>
      <c r="P342" t="s">
        <v>590</v>
      </c>
      <c r="Q342" t="s">
        <v>1996</v>
      </c>
      <c r="R342" t="b">
        <v>0</v>
      </c>
      <c r="S342" t="s">
        <v>2526</v>
      </c>
      <c r="T342" t="s">
        <v>1300</v>
      </c>
      <c r="U342" t="s">
        <v>1532</v>
      </c>
      <c r="V342" t="b">
        <v>1</v>
      </c>
      <c r="W342" t="b">
        <v>0</v>
      </c>
    </row>
    <row r="343" spans="1:23" x14ac:dyDescent="0.3">
      <c r="A343" s="147">
        <f>IF(COUNTIF(LEDGER[LedgerCode],FinanceCodesBudget[[#This Row],[LedgerCode]])&gt;0,0,1)</f>
        <v>0</v>
      </c>
      <c r="B343" s="43">
        <f>IF(COUNTIF(Table_System_Grouping_Codes[groupingCodeCode],FinanceCodesBudget[[#This Row],[GroupingCode]])&gt;0,0,1)</f>
        <v>0</v>
      </c>
      <c r="C343" s="43">
        <f>IF(COUNTIF(CUSTGROUP[CustomGroupingCode],FinanceCodesBudget[[#This Row],[CustomGrouping]])&gt;0,0,1)</f>
        <v>0</v>
      </c>
      <c r="D343" s="43" cm="1">
        <f t="array" ref="D343">IF(FinanceCodesBudget[[#This Row],[AvailableToAllSchools]]=TRUE,0,COUNTA(_xlfn.TEXTSPLIT(FinanceCodesBudget[[#This Row],[SchoolCodes]],",",,TRUE))-SUM(COUNTIF(SCHOOLS[SchoolCode],_xlfn.TEXTSPLIT(FinanceCodesBudget[[#This Row],[SchoolCodes]],",",,TRUE))))</f>
        <v>0</v>
      </c>
      <c r="E343" s="43">
        <f>IF(FinanceCodesBudget[[#This Row],[FinanceCodeTypeCode]]="BUDGET",0,COUNTIF(FinanceCodesBudget[FinanceCode],FinanceCodesBudget[[#This Row],[FinanceCode]])-1)</f>
        <v>0</v>
      </c>
      <c r="F343" s="43">
        <f>IF(FinanceCodesBudget[[#This Row],[FinanceCodeTypeCode]]="BUDGET",0,COUNTIF(FinanceCodesBudget[Title],FinanceCodesBudget[[#This Row],[Title]])-1)</f>
        <v>0</v>
      </c>
      <c r="G343" s="43">
        <f>COUNTIF(Lookup!$A$2:$A$7,FinanceCodesBudget[[#This Row],[FinanceCodeTypeCode]])-1</f>
        <v>0</v>
      </c>
      <c r="H343" s="43">
        <f>IF(TRIM(FinanceCodesBudget[[#This Row],[Title]])="",1,0)</f>
        <v>0</v>
      </c>
      <c r="I343" s="43">
        <f>IF(TRIM(FinanceCodesBudget[[#This Row],[FinanceCode]])="",1,0)</f>
        <v>0</v>
      </c>
      <c r="J343" s="43">
        <f>IF(LEN(FinanceCodesBudget[[#This Row],[FinanceCode]])&lt;100,0,1)</f>
        <v>0</v>
      </c>
      <c r="K343" s="43">
        <f>IF(LEN(FinanceCodesBudget[[#This Row],[Title]])&lt;100,0,1)</f>
        <v>0</v>
      </c>
      <c r="L343" s="43">
        <f>IF(ISBLANK(FinanceCodesBudget[[#This Row],[BalanceToScenario]]),1,0)</f>
        <v>0</v>
      </c>
      <c r="M343" s="43">
        <f>SUM(FinanceCodesBudget[[#This Row],[LedgerIssue]:[CustGrIssue]],FinanceCodesBudget[[#This Row],[DupCode]:[Balance to Scenario Blank]])</f>
        <v>0</v>
      </c>
      <c r="N343">
        <v>810250</v>
      </c>
      <c r="O343" t="s">
        <v>2866</v>
      </c>
      <c r="P343" t="s">
        <v>592</v>
      </c>
      <c r="Q343" t="s">
        <v>1996</v>
      </c>
      <c r="R343" t="b">
        <v>0</v>
      </c>
      <c r="S343" t="s">
        <v>2526</v>
      </c>
      <c r="T343" t="s">
        <v>1300</v>
      </c>
      <c r="U343" t="s">
        <v>1532</v>
      </c>
      <c r="V343" t="b">
        <v>1</v>
      </c>
      <c r="W343" t="b">
        <v>0</v>
      </c>
    </row>
    <row r="344" spans="1:23" x14ac:dyDescent="0.3">
      <c r="A344" s="147">
        <f>IF(COUNTIF(LEDGER[LedgerCode],FinanceCodesBudget[[#This Row],[LedgerCode]])&gt;0,0,1)</f>
        <v>0</v>
      </c>
      <c r="B344" s="43">
        <f>IF(COUNTIF(Table_System_Grouping_Codes[groupingCodeCode],FinanceCodesBudget[[#This Row],[GroupingCode]])&gt;0,0,1)</f>
        <v>0</v>
      </c>
      <c r="C344" s="43">
        <f>IF(COUNTIF(CUSTGROUP[CustomGroupingCode],FinanceCodesBudget[[#This Row],[CustomGrouping]])&gt;0,0,1)</f>
        <v>0</v>
      </c>
      <c r="D344" s="43" cm="1">
        <f t="array" ref="D344">IF(FinanceCodesBudget[[#This Row],[AvailableToAllSchools]]=TRUE,0,COUNTA(_xlfn.TEXTSPLIT(FinanceCodesBudget[[#This Row],[SchoolCodes]],",",,TRUE))-SUM(COUNTIF(SCHOOLS[SchoolCode],_xlfn.TEXTSPLIT(FinanceCodesBudget[[#This Row],[SchoolCodes]],",",,TRUE))))</f>
        <v>0</v>
      </c>
      <c r="E344" s="43">
        <f>IF(FinanceCodesBudget[[#This Row],[FinanceCodeTypeCode]]="BUDGET",0,COUNTIF(FinanceCodesBudget[FinanceCode],FinanceCodesBudget[[#This Row],[FinanceCode]])-1)</f>
        <v>0</v>
      </c>
      <c r="F344" s="43">
        <f>IF(FinanceCodesBudget[[#This Row],[FinanceCodeTypeCode]]="BUDGET",0,COUNTIF(FinanceCodesBudget[Title],FinanceCodesBudget[[#This Row],[Title]])-1)</f>
        <v>0</v>
      </c>
      <c r="G344" s="43">
        <f>COUNTIF(Lookup!$A$2:$A$7,FinanceCodesBudget[[#This Row],[FinanceCodeTypeCode]])-1</f>
        <v>0</v>
      </c>
      <c r="H344" s="43">
        <f>IF(TRIM(FinanceCodesBudget[[#This Row],[Title]])="",1,0)</f>
        <v>0</v>
      </c>
      <c r="I344" s="43">
        <f>IF(TRIM(FinanceCodesBudget[[#This Row],[FinanceCode]])="",1,0)</f>
        <v>0</v>
      </c>
      <c r="J344" s="43">
        <f>IF(LEN(FinanceCodesBudget[[#This Row],[FinanceCode]])&lt;100,0,1)</f>
        <v>0</v>
      </c>
      <c r="K344" s="43">
        <f>IF(LEN(FinanceCodesBudget[[#This Row],[Title]])&lt;100,0,1)</f>
        <v>0</v>
      </c>
      <c r="L344" s="43">
        <f>IF(ISBLANK(FinanceCodesBudget[[#This Row],[BalanceToScenario]]),1,0)</f>
        <v>0</v>
      </c>
      <c r="M344" s="43">
        <f>SUM(FinanceCodesBudget[[#This Row],[LedgerIssue]:[CustGrIssue]],FinanceCodesBudget[[#This Row],[DupCode]:[Balance to Scenario Blank]])</f>
        <v>0</v>
      </c>
      <c r="N344">
        <v>810300</v>
      </c>
      <c r="O344" t="s">
        <v>2867</v>
      </c>
      <c r="P344" t="s">
        <v>1879</v>
      </c>
      <c r="Q344" t="s">
        <v>1996</v>
      </c>
      <c r="R344" t="b">
        <v>0</v>
      </c>
      <c r="S344" t="s">
        <v>2526</v>
      </c>
      <c r="T344" t="s">
        <v>1300</v>
      </c>
      <c r="U344" t="s">
        <v>1532</v>
      </c>
      <c r="V344" t="b">
        <v>1</v>
      </c>
      <c r="W344" t="b">
        <v>0</v>
      </c>
    </row>
    <row r="345" spans="1:23" x14ac:dyDescent="0.3">
      <c r="A345" s="147">
        <f>IF(COUNTIF(LEDGER[LedgerCode],FinanceCodesBudget[[#This Row],[LedgerCode]])&gt;0,0,1)</f>
        <v>0</v>
      </c>
      <c r="B345" s="43">
        <f>IF(COUNTIF(Table_System_Grouping_Codes[groupingCodeCode],FinanceCodesBudget[[#This Row],[GroupingCode]])&gt;0,0,1)</f>
        <v>0</v>
      </c>
      <c r="C345" s="43">
        <f>IF(COUNTIF(CUSTGROUP[CustomGroupingCode],FinanceCodesBudget[[#This Row],[CustomGrouping]])&gt;0,0,1)</f>
        <v>0</v>
      </c>
      <c r="D345" s="43" cm="1">
        <f t="array" ref="D345">IF(FinanceCodesBudget[[#This Row],[AvailableToAllSchools]]=TRUE,0,COUNTA(_xlfn.TEXTSPLIT(FinanceCodesBudget[[#This Row],[SchoolCodes]],",",,TRUE))-SUM(COUNTIF(SCHOOLS[SchoolCode],_xlfn.TEXTSPLIT(FinanceCodesBudget[[#This Row],[SchoolCodes]],",",,TRUE))))</f>
        <v>0</v>
      </c>
      <c r="E345" s="43">
        <f>IF(FinanceCodesBudget[[#This Row],[FinanceCodeTypeCode]]="BUDGET",0,COUNTIF(FinanceCodesBudget[FinanceCode],FinanceCodesBudget[[#This Row],[FinanceCode]])-1)</f>
        <v>0</v>
      </c>
      <c r="F345" s="43">
        <f>IF(FinanceCodesBudget[[#This Row],[FinanceCodeTypeCode]]="BUDGET",0,COUNTIF(FinanceCodesBudget[Title],FinanceCodesBudget[[#This Row],[Title]])-1)</f>
        <v>0</v>
      </c>
      <c r="G345" s="43">
        <f>COUNTIF(Lookup!$A$2:$A$7,FinanceCodesBudget[[#This Row],[FinanceCodeTypeCode]])-1</f>
        <v>0</v>
      </c>
      <c r="H345" s="43">
        <f>IF(TRIM(FinanceCodesBudget[[#This Row],[Title]])="",1,0)</f>
        <v>0</v>
      </c>
      <c r="I345" s="43">
        <f>IF(TRIM(FinanceCodesBudget[[#This Row],[FinanceCode]])="",1,0)</f>
        <v>0</v>
      </c>
      <c r="J345" s="43">
        <f>IF(LEN(FinanceCodesBudget[[#This Row],[FinanceCode]])&lt;100,0,1)</f>
        <v>0</v>
      </c>
      <c r="K345" s="43">
        <f>IF(LEN(FinanceCodesBudget[[#This Row],[Title]])&lt;100,0,1)</f>
        <v>0</v>
      </c>
      <c r="L345" s="43">
        <f>IF(ISBLANK(FinanceCodesBudget[[#This Row],[BalanceToScenario]]),1,0)</f>
        <v>0</v>
      </c>
      <c r="M345" s="43">
        <f>SUM(FinanceCodesBudget[[#This Row],[LedgerIssue]:[CustGrIssue]],FinanceCodesBudget[[#This Row],[DupCode]:[Balance to Scenario Blank]])</f>
        <v>0</v>
      </c>
      <c r="N345">
        <v>810350</v>
      </c>
      <c r="O345" t="s">
        <v>2868</v>
      </c>
      <c r="P345" t="s">
        <v>593</v>
      </c>
      <c r="Q345" t="s">
        <v>1996</v>
      </c>
      <c r="R345" t="b">
        <v>0</v>
      </c>
      <c r="S345" t="s">
        <v>2526</v>
      </c>
      <c r="T345" t="s">
        <v>1300</v>
      </c>
      <c r="U345" t="s">
        <v>1532</v>
      </c>
      <c r="V345" t="b">
        <v>1</v>
      </c>
      <c r="W345" t="b">
        <v>0</v>
      </c>
    </row>
    <row r="346" spans="1:23" x14ac:dyDescent="0.3">
      <c r="A346" s="147">
        <f>IF(COUNTIF(LEDGER[LedgerCode],FinanceCodesBudget[[#This Row],[LedgerCode]])&gt;0,0,1)</f>
        <v>0</v>
      </c>
      <c r="B346" s="43">
        <f>IF(COUNTIF(Table_System_Grouping_Codes[groupingCodeCode],FinanceCodesBudget[[#This Row],[GroupingCode]])&gt;0,0,1)</f>
        <v>0</v>
      </c>
      <c r="C346" s="43">
        <f>IF(COUNTIF(CUSTGROUP[CustomGroupingCode],FinanceCodesBudget[[#This Row],[CustomGrouping]])&gt;0,0,1)</f>
        <v>0</v>
      </c>
      <c r="D346" s="43" cm="1">
        <f t="array" ref="D346">IF(FinanceCodesBudget[[#This Row],[AvailableToAllSchools]]=TRUE,0,COUNTA(_xlfn.TEXTSPLIT(FinanceCodesBudget[[#This Row],[SchoolCodes]],",",,TRUE))-SUM(COUNTIF(SCHOOLS[SchoolCode],_xlfn.TEXTSPLIT(FinanceCodesBudget[[#This Row],[SchoolCodes]],",",,TRUE))))</f>
        <v>0</v>
      </c>
      <c r="E346" s="43">
        <f>IF(FinanceCodesBudget[[#This Row],[FinanceCodeTypeCode]]="BUDGET",0,COUNTIF(FinanceCodesBudget[FinanceCode],FinanceCodesBudget[[#This Row],[FinanceCode]])-1)</f>
        <v>0</v>
      </c>
      <c r="F346" s="43">
        <f>IF(FinanceCodesBudget[[#This Row],[FinanceCodeTypeCode]]="BUDGET",0,COUNTIF(FinanceCodesBudget[Title],FinanceCodesBudget[[#This Row],[Title]])-1)</f>
        <v>0</v>
      </c>
      <c r="G346" s="43">
        <f>COUNTIF(Lookup!$A$2:$A$7,FinanceCodesBudget[[#This Row],[FinanceCodeTypeCode]])-1</f>
        <v>0</v>
      </c>
      <c r="H346" s="43">
        <f>IF(TRIM(FinanceCodesBudget[[#This Row],[Title]])="",1,0)</f>
        <v>0</v>
      </c>
      <c r="I346" s="43">
        <f>IF(TRIM(FinanceCodesBudget[[#This Row],[FinanceCode]])="",1,0)</f>
        <v>0</v>
      </c>
      <c r="J346" s="43">
        <f>IF(LEN(FinanceCodesBudget[[#This Row],[FinanceCode]])&lt;100,0,1)</f>
        <v>0</v>
      </c>
      <c r="K346" s="43">
        <f>IF(LEN(FinanceCodesBudget[[#This Row],[Title]])&lt;100,0,1)</f>
        <v>0</v>
      </c>
      <c r="L346" s="43">
        <f>IF(ISBLANK(FinanceCodesBudget[[#This Row],[BalanceToScenario]]),1,0)</f>
        <v>0</v>
      </c>
      <c r="M346" s="43">
        <f>SUM(FinanceCodesBudget[[#This Row],[LedgerIssue]:[CustGrIssue]],FinanceCodesBudget[[#This Row],[DupCode]:[Balance to Scenario Blank]])</f>
        <v>0</v>
      </c>
      <c r="N346">
        <v>810400</v>
      </c>
      <c r="O346" t="s">
        <v>2869</v>
      </c>
      <c r="P346" t="s">
        <v>1881</v>
      </c>
      <c r="Q346" t="s">
        <v>1996</v>
      </c>
      <c r="R346" t="b">
        <v>0</v>
      </c>
      <c r="S346" t="s">
        <v>2526</v>
      </c>
      <c r="T346" t="s">
        <v>1300</v>
      </c>
      <c r="U346" t="s">
        <v>1532</v>
      </c>
      <c r="V346" t="b">
        <v>1</v>
      </c>
      <c r="W346" t="b">
        <v>0</v>
      </c>
    </row>
    <row r="347" spans="1:23" x14ac:dyDescent="0.3">
      <c r="A347" s="147">
        <f>IF(COUNTIF(LEDGER[LedgerCode],FinanceCodesBudget[[#This Row],[LedgerCode]])&gt;0,0,1)</f>
        <v>0</v>
      </c>
      <c r="B347" s="43">
        <f>IF(COUNTIF(Table_System_Grouping_Codes[groupingCodeCode],FinanceCodesBudget[[#This Row],[GroupingCode]])&gt;0,0,1)</f>
        <v>0</v>
      </c>
      <c r="C347" s="43">
        <f>IF(COUNTIF(CUSTGROUP[CustomGroupingCode],FinanceCodesBudget[[#This Row],[CustomGrouping]])&gt;0,0,1)</f>
        <v>0</v>
      </c>
      <c r="D347" s="43" cm="1">
        <f t="array" ref="D347">IF(FinanceCodesBudget[[#This Row],[AvailableToAllSchools]]=TRUE,0,COUNTA(_xlfn.TEXTSPLIT(FinanceCodesBudget[[#This Row],[SchoolCodes]],",",,TRUE))-SUM(COUNTIF(SCHOOLS[SchoolCode],_xlfn.TEXTSPLIT(FinanceCodesBudget[[#This Row],[SchoolCodes]],",",,TRUE))))</f>
        <v>0</v>
      </c>
      <c r="E347" s="43">
        <f>IF(FinanceCodesBudget[[#This Row],[FinanceCodeTypeCode]]="BUDGET",0,COUNTIF(FinanceCodesBudget[FinanceCode],FinanceCodesBudget[[#This Row],[FinanceCode]])-1)</f>
        <v>0</v>
      </c>
      <c r="F347" s="43">
        <f>IF(FinanceCodesBudget[[#This Row],[FinanceCodeTypeCode]]="BUDGET",0,COUNTIF(FinanceCodesBudget[Title],FinanceCodesBudget[[#This Row],[Title]])-1)</f>
        <v>0</v>
      </c>
      <c r="G347" s="43">
        <f>COUNTIF(Lookup!$A$2:$A$7,FinanceCodesBudget[[#This Row],[FinanceCodeTypeCode]])-1</f>
        <v>0</v>
      </c>
      <c r="H347" s="43">
        <f>IF(TRIM(FinanceCodesBudget[[#This Row],[Title]])="",1,0)</f>
        <v>0</v>
      </c>
      <c r="I347" s="43">
        <f>IF(TRIM(FinanceCodesBudget[[#This Row],[FinanceCode]])="",1,0)</f>
        <v>0</v>
      </c>
      <c r="J347" s="43">
        <f>IF(LEN(FinanceCodesBudget[[#This Row],[FinanceCode]])&lt;100,0,1)</f>
        <v>0</v>
      </c>
      <c r="K347" s="43">
        <f>IF(LEN(FinanceCodesBudget[[#This Row],[Title]])&lt;100,0,1)</f>
        <v>0</v>
      </c>
      <c r="L347" s="43">
        <f>IF(ISBLANK(FinanceCodesBudget[[#This Row],[BalanceToScenario]]),1,0)</f>
        <v>0</v>
      </c>
      <c r="M347" s="43">
        <f>SUM(FinanceCodesBudget[[#This Row],[LedgerIssue]:[CustGrIssue]],FinanceCodesBudget[[#This Row],[DupCode]:[Balance to Scenario Blank]])</f>
        <v>0</v>
      </c>
      <c r="N347">
        <v>810450</v>
      </c>
      <c r="O347" t="s">
        <v>2870</v>
      </c>
      <c r="P347" t="s">
        <v>1883</v>
      </c>
      <c r="Q347" t="s">
        <v>1996</v>
      </c>
      <c r="R347" t="b">
        <v>0</v>
      </c>
      <c r="S347" t="s">
        <v>2526</v>
      </c>
      <c r="T347" t="s">
        <v>1300</v>
      </c>
      <c r="U347" t="s">
        <v>1532</v>
      </c>
      <c r="V347" t="b">
        <v>1</v>
      </c>
      <c r="W347" t="b">
        <v>0</v>
      </c>
    </row>
    <row r="348" spans="1:23" x14ac:dyDescent="0.3">
      <c r="A348" s="147">
        <f>IF(COUNTIF(LEDGER[LedgerCode],FinanceCodesBudget[[#This Row],[LedgerCode]])&gt;0,0,1)</f>
        <v>0</v>
      </c>
      <c r="B348" s="43">
        <f>IF(COUNTIF(Table_System_Grouping_Codes[groupingCodeCode],FinanceCodesBudget[[#This Row],[GroupingCode]])&gt;0,0,1)</f>
        <v>0</v>
      </c>
      <c r="C348" s="43">
        <f>IF(COUNTIF(CUSTGROUP[CustomGroupingCode],FinanceCodesBudget[[#This Row],[CustomGrouping]])&gt;0,0,1)</f>
        <v>0</v>
      </c>
      <c r="D348" s="43" cm="1">
        <f t="array" ref="D348">IF(FinanceCodesBudget[[#This Row],[AvailableToAllSchools]]=TRUE,0,COUNTA(_xlfn.TEXTSPLIT(FinanceCodesBudget[[#This Row],[SchoolCodes]],",",,TRUE))-SUM(COUNTIF(SCHOOLS[SchoolCode],_xlfn.TEXTSPLIT(FinanceCodesBudget[[#This Row],[SchoolCodes]],",",,TRUE))))</f>
        <v>0</v>
      </c>
      <c r="E348" s="43">
        <f>IF(FinanceCodesBudget[[#This Row],[FinanceCodeTypeCode]]="BUDGET",0,COUNTIF(FinanceCodesBudget[FinanceCode],FinanceCodesBudget[[#This Row],[FinanceCode]])-1)</f>
        <v>0</v>
      </c>
      <c r="F348" s="43">
        <f>IF(FinanceCodesBudget[[#This Row],[FinanceCodeTypeCode]]="BUDGET",0,COUNTIF(FinanceCodesBudget[Title],FinanceCodesBudget[[#This Row],[Title]])-1)</f>
        <v>0</v>
      </c>
      <c r="G348" s="43">
        <f>COUNTIF(Lookup!$A$2:$A$7,FinanceCodesBudget[[#This Row],[FinanceCodeTypeCode]])-1</f>
        <v>0</v>
      </c>
      <c r="H348" s="43">
        <f>IF(TRIM(FinanceCodesBudget[[#This Row],[Title]])="",1,0)</f>
        <v>0</v>
      </c>
      <c r="I348" s="43">
        <f>IF(TRIM(FinanceCodesBudget[[#This Row],[FinanceCode]])="",1,0)</f>
        <v>0</v>
      </c>
      <c r="J348" s="43">
        <f>IF(LEN(FinanceCodesBudget[[#This Row],[FinanceCode]])&lt;100,0,1)</f>
        <v>0</v>
      </c>
      <c r="K348" s="43">
        <f>IF(LEN(FinanceCodesBudget[[#This Row],[Title]])&lt;100,0,1)</f>
        <v>0</v>
      </c>
      <c r="L348" s="43">
        <f>IF(ISBLANK(FinanceCodesBudget[[#This Row],[BalanceToScenario]]),1,0)</f>
        <v>0</v>
      </c>
      <c r="M348" s="43">
        <f>SUM(FinanceCodesBudget[[#This Row],[LedgerIssue]:[CustGrIssue]],FinanceCodesBudget[[#This Row],[DupCode]:[Balance to Scenario Blank]])</f>
        <v>0</v>
      </c>
      <c r="N348">
        <v>810500</v>
      </c>
      <c r="O348" t="s">
        <v>2871</v>
      </c>
      <c r="P348" t="s">
        <v>1885</v>
      </c>
      <c r="Q348" t="s">
        <v>1996</v>
      </c>
      <c r="R348" t="b">
        <v>0</v>
      </c>
      <c r="S348" t="s">
        <v>2526</v>
      </c>
      <c r="T348" t="s">
        <v>1300</v>
      </c>
      <c r="U348" t="s">
        <v>1532</v>
      </c>
      <c r="V348" t="b">
        <v>1</v>
      </c>
      <c r="W348" t="b">
        <v>0</v>
      </c>
    </row>
    <row r="349" spans="1:23" x14ac:dyDescent="0.3">
      <c r="A349" s="147">
        <f>IF(COUNTIF(LEDGER[LedgerCode],FinanceCodesBudget[[#This Row],[LedgerCode]])&gt;0,0,1)</f>
        <v>0</v>
      </c>
      <c r="B349" s="43">
        <f>IF(COUNTIF(Table_System_Grouping_Codes[groupingCodeCode],FinanceCodesBudget[[#This Row],[GroupingCode]])&gt;0,0,1)</f>
        <v>0</v>
      </c>
      <c r="C349" s="43">
        <f>IF(COUNTIF(CUSTGROUP[CustomGroupingCode],FinanceCodesBudget[[#This Row],[CustomGrouping]])&gt;0,0,1)</f>
        <v>0</v>
      </c>
      <c r="D349" s="43" cm="1">
        <f t="array" ref="D349">IF(FinanceCodesBudget[[#This Row],[AvailableToAllSchools]]=TRUE,0,COUNTA(_xlfn.TEXTSPLIT(FinanceCodesBudget[[#This Row],[SchoolCodes]],",",,TRUE))-SUM(COUNTIF(SCHOOLS[SchoolCode],_xlfn.TEXTSPLIT(FinanceCodesBudget[[#This Row],[SchoolCodes]],",",,TRUE))))</f>
        <v>0</v>
      </c>
      <c r="E349" s="43">
        <f>IF(FinanceCodesBudget[[#This Row],[FinanceCodeTypeCode]]="BUDGET",0,COUNTIF(FinanceCodesBudget[FinanceCode],FinanceCodesBudget[[#This Row],[FinanceCode]])-1)</f>
        <v>0</v>
      </c>
      <c r="F349" s="43">
        <f>IF(FinanceCodesBudget[[#This Row],[FinanceCodeTypeCode]]="BUDGET",0,COUNTIF(FinanceCodesBudget[Title],FinanceCodesBudget[[#This Row],[Title]])-1)</f>
        <v>0</v>
      </c>
      <c r="G349" s="43">
        <f>COUNTIF(Lookup!$A$2:$A$7,FinanceCodesBudget[[#This Row],[FinanceCodeTypeCode]])-1</f>
        <v>0</v>
      </c>
      <c r="H349" s="43">
        <f>IF(TRIM(FinanceCodesBudget[[#This Row],[Title]])="",1,0)</f>
        <v>0</v>
      </c>
      <c r="I349" s="43">
        <f>IF(TRIM(FinanceCodesBudget[[#This Row],[FinanceCode]])="",1,0)</f>
        <v>0</v>
      </c>
      <c r="J349" s="43">
        <f>IF(LEN(FinanceCodesBudget[[#This Row],[FinanceCode]])&lt;100,0,1)</f>
        <v>0</v>
      </c>
      <c r="K349" s="43">
        <f>IF(LEN(FinanceCodesBudget[[#This Row],[Title]])&lt;100,0,1)</f>
        <v>0</v>
      </c>
      <c r="L349" s="43">
        <f>IF(ISBLANK(FinanceCodesBudget[[#This Row],[BalanceToScenario]]),1,0)</f>
        <v>0</v>
      </c>
      <c r="M349" s="43">
        <f>SUM(FinanceCodesBudget[[#This Row],[LedgerIssue]:[CustGrIssue]],FinanceCodesBudget[[#This Row],[DupCode]:[Balance to Scenario Blank]])</f>
        <v>0</v>
      </c>
      <c r="N349">
        <v>810510</v>
      </c>
      <c r="O349" t="s">
        <v>2872</v>
      </c>
      <c r="P349" t="s">
        <v>1887</v>
      </c>
      <c r="Q349" t="s">
        <v>1996</v>
      </c>
      <c r="R349" t="b">
        <v>0</v>
      </c>
      <c r="S349" t="s">
        <v>2526</v>
      </c>
      <c r="T349" t="s">
        <v>1300</v>
      </c>
      <c r="U349" t="s">
        <v>1532</v>
      </c>
      <c r="V349" t="b">
        <v>1</v>
      </c>
      <c r="W349" t="b">
        <v>0</v>
      </c>
    </row>
    <row r="350" spans="1:23" x14ac:dyDescent="0.3">
      <c r="A350" s="147">
        <f>IF(COUNTIF(LEDGER[LedgerCode],FinanceCodesBudget[[#This Row],[LedgerCode]])&gt;0,0,1)</f>
        <v>0</v>
      </c>
      <c r="B350" s="43">
        <f>IF(COUNTIF(Table_System_Grouping_Codes[groupingCodeCode],FinanceCodesBudget[[#This Row],[GroupingCode]])&gt;0,0,1)</f>
        <v>0</v>
      </c>
      <c r="C350" s="43">
        <f>IF(COUNTIF(CUSTGROUP[CustomGroupingCode],FinanceCodesBudget[[#This Row],[CustomGrouping]])&gt;0,0,1)</f>
        <v>0</v>
      </c>
      <c r="D350" s="43" cm="1">
        <f t="array" ref="D350">IF(FinanceCodesBudget[[#This Row],[AvailableToAllSchools]]=TRUE,0,COUNTA(_xlfn.TEXTSPLIT(FinanceCodesBudget[[#This Row],[SchoolCodes]],",",,TRUE))-SUM(COUNTIF(SCHOOLS[SchoolCode],_xlfn.TEXTSPLIT(FinanceCodesBudget[[#This Row],[SchoolCodes]],",",,TRUE))))</f>
        <v>0</v>
      </c>
      <c r="E350" s="43">
        <f>IF(FinanceCodesBudget[[#This Row],[FinanceCodeTypeCode]]="BUDGET",0,COUNTIF(FinanceCodesBudget[FinanceCode],FinanceCodesBudget[[#This Row],[FinanceCode]])-1)</f>
        <v>0</v>
      </c>
      <c r="F350" s="43">
        <f>IF(FinanceCodesBudget[[#This Row],[FinanceCodeTypeCode]]="BUDGET",0,COUNTIF(FinanceCodesBudget[Title],FinanceCodesBudget[[#This Row],[Title]])-1)</f>
        <v>0</v>
      </c>
      <c r="G350" s="43">
        <f>COUNTIF(Lookup!$A$2:$A$7,FinanceCodesBudget[[#This Row],[FinanceCodeTypeCode]])-1</f>
        <v>0</v>
      </c>
      <c r="H350" s="43">
        <f>IF(TRIM(FinanceCodesBudget[[#This Row],[Title]])="",1,0)</f>
        <v>0</v>
      </c>
      <c r="I350" s="43">
        <f>IF(TRIM(FinanceCodesBudget[[#This Row],[FinanceCode]])="",1,0)</f>
        <v>0</v>
      </c>
      <c r="J350" s="43">
        <f>IF(LEN(FinanceCodesBudget[[#This Row],[FinanceCode]])&lt;100,0,1)</f>
        <v>0</v>
      </c>
      <c r="K350" s="43">
        <f>IF(LEN(FinanceCodesBudget[[#This Row],[Title]])&lt;100,0,1)</f>
        <v>0</v>
      </c>
      <c r="L350" s="43">
        <f>IF(ISBLANK(FinanceCodesBudget[[#This Row],[BalanceToScenario]]),1,0)</f>
        <v>0</v>
      </c>
      <c r="M350" s="43">
        <f>SUM(FinanceCodesBudget[[#This Row],[LedgerIssue]:[CustGrIssue]],FinanceCodesBudget[[#This Row],[DupCode]:[Balance to Scenario Blank]])</f>
        <v>0</v>
      </c>
      <c r="N350">
        <v>810550</v>
      </c>
      <c r="O350" t="s">
        <v>2873</v>
      </c>
      <c r="P350" t="s">
        <v>595</v>
      </c>
      <c r="Q350" t="s">
        <v>1996</v>
      </c>
      <c r="R350" t="b">
        <v>0</v>
      </c>
      <c r="S350" t="s">
        <v>2526</v>
      </c>
      <c r="T350" t="s">
        <v>1300</v>
      </c>
      <c r="U350" t="s">
        <v>1532</v>
      </c>
      <c r="V350" t="b">
        <v>1</v>
      </c>
      <c r="W350" t="b">
        <v>0</v>
      </c>
    </row>
    <row r="351" spans="1:23" x14ac:dyDescent="0.3">
      <c r="A351" s="147">
        <f>IF(COUNTIF(LEDGER[LedgerCode],FinanceCodesBudget[[#This Row],[LedgerCode]])&gt;0,0,1)</f>
        <v>0</v>
      </c>
      <c r="B351" s="43">
        <f>IF(COUNTIF(Table_System_Grouping_Codes[groupingCodeCode],FinanceCodesBudget[[#This Row],[GroupingCode]])&gt;0,0,1)</f>
        <v>0</v>
      </c>
      <c r="C351" s="43">
        <f>IF(COUNTIF(CUSTGROUP[CustomGroupingCode],FinanceCodesBudget[[#This Row],[CustomGrouping]])&gt;0,0,1)</f>
        <v>0</v>
      </c>
      <c r="D351" s="43" cm="1">
        <f t="array" ref="D351">IF(FinanceCodesBudget[[#This Row],[AvailableToAllSchools]]=TRUE,0,COUNTA(_xlfn.TEXTSPLIT(FinanceCodesBudget[[#This Row],[SchoolCodes]],",",,TRUE))-SUM(COUNTIF(SCHOOLS[SchoolCode],_xlfn.TEXTSPLIT(FinanceCodesBudget[[#This Row],[SchoolCodes]],",",,TRUE))))</f>
        <v>0</v>
      </c>
      <c r="E351" s="43">
        <f>IF(FinanceCodesBudget[[#This Row],[FinanceCodeTypeCode]]="BUDGET",0,COUNTIF(FinanceCodesBudget[FinanceCode],FinanceCodesBudget[[#This Row],[FinanceCode]])-1)</f>
        <v>0</v>
      </c>
      <c r="F351" s="43">
        <f>IF(FinanceCodesBudget[[#This Row],[FinanceCodeTypeCode]]="BUDGET",0,COUNTIF(FinanceCodesBudget[Title],FinanceCodesBudget[[#This Row],[Title]])-1)</f>
        <v>0</v>
      </c>
      <c r="G351" s="43">
        <f>COUNTIF(Lookup!$A$2:$A$7,FinanceCodesBudget[[#This Row],[FinanceCodeTypeCode]])-1</f>
        <v>0</v>
      </c>
      <c r="H351" s="43">
        <f>IF(TRIM(FinanceCodesBudget[[#This Row],[Title]])="",1,0)</f>
        <v>0</v>
      </c>
      <c r="I351" s="43">
        <f>IF(TRIM(FinanceCodesBudget[[#This Row],[FinanceCode]])="",1,0)</f>
        <v>0</v>
      </c>
      <c r="J351" s="43">
        <f>IF(LEN(FinanceCodesBudget[[#This Row],[FinanceCode]])&lt;100,0,1)</f>
        <v>0</v>
      </c>
      <c r="K351" s="43">
        <f>IF(LEN(FinanceCodesBudget[[#This Row],[Title]])&lt;100,0,1)</f>
        <v>0</v>
      </c>
      <c r="L351" s="43">
        <f>IF(ISBLANK(FinanceCodesBudget[[#This Row],[BalanceToScenario]]),1,0)</f>
        <v>0</v>
      </c>
      <c r="M351" s="43">
        <f>SUM(FinanceCodesBudget[[#This Row],[LedgerIssue]:[CustGrIssue]],FinanceCodesBudget[[#This Row],[DupCode]:[Balance to Scenario Blank]])</f>
        <v>0</v>
      </c>
      <c r="N351">
        <v>815100</v>
      </c>
      <c r="O351" t="s">
        <v>2874</v>
      </c>
      <c r="P351" t="s">
        <v>1889</v>
      </c>
      <c r="Q351" t="s">
        <v>1996</v>
      </c>
      <c r="R351" t="b">
        <v>0</v>
      </c>
      <c r="S351" t="s">
        <v>2526</v>
      </c>
      <c r="T351" t="s">
        <v>1300</v>
      </c>
      <c r="U351" t="s">
        <v>1532</v>
      </c>
      <c r="V351" t="b">
        <v>1</v>
      </c>
      <c r="W351" t="b">
        <v>0</v>
      </c>
    </row>
    <row r="352" spans="1:23" x14ac:dyDescent="0.3">
      <c r="A352" s="147">
        <f>IF(COUNTIF(LEDGER[LedgerCode],FinanceCodesBudget[[#This Row],[LedgerCode]])&gt;0,0,1)</f>
        <v>0</v>
      </c>
      <c r="B352" s="43">
        <f>IF(COUNTIF(Table_System_Grouping_Codes[groupingCodeCode],FinanceCodesBudget[[#This Row],[GroupingCode]])&gt;0,0,1)</f>
        <v>0</v>
      </c>
      <c r="C352" s="43">
        <f>IF(COUNTIF(CUSTGROUP[CustomGroupingCode],FinanceCodesBudget[[#This Row],[CustomGrouping]])&gt;0,0,1)</f>
        <v>0</v>
      </c>
      <c r="D352" s="43" cm="1">
        <f t="array" ref="D352">IF(FinanceCodesBudget[[#This Row],[AvailableToAllSchools]]=TRUE,0,COUNTA(_xlfn.TEXTSPLIT(FinanceCodesBudget[[#This Row],[SchoolCodes]],",",,TRUE))-SUM(COUNTIF(SCHOOLS[SchoolCode],_xlfn.TEXTSPLIT(FinanceCodesBudget[[#This Row],[SchoolCodes]],",",,TRUE))))</f>
        <v>0</v>
      </c>
      <c r="E352" s="43">
        <f>IF(FinanceCodesBudget[[#This Row],[FinanceCodeTypeCode]]="BUDGET",0,COUNTIF(FinanceCodesBudget[FinanceCode],FinanceCodesBudget[[#This Row],[FinanceCode]])-1)</f>
        <v>0</v>
      </c>
      <c r="F352" s="43">
        <f>IF(FinanceCodesBudget[[#This Row],[FinanceCodeTypeCode]]="BUDGET",0,COUNTIF(FinanceCodesBudget[Title],FinanceCodesBudget[[#This Row],[Title]])-1)</f>
        <v>0</v>
      </c>
      <c r="G352" s="43">
        <f>COUNTIF(Lookup!$A$2:$A$7,FinanceCodesBudget[[#This Row],[FinanceCodeTypeCode]])-1</f>
        <v>0</v>
      </c>
      <c r="H352" s="43">
        <f>IF(TRIM(FinanceCodesBudget[[#This Row],[Title]])="",1,0)</f>
        <v>0</v>
      </c>
      <c r="I352" s="43">
        <f>IF(TRIM(FinanceCodesBudget[[#This Row],[FinanceCode]])="",1,0)</f>
        <v>0</v>
      </c>
      <c r="J352" s="43">
        <f>IF(LEN(FinanceCodesBudget[[#This Row],[FinanceCode]])&lt;100,0,1)</f>
        <v>0</v>
      </c>
      <c r="K352" s="43">
        <f>IF(LEN(FinanceCodesBudget[[#This Row],[Title]])&lt;100,0,1)</f>
        <v>0</v>
      </c>
      <c r="L352" s="43">
        <f>IF(ISBLANK(FinanceCodesBudget[[#This Row],[BalanceToScenario]]),1,0)</f>
        <v>0</v>
      </c>
      <c r="M352" s="43">
        <f>SUM(FinanceCodesBudget[[#This Row],[LedgerIssue]:[CustGrIssue]],FinanceCodesBudget[[#This Row],[DupCode]:[Balance to Scenario Blank]])</f>
        <v>0</v>
      </c>
      <c r="N352">
        <v>815200</v>
      </c>
      <c r="O352" t="s">
        <v>2875</v>
      </c>
      <c r="P352" t="s">
        <v>597</v>
      </c>
      <c r="Q352" t="s">
        <v>1996</v>
      </c>
      <c r="R352" t="b">
        <v>0</v>
      </c>
      <c r="S352" t="s">
        <v>2526</v>
      </c>
      <c r="T352" t="s">
        <v>1300</v>
      </c>
      <c r="U352" t="s">
        <v>1532</v>
      </c>
      <c r="V352" t="b">
        <v>1</v>
      </c>
      <c r="W352" t="b">
        <v>0</v>
      </c>
    </row>
    <row r="353" spans="1:23" x14ac:dyDescent="0.3">
      <c r="A353" s="147">
        <f>IF(COUNTIF(LEDGER[LedgerCode],FinanceCodesBudget[[#This Row],[LedgerCode]])&gt;0,0,1)</f>
        <v>0</v>
      </c>
      <c r="B353" s="43">
        <f>IF(COUNTIF(Table_System_Grouping_Codes[groupingCodeCode],FinanceCodesBudget[[#This Row],[GroupingCode]])&gt;0,0,1)</f>
        <v>0</v>
      </c>
      <c r="C353" s="43">
        <f>IF(COUNTIF(CUSTGROUP[CustomGroupingCode],FinanceCodesBudget[[#This Row],[CustomGrouping]])&gt;0,0,1)</f>
        <v>0</v>
      </c>
      <c r="D353" s="43" cm="1">
        <f t="array" ref="D353">IF(FinanceCodesBudget[[#This Row],[AvailableToAllSchools]]=TRUE,0,COUNTA(_xlfn.TEXTSPLIT(FinanceCodesBudget[[#This Row],[SchoolCodes]],",",,TRUE))-SUM(COUNTIF(SCHOOLS[SchoolCode],_xlfn.TEXTSPLIT(FinanceCodesBudget[[#This Row],[SchoolCodes]],",",,TRUE))))</f>
        <v>0</v>
      </c>
      <c r="E353" s="43">
        <f>IF(FinanceCodesBudget[[#This Row],[FinanceCodeTypeCode]]="BUDGET",0,COUNTIF(FinanceCodesBudget[FinanceCode],FinanceCodesBudget[[#This Row],[FinanceCode]])-1)</f>
        <v>0</v>
      </c>
      <c r="F353" s="43">
        <f>IF(FinanceCodesBudget[[#This Row],[FinanceCodeTypeCode]]="BUDGET",0,COUNTIF(FinanceCodesBudget[Title],FinanceCodesBudget[[#This Row],[Title]])-1)</f>
        <v>0</v>
      </c>
      <c r="G353" s="43">
        <f>COUNTIF(Lookup!$A$2:$A$7,FinanceCodesBudget[[#This Row],[FinanceCodeTypeCode]])-1</f>
        <v>0</v>
      </c>
      <c r="H353" s="43">
        <f>IF(TRIM(FinanceCodesBudget[[#This Row],[Title]])="",1,0)</f>
        <v>0</v>
      </c>
      <c r="I353" s="43">
        <f>IF(TRIM(FinanceCodesBudget[[#This Row],[FinanceCode]])="",1,0)</f>
        <v>0</v>
      </c>
      <c r="J353" s="43">
        <f>IF(LEN(FinanceCodesBudget[[#This Row],[FinanceCode]])&lt;100,0,1)</f>
        <v>0</v>
      </c>
      <c r="K353" s="43">
        <f>IF(LEN(FinanceCodesBudget[[#This Row],[Title]])&lt;100,0,1)</f>
        <v>0</v>
      </c>
      <c r="L353" s="43">
        <f>IF(ISBLANK(FinanceCodesBudget[[#This Row],[BalanceToScenario]]),1,0)</f>
        <v>0</v>
      </c>
      <c r="M353" s="43">
        <f>SUM(FinanceCodesBudget[[#This Row],[LedgerIssue]:[CustGrIssue]],FinanceCodesBudget[[#This Row],[DupCode]:[Balance to Scenario Blank]])</f>
        <v>0</v>
      </c>
      <c r="N353">
        <v>820100</v>
      </c>
      <c r="O353" t="s">
        <v>2876</v>
      </c>
      <c r="P353" t="s">
        <v>1892</v>
      </c>
      <c r="Q353" t="s">
        <v>2000</v>
      </c>
      <c r="R353" t="b">
        <v>0</v>
      </c>
      <c r="S353" t="s">
        <v>2526</v>
      </c>
      <c r="T353" t="s">
        <v>1300</v>
      </c>
      <c r="U353" t="s">
        <v>1532</v>
      </c>
      <c r="V353" t="b">
        <v>1</v>
      </c>
      <c r="W353" t="b">
        <v>0</v>
      </c>
    </row>
    <row r="354" spans="1:23" x14ac:dyDescent="0.3">
      <c r="A354" s="147">
        <f>IF(COUNTIF(LEDGER[LedgerCode],FinanceCodesBudget[[#This Row],[LedgerCode]])&gt;0,0,1)</f>
        <v>0</v>
      </c>
      <c r="B354" s="43">
        <f>IF(COUNTIF(Table_System_Grouping_Codes[groupingCodeCode],FinanceCodesBudget[[#This Row],[GroupingCode]])&gt;0,0,1)</f>
        <v>0</v>
      </c>
      <c r="C354" s="43">
        <f>IF(COUNTIF(CUSTGROUP[CustomGroupingCode],FinanceCodesBudget[[#This Row],[CustomGrouping]])&gt;0,0,1)</f>
        <v>0</v>
      </c>
      <c r="D354" s="43" cm="1">
        <f t="array" ref="D354">IF(FinanceCodesBudget[[#This Row],[AvailableToAllSchools]]=TRUE,0,COUNTA(_xlfn.TEXTSPLIT(FinanceCodesBudget[[#This Row],[SchoolCodes]],",",,TRUE))-SUM(COUNTIF(SCHOOLS[SchoolCode],_xlfn.TEXTSPLIT(FinanceCodesBudget[[#This Row],[SchoolCodes]],",",,TRUE))))</f>
        <v>0</v>
      </c>
      <c r="E354" s="43">
        <f>IF(FinanceCodesBudget[[#This Row],[FinanceCodeTypeCode]]="BUDGET",0,COUNTIF(FinanceCodesBudget[FinanceCode],FinanceCodesBudget[[#This Row],[FinanceCode]])-1)</f>
        <v>0</v>
      </c>
      <c r="F354" s="43">
        <f>IF(FinanceCodesBudget[[#This Row],[FinanceCodeTypeCode]]="BUDGET",0,COUNTIF(FinanceCodesBudget[Title],FinanceCodesBudget[[#This Row],[Title]])-1)</f>
        <v>0</v>
      </c>
      <c r="G354" s="43">
        <f>COUNTIF(Lookup!$A$2:$A$7,FinanceCodesBudget[[#This Row],[FinanceCodeTypeCode]])-1</f>
        <v>0</v>
      </c>
      <c r="H354" s="43">
        <f>IF(TRIM(FinanceCodesBudget[[#This Row],[Title]])="",1,0)</f>
        <v>0</v>
      </c>
      <c r="I354" s="43">
        <f>IF(TRIM(FinanceCodesBudget[[#This Row],[FinanceCode]])="",1,0)</f>
        <v>0</v>
      </c>
      <c r="J354" s="43">
        <f>IF(LEN(FinanceCodesBudget[[#This Row],[FinanceCode]])&lt;100,0,1)</f>
        <v>0</v>
      </c>
      <c r="K354" s="43">
        <f>IF(LEN(FinanceCodesBudget[[#This Row],[Title]])&lt;100,0,1)</f>
        <v>0</v>
      </c>
      <c r="L354" s="43">
        <f>IF(ISBLANK(FinanceCodesBudget[[#This Row],[BalanceToScenario]]),1,0)</f>
        <v>0</v>
      </c>
      <c r="M354" s="43">
        <f>SUM(FinanceCodesBudget[[#This Row],[LedgerIssue]:[CustGrIssue]],FinanceCodesBudget[[#This Row],[DupCode]:[Balance to Scenario Blank]])</f>
        <v>0</v>
      </c>
      <c r="N354">
        <v>820110</v>
      </c>
      <c r="O354" t="s">
        <v>2877</v>
      </c>
      <c r="P354" t="s">
        <v>598</v>
      </c>
      <c r="Q354" t="s">
        <v>2000</v>
      </c>
      <c r="R354" t="b">
        <v>0</v>
      </c>
      <c r="S354" t="s">
        <v>2526</v>
      </c>
      <c r="T354" t="s">
        <v>1300</v>
      </c>
      <c r="U354" t="s">
        <v>1532</v>
      </c>
      <c r="V354" t="b">
        <v>1</v>
      </c>
      <c r="W354" t="b">
        <v>0</v>
      </c>
    </row>
    <row r="355" spans="1:23" x14ac:dyDescent="0.3">
      <c r="A355" s="147">
        <f>IF(COUNTIF(LEDGER[LedgerCode],FinanceCodesBudget[[#This Row],[LedgerCode]])&gt;0,0,1)</f>
        <v>0</v>
      </c>
      <c r="B355" s="43">
        <f>IF(COUNTIF(Table_System_Grouping_Codes[groupingCodeCode],FinanceCodesBudget[[#This Row],[GroupingCode]])&gt;0,0,1)</f>
        <v>0</v>
      </c>
      <c r="C355" s="43">
        <f>IF(COUNTIF(CUSTGROUP[CustomGroupingCode],FinanceCodesBudget[[#This Row],[CustomGrouping]])&gt;0,0,1)</f>
        <v>0</v>
      </c>
      <c r="D355" s="43" cm="1">
        <f t="array" ref="D355">IF(FinanceCodesBudget[[#This Row],[AvailableToAllSchools]]=TRUE,0,COUNTA(_xlfn.TEXTSPLIT(FinanceCodesBudget[[#This Row],[SchoolCodes]],",",,TRUE))-SUM(COUNTIF(SCHOOLS[SchoolCode],_xlfn.TEXTSPLIT(FinanceCodesBudget[[#This Row],[SchoolCodes]],",",,TRUE))))</f>
        <v>0</v>
      </c>
      <c r="E355" s="43">
        <f>IF(FinanceCodesBudget[[#This Row],[FinanceCodeTypeCode]]="BUDGET",0,COUNTIF(FinanceCodesBudget[FinanceCode],FinanceCodesBudget[[#This Row],[FinanceCode]])-1)</f>
        <v>0</v>
      </c>
      <c r="F355" s="43">
        <f>IF(FinanceCodesBudget[[#This Row],[FinanceCodeTypeCode]]="BUDGET",0,COUNTIF(FinanceCodesBudget[Title],FinanceCodesBudget[[#This Row],[Title]])-1)</f>
        <v>0</v>
      </c>
      <c r="G355" s="43">
        <f>COUNTIF(Lookup!$A$2:$A$7,FinanceCodesBudget[[#This Row],[FinanceCodeTypeCode]])-1</f>
        <v>0</v>
      </c>
      <c r="H355" s="43">
        <f>IF(TRIM(FinanceCodesBudget[[#This Row],[Title]])="",1,0)</f>
        <v>0</v>
      </c>
      <c r="I355" s="43">
        <f>IF(TRIM(FinanceCodesBudget[[#This Row],[FinanceCode]])="",1,0)</f>
        <v>0</v>
      </c>
      <c r="J355" s="43">
        <f>IF(LEN(FinanceCodesBudget[[#This Row],[FinanceCode]])&lt;100,0,1)</f>
        <v>0</v>
      </c>
      <c r="K355" s="43">
        <f>IF(LEN(FinanceCodesBudget[[#This Row],[Title]])&lt;100,0,1)</f>
        <v>0</v>
      </c>
      <c r="L355" s="43">
        <f>IF(ISBLANK(FinanceCodesBudget[[#This Row],[BalanceToScenario]]),1,0)</f>
        <v>0</v>
      </c>
      <c r="M355" s="43">
        <f>SUM(FinanceCodesBudget[[#This Row],[LedgerIssue]:[CustGrIssue]],FinanceCodesBudget[[#This Row],[DupCode]:[Balance to Scenario Blank]])</f>
        <v>0</v>
      </c>
      <c r="N355">
        <v>820150</v>
      </c>
      <c r="O355" t="s">
        <v>2878</v>
      </c>
      <c r="P355" t="s">
        <v>599</v>
      </c>
      <c r="Q355" t="s">
        <v>2000</v>
      </c>
      <c r="R355" t="b">
        <v>0</v>
      </c>
      <c r="S355" t="s">
        <v>2526</v>
      </c>
      <c r="T355" t="s">
        <v>1300</v>
      </c>
      <c r="U355" t="s">
        <v>1532</v>
      </c>
      <c r="V355" t="b">
        <v>1</v>
      </c>
      <c r="W355" t="b">
        <v>0</v>
      </c>
    </row>
    <row r="356" spans="1:23" x14ac:dyDescent="0.3">
      <c r="A356" s="147">
        <f>IF(COUNTIF(LEDGER[LedgerCode],FinanceCodesBudget[[#This Row],[LedgerCode]])&gt;0,0,1)</f>
        <v>0</v>
      </c>
      <c r="B356" s="43">
        <f>IF(COUNTIF(Table_System_Grouping_Codes[groupingCodeCode],FinanceCodesBudget[[#This Row],[GroupingCode]])&gt;0,0,1)</f>
        <v>0</v>
      </c>
      <c r="C356" s="43">
        <f>IF(COUNTIF(CUSTGROUP[CustomGroupingCode],FinanceCodesBudget[[#This Row],[CustomGrouping]])&gt;0,0,1)</f>
        <v>0</v>
      </c>
      <c r="D356" s="43" cm="1">
        <f t="array" ref="D356">IF(FinanceCodesBudget[[#This Row],[AvailableToAllSchools]]=TRUE,0,COUNTA(_xlfn.TEXTSPLIT(FinanceCodesBudget[[#This Row],[SchoolCodes]],",",,TRUE))-SUM(COUNTIF(SCHOOLS[SchoolCode],_xlfn.TEXTSPLIT(FinanceCodesBudget[[#This Row],[SchoolCodes]],",",,TRUE))))</f>
        <v>0</v>
      </c>
      <c r="E356" s="43">
        <f>IF(FinanceCodesBudget[[#This Row],[FinanceCodeTypeCode]]="BUDGET",0,COUNTIF(FinanceCodesBudget[FinanceCode],FinanceCodesBudget[[#This Row],[FinanceCode]])-1)</f>
        <v>0</v>
      </c>
      <c r="F356" s="43">
        <f>IF(FinanceCodesBudget[[#This Row],[FinanceCodeTypeCode]]="BUDGET",0,COUNTIF(FinanceCodesBudget[Title],FinanceCodesBudget[[#This Row],[Title]])-1)</f>
        <v>0</v>
      </c>
      <c r="G356" s="43">
        <f>COUNTIF(Lookup!$A$2:$A$7,FinanceCodesBudget[[#This Row],[FinanceCodeTypeCode]])-1</f>
        <v>0</v>
      </c>
      <c r="H356" s="43">
        <f>IF(TRIM(FinanceCodesBudget[[#This Row],[Title]])="",1,0)</f>
        <v>0</v>
      </c>
      <c r="I356" s="43">
        <f>IF(TRIM(FinanceCodesBudget[[#This Row],[FinanceCode]])="",1,0)</f>
        <v>0</v>
      </c>
      <c r="J356" s="43">
        <f>IF(LEN(FinanceCodesBudget[[#This Row],[FinanceCode]])&lt;100,0,1)</f>
        <v>0</v>
      </c>
      <c r="K356" s="43">
        <f>IF(LEN(FinanceCodesBudget[[#This Row],[Title]])&lt;100,0,1)</f>
        <v>0</v>
      </c>
      <c r="L356" s="43">
        <f>IF(ISBLANK(FinanceCodesBudget[[#This Row],[BalanceToScenario]]),1,0)</f>
        <v>0</v>
      </c>
      <c r="M356" s="43">
        <f>SUM(FinanceCodesBudget[[#This Row],[LedgerIssue]:[CustGrIssue]],FinanceCodesBudget[[#This Row],[DupCode]:[Balance to Scenario Blank]])</f>
        <v>0</v>
      </c>
      <c r="N356">
        <v>820160</v>
      </c>
      <c r="O356" t="s">
        <v>2879</v>
      </c>
      <c r="P356" t="s">
        <v>600</v>
      </c>
      <c r="Q356" t="s">
        <v>2000</v>
      </c>
      <c r="R356" t="b">
        <v>0</v>
      </c>
      <c r="S356" t="s">
        <v>2526</v>
      </c>
      <c r="T356" t="s">
        <v>1300</v>
      </c>
      <c r="U356" t="s">
        <v>1532</v>
      </c>
      <c r="V356" t="b">
        <v>1</v>
      </c>
      <c r="W356" t="b">
        <v>0</v>
      </c>
    </row>
    <row r="357" spans="1:23" x14ac:dyDescent="0.3">
      <c r="A357" s="147">
        <f>IF(COUNTIF(LEDGER[LedgerCode],FinanceCodesBudget[[#This Row],[LedgerCode]])&gt;0,0,1)</f>
        <v>0</v>
      </c>
      <c r="B357" s="43">
        <f>IF(COUNTIF(Table_System_Grouping_Codes[groupingCodeCode],FinanceCodesBudget[[#This Row],[GroupingCode]])&gt;0,0,1)</f>
        <v>0</v>
      </c>
      <c r="C357" s="43">
        <f>IF(COUNTIF(CUSTGROUP[CustomGroupingCode],FinanceCodesBudget[[#This Row],[CustomGrouping]])&gt;0,0,1)</f>
        <v>0</v>
      </c>
      <c r="D357" s="43" cm="1">
        <f t="array" ref="D357">IF(FinanceCodesBudget[[#This Row],[AvailableToAllSchools]]=TRUE,0,COUNTA(_xlfn.TEXTSPLIT(FinanceCodesBudget[[#This Row],[SchoolCodes]],",",,TRUE))-SUM(COUNTIF(SCHOOLS[SchoolCode],_xlfn.TEXTSPLIT(FinanceCodesBudget[[#This Row],[SchoolCodes]],",",,TRUE))))</f>
        <v>0</v>
      </c>
      <c r="E357" s="43">
        <f>IF(FinanceCodesBudget[[#This Row],[FinanceCodeTypeCode]]="BUDGET",0,COUNTIF(FinanceCodesBudget[FinanceCode],FinanceCodesBudget[[#This Row],[FinanceCode]])-1)</f>
        <v>0</v>
      </c>
      <c r="F357" s="43">
        <f>IF(FinanceCodesBudget[[#This Row],[FinanceCodeTypeCode]]="BUDGET",0,COUNTIF(FinanceCodesBudget[Title],FinanceCodesBudget[[#This Row],[Title]])-1)</f>
        <v>0</v>
      </c>
      <c r="G357" s="43">
        <f>COUNTIF(Lookup!$A$2:$A$7,FinanceCodesBudget[[#This Row],[FinanceCodeTypeCode]])-1</f>
        <v>0</v>
      </c>
      <c r="H357" s="43">
        <f>IF(TRIM(FinanceCodesBudget[[#This Row],[Title]])="",1,0)</f>
        <v>0</v>
      </c>
      <c r="I357" s="43">
        <f>IF(TRIM(FinanceCodesBudget[[#This Row],[FinanceCode]])="",1,0)</f>
        <v>0</v>
      </c>
      <c r="J357" s="43">
        <f>IF(LEN(FinanceCodesBudget[[#This Row],[FinanceCode]])&lt;100,0,1)</f>
        <v>0</v>
      </c>
      <c r="K357" s="43">
        <f>IF(LEN(FinanceCodesBudget[[#This Row],[Title]])&lt;100,0,1)</f>
        <v>0</v>
      </c>
      <c r="L357" s="43">
        <f>IF(ISBLANK(FinanceCodesBudget[[#This Row],[BalanceToScenario]]),1,0)</f>
        <v>0</v>
      </c>
      <c r="M357" s="43">
        <f>SUM(FinanceCodesBudget[[#This Row],[LedgerIssue]:[CustGrIssue]],FinanceCodesBudget[[#This Row],[DupCode]:[Balance to Scenario Blank]])</f>
        <v>0</v>
      </c>
      <c r="N357">
        <v>820170</v>
      </c>
      <c r="O357" t="s">
        <v>2880</v>
      </c>
      <c r="P357" t="s">
        <v>601</v>
      </c>
      <c r="Q357" t="s">
        <v>2000</v>
      </c>
      <c r="R357" t="b">
        <v>0</v>
      </c>
      <c r="S357" t="s">
        <v>2526</v>
      </c>
      <c r="T357" t="s">
        <v>1300</v>
      </c>
      <c r="U357" t="s">
        <v>1532</v>
      </c>
      <c r="V357" t="b">
        <v>1</v>
      </c>
      <c r="W357" t="b">
        <v>0</v>
      </c>
    </row>
    <row r="358" spans="1:23" x14ac:dyDescent="0.3">
      <c r="A358" s="147">
        <f>IF(COUNTIF(LEDGER[LedgerCode],FinanceCodesBudget[[#This Row],[LedgerCode]])&gt;0,0,1)</f>
        <v>0</v>
      </c>
      <c r="B358" s="43">
        <f>IF(COUNTIF(Table_System_Grouping_Codes[groupingCodeCode],FinanceCodesBudget[[#This Row],[GroupingCode]])&gt;0,0,1)</f>
        <v>0</v>
      </c>
      <c r="C358" s="43">
        <f>IF(COUNTIF(CUSTGROUP[CustomGroupingCode],FinanceCodesBudget[[#This Row],[CustomGrouping]])&gt;0,0,1)</f>
        <v>0</v>
      </c>
      <c r="D358" s="43" cm="1">
        <f t="array" ref="D358">IF(FinanceCodesBudget[[#This Row],[AvailableToAllSchools]]=TRUE,0,COUNTA(_xlfn.TEXTSPLIT(FinanceCodesBudget[[#This Row],[SchoolCodes]],",",,TRUE))-SUM(COUNTIF(SCHOOLS[SchoolCode],_xlfn.TEXTSPLIT(FinanceCodesBudget[[#This Row],[SchoolCodes]],",",,TRUE))))</f>
        <v>0</v>
      </c>
      <c r="E358" s="43">
        <f>IF(FinanceCodesBudget[[#This Row],[FinanceCodeTypeCode]]="BUDGET",0,COUNTIF(FinanceCodesBudget[FinanceCode],FinanceCodesBudget[[#This Row],[FinanceCode]])-1)</f>
        <v>0</v>
      </c>
      <c r="F358" s="43">
        <f>IF(FinanceCodesBudget[[#This Row],[FinanceCodeTypeCode]]="BUDGET",0,COUNTIF(FinanceCodesBudget[Title],FinanceCodesBudget[[#This Row],[Title]])-1)</f>
        <v>0</v>
      </c>
      <c r="G358" s="43">
        <f>COUNTIF(Lookup!$A$2:$A$7,FinanceCodesBudget[[#This Row],[FinanceCodeTypeCode]])-1</f>
        <v>0</v>
      </c>
      <c r="H358" s="43">
        <f>IF(TRIM(FinanceCodesBudget[[#This Row],[Title]])="",1,0)</f>
        <v>0</v>
      </c>
      <c r="I358" s="43">
        <f>IF(TRIM(FinanceCodesBudget[[#This Row],[FinanceCode]])="",1,0)</f>
        <v>0</v>
      </c>
      <c r="J358" s="43">
        <f>IF(LEN(FinanceCodesBudget[[#This Row],[FinanceCode]])&lt;100,0,1)</f>
        <v>0</v>
      </c>
      <c r="K358" s="43">
        <f>IF(LEN(FinanceCodesBudget[[#This Row],[Title]])&lt;100,0,1)</f>
        <v>0</v>
      </c>
      <c r="L358" s="43">
        <f>IF(ISBLANK(FinanceCodesBudget[[#This Row],[BalanceToScenario]]),1,0)</f>
        <v>0</v>
      </c>
      <c r="M358" s="43">
        <f>SUM(FinanceCodesBudget[[#This Row],[LedgerIssue]:[CustGrIssue]],FinanceCodesBudget[[#This Row],[DupCode]:[Balance to Scenario Blank]])</f>
        <v>0</v>
      </c>
      <c r="N358">
        <v>820180</v>
      </c>
      <c r="O358" t="s">
        <v>2881</v>
      </c>
      <c r="P358" t="s">
        <v>602</v>
      </c>
      <c r="Q358" t="s">
        <v>2000</v>
      </c>
      <c r="R358" t="b">
        <v>0</v>
      </c>
      <c r="S358" t="s">
        <v>2526</v>
      </c>
      <c r="T358" t="s">
        <v>1300</v>
      </c>
      <c r="U358" t="s">
        <v>1532</v>
      </c>
      <c r="V358" t="b">
        <v>1</v>
      </c>
      <c r="W358" t="b">
        <v>0</v>
      </c>
    </row>
    <row r="359" spans="1:23" x14ac:dyDescent="0.3">
      <c r="A359" s="147">
        <f>IF(COUNTIF(LEDGER[LedgerCode],FinanceCodesBudget[[#This Row],[LedgerCode]])&gt;0,0,1)</f>
        <v>0</v>
      </c>
      <c r="B359" s="43">
        <f>IF(COUNTIF(Table_System_Grouping_Codes[groupingCodeCode],FinanceCodesBudget[[#This Row],[GroupingCode]])&gt;0,0,1)</f>
        <v>0</v>
      </c>
      <c r="C359" s="43">
        <f>IF(COUNTIF(CUSTGROUP[CustomGroupingCode],FinanceCodesBudget[[#This Row],[CustomGrouping]])&gt;0,0,1)</f>
        <v>0</v>
      </c>
      <c r="D359" s="43" cm="1">
        <f t="array" ref="D359">IF(FinanceCodesBudget[[#This Row],[AvailableToAllSchools]]=TRUE,0,COUNTA(_xlfn.TEXTSPLIT(FinanceCodesBudget[[#This Row],[SchoolCodes]],",",,TRUE))-SUM(COUNTIF(SCHOOLS[SchoolCode],_xlfn.TEXTSPLIT(FinanceCodesBudget[[#This Row],[SchoolCodes]],",",,TRUE))))</f>
        <v>0</v>
      </c>
      <c r="E359" s="43">
        <f>IF(FinanceCodesBudget[[#This Row],[FinanceCodeTypeCode]]="BUDGET",0,COUNTIF(FinanceCodesBudget[FinanceCode],FinanceCodesBudget[[#This Row],[FinanceCode]])-1)</f>
        <v>0</v>
      </c>
      <c r="F359" s="43">
        <f>IF(FinanceCodesBudget[[#This Row],[FinanceCodeTypeCode]]="BUDGET",0,COUNTIF(FinanceCodesBudget[Title],FinanceCodesBudget[[#This Row],[Title]])-1)</f>
        <v>0</v>
      </c>
      <c r="G359" s="43">
        <f>COUNTIF(Lookup!$A$2:$A$7,FinanceCodesBudget[[#This Row],[FinanceCodeTypeCode]])-1</f>
        <v>0</v>
      </c>
      <c r="H359" s="43">
        <f>IF(TRIM(FinanceCodesBudget[[#This Row],[Title]])="",1,0)</f>
        <v>0</v>
      </c>
      <c r="I359" s="43">
        <f>IF(TRIM(FinanceCodesBudget[[#This Row],[FinanceCode]])="",1,0)</f>
        <v>0</v>
      </c>
      <c r="J359" s="43">
        <f>IF(LEN(FinanceCodesBudget[[#This Row],[FinanceCode]])&lt;100,0,1)</f>
        <v>0</v>
      </c>
      <c r="K359" s="43">
        <f>IF(LEN(FinanceCodesBudget[[#This Row],[Title]])&lt;100,0,1)</f>
        <v>0</v>
      </c>
      <c r="L359" s="43">
        <f>IF(ISBLANK(FinanceCodesBudget[[#This Row],[BalanceToScenario]]),1,0)</f>
        <v>0</v>
      </c>
      <c r="M359" s="43">
        <f>SUM(FinanceCodesBudget[[#This Row],[LedgerIssue]:[CustGrIssue]],FinanceCodesBudget[[#This Row],[DupCode]:[Balance to Scenario Blank]])</f>
        <v>0</v>
      </c>
      <c r="N359">
        <v>820190</v>
      </c>
      <c r="O359" t="s">
        <v>2882</v>
      </c>
      <c r="P359" t="s">
        <v>603</v>
      </c>
      <c r="Q359" t="s">
        <v>2000</v>
      </c>
      <c r="R359" t="b">
        <v>0</v>
      </c>
      <c r="S359" t="s">
        <v>2526</v>
      </c>
      <c r="T359" t="s">
        <v>1300</v>
      </c>
      <c r="U359" t="s">
        <v>1532</v>
      </c>
      <c r="V359" t="b">
        <v>1</v>
      </c>
      <c r="W359" t="b">
        <v>0</v>
      </c>
    </row>
    <row r="360" spans="1:23" x14ac:dyDescent="0.3">
      <c r="A360" s="147">
        <f>IF(COUNTIF(LEDGER[LedgerCode],FinanceCodesBudget[[#This Row],[LedgerCode]])&gt;0,0,1)</f>
        <v>0</v>
      </c>
      <c r="B360" s="43">
        <f>IF(COUNTIF(Table_System_Grouping_Codes[groupingCodeCode],FinanceCodesBudget[[#This Row],[GroupingCode]])&gt;0,0,1)</f>
        <v>0</v>
      </c>
      <c r="C360" s="43">
        <f>IF(COUNTIF(CUSTGROUP[CustomGroupingCode],FinanceCodesBudget[[#This Row],[CustomGrouping]])&gt;0,0,1)</f>
        <v>0</v>
      </c>
      <c r="D360" s="43" cm="1">
        <f t="array" ref="D360">IF(FinanceCodesBudget[[#This Row],[AvailableToAllSchools]]=TRUE,0,COUNTA(_xlfn.TEXTSPLIT(FinanceCodesBudget[[#This Row],[SchoolCodes]],",",,TRUE))-SUM(COUNTIF(SCHOOLS[SchoolCode],_xlfn.TEXTSPLIT(FinanceCodesBudget[[#This Row],[SchoolCodes]],",",,TRUE))))</f>
        <v>0</v>
      </c>
      <c r="E360" s="43">
        <f>IF(FinanceCodesBudget[[#This Row],[FinanceCodeTypeCode]]="BUDGET",0,COUNTIF(FinanceCodesBudget[FinanceCode],FinanceCodesBudget[[#This Row],[FinanceCode]])-1)</f>
        <v>0</v>
      </c>
      <c r="F360" s="43">
        <f>IF(FinanceCodesBudget[[#This Row],[FinanceCodeTypeCode]]="BUDGET",0,COUNTIF(FinanceCodesBudget[Title],FinanceCodesBudget[[#This Row],[Title]])-1)</f>
        <v>0</v>
      </c>
      <c r="G360" s="43">
        <f>COUNTIF(Lookup!$A$2:$A$7,FinanceCodesBudget[[#This Row],[FinanceCodeTypeCode]])-1</f>
        <v>0</v>
      </c>
      <c r="H360" s="43">
        <f>IF(TRIM(FinanceCodesBudget[[#This Row],[Title]])="",1,0)</f>
        <v>0</v>
      </c>
      <c r="I360" s="43">
        <f>IF(TRIM(FinanceCodesBudget[[#This Row],[FinanceCode]])="",1,0)</f>
        <v>0</v>
      </c>
      <c r="J360" s="43">
        <f>IF(LEN(FinanceCodesBudget[[#This Row],[FinanceCode]])&lt;100,0,1)</f>
        <v>0</v>
      </c>
      <c r="K360" s="43">
        <f>IF(LEN(FinanceCodesBudget[[#This Row],[Title]])&lt;100,0,1)</f>
        <v>0</v>
      </c>
      <c r="L360" s="43">
        <f>IF(ISBLANK(FinanceCodesBudget[[#This Row],[BalanceToScenario]]),1,0)</f>
        <v>0</v>
      </c>
      <c r="M360" s="43">
        <f>SUM(FinanceCodesBudget[[#This Row],[LedgerIssue]:[CustGrIssue]],FinanceCodesBudget[[#This Row],[DupCode]:[Balance to Scenario Blank]])</f>
        <v>0</v>
      </c>
      <c r="N360">
        <v>820300</v>
      </c>
      <c r="O360" t="s">
        <v>2883</v>
      </c>
      <c r="P360" t="s">
        <v>605</v>
      </c>
      <c r="Q360" t="s">
        <v>2000</v>
      </c>
      <c r="R360" t="b">
        <v>0</v>
      </c>
      <c r="S360" t="s">
        <v>2526</v>
      </c>
      <c r="T360" t="s">
        <v>1300</v>
      </c>
      <c r="U360" t="s">
        <v>1532</v>
      </c>
      <c r="V360" t="b">
        <v>1</v>
      </c>
      <c r="W360" t="b">
        <v>0</v>
      </c>
    </row>
    <row r="361" spans="1:23" x14ac:dyDescent="0.3">
      <c r="A361" s="147">
        <f>IF(COUNTIF(LEDGER[LedgerCode],FinanceCodesBudget[[#This Row],[LedgerCode]])&gt;0,0,1)</f>
        <v>0</v>
      </c>
      <c r="B361" s="43">
        <f>IF(COUNTIF(Table_System_Grouping_Codes[groupingCodeCode],FinanceCodesBudget[[#This Row],[GroupingCode]])&gt;0,0,1)</f>
        <v>0</v>
      </c>
      <c r="C361" s="43">
        <f>IF(COUNTIF(CUSTGROUP[CustomGroupingCode],FinanceCodesBudget[[#This Row],[CustomGrouping]])&gt;0,0,1)</f>
        <v>0</v>
      </c>
      <c r="D361" s="43" cm="1">
        <f t="array" ref="D361">IF(FinanceCodesBudget[[#This Row],[AvailableToAllSchools]]=TRUE,0,COUNTA(_xlfn.TEXTSPLIT(FinanceCodesBudget[[#This Row],[SchoolCodes]],",",,TRUE))-SUM(COUNTIF(SCHOOLS[SchoolCode],_xlfn.TEXTSPLIT(FinanceCodesBudget[[#This Row],[SchoolCodes]],",",,TRUE))))</f>
        <v>0</v>
      </c>
      <c r="E361" s="43">
        <f>IF(FinanceCodesBudget[[#This Row],[FinanceCodeTypeCode]]="BUDGET",0,COUNTIF(FinanceCodesBudget[FinanceCode],FinanceCodesBudget[[#This Row],[FinanceCode]])-1)</f>
        <v>0</v>
      </c>
      <c r="F361" s="43">
        <f>IF(FinanceCodesBudget[[#This Row],[FinanceCodeTypeCode]]="BUDGET",0,COUNTIF(FinanceCodesBudget[Title],FinanceCodesBudget[[#This Row],[Title]])-1)</f>
        <v>0</v>
      </c>
      <c r="G361" s="43">
        <f>COUNTIF(Lookup!$A$2:$A$7,FinanceCodesBudget[[#This Row],[FinanceCodeTypeCode]])-1</f>
        <v>0</v>
      </c>
      <c r="H361" s="43">
        <f>IF(TRIM(FinanceCodesBudget[[#This Row],[Title]])="",1,0)</f>
        <v>0</v>
      </c>
      <c r="I361" s="43">
        <f>IF(TRIM(FinanceCodesBudget[[#This Row],[FinanceCode]])="",1,0)</f>
        <v>0</v>
      </c>
      <c r="J361" s="43">
        <f>IF(LEN(FinanceCodesBudget[[#This Row],[FinanceCode]])&lt;100,0,1)</f>
        <v>0</v>
      </c>
      <c r="K361" s="43">
        <f>IF(LEN(FinanceCodesBudget[[#This Row],[Title]])&lt;100,0,1)</f>
        <v>0</v>
      </c>
      <c r="L361" s="43">
        <f>IF(ISBLANK(FinanceCodesBudget[[#This Row],[BalanceToScenario]]),1,0)</f>
        <v>0</v>
      </c>
      <c r="M361" s="43">
        <f>SUM(FinanceCodesBudget[[#This Row],[LedgerIssue]:[CustGrIssue]],FinanceCodesBudget[[#This Row],[DupCode]:[Balance to Scenario Blank]])</f>
        <v>0</v>
      </c>
      <c r="N361">
        <v>820310</v>
      </c>
      <c r="O361" t="s">
        <v>2884</v>
      </c>
      <c r="P361" t="s">
        <v>607</v>
      </c>
      <c r="Q361" t="s">
        <v>2000</v>
      </c>
      <c r="R361" t="b">
        <v>0</v>
      </c>
      <c r="S361" t="s">
        <v>2526</v>
      </c>
      <c r="T361" t="s">
        <v>1300</v>
      </c>
      <c r="U361" t="s">
        <v>1532</v>
      </c>
      <c r="V361" t="b">
        <v>1</v>
      </c>
      <c r="W361" t="b">
        <v>0</v>
      </c>
    </row>
    <row r="362" spans="1:23" x14ac:dyDescent="0.3">
      <c r="A362" s="147">
        <f>IF(COUNTIF(LEDGER[LedgerCode],FinanceCodesBudget[[#This Row],[LedgerCode]])&gt;0,0,1)</f>
        <v>0</v>
      </c>
      <c r="B362" s="43">
        <f>IF(COUNTIF(Table_System_Grouping_Codes[groupingCodeCode],FinanceCodesBudget[[#This Row],[GroupingCode]])&gt;0,0,1)</f>
        <v>0</v>
      </c>
      <c r="C362" s="43">
        <f>IF(COUNTIF(CUSTGROUP[CustomGroupingCode],FinanceCodesBudget[[#This Row],[CustomGrouping]])&gt;0,0,1)</f>
        <v>0</v>
      </c>
      <c r="D362" s="43" cm="1">
        <f t="array" ref="D362">IF(FinanceCodesBudget[[#This Row],[AvailableToAllSchools]]=TRUE,0,COUNTA(_xlfn.TEXTSPLIT(FinanceCodesBudget[[#This Row],[SchoolCodes]],",",,TRUE))-SUM(COUNTIF(SCHOOLS[SchoolCode],_xlfn.TEXTSPLIT(FinanceCodesBudget[[#This Row],[SchoolCodes]],",",,TRUE))))</f>
        <v>0</v>
      </c>
      <c r="E362" s="43">
        <f>IF(FinanceCodesBudget[[#This Row],[FinanceCodeTypeCode]]="BUDGET",0,COUNTIF(FinanceCodesBudget[FinanceCode],FinanceCodesBudget[[#This Row],[FinanceCode]])-1)</f>
        <v>0</v>
      </c>
      <c r="F362" s="43">
        <f>IF(FinanceCodesBudget[[#This Row],[FinanceCodeTypeCode]]="BUDGET",0,COUNTIF(FinanceCodesBudget[Title],FinanceCodesBudget[[#This Row],[Title]])-1)</f>
        <v>0</v>
      </c>
      <c r="G362" s="43">
        <f>COUNTIF(Lookup!$A$2:$A$7,FinanceCodesBudget[[#This Row],[FinanceCodeTypeCode]])-1</f>
        <v>0</v>
      </c>
      <c r="H362" s="43">
        <f>IF(TRIM(FinanceCodesBudget[[#This Row],[Title]])="",1,0)</f>
        <v>0</v>
      </c>
      <c r="I362" s="43">
        <f>IF(TRIM(FinanceCodesBudget[[#This Row],[FinanceCode]])="",1,0)</f>
        <v>0</v>
      </c>
      <c r="J362" s="43">
        <f>IF(LEN(FinanceCodesBudget[[#This Row],[FinanceCode]])&lt;100,0,1)</f>
        <v>0</v>
      </c>
      <c r="K362" s="43">
        <f>IF(LEN(FinanceCodesBudget[[#This Row],[Title]])&lt;100,0,1)</f>
        <v>0</v>
      </c>
      <c r="L362" s="43">
        <f>IF(ISBLANK(FinanceCodesBudget[[#This Row],[BalanceToScenario]]),1,0)</f>
        <v>0</v>
      </c>
      <c r="M362" s="43">
        <f>SUM(FinanceCodesBudget[[#This Row],[LedgerIssue]:[CustGrIssue]],FinanceCodesBudget[[#This Row],[DupCode]:[Balance to Scenario Blank]])</f>
        <v>0</v>
      </c>
      <c r="N362">
        <v>820320</v>
      </c>
      <c r="O362" t="s">
        <v>2885</v>
      </c>
      <c r="P362" t="s">
        <v>609</v>
      </c>
      <c r="Q362" t="s">
        <v>2000</v>
      </c>
      <c r="R362" t="b">
        <v>0</v>
      </c>
      <c r="S362" t="s">
        <v>2526</v>
      </c>
      <c r="T362" t="s">
        <v>1300</v>
      </c>
      <c r="U362" t="s">
        <v>1532</v>
      </c>
      <c r="V362" t="b">
        <v>1</v>
      </c>
      <c r="W362" t="b">
        <v>0</v>
      </c>
    </row>
    <row r="363" spans="1:23" x14ac:dyDescent="0.3">
      <c r="A363" s="147">
        <f>IF(COUNTIF(LEDGER[LedgerCode],FinanceCodesBudget[[#This Row],[LedgerCode]])&gt;0,0,1)</f>
        <v>0</v>
      </c>
      <c r="B363" s="43">
        <f>IF(COUNTIF(Table_System_Grouping_Codes[groupingCodeCode],FinanceCodesBudget[[#This Row],[GroupingCode]])&gt;0,0,1)</f>
        <v>0</v>
      </c>
      <c r="C363" s="43">
        <f>IF(COUNTIF(CUSTGROUP[CustomGroupingCode],FinanceCodesBudget[[#This Row],[CustomGrouping]])&gt;0,0,1)</f>
        <v>0</v>
      </c>
      <c r="D363" s="43" cm="1">
        <f t="array" ref="D363">IF(FinanceCodesBudget[[#This Row],[AvailableToAllSchools]]=TRUE,0,COUNTA(_xlfn.TEXTSPLIT(FinanceCodesBudget[[#This Row],[SchoolCodes]],",",,TRUE))-SUM(COUNTIF(SCHOOLS[SchoolCode],_xlfn.TEXTSPLIT(FinanceCodesBudget[[#This Row],[SchoolCodes]],",",,TRUE))))</f>
        <v>0</v>
      </c>
      <c r="E363" s="43">
        <f>IF(FinanceCodesBudget[[#This Row],[FinanceCodeTypeCode]]="BUDGET",0,COUNTIF(FinanceCodesBudget[FinanceCode],FinanceCodesBudget[[#This Row],[FinanceCode]])-1)</f>
        <v>0</v>
      </c>
      <c r="F363" s="43">
        <f>IF(FinanceCodesBudget[[#This Row],[FinanceCodeTypeCode]]="BUDGET",0,COUNTIF(FinanceCodesBudget[Title],FinanceCodesBudget[[#This Row],[Title]])-1)</f>
        <v>0</v>
      </c>
      <c r="G363" s="43">
        <f>COUNTIF(Lookup!$A$2:$A$7,FinanceCodesBudget[[#This Row],[FinanceCodeTypeCode]])-1</f>
        <v>0</v>
      </c>
      <c r="H363" s="43">
        <f>IF(TRIM(FinanceCodesBudget[[#This Row],[Title]])="",1,0)</f>
        <v>0</v>
      </c>
      <c r="I363" s="43">
        <f>IF(TRIM(FinanceCodesBudget[[#This Row],[FinanceCode]])="",1,0)</f>
        <v>0</v>
      </c>
      <c r="J363" s="43">
        <f>IF(LEN(FinanceCodesBudget[[#This Row],[FinanceCode]])&lt;100,0,1)</f>
        <v>0</v>
      </c>
      <c r="K363" s="43">
        <f>IF(LEN(FinanceCodesBudget[[#This Row],[Title]])&lt;100,0,1)</f>
        <v>0</v>
      </c>
      <c r="L363" s="43">
        <f>IF(ISBLANK(FinanceCodesBudget[[#This Row],[BalanceToScenario]]),1,0)</f>
        <v>0</v>
      </c>
      <c r="M363" s="43">
        <f>SUM(FinanceCodesBudget[[#This Row],[LedgerIssue]:[CustGrIssue]],FinanceCodesBudget[[#This Row],[DupCode]:[Balance to Scenario Blank]])</f>
        <v>0</v>
      </c>
      <c r="N363">
        <v>820330</v>
      </c>
      <c r="O363" t="s">
        <v>2886</v>
      </c>
      <c r="P363" t="s">
        <v>611</v>
      </c>
      <c r="Q363" t="s">
        <v>2000</v>
      </c>
      <c r="R363" t="b">
        <v>0</v>
      </c>
      <c r="S363" t="s">
        <v>2526</v>
      </c>
      <c r="T363" t="s">
        <v>1300</v>
      </c>
      <c r="U363" t="s">
        <v>1532</v>
      </c>
      <c r="V363" t="b">
        <v>1</v>
      </c>
      <c r="W363" t="b">
        <v>0</v>
      </c>
    </row>
    <row r="364" spans="1:23" x14ac:dyDescent="0.3">
      <c r="A364" s="147">
        <f>IF(COUNTIF(LEDGER[LedgerCode],FinanceCodesBudget[[#This Row],[LedgerCode]])&gt;0,0,1)</f>
        <v>0</v>
      </c>
      <c r="B364" s="43">
        <f>IF(COUNTIF(Table_System_Grouping_Codes[groupingCodeCode],FinanceCodesBudget[[#This Row],[GroupingCode]])&gt;0,0,1)</f>
        <v>0</v>
      </c>
      <c r="C364" s="43">
        <f>IF(COUNTIF(CUSTGROUP[CustomGroupingCode],FinanceCodesBudget[[#This Row],[CustomGrouping]])&gt;0,0,1)</f>
        <v>0</v>
      </c>
      <c r="D364" s="43" cm="1">
        <f t="array" ref="D364">IF(FinanceCodesBudget[[#This Row],[AvailableToAllSchools]]=TRUE,0,COUNTA(_xlfn.TEXTSPLIT(FinanceCodesBudget[[#This Row],[SchoolCodes]],",",,TRUE))-SUM(COUNTIF(SCHOOLS[SchoolCode],_xlfn.TEXTSPLIT(FinanceCodesBudget[[#This Row],[SchoolCodes]],",",,TRUE))))</f>
        <v>0</v>
      </c>
      <c r="E364" s="43">
        <f>IF(FinanceCodesBudget[[#This Row],[FinanceCodeTypeCode]]="BUDGET",0,COUNTIF(FinanceCodesBudget[FinanceCode],FinanceCodesBudget[[#This Row],[FinanceCode]])-1)</f>
        <v>0</v>
      </c>
      <c r="F364" s="43">
        <f>IF(FinanceCodesBudget[[#This Row],[FinanceCodeTypeCode]]="BUDGET",0,COUNTIF(FinanceCodesBudget[Title],FinanceCodesBudget[[#This Row],[Title]])-1)</f>
        <v>0</v>
      </c>
      <c r="G364" s="43">
        <f>COUNTIF(Lookup!$A$2:$A$7,FinanceCodesBudget[[#This Row],[FinanceCodeTypeCode]])-1</f>
        <v>0</v>
      </c>
      <c r="H364" s="43">
        <f>IF(TRIM(FinanceCodesBudget[[#This Row],[Title]])="",1,0)</f>
        <v>0</v>
      </c>
      <c r="I364" s="43">
        <f>IF(TRIM(FinanceCodesBudget[[#This Row],[FinanceCode]])="",1,0)</f>
        <v>0</v>
      </c>
      <c r="J364" s="43">
        <f>IF(LEN(FinanceCodesBudget[[#This Row],[FinanceCode]])&lt;100,0,1)</f>
        <v>0</v>
      </c>
      <c r="K364" s="43">
        <f>IF(LEN(FinanceCodesBudget[[#This Row],[Title]])&lt;100,0,1)</f>
        <v>0</v>
      </c>
      <c r="L364" s="43">
        <f>IF(ISBLANK(FinanceCodesBudget[[#This Row],[BalanceToScenario]]),1,0)</f>
        <v>0</v>
      </c>
      <c r="M364" s="43">
        <f>SUM(FinanceCodesBudget[[#This Row],[LedgerIssue]:[CustGrIssue]],FinanceCodesBudget[[#This Row],[DupCode]:[Balance to Scenario Blank]])</f>
        <v>0</v>
      </c>
      <c r="N364">
        <v>820350</v>
      </c>
      <c r="O364" t="s">
        <v>2887</v>
      </c>
      <c r="P364" t="s">
        <v>613</v>
      </c>
      <c r="Q364" t="s">
        <v>2000</v>
      </c>
      <c r="R364" t="b">
        <v>0</v>
      </c>
      <c r="S364" t="s">
        <v>2526</v>
      </c>
      <c r="T364" t="s">
        <v>1300</v>
      </c>
      <c r="U364" t="s">
        <v>1532</v>
      </c>
      <c r="V364" t="b">
        <v>1</v>
      </c>
      <c r="W364" t="b">
        <v>0</v>
      </c>
    </row>
    <row r="365" spans="1:23" x14ac:dyDescent="0.3">
      <c r="A365" s="147">
        <f>IF(COUNTIF(LEDGER[LedgerCode],FinanceCodesBudget[[#This Row],[LedgerCode]])&gt;0,0,1)</f>
        <v>0</v>
      </c>
      <c r="B365" s="43">
        <f>IF(COUNTIF(Table_System_Grouping_Codes[groupingCodeCode],FinanceCodesBudget[[#This Row],[GroupingCode]])&gt;0,0,1)</f>
        <v>0</v>
      </c>
      <c r="C365" s="43">
        <f>IF(COUNTIF(CUSTGROUP[CustomGroupingCode],FinanceCodesBudget[[#This Row],[CustomGrouping]])&gt;0,0,1)</f>
        <v>0</v>
      </c>
      <c r="D365" s="43" cm="1">
        <f t="array" ref="D365">IF(FinanceCodesBudget[[#This Row],[AvailableToAllSchools]]=TRUE,0,COUNTA(_xlfn.TEXTSPLIT(FinanceCodesBudget[[#This Row],[SchoolCodes]],",",,TRUE))-SUM(COUNTIF(SCHOOLS[SchoolCode],_xlfn.TEXTSPLIT(FinanceCodesBudget[[#This Row],[SchoolCodes]],",",,TRUE))))</f>
        <v>0</v>
      </c>
      <c r="E365" s="43">
        <f>IF(FinanceCodesBudget[[#This Row],[FinanceCodeTypeCode]]="BUDGET",0,COUNTIF(FinanceCodesBudget[FinanceCode],FinanceCodesBudget[[#This Row],[FinanceCode]])-1)</f>
        <v>0</v>
      </c>
      <c r="F365" s="43">
        <f>IF(FinanceCodesBudget[[#This Row],[FinanceCodeTypeCode]]="BUDGET",0,COUNTIF(FinanceCodesBudget[Title],FinanceCodesBudget[[#This Row],[Title]])-1)</f>
        <v>0</v>
      </c>
      <c r="G365" s="43">
        <f>COUNTIF(Lookup!$A$2:$A$7,FinanceCodesBudget[[#This Row],[FinanceCodeTypeCode]])-1</f>
        <v>0</v>
      </c>
      <c r="H365" s="43">
        <f>IF(TRIM(FinanceCodesBudget[[#This Row],[Title]])="",1,0)</f>
        <v>0</v>
      </c>
      <c r="I365" s="43">
        <f>IF(TRIM(FinanceCodesBudget[[#This Row],[FinanceCode]])="",1,0)</f>
        <v>0</v>
      </c>
      <c r="J365" s="43">
        <f>IF(LEN(FinanceCodesBudget[[#This Row],[FinanceCode]])&lt;100,0,1)</f>
        <v>0</v>
      </c>
      <c r="K365" s="43">
        <f>IF(LEN(FinanceCodesBudget[[#This Row],[Title]])&lt;100,0,1)</f>
        <v>0</v>
      </c>
      <c r="L365" s="43">
        <f>IF(ISBLANK(FinanceCodesBudget[[#This Row],[BalanceToScenario]]),1,0)</f>
        <v>0</v>
      </c>
      <c r="M365" s="43">
        <f>SUM(FinanceCodesBudget[[#This Row],[LedgerIssue]:[CustGrIssue]],FinanceCodesBudget[[#This Row],[DupCode]:[Balance to Scenario Blank]])</f>
        <v>0</v>
      </c>
      <c r="N365">
        <v>820370</v>
      </c>
      <c r="O365" t="s">
        <v>2888</v>
      </c>
      <c r="P365" t="s">
        <v>615</v>
      </c>
      <c r="Q365" t="s">
        <v>2000</v>
      </c>
      <c r="R365" t="b">
        <v>0</v>
      </c>
      <c r="S365" t="s">
        <v>2526</v>
      </c>
      <c r="T365" t="s">
        <v>1300</v>
      </c>
      <c r="U365" t="s">
        <v>1532</v>
      </c>
      <c r="V365" t="b">
        <v>1</v>
      </c>
      <c r="W365" t="b">
        <v>0</v>
      </c>
    </row>
    <row r="366" spans="1:23" x14ac:dyDescent="0.3">
      <c r="A366" s="147">
        <f>IF(COUNTIF(LEDGER[LedgerCode],FinanceCodesBudget[[#This Row],[LedgerCode]])&gt;0,0,1)</f>
        <v>0</v>
      </c>
      <c r="B366" s="43">
        <f>IF(COUNTIF(Table_System_Grouping_Codes[groupingCodeCode],FinanceCodesBudget[[#This Row],[GroupingCode]])&gt;0,0,1)</f>
        <v>0</v>
      </c>
      <c r="C366" s="43">
        <f>IF(COUNTIF(CUSTGROUP[CustomGroupingCode],FinanceCodesBudget[[#This Row],[CustomGrouping]])&gt;0,0,1)</f>
        <v>0</v>
      </c>
      <c r="D366" s="43" cm="1">
        <f t="array" ref="D366">IF(FinanceCodesBudget[[#This Row],[AvailableToAllSchools]]=TRUE,0,COUNTA(_xlfn.TEXTSPLIT(FinanceCodesBudget[[#This Row],[SchoolCodes]],",",,TRUE))-SUM(COUNTIF(SCHOOLS[SchoolCode],_xlfn.TEXTSPLIT(FinanceCodesBudget[[#This Row],[SchoolCodes]],",",,TRUE))))</f>
        <v>0</v>
      </c>
      <c r="E366" s="43">
        <f>IF(FinanceCodesBudget[[#This Row],[FinanceCodeTypeCode]]="BUDGET",0,COUNTIF(FinanceCodesBudget[FinanceCode],FinanceCodesBudget[[#This Row],[FinanceCode]])-1)</f>
        <v>0</v>
      </c>
      <c r="F366" s="43">
        <f>IF(FinanceCodesBudget[[#This Row],[FinanceCodeTypeCode]]="BUDGET",0,COUNTIF(FinanceCodesBudget[Title],FinanceCodesBudget[[#This Row],[Title]])-1)</f>
        <v>0</v>
      </c>
      <c r="G366" s="43">
        <f>COUNTIF(Lookup!$A$2:$A$7,FinanceCodesBudget[[#This Row],[FinanceCodeTypeCode]])-1</f>
        <v>0</v>
      </c>
      <c r="H366" s="43">
        <f>IF(TRIM(FinanceCodesBudget[[#This Row],[Title]])="",1,0)</f>
        <v>0</v>
      </c>
      <c r="I366" s="43">
        <f>IF(TRIM(FinanceCodesBudget[[#This Row],[FinanceCode]])="",1,0)</f>
        <v>0</v>
      </c>
      <c r="J366" s="43">
        <f>IF(LEN(FinanceCodesBudget[[#This Row],[FinanceCode]])&lt;100,0,1)</f>
        <v>0</v>
      </c>
      <c r="K366" s="43">
        <f>IF(LEN(FinanceCodesBudget[[#This Row],[Title]])&lt;100,0,1)</f>
        <v>0</v>
      </c>
      <c r="L366" s="43">
        <f>IF(ISBLANK(FinanceCodesBudget[[#This Row],[BalanceToScenario]]),1,0)</f>
        <v>0</v>
      </c>
      <c r="M366" s="43">
        <f>SUM(FinanceCodesBudget[[#This Row],[LedgerIssue]:[CustGrIssue]],FinanceCodesBudget[[#This Row],[DupCode]:[Balance to Scenario Blank]])</f>
        <v>0</v>
      </c>
      <c r="N366">
        <v>820400</v>
      </c>
      <c r="O366" t="s">
        <v>2889</v>
      </c>
      <c r="P366" t="s">
        <v>617</v>
      </c>
      <c r="Q366" t="s">
        <v>2000</v>
      </c>
      <c r="R366" t="b">
        <v>0</v>
      </c>
      <c r="S366" t="s">
        <v>2526</v>
      </c>
      <c r="T366" t="s">
        <v>1300</v>
      </c>
      <c r="U366" t="s">
        <v>1532</v>
      </c>
      <c r="V366" t="b">
        <v>1</v>
      </c>
      <c r="W366" t="b">
        <v>0</v>
      </c>
    </row>
    <row r="367" spans="1:23" x14ac:dyDescent="0.3">
      <c r="A367" s="147">
        <f>IF(COUNTIF(LEDGER[LedgerCode],FinanceCodesBudget[[#This Row],[LedgerCode]])&gt;0,0,1)</f>
        <v>0</v>
      </c>
      <c r="B367" s="43">
        <f>IF(COUNTIF(Table_System_Grouping_Codes[groupingCodeCode],FinanceCodesBudget[[#This Row],[GroupingCode]])&gt;0,0,1)</f>
        <v>0</v>
      </c>
      <c r="C367" s="43">
        <f>IF(COUNTIF(CUSTGROUP[CustomGroupingCode],FinanceCodesBudget[[#This Row],[CustomGrouping]])&gt;0,0,1)</f>
        <v>0</v>
      </c>
      <c r="D367" s="43" cm="1">
        <f t="array" ref="D367">IF(FinanceCodesBudget[[#This Row],[AvailableToAllSchools]]=TRUE,0,COUNTA(_xlfn.TEXTSPLIT(FinanceCodesBudget[[#This Row],[SchoolCodes]],",",,TRUE))-SUM(COUNTIF(SCHOOLS[SchoolCode],_xlfn.TEXTSPLIT(FinanceCodesBudget[[#This Row],[SchoolCodes]],",",,TRUE))))</f>
        <v>0</v>
      </c>
      <c r="E367" s="43">
        <f>IF(FinanceCodesBudget[[#This Row],[FinanceCodeTypeCode]]="BUDGET",0,COUNTIF(FinanceCodesBudget[FinanceCode],FinanceCodesBudget[[#This Row],[FinanceCode]])-1)</f>
        <v>0</v>
      </c>
      <c r="F367" s="43">
        <f>IF(FinanceCodesBudget[[#This Row],[FinanceCodeTypeCode]]="BUDGET",0,COUNTIF(FinanceCodesBudget[Title],FinanceCodesBudget[[#This Row],[Title]])-1)</f>
        <v>0</v>
      </c>
      <c r="G367" s="43">
        <f>COUNTIF(Lookup!$A$2:$A$7,FinanceCodesBudget[[#This Row],[FinanceCodeTypeCode]])-1</f>
        <v>0</v>
      </c>
      <c r="H367" s="43">
        <f>IF(TRIM(FinanceCodesBudget[[#This Row],[Title]])="",1,0)</f>
        <v>0</v>
      </c>
      <c r="I367" s="43">
        <f>IF(TRIM(FinanceCodesBudget[[#This Row],[FinanceCode]])="",1,0)</f>
        <v>0</v>
      </c>
      <c r="J367" s="43">
        <f>IF(LEN(FinanceCodesBudget[[#This Row],[FinanceCode]])&lt;100,0,1)</f>
        <v>0</v>
      </c>
      <c r="K367" s="43">
        <f>IF(LEN(FinanceCodesBudget[[#This Row],[Title]])&lt;100,0,1)</f>
        <v>0</v>
      </c>
      <c r="L367" s="43">
        <f>IF(ISBLANK(FinanceCodesBudget[[#This Row],[BalanceToScenario]]),1,0)</f>
        <v>0</v>
      </c>
      <c r="M367" s="43">
        <f>SUM(FinanceCodesBudget[[#This Row],[LedgerIssue]:[CustGrIssue]],FinanceCodesBudget[[#This Row],[DupCode]:[Balance to Scenario Blank]])</f>
        <v>0</v>
      </c>
      <c r="N367">
        <v>820420</v>
      </c>
      <c r="O367" t="s">
        <v>2890</v>
      </c>
      <c r="P367" t="s">
        <v>619</v>
      </c>
      <c r="Q367" t="s">
        <v>2000</v>
      </c>
      <c r="R367" t="b">
        <v>0</v>
      </c>
      <c r="S367" t="s">
        <v>2526</v>
      </c>
      <c r="T367" t="s">
        <v>1300</v>
      </c>
      <c r="U367" t="s">
        <v>1532</v>
      </c>
      <c r="V367" t="b">
        <v>1</v>
      </c>
      <c r="W367" t="b">
        <v>0</v>
      </c>
    </row>
    <row r="368" spans="1:23" x14ac:dyDescent="0.3">
      <c r="A368" s="147">
        <f>IF(COUNTIF(LEDGER[LedgerCode],FinanceCodesBudget[[#This Row],[LedgerCode]])&gt;0,0,1)</f>
        <v>0</v>
      </c>
      <c r="B368" s="43">
        <f>IF(COUNTIF(Table_System_Grouping_Codes[groupingCodeCode],FinanceCodesBudget[[#This Row],[GroupingCode]])&gt;0,0,1)</f>
        <v>0</v>
      </c>
      <c r="C368" s="43">
        <f>IF(COUNTIF(CUSTGROUP[CustomGroupingCode],FinanceCodesBudget[[#This Row],[CustomGrouping]])&gt;0,0,1)</f>
        <v>0</v>
      </c>
      <c r="D368" s="43" cm="1">
        <f t="array" ref="D368">IF(FinanceCodesBudget[[#This Row],[AvailableToAllSchools]]=TRUE,0,COUNTA(_xlfn.TEXTSPLIT(FinanceCodesBudget[[#This Row],[SchoolCodes]],",",,TRUE))-SUM(COUNTIF(SCHOOLS[SchoolCode],_xlfn.TEXTSPLIT(FinanceCodesBudget[[#This Row],[SchoolCodes]],",",,TRUE))))</f>
        <v>0</v>
      </c>
      <c r="E368" s="43">
        <f>IF(FinanceCodesBudget[[#This Row],[FinanceCodeTypeCode]]="BUDGET",0,COUNTIF(FinanceCodesBudget[FinanceCode],FinanceCodesBudget[[#This Row],[FinanceCode]])-1)</f>
        <v>0</v>
      </c>
      <c r="F368" s="43">
        <f>IF(FinanceCodesBudget[[#This Row],[FinanceCodeTypeCode]]="BUDGET",0,COUNTIF(FinanceCodesBudget[Title],FinanceCodesBudget[[#This Row],[Title]])-1)</f>
        <v>0</v>
      </c>
      <c r="G368" s="43">
        <f>COUNTIF(Lookup!$A$2:$A$7,FinanceCodesBudget[[#This Row],[FinanceCodeTypeCode]])-1</f>
        <v>0</v>
      </c>
      <c r="H368" s="43">
        <f>IF(TRIM(FinanceCodesBudget[[#This Row],[Title]])="",1,0)</f>
        <v>0</v>
      </c>
      <c r="I368" s="43">
        <f>IF(TRIM(FinanceCodesBudget[[#This Row],[FinanceCode]])="",1,0)</f>
        <v>0</v>
      </c>
      <c r="J368" s="43">
        <f>IF(LEN(FinanceCodesBudget[[#This Row],[FinanceCode]])&lt;100,0,1)</f>
        <v>0</v>
      </c>
      <c r="K368" s="43">
        <f>IF(LEN(FinanceCodesBudget[[#This Row],[Title]])&lt;100,0,1)</f>
        <v>0</v>
      </c>
      <c r="L368" s="43">
        <f>IF(ISBLANK(FinanceCodesBudget[[#This Row],[BalanceToScenario]]),1,0)</f>
        <v>0</v>
      </c>
      <c r="M368" s="43">
        <f>SUM(FinanceCodesBudget[[#This Row],[LedgerIssue]:[CustGrIssue]],FinanceCodesBudget[[#This Row],[DupCode]:[Balance to Scenario Blank]])</f>
        <v>0</v>
      </c>
      <c r="N368">
        <v>820450</v>
      </c>
      <c r="O368" t="s">
        <v>2891</v>
      </c>
      <c r="P368" t="s">
        <v>621</v>
      </c>
      <c r="Q368" t="s">
        <v>2000</v>
      </c>
      <c r="R368" t="b">
        <v>0</v>
      </c>
      <c r="S368" t="s">
        <v>2526</v>
      </c>
      <c r="T368" t="s">
        <v>1300</v>
      </c>
      <c r="U368" t="s">
        <v>1532</v>
      </c>
      <c r="V368" t="b">
        <v>1</v>
      </c>
      <c r="W368" t="b">
        <v>0</v>
      </c>
    </row>
    <row r="369" spans="1:23" x14ac:dyDescent="0.3">
      <c r="A369" s="147">
        <f>IF(COUNTIF(LEDGER[LedgerCode],FinanceCodesBudget[[#This Row],[LedgerCode]])&gt;0,0,1)</f>
        <v>0</v>
      </c>
      <c r="B369" s="43">
        <f>IF(COUNTIF(Table_System_Grouping_Codes[groupingCodeCode],FinanceCodesBudget[[#This Row],[GroupingCode]])&gt;0,0,1)</f>
        <v>0</v>
      </c>
      <c r="C369" s="43">
        <f>IF(COUNTIF(CUSTGROUP[CustomGroupingCode],FinanceCodesBudget[[#This Row],[CustomGrouping]])&gt;0,0,1)</f>
        <v>0</v>
      </c>
      <c r="D369" s="43" cm="1">
        <f t="array" ref="D369">IF(FinanceCodesBudget[[#This Row],[AvailableToAllSchools]]=TRUE,0,COUNTA(_xlfn.TEXTSPLIT(FinanceCodesBudget[[#This Row],[SchoolCodes]],",",,TRUE))-SUM(COUNTIF(SCHOOLS[SchoolCode],_xlfn.TEXTSPLIT(FinanceCodesBudget[[#This Row],[SchoolCodes]],",",,TRUE))))</f>
        <v>0</v>
      </c>
      <c r="E369" s="43">
        <f>IF(FinanceCodesBudget[[#This Row],[FinanceCodeTypeCode]]="BUDGET",0,COUNTIF(FinanceCodesBudget[FinanceCode],FinanceCodesBudget[[#This Row],[FinanceCode]])-1)</f>
        <v>0</v>
      </c>
      <c r="F369" s="43">
        <f>IF(FinanceCodesBudget[[#This Row],[FinanceCodeTypeCode]]="BUDGET",0,COUNTIF(FinanceCodesBudget[Title],FinanceCodesBudget[[#This Row],[Title]])-1)</f>
        <v>0</v>
      </c>
      <c r="G369" s="43">
        <f>COUNTIF(Lookup!$A$2:$A$7,FinanceCodesBudget[[#This Row],[FinanceCodeTypeCode]])-1</f>
        <v>0</v>
      </c>
      <c r="H369" s="43">
        <f>IF(TRIM(FinanceCodesBudget[[#This Row],[Title]])="",1,0)</f>
        <v>0</v>
      </c>
      <c r="I369" s="43">
        <f>IF(TRIM(FinanceCodesBudget[[#This Row],[FinanceCode]])="",1,0)</f>
        <v>0</v>
      </c>
      <c r="J369" s="43">
        <f>IF(LEN(FinanceCodesBudget[[#This Row],[FinanceCode]])&lt;100,0,1)</f>
        <v>0</v>
      </c>
      <c r="K369" s="43">
        <f>IF(LEN(FinanceCodesBudget[[#This Row],[Title]])&lt;100,0,1)</f>
        <v>0</v>
      </c>
      <c r="L369" s="43">
        <f>IF(ISBLANK(FinanceCodesBudget[[#This Row],[BalanceToScenario]]),1,0)</f>
        <v>0</v>
      </c>
      <c r="M369" s="43">
        <f>SUM(FinanceCodesBudget[[#This Row],[LedgerIssue]:[CustGrIssue]],FinanceCodesBudget[[#This Row],[DupCode]:[Balance to Scenario Blank]])</f>
        <v>0</v>
      </c>
      <c r="N369">
        <v>820470</v>
      </c>
      <c r="O369" t="s">
        <v>2892</v>
      </c>
      <c r="P369" t="s">
        <v>1407</v>
      </c>
      <c r="Q369" t="s">
        <v>2000</v>
      </c>
      <c r="R369" t="b">
        <v>0</v>
      </c>
      <c r="S369" t="s">
        <v>2526</v>
      </c>
      <c r="T369" t="s">
        <v>1300</v>
      </c>
      <c r="U369" t="s">
        <v>1532</v>
      </c>
      <c r="V369" t="b">
        <v>1</v>
      </c>
      <c r="W369" t="b">
        <v>0</v>
      </c>
    </row>
    <row r="370" spans="1:23" x14ac:dyDescent="0.3">
      <c r="A370" s="147">
        <f>IF(COUNTIF(LEDGER[LedgerCode],FinanceCodesBudget[[#This Row],[LedgerCode]])&gt;0,0,1)</f>
        <v>0</v>
      </c>
      <c r="B370" s="43">
        <f>IF(COUNTIF(Table_System_Grouping_Codes[groupingCodeCode],FinanceCodesBudget[[#This Row],[GroupingCode]])&gt;0,0,1)</f>
        <v>0</v>
      </c>
      <c r="C370" s="43">
        <f>IF(COUNTIF(CUSTGROUP[CustomGroupingCode],FinanceCodesBudget[[#This Row],[CustomGrouping]])&gt;0,0,1)</f>
        <v>0</v>
      </c>
      <c r="D370" s="43" cm="1">
        <f t="array" ref="D370">IF(FinanceCodesBudget[[#This Row],[AvailableToAllSchools]]=TRUE,0,COUNTA(_xlfn.TEXTSPLIT(FinanceCodesBudget[[#This Row],[SchoolCodes]],",",,TRUE))-SUM(COUNTIF(SCHOOLS[SchoolCode],_xlfn.TEXTSPLIT(FinanceCodesBudget[[#This Row],[SchoolCodes]],",",,TRUE))))</f>
        <v>0</v>
      </c>
      <c r="E370" s="43">
        <f>IF(FinanceCodesBudget[[#This Row],[FinanceCodeTypeCode]]="BUDGET",0,COUNTIF(FinanceCodesBudget[FinanceCode],FinanceCodesBudget[[#This Row],[FinanceCode]])-1)</f>
        <v>0</v>
      </c>
      <c r="F370" s="43">
        <f>IF(FinanceCodesBudget[[#This Row],[FinanceCodeTypeCode]]="BUDGET",0,COUNTIF(FinanceCodesBudget[Title],FinanceCodesBudget[[#This Row],[Title]])-1)</f>
        <v>0</v>
      </c>
      <c r="G370" s="43">
        <f>COUNTIF(Lookup!$A$2:$A$7,FinanceCodesBudget[[#This Row],[FinanceCodeTypeCode]])-1</f>
        <v>0</v>
      </c>
      <c r="H370" s="43">
        <f>IF(TRIM(FinanceCodesBudget[[#This Row],[Title]])="",1,0)</f>
        <v>0</v>
      </c>
      <c r="I370" s="43">
        <f>IF(TRIM(FinanceCodesBudget[[#This Row],[FinanceCode]])="",1,0)</f>
        <v>0</v>
      </c>
      <c r="J370" s="43">
        <f>IF(LEN(FinanceCodesBudget[[#This Row],[FinanceCode]])&lt;100,0,1)</f>
        <v>0</v>
      </c>
      <c r="K370" s="43">
        <f>IF(LEN(FinanceCodesBudget[[#This Row],[Title]])&lt;100,0,1)</f>
        <v>0</v>
      </c>
      <c r="L370" s="43">
        <f>IF(ISBLANK(FinanceCodesBudget[[#This Row],[BalanceToScenario]]),1,0)</f>
        <v>0</v>
      </c>
      <c r="M370" s="43">
        <f>SUM(FinanceCodesBudget[[#This Row],[LedgerIssue]:[CustGrIssue]],FinanceCodesBudget[[#This Row],[DupCode]:[Balance to Scenario Blank]])</f>
        <v>0</v>
      </c>
      <c r="N370">
        <v>820500</v>
      </c>
      <c r="O370" t="s">
        <v>2893</v>
      </c>
      <c r="P370" t="s">
        <v>623</v>
      </c>
      <c r="Q370" t="s">
        <v>2000</v>
      </c>
      <c r="R370" t="b">
        <v>0</v>
      </c>
      <c r="S370" t="s">
        <v>2526</v>
      </c>
      <c r="T370" t="s">
        <v>1300</v>
      </c>
      <c r="U370" t="s">
        <v>1532</v>
      </c>
      <c r="V370" t="b">
        <v>1</v>
      </c>
      <c r="W370" t="b">
        <v>0</v>
      </c>
    </row>
    <row r="371" spans="1:23" x14ac:dyDescent="0.3">
      <c r="A371" s="147">
        <f>IF(COUNTIF(LEDGER[LedgerCode],FinanceCodesBudget[[#This Row],[LedgerCode]])&gt;0,0,1)</f>
        <v>0</v>
      </c>
      <c r="B371" s="43">
        <f>IF(COUNTIF(Table_System_Grouping_Codes[groupingCodeCode],FinanceCodesBudget[[#This Row],[GroupingCode]])&gt;0,0,1)</f>
        <v>0</v>
      </c>
      <c r="C371" s="43">
        <f>IF(COUNTIF(CUSTGROUP[CustomGroupingCode],FinanceCodesBudget[[#This Row],[CustomGrouping]])&gt;0,0,1)</f>
        <v>0</v>
      </c>
      <c r="D371" s="43" cm="1">
        <f t="array" ref="D371">IF(FinanceCodesBudget[[#This Row],[AvailableToAllSchools]]=TRUE,0,COUNTA(_xlfn.TEXTSPLIT(FinanceCodesBudget[[#This Row],[SchoolCodes]],",",,TRUE))-SUM(COUNTIF(SCHOOLS[SchoolCode],_xlfn.TEXTSPLIT(FinanceCodesBudget[[#This Row],[SchoolCodes]],",",,TRUE))))</f>
        <v>0</v>
      </c>
      <c r="E371" s="43">
        <f>IF(FinanceCodesBudget[[#This Row],[FinanceCodeTypeCode]]="BUDGET",0,COUNTIF(FinanceCodesBudget[FinanceCode],FinanceCodesBudget[[#This Row],[FinanceCode]])-1)</f>
        <v>0</v>
      </c>
      <c r="F371" s="43">
        <f>IF(FinanceCodesBudget[[#This Row],[FinanceCodeTypeCode]]="BUDGET",0,COUNTIF(FinanceCodesBudget[Title],FinanceCodesBudget[[#This Row],[Title]])-1)</f>
        <v>0</v>
      </c>
      <c r="G371" s="43">
        <f>COUNTIF(Lookup!$A$2:$A$7,FinanceCodesBudget[[#This Row],[FinanceCodeTypeCode]])-1</f>
        <v>0</v>
      </c>
      <c r="H371" s="43">
        <f>IF(TRIM(FinanceCodesBudget[[#This Row],[Title]])="",1,0)</f>
        <v>0</v>
      </c>
      <c r="I371" s="43">
        <f>IF(TRIM(FinanceCodesBudget[[#This Row],[FinanceCode]])="",1,0)</f>
        <v>0</v>
      </c>
      <c r="J371" s="43">
        <f>IF(LEN(FinanceCodesBudget[[#This Row],[FinanceCode]])&lt;100,0,1)</f>
        <v>0</v>
      </c>
      <c r="K371" s="43">
        <f>IF(LEN(FinanceCodesBudget[[#This Row],[Title]])&lt;100,0,1)</f>
        <v>0</v>
      </c>
      <c r="L371" s="43">
        <f>IF(ISBLANK(FinanceCodesBudget[[#This Row],[BalanceToScenario]]),1,0)</f>
        <v>0</v>
      </c>
      <c r="M371" s="43">
        <f>SUM(FinanceCodesBudget[[#This Row],[LedgerIssue]:[CustGrIssue]],FinanceCodesBudget[[#This Row],[DupCode]:[Balance to Scenario Blank]])</f>
        <v>0</v>
      </c>
      <c r="N371">
        <v>820520</v>
      </c>
      <c r="O371" t="s">
        <v>2894</v>
      </c>
      <c r="P371" t="s">
        <v>625</v>
      </c>
      <c r="Q371" t="s">
        <v>2000</v>
      </c>
      <c r="R371" t="b">
        <v>0</v>
      </c>
      <c r="S371" t="s">
        <v>2526</v>
      </c>
      <c r="T371" t="s">
        <v>1300</v>
      </c>
      <c r="U371" t="s">
        <v>1532</v>
      </c>
      <c r="V371" t="b">
        <v>1</v>
      </c>
      <c r="W371" t="b">
        <v>0</v>
      </c>
    </row>
    <row r="372" spans="1:23" x14ac:dyDescent="0.3">
      <c r="A372" s="147">
        <f>IF(COUNTIF(LEDGER[LedgerCode],FinanceCodesBudget[[#This Row],[LedgerCode]])&gt;0,0,1)</f>
        <v>0</v>
      </c>
      <c r="B372" s="43">
        <f>IF(COUNTIF(Table_System_Grouping_Codes[groupingCodeCode],FinanceCodesBudget[[#This Row],[GroupingCode]])&gt;0,0,1)</f>
        <v>0</v>
      </c>
      <c r="C372" s="43">
        <f>IF(COUNTIF(CUSTGROUP[CustomGroupingCode],FinanceCodesBudget[[#This Row],[CustomGrouping]])&gt;0,0,1)</f>
        <v>0</v>
      </c>
      <c r="D372" s="43" cm="1">
        <f t="array" ref="D372">IF(FinanceCodesBudget[[#This Row],[AvailableToAllSchools]]=TRUE,0,COUNTA(_xlfn.TEXTSPLIT(FinanceCodesBudget[[#This Row],[SchoolCodes]],",",,TRUE))-SUM(COUNTIF(SCHOOLS[SchoolCode],_xlfn.TEXTSPLIT(FinanceCodesBudget[[#This Row],[SchoolCodes]],",",,TRUE))))</f>
        <v>0</v>
      </c>
      <c r="E372" s="43">
        <f>IF(FinanceCodesBudget[[#This Row],[FinanceCodeTypeCode]]="BUDGET",0,COUNTIF(FinanceCodesBudget[FinanceCode],FinanceCodesBudget[[#This Row],[FinanceCode]])-1)</f>
        <v>0</v>
      </c>
      <c r="F372" s="43">
        <f>IF(FinanceCodesBudget[[#This Row],[FinanceCodeTypeCode]]="BUDGET",0,COUNTIF(FinanceCodesBudget[Title],FinanceCodesBudget[[#This Row],[Title]])-1)</f>
        <v>0</v>
      </c>
      <c r="G372" s="43">
        <f>COUNTIF(Lookup!$A$2:$A$7,FinanceCodesBudget[[#This Row],[FinanceCodeTypeCode]])-1</f>
        <v>0</v>
      </c>
      <c r="H372" s="43">
        <f>IF(TRIM(FinanceCodesBudget[[#This Row],[Title]])="",1,0)</f>
        <v>0</v>
      </c>
      <c r="I372" s="43">
        <f>IF(TRIM(FinanceCodesBudget[[#This Row],[FinanceCode]])="",1,0)</f>
        <v>0</v>
      </c>
      <c r="J372" s="43">
        <f>IF(LEN(FinanceCodesBudget[[#This Row],[FinanceCode]])&lt;100,0,1)</f>
        <v>0</v>
      </c>
      <c r="K372" s="43">
        <f>IF(LEN(FinanceCodesBudget[[#This Row],[Title]])&lt;100,0,1)</f>
        <v>0</v>
      </c>
      <c r="L372" s="43">
        <f>IF(ISBLANK(FinanceCodesBudget[[#This Row],[BalanceToScenario]]),1,0)</f>
        <v>0</v>
      </c>
      <c r="M372" s="43">
        <f>SUM(FinanceCodesBudget[[#This Row],[LedgerIssue]:[CustGrIssue]],FinanceCodesBudget[[#This Row],[DupCode]:[Balance to Scenario Blank]])</f>
        <v>0</v>
      </c>
      <c r="N372">
        <v>820550</v>
      </c>
      <c r="O372" t="s">
        <v>2895</v>
      </c>
      <c r="P372" t="s">
        <v>627</v>
      </c>
      <c r="Q372" t="s">
        <v>2000</v>
      </c>
      <c r="R372" t="b">
        <v>0</v>
      </c>
      <c r="S372" t="s">
        <v>2526</v>
      </c>
      <c r="T372" t="s">
        <v>1300</v>
      </c>
      <c r="U372" t="s">
        <v>1532</v>
      </c>
      <c r="V372" t="b">
        <v>1</v>
      </c>
      <c r="W372" t="b">
        <v>0</v>
      </c>
    </row>
    <row r="373" spans="1:23" x14ac:dyDescent="0.3">
      <c r="A373" s="147">
        <f>IF(COUNTIF(LEDGER[LedgerCode],FinanceCodesBudget[[#This Row],[LedgerCode]])&gt;0,0,1)</f>
        <v>0</v>
      </c>
      <c r="B373" s="43">
        <f>IF(COUNTIF(Table_System_Grouping_Codes[groupingCodeCode],FinanceCodesBudget[[#This Row],[GroupingCode]])&gt;0,0,1)</f>
        <v>0</v>
      </c>
      <c r="C373" s="43">
        <f>IF(COUNTIF(CUSTGROUP[CustomGroupingCode],FinanceCodesBudget[[#This Row],[CustomGrouping]])&gt;0,0,1)</f>
        <v>0</v>
      </c>
      <c r="D373" s="43" cm="1">
        <f t="array" ref="D373">IF(FinanceCodesBudget[[#This Row],[AvailableToAllSchools]]=TRUE,0,COUNTA(_xlfn.TEXTSPLIT(FinanceCodesBudget[[#This Row],[SchoolCodes]],",",,TRUE))-SUM(COUNTIF(SCHOOLS[SchoolCode],_xlfn.TEXTSPLIT(FinanceCodesBudget[[#This Row],[SchoolCodes]],",",,TRUE))))</f>
        <v>0</v>
      </c>
      <c r="E373" s="43">
        <f>IF(FinanceCodesBudget[[#This Row],[FinanceCodeTypeCode]]="BUDGET",0,COUNTIF(FinanceCodesBudget[FinanceCode],FinanceCodesBudget[[#This Row],[FinanceCode]])-1)</f>
        <v>0</v>
      </c>
      <c r="F373" s="43">
        <f>IF(FinanceCodesBudget[[#This Row],[FinanceCodeTypeCode]]="BUDGET",0,COUNTIF(FinanceCodesBudget[Title],FinanceCodesBudget[[#This Row],[Title]])-1)</f>
        <v>0</v>
      </c>
      <c r="G373" s="43">
        <f>COUNTIF(Lookup!$A$2:$A$7,FinanceCodesBudget[[#This Row],[FinanceCodeTypeCode]])-1</f>
        <v>0</v>
      </c>
      <c r="H373" s="43">
        <f>IF(TRIM(FinanceCodesBudget[[#This Row],[Title]])="",1,0)</f>
        <v>0</v>
      </c>
      <c r="I373" s="43">
        <f>IF(TRIM(FinanceCodesBudget[[#This Row],[FinanceCode]])="",1,0)</f>
        <v>0</v>
      </c>
      <c r="J373" s="43">
        <f>IF(LEN(FinanceCodesBudget[[#This Row],[FinanceCode]])&lt;100,0,1)</f>
        <v>0</v>
      </c>
      <c r="K373" s="43">
        <f>IF(LEN(FinanceCodesBudget[[#This Row],[Title]])&lt;100,0,1)</f>
        <v>0</v>
      </c>
      <c r="L373" s="43">
        <f>IF(ISBLANK(FinanceCodesBudget[[#This Row],[BalanceToScenario]]),1,0)</f>
        <v>0</v>
      </c>
      <c r="M373" s="43">
        <f>SUM(FinanceCodesBudget[[#This Row],[LedgerIssue]:[CustGrIssue]],FinanceCodesBudget[[#This Row],[DupCode]:[Balance to Scenario Blank]])</f>
        <v>0</v>
      </c>
      <c r="N373">
        <v>820570</v>
      </c>
      <c r="O373" t="s">
        <v>2896</v>
      </c>
      <c r="P373" t="s">
        <v>627</v>
      </c>
      <c r="Q373" t="s">
        <v>2000</v>
      </c>
      <c r="R373" t="b">
        <v>0</v>
      </c>
      <c r="S373" t="s">
        <v>2526</v>
      </c>
      <c r="T373" t="s">
        <v>1300</v>
      </c>
      <c r="U373" t="s">
        <v>1532</v>
      </c>
      <c r="V373" t="b">
        <v>1</v>
      </c>
      <c r="W373" t="b">
        <v>0</v>
      </c>
    </row>
    <row r="374" spans="1:23" x14ac:dyDescent="0.3">
      <c r="A374" s="147">
        <f>IF(COUNTIF(LEDGER[LedgerCode],FinanceCodesBudget[[#This Row],[LedgerCode]])&gt;0,0,1)</f>
        <v>0</v>
      </c>
      <c r="B374" s="43">
        <f>IF(COUNTIF(Table_System_Grouping_Codes[groupingCodeCode],FinanceCodesBudget[[#This Row],[GroupingCode]])&gt;0,0,1)</f>
        <v>0</v>
      </c>
      <c r="C374" s="43">
        <f>IF(COUNTIF(CUSTGROUP[CustomGroupingCode],FinanceCodesBudget[[#This Row],[CustomGrouping]])&gt;0,0,1)</f>
        <v>0</v>
      </c>
      <c r="D374" s="43" cm="1">
        <f t="array" ref="D374">IF(FinanceCodesBudget[[#This Row],[AvailableToAllSchools]]=TRUE,0,COUNTA(_xlfn.TEXTSPLIT(FinanceCodesBudget[[#This Row],[SchoolCodes]],",",,TRUE))-SUM(COUNTIF(SCHOOLS[SchoolCode],_xlfn.TEXTSPLIT(FinanceCodesBudget[[#This Row],[SchoolCodes]],",",,TRUE))))</f>
        <v>0</v>
      </c>
      <c r="E374" s="43">
        <f>IF(FinanceCodesBudget[[#This Row],[FinanceCodeTypeCode]]="BUDGET",0,COUNTIF(FinanceCodesBudget[FinanceCode],FinanceCodesBudget[[#This Row],[FinanceCode]])-1)</f>
        <v>0</v>
      </c>
      <c r="F374" s="43">
        <f>IF(FinanceCodesBudget[[#This Row],[FinanceCodeTypeCode]]="BUDGET",0,COUNTIF(FinanceCodesBudget[Title],FinanceCodesBudget[[#This Row],[Title]])-1)</f>
        <v>0</v>
      </c>
      <c r="G374" s="43">
        <f>COUNTIF(Lookup!$A$2:$A$7,FinanceCodesBudget[[#This Row],[FinanceCodeTypeCode]])-1</f>
        <v>0</v>
      </c>
      <c r="H374" s="43">
        <f>IF(TRIM(FinanceCodesBudget[[#This Row],[Title]])="",1,0)</f>
        <v>0</v>
      </c>
      <c r="I374" s="43">
        <f>IF(TRIM(FinanceCodesBudget[[#This Row],[FinanceCode]])="",1,0)</f>
        <v>0</v>
      </c>
      <c r="J374" s="43">
        <f>IF(LEN(FinanceCodesBudget[[#This Row],[FinanceCode]])&lt;100,0,1)</f>
        <v>0</v>
      </c>
      <c r="K374" s="43">
        <f>IF(LEN(FinanceCodesBudget[[#This Row],[Title]])&lt;100,0,1)</f>
        <v>0</v>
      </c>
      <c r="L374" s="43">
        <f>IF(ISBLANK(FinanceCodesBudget[[#This Row],[BalanceToScenario]]),1,0)</f>
        <v>0</v>
      </c>
      <c r="M374" s="43">
        <f>SUM(FinanceCodesBudget[[#This Row],[LedgerIssue]:[CustGrIssue]],FinanceCodesBudget[[#This Row],[DupCode]:[Balance to Scenario Blank]])</f>
        <v>0</v>
      </c>
      <c r="N374">
        <v>825100</v>
      </c>
      <c r="O374" t="s">
        <v>2897</v>
      </c>
      <c r="P374" t="s">
        <v>629</v>
      </c>
      <c r="Q374" t="s">
        <v>1996</v>
      </c>
      <c r="R374" t="b">
        <v>0</v>
      </c>
      <c r="S374" t="s">
        <v>2526</v>
      </c>
      <c r="T374" t="s">
        <v>1300</v>
      </c>
      <c r="U374" t="s">
        <v>1532</v>
      </c>
      <c r="V374" t="b">
        <v>1</v>
      </c>
      <c r="W374" t="b">
        <v>0</v>
      </c>
    </row>
    <row r="375" spans="1:23" x14ac:dyDescent="0.3">
      <c r="A375" s="147">
        <f>IF(COUNTIF(LEDGER[LedgerCode],FinanceCodesBudget[[#This Row],[LedgerCode]])&gt;0,0,1)</f>
        <v>0</v>
      </c>
      <c r="B375" s="43">
        <f>IF(COUNTIF(Table_System_Grouping_Codes[groupingCodeCode],FinanceCodesBudget[[#This Row],[GroupingCode]])&gt;0,0,1)</f>
        <v>0</v>
      </c>
      <c r="C375" s="43">
        <f>IF(COUNTIF(CUSTGROUP[CustomGroupingCode],FinanceCodesBudget[[#This Row],[CustomGrouping]])&gt;0,0,1)</f>
        <v>0</v>
      </c>
      <c r="D375" s="43" cm="1">
        <f t="array" ref="D375">IF(FinanceCodesBudget[[#This Row],[AvailableToAllSchools]]=TRUE,0,COUNTA(_xlfn.TEXTSPLIT(FinanceCodesBudget[[#This Row],[SchoolCodes]],",",,TRUE))-SUM(COUNTIF(SCHOOLS[SchoolCode],_xlfn.TEXTSPLIT(FinanceCodesBudget[[#This Row],[SchoolCodes]],",",,TRUE))))</f>
        <v>0</v>
      </c>
      <c r="E375" s="43">
        <f>IF(FinanceCodesBudget[[#This Row],[FinanceCodeTypeCode]]="BUDGET",0,COUNTIF(FinanceCodesBudget[FinanceCode],FinanceCodesBudget[[#This Row],[FinanceCode]])-1)</f>
        <v>0</v>
      </c>
      <c r="F375" s="43">
        <f>IF(FinanceCodesBudget[[#This Row],[FinanceCodeTypeCode]]="BUDGET",0,COUNTIF(FinanceCodesBudget[Title],FinanceCodesBudget[[#This Row],[Title]])-1)</f>
        <v>0</v>
      </c>
      <c r="G375" s="43">
        <f>COUNTIF(Lookup!$A$2:$A$7,FinanceCodesBudget[[#This Row],[FinanceCodeTypeCode]])-1</f>
        <v>0</v>
      </c>
      <c r="H375" s="43">
        <f>IF(TRIM(FinanceCodesBudget[[#This Row],[Title]])="",1,0)</f>
        <v>0</v>
      </c>
      <c r="I375" s="43">
        <f>IF(TRIM(FinanceCodesBudget[[#This Row],[FinanceCode]])="",1,0)</f>
        <v>0</v>
      </c>
      <c r="J375" s="43">
        <f>IF(LEN(FinanceCodesBudget[[#This Row],[FinanceCode]])&lt;100,0,1)</f>
        <v>0</v>
      </c>
      <c r="K375" s="43">
        <f>IF(LEN(FinanceCodesBudget[[#This Row],[Title]])&lt;100,0,1)</f>
        <v>0</v>
      </c>
      <c r="L375" s="43">
        <f>IF(ISBLANK(FinanceCodesBudget[[#This Row],[BalanceToScenario]]),1,0)</f>
        <v>0</v>
      </c>
      <c r="M375" s="43">
        <f>SUM(FinanceCodesBudget[[#This Row],[LedgerIssue]:[CustGrIssue]],FinanceCodesBudget[[#This Row],[DupCode]:[Balance to Scenario Blank]])</f>
        <v>0</v>
      </c>
      <c r="N375">
        <v>825150</v>
      </c>
      <c r="O375" t="s">
        <v>2898</v>
      </c>
      <c r="P375" t="s">
        <v>629</v>
      </c>
      <c r="Q375" t="s">
        <v>1996</v>
      </c>
      <c r="R375" t="b">
        <v>0</v>
      </c>
      <c r="S375" t="s">
        <v>2526</v>
      </c>
      <c r="T375" t="s">
        <v>1300</v>
      </c>
      <c r="U375" t="s">
        <v>1532</v>
      </c>
      <c r="V375" t="b">
        <v>1</v>
      </c>
      <c r="W375" t="b">
        <v>0</v>
      </c>
    </row>
    <row r="376" spans="1:23" x14ac:dyDescent="0.3">
      <c r="A376" s="147">
        <f>IF(COUNTIF(LEDGER[LedgerCode],FinanceCodesBudget[[#This Row],[LedgerCode]])&gt;0,0,1)</f>
        <v>0</v>
      </c>
      <c r="B376" s="43">
        <f>IF(COUNTIF(Table_System_Grouping_Codes[groupingCodeCode],FinanceCodesBudget[[#This Row],[GroupingCode]])&gt;0,0,1)</f>
        <v>0</v>
      </c>
      <c r="C376" s="43">
        <f>IF(COUNTIF(CUSTGROUP[CustomGroupingCode],FinanceCodesBudget[[#This Row],[CustomGrouping]])&gt;0,0,1)</f>
        <v>0</v>
      </c>
      <c r="D376" s="43" cm="1">
        <f t="array" ref="D376">IF(FinanceCodesBudget[[#This Row],[AvailableToAllSchools]]=TRUE,0,COUNTA(_xlfn.TEXTSPLIT(FinanceCodesBudget[[#This Row],[SchoolCodes]],",",,TRUE))-SUM(COUNTIF(SCHOOLS[SchoolCode],_xlfn.TEXTSPLIT(FinanceCodesBudget[[#This Row],[SchoolCodes]],",",,TRUE))))</f>
        <v>0</v>
      </c>
      <c r="E376" s="43">
        <f>IF(FinanceCodesBudget[[#This Row],[FinanceCodeTypeCode]]="BUDGET",0,COUNTIF(FinanceCodesBudget[FinanceCode],FinanceCodesBudget[[#This Row],[FinanceCode]])-1)</f>
        <v>0</v>
      </c>
      <c r="F376" s="43">
        <f>IF(FinanceCodesBudget[[#This Row],[FinanceCodeTypeCode]]="BUDGET",0,COUNTIF(FinanceCodesBudget[Title],FinanceCodesBudget[[#This Row],[Title]])-1)</f>
        <v>0</v>
      </c>
      <c r="G376" s="43">
        <f>COUNTIF(Lookup!$A$2:$A$7,FinanceCodesBudget[[#This Row],[FinanceCodeTypeCode]])-1</f>
        <v>0</v>
      </c>
      <c r="H376" s="43">
        <f>IF(TRIM(FinanceCodesBudget[[#This Row],[Title]])="",1,0)</f>
        <v>0</v>
      </c>
      <c r="I376" s="43">
        <f>IF(TRIM(FinanceCodesBudget[[#This Row],[FinanceCode]])="",1,0)</f>
        <v>0</v>
      </c>
      <c r="J376" s="43">
        <f>IF(LEN(FinanceCodesBudget[[#This Row],[FinanceCode]])&lt;100,0,1)</f>
        <v>0</v>
      </c>
      <c r="K376" s="43">
        <f>IF(LEN(FinanceCodesBudget[[#This Row],[Title]])&lt;100,0,1)</f>
        <v>0</v>
      </c>
      <c r="L376" s="43">
        <f>IF(ISBLANK(FinanceCodesBudget[[#This Row],[BalanceToScenario]]),1,0)</f>
        <v>0</v>
      </c>
      <c r="M376" s="43">
        <f>SUM(FinanceCodesBudget[[#This Row],[LedgerIssue]:[CustGrIssue]],FinanceCodesBudget[[#This Row],[DupCode]:[Balance to Scenario Blank]])</f>
        <v>0</v>
      </c>
      <c r="N376">
        <v>825200</v>
      </c>
      <c r="O376" t="s">
        <v>2899</v>
      </c>
      <c r="P376" t="s">
        <v>1899</v>
      </c>
      <c r="Q376" t="s">
        <v>1996</v>
      </c>
      <c r="R376" t="b">
        <v>0</v>
      </c>
      <c r="S376" t="s">
        <v>2526</v>
      </c>
      <c r="T376" t="s">
        <v>1300</v>
      </c>
      <c r="U376" t="s">
        <v>1532</v>
      </c>
      <c r="V376" t="b">
        <v>1</v>
      </c>
      <c r="W376" t="b">
        <v>0</v>
      </c>
    </row>
    <row r="377" spans="1:23" x14ac:dyDescent="0.3">
      <c r="A377" s="147">
        <f>IF(COUNTIF(LEDGER[LedgerCode],FinanceCodesBudget[[#This Row],[LedgerCode]])&gt;0,0,1)</f>
        <v>0</v>
      </c>
      <c r="B377" s="43">
        <f>IF(COUNTIF(Table_System_Grouping_Codes[groupingCodeCode],FinanceCodesBudget[[#This Row],[GroupingCode]])&gt;0,0,1)</f>
        <v>0</v>
      </c>
      <c r="C377" s="43">
        <f>IF(COUNTIF(CUSTGROUP[CustomGroupingCode],FinanceCodesBudget[[#This Row],[CustomGrouping]])&gt;0,0,1)</f>
        <v>0</v>
      </c>
      <c r="D377" s="43" cm="1">
        <f t="array" ref="D377">IF(FinanceCodesBudget[[#This Row],[AvailableToAllSchools]]=TRUE,0,COUNTA(_xlfn.TEXTSPLIT(FinanceCodesBudget[[#This Row],[SchoolCodes]],",",,TRUE))-SUM(COUNTIF(SCHOOLS[SchoolCode],_xlfn.TEXTSPLIT(FinanceCodesBudget[[#This Row],[SchoolCodes]],",",,TRUE))))</f>
        <v>0</v>
      </c>
      <c r="E377" s="43">
        <f>IF(FinanceCodesBudget[[#This Row],[FinanceCodeTypeCode]]="BUDGET",0,COUNTIF(FinanceCodesBudget[FinanceCode],FinanceCodesBudget[[#This Row],[FinanceCode]])-1)</f>
        <v>0</v>
      </c>
      <c r="F377" s="43">
        <f>IF(FinanceCodesBudget[[#This Row],[FinanceCodeTypeCode]]="BUDGET",0,COUNTIF(FinanceCodesBudget[Title],FinanceCodesBudget[[#This Row],[Title]])-1)</f>
        <v>0</v>
      </c>
      <c r="G377" s="43">
        <f>COUNTIF(Lookup!$A$2:$A$7,FinanceCodesBudget[[#This Row],[FinanceCodeTypeCode]])-1</f>
        <v>0</v>
      </c>
      <c r="H377" s="43">
        <f>IF(TRIM(FinanceCodesBudget[[#This Row],[Title]])="",1,0)</f>
        <v>0</v>
      </c>
      <c r="I377" s="43">
        <f>IF(TRIM(FinanceCodesBudget[[#This Row],[FinanceCode]])="",1,0)</f>
        <v>0</v>
      </c>
      <c r="J377" s="43">
        <f>IF(LEN(FinanceCodesBudget[[#This Row],[FinanceCode]])&lt;100,0,1)</f>
        <v>0</v>
      </c>
      <c r="K377" s="43">
        <f>IF(LEN(FinanceCodesBudget[[#This Row],[Title]])&lt;100,0,1)</f>
        <v>0</v>
      </c>
      <c r="L377" s="43">
        <f>IF(ISBLANK(FinanceCodesBudget[[#This Row],[BalanceToScenario]]),1,0)</f>
        <v>0</v>
      </c>
      <c r="M377" s="43">
        <f>SUM(FinanceCodesBudget[[#This Row],[LedgerIssue]:[CustGrIssue]],FinanceCodesBudget[[#This Row],[DupCode]:[Balance to Scenario Blank]])</f>
        <v>0</v>
      </c>
      <c r="N377">
        <v>825250</v>
      </c>
      <c r="O377" t="s">
        <v>2900</v>
      </c>
      <c r="P377" t="s">
        <v>631</v>
      </c>
      <c r="Q377" t="s">
        <v>1996</v>
      </c>
      <c r="R377" t="b">
        <v>0</v>
      </c>
      <c r="S377" t="s">
        <v>2526</v>
      </c>
      <c r="T377" t="s">
        <v>1300</v>
      </c>
      <c r="U377" t="s">
        <v>1532</v>
      </c>
      <c r="V377" t="b">
        <v>1</v>
      </c>
      <c r="W377" t="b">
        <v>0</v>
      </c>
    </row>
    <row r="378" spans="1:23" x14ac:dyDescent="0.3">
      <c r="A378" s="147">
        <f>IF(COUNTIF(LEDGER[LedgerCode],FinanceCodesBudget[[#This Row],[LedgerCode]])&gt;0,0,1)</f>
        <v>0</v>
      </c>
      <c r="B378" s="43">
        <f>IF(COUNTIF(Table_System_Grouping_Codes[groupingCodeCode],FinanceCodesBudget[[#This Row],[GroupingCode]])&gt;0,0,1)</f>
        <v>0</v>
      </c>
      <c r="C378" s="43">
        <f>IF(COUNTIF(CUSTGROUP[CustomGroupingCode],FinanceCodesBudget[[#This Row],[CustomGrouping]])&gt;0,0,1)</f>
        <v>0</v>
      </c>
      <c r="D378" s="43" cm="1">
        <f t="array" ref="D378">IF(FinanceCodesBudget[[#This Row],[AvailableToAllSchools]]=TRUE,0,COUNTA(_xlfn.TEXTSPLIT(FinanceCodesBudget[[#This Row],[SchoolCodes]],",",,TRUE))-SUM(COUNTIF(SCHOOLS[SchoolCode],_xlfn.TEXTSPLIT(FinanceCodesBudget[[#This Row],[SchoolCodes]],",",,TRUE))))</f>
        <v>0</v>
      </c>
      <c r="E378" s="43">
        <f>IF(FinanceCodesBudget[[#This Row],[FinanceCodeTypeCode]]="BUDGET",0,COUNTIF(FinanceCodesBudget[FinanceCode],FinanceCodesBudget[[#This Row],[FinanceCode]])-1)</f>
        <v>0</v>
      </c>
      <c r="F378" s="43">
        <f>IF(FinanceCodesBudget[[#This Row],[FinanceCodeTypeCode]]="BUDGET",0,COUNTIF(FinanceCodesBudget[Title],FinanceCodesBudget[[#This Row],[Title]])-1)</f>
        <v>0</v>
      </c>
      <c r="G378" s="43">
        <f>COUNTIF(Lookup!$A$2:$A$7,FinanceCodesBudget[[#This Row],[FinanceCodeTypeCode]])-1</f>
        <v>0</v>
      </c>
      <c r="H378" s="43">
        <f>IF(TRIM(FinanceCodesBudget[[#This Row],[Title]])="",1,0)</f>
        <v>0</v>
      </c>
      <c r="I378" s="43">
        <f>IF(TRIM(FinanceCodesBudget[[#This Row],[FinanceCode]])="",1,0)</f>
        <v>0</v>
      </c>
      <c r="J378" s="43">
        <f>IF(LEN(FinanceCodesBudget[[#This Row],[FinanceCode]])&lt;100,0,1)</f>
        <v>0</v>
      </c>
      <c r="K378" s="43">
        <f>IF(LEN(FinanceCodesBudget[[#This Row],[Title]])&lt;100,0,1)</f>
        <v>0</v>
      </c>
      <c r="L378" s="43">
        <f>IF(ISBLANK(FinanceCodesBudget[[#This Row],[BalanceToScenario]]),1,0)</f>
        <v>0</v>
      </c>
      <c r="M378" s="43">
        <f>SUM(FinanceCodesBudget[[#This Row],[LedgerIssue]:[CustGrIssue]],FinanceCodesBudget[[#This Row],[DupCode]:[Balance to Scenario Blank]])</f>
        <v>0</v>
      </c>
      <c r="N378">
        <v>825300</v>
      </c>
      <c r="O378" t="s">
        <v>2901</v>
      </c>
      <c r="P378" t="s">
        <v>631</v>
      </c>
      <c r="Q378" t="s">
        <v>1996</v>
      </c>
      <c r="R378" t="b">
        <v>0</v>
      </c>
      <c r="S378" t="s">
        <v>2526</v>
      </c>
      <c r="T378" t="s">
        <v>1300</v>
      </c>
      <c r="U378" t="s">
        <v>1532</v>
      </c>
      <c r="V378" t="b">
        <v>1</v>
      </c>
      <c r="W378" t="b">
        <v>0</v>
      </c>
    </row>
    <row r="379" spans="1:23" x14ac:dyDescent="0.3">
      <c r="A379" s="147">
        <f>IF(COUNTIF(LEDGER[LedgerCode],FinanceCodesBudget[[#This Row],[LedgerCode]])&gt;0,0,1)</f>
        <v>0</v>
      </c>
      <c r="B379" s="43">
        <f>IF(COUNTIF(Table_System_Grouping_Codes[groupingCodeCode],FinanceCodesBudget[[#This Row],[GroupingCode]])&gt;0,0,1)</f>
        <v>0</v>
      </c>
      <c r="C379" s="43">
        <f>IF(COUNTIF(CUSTGROUP[CustomGroupingCode],FinanceCodesBudget[[#This Row],[CustomGrouping]])&gt;0,0,1)</f>
        <v>0</v>
      </c>
      <c r="D379" s="43" cm="1">
        <f t="array" ref="D379">IF(FinanceCodesBudget[[#This Row],[AvailableToAllSchools]]=TRUE,0,COUNTA(_xlfn.TEXTSPLIT(FinanceCodesBudget[[#This Row],[SchoolCodes]],",",,TRUE))-SUM(COUNTIF(SCHOOLS[SchoolCode],_xlfn.TEXTSPLIT(FinanceCodesBudget[[#This Row],[SchoolCodes]],",",,TRUE))))</f>
        <v>0</v>
      </c>
      <c r="E379" s="43">
        <f>IF(FinanceCodesBudget[[#This Row],[FinanceCodeTypeCode]]="BUDGET",0,COUNTIF(FinanceCodesBudget[FinanceCode],FinanceCodesBudget[[#This Row],[FinanceCode]])-1)</f>
        <v>0</v>
      </c>
      <c r="F379" s="43">
        <f>IF(FinanceCodesBudget[[#This Row],[FinanceCodeTypeCode]]="BUDGET",0,COUNTIF(FinanceCodesBudget[Title],FinanceCodesBudget[[#This Row],[Title]])-1)</f>
        <v>0</v>
      </c>
      <c r="G379" s="43">
        <f>COUNTIF(Lookup!$A$2:$A$7,FinanceCodesBudget[[#This Row],[FinanceCodeTypeCode]])-1</f>
        <v>0</v>
      </c>
      <c r="H379" s="43">
        <f>IF(TRIM(FinanceCodesBudget[[#This Row],[Title]])="",1,0)</f>
        <v>0</v>
      </c>
      <c r="I379" s="43">
        <f>IF(TRIM(FinanceCodesBudget[[#This Row],[FinanceCode]])="",1,0)</f>
        <v>0</v>
      </c>
      <c r="J379" s="43">
        <f>IF(LEN(FinanceCodesBudget[[#This Row],[FinanceCode]])&lt;100,0,1)</f>
        <v>0</v>
      </c>
      <c r="K379" s="43">
        <f>IF(LEN(FinanceCodesBudget[[#This Row],[Title]])&lt;100,0,1)</f>
        <v>0</v>
      </c>
      <c r="L379" s="43">
        <f>IF(ISBLANK(FinanceCodesBudget[[#This Row],[BalanceToScenario]]),1,0)</f>
        <v>0</v>
      </c>
      <c r="M379" s="43">
        <f>SUM(FinanceCodesBudget[[#This Row],[LedgerIssue]:[CustGrIssue]],FinanceCodesBudget[[#This Row],[DupCode]:[Balance to Scenario Blank]])</f>
        <v>0</v>
      </c>
      <c r="N379">
        <v>825330</v>
      </c>
      <c r="O379" t="s">
        <v>2902</v>
      </c>
      <c r="P379" t="s">
        <v>632</v>
      </c>
      <c r="Q379" t="s">
        <v>1996</v>
      </c>
      <c r="R379" t="b">
        <v>0</v>
      </c>
      <c r="S379" t="s">
        <v>2526</v>
      </c>
      <c r="T379" t="s">
        <v>1300</v>
      </c>
      <c r="U379" t="s">
        <v>1532</v>
      </c>
      <c r="V379" t="b">
        <v>1</v>
      </c>
      <c r="W379" t="b">
        <v>0</v>
      </c>
    </row>
    <row r="380" spans="1:23" x14ac:dyDescent="0.3">
      <c r="A380" s="147">
        <f>IF(COUNTIF(LEDGER[LedgerCode],FinanceCodesBudget[[#This Row],[LedgerCode]])&gt;0,0,1)</f>
        <v>0</v>
      </c>
      <c r="B380" s="43">
        <f>IF(COUNTIF(Table_System_Grouping_Codes[groupingCodeCode],FinanceCodesBudget[[#This Row],[GroupingCode]])&gt;0,0,1)</f>
        <v>0</v>
      </c>
      <c r="C380" s="43">
        <f>IF(COUNTIF(CUSTGROUP[CustomGroupingCode],FinanceCodesBudget[[#This Row],[CustomGrouping]])&gt;0,0,1)</f>
        <v>0</v>
      </c>
      <c r="D380" s="43" cm="1">
        <f t="array" ref="D380">IF(FinanceCodesBudget[[#This Row],[AvailableToAllSchools]]=TRUE,0,COUNTA(_xlfn.TEXTSPLIT(FinanceCodesBudget[[#This Row],[SchoolCodes]],",",,TRUE))-SUM(COUNTIF(SCHOOLS[SchoolCode],_xlfn.TEXTSPLIT(FinanceCodesBudget[[#This Row],[SchoolCodes]],",",,TRUE))))</f>
        <v>0</v>
      </c>
      <c r="E380" s="43">
        <f>IF(FinanceCodesBudget[[#This Row],[FinanceCodeTypeCode]]="BUDGET",0,COUNTIF(FinanceCodesBudget[FinanceCode],FinanceCodesBudget[[#This Row],[FinanceCode]])-1)</f>
        <v>0</v>
      </c>
      <c r="F380" s="43">
        <f>IF(FinanceCodesBudget[[#This Row],[FinanceCodeTypeCode]]="BUDGET",0,COUNTIF(FinanceCodesBudget[Title],FinanceCodesBudget[[#This Row],[Title]])-1)</f>
        <v>0</v>
      </c>
      <c r="G380" s="43">
        <f>COUNTIF(Lookup!$A$2:$A$7,FinanceCodesBudget[[#This Row],[FinanceCodeTypeCode]])-1</f>
        <v>0</v>
      </c>
      <c r="H380" s="43">
        <f>IF(TRIM(FinanceCodesBudget[[#This Row],[Title]])="",1,0)</f>
        <v>0</v>
      </c>
      <c r="I380" s="43">
        <f>IF(TRIM(FinanceCodesBudget[[#This Row],[FinanceCode]])="",1,0)</f>
        <v>0</v>
      </c>
      <c r="J380" s="43">
        <f>IF(LEN(FinanceCodesBudget[[#This Row],[FinanceCode]])&lt;100,0,1)</f>
        <v>0</v>
      </c>
      <c r="K380" s="43">
        <f>IF(LEN(FinanceCodesBudget[[#This Row],[Title]])&lt;100,0,1)</f>
        <v>0</v>
      </c>
      <c r="L380" s="43">
        <f>IF(ISBLANK(FinanceCodesBudget[[#This Row],[BalanceToScenario]]),1,0)</f>
        <v>0</v>
      </c>
      <c r="M380" s="43">
        <f>SUM(FinanceCodesBudget[[#This Row],[LedgerIssue]:[CustGrIssue]],FinanceCodesBudget[[#This Row],[DupCode]:[Balance to Scenario Blank]])</f>
        <v>0</v>
      </c>
      <c r="N380">
        <v>825350</v>
      </c>
      <c r="O380" t="s">
        <v>2903</v>
      </c>
      <c r="P380" t="s">
        <v>632</v>
      </c>
      <c r="Q380" t="s">
        <v>1996</v>
      </c>
      <c r="R380" t="b">
        <v>0</v>
      </c>
      <c r="S380" t="s">
        <v>2526</v>
      </c>
      <c r="T380" t="s">
        <v>1300</v>
      </c>
      <c r="U380" t="s">
        <v>1532</v>
      </c>
      <c r="V380" t="b">
        <v>1</v>
      </c>
      <c r="W380" t="b">
        <v>0</v>
      </c>
    </row>
    <row r="381" spans="1:23" x14ac:dyDescent="0.3">
      <c r="A381" s="147">
        <f>IF(COUNTIF(LEDGER[LedgerCode],FinanceCodesBudget[[#This Row],[LedgerCode]])&gt;0,0,1)</f>
        <v>0</v>
      </c>
      <c r="B381" s="43">
        <f>IF(COUNTIF(Table_System_Grouping_Codes[groupingCodeCode],FinanceCodesBudget[[#This Row],[GroupingCode]])&gt;0,0,1)</f>
        <v>0</v>
      </c>
      <c r="C381" s="43">
        <f>IF(COUNTIF(CUSTGROUP[CustomGroupingCode],FinanceCodesBudget[[#This Row],[CustomGrouping]])&gt;0,0,1)</f>
        <v>0</v>
      </c>
      <c r="D381" s="43" cm="1">
        <f t="array" ref="D381">IF(FinanceCodesBudget[[#This Row],[AvailableToAllSchools]]=TRUE,0,COUNTA(_xlfn.TEXTSPLIT(FinanceCodesBudget[[#This Row],[SchoolCodes]],",",,TRUE))-SUM(COUNTIF(SCHOOLS[SchoolCode],_xlfn.TEXTSPLIT(FinanceCodesBudget[[#This Row],[SchoolCodes]],",",,TRUE))))</f>
        <v>0</v>
      </c>
      <c r="E381" s="43">
        <f>IF(FinanceCodesBudget[[#This Row],[FinanceCodeTypeCode]]="BUDGET",0,COUNTIF(FinanceCodesBudget[FinanceCode],FinanceCodesBudget[[#This Row],[FinanceCode]])-1)</f>
        <v>0</v>
      </c>
      <c r="F381" s="43">
        <f>IF(FinanceCodesBudget[[#This Row],[FinanceCodeTypeCode]]="BUDGET",0,COUNTIF(FinanceCodesBudget[Title],FinanceCodesBudget[[#This Row],[Title]])-1)</f>
        <v>0</v>
      </c>
      <c r="G381" s="43">
        <f>COUNTIF(Lookup!$A$2:$A$7,FinanceCodesBudget[[#This Row],[FinanceCodeTypeCode]])-1</f>
        <v>0</v>
      </c>
      <c r="H381" s="43">
        <f>IF(TRIM(FinanceCodesBudget[[#This Row],[Title]])="",1,0)</f>
        <v>0</v>
      </c>
      <c r="I381" s="43">
        <f>IF(TRIM(FinanceCodesBudget[[#This Row],[FinanceCode]])="",1,0)</f>
        <v>0</v>
      </c>
      <c r="J381" s="43">
        <f>IF(LEN(FinanceCodesBudget[[#This Row],[FinanceCode]])&lt;100,0,1)</f>
        <v>0</v>
      </c>
      <c r="K381" s="43">
        <f>IF(LEN(FinanceCodesBudget[[#This Row],[Title]])&lt;100,0,1)</f>
        <v>0</v>
      </c>
      <c r="L381" s="43">
        <f>IF(ISBLANK(FinanceCodesBudget[[#This Row],[BalanceToScenario]]),1,0)</f>
        <v>0</v>
      </c>
      <c r="M381" s="43">
        <f>SUM(FinanceCodesBudget[[#This Row],[LedgerIssue]:[CustGrIssue]],FinanceCodesBudget[[#This Row],[DupCode]:[Balance to Scenario Blank]])</f>
        <v>0</v>
      </c>
      <c r="N381">
        <v>825400</v>
      </c>
      <c r="O381" t="s">
        <v>2904</v>
      </c>
      <c r="P381" t="s">
        <v>634</v>
      </c>
      <c r="Q381" t="s">
        <v>1996</v>
      </c>
      <c r="R381" t="b">
        <v>0</v>
      </c>
      <c r="S381" t="s">
        <v>2526</v>
      </c>
      <c r="T381" t="s">
        <v>1300</v>
      </c>
      <c r="U381" t="s">
        <v>1532</v>
      </c>
      <c r="V381" t="b">
        <v>1</v>
      </c>
      <c r="W381" t="b">
        <v>0</v>
      </c>
    </row>
    <row r="382" spans="1:23" x14ac:dyDescent="0.3">
      <c r="A382" s="147">
        <f>IF(COUNTIF(LEDGER[LedgerCode],FinanceCodesBudget[[#This Row],[LedgerCode]])&gt;0,0,1)</f>
        <v>0</v>
      </c>
      <c r="B382" s="43">
        <f>IF(COUNTIF(Table_System_Grouping_Codes[groupingCodeCode],FinanceCodesBudget[[#This Row],[GroupingCode]])&gt;0,0,1)</f>
        <v>0</v>
      </c>
      <c r="C382" s="43">
        <f>IF(COUNTIF(CUSTGROUP[CustomGroupingCode],FinanceCodesBudget[[#This Row],[CustomGrouping]])&gt;0,0,1)</f>
        <v>0</v>
      </c>
      <c r="D382" s="43" cm="1">
        <f t="array" ref="D382">IF(FinanceCodesBudget[[#This Row],[AvailableToAllSchools]]=TRUE,0,COUNTA(_xlfn.TEXTSPLIT(FinanceCodesBudget[[#This Row],[SchoolCodes]],",",,TRUE))-SUM(COUNTIF(SCHOOLS[SchoolCode],_xlfn.TEXTSPLIT(FinanceCodesBudget[[#This Row],[SchoolCodes]],",",,TRUE))))</f>
        <v>0</v>
      </c>
      <c r="E382" s="43">
        <f>IF(FinanceCodesBudget[[#This Row],[FinanceCodeTypeCode]]="BUDGET",0,COUNTIF(FinanceCodesBudget[FinanceCode],FinanceCodesBudget[[#This Row],[FinanceCode]])-1)</f>
        <v>0</v>
      </c>
      <c r="F382" s="43">
        <f>IF(FinanceCodesBudget[[#This Row],[FinanceCodeTypeCode]]="BUDGET",0,COUNTIF(FinanceCodesBudget[Title],FinanceCodesBudget[[#This Row],[Title]])-1)</f>
        <v>0</v>
      </c>
      <c r="G382" s="43">
        <f>COUNTIF(Lookup!$A$2:$A$7,FinanceCodesBudget[[#This Row],[FinanceCodeTypeCode]])-1</f>
        <v>0</v>
      </c>
      <c r="H382" s="43">
        <f>IF(TRIM(FinanceCodesBudget[[#This Row],[Title]])="",1,0)</f>
        <v>0</v>
      </c>
      <c r="I382" s="43">
        <f>IF(TRIM(FinanceCodesBudget[[#This Row],[FinanceCode]])="",1,0)</f>
        <v>0</v>
      </c>
      <c r="J382" s="43">
        <f>IF(LEN(FinanceCodesBudget[[#This Row],[FinanceCode]])&lt;100,0,1)</f>
        <v>0</v>
      </c>
      <c r="K382" s="43">
        <f>IF(LEN(FinanceCodesBudget[[#This Row],[Title]])&lt;100,0,1)</f>
        <v>0</v>
      </c>
      <c r="L382" s="43">
        <f>IF(ISBLANK(FinanceCodesBudget[[#This Row],[BalanceToScenario]]),1,0)</f>
        <v>0</v>
      </c>
      <c r="M382" s="43">
        <f>SUM(FinanceCodesBudget[[#This Row],[LedgerIssue]:[CustGrIssue]],FinanceCodesBudget[[#This Row],[DupCode]:[Balance to Scenario Blank]])</f>
        <v>0</v>
      </c>
      <c r="N382">
        <v>830100</v>
      </c>
      <c r="O382" t="s">
        <v>2905</v>
      </c>
      <c r="P382" t="s">
        <v>634</v>
      </c>
      <c r="Q382" t="s">
        <v>1996</v>
      </c>
      <c r="R382" t="b">
        <v>0</v>
      </c>
      <c r="S382" t="s">
        <v>2526</v>
      </c>
      <c r="T382" t="s">
        <v>1300</v>
      </c>
      <c r="U382" t="s">
        <v>1532</v>
      </c>
      <c r="V382" t="b">
        <v>1</v>
      </c>
      <c r="W382" t="b">
        <v>0</v>
      </c>
    </row>
    <row r="383" spans="1:23" x14ac:dyDescent="0.3">
      <c r="A383" s="147">
        <f>IF(COUNTIF(LEDGER[LedgerCode],FinanceCodesBudget[[#This Row],[LedgerCode]])&gt;0,0,1)</f>
        <v>0</v>
      </c>
      <c r="B383" s="43">
        <f>IF(COUNTIF(Table_System_Grouping_Codes[groupingCodeCode],FinanceCodesBudget[[#This Row],[GroupingCode]])&gt;0,0,1)</f>
        <v>0</v>
      </c>
      <c r="C383" s="43">
        <f>IF(COUNTIF(CUSTGROUP[CustomGroupingCode],FinanceCodesBudget[[#This Row],[CustomGrouping]])&gt;0,0,1)</f>
        <v>0</v>
      </c>
      <c r="D383" s="43" cm="1">
        <f t="array" ref="D383">IF(FinanceCodesBudget[[#This Row],[AvailableToAllSchools]]=TRUE,0,COUNTA(_xlfn.TEXTSPLIT(FinanceCodesBudget[[#This Row],[SchoolCodes]],",",,TRUE))-SUM(COUNTIF(SCHOOLS[SchoolCode],_xlfn.TEXTSPLIT(FinanceCodesBudget[[#This Row],[SchoolCodes]],",",,TRUE))))</f>
        <v>0</v>
      </c>
      <c r="E383" s="43">
        <f>IF(FinanceCodesBudget[[#This Row],[FinanceCodeTypeCode]]="BUDGET",0,COUNTIF(FinanceCodesBudget[FinanceCode],FinanceCodesBudget[[#This Row],[FinanceCode]])-1)</f>
        <v>0</v>
      </c>
      <c r="F383" s="43">
        <f>IF(FinanceCodesBudget[[#This Row],[FinanceCodeTypeCode]]="BUDGET",0,COUNTIF(FinanceCodesBudget[Title],FinanceCodesBudget[[#This Row],[Title]])-1)</f>
        <v>0</v>
      </c>
      <c r="G383" s="43">
        <f>COUNTIF(Lookup!$A$2:$A$7,FinanceCodesBudget[[#This Row],[FinanceCodeTypeCode]])-1</f>
        <v>0</v>
      </c>
      <c r="H383" s="43">
        <f>IF(TRIM(FinanceCodesBudget[[#This Row],[Title]])="",1,0)</f>
        <v>0</v>
      </c>
      <c r="I383" s="43">
        <f>IF(TRIM(FinanceCodesBudget[[#This Row],[FinanceCode]])="",1,0)</f>
        <v>0</v>
      </c>
      <c r="J383" s="43">
        <f>IF(LEN(FinanceCodesBudget[[#This Row],[FinanceCode]])&lt;100,0,1)</f>
        <v>0</v>
      </c>
      <c r="K383" s="43">
        <f>IF(LEN(FinanceCodesBudget[[#This Row],[Title]])&lt;100,0,1)</f>
        <v>0</v>
      </c>
      <c r="L383" s="43">
        <f>IF(ISBLANK(FinanceCodesBudget[[#This Row],[BalanceToScenario]]),1,0)</f>
        <v>0</v>
      </c>
      <c r="M383" s="43">
        <f>SUM(FinanceCodesBudget[[#This Row],[LedgerIssue]:[CustGrIssue]],FinanceCodesBudget[[#This Row],[DupCode]:[Balance to Scenario Blank]])</f>
        <v>0</v>
      </c>
      <c r="N383">
        <v>830150</v>
      </c>
      <c r="O383" t="s">
        <v>2906</v>
      </c>
      <c r="P383" t="s">
        <v>636</v>
      </c>
      <c r="Q383" t="s">
        <v>1996</v>
      </c>
      <c r="R383" t="b">
        <v>0</v>
      </c>
      <c r="S383" t="s">
        <v>2907</v>
      </c>
      <c r="T383" t="s">
        <v>1300</v>
      </c>
      <c r="U383" t="s">
        <v>1968</v>
      </c>
      <c r="V383" t="b">
        <v>1</v>
      </c>
      <c r="W383" t="b">
        <v>0</v>
      </c>
    </row>
    <row r="384" spans="1:23" x14ac:dyDescent="0.3">
      <c r="A384" s="147">
        <f>IF(COUNTIF(LEDGER[LedgerCode],FinanceCodesBudget[[#This Row],[LedgerCode]])&gt;0,0,1)</f>
        <v>0</v>
      </c>
      <c r="B384" s="43">
        <f>IF(COUNTIF(Table_System_Grouping_Codes[groupingCodeCode],FinanceCodesBudget[[#This Row],[GroupingCode]])&gt;0,0,1)</f>
        <v>0</v>
      </c>
      <c r="C384" s="43">
        <f>IF(COUNTIF(CUSTGROUP[CustomGroupingCode],FinanceCodesBudget[[#This Row],[CustomGrouping]])&gt;0,0,1)</f>
        <v>0</v>
      </c>
      <c r="D384" s="43" cm="1">
        <f t="array" ref="D384">IF(FinanceCodesBudget[[#This Row],[AvailableToAllSchools]]=TRUE,0,COUNTA(_xlfn.TEXTSPLIT(FinanceCodesBudget[[#This Row],[SchoolCodes]],",",,TRUE))-SUM(COUNTIF(SCHOOLS[SchoolCode],_xlfn.TEXTSPLIT(FinanceCodesBudget[[#This Row],[SchoolCodes]],",",,TRUE))))</f>
        <v>0</v>
      </c>
      <c r="E384" s="43">
        <f>IF(FinanceCodesBudget[[#This Row],[FinanceCodeTypeCode]]="BUDGET",0,COUNTIF(FinanceCodesBudget[FinanceCode],FinanceCodesBudget[[#This Row],[FinanceCode]])-1)</f>
        <v>0</v>
      </c>
      <c r="F384" s="43">
        <f>IF(FinanceCodesBudget[[#This Row],[FinanceCodeTypeCode]]="BUDGET",0,COUNTIF(FinanceCodesBudget[Title],FinanceCodesBudget[[#This Row],[Title]])-1)</f>
        <v>0</v>
      </c>
      <c r="G384" s="43">
        <f>COUNTIF(Lookup!$A$2:$A$7,FinanceCodesBudget[[#This Row],[FinanceCodeTypeCode]])-1</f>
        <v>0</v>
      </c>
      <c r="H384" s="43">
        <f>IF(TRIM(FinanceCodesBudget[[#This Row],[Title]])="",1,0)</f>
        <v>0</v>
      </c>
      <c r="I384" s="43">
        <f>IF(TRIM(FinanceCodesBudget[[#This Row],[FinanceCode]])="",1,0)</f>
        <v>0</v>
      </c>
      <c r="J384" s="43">
        <f>IF(LEN(FinanceCodesBudget[[#This Row],[FinanceCode]])&lt;100,0,1)</f>
        <v>0</v>
      </c>
      <c r="K384" s="43">
        <f>IF(LEN(FinanceCodesBudget[[#This Row],[Title]])&lt;100,0,1)</f>
        <v>0</v>
      </c>
      <c r="L384" s="43">
        <f>IF(ISBLANK(FinanceCodesBudget[[#This Row],[BalanceToScenario]]),1,0)</f>
        <v>0</v>
      </c>
      <c r="M384" s="43">
        <f>SUM(FinanceCodesBudget[[#This Row],[LedgerIssue]:[CustGrIssue]],FinanceCodesBudget[[#This Row],[DupCode]:[Balance to Scenario Blank]])</f>
        <v>0</v>
      </c>
      <c r="N384">
        <v>830150</v>
      </c>
      <c r="O384" t="s">
        <v>2906</v>
      </c>
      <c r="P384" t="s">
        <v>1902</v>
      </c>
      <c r="Q384" t="s">
        <v>1996</v>
      </c>
      <c r="R384" t="b">
        <v>0</v>
      </c>
      <c r="S384" t="s">
        <v>2908</v>
      </c>
      <c r="T384" t="s">
        <v>1300</v>
      </c>
      <c r="U384" t="s">
        <v>1532</v>
      </c>
      <c r="V384" t="b">
        <v>1</v>
      </c>
      <c r="W384" t="b">
        <v>0</v>
      </c>
    </row>
    <row r="385" spans="1:23" x14ac:dyDescent="0.3">
      <c r="A385" s="147">
        <f>IF(COUNTIF(LEDGER[LedgerCode],FinanceCodesBudget[[#This Row],[LedgerCode]])&gt;0,0,1)</f>
        <v>0</v>
      </c>
      <c r="B385" s="43">
        <f>IF(COUNTIF(Table_System_Grouping_Codes[groupingCodeCode],FinanceCodesBudget[[#This Row],[GroupingCode]])&gt;0,0,1)</f>
        <v>0</v>
      </c>
      <c r="C385" s="43">
        <f>IF(COUNTIF(CUSTGROUP[CustomGroupingCode],FinanceCodesBudget[[#This Row],[CustomGrouping]])&gt;0,0,1)</f>
        <v>0</v>
      </c>
      <c r="D385" s="43" cm="1">
        <f t="array" ref="D385">IF(FinanceCodesBudget[[#This Row],[AvailableToAllSchools]]=TRUE,0,COUNTA(_xlfn.TEXTSPLIT(FinanceCodesBudget[[#This Row],[SchoolCodes]],",",,TRUE))-SUM(COUNTIF(SCHOOLS[SchoolCode],_xlfn.TEXTSPLIT(FinanceCodesBudget[[#This Row],[SchoolCodes]],",",,TRUE))))</f>
        <v>0</v>
      </c>
      <c r="E385" s="43">
        <f>IF(FinanceCodesBudget[[#This Row],[FinanceCodeTypeCode]]="BUDGET",0,COUNTIF(FinanceCodesBudget[FinanceCode],FinanceCodesBudget[[#This Row],[FinanceCode]])-1)</f>
        <v>0</v>
      </c>
      <c r="F385" s="43">
        <f>IF(FinanceCodesBudget[[#This Row],[FinanceCodeTypeCode]]="BUDGET",0,COUNTIF(FinanceCodesBudget[Title],FinanceCodesBudget[[#This Row],[Title]])-1)</f>
        <v>0</v>
      </c>
      <c r="G385" s="43">
        <f>COUNTIF(Lookup!$A$2:$A$7,FinanceCodesBudget[[#This Row],[FinanceCodeTypeCode]])-1</f>
        <v>0</v>
      </c>
      <c r="H385" s="43">
        <f>IF(TRIM(FinanceCodesBudget[[#This Row],[Title]])="",1,0)</f>
        <v>0</v>
      </c>
      <c r="I385" s="43">
        <f>IF(TRIM(FinanceCodesBudget[[#This Row],[FinanceCode]])="",1,0)</f>
        <v>0</v>
      </c>
      <c r="J385" s="43">
        <f>IF(LEN(FinanceCodesBudget[[#This Row],[FinanceCode]])&lt;100,0,1)</f>
        <v>0</v>
      </c>
      <c r="K385" s="43">
        <f>IF(LEN(FinanceCodesBudget[[#This Row],[Title]])&lt;100,0,1)</f>
        <v>0</v>
      </c>
      <c r="L385" s="43">
        <f>IF(ISBLANK(FinanceCodesBudget[[#This Row],[BalanceToScenario]]),1,0)</f>
        <v>0</v>
      </c>
      <c r="M385" s="43">
        <f>SUM(FinanceCodesBudget[[#This Row],[LedgerIssue]:[CustGrIssue]],FinanceCodesBudget[[#This Row],[DupCode]:[Balance to Scenario Blank]])</f>
        <v>0</v>
      </c>
      <c r="N385">
        <v>830170</v>
      </c>
      <c r="O385" t="s">
        <v>2909</v>
      </c>
      <c r="P385" t="s">
        <v>637</v>
      </c>
      <c r="Q385" t="s">
        <v>1996</v>
      </c>
      <c r="R385" t="b">
        <v>0</v>
      </c>
      <c r="S385" t="s">
        <v>2526</v>
      </c>
      <c r="T385" t="s">
        <v>1300</v>
      </c>
      <c r="U385" t="s">
        <v>1532</v>
      </c>
      <c r="V385" t="b">
        <v>1</v>
      </c>
      <c r="W385" t="b">
        <v>0</v>
      </c>
    </row>
    <row r="386" spans="1:23" x14ac:dyDescent="0.3">
      <c r="A386" s="147">
        <f>IF(COUNTIF(LEDGER[LedgerCode],FinanceCodesBudget[[#This Row],[LedgerCode]])&gt;0,0,1)</f>
        <v>0</v>
      </c>
      <c r="B386" s="43">
        <f>IF(COUNTIF(Table_System_Grouping_Codes[groupingCodeCode],FinanceCodesBudget[[#This Row],[GroupingCode]])&gt;0,0,1)</f>
        <v>0</v>
      </c>
      <c r="C386" s="43">
        <f>IF(COUNTIF(CUSTGROUP[CustomGroupingCode],FinanceCodesBudget[[#This Row],[CustomGrouping]])&gt;0,0,1)</f>
        <v>0</v>
      </c>
      <c r="D386" s="43" cm="1">
        <f t="array" ref="D386">IF(FinanceCodesBudget[[#This Row],[AvailableToAllSchools]]=TRUE,0,COUNTA(_xlfn.TEXTSPLIT(FinanceCodesBudget[[#This Row],[SchoolCodes]],",",,TRUE))-SUM(COUNTIF(SCHOOLS[SchoolCode],_xlfn.TEXTSPLIT(FinanceCodesBudget[[#This Row],[SchoolCodes]],",",,TRUE))))</f>
        <v>0</v>
      </c>
      <c r="E386" s="43">
        <f>IF(FinanceCodesBudget[[#This Row],[FinanceCodeTypeCode]]="BUDGET",0,COUNTIF(FinanceCodesBudget[FinanceCode],FinanceCodesBudget[[#This Row],[FinanceCode]])-1)</f>
        <v>0</v>
      </c>
      <c r="F386" s="43">
        <f>IF(FinanceCodesBudget[[#This Row],[FinanceCodeTypeCode]]="BUDGET",0,COUNTIF(FinanceCodesBudget[Title],FinanceCodesBudget[[#This Row],[Title]])-1)</f>
        <v>0</v>
      </c>
      <c r="G386" s="43">
        <f>COUNTIF(Lookup!$A$2:$A$7,FinanceCodesBudget[[#This Row],[FinanceCodeTypeCode]])-1</f>
        <v>0</v>
      </c>
      <c r="H386" s="43">
        <f>IF(TRIM(FinanceCodesBudget[[#This Row],[Title]])="",1,0)</f>
        <v>0</v>
      </c>
      <c r="I386" s="43">
        <f>IF(TRIM(FinanceCodesBudget[[#This Row],[FinanceCode]])="",1,0)</f>
        <v>0</v>
      </c>
      <c r="J386" s="43">
        <f>IF(LEN(FinanceCodesBudget[[#This Row],[FinanceCode]])&lt;100,0,1)</f>
        <v>0</v>
      </c>
      <c r="K386" s="43">
        <f>IF(LEN(FinanceCodesBudget[[#This Row],[Title]])&lt;100,0,1)</f>
        <v>0</v>
      </c>
      <c r="L386" s="43">
        <f>IF(ISBLANK(FinanceCodesBudget[[#This Row],[BalanceToScenario]]),1,0)</f>
        <v>0</v>
      </c>
      <c r="M386" s="43">
        <f>SUM(FinanceCodesBudget[[#This Row],[LedgerIssue]:[CustGrIssue]],FinanceCodesBudget[[#This Row],[DupCode]:[Balance to Scenario Blank]])</f>
        <v>0</v>
      </c>
      <c r="N386">
        <v>830200</v>
      </c>
      <c r="O386" t="s">
        <v>2910</v>
      </c>
      <c r="P386" t="s">
        <v>639</v>
      </c>
      <c r="Q386" t="s">
        <v>1996</v>
      </c>
      <c r="R386" t="b">
        <v>0</v>
      </c>
      <c r="S386" t="s">
        <v>2908</v>
      </c>
      <c r="T386" t="s">
        <v>1300</v>
      </c>
      <c r="U386" t="s">
        <v>1532</v>
      </c>
      <c r="V386" t="b">
        <v>1</v>
      </c>
      <c r="W386" t="b">
        <v>0</v>
      </c>
    </row>
    <row r="387" spans="1:23" x14ac:dyDescent="0.3">
      <c r="A387" s="147">
        <f>IF(COUNTIF(LEDGER[LedgerCode],FinanceCodesBudget[[#This Row],[LedgerCode]])&gt;0,0,1)</f>
        <v>0</v>
      </c>
      <c r="B387" s="43">
        <f>IF(COUNTIF(Table_System_Grouping_Codes[groupingCodeCode],FinanceCodesBudget[[#This Row],[GroupingCode]])&gt;0,0,1)</f>
        <v>0</v>
      </c>
      <c r="C387" s="43">
        <f>IF(COUNTIF(CUSTGROUP[CustomGroupingCode],FinanceCodesBudget[[#This Row],[CustomGrouping]])&gt;0,0,1)</f>
        <v>0</v>
      </c>
      <c r="D387" s="43" cm="1">
        <f t="array" ref="D387">IF(FinanceCodesBudget[[#This Row],[AvailableToAllSchools]]=TRUE,0,COUNTA(_xlfn.TEXTSPLIT(FinanceCodesBudget[[#This Row],[SchoolCodes]],",",,TRUE))-SUM(COUNTIF(SCHOOLS[SchoolCode],_xlfn.TEXTSPLIT(FinanceCodesBudget[[#This Row],[SchoolCodes]],",",,TRUE))))</f>
        <v>0</v>
      </c>
      <c r="E387" s="43">
        <f>IF(FinanceCodesBudget[[#This Row],[FinanceCodeTypeCode]]="BUDGET",0,COUNTIF(FinanceCodesBudget[FinanceCode],FinanceCodesBudget[[#This Row],[FinanceCode]])-1)</f>
        <v>0</v>
      </c>
      <c r="F387" s="43">
        <f>IF(FinanceCodesBudget[[#This Row],[FinanceCodeTypeCode]]="BUDGET",0,COUNTIF(FinanceCodesBudget[Title],FinanceCodesBudget[[#This Row],[Title]])-1)</f>
        <v>0</v>
      </c>
      <c r="G387" s="43">
        <f>COUNTIF(Lookup!$A$2:$A$7,FinanceCodesBudget[[#This Row],[FinanceCodeTypeCode]])-1</f>
        <v>0</v>
      </c>
      <c r="H387" s="43">
        <f>IF(TRIM(FinanceCodesBudget[[#This Row],[Title]])="",1,0)</f>
        <v>0</v>
      </c>
      <c r="I387" s="43">
        <f>IF(TRIM(FinanceCodesBudget[[#This Row],[FinanceCode]])="",1,0)</f>
        <v>0</v>
      </c>
      <c r="J387" s="43">
        <f>IF(LEN(FinanceCodesBudget[[#This Row],[FinanceCode]])&lt;100,0,1)</f>
        <v>0</v>
      </c>
      <c r="K387" s="43">
        <f>IF(LEN(FinanceCodesBudget[[#This Row],[Title]])&lt;100,0,1)</f>
        <v>0</v>
      </c>
      <c r="L387" s="43">
        <f>IF(ISBLANK(FinanceCodesBudget[[#This Row],[BalanceToScenario]]),1,0)</f>
        <v>0</v>
      </c>
      <c r="M387" s="43">
        <f>SUM(FinanceCodesBudget[[#This Row],[LedgerIssue]:[CustGrIssue]],FinanceCodesBudget[[#This Row],[DupCode]:[Balance to Scenario Blank]])</f>
        <v>0</v>
      </c>
      <c r="N387">
        <v>830200</v>
      </c>
      <c r="O387" t="s">
        <v>2910</v>
      </c>
      <c r="P387" t="s">
        <v>641</v>
      </c>
      <c r="Q387" t="s">
        <v>1996</v>
      </c>
      <c r="R387" t="b">
        <v>0</v>
      </c>
      <c r="S387" t="s">
        <v>2907</v>
      </c>
      <c r="T387" t="s">
        <v>1300</v>
      </c>
      <c r="U387" t="s">
        <v>1968</v>
      </c>
      <c r="V387" t="b">
        <v>1</v>
      </c>
      <c r="W387" t="b">
        <v>0</v>
      </c>
    </row>
    <row r="388" spans="1:23" x14ac:dyDescent="0.3">
      <c r="A388" s="147">
        <f>IF(COUNTIF(LEDGER[LedgerCode],FinanceCodesBudget[[#This Row],[LedgerCode]])&gt;0,0,1)</f>
        <v>0</v>
      </c>
      <c r="B388" s="43">
        <f>IF(COUNTIF(Table_System_Grouping_Codes[groupingCodeCode],FinanceCodesBudget[[#This Row],[GroupingCode]])&gt;0,0,1)</f>
        <v>0</v>
      </c>
      <c r="C388" s="43">
        <f>IF(COUNTIF(CUSTGROUP[CustomGroupingCode],FinanceCodesBudget[[#This Row],[CustomGrouping]])&gt;0,0,1)</f>
        <v>0</v>
      </c>
      <c r="D388" s="43" cm="1">
        <f t="array" ref="D388">IF(FinanceCodesBudget[[#This Row],[AvailableToAllSchools]]=TRUE,0,COUNTA(_xlfn.TEXTSPLIT(FinanceCodesBudget[[#This Row],[SchoolCodes]],",",,TRUE))-SUM(COUNTIF(SCHOOLS[SchoolCode],_xlfn.TEXTSPLIT(FinanceCodesBudget[[#This Row],[SchoolCodes]],",",,TRUE))))</f>
        <v>0</v>
      </c>
      <c r="E388" s="43">
        <f>IF(FinanceCodesBudget[[#This Row],[FinanceCodeTypeCode]]="BUDGET",0,COUNTIF(FinanceCodesBudget[FinanceCode],FinanceCodesBudget[[#This Row],[FinanceCode]])-1)</f>
        <v>0</v>
      </c>
      <c r="F388" s="43">
        <f>IF(FinanceCodesBudget[[#This Row],[FinanceCodeTypeCode]]="BUDGET",0,COUNTIF(FinanceCodesBudget[Title],FinanceCodesBudget[[#This Row],[Title]])-1)</f>
        <v>0</v>
      </c>
      <c r="G388" s="43">
        <f>COUNTIF(Lookup!$A$2:$A$7,FinanceCodesBudget[[#This Row],[FinanceCodeTypeCode]])-1</f>
        <v>0</v>
      </c>
      <c r="H388" s="43">
        <f>IF(TRIM(FinanceCodesBudget[[#This Row],[Title]])="",1,0)</f>
        <v>0</v>
      </c>
      <c r="I388" s="43">
        <f>IF(TRIM(FinanceCodesBudget[[#This Row],[FinanceCode]])="",1,0)</f>
        <v>0</v>
      </c>
      <c r="J388" s="43">
        <f>IF(LEN(FinanceCodesBudget[[#This Row],[FinanceCode]])&lt;100,0,1)</f>
        <v>0</v>
      </c>
      <c r="K388" s="43">
        <f>IF(LEN(FinanceCodesBudget[[#This Row],[Title]])&lt;100,0,1)</f>
        <v>0</v>
      </c>
      <c r="L388" s="43">
        <f>IF(ISBLANK(FinanceCodesBudget[[#This Row],[BalanceToScenario]]),1,0)</f>
        <v>0</v>
      </c>
      <c r="M388" s="43">
        <f>SUM(FinanceCodesBudget[[#This Row],[LedgerIssue]:[CustGrIssue]],FinanceCodesBudget[[#This Row],[DupCode]:[Balance to Scenario Blank]])</f>
        <v>0</v>
      </c>
      <c r="N388">
        <v>830250</v>
      </c>
      <c r="O388" t="s">
        <v>2911</v>
      </c>
      <c r="P388" t="s">
        <v>643</v>
      </c>
      <c r="Q388" t="s">
        <v>1996</v>
      </c>
      <c r="R388" t="b">
        <v>0</v>
      </c>
      <c r="S388" t="s">
        <v>2908</v>
      </c>
      <c r="T388" t="s">
        <v>1300</v>
      </c>
      <c r="U388" t="s">
        <v>1532</v>
      </c>
      <c r="V388" t="b">
        <v>1</v>
      </c>
      <c r="W388" t="b">
        <v>0</v>
      </c>
    </row>
    <row r="389" spans="1:23" x14ac:dyDescent="0.3">
      <c r="A389" s="147">
        <f>IF(COUNTIF(LEDGER[LedgerCode],FinanceCodesBudget[[#This Row],[LedgerCode]])&gt;0,0,1)</f>
        <v>0</v>
      </c>
      <c r="B389" s="43">
        <f>IF(COUNTIF(Table_System_Grouping_Codes[groupingCodeCode],FinanceCodesBudget[[#This Row],[GroupingCode]])&gt;0,0,1)</f>
        <v>0</v>
      </c>
      <c r="C389" s="43">
        <f>IF(COUNTIF(CUSTGROUP[CustomGroupingCode],FinanceCodesBudget[[#This Row],[CustomGrouping]])&gt;0,0,1)</f>
        <v>0</v>
      </c>
      <c r="D389" s="43" cm="1">
        <f t="array" ref="D389">IF(FinanceCodesBudget[[#This Row],[AvailableToAllSchools]]=TRUE,0,COUNTA(_xlfn.TEXTSPLIT(FinanceCodesBudget[[#This Row],[SchoolCodes]],",",,TRUE))-SUM(COUNTIF(SCHOOLS[SchoolCode],_xlfn.TEXTSPLIT(FinanceCodesBudget[[#This Row],[SchoolCodes]],",",,TRUE))))</f>
        <v>0</v>
      </c>
      <c r="E389" s="43">
        <f>IF(FinanceCodesBudget[[#This Row],[FinanceCodeTypeCode]]="BUDGET",0,COUNTIF(FinanceCodesBudget[FinanceCode],FinanceCodesBudget[[#This Row],[FinanceCode]])-1)</f>
        <v>0</v>
      </c>
      <c r="F389" s="43">
        <f>IF(FinanceCodesBudget[[#This Row],[FinanceCodeTypeCode]]="BUDGET",0,COUNTIF(FinanceCodesBudget[Title],FinanceCodesBudget[[#This Row],[Title]])-1)</f>
        <v>0</v>
      </c>
      <c r="G389" s="43">
        <f>COUNTIF(Lookup!$A$2:$A$7,FinanceCodesBudget[[#This Row],[FinanceCodeTypeCode]])-1</f>
        <v>0</v>
      </c>
      <c r="H389" s="43">
        <f>IF(TRIM(FinanceCodesBudget[[#This Row],[Title]])="",1,0)</f>
        <v>0</v>
      </c>
      <c r="I389" s="43">
        <f>IF(TRIM(FinanceCodesBudget[[#This Row],[FinanceCode]])="",1,0)</f>
        <v>0</v>
      </c>
      <c r="J389" s="43">
        <f>IF(LEN(FinanceCodesBudget[[#This Row],[FinanceCode]])&lt;100,0,1)</f>
        <v>0</v>
      </c>
      <c r="K389" s="43">
        <f>IF(LEN(FinanceCodesBudget[[#This Row],[Title]])&lt;100,0,1)</f>
        <v>0</v>
      </c>
      <c r="L389" s="43">
        <f>IF(ISBLANK(FinanceCodesBudget[[#This Row],[BalanceToScenario]]),1,0)</f>
        <v>0</v>
      </c>
      <c r="M389" s="43">
        <f>SUM(FinanceCodesBudget[[#This Row],[LedgerIssue]:[CustGrIssue]],FinanceCodesBudget[[#This Row],[DupCode]:[Balance to Scenario Blank]])</f>
        <v>0</v>
      </c>
      <c r="N389">
        <v>830250</v>
      </c>
      <c r="O389" t="s">
        <v>2911</v>
      </c>
      <c r="P389" t="s">
        <v>645</v>
      </c>
      <c r="Q389" t="s">
        <v>1996</v>
      </c>
      <c r="R389" t="b">
        <v>0</v>
      </c>
      <c r="S389" t="s">
        <v>2907</v>
      </c>
      <c r="T389" t="s">
        <v>1300</v>
      </c>
      <c r="U389" t="s">
        <v>1968</v>
      </c>
      <c r="V389" t="b">
        <v>1</v>
      </c>
      <c r="W389" t="b">
        <v>0</v>
      </c>
    </row>
    <row r="390" spans="1:23" x14ac:dyDescent="0.3">
      <c r="A390" s="147">
        <f>IF(COUNTIF(LEDGER[LedgerCode],FinanceCodesBudget[[#This Row],[LedgerCode]])&gt;0,0,1)</f>
        <v>0</v>
      </c>
      <c r="B390" s="43">
        <f>IF(COUNTIF(Table_System_Grouping_Codes[groupingCodeCode],FinanceCodesBudget[[#This Row],[GroupingCode]])&gt;0,0,1)</f>
        <v>0</v>
      </c>
      <c r="C390" s="43">
        <f>IF(COUNTIF(CUSTGROUP[CustomGroupingCode],FinanceCodesBudget[[#This Row],[CustomGrouping]])&gt;0,0,1)</f>
        <v>0</v>
      </c>
      <c r="D390" s="43" cm="1">
        <f t="array" ref="D390">IF(FinanceCodesBudget[[#This Row],[AvailableToAllSchools]]=TRUE,0,COUNTA(_xlfn.TEXTSPLIT(FinanceCodesBudget[[#This Row],[SchoolCodes]],",",,TRUE))-SUM(COUNTIF(SCHOOLS[SchoolCode],_xlfn.TEXTSPLIT(FinanceCodesBudget[[#This Row],[SchoolCodes]],",",,TRUE))))</f>
        <v>0</v>
      </c>
      <c r="E390" s="43">
        <f>IF(FinanceCodesBudget[[#This Row],[FinanceCodeTypeCode]]="BUDGET",0,COUNTIF(FinanceCodesBudget[FinanceCode],FinanceCodesBudget[[#This Row],[FinanceCode]])-1)</f>
        <v>0</v>
      </c>
      <c r="F390" s="43">
        <f>IF(FinanceCodesBudget[[#This Row],[FinanceCodeTypeCode]]="BUDGET",0,COUNTIF(FinanceCodesBudget[Title],FinanceCodesBudget[[#This Row],[Title]])-1)</f>
        <v>0</v>
      </c>
      <c r="G390" s="43">
        <f>COUNTIF(Lookup!$A$2:$A$7,FinanceCodesBudget[[#This Row],[FinanceCodeTypeCode]])-1</f>
        <v>0</v>
      </c>
      <c r="H390" s="43">
        <f>IF(TRIM(FinanceCodesBudget[[#This Row],[Title]])="",1,0)</f>
        <v>0</v>
      </c>
      <c r="I390" s="43">
        <f>IF(TRIM(FinanceCodesBudget[[#This Row],[FinanceCode]])="",1,0)</f>
        <v>0</v>
      </c>
      <c r="J390" s="43">
        <f>IF(LEN(FinanceCodesBudget[[#This Row],[FinanceCode]])&lt;100,0,1)</f>
        <v>0</v>
      </c>
      <c r="K390" s="43">
        <f>IF(LEN(FinanceCodesBudget[[#This Row],[Title]])&lt;100,0,1)</f>
        <v>0</v>
      </c>
      <c r="L390" s="43">
        <f>IF(ISBLANK(FinanceCodesBudget[[#This Row],[BalanceToScenario]]),1,0)</f>
        <v>0</v>
      </c>
      <c r="M390" s="43">
        <f>SUM(FinanceCodesBudget[[#This Row],[LedgerIssue]:[CustGrIssue]],FinanceCodesBudget[[#This Row],[DupCode]:[Balance to Scenario Blank]])</f>
        <v>0</v>
      </c>
      <c r="N390">
        <v>830300</v>
      </c>
      <c r="O390" t="s">
        <v>2912</v>
      </c>
      <c r="P390" t="s">
        <v>647</v>
      </c>
      <c r="Q390" t="s">
        <v>1996</v>
      </c>
      <c r="R390" t="b">
        <v>0</v>
      </c>
      <c r="S390" t="s">
        <v>2908</v>
      </c>
      <c r="T390" t="s">
        <v>1300</v>
      </c>
      <c r="U390" t="s">
        <v>1532</v>
      </c>
      <c r="V390" t="b">
        <v>1</v>
      </c>
      <c r="W390" t="b">
        <v>0</v>
      </c>
    </row>
    <row r="391" spans="1:23" x14ac:dyDescent="0.3">
      <c r="A391" s="147">
        <f>IF(COUNTIF(LEDGER[LedgerCode],FinanceCodesBudget[[#This Row],[LedgerCode]])&gt;0,0,1)</f>
        <v>0</v>
      </c>
      <c r="B391" s="43">
        <f>IF(COUNTIF(Table_System_Grouping_Codes[groupingCodeCode],FinanceCodesBudget[[#This Row],[GroupingCode]])&gt;0,0,1)</f>
        <v>0</v>
      </c>
      <c r="C391" s="43">
        <f>IF(COUNTIF(CUSTGROUP[CustomGroupingCode],FinanceCodesBudget[[#This Row],[CustomGrouping]])&gt;0,0,1)</f>
        <v>0</v>
      </c>
      <c r="D391" s="43" cm="1">
        <f t="array" ref="D391">IF(FinanceCodesBudget[[#This Row],[AvailableToAllSchools]]=TRUE,0,COUNTA(_xlfn.TEXTSPLIT(FinanceCodesBudget[[#This Row],[SchoolCodes]],",",,TRUE))-SUM(COUNTIF(SCHOOLS[SchoolCode],_xlfn.TEXTSPLIT(FinanceCodesBudget[[#This Row],[SchoolCodes]],",",,TRUE))))</f>
        <v>0</v>
      </c>
      <c r="E391" s="43">
        <f>IF(FinanceCodesBudget[[#This Row],[FinanceCodeTypeCode]]="BUDGET",0,COUNTIF(FinanceCodesBudget[FinanceCode],FinanceCodesBudget[[#This Row],[FinanceCode]])-1)</f>
        <v>0</v>
      </c>
      <c r="F391" s="43">
        <f>IF(FinanceCodesBudget[[#This Row],[FinanceCodeTypeCode]]="BUDGET",0,COUNTIF(FinanceCodesBudget[Title],FinanceCodesBudget[[#This Row],[Title]])-1)</f>
        <v>0</v>
      </c>
      <c r="G391" s="43">
        <f>COUNTIF(Lookup!$A$2:$A$7,FinanceCodesBudget[[#This Row],[FinanceCodeTypeCode]])-1</f>
        <v>0</v>
      </c>
      <c r="H391" s="43">
        <f>IF(TRIM(FinanceCodesBudget[[#This Row],[Title]])="",1,0)</f>
        <v>0</v>
      </c>
      <c r="I391" s="43">
        <f>IF(TRIM(FinanceCodesBudget[[#This Row],[FinanceCode]])="",1,0)</f>
        <v>0</v>
      </c>
      <c r="J391" s="43">
        <f>IF(LEN(FinanceCodesBudget[[#This Row],[FinanceCode]])&lt;100,0,1)</f>
        <v>0</v>
      </c>
      <c r="K391" s="43">
        <f>IF(LEN(FinanceCodesBudget[[#This Row],[Title]])&lt;100,0,1)</f>
        <v>0</v>
      </c>
      <c r="L391" s="43">
        <f>IF(ISBLANK(FinanceCodesBudget[[#This Row],[BalanceToScenario]]),1,0)</f>
        <v>0</v>
      </c>
      <c r="M391" s="43">
        <f>SUM(FinanceCodesBudget[[#This Row],[LedgerIssue]:[CustGrIssue]],FinanceCodesBudget[[#This Row],[DupCode]:[Balance to Scenario Blank]])</f>
        <v>0</v>
      </c>
      <c r="N391">
        <v>830300</v>
      </c>
      <c r="O391" t="s">
        <v>2912</v>
      </c>
      <c r="P391" t="s">
        <v>649</v>
      </c>
      <c r="Q391" t="s">
        <v>1996</v>
      </c>
      <c r="R391" t="b">
        <v>0</v>
      </c>
      <c r="S391" t="s">
        <v>2907</v>
      </c>
      <c r="T391" t="s">
        <v>1300</v>
      </c>
      <c r="U391" t="s">
        <v>1968</v>
      </c>
      <c r="V391" t="b">
        <v>1</v>
      </c>
      <c r="W391" t="b">
        <v>0</v>
      </c>
    </row>
    <row r="392" spans="1:23" x14ac:dyDescent="0.3">
      <c r="A392" s="147">
        <f>IF(COUNTIF(LEDGER[LedgerCode],FinanceCodesBudget[[#This Row],[LedgerCode]])&gt;0,0,1)</f>
        <v>0</v>
      </c>
      <c r="B392" s="43">
        <f>IF(COUNTIF(Table_System_Grouping_Codes[groupingCodeCode],FinanceCodesBudget[[#This Row],[GroupingCode]])&gt;0,0,1)</f>
        <v>0</v>
      </c>
      <c r="C392" s="43">
        <f>IF(COUNTIF(CUSTGROUP[CustomGroupingCode],FinanceCodesBudget[[#This Row],[CustomGrouping]])&gt;0,0,1)</f>
        <v>0</v>
      </c>
      <c r="D392" s="43" cm="1">
        <f t="array" ref="D392">IF(FinanceCodesBudget[[#This Row],[AvailableToAllSchools]]=TRUE,0,COUNTA(_xlfn.TEXTSPLIT(FinanceCodesBudget[[#This Row],[SchoolCodes]],",",,TRUE))-SUM(COUNTIF(SCHOOLS[SchoolCode],_xlfn.TEXTSPLIT(FinanceCodesBudget[[#This Row],[SchoolCodes]],",",,TRUE))))</f>
        <v>0</v>
      </c>
      <c r="E392" s="43">
        <f>IF(FinanceCodesBudget[[#This Row],[FinanceCodeTypeCode]]="BUDGET",0,COUNTIF(FinanceCodesBudget[FinanceCode],FinanceCodesBudget[[#This Row],[FinanceCode]])-1)</f>
        <v>0</v>
      </c>
      <c r="F392" s="43">
        <f>IF(FinanceCodesBudget[[#This Row],[FinanceCodeTypeCode]]="BUDGET",0,COUNTIF(FinanceCodesBudget[Title],FinanceCodesBudget[[#This Row],[Title]])-1)</f>
        <v>0</v>
      </c>
      <c r="G392" s="43">
        <f>COUNTIF(Lookup!$A$2:$A$7,FinanceCodesBudget[[#This Row],[FinanceCodeTypeCode]])-1</f>
        <v>0</v>
      </c>
      <c r="H392" s="43">
        <f>IF(TRIM(FinanceCodesBudget[[#This Row],[Title]])="",1,0)</f>
        <v>0</v>
      </c>
      <c r="I392" s="43">
        <f>IF(TRIM(FinanceCodesBudget[[#This Row],[FinanceCode]])="",1,0)</f>
        <v>0</v>
      </c>
      <c r="J392" s="43">
        <f>IF(LEN(FinanceCodesBudget[[#This Row],[FinanceCode]])&lt;100,0,1)</f>
        <v>0</v>
      </c>
      <c r="K392" s="43">
        <f>IF(LEN(FinanceCodesBudget[[#This Row],[Title]])&lt;100,0,1)</f>
        <v>0</v>
      </c>
      <c r="L392" s="43">
        <f>IF(ISBLANK(FinanceCodesBudget[[#This Row],[BalanceToScenario]]),1,0)</f>
        <v>0</v>
      </c>
      <c r="M392" s="43">
        <f>SUM(FinanceCodesBudget[[#This Row],[LedgerIssue]:[CustGrIssue]],FinanceCodesBudget[[#This Row],[DupCode]:[Balance to Scenario Blank]])</f>
        <v>0</v>
      </c>
      <c r="N392">
        <v>830400</v>
      </c>
      <c r="O392" t="s">
        <v>2913</v>
      </c>
      <c r="P392" t="s">
        <v>650</v>
      </c>
      <c r="Q392" t="s">
        <v>1996</v>
      </c>
      <c r="R392" t="b">
        <v>0</v>
      </c>
      <c r="S392" t="s">
        <v>2526</v>
      </c>
      <c r="T392" t="s">
        <v>1300</v>
      </c>
      <c r="U392" t="s">
        <v>1532</v>
      </c>
      <c r="V392" t="b">
        <v>1</v>
      </c>
      <c r="W392" t="b">
        <v>0</v>
      </c>
    </row>
    <row r="393" spans="1:23" x14ac:dyDescent="0.3">
      <c r="A393" s="147">
        <f>IF(COUNTIF(LEDGER[LedgerCode],FinanceCodesBudget[[#This Row],[LedgerCode]])&gt;0,0,1)</f>
        <v>0</v>
      </c>
      <c r="B393" s="43">
        <f>IF(COUNTIF(Table_System_Grouping_Codes[groupingCodeCode],FinanceCodesBudget[[#This Row],[GroupingCode]])&gt;0,0,1)</f>
        <v>0</v>
      </c>
      <c r="C393" s="43">
        <f>IF(COUNTIF(CUSTGROUP[CustomGroupingCode],FinanceCodesBudget[[#This Row],[CustomGrouping]])&gt;0,0,1)</f>
        <v>0</v>
      </c>
      <c r="D393" s="43" cm="1">
        <f t="array" ref="D393">IF(FinanceCodesBudget[[#This Row],[AvailableToAllSchools]]=TRUE,0,COUNTA(_xlfn.TEXTSPLIT(FinanceCodesBudget[[#This Row],[SchoolCodes]],",",,TRUE))-SUM(COUNTIF(SCHOOLS[SchoolCode],_xlfn.TEXTSPLIT(FinanceCodesBudget[[#This Row],[SchoolCodes]],",",,TRUE))))</f>
        <v>0</v>
      </c>
      <c r="E393" s="43">
        <f>IF(FinanceCodesBudget[[#This Row],[FinanceCodeTypeCode]]="BUDGET",0,COUNTIF(FinanceCodesBudget[FinanceCode],FinanceCodesBudget[[#This Row],[FinanceCode]])-1)</f>
        <v>0</v>
      </c>
      <c r="F393" s="43">
        <f>IF(FinanceCodesBudget[[#This Row],[FinanceCodeTypeCode]]="BUDGET",0,COUNTIF(FinanceCodesBudget[Title],FinanceCodesBudget[[#This Row],[Title]])-1)</f>
        <v>0</v>
      </c>
      <c r="G393" s="43">
        <f>COUNTIF(Lookup!$A$2:$A$7,FinanceCodesBudget[[#This Row],[FinanceCodeTypeCode]])-1</f>
        <v>0</v>
      </c>
      <c r="H393" s="43">
        <f>IF(TRIM(FinanceCodesBudget[[#This Row],[Title]])="",1,0)</f>
        <v>0</v>
      </c>
      <c r="I393" s="43">
        <f>IF(TRIM(FinanceCodesBudget[[#This Row],[FinanceCode]])="",1,0)</f>
        <v>0</v>
      </c>
      <c r="J393" s="43">
        <f>IF(LEN(FinanceCodesBudget[[#This Row],[FinanceCode]])&lt;100,0,1)</f>
        <v>0</v>
      </c>
      <c r="K393" s="43">
        <f>IF(LEN(FinanceCodesBudget[[#This Row],[Title]])&lt;100,0,1)</f>
        <v>0</v>
      </c>
      <c r="L393" s="43">
        <f>IF(ISBLANK(FinanceCodesBudget[[#This Row],[BalanceToScenario]]),1,0)</f>
        <v>0</v>
      </c>
      <c r="M393" s="43">
        <f>SUM(FinanceCodesBudget[[#This Row],[LedgerIssue]:[CustGrIssue]],FinanceCodesBudget[[#This Row],[DupCode]:[Balance to Scenario Blank]])</f>
        <v>0</v>
      </c>
      <c r="N393">
        <v>835100</v>
      </c>
      <c r="O393" t="s">
        <v>2914</v>
      </c>
      <c r="P393" t="s">
        <v>652</v>
      </c>
      <c r="Q393" t="s">
        <v>1998</v>
      </c>
      <c r="R393" t="b">
        <v>0</v>
      </c>
      <c r="S393" t="s">
        <v>2526</v>
      </c>
      <c r="T393" t="s">
        <v>1300</v>
      </c>
      <c r="U393" t="s">
        <v>1532</v>
      </c>
      <c r="V393" t="b">
        <v>1</v>
      </c>
      <c r="W393" t="b">
        <v>0</v>
      </c>
    </row>
    <row r="394" spans="1:23" x14ac:dyDescent="0.3">
      <c r="A394" s="147">
        <f>IF(COUNTIF(LEDGER[LedgerCode],FinanceCodesBudget[[#This Row],[LedgerCode]])&gt;0,0,1)</f>
        <v>0</v>
      </c>
      <c r="B394" s="43">
        <f>IF(COUNTIF(Table_System_Grouping_Codes[groupingCodeCode],FinanceCodesBudget[[#This Row],[GroupingCode]])&gt;0,0,1)</f>
        <v>0</v>
      </c>
      <c r="C394" s="43">
        <f>IF(COUNTIF(CUSTGROUP[CustomGroupingCode],FinanceCodesBudget[[#This Row],[CustomGrouping]])&gt;0,0,1)</f>
        <v>0</v>
      </c>
      <c r="D394" s="43" cm="1">
        <f t="array" ref="D394">IF(FinanceCodesBudget[[#This Row],[AvailableToAllSchools]]=TRUE,0,COUNTA(_xlfn.TEXTSPLIT(FinanceCodesBudget[[#This Row],[SchoolCodes]],",",,TRUE))-SUM(COUNTIF(SCHOOLS[SchoolCode],_xlfn.TEXTSPLIT(FinanceCodesBudget[[#This Row],[SchoolCodes]],",",,TRUE))))</f>
        <v>0</v>
      </c>
      <c r="E394" s="43">
        <f>IF(FinanceCodesBudget[[#This Row],[FinanceCodeTypeCode]]="BUDGET",0,COUNTIF(FinanceCodesBudget[FinanceCode],FinanceCodesBudget[[#This Row],[FinanceCode]])-1)</f>
        <v>0</v>
      </c>
      <c r="F394" s="43">
        <f>IF(FinanceCodesBudget[[#This Row],[FinanceCodeTypeCode]]="BUDGET",0,COUNTIF(FinanceCodesBudget[Title],FinanceCodesBudget[[#This Row],[Title]])-1)</f>
        <v>0</v>
      </c>
      <c r="G394" s="43">
        <f>COUNTIF(Lookup!$A$2:$A$7,FinanceCodesBudget[[#This Row],[FinanceCodeTypeCode]])-1</f>
        <v>0</v>
      </c>
      <c r="H394" s="43">
        <f>IF(TRIM(FinanceCodesBudget[[#This Row],[Title]])="",1,0)</f>
        <v>0</v>
      </c>
      <c r="I394" s="43">
        <f>IF(TRIM(FinanceCodesBudget[[#This Row],[FinanceCode]])="",1,0)</f>
        <v>0</v>
      </c>
      <c r="J394" s="43">
        <f>IF(LEN(FinanceCodesBudget[[#This Row],[FinanceCode]])&lt;100,0,1)</f>
        <v>0</v>
      </c>
      <c r="K394" s="43">
        <f>IF(LEN(FinanceCodesBudget[[#This Row],[Title]])&lt;100,0,1)</f>
        <v>0</v>
      </c>
      <c r="L394" s="43">
        <f>IF(ISBLANK(FinanceCodesBudget[[#This Row],[BalanceToScenario]]),1,0)</f>
        <v>0</v>
      </c>
      <c r="M394" s="43">
        <f>SUM(FinanceCodesBudget[[#This Row],[LedgerIssue]:[CustGrIssue]],FinanceCodesBudget[[#This Row],[DupCode]:[Balance to Scenario Blank]])</f>
        <v>0</v>
      </c>
      <c r="N394">
        <v>835120</v>
      </c>
      <c r="O394" t="s">
        <v>2915</v>
      </c>
      <c r="P394" t="s">
        <v>654</v>
      </c>
      <c r="Q394" t="s">
        <v>1998</v>
      </c>
      <c r="R394" t="b">
        <v>0</v>
      </c>
      <c r="S394" t="s">
        <v>2526</v>
      </c>
      <c r="T394" t="s">
        <v>1300</v>
      </c>
      <c r="U394" t="s">
        <v>1532</v>
      </c>
      <c r="V394" t="b">
        <v>1</v>
      </c>
      <c r="W394" t="b">
        <v>0</v>
      </c>
    </row>
    <row r="395" spans="1:23" x14ac:dyDescent="0.3">
      <c r="A395" s="147">
        <f>IF(COUNTIF(LEDGER[LedgerCode],FinanceCodesBudget[[#This Row],[LedgerCode]])&gt;0,0,1)</f>
        <v>0</v>
      </c>
      <c r="B395" s="43">
        <f>IF(COUNTIF(Table_System_Grouping_Codes[groupingCodeCode],FinanceCodesBudget[[#This Row],[GroupingCode]])&gt;0,0,1)</f>
        <v>0</v>
      </c>
      <c r="C395" s="43">
        <f>IF(COUNTIF(CUSTGROUP[CustomGroupingCode],FinanceCodesBudget[[#This Row],[CustomGrouping]])&gt;0,0,1)</f>
        <v>0</v>
      </c>
      <c r="D395" s="43" cm="1">
        <f t="array" ref="D395">IF(FinanceCodesBudget[[#This Row],[AvailableToAllSchools]]=TRUE,0,COUNTA(_xlfn.TEXTSPLIT(FinanceCodesBudget[[#This Row],[SchoolCodes]],",",,TRUE))-SUM(COUNTIF(SCHOOLS[SchoolCode],_xlfn.TEXTSPLIT(FinanceCodesBudget[[#This Row],[SchoolCodes]],",",,TRUE))))</f>
        <v>0</v>
      </c>
      <c r="E395" s="43">
        <f>IF(FinanceCodesBudget[[#This Row],[FinanceCodeTypeCode]]="BUDGET",0,COUNTIF(FinanceCodesBudget[FinanceCode],FinanceCodesBudget[[#This Row],[FinanceCode]])-1)</f>
        <v>0</v>
      </c>
      <c r="F395" s="43">
        <f>IF(FinanceCodesBudget[[#This Row],[FinanceCodeTypeCode]]="BUDGET",0,COUNTIF(FinanceCodesBudget[Title],FinanceCodesBudget[[#This Row],[Title]])-1)</f>
        <v>0</v>
      </c>
      <c r="G395" s="43">
        <f>COUNTIF(Lookup!$A$2:$A$7,FinanceCodesBudget[[#This Row],[FinanceCodeTypeCode]])-1</f>
        <v>0</v>
      </c>
      <c r="H395" s="43">
        <f>IF(TRIM(FinanceCodesBudget[[#This Row],[Title]])="",1,0)</f>
        <v>0</v>
      </c>
      <c r="I395" s="43">
        <f>IF(TRIM(FinanceCodesBudget[[#This Row],[FinanceCode]])="",1,0)</f>
        <v>0</v>
      </c>
      <c r="J395" s="43">
        <f>IF(LEN(FinanceCodesBudget[[#This Row],[FinanceCode]])&lt;100,0,1)</f>
        <v>0</v>
      </c>
      <c r="K395" s="43">
        <f>IF(LEN(FinanceCodesBudget[[#This Row],[Title]])&lt;100,0,1)</f>
        <v>0</v>
      </c>
      <c r="L395" s="43">
        <f>IF(ISBLANK(FinanceCodesBudget[[#This Row],[BalanceToScenario]]),1,0)</f>
        <v>0</v>
      </c>
      <c r="M395" s="43">
        <f>SUM(FinanceCodesBudget[[#This Row],[LedgerIssue]:[CustGrIssue]],FinanceCodesBudget[[#This Row],[DupCode]:[Balance to Scenario Blank]])</f>
        <v>0</v>
      </c>
      <c r="N395">
        <v>835150</v>
      </c>
      <c r="O395" t="s">
        <v>2916</v>
      </c>
      <c r="P395" t="s">
        <v>656</v>
      </c>
      <c r="Q395" t="s">
        <v>1998</v>
      </c>
      <c r="R395" t="b">
        <v>0</v>
      </c>
      <c r="S395" t="s">
        <v>2526</v>
      </c>
      <c r="T395" t="s">
        <v>1300</v>
      </c>
      <c r="U395" t="s">
        <v>1532</v>
      </c>
      <c r="V395" t="b">
        <v>1</v>
      </c>
      <c r="W395" t="b">
        <v>0</v>
      </c>
    </row>
    <row r="396" spans="1:23" x14ac:dyDescent="0.3">
      <c r="A396" s="147">
        <f>IF(COUNTIF(LEDGER[LedgerCode],FinanceCodesBudget[[#This Row],[LedgerCode]])&gt;0,0,1)</f>
        <v>0</v>
      </c>
      <c r="B396" s="43">
        <f>IF(COUNTIF(Table_System_Grouping_Codes[groupingCodeCode],FinanceCodesBudget[[#This Row],[GroupingCode]])&gt;0,0,1)</f>
        <v>0</v>
      </c>
      <c r="C396" s="43">
        <f>IF(COUNTIF(CUSTGROUP[CustomGroupingCode],FinanceCodesBudget[[#This Row],[CustomGrouping]])&gt;0,0,1)</f>
        <v>0</v>
      </c>
      <c r="D396" s="43" cm="1">
        <f t="array" ref="D396">IF(FinanceCodesBudget[[#This Row],[AvailableToAllSchools]]=TRUE,0,COUNTA(_xlfn.TEXTSPLIT(FinanceCodesBudget[[#This Row],[SchoolCodes]],",",,TRUE))-SUM(COUNTIF(SCHOOLS[SchoolCode],_xlfn.TEXTSPLIT(FinanceCodesBudget[[#This Row],[SchoolCodes]],",",,TRUE))))</f>
        <v>0</v>
      </c>
      <c r="E396" s="43">
        <f>IF(FinanceCodesBudget[[#This Row],[FinanceCodeTypeCode]]="BUDGET",0,COUNTIF(FinanceCodesBudget[FinanceCode],FinanceCodesBudget[[#This Row],[FinanceCode]])-1)</f>
        <v>0</v>
      </c>
      <c r="F396" s="43">
        <f>IF(FinanceCodesBudget[[#This Row],[FinanceCodeTypeCode]]="BUDGET",0,COUNTIF(FinanceCodesBudget[Title],FinanceCodesBudget[[#This Row],[Title]])-1)</f>
        <v>0</v>
      </c>
      <c r="G396" s="43">
        <f>COUNTIF(Lookup!$A$2:$A$7,FinanceCodesBudget[[#This Row],[FinanceCodeTypeCode]])-1</f>
        <v>0</v>
      </c>
      <c r="H396" s="43">
        <f>IF(TRIM(FinanceCodesBudget[[#This Row],[Title]])="",1,0)</f>
        <v>0</v>
      </c>
      <c r="I396" s="43">
        <f>IF(TRIM(FinanceCodesBudget[[#This Row],[FinanceCode]])="",1,0)</f>
        <v>0</v>
      </c>
      <c r="J396" s="43">
        <f>IF(LEN(FinanceCodesBudget[[#This Row],[FinanceCode]])&lt;100,0,1)</f>
        <v>0</v>
      </c>
      <c r="K396" s="43">
        <f>IF(LEN(FinanceCodesBudget[[#This Row],[Title]])&lt;100,0,1)</f>
        <v>0</v>
      </c>
      <c r="L396" s="43">
        <f>IF(ISBLANK(FinanceCodesBudget[[#This Row],[BalanceToScenario]]),1,0)</f>
        <v>0</v>
      </c>
      <c r="M396" s="43">
        <f>SUM(FinanceCodesBudget[[#This Row],[LedgerIssue]:[CustGrIssue]],FinanceCodesBudget[[#This Row],[DupCode]:[Balance to Scenario Blank]])</f>
        <v>0</v>
      </c>
      <c r="N396">
        <v>835170</v>
      </c>
      <c r="O396" t="s">
        <v>2917</v>
      </c>
      <c r="P396" t="s">
        <v>658</v>
      </c>
      <c r="Q396" t="s">
        <v>1998</v>
      </c>
      <c r="R396" t="b">
        <v>0</v>
      </c>
      <c r="S396" t="s">
        <v>2526</v>
      </c>
      <c r="T396" t="s">
        <v>1300</v>
      </c>
      <c r="U396" t="s">
        <v>1532</v>
      </c>
      <c r="V396" t="b">
        <v>1</v>
      </c>
      <c r="W396" t="b">
        <v>0</v>
      </c>
    </row>
    <row r="397" spans="1:23" x14ac:dyDescent="0.3">
      <c r="A397" s="147">
        <f>IF(COUNTIF(LEDGER[LedgerCode],FinanceCodesBudget[[#This Row],[LedgerCode]])&gt;0,0,1)</f>
        <v>0</v>
      </c>
      <c r="B397" s="43">
        <f>IF(COUNTIF(Table_System_Grouping_Codes[groupingCodeCode],FinanceCodesBudget[[#This Row],[GroupingCode]])&gt;0,0,1)</f>
        <v>0</v>
      </c>
      <c r="C397" s="43">
        <f>IF(COUNTIF(CUSTGROUP[CustomGroupingCode],FinanceCodesBudget[[#This Row],[CustomGrouping]])&gt;0,0,1)</f>
        <v>0</v>
      </c>
      <c r="D397" s="43" cm="1">
        <f t="array" ref="D397">IF(FinanceCodesBudget[[#This Row],[AvailableToAllSchools]]=TRUE,0,COUNTA(_xlfn.TEXTSPLIT(FinanceCodesBudget[[#This Row],[SchoolCodes]],",",,TRUE))-SUM(COUNTIF(SCHOOLS[SchoolCode],_xlfn.TEXTSPLIT(FinanceCodesBudget[[#This Row],[SchoolCodes]],",",,TRUE))))</f>
        <v>0</v>
      </c>
      <c r="E397" s="43">
        <f>IF(FinanceCodesBudget[[#This Row],[FinanceCodeTypeCode]]="BUDGET",0,COUNTIF(FinanceCodesBudget[FinanceCode],FinanceCodesBudget[[#This Row],[FinanceCode]])-1)</f>
        <v>0</v>
      </c>
      <c r="F397" s="43">
        <f>IF(FinanceCodesBudget[[#This Row],[FinanceCodeTypeCode]]="BUDGET",0,COUNTIF(FinanceCodesBudget[Title],FinanceCodesBudget[[#This Row],[Title]])-1)</f>
        <v>0</v>
      </c>
      <c r="G397" s="43">
        <f>COUNTIF(Lookup!$A$2:$A$7,FinanceCodesBudget[[#This Row],[FinanceCodeTypeCode]])-1</f>
        <v>0</v>
      </c>
      <c r="H397" s="43">
        <f>IF(TRIM(FinanceCodesBudget[[#This Row],[Title]])="",1,0)</f>
        <v>0</v>
      </c>
      <c r="I397" s="43">
        <f>IF(TRIM(FinanceCodesBudget[[#This Row],[FinanceCode]])="",1,0)</f>
        <v>0</v>
      </c>
      <c r="J397" s="43">
        <f>IF(LEN(FinanceCodesBudget[[#This Row],[FinanceCode]])&lt;100,0,1)</f>
        <v>0</v>
      </c>
      <c r="K397" s="43">
        <f>IF(LEN(FinanceCodesBudget[[#This Row],[Title]])&lt;100,0,1)</f>
        <v>0</v>
      </c>
      <c r="L397" s="43">
        <f>IF(ISBLANK(FinanceCodesBudget[[#This Row],[BalanceToScenario]]),1,0)</f>
        <v>0</v>
      </c>
      <c r="M397" s="43">
        <f>SUM(FinanceCodesBudget[[#This Row],[LedgerIssue]:[CustGrIssue]],FinanceCodesBudget[[#This Row],[DupCode]:[Balance to Scenario Blank]])</f>
        <v>0</v>
      </c>
      <c r="N397">
        <v>835200</v>
      </c>
      <c r="O397" t="s">
        <v>2918</v>
      </c>
      <c r="P397" t="s">
        <v>660</v>
      </c>
      <c r="Q397" t="s">
        <v>1998</v>
      </c>
      <c r="R397" t="b">
        <v>0</v>
      </c>
      <c r="S397" t="s">
        <v>2526</v>
      </c>
      <c r="T397" t="s">
        <v>1300</v>
      </c>
      <c r="U397" t="s">
        <v>1532</v>
      </c>
      <c r="V397" t="b">
        <v>1</v>
      </c>
      <c r="W397" t="b">
        <v>0</v>
      </c>
    </row>
    <row r="398" spans="1:23" x14ac:dyDescent="0.3">
      <c r="A398" s="147">
        <f>IF(COUNTIF(LEDGER[LedgerCode],FinanceCodesBudget[[#This Row],[LedgerCode]])&gt;0,0,1)</f>
        <v>0</v>
      </c>
      <c r="B398" s="43">
        <f>IF(COUNTIF(Table_System_Grouping_Codes[groupingCodeCode],FinanceCodesBudget[[#This Row],[GroupingCode]])&gt;0,0,1)</f>
        <v>0</v>
      </c>
      <c r="C398" s="43">
        <f>IF(COUNTIF(CUSTGROUP[CustomGroupingCode],FinanceCodesBudget[[#This Row],[CustomGrouping]])&gt;0,0,1)</f>
        <v>0</v>
      </c>
      <c r="D398" s="43" cm="1">
        <f t="array" ref="D398">IF(FinanceCodesBudget[[#This Row],[AvailableToAllSchools]]=TRUE,0,COUNTA(_xlfn.TEXTSPLIT(FinanceCodesBudget[[#This Row],[SchoolCodes]],",",,TRUE))-SUM(COUNTIF(SCHOOLS[SchoolCode],_xlfn.TEXTSPLIT(FinanceCodesBudget[[#This Row],[SchoolCodes]],",",,TRUE))))</f>
        <v>0</v>
      </c>
      <c r="E398" s="43">
        <f>IF(FinanceCodesBudget[[#This Row],[FinanceCodeTypeCode]]="BUDGET",0,COUNTIF(FinanceCodesBudget[FinanceCode],FinanceCodesBudget[[#This Row],[FinanceCode]])-1)</f>
        <v>0</v>
      </c>
      <c r="F398" s="43">
        <f>IF(FinanceCodesBudget[[#This Row],[FinanceCodeTypeCode]]="BUDGET",0,COUNTIF(FinanceCodesBudget[Title],FinanceCodesBudget[[#This Row],[Title]])-1)</f>
        <v>0</v>
      </c>
      <c r="G398" s="43">
        <f>COUNTIF(Lookup!$A$2:$A$7,FinanceCodesBudget[[#This Row],[FinanceCodeTypeCode]])-1</f>
        <v>0</v>
      </c>
      <c r="H398" s="43">
        <f>IF(TRIM(FinanceCodesBudget[[#This Row],[Title]])="",1,0)</f>
        <v>0</v>
      </c>
      <c r="I398" s="43">
        <f>IF(TRIM(FinanceCodesBudget[[#This Row],[FinanceCode]])="",1,0)</f>
        <v>0</v>
      </c>
      <c r="J398" s="43">
        <f>IF(LEN(FinanceCodesBudget[[#This Row],[FinanceCode]])&lt;100,0,1)</f>
        <v>0</v>
      </c>
      <c r="K398" s="43">
        <f>IF(LEN(FinanceCodesBudget[[#This Row],[Title]])&lt;100,0,1)</f>
        <v>0</v>
      </c>
      <c r="L398" s="43">
        <f>IF(ISBLANK(FinanceCodesBudget[[#This Row],[BalanceToScenario]]),1,0)</f>
        <v>0</v>
      </c>
      <c r="M398" s="43">
        <f>SUM(FinanceCodesBudget[[#This Row],[LedgerIssue]:[CustGrIssue]],FinanceCodesBudget[[#This Row],[DupCode]:[Balance to Scenario Blank]])</f>
        <v>0</v>
      </c>
      <c r="N398">
        <v>835220</v>
      </c>
      <c r="O398" t="s">
        <v>2919</v>
      </c>
      <c r="P398" t="s">
        <v>662</v>
      </c>
      <c r="Q398" t="s">
        <v>1998</v>
      </c>
      <c r="R398" t="b">
        <v>0</v>
      </c>
      <c r="S398" t="s">
        <v>2526</v>
      </c>
      <c r="T398" t="s">
        <v>1300</v>
      </c>
      <c r="U398" t="s">
        <v>1532</v>
      </c>
      <c r="V398" t="b">
        <v>1</v>
      </c>
      <c r="W398" t="b">
        <v>0</v>
      </c>
    </row>
    <row r="399" spans="1:23" x14ac:dyDescent="0.3">
      <c r="A399" s="147">
        <f>IF(COUNTIF(LEDGER[LedgerCode],FinanceCodesBudget[[#This Row],[LedgerCode]])&gt;0,0,1)</f>
        <v>0</v>
      </c>
      <c r="B399" s="43">
        <f>IF(COUNTIF(Table_System_Grouping_Codes[groupingCodeCode],FinanceCodesBudget[[#This Row],[GroupingCode]])&gt;0,0,1)</f>
        <v>0</v>
      </c>
      <c r="C399" s="43">
        <f>IF(COUNTIF(CUSTGROUP[CustomGroupingCode],FinanceCodesBudget[[#This Row],[CustomGrouping]])&gt;0,0,1)</f>
        <v>0</v>
      </c>
      <c r="D399" s="43" cm="1">
        <f t="array" ref="D399">IF(FinanceCodesBudget[[#This Row],[AvailableToAllSchools]]=TRUE,0,COUNTA(_xlfn.TEXTSPLIT(FinanceCodesBudget[[#This Row],[SchoolCodes]],",",,TRUE))-SUM(COUNTIF(SCHOOLS[SchoolCode],_xlfn.TEXTSPLIT(FinanceCodesBudget[[#This Row],[SchoolCodes]],",",,TRUE))))</f>
        <v>0</v>
      </c>
      <c r="E399" s="43">
        <f>IF(FinanceCodesBudget[[#This Row],[FinanceCodeTypeCode]]="BUDGET",0,COUNTIF(FinanceCodesBudget[FinanceCode],FinanceCodesBudget[[#This Row],[FinanceCode]])-1)</f>
        <v>0</v>
      </c>
      <c r="F399" s="43">
        <f>IF(FinanceCodesBudget[[#This Row],[FinanceCodeTypeCode]]="BUDGET",0,COUNTIF(FinanceCodesBudget[Title],FinanceCodesBudget[[#This Row],[Title]])-1)</f>
        <v>0</v>
      </c>
      <c r="G399" s="43">
        <f>COUNTIF(Lookup!$A$2:$A$7,FinanceCodesBudget[[#This Row],[FinanceCodeTypeCode]])-1</f>
        <v>0</v>
      </c>
      <c r="H399" s="43">
        <f>IF(TRIM(FinanceCodesBudget[[#This Row],[Title]])="",1,0)</f>
        <v>0</v>
      </c>
      <c r="I399" s="43">
        <f>IF(TRIM(FinanceCodesBudget[[#This Row],[FinanceCode]])="",1,0)</f>
        <v>0</v>
      </c>
      <c r="J399" s="43">
        <f>IF(LEN(FinanceCodesBudget[[#This Row],[FinanceCode]])&lt;100,0,1)</f>
        <v>0</v>
      </c>
      <c r="K399" s="43">
        <f>IF(LEN(FinanceCodesBudget[[#This Row],[Title]])&lt;100,0,1)</f>
        <v>0</v>
      </c>
      <c r="L399" s="43">
        <f>IF(ISBLANK(FinanceCodesBudget[[#This Row],[BalanceToScenario]]),1,0)</f>
        <v>0</v>
      </c>
      <c r="M399" s="43">
        <f>SUM(FinanceCodesBudget[[#This Row],[LedgerIssue]:[CustGrIssue]],FinanceCodesBudget[[#This Row],[DupCode]:[Balance to Scenario Blank]])</f>
        <v>0</v>
      </c>
      <c r="N399">
        <v>835250</v>
      </c>
      <c r="O399" t="s">
        <v>2920</v>
      </c>
      <c r="P399" t="s">
        <v>664</v>
      </c>
      <c r="Q399" t="s">
        <v>1998</v>
      </c>
      <c r="R399" t="b">
        <v>0</v>
      </c>
      <c r="S399" t="s">
        <v>2526</v>
      </c>
      <c r="T399" t="s">
        <v>1300</v>
      </c>
      <c r="U399" t="s">
        <v>1532</v>
      </c>
      <c r="V399" t="b">
        <v>1</v>
      </c>
      <c r="W399" t="b">
        <v>0</v>
      </c>
    </row>
    <row r="400" spans="1:23" x14ac:dyDescent="0.3">
      <c r="A400" s="147">
        <f>IF(COUNTIF(LEDGER[LedgerCode],FinanceCodesBudget[[#This Row],[LedgerCode]])&gt;0,0,1)</f>
        <v>0</v>
      </c>
      <c r="B400" s="43">
        <f>IF(COUNTIF(Table_System_Grouping_Codes[groupingCodeCode],FinanceCodesBudget[[#This Row],[GroupingCode]])&gt;0,0,1)</f>
        <v>0</v>
      </c>
      <c r="C400" s="43">
        <f>IF(COUNTIF(CUSTGROUP[CustomGroupingCode],FinanceCodesBudget[[#This Row],[CustomGrouping]])&gt;0,0,1)</f>
        <v>0</v>
      </c>
      <c r="D400" s="43" cm="1">
        <f t="array" ref="D400">IF(FinanceCodesBudget[[#This Row],[AvailableToAllSchools]]=TRUE,0,COUNTA(_xlfn.TEXTSPLIT(FinanceCodesBudget[[#This Row],[SchoolCodes]],",",,TRUE))-SUM(COUNTIF(SCHOOLS[SchoolCode],_xlfn.TEXTSPLIT(FinanceCodesBudget[[#This Row],[SchoolCodes]],",",,TRUE))))</f>
        <v>0</v>
      </c>
      <c r="E400" s="43">
        <f>IF(FinanceCodesBudget[[#This Row],[FinanceCodeTypeCode]]="BUDGET",0,COUNTIF(FinanceCodesBudget[FinanceCode],FinanceCodesBudget[[#This Row],[FinanceCode]])-1)</f>
        <v>0</v>
      </c>
      <c r="F400" s="43">
        <f>IF(FinanceCodesBudget[[#This Row],[FinanceCodeTypeCode]]="BUDGET",0,COUNTIF(FinanceCodesBudget[Title],FinanceCodesBudget[[#This Row],[Title]])-1)</f>
        <v>0</v>
      </c>
      <c r="G400" s="43">
        <f>COUNTIF(Lookup!$A$2:$A$7,FinanceCodesBudget[[#This Row],[FinanceCodeTypeCode]])-1</f>
        <v>0</v>
      </c>
      <c r="H400" s="43">
        <f>IF(TRIM(FinanceCodesBudget[[#This Row],[Title]])="",1,0)</f>
        <v>0</v>
      </c>
      <c r="I400" s="43">
        <f>IF(TRIM(FinanceCodesBudget[[#This Row],[FinanceCode]])="",1,0)</f>
        <v>0</v>
      </c>
      <c r="J400" s="43">
        <f>IF(LEN(FinanceCodesBudget[[#This Row],[FinanceCode]])&lt;100,0,1)</f>
        <v>0</v>
      </c>
      <c r="K400" s="43">
        <f>IF(LEN(FinanceCodesBudget[[#This Row],[Title]])&lt;100,0,1)</f>
        <v>0</v>
      </c>
      <c r="L400" s="43">
        <f>IF(ISBLANK(FinanceCodesBudget[[#This Row],[BalanceToScenario]]),1,0)</f>
        <v>0</v>
      </c>
      <c r="M400" s="43">
        <f>SUM(FinanceCodesBudget[[#This Row],[LedgerIssue]:[CustGrIssue]],FinanceCodesBudget[[#This Row],[DupCode]:[Balance to Scenario Blank]])</f>
        <v>0</v>
      </c>
      <c r="N400">
        <v>835270</v>
      </c>
      <c r="O400" t="s">
        <v>2921</v>
      </c>
      <c r="P400" t="s">
        <v>666</v>
      </c>
      <c r="Q400" t="s">
        <v>1998</v>
      </c>
      <c r="R400" t="b">
        <v>0</v>
      </c>
      <c r="S400" t="s">
        <v>2526</v>
      </c>
      <c r="T400" t="s">
        <v>1300</v>
      </c>
      <c r="U400" t="s">
        <v>1532</v>
      </c>
      <c r="V400" t="b">
        <v>1</v>
      </c>
      <c r="W400" t="b">
        <v>0</v>
      </c>
    </row>
    <row r="401" spans="1:23" x14ac:dyDescent="0.3">
      <c r="A401" s="147">
        <f>IF(COUNTIF(LEDGER[LedgerCode],FinanceCodesBudget[[#This Row],[LedgerCode]])&gt;0,0,1)</f>
        <v>0</v>
      </c>
      <c r="B401" s="43">
        <f>IF(COUNTIF(Table_System_Grouping_Codes[groupingCodeCode],FinanceCodesBudget[[#This Row],[GroupingCode]])&gt;0,0,1)</f>
        <v>0</v>
      </c>
      <c r="C401" s="43">
        <f>IF(COUNTIF(CUSTGROUP[CustomGroupingCode],FinanceCodesBudget[[#This Row],[CustomGrouping]])&gt;0,0,1)</f>
        <v>0</v>
      </c>
      <c r="D401" s="43" cm="1">
        <f t="array" ref="D401">IF(FinanceCodesBudget[[#This Row],[AvailableToAllSchools]]=TRUE,0,COUNTA(_xlfn.TEXTSPLIT(FinanceCodesBudget[[#This Row],[SchoolCodes]],",",,TRUE))-SUM(COUNTIF(SCHOOLS[SchoolCode],_xlfn.TEXTSPLIT(FinanceCodesBudget[[#This Row],[SchoolCodes]],",",,TRUE))))</f>
        <v>0</v>
      </c>
      <c r="E401" s="43">
        <f>IF(FinanceCodesBudget[[#This Row],[FinanceCodeTypeCode]]="BUDGET",0,COUNTIF(FinanceCodesBudget[FinanceCode],FinanceCodesBudget[[#This Row],[FinanceCode]])-1)</f>
        <v>0</v>
      </c>
      <c r="F401" s="43">
        <f>IF(FinanceCodesBudget[[#This Row],[FinanceCodeTypeCode]]="BUDGET",0,COUNTIF(FinanceCodesBudget[Title],FinanceCodesBudget[[#This Row],[Title]])-1)</f>
        <v>0</v>
      </c>
      <c r="G401" s="43">
        <f>COUNTIF(Lookup!$A$2:$A$7,FinanceCodesBudget[[#This Row],[FinanceCodeTypeCode]])-1</f>
        <v>0</v>
      </c>
      <c r="H401" s="43">
        <f>IF(TRIM(FinanceCodesBudget[[#This Row],[Title]])="",1,0)</f>
        <v>0</v>
      </c>
      <c r="I401" s="43">
        <f>IF(TRIM(FinanceCodesBudget[[#This Row],[FinanceCode]])="",1,0)</f>
        <v>0</v>
      </c>
      <c r="J401" s="43">
        <f>IF(LEN(FinanceCodesBudget[[#This Row],[FinanceCode]])&lt;100,0,1)</f>
        <v>0</v>
      </c>
      <c r="K401" s="43">
        <f>IF(LEN(FinanceCodesBudget[[#This Row],[Title]])&lt;100,0,1)</f>
        <v>0</v>
      </c>
      <c r="L401" s="43">
        <f>IF(ISBLANK(FinanceCodesBudget[[#This Row],[BalanceToScenario]]),1,0)</f>
        <v>0</v>
      </c>
      <c r="M401" s="43">
        <f>SUM(FinanceCodesBudget[[#This Row],[LedgerIssue]:[CustGrIssue]],FinanceCodesBudget[[#This Row],[DupCode]:[Balance to Scenario Blank]])</f>
        <v>0</v>
      </c>
      <c r="N401">
        <v>835300</v>
      </c>
      <c r="O401" t="s">
        <v>2922</v>
      </c>
      <c r="P401" t="s">
        <v>668</v>
      </c>
      <c r="Q401" t="s">
        <v>1998</v>
      </c>
      <c r="R401" t="b">
        <v>0</v>
      </c>
      <c r="S401" t="s">
        <v>2526</v>
      </c>
      <c r="T401" t="s">
        <v>1300</v>
      </c>
      <c r="U401" t="s">
        <v>1532</v>
      </c>
      <c r="V401" t="b">
        <v>1</v>
      </c>
      <c r="W401" t="b">
        <v>0</v>
      </c>
    </row>
    <row r="402" spans="1:23" x14ac:dyDescent="0.3">
      <c r="A402" s="147">
        <f>IF(COUNTIF(LEDGER[LedgerCode],FinanceCodesBudget[[#This Row],[LedgerCode]])&gt;0,0,1)</f>
        <v>0</v>
      </c>
      <c r="B402" s="43">
        <f>IF(COUNTIF(Table_System_Grouping_Codes[groupingCodeCode],FinanceCodesBudget[[#This Row],[GroupingCode]])&gt;0,0,1)</f>
        <v>0</v>
      </c>
      <c r="C402" s="43">
        <f>IF(COUNTIF(CUSTGROUP[CustomGroupingCode],FinanceCodesBudget[[#This Row],[CustomGrouping]])&gt;0,0,1)</f>
        <v>0</v>
      </c>
      <c r="D402" s="43" cm="1">
        <f t="array" ref="D402">IF(FinanceCodesBudget[[#This Row],[AvailableToAllSchools]]=TRUE,0,COUNTA(_xlfn.TEXTSPLIT(FinanceCodesBudget[[#This Row],[SchoolCodes]],",",,TRUE))-SUM(COUNTIF(SCHOOLS[SchoolCode],_xlfn.TEXTSPLIT(FinanceCodesBudget[[#This Row],[SchoolCodes]],",",,TRUE))))</f>
        <v>0</v>
      </c>
      <c r="E402" s="43">
        <f>IF(FinanceCodesBudget[[#This Row],[FinanceCodeTypeCode]]="BUDGET",0,COUNTIF(FinanceCodesBudget[FinanceCode],FinanceCodesBudget[[#This Row],[FinanceCode]])-1)</f>
        <v>0</v>
      </c>
      <c r="F402" s="43">
        <f>IF(FinanceCodesBudget[[#This Row],[FinanceCodeTypeCode]]="BUDGET",0,COUNTIF(FinanceCodesBudget[Title],FinanceCodesBudget[[#This Row],[Title]])-1)</f>
        <v>0</v>
      </c>
      <c r="G402" s="43">
        <f>COUNTIF(Lookup!$A$2:$A$7,FinanceCodesBudget[[#This Row],[FinanceCodeTypeCode]])-1</f>
        <v>0</v>
      </c>
      <c r="H402" s="43">
        <f>IF(TRIM(FinanceCodesBudget[[#This Row],[Title]])="",1,0)</f>
        <v>0</v>
      </c>
      <c r="I402" s="43">
        <f>IF(TRIM(FinanceCodesBudget[[#This Row],[FinanceCode]])="",1,0)</f>
        <v>0</v>
      </c>
      <c r="J402" s="43">
        <f>IF(LEN(FinanceCodesBudget[[#This Row],[FinanceCode]])&lt;100,0,1)</f>
        <v>0</v>
      </c>
      <c r="K402" s="43">
        <f>IF(LEN(FinanceCodesBudget[[#This Row],[Title]])&lt;100,0,1)</f>
        <v>0</v>
      </c>
      <c r="L402" s="43">
        <f>IF(ISBLANK(FinanceCodesBudget[[#This Row],[BalanceToScenario]]),1,0)</f>
        <v>0</v>
      </c>
      <c r="M402" s="43">
        <f>SUM(FinanceCodesBudget[[#This Row],[LedgerIssue]:[CustGrIssue]],FinanceCodesBudget[[#This Row],[DupCode]:[Balance to Scenario Blank]])</f>
        <v>0</v>
      </c>
      <c r="N402">
        <v>835320</v>
      </c>
      <c r="O402" t="s">
        <v>2923</v>
      </c>
      <c r="P402" t="s">
        <v>669</v>
      </c>
      <c r="Q402" t="s">
        <v>1998</v>
      </c>
      <c r="R402" t="b">
        <v>0</v>
      </c>
      <c r="S402" t="s">
        <v>2526</v>
      </c>
      <c r="T402" t="s">
        <v>1300</v>
      </c>
      <c r="U402" t="s">
        <v>1532</v>
      </c>
      <c r="V402" t="b">
        <v>1</v>
      </c>
      <c r="W402" t="b">
        <v>0</v>
      </c>
    </row>
    <row r="403" spans="1:23" x14ac:dyDescent="0.3">
      <c r="A403" s="147">
        <f>IF(COUNTIF(LEDGER[LedgerCode],FinanceCodesBudget[[#This Row],[LedgerCode]])&gt;0,0,1)</f>
        <v>0</v>
      </c>
      <c r="B403" s="43">
        <f>IF(COUNTIF(Table_System_Grouping_Codes[groupingCodeCode],FinanceCodesBudget[[#This Row],[GroupingCode]])&gt;0,0,1)</f>
        <v>0</v>
      </c>
      <c r="C403" s="43">
        <f>IF(COUNTIF(CUSTGROUP[CustomGroupingCode],FinanceCodesBudget[[#This Row],[CustomGrouping]])&gt;0,0,1)</f>
        <v>0</v>
      </c>
      <c r="D403" s="43" cm="1">
        <f t="array" ref="D403">IF(FinanceCodesBudget[[#This Row],[AvailableToAllSchools]]=TRUE,0,COUNTA(_xlfn.TEXTSPLIT(FinanceCodesBudget[[#This Row],[SchoolCodes]],",",,TRUE))-SUM(COUNTIF(SCHOOLS[SchoolCode],_xlfn.TEXTSPLIT(FinanceCodesBudget[[#This Row],[SchoolCodes]],",",,TRUE))))</f>
        <v>0</v>
      </c>
      <c r="E403" s="43">
        <f>IF(FinanceCodesBudget[[#This Row],[FinanceCodeTypeCode]]="BUDGET",0,COUNTIF(FinanceCodesBudget[FinanceCode],FinanceCodesBudget[[#This Row],[FinanceCode]])-1)</f>
        <v>0</v>
      </c>
      <c r="F403" s="43">
        <f>IF(FinanceCodesBudget[[#This Row],[FinanceCodeTypeCode]]="BUDGET",0,COUNTIF(FinanceCodesBudget[Title],FinanceCodesBudget[[#This Row],[Title]])-1)</f>
        <v>0</v>
      </c>
      <c r="G403" s="43">
        <f>COUNTIF(Lookup!$A$2:$A$7,FinanceCodesBudget[[#This Row],[FinanceCodeTypeCode]])-1</f>
        <v>0</v>
      </c>
      <c r="H403" s="43">
        <f>IF(TRIM(FinanceCodesBudget[[#This Row],[Title]])="",1,0)</f>
        <v>0</v>
      </c>
      <c r="I403" s="43">
        <f>IF(TRIM(FinanceCodesBudget[[#This Row],[FinanceCode]])="",1,0)</f>
        <v>0</v>
      </c>
      <c r="J403" s="43">
        <f>IF(LEN(FinanceCodesBudget[[#This Row],[FinanceCode]])&lt;100,0,1)</f>
        <v>0</v>
      </c>
      <c r="K403" s="43">
        <f>IF(LEN(FinanceCodesBudget[[#This Row],[Title]])&lt;100,0,1)</f>
        <v>0</v>
      </c>
      <c r="L403" s="43">
        <f>IF(ISBLANK(FinanceCodesBudget[[#This Row],[BalanceToScenario]]),1,0)</f>
        <v>0</v>
      </c>
      <c r="M403" s="43">
        <f>SUM(FinanceCodesBudget[[#This Row],[LedgerIssue]:[CustGrIssue]],FinanceCodesBudget[[#This Row],[DupCode]:[Balance to Scenario Blank]])</f>
        <v>0</v>
      </c>
      <c r="N403">
        <v>835350</v>
      </c>
      <c r="O403" t="s">
        <v>2924</v>
      </c>
      <c r="P403" t="s">
        <v>1907</v>
      </c>
      <c r="Q403" t="s">
        <v>1998</v>
      </c>
      <c r="R403" t="b">
        <v>0</v>
      </c>
      <c r="S403" t="s">
        <v>2526</v>
      </c>
      <c r="T403" t="s">
        <v>1300</v>
      </c>
      <c r="U403" t="s">
        <v>1532</v>
      </c>
      <c r="V403" t="b">
        <v>1</v>
      </c>
      <c r="W403" t="b">
        <v>0</v>
      </c>
    </row>
    <row r="404" spans="1:23" x14ac:dyDescent="0.3">
      <c r="A404" s="147">
        <f>IF(COUNTIF(LEDGER[LedgerCode],FinanceCodesBudget[[#This Row],[LedgerCode]])&gt;0,0,1)</f>
        <v>0</v>
      </c>
      <c r="B404" s="43">
        <f>IF(COUNTIF(Table_System_Grouping_Codes[groupingCodeCode],FinanceCodesBudget[[#This Row],[GroupingCode]])&gt;0,0,1)</f>
        <v>0</v>
      </c>
      <c r="C404" s="43">
        <f>IF(COUNTIF(CUSTGROUP[CustomGroupingCode],FinanceCodesBudget[[#This Row],[CustomGrouping]])&gt;0,0,1)</f>
        <v>0</v>
      </c>
      <c r="D404" s="43" cm="1">
        <f t="array" ref="D404">IF(FinanceCodesBudget[[#This Row],[AvailableToAllSchools]]=TRUE,0,COUNTA(_xlfn.TEXTSPLIT(FinanceCodesBudget[[#This Row],[SchoolCodes]],",",,TRUE))-SUM(COUNTIF(SCHOOLS[SchoolCode],_xlfn.TEXTSPLIT(FinanceCodesBudget[[#This Row],[SchoolCodes]],",",,TRUE))))</f>
        <v>0</v>
      </c>
      <c r="E404" s="43">
        <f>IF(FinanceCodesBudget[[#This Row],[FinanceCodeTypeCode]]="BUDGET",0,COUNTIF(FinanceCodesBudget[FinanceCode],FinanceCodesBudget[[#This Row],[FinanceCode]])-1)</f>
        <v>0</v>
      </c>
      <c r="F404" s="43">
        <f>IF(FinanceCodesBudget[[#This Row],[FinanceCodeTypeCode]]="BUDGET",0,COUNTIF(FinanceCodesBudget[Title],FinanceCodesBudget[[#This Row],[Title]])-1)</f>
        <v>0</v>
      </c>
      <c r="G404" s="43">
        <f>COUNTIF(Lookup!$A$2:$A$7,FinanceCodesBudget[[#This Row],[FinanceCodeTypeCode]])-1</f>
        <v>0</v>
      </c>
      <c r="H404" s="43">
        <f>IF(TRIM(FinanceCodesBudget[[#This Row],[Title]])="",1,0)</f>
        <v>0</v>
      </c>
      <c r="I404" s="43">
        <f>IF(TRIM(FinanceCodesBudget[[#This Row],[FinanceCode]])="",1,0)</f>
        <v>0</v>
      </c>
      <c r="J404" s="43">
        <f>IF(LEN(FinanceCodesBudget[[#This Row],[FinanceCode]])&lt;100,0,1)</f>
        <v>0</v>
      </c>
      <c r="K404" s="43">
        <f>IF(LEN(FinanceCodesBudget[[#This Row],[Title]])&lt;100,0,1)</f>
        <v>0</v>
      </c>
      <c r="L404" s="43">
        <f>IF(ISBLANK(FinanceCodesBudget[[#This Row],[BalanceToScenario]]),1,0)</f>
        <v>0</v>
      </c>
      <c r="M404" s="43">
        <f>SUM(FinanceCodesBudget[[#This Row],[LedgerIssue]:[CustGrIssue]],FinanceCodesBudget[[#This Row],[DupCode]:[Balance to Scenario Blank]])</f>
        <v>0</v>
      </c>
      <c r="N404">
        <v>835370</v>
      </c>
      <c r="O404" t="s">
        <v>2925</v>
      </c>
      <c r="P404" t="s">
        <v>671</v>
      </c>
      <c r="Q404" t="s">
        <v>1998</v>
      </c>
      <c r="R404" t="b">
        <v>0</v>
      </c>
      <c r="S404" t="s">
        <v>2526</v>
      </c>
      <c r="T404" t="s">
        <v>1300</v>
      </c>
      <c r="U404" t="s">
        <v>1532</v>
      </c>
      <c r="V404" t="b">
        <v>1</v>
      </c>
      <c r="W404" t="b">
        <v>0</v>
      </c>
    </row>
    <row r="405" spans="1:23" x14ac:dyDescent="0.3">
      <c r="A405" s="147">
        <f>IF(COUNTIF(LEDGER[LedgerCode],FinanceCodesBudget[[#This Row],[LedgerCode]])&gt;0,0,1)</f>
        <v>0</v>
      </c>
      <c r="B405" s="43">
        <f>IF(COUNTIF(Table_System_Grouping_Codes[groupingCodeCode],FinanceCodesBudget[[#This Row],[GroupingCode]])&gt;0,0,1)</f>
        <v>0</v>
      </c>
      <c r="C405" s="43">
        <f>IF(COUNTIF(CUSTGROUP[CustomGroupingCode],FinanceCodesBudget[[#This Row],[CustomGrouping]])&gt;0,0,1)</f>
        <v>0</v>
      </c>
      <c r="D405" s="43" cm="1">
        <f t="array" ref="D405">IF(FinanceCodesBudget[[#This Row],[AvailableToAllSchools]]=TRUE,0,COUNTA(_xlfn.TEXTSPLIT(FinanceCodesBudget[[#This Row],[SchoolCodes]],",",,TRUE))-SUM(COUNTIF(SCHOOLS[SchoolCode],_xlfn.TEXTSPLIT(FinanceCodesBudget[[#This Row],[SchoolCodes]],",",,TRUE))))</f>
        <v>0</v>
      </c>
      <c r="E405" s="43">
        <f>IF(FinanceCodesBudget[[#This Row],[FinanceCodeTypeCode]]="BUDGET",0,COUNTIF(FinanceCodesBudget[FinanceCode],FinanceCodesBudget[[#This Row],[FinanceCode]])-1)</f>
        <v>0</v>
      </c>
      <c r="F405" s="43">
        <f>IF(FinanceCodesBudget[[#This Row],[FinanceCodeTypeCode]]="BUDGET",0,COUNTIF(FinanceCodesBudget[Title],FinanceCodesBudget[[#This Row],[Title]])-1)</f>
        <v>0</v>
      </c>
      <c r="G405" s="43">
        <f>COUNTIF(Lookup!$A$2:$A$7,FinanceCodesBudget[[#This Row],[FinanceCodeTypeCode]])-1</f>
        <v>0</v>
      </c>
      <c r="H405" s="43">
        <f>IF(TRIM(FinanceCodesBudget[[#This Row],[Title]])="",1,0)</f>
        <v>0</v>
      </c>
      <c r="I405" s="43">
        <f>IF(TRIM(FinanceCodesBudget[[#This Row],[FinanceCode]])="",1,0)</f>
        <v>0</v>
      </c>
      <c r="J405" s="43">
        <f>IF(LEN(FinanceCodesBudget[[#This Row],[FinanceCode]])&lt;100,0,1)</f>
        <v>0</v>
      </c>
      <c r="K405" s="43">
        <f>IF(LEN(FinanceCodesBudget[[#This Row],[Title]])&lt;100,0,1)</f>
        <v>0</v>
      </c>
      <c r="L405" s="43">
        <f>IF(ISBLANK(FinanceCodesBudget[[#This Row],[BalanceToScenario]]),1,0)</f>
        <v>0</v>
      </c>
      <c r="M405" s="43">
        <f>SUM(FinanceCodesBudget[[#This Row],[LedgerIssue]:[CustGrIssue]],FinanceCodesBudget[[#This Row],[DupCode]:[Balance to Scenario Blank]])</f>
        <v>0</v>
      </c>
      <c r="N405">
        <v>835400</v>
      </c>
      <c r="O405" t="s">
        <v>2926</v>
      </c>
      <c r="P405" t="s">
        <v>1910</v>
      </c>
      <c r="Q405" t="s">
        <v>1998</v>
      </c>
      <c r="R405" t="b">
        <v>0</v>
      </c>
      <c r="S405" t="s">
        <v>2526</v>
      </c>
      <c r="T405" t="s">
        <v>1300</v>
      </c>
      <c r="U405" t="s">
        <v>1532</v>
      </c>
      <c r="V405" t="b">
        <v>1</v>
      </c>
      <c r="W405" t="b">
        <v>0</v>
      </c>
    </row>
    <row r="406" spans="1:23" x14ac:dyDescent="0.3">
      <c r="A406" s="147">
        <f>IF(COUNTIF(LEDGER[LedgerCode],FinanceCodesBudget[[#This Row],[LedgerCode]])&gt;0,0,1)</f>
        <v>0</v>
      </c>
      <c r="B406" s="43">
        <f>IF(COUNTIF(Table_System_Grouping_Codes[groupingCodeCode],FinanceCodesBudget[[#This Row],[GroupingCode]])&gt;0,0,1)</f>
        <v>0</v>
      </c>
      <c r="C406" s="43">
        <f>IF(COUNTIF(CUSTGROUP[CustomGroupingCode],FinanceCodesBudget[[#This Row],[CustomGrouping]])&gt;0,0,1)</f>
        <v>0</v>
      </c>
      <c r="D406" s="43" cm="1">
        <f t="array" ref="D406">IF(FinanceCodesBudget[[#This Row],[AvailableToAllSchools]]=TRUE,0,COUNTA(_xlfn.TEXTSPLIT(FinanceCodesBudget[[#This Row],[SchoolCodes]],",",,TRUE))-SUM(COUNTIF(SCHOOLS[SchoolCode],_xlfn.TEXTSPLIT(FinanceCodesBudget[[#This Row],[SchoolCodes]],",",,TRUE))))</f>
        <v>0</v>
      </c>
      <c r="E406" s="43">
        <f>IF(FinanceCodesBudget[[#This Row],[FinanceCodeTypeCode]]="BUDGET",0,COUNTIF(FinanceCodesBudget[FinanceCode],FinanceCodesBudget[[#This Row],[FinanceCode]])-1)</f>
        <v>0</v>
      </c>
      <c r="F406" s="43">
        <f>IF(FinanceCodesBudget[[#This Row],[FinanceCodeTypeCode]]="BUDGET",0,COUNTIF(FinanceCodesBudget[Title],FinanceCodesBudget[[#This Row],[Title]])-1)</f>
        <v>0</v>
      </c>
      <c r="G406" s="43">
        <f>COUNTIF(Lookup!$A$2:$A$7,FinanceCodesBudget[[#This Row],[FinanceCodeTypeCode]])-1</f>
        <v>0</v>
      </c>
      <c r="H406" s="43">
        <f>IF(TRIM(FinanceCodesBudget[[#This Row],[Title]])="",1,0)</f>
        <v>0</v>
      </c>
      <c r="I406" s="43">
        <f>IF(TRIM(FinanceCodesBudget[[#This Row],[FinanceCode]])="",1,0)</f>
        <v>0</v>
      </c>
      <c r="J406" s="43">
        <f>IF(LEN(FinanceCodesBudget[[#This Row],[FinanceCode]])&lt;100,0,1)</f>
        <v>0</v>
      </c>
      <c r="K406" s="43">
        <f>IF(LEN(FinanceCodesBudget[[#This Row],[Title]])&lt;100,0,1)</f>
        <v>0</v>
      </c>
      <c r="L406" s="43">
        <f>IF(ISBLANK(FinanceCodesBudget[[#This Row],[BalanceToScenario]]),1,0)</f>
        <v>0</v>
      </c>
      <c r="M406" s="43">
        <f>SUM(FinanceCodesBudget[[#This Row],[LedgerIssue]:[CustGrIssue]],FinanceCodesBudget[[#This Row],[DupCode]:[Balance to Scenario Blank]])</f>
        <v>0</v>
      </c>
      <c r="N406">
        <v>835420</v>
      </c>
      <c r="O406" t="s">
        <v>2927</v>
      </c>
      <c r="P406" t="s">
        <v>1912</v>
      </c>
      <c r="Q406" t="s">
        <v>1998</v>
      </c>
      <c r="R406" t="b">
        <v>0</v>
      </c>
      <c r="S406" t="s">
        <v>2526</v>
      </c>
      <c r="T406" t="s">
        <v>1300</v>
      </c>
      <c r="U406" t="s">
        <v>1532</v>
      </c>
      <c r="V406" t="b">
        <v>1</v>
      </c>
      <c r="W406" t="b">
        <v>0</v>
      </c>
    </row>
    <row r="407" spans="1:23" x14ac:dyDescent="0.3">
      <c r="A407" s="147">
        <f>IF(COUNTIF(LEDGER[LedgerCode],FinanceCodesBudget[[#This Row],[LedgerCode]])&gt;0,0,1)</f>
        <v>0</v>
      </c>
      <c r="B407" s="43">
        <f>IF(COUNTIF(Table_System_Grouping_Codes[groupingCodeCode],FinanceCodesBudget[[#This Row],[GroupingCode]])&gt;0,0,1)</f>
        <v>0</v>
      </c>
      <c r="C407" s="43">
        <f>IF(COUNTIF(CUSTGROUP[CustomGroupingCode],FinanceCodesBudget[[#This Row],[CustomGrouping]])&gt;0,0,1)</f>
        <v>0</v>
      </c>
      <c r="D407" s="43" cm="1">
        <f t="array" ref="D407">IF(FinanceCodesBudget[[#This Row],[AvailableToAllSchools]]=TRUE,0,COUNTA(_xlfn.TEXTSPLIT(FinanceCodesBudget[[#This Row],[SchoolCodes]],",",,TRUE))-SUM(COUNTIF(SCHOOLS[SchoolCode],_xlfn.TEXTSPLIT(FinanceCodesBudget[[#This Row],[SchoolCodes]],",",,TRUE))))</f>
        <v>0</v>
      </c>
      <c r="E407" s="43">
        <f>IF(FinanceCodesBudget[[#This Row],[FinanceCodeTypeCode]]="BUDGET",0,COUNTIF(FinanceCodesBudget[FinanceCode],FinanceCodesBudget[[#This Row],[FinanceCode]])-1)</f>
        <v>0</v>
      </c>
      <c r="F407" s="43">
        <f>IF(FinanceCodesBudget[[#This Row],[FinanceCodeTypeCode]]="BUDGET",0,COUNTIF(FinanceCodesBudget[Title],FinanceCodesBudget[[#This Row],[Title]])-1)</f>
        <v>0</v>
      </c>
      <c r="G407" s="43">
        <f>COUNTIF(Lookup!$A$2:$A$7,FinanceCodesBudget[[#This Row],[FinanceCodeTypeCode]])-1</f>
        <v>0</v>
      </c>
      <c r="H407" s="43">
        <f>IF(TRIM(FinanceCodesBudget[[#This Row],[Title]])="",1,0)</f>
        <v>0</v>
      </c>
      <c r="I407" s="43">
        <f>IF(TRIM(FinanceCodesBudget[[#This Row],[FinanceCode]])="",1,0)</f>
        <v>0</v>
      </c>
      <c r="J407" s="43">
        <f>IF(LEN(FinanceCodesBudget[[#This Row],[FinanceCode]])&lt;100,0,1)</f>
        <v>0</v>
      </c>
      <c r="K407" s="43">
        <f>IF(LEN(FinanceCodesBudget[[#This Row],[Title]])&lt;100,0,1)</f>
        <v>0</v>
      </c>
      <c r="L407" s="43">
        <f>IF(ISBLANK(FinanceCodesBudget[[#This Row],[BalanceToScenario]]),1,0)</f>
        <v>0</v>
      </c>
      <c r="M407" s="43">
        <f>SUM(FinanceCodesBudget[[#This Row],[LedgerIssue]:[CustGrIssue]],FinanceCodesBudget[[#This Row],[DupCode]:[Balance to Scenario Blank]])</f>
        <v>0</v>
      </c>
      <c r="N407">
        <v>835450</v>
      </c>
      <c r="O407" t="s">
        <v>2928</v>
      </c>
      <c r="P407" t="s">
        <v>1914</v>
      </c>
      <c r="Q407" t="s">
        <v>1998</v>
      </c>
      <c r="R407" t="b">
        <v>0</v>
      </c>
      <c r="S407" t="s">
        <v>2449</v>
      </c>
      <c r="T407" t="s">
        <v>1300</v>
      </c>
      <c r="U407" t="s">
        <v>1532</v>
      </c>
      <c r="V407" t="b">
        <v>1</v>
      </c>
      <c r="W407" t="b">
        <v>0</v>
      </c>
    </row>
    <row r="408" spans="1:23" x14ac:dyDescent="0.3">
      <c r="A408" s="147">
        <f>IF(COUNTIF(LEDGER[LedgerCode],FinanceCodesBudget[[#This Row],[LedgerCode]])&gt;0,0,1)</f>
        <v>0</v>
      </c>
      <c r="B408" s="43">
        <f>IF(COUNTIF(Table_System_Grouping_Codes[groupingCodeCode],FinanceCodesBudget[[#This Row],[GroupingCode]])&gt;0,0,1)</f>
        <v>0</v>
      </c>
      <c r="C408" s="43">
        <f>IF(COUNTIF(CUSTGROUP[CustomGroupingCode],FinanceCodesBudget[[#This Row],[CustomGrouping]])&gt;0,0,1)</f>
        <v>0</v>
      </c>
      <c r="D408" s="43" cm="1">
        <f t="array" ref="D408">IF(FinanceCodesBudget[[#This Row],[AvailableToAllSchools]]=TRUE,0,COUNTA(_xlfn.TEXTSPLIT(FinanceCodesBudget[[#This Row],[SchoolCodes]],",",,TRUE))-SUM(COUNTIF(SCHOOLS[SchoolCode],_xlfn.TEXTSPLIT(FinanceCodesBudget[[#This Row],[SchoolCodes]],",",,TRUE))))</f>
        <v>0</v>
      </c>
      <c r="E408" s="43">
        <f>IF(FinanceCodesBudget[[#This Row],[FinanceCodeTypeCode]]="BUDGET",0,COUNTIF(FinanceCodesBudget[FinanceCode],FinanceCodesBudget[[#This Row],[FinanceCode]])-1)</f>
        <v>0</v>
      </c>
      <c r="F408" s="43">
        <f>IF(FinanceCodesBudget[[#This Row],[FinanceCodeTypeCode]]="BUDGET",0,COUNTIF(FinanceCodesBudget[Title],FinanceCodesBudget[[#This Row],[Title]])-1)</f>
        <v>0</v>
      </c>
      <c r="G408" s="43">
        <f>COUNTIF(Lookup!$A$2:$A$7,FinanceCodesBudget[[#This Row],[FinanceCodeTypeCode]])-1</f>
        <v>0</v>
      </c>
      <c r="H408" s="43">
        <f>IF(TRIM(FinanceCodesBudget[[#This Row],[Title]])="",1,0)</f>
        <v>0</v>
      </c>
      <c r="I408" s="43">
        <f>IF(TRIM(FinanceCodesBudget[[#This Row],[FinanceCode]])="",1,0)</f>
        <v>0</v>
      </c>
      <c r="J408" s="43">
        <f>IF(LEN(FinanceCodesBudget[[#This Row],[FinanceCode]])&lt;100,0,1)</f>
        <v>0</v>
      </c>
      <c r="K408" s="43">
        <f>IF(LEN(FinanceCodesBudget[[#This Row],[Title]])&lt;100,0,1)</f>
        <v>0</v>
      </c>
      <c r="L408" s="43">
        <f>IF(ISBLANK(FinanceCodesBudget[[#This Row],[BalanceToScenario]]),1,0)</f>
        <v>0</v>
      </c>
      <c r="M408" s="43">
        <f>SUM(FinanceCodesBudget[[#This Row],[LedgerIssue]:[CustGrIssue]],FinanceCodesBudget[[#This Row],[DupCode]:[Balance to Scenario Blank]])</f>
        <v>0</v>
      </c>
      <c r="N408">
        <v>835470</v>
      </c>
      <c r="O408" t="s">
        <v>2929</v>
      </c>
      <c r="P408" t="s">
        <v>672</v>
      </c>
      <c r="Q408" t="s">
        <v>1998</v>
      </c>
      <c r="R408" t="b">
        <v>0</v>
      </c>
      <c r="S408" t="s">
        <v>2526</v>
      </c>
      <c r="T408" t="s">
        <v>1300</v>
      </c>
      <c r="U408" t="s">
        <v>1532</v>
      </c>
      <c r="V408" t="b">
        <v>1</v>
      </c>
      <c r="W408" t="b">
        <v>0</v>
      </c>
    </row>
    <row r="409" spans="1:23" x14ac:dyDescent="0.3">
      <c r="A409" s="147">
        <f>IF(COUNTIF(LEDGER[LedgerCode],FinanceCodesBudget[[#This Row],[LedgerCode]])&gt;0,0,1)</f>
        <v>0</v>
      </c>
      <c r="B409" s="43">
        <f>IF(COUNTIF(Table_System_Grouping_Codes[groupingCodeCode],FinanceCodesBudget[[#This Row],[GroupingCode]])&gt;0,0,1)</f>
        <v>0</v>
      </c>
      <c r="C409" s="43">
        <f>IF(COUNTIF(CUSTGROUP[CustomGroupingCode],FinanceCodesBudget[[#This Row],[CustomGrouping]])&gt;0,0,1)</f>
        <v>0</v>
      </c>
      <c r="D409" s="43" cm="1">
        <f t="array" ref="D409">IF(FinanceCodesBudget[[#This Row],[AvailableToAllSchools]]=TRUE,0,COUNTA(_xlfn.TEXTSPLIT(FinanceCodesBudget[[#This Row],[SchoolCodes]],",",,TRUE))-SUM(COUNTIF(SCHOOLS[SchoolCode],_xlfn.TEXTSPLIT(FinanceCodesBudget[[#This Row],[SchoolCodes]],",",,TRUE))))</f>
        <v>0</v>
      </c>
      <c r="E409" s="43">
        <f>IF(FinanceCodesBudget[[#This Row],[FinanceCodeTypeCode]]="BUDGET",0,COUNTIF(FinanceCodesBudget[FinanceCode],FinanceCodesBudget[[#This Row],[FinanceCode]])-1)</f>
        <v>0</v>
      </c>
      <c r="F409" s="43">
        <f>IF(FinanceCodesBudget[[#This Row],[FinanceCodeTypeCode]]="BUDGET",0,COUNTIF(FinanceCodesBudget[Title],FinanceCodesBudget[[#This Row],[Title]])-1)</f>
        <v>0</v>
      </c>
      <c r="G409" s="43">
        <f>COUNTIF(Lookup!$A$2:$A$7,FinanceCodesBudget[[#This Row],[FinanceCodeTypeCode]])-1</f>
        <v>0</v>
      </c>
      <c r="H409" s="43">
        <f>IF(TRIM(FinanceCodesBudget[[#This Row],[Title]])="",1,0)</f>
        <v>0</v>
      </c>
      <c r="I409" s="43">
        <f>IF(TRIM(FinanceCodesBudget[[#This Row],[FinanceCode]])="",1,0)</f>
        <v>0</v>
      </c>
      <c r="J409" s="43">
        <f>IF(LEN(FinanceCodesBudget[[#This Row],[FinanceCode]])&lt;100,0,1)</f>
        <v>0</v>
      </c>
      <c r="K409" s="43">
        <f>IF(LEN(FinanceCodesBudget[[#This Row],[Title]])&lt;100,0,1)</f>
        <v>0</v>
      </c>
      <c r="L409" s="43">
        <f>IF(ISBLANK(FinanceCodesBudget[[#This Row],[BalanceToScenario]]),1,0)</f>
        <v>0</v>
      </c>
      <c r="M409" s="43">
        <f>SUM(FinanceCodesBudget[[#This Row],[LedgerIssue]:[CustGrIssue]],FinanceCodesBudget[[#This Row],[DupCode]:[Balance to Scenario Blank]])</f>
        <v>0</v>
      </c>
      <c r="N409">
        <v>835500</v>
      </c>
      <c r="O409" t="s">
        <v>2930</v>
      </c>
      <c r="P409" t="s">
        <v>674</v>
      </c>
      <c r="Q409" t="s">
        <v>1998</v>
      </c>
      <c r="R409" t="b">
        <v>0</v>
      </c>
      <c r="S409" t="s">
        <v>2526</v>
      </c>
      <c r="T409" t="s">
        <v>1300</v>
      </c>
      <c r="U409" t="s">
        <v>1532</v>
      </c>
      <c r="V409" t="b">
        <v>1</v>
      </c>
      <c r="W409" t="b">
        <v>0</v>
      </c>
    </row>
    <row r="410" spans="1:23" x14ac:dyDescent="0.3">
      <c r="A410" s="147">
        <f>IF(COUNTIF(LEDGER[LedgerCode],FinanceCodesBudget[[#This Row],[LedgerCode]])&gt;0,0,1)</f>
        <v>0</v>
      </c>
      <c r="B410" s="43">
        <f>IF(COUNTIF(Table_System_Grouping_Codes[groupingCodeCode],FinanceCodesBudget[[#This Row],[GroupingCode]])&gt;0,0,1)</f>
        <v>0</v>
      </c>
      <c r="C410" s="43">
        <f>IF(COUNTIF(CUSTGROUP[CustomGroupingCode],FinanceCodesBudget[[#This Row],[CustomGrouping]])&gt;0,0,1)</f>
        <v>0</v>
      </c>
      <c r="D410" s="43" cm="1">
        <f t="array" ref="D410">IF(FinanceCodesBudget[[#This Row],[AvailableToAllSchools]]=TRUE,0,COUNTA(_xlfn.TEXTSPLIT(FinanceCodesBudget[[#This Row],[SchoolCodes]],",",,TRUE))-SUM(COUNTIF(SCHOOLS[SchoolCode],_xlfn.TEXTSPLIT(FinanceCodesBudget[[#This Row],[SchoolCodes]],",",,TRUE))))</f>
        <v>0</v>
      </c>
      <c r="E410" s="43">
        <f>IF(FinanceCodesBudget[[#This Row],[FinanceCodeTypeCode]]="BUDGET",0,COUNTIF(FinanceCodesBudget[FinanceCode],FinanceCodesBudget[[#This Row],[FinanceCode]])-1)</f>
        <v>0</v>
      </c>
      <c r="F410" s="43">
        <f>IF(FinanceCodesBudget[[#This Row],[FinanceCodeTypeCode]]="BUDGET",0,COUNTIF(FinanceCodesBudget[Title],FinanceCodesBudget[[#This Row],[Title]])-1)</f>
        <v>0</v>
      </c>
      <c r="G410" s="43">
        <f>COUNTIF(Lookup!$A$2:$A$7,FinanceCodesBudget[[#This Row],[FinanceCodeTypeCode]])-1</f>
        <v>0</v>
      </c>
      <c r="H410" s="43">
        <f>IF(TRIM(FinanceCodesBudget[[#This Row],[Title]])="",1,0)</f>
        <v>0</v>
      </c>
      <c r="I410" s="43">
        <f>IF(TRIM(FinanceCodesBudget[[#This Row],[FinanceCode]])="",1,0)</f>
        <v>0</v>
      </c>
      <c r="J410" s="43">
        <f>IF(LEN(FinanceCodesBudget[[#This Row],[FinanceCode]])&lt;100,0,1)</f>
        <v>0</v>
      </c>
      <c r="K410" s="43">
        <f>IF(LEN(FinanceCodesBudget[[#This Row],[Title]])&lt;100,0,1)</f>
        <v>0</v>
      </c>
      <c r="L410" s="43">
        <f>IF(ISBLANK(FinanceCodesBudget[[#This Row],[BalanceToScenario]]),1,0)</f>
        <v>0</v>
      </c>
      <c r="M410" s="43">
        <f>SUM(FinanceCodesBudget[[#This Row],[LedgerIssue]:[CustGrIssue]],FinanceCodesBudget[[#This Row],[DupCode]:[Balance to Scenario Blank]])</f>
        <v>0</v>
      </c>
      <c r="N410">
        <v>835520</v>
      </c>
      <c r="O410" t="s">
        <v>2931</v>
      </c>
      <c r="P410" t="s">
        <v>675</v>
      </c>
      <c r="Q410" t="s">
        <v>1998</v>
      </c>
      <c r="R410" t="b">
        <v>0</v>
      </c>
      <c r="S410" t="s">
        <v>2526</v>
      </c>
      <c r="T410" t="s">
        <v>1300</v>
      </c>
      <c r="U410" t="s">
        <v>1532</v>
      </c>
      <c r="V410" t="b">
        <v>1</v>
      </c>
      <c r="W410" t="b">
        <v>0</v>
      </c>
    </row>
    <row r="411" spans="1:23" x14ac:dyDescent="0.3">
      <c r="A411" s="147">
        <f>IF(COUNTIF(LEDGER[LedgerCode],FinanceCodesBudget[[#This Row],[LedgerCode]])&gt;0,0,1)</f>
        <v>0</v>
      </c>
      <c r="B411" s="43">
        <f>IF(COUNTIF(Table_System_Grouping_Codes[groupingCodeCode],FinanceCodesBudget[[#This Row],[GroupingCode]])&gt;0,0,1)</f>
        <v>0</v>
      </c>
      <c r="C411" s="43">
        <f>IF(COUNTIF(CUSTGROUP[CustomGroupingCode],FinanceCodesBudget[[#This Row],[CustomGrouping]])&gt;0,0,1)</f>
        <v>0</v>
      </c>
      <c r="D411" s="43" cm="1">
        <f t="array" ref="D411">IF(FinanceCodesBudget[[#This Row],[AvailableToAllSchools]]=TRUE,0,COUNTA(_xlfn.TEXTSPLIT(FinanceCodesBudget[[#This Row],[SchoolCodes]],",",,TRUE))-SUM(COUNTIF(SCHOOLS[SchoolCode],_xlfn.TEXTSPLIT(FinanceCodesBudget[[#This Row],[SchoolCodes]],",",,TRUE))))</f>
        <v>0</v>
      </c>
      <c r="E411" s="43">
        <f>IF(FinanceCodesBudget[[#This Row],[FinanceCodeTypeCode]]="BUDGET",0,COUNTIF(FinanceCodesBudget[FinanceCode],FinanceCodesBudget[[#This Row],[FinanceCode]])-1)</f>
        <v>0</v>
      </c>
      <c r="F411" s="43">
        <f>IF(FinanceCodesBudget[[#This Row],[FinanceCodeTypeCode]]="BUDGET",0,COUNTIF(FinanceCodesBudget[Title],FinanceCodesBudget[[#This Row],[Title]])-1)</f>
        <v>0</v>
      </c>
      <c r="G411" s="43">
        <f>COUNTIF(Lookup!$A$2:$A$7,FinanceCodesBudget[[#This Row],[FinanceCodeTypeCode]])-1</f>
        <v>0</v>
      </c>
      <c r="H411" s="43">
        <f>IF(TRIM(FinanceCodesBudget[[#This Row],[Title]])="",1,0)</f>
        <v>0</v>
      </c>
      <c r="I411" s="43">
        <f>IF(TRIM(FinanceCodesBudget[[#This Row],[FinanceCode]])="",1,0)</f>
        <v>0</v>
      </c>
      <c r="J411" s="43">
        <f>IF(LEN(FinanceCodesBudget[[#This Row],[FinanceCode]])&lt;100,0,1)</f>
        <v>0</v>
      </c>
      <c r="K411" s="43">
        <f>IF(LEN(FinanceCodesBudget[[#This Row],[Title]])&lt;100,0,1)</f>
        <v>0</v>
      </c>
      <c r="L411" s="43">
        <f>IF(ISBLANK(FinanceCodesBudget[[#This Row],[BalanceToScenario]]),1,0)</f>
        <v>0</v>
      </c>
      <c r="M411" s="43">
        <f>SUM(FinanceCodesBudget[[#This Row],[LedgerIssue]:[CustGrIssue]],FinanceCodesBudget[[#This Row],[DupCode]:[Balance to Scenario Blank]])</f>
        <v>0</v>
      </c>
      <c r="N411">
        <v>835550</v>
      </c>
      <c r="O411" t="s">
        <v>2932</v>
      </c>
      <c r="P411" t="s">
        <v>676</v>
      </c>
      <c r="Q411" t="s">
        <v>1998</v>
      </c>
      <c r="R411" t="b">
        <v>0</v>
      </c>
      <c r="S411" t="s">
        <v>2526</v>
      </c>
      <c r="T411" t="s">
        <v>1300</v>
      </c>
      <c r="U411" t="s">
        <v>1532</v>
      </c>
      <c r="V411" t="b">
        <v>1</v>
      </c>
      <c r="W411" t="b">
        <v>0</v>
      </c>
    </row>
    <row r="412" spans="1:23" x14ac:dyDescent="0.3">
      <c r="A412" s="147">
        <f>IF(COUNTIF(LEDGER[LedgerCode],FinanceCodesBudget[[#This Row],[LedgerCode]])&gt;0,0,1)</f>
        <v>0</v>
      </c>
      <c r="B412" s="43">
        <f>IF(COUNTIF(Table_System_Grouping_Codes[groupingCodeCode],FinanceCodesBudget[[#This Row],[GroupingCode]])&gt;0,0,1)</f>
        <v>0</v>
      </c>
      <c r="C412" s="43">
        <f>IF(COUNTIF(CUSTGROUP[CustomGroupingCode],FinanceCodesBudget[[#This Row],[CustomGrouping]])&gt;0,0,1)</f>
        <v>0</v>
      </c>
      <c r="D412" s="43" cm="1">
        <f t="array" ref="D412">IF(FinanceCodesBudget[[#This Row],[AvailableToAllSchools]]=TRUE,0,COUNTA(_xlfn.TEXTSPLIT(FinanceCodesBudget[[#This Row],[SchoolCodes]],",",,TRUE))-SUM(COUNTIF(SCHOOLS[SchoolCode],_xlfn.TEXTSPLIT(FinanceCodesBudget[[#This Row],[SchoolCodes]],",",,TRUE))))</f>
        <v>0</v>
      </c>
      <c r="E412" s="43">
        <f>IF(FinanceCodesBudget[[#This Row],[FinanceCodeTypeCode]]="BUDGET",0,COUNTIF(FinanceCodesBudget[FinanceCode],FinanceCodesBudget[[#This Row],[FinanceCode]])-1)</f>
        <v>0</v>
      </c>
      <c r="F412" s="43">
        <f>IF(FinanceCodesBudget[[#This Row],[FinanceCodeTypeCode]]="BUDGET",0,COUNTIF(FinanceCodesBudget[Title],FinanceCodesBudget[[#This Row],[Title]])-1)</f>
        <v>0</v>
      </c>
      <c r="G412" s="43">
        <f>COUNTIF(Lookup!$A$2:$A$7,FinanceCodesBudget[[#This Row],[FinanceCodeTypeCode]])-1</f>
        <v>0</v>
      </c>
      <c r="H412" s="43">
        <f>IF(TRIM(FinanceCodesBudget[[#This Row],[Title]])="",1,0)</f>
        <v>0</v>
      </c>
      <c r="I412" s="43">
        <f>IF(TRIM(FinanceCodesBudget[[#This Row],[FinanceCode]])="",1,0)</f>
        <v>0</v>
      </c>
      <c r="J412" s="43">
        <f>IF(LEN(FinanceCodesBudget[[#This Row],[FinanceCode]])&lt;100,0,1)</f>
        <v>0</v>
      </c>
      <c r="K412" s="43">
        <f>IF(LEN(FinanceCodesBudget[[#This Row],[Title]])&lt;100,0,1)</f>
        <v>0</v>
      </c>
      <c r="L412" s="43">
        <f>IF(ISBLANK(FinanceCodesBudget[[#This Row],[BalanceToScenario]]),1,0)</f>
        <v>0</v>
      </c>
      <c r="M412" s="43">
        <f>SUM(FinanceCodesBudget[[#This Row],[LedgerIssue]:[CustGrIssue]],FinanceCodesBudget[[#This Row],[DupCode]:[Balance to Scenario Blank]])</f>
        <v>0</v>
      </c>
      <c r="N412">
        <v>835570</v>
      </c>
      <c r="O412" t="s">
        <v>2933</v>
      </c>
      <c r="P412" t="s">
        <v>676</v>
      </c>
      <c r="Q412" t="s">
        <v>1998</v>
      </c>
      <c r="R412" t="b">
        <v>0</v>
      </c>
      <c r="S412" t="s">
        <v>2526</v>
      </c>
      <c r="T412" t="s">
        <v>1300</v>
      </c>
      <c r="U412" t="s">
        <v>1532</v>
      </c>
      <c r="V412" t="b">
        <v>1</v>
      </c>
      <c r="W412" t="b">
        <v>0</v>
      </c>
    </row>
    <row r="413" spans="1:23" x14ac:dyDescent="0.3">
      <c r="A413" s="147">
        <f>IF(COUNTIF(LEDGER[LedgerCode],FinanceCodesBudget[[#This Row],[LedgerCode]])&gt;0,0,1)</f>
        <v>0</v>
      </c>
      <c r="B413" s="43">
        <f>IF(COUNTIF(Table_System_Grouping_Codes[groupingCodeCode],FinanceCodesBudget[[#This Row],[GroupingCode]])&gt;0,0,1)</f>
        <v>0</v>
      </c>
      <c r="C413" s="43">
        <f>IF(COUNTIF(CUSTGROUP[CustomGroupingCode],FinanceCodesBudget[[#This Row],[CustomGrouping]])&gt;0,0,1)</f>
        <v>0</v>
      </c>
      <c r="D413" s="43" cm="1">
        <f t="array" ref="D413">IF(FinanceCodesBudget[[#This Row],[AvailableToAllSchools]]=TRUE,0,COUNTA(_xlfn.TEXTSPLIT(FinanceCodesBudget[[#This Row],[SchoolCodes]],",",,TRUE))-SUM(COUNTIF(SCHOOLS[SchoolCode],_xlfn.TEXTSPLIT(FinanceCodesBudget[[#This Row],[SchoolCodes]],",",,TRUE))))</f>
        <v>0</v>
      </c>
      <c r="E413" s="43">
        <f>IF(FinanceCodesBudget[[#This Row],[FinanceCodeTypeCode]]="BUDGET",0,COUNTIF(FinanceCodesBudget[FinanceCode],FinanceCodesBudget[[#This Row],[FinanceCode]])-1)</f>
        <v>0</v>
      </c>
      <c r="F413" s="43">
        <f>IF(FinanceCodesBudget[[#This Row],[FinanceCodeTypeCode]]="BUDGET",0,COUNTIF(FinanceCodesBudget[Title],FinanceCodesBudget[[#This Row],[Title]])-1)</f>
        <v>0</v>
      </c>
      <c r="G413" s="43">
        <f>COUNTIF(Lookup!$A$2:$A$7,FinanceCodesBudget[[#This Row],[FinanceCodeTypeCode]])-1</f>
        <v>0</v>
      </c>
      <c r="H413" s="43">
        <f>IF(TRIM(FinanceCodesBudget[[#This Row],[Title]])="",1,0)</f>
        <v>0</v>
      </c>
      <c r="I413" s="43">
        <f>IF(TRIM(FinanceCodesBudget[[#This Row],[FinanceCode]])="",1,0)</f>
        <v>0</v>
      </c>
      <c r="J413" s="43">
        <f>IF(LEN(FinanceCodesBudget[[#This Row],[FinanceCode]])&lt;100,0,1)</f>
        <v>0</v>
      </c>
      <c r="K413" s="43">
        <f>IF(LEN(FinanceCodesBudget[[#This Row],[Title]])&lt;100,0,1)</f>
        <v>0</v>
      </c>
      <c r="L413" s="43">
        <f>IF(ISBLANK(FinanceCodesBudget[[#This Row],[BalanceToScenario]]),1,0)</f>
        <v>0</v>
      </c>
      <c r="M413" s="43">
        <f>SUM(FinanceCodesBudget[[#This Row],[LedgerIssue]:[CustGrIssue]],FinanceCodesBudget[[#This Row],[DupCode]:[Balance to Scenario Blank]])</f>
        <v>0</v>
      </c>
      <c r="N413">
        <v>835590</v>
      </c>
      <c r="O413" t="s">
        <v>2934</v>
      </c>
      <c r="P413" t="s">
        <v>1409</v>
      </c>
      <c r="Q413" t="s">
        <v>1998</v>
      </c>
      <c r="R413" t="b">
        <v>0</v>
      </c>
      <c r="S413" t="s">
        <v>2526</v>
      </c>
      <c r="T413" t="s">
        <v>1300</v>
      </c>
      <c r="U413" t="s">
        <v>1532</v>
      </c>
      <c r="V413" t="b">
        <v>1</v>
      </c>
      <c r="W413" t="b">
        <v>0</v>
      </c>
    </row>
    <row r="414" spans="1:23" x14ac:dyDescent="0.3">
      <c r="A414" s="147">
        <f>IF(COUNTIF(LEDGER[LedgerCode],FinanceCodesBudget[[#This Row],[LedgerCode]])&gt;0,0,1)</f>
        <v>0</v>
      </c>
      <c r="B414" s="43">
        <f>IF(COUNTIF(Table_System_Grouping_Codes[groupingCodeCode],FinanceCodesBudget[[#This Row],[GroupingCode]])&gt;0,0,1)</f>
        <v>0</v>
      </c>
      <c r="C414" s="43">
        <f>IF(COUNTIF(CUSTGROUP[CustomGroupingCode],FinanceCodesBudget[[#This Row],[CustomGrouping]])&gt;0,0,1)</f>
        <v>0</v>
      </c>
      <c r="D414" s="43" cm="1">
        <f t="array" ref="D414">IF(FinanceCodesBudget[[#This Row],[AvailableToAllSchools]]=TRUE,0,COUNTA(_xlfn.TEXTSPLIT(FinanceCodesBudget[[#This Row],[SchoolCodes]],",",,TRUE))-SUM(COUNTIF(SCHOOLS[SchoolCode],_xlfn.TEXTSPLIT(FinanceCodesBudget[[#This Row],[SchoolCodes]],",",,TRUE))))</f>
        <v>0</v>
      </c>
      <c r="E414" s="43">
        <f>IF(FinanceCodesBudget[[#This Row],[FinanceCodeTypeCode]]="BUDGET",0,COUNTIF(FinanceCodesBudget[FinanceCode],FinanceCodesBudget[[#This Row],[FinanceCode]])-1)</f>
        <v>0</v>
      </c>
      <c r="F414" s="43">
        <f>IF(FinanceCodesBudget[[#This Row],[FinanceCodeTypeCode]]="BUDGET",0,COUNTIF(FinanceCodesBudget[Title],FinanceCodesBudget[[#This Row],[Title]])-1)</f>
        <v>0</v>
      </c>
      <c r="G414" s="43">
        <f>COUNTIF(Lookup!$A$2:$A$7,FinanceCodesBudget[[#This Row],[FinanceCodeTypeCode]])-1</f>
        <v>0</v>
      </c>
      <c r="H414" s="43">
        <f>IF(TRIM(FinanceCodesBudget[[#This Row],[Title]])="",1,0)</f>
        <v>0</v>
      </c>
      <c r="I414" s="43">
        <f>IF(TRIM(FinanceCodesBudget[[#This Row],[FinanceCode]])="",1,0)</f>
        <v>0</v>
      </c>
      <c r="J414" s="43">
        <f>IF(LEN(FinanceCodesBudget[[#This Row],[FinanceCode]])&lt;100,0,1)</f>
        <v>0</v>
      </c>
      <c r="K414" s="43">
        <f>IF(LEN(FinanceCodesBudget[[#This Row],[Title]])&lt;100,0,1)</f>
        <v>0</v>
      </c>
      <c r="L414" s="43">
        <f>IF(ISBLANK(FinanceCodesBudget[[#This Row],[BalanceToScenario]]),1,0)</f>
        <v>0</v>
      </c>
      <c r="M414" s="43">
        <f>SUM(FinanceCodesBudget[[#This Row],[LedgerIssue]:[CustGrIssue]],FinanceCodesBudget[[#This Row],[DupCode]:[Balance to Scenario Blank]])</f>
        <v>0</v>
      </c>
      <c r="N414">
        <v>840100</v>
      </c>
      <c r="O414" t="s">
        <v>2935</v>
      </c>
      <c r="P414" t="s">
        <v>1411</v>
      </c>
      <c r="Q414" t="s">
        <v>1998</v>
      </c>
      <c r="R414" t="b">
        <v>0</v>
      </c>
      <c r="S414" t="s">
        <v>2526</v>
      </c>
      <c r="T414" t="s">
        <v>1300</v>
      </c>
      <c r="U414" t="s">
        <v>1532</v>
      </c>
      <c r="V414" t="b">
        <v>1</v>
      </c>
      <c r="W414" t="b">
        <v>0</v>
      </c>
    </row>
    <row r="415" spans="1:23" x14ac:dyDescent="0.3">
      <c r="A415" s="147">
        <f>IF(COUNTIF(LEDGER[LedgerCode],FinanceCodesBudget[[#This Row],[LedgerCode]])&gt;0,0,1)</f>
        <v>0</v>
      </c>
      <c r="B415" s="43">
        <f>IF(COUNTIF(Table_System_Grouping_Codes[groupingCodeCode],FinanceCodesBudget[[#This Row],[GroupingCode]])&gt;0,0,1)</f>
        <v>0</v>
      </c>
      <c r="C415" s="43">
        <f>IF(COUNTIF(CUSTGROUP[CustomGroupingCode],FinanceCodesBudget[[#This Row],[CustomGrouping]])&gt;0,0,1)</f>
        <v>0</v>
      </c>
      <c r="D415" s="43" cm="1">
        <f t="array" ref="D415">IF(FinanceCodesBudget[[#This Row],[AvailableToAllSchools]]=TRUE,0,COUNTA(_xlfn.TEXTSPLIT(FinanceCodesBudget[[#This Row],[SchoolCodes]],",",,TRUE))-SUM(COUNTIF(SCHOOLS[SchoolCode],_xlfn.TEXTSPLIT(FinanceCodesBudget[[#This Row],[SchoolCodes]],",",,TRUE))))</f>
        <v>0</v>
      </c>
      <c r="E415" s="43">
        <f>IF(FinanceCodesBudget[[#This Row],[FinanceCodeTypeCode]]="BUDGET",0,COUNTIF(FinanceCodesBudget[FinanceCode],FinanceCodesBudget[[#This Row],[FinanceCode]])-1)</f>
        <v>0</v>
      </c>
      <c r="F415" s="43">
        <f>IF(FinanceCodesBudget[[#This Row],[FinanceCodeTypeCode]]="BUDGET",0,COUNTIF(FinanceCodesBudget[Title],FinanceCodesBudget[[#This Row],[Title]])-1)</f>
        <v>0</v>
      </c>
      <c r="G415" s="43">
        <f>COUNTIF(Lookup!$A$2:$A$7,FinanceCodesBudget[[#This Row],[FinanceCodeTypeCode]])-1</f>
        <v>0</v>
      </c>
      <c r="H415" s="43">
        <f>IF(TRIM(FinanceCodesBudget[[#This Row],[Title]])="",1,0)</f>
        <v>0</v>
      </c>
      <c r="I415" s="43">
        <f>IF(TRIM(FinanceCodesBudget[[#This Row],[FinanceCode]])="",1,0)</f>
        <v>0</v>
      </c>
      <c r="J415" s="43">
        <f>IF(LEN(FinanceCodesBudget[[#This Row],[FinanceCode]])&lt;100,0,1)</f>
        <v>0</v>
      </c>
      <c r="K415" s="43">
        <f>IF(LEN(FinanceCodesBudget[[#This Row],[Title]])&lt;100,0,1)</f>
        <v>0</v>
      </c>
      <c r="L415" s="43">
        <f>IF(ISBLANK(FinanceCodesBudget[[#This Row],[BalanceToScenario]]),1,0)</f>
        <v>0</v>
      </c>
      <c r="M415" s="43">
        <f>SUM(FinanceCodesBudget[[#This Row],[LedgerIssue]:[CustGrIssue]],FinanceCodesBudget[[#This Row],[DupCode]:[Balance to Scenario Blank]])</f>
        <v>0</v>
      </c>
      <c r="N415">
        <v>840110</v>
      </c>
      <c r="O415" t="s">
        <v>2936</v>
      </c>
      <c r="P415" t="s">
        <v>1413</v>
      </c>
      <c r="Q415" t="s">
        <v>1998</v>
      </c>
      <c r="R415" t="b">
        <v>0</v>
      </c>
      <c r="S415" t="s">
        <v>2526</v>
      </c>
      <c r="T415" t="s">
        <v>1300</v>
      </c>
      <c r="U415" t="s">
        <v>1532</v>
      </c>
      <c r="V415" t="b">
        <v>1</v>
      </c>
      <c r="W415" t="b">
        <v>0</v>
      </c>
    </row>
    <row r="416" spans="1:23" x14ac:dyDescent="0.3">
      <c r="A416" s="147">
        <f>IF(COUNTIF(LEDGER[LedgerCode],FinanceCodesBudget[[#This Row],[LedgerCode]])&gt;0,0,1)</f>
        <v>0</v>
      </c>
      <c r="B416" s="43">
        <f>IF(COUNTIF(Table_System_Grouping_Codes[groupingCodeCode],FinanceCodesBudget[[#This Row],[GroupingCode]])&gt;0,0,1)</f>
        <v>0</v>
      </c>
      <c r="C416" s="43">
        <f>IF(COUNTIF(CUSTGROUP[CustomGroupingCode],FinanceCodesBudget[[#This Row],[CustomGrouping]])&gt;0,0,1)</f>
        <v>0</v>
      </c>
      <c r="D416" s="43" cm="1">
        <f t="array" ref="D416">IF(FinanceCodesBudget[[#This Row],[AvailableToAllSchools]]=TRUE,0,COUNTA(_xlfn.TEXTSPLIT(FinanceCodesBudget[[#This Row],[SchoolCodes]],",",,TRUE))-SUM(COUNTIF(SCHOOLS[SchoolCode],_xlfn.TEXTSPLIT(FinanceCodesBudget[[#This Row],[SchoolCodes]],",",,TRUE))))</f>
        <v>0</v>
      </c>
      <c r="E416" s="43">
        <f>IF(FinanceCodesBudget[[#This Row],[FinanceCodeTypeCode]]="BUDGET",0,COUNTIF(FinanceCodesBudget[FinanceCode],FinanceCodesBudget[[#This Row],[FinanceCode]])-1)</f>
        <v>0</v>
      </c>
      <c r="F416" s="43">
        <f>IF(FinanceCodesBudget[[#This Row],[FinanceCodeTypeCode]]="BUDGET",0,COUNTIF(FinanceCodesBudget[Title],FinanceCodesBudget[[#This Row],[Title]])-1)</f>
        <v>0</v>
      </c>
      <c r="G416" s="43">
        <f>COUNTIF(Lookup!$A$2:$A$7,FinanceCodesBudget[[#This Row],[FinanceCodeTypeCode]])-1</f>
        <v>0</v>
      </c>
      <c r="H416" s="43">
        <f>IF(TRIM(FinanceCodesBudget[[#This Row],[Title]])="",1,0)</f>
        <v>0</v>
      </c>
      <c r="I416" s="43">
        <f>IF(TRIM(FinanceCodesBudget[[#This Row],[FinanceCode]])="",1,0)</f>
        <v>0</v>
      </c>
      <c r="J416" s="43">
        <f>IF(LEN(FinanceCodesBudget[[#This Row],[FinanceCode]])&lt;100,0,1)</f>
        <v>0</v>
      </c>
      <c r="K416" s="43">
        <f>IF(LEN(FinanceCodesBudget[[#This Row],[Title]])&lt;100,0,1)</f>
        <v>0</v>
      </c>
      <c r="L416" s="43">
        <f>IF(ISBLANK(FinanceCodesBudget[[#This Row],[BalanceToScenario]]),1,0)</f>
        <v>0</v>
      </c>
      <c r="M416" s="43">
        <f>SUM(FinanceCodesBudget[[#This Row],[LedgerIssue]:[CustGrIssue]],FinanceCodesBudget[[#This Row],[DupCode]:[Balance to Scenario Blank]])</f>
        <v>0</v>
      </c>
      <c r="N416">
        <v>840120</v>
      </c>
      <c r="O416" t="s">
        <v>2937</v>
      </c>
      <c r="P416" t="s">
        <v>1415</v>
      </c>
      <c r="Q416" t="s">
        <v>1998</v>
      </c>
      <c r="R416" t="b">
        <v>0</v>
      </c>
      <c r="S416" t="s">
        <v>2526</v>
      </c>
      <c r="T416" t="s">
        <v>1300</v>
      </c>
      <c r="U416" t="s">
        <v>1532</v>
      </c>
      <c r="V416" t="b">
        <v>1</v>
      </c>
      <c r="W416" t="b">
        <v>0</v>
      </c>
    </row>
    <row r="417" spans="1:23" x14ac:dyDescent="0.3">
      <c r="A417" s="147">
        <f>IF(COUNTIF(LEDGER[LedgerCode],FinanceCodesBudget[[#This Row],[LedgerCode]])&gt;0,0,1)</f>
        <v>0</v>
      </c>
      <c r="B417" s="43">
        <f>IF(COUNTIF(Table_System_Grouping_Codes[groupingCodeCode],FinanceCodesBudget[[#This Row],[GroupingCode]])&gt;0,0,1)</f>
        <v>0</v>
      </c>
      <c r="C417" s="43">
        <f>IF(COUNTIF(CUSTGROUP[CustomGroupingCode],FinanceCodesBudget[[#This Row],[CustomGrouping]])&gt;0,0,1)</f>
        <v>0</v>
      </c>
      <c r="D417" s="43" cm="1">
        <f t="array" ref="D417">IF(FinanceCodesBudget[[#This Row],[AvailableToAllSchools]]=TRUE,0,COUNTA(_xlfn.TEXTSPLIT(FinanceCodesBudget[[#This Row],[SchoolCodes]],",",,TRUE))-SUM(COUNTIF(SCHOOLS[SchoolCode],_xlfn.TEXTSPLIT(FinanceCodesBudget[[#This Row],[SchoolCodes]],",",,TRUE))))</f>
        <v>0</v>
      </c>
      <c r="E417" s="43">
        <f>IF(FinanceCodesBudget[[#This Row],[FinanceCodeTypeCode]]="BUDGET",0,COUNTIF(FinanceCodesBudget[FinanceCode],FinanceCodesBudget[[#This Row],[FinanceCode]])-1)</f>
        <v>0</v>
      </c>
      <c r="F417" s="43">
        <f>IF(FinanceCodesBudget[[#This Row],[FinanceCodeTypeCode]]="BUDGET",0,COUNTIF(FinanceCodesBudget[Title],FinanceCodesBudget[[#This Row],[Title]])-1)</f>
        <v>0</v>
      </c>
      <c r="G417" s="43">
        <f>COUNTIF(Lookup!$A$2:$A$7,FinanceCodesBudget[[#This Row],[FinanceCodeTypeCode]])-1</f>
        <v>0</v>
      </c>
      <c r="H417" s="43">
        <f>IF(TRIM(FinanceCodesBudget[[#This Row],[Title]])="",1,0)</f>
        <v>0</v>
      </c>
      <c r="I417" s="43">
        <f>IF(TRIM(FinanceCodesBudget[[#This Row],[FinanceCode]])="",1,0)</f>
        <v>0</v>
      </c>
      <c r="J417" s="43">
        <f>IF(LEN(FinanceCodesBudget[[#This Row],[FinanceCode]])&lt;100,0,1)</f>
        <v>0</v>
      </c>
      <c r="K417" s="43">
        <f>IF(LEN(FinanceCodesBudget[[#This Row],[Title]])&lt;100,0,1)</f>
        <v>0</v>
      </c>
      <c r="L417" s="43">
        <f>IF(ISBLANK(FinanceCodesBudget[[#This Row],[BalanceToScenario]]),1,0)</f>
        <v>0</v>
      </c>
      <c r="M417" s="43">
        <f>SUM(FinanceCodesBudget[[#This Row],[LedgerIssue]:[CustGrIssue]],FinanceCodesBudget[[#This Row],[DupCode]:[Balance to Scenario Blank]])</f>
        <v>0</v>
      </c>
      <c r="N417">
        <v>840130</v>
      </c>
      <c r="O417" t="s">
        <v>2938</v>
      </c>
      <c r="P417" t="s">
        <v>1417</v>
      </c>
      <c r="Q417" t="s">
        <v>1998</v>
      </c>
      <c r="R417" t="b">
        <v>0</v>
      </c>
      <c r="S417" t="s">
        <v>2526</v>
      </c>
      <c r="T417" t="s">
        <v>1300</v>
      </c>
      <c r="U417" t="s">
        <v>1532</v>
      </c>
      <c r="V417" t="b">
        <v>1</v>
      </c>
      <c r="W417" t="b">
        <v>0</v>
      </c>
    </row>
    <row r="418" spans="1:23" x14ac:dyDescent="0.3">
      <c r="A418" s="147">
        <f>IF(COUNTIF(LEDGER[LedgerCode],FinanceCodesBudget[[#This Row],[LedgerCode]])&gt;0,0,1)</f>
        <v>0</v>
      </c>
      <c r="B418" s="43">
        <f>IF(COUNTIF(Table_System_Grouping_Codes[groupingCodeCode],FinanceCodesBudget[[#This Row],[GroupingCode]])&gt;0,0,1)</f>
        <v>0</v>
      </c>
      <c r="C418" s="43">
        <f>IF(COUNTIF(CUSTGROUP[CustomGroupingCode],FinanceCodesBudget[[#This Row],[CustomGrouping]])&gt;0,0,1)</f>
        <v>0</v>
      </c>
      <c r="D418" s="43" cm="1">
        <f t="array" ref="D418">IF(FinanceCodesBudget[[#This Row],[AvailableToAllSchools]]=TRUE,0,COUNTA(_xlfn.TEXTSPLIT(FinanceCodesBudget[[#This Row],[SchoolCodes]],",",,TRUE))-SUM(COUNTIF(SCHOOLS[SchoolCode],_xlfn.TEXTSPLIT(FinanceCodesBudget[[#This Row],[SchoolCodes]],",",,TRUE))))</f>
        <v>0</v>
      </c>
      <c r="E418" s="43">
        <f>IF(FinanceCodesBudget[[#This Row],[FinanceCodeTypeCode]]="BUDGET",0,COUNTIF(FinanceCodesBudget[FinanceCode],FinanceCodesBudget[[#This Row],[FinanceCode]])-1)</f>
        <v>0</v>
      </c>
      <c r="F418" s="43">
        <f>IF(FinanceCodesBudget[[#This Row],[FinanceCodeTypeCode]]="BUDGET",0,COUNTIF(FinanceCodesBudget[Title],FinanceCodesBudget[[#This Row],[Title]])-1)</f>
        <v>0</v>
      </c>
      <c r="G418" s="43">
        <f>COUNTIF(Lookup!$A$2:$A$7,FinanceCodesBudget[[#This Row],[FinanceCodeTypeCode]])-1</f>
        <v>0</v>
      </c>
      <c r="H418" s="43">
        <f>IF(TRIM(FinanceCodesBudget[[#This Row],[Title]])="",1,0)</f>
        <v>0</v>
      </c>
      <c r="I418" s="43">
        <f>IF(TRIM(FinanceCodesBudget[[#This Row],[FinanceCode]])="",1,0)</f>
        <v>0</v>
      </c>
      <c r="J418" s="43">
        <f>IF(LEN(FinanceCodesBudget[[#This Row],[FinanceCode]])&lt;100,0,1)</f>
        <v>0</v>
      </c>
      <c r="K418" s="43">
        <f>IF(LEN(FinanceCodesBudget[[#This Row],[Title]])&lt;100,0,1)</f>
        <v>0</v>
      </c>
      <c r="L418" s="43">
        <f>IF(ISBLANK(FinanceCodesBudget[[#This Row],[BalanceToScenario]]),1,0)</f>
        <v>0</v>
      </c>
      <c r="M418" s="43">
        <f>SUM(FinanceCodesBudget[[#This Row],[LedgerIssue]:[CustGrIssue]],FinanceCodesBudget[[#This Row],[DupCode]:[Balance to Scenario Blank]])</f>
        <v>0</v>
      </c>
      <c r="N418">
        <v>840200</v>
      </c>
      <c r="O418" t="s">
        <v>2939</v>
      </c>
      <c r="P418" t="s">
        <v>1419</v>
      </c>
      <c r="Q418" t="s">
        <v>1998</v>
      </c>
      <c r="R418" t="b">
        <v>0</v>
      </c>
      <c r="S418" t="s">
        <v>2526</v>
      </c>
      <c r="T418" t="s">
        <v>1300</v>
      </c>
      <c r="U418" t="s">
        <v>1532</v>
      </c>
      <c r="V418" t="b">
        <v>1</v>
      </c>
      <c r="W418" t="b">
        <v>0</v>
      </c>
    </row>
    <row r="419" spans="1:23" x14ac:dyDescent="0.3">
      <c r="A419" s="147">
        <f>IF(COUNTIF(LEDGER[LedgerCode],FinanceCodesBudget[[#This Row],[LedgerCode]])&gt;0,0,1)</f>
        <v>0</v>
      </c>
      <c r="B419" s="43">
        <f>IF(COUNTIF(Table_System_Grouping_Codes[groupingCodeCode],FinanceCodesBudget[[#This Row],[GroupingCode]])&gt;0,0,1)</f>
        <v>0</v>
      </c>
      <c r="C419" s="43">
        <f>IF(COUNTIF(CUSTGROUP[CustomGroupingCode],FinanceCodesBudget[[#This Row],[CustomGrouping]])&gt;0,0,1)</f>
        <v>0</v>
      </c>
      <c r="D419" s="43" cm="1">
        <f t="array" ref="D419">IF(FinanceCodesBudget[[#This Row],[AvailableToAllSchools]]=TRUE,0,COUNTA(_xlfn.TEXTSPLIT(FinanceCodesBudget[[#This Row],[SchoolCodes]],",",,TRUE))-SUM(COUNTIF(SCHOOLS[SchoolCode],_xlfn.TEXTSPLIT(FinanceCodesBudget[[#This Row],[SchoolCodes]],",",,TRUE))))</f>
        <v>0</v>
      </c>
      <c r="E419" s="43">
        <f>IF(FinanceCodesBudget[[#This Row],[FinanceCodeTypeCode]]="BUDGET",0,COUNTIF(FinanceCodesBudget[FinanceCode],FinanceCodesBudget[[#This Row],[FinanceCode]])-1)</f>
        <v>0</v>
      </c>
      <c r="F419" s="43">
        <f>IF(FinanceCodesBudget[[#This Row],[FinanceCodeTypeCode]]="BUDGET",0,COUNTIF(FinanceCodesBudget[Title],FinanceCodesBudget[[#This Row],[Title]])-1)</f>
        <v>0</v>
      </c>
      <c r="G419" s="43">
        <f>COUNTIF(Lookup!$A$2:$A$7,FinanceCodesBudget[[#This Row],[FinanceCodeTypeCode]])-1</f>
        <v>0</v>
      </c>
      <c r="H419" s="43">
        <f>IF(TRIM(FinanceCodesBudget[[#This Row],[Title]])="",1,0)</f>
        <v>0</v>
      </c>
      <c r="I419" s="43">
        <f>IF(TRIM(FinanceCodesBudget[[#This Row],[FinanceCode]])="",1,0)</f>
        <v>0</v>
      </c>
      <c r="J419" s="43">
        <f>IF(LEN(FinanceCodesBudget[[#This Row],[FinanceCode]])&lt;100,0,1)</f>
        <v>0</v>
      </c>
      <c r="K419" s="43">
        <f>IF(LEN(FinanceCodesBudget[[#This Row],[Title]])&lt;100,0,1)</f>
        <v>0</v>
      </c>
      <c r="L419" s="43">
        <f>IF(ISBLANK(FinanceCodesBudget[[#This Row],[BalanceToScenario]]),1,0)</f>
        <v>0</v>
      </c>
      <c r="M419" s="43">
        <f>SUM(FinanceCodesBudget[[#This Row],[LedgerIssue]:[CustGrIssue]],FinanceCodesBudget[[#This Row],[DupCode]:[Balance to Scenario Blank]])</f>
        <v>0</v>
      </c>
      <c r="N419">
        <v>845100</v>
      </c>
      <c r="O419" t="s">
        <v>2940</v>
      </c>
      <c r="P419" t="s">
        <v>678</v>
      </c>
      <c r="Q419" t="s">
        <v>1986</v>
      </c>
      <c r="R419" t="b">
        <v>0</v>
      </c>
      <c r="S419" t="s">
        <v>2526</v>
      </c>
      <c r="T419" t="s">
        <v>1300</v>
      </c>
      <c r="U419" t="s">
        <v>1532</v>
      </c>
      <c r="V419" t="b">
        <v>1</v>
      </c>
      <c r="W419" t="b">
        <v>0</v>
      </c>
    </row>
    <row r="420" spans="1:23" x14ac:dyDescent="0.3">
      <c r="A420" s="147">
        <f>IF(COUNTIF(LEDGER[LedgerCode],FinanceCodesBudget[[#This Row],[LedgerCode]])&gt;0,0,1)</f>
        <v>0</v>
      </c>
      <c r="B420" s="43">
        <f>IF(COUNTIF(Table_System_Grouping_Codes[groupingCodeCode],FinanceCodesBudget[[#This Row],[GroupingCode]])&gt;0,0,1)</f>
        <v>0</v>
      </c>
      <c r="C420" s="43">
        <f>IF(COUNTIF(CUSTGROUP[CustomGroupingCode],FinanceCodesBudget[[#This Row],[CustomGrouping]])&gt;0,0,1)</f>
        <v>0</v>
      </c>
      <c r="D420" s="43" cm="1">
        <f t="array" ref="D420">IF(FinanceCodesBudget[[#This Row],[AvailableToAllSchools]]=TRUE,0,COUNTA(_xlfn.TEXTSPLIT(FinanceCodesBudget[[#This Row],[SchoolCodes]],",",,TRUE))-SUM(COUNTIF(SCHOOLS[SchoolCode],_xlfn.TEXTSPLIT(FinanceCodesBudget[[#This Row],[SchoolCodes]],",",,TRUE))))</f>
        <v>0</v>
      </c>
      <c r="E420" s="43">
        <f>IF(FinanceCodesBudget[[#This Row],[FinanceCodeTypeCode]]="BUDGET",0,COUNTIF(FinanceCodesBudget[FinanceCode],FinanceCodesBudget[[#This Row],[FinanceCode]])-1)</f>
        <v>0</v>
      </c>
      <c r="F420" s="43">
        <f>IF(FinanceCodesBudget[[#This Row],[FinanceCodeTypeCode]]="BUDGET",0,COUNTIF(FinanceCodesBudget[Title],FinanceCodesBudget[[#This Row],[Title]])-1)</f>
        <v>0</v>
      </c>
      <c r="G420" s="43">
        <f>COUNTIF(Lookup!$A$2:$A$7,FinanceCodesBudget[[#This Row],[FinanceCodeTypeCode]])-1</f>
        <v>0</v>
      </c>
      <c r="H420" s="43">
        <f>IF(TRIM(FinanceCodesBudget[[#This Row],[Title]])="",1,0)</f>
        <v>0</v>
      </c>
      <c r="I420" s="43">
        <f>IF(TRIM(FinanceCodesBudget[[#This Row],[FinanceCode]])="",1,0)</f>
        <v>0</v>
      </c>
      <c r="J420" s="43">
        <f>IF(LEN(FinanceCodesBudget[[#This Row],[FinanceCode]])&lt;100,0,1)</f>
        <v>0</v>
      </c>
      <c r="K420" s="43">
        <f>IF(LEN(FinanceCodesBudget[[#This Row],[Title]])&lt;100,0,1)</f>
        <v>0</v>
      </c>
      <c r="L420" s="43">
        <f>IF(ISBLANK(FinanceCodesBudget[[#This Row],[BalanceToScenario]]),1,0)</f>
        <v>0</v>
      </c>
      <c r="M420" s="43">
        <f>SUM(FinanceCodesBudget[[#This Row],[LedgerIssue]:[CustGrIssue]],FinanceCodesBudget[[#This Row],[DupCode]:[Balance to Scenario Blank]])</f>
        <v>0</v>
      </c>
      <c r="N420">
        <v>845150</v>
      </c>
      <c r="O420" t="s">
        <v>2941</v>
      </c>
      <c r="P420" t="s">
        <v>680</v>
      </c>
      <c r="Q420" t="s">
        <v>1986</v>
      </c>
      <c r="R420" t="b">
        <v>0</v>
      </c>
      <c r="S420" t="s">
        <v>2526</v>
      </c>
      <c r="T420" t="s">
        <v>1300</v>
      </c>
      <c r="U420" t="s">
        <v>1532</v>
      </c>
      <c r="V420" t="b">
        <v>1</v>
      </c>
      <c r="W420" t="b">
        <v>0</v>
      </c>
    </row>
    <row r="421" spans="1:23" x14ac:dyDescent="0.3">
      <c r="A421" s="147">
        <f>IF(COUNTIF(LEDGER[LedgerCode],FinanceCodesBudget[[#This Row],[LedgerCode]])&gt;0,0,1)</f>
        <v>0</v>
      </c>
      <c r="B421" s="43">
        <f>IF(COUNTIF(Table_System_Grouping_Codes[groupingCodeCode],FinanceCodesBudget[[#This Row],[GroupingCode]])&gt;0,0,1)</f>
        <v>0</v>
      </c>
      <c r="C421" s="43">
        <f>IF(COUNTIF(CUSTGROUP[CustomGroupingCode],FinanceCodesBudget[[#This Row],[CustomGrouping]])&gt;0,0,1)</f>
        <v>0</v>
      </c>
      <c r="D421" s="43" cm="1">
        <f t="array" ref="D421">IF(FinanceCodesBudget[[#This Row],[AvailableToAllSchools]]=TRUE,0,COUNTA(_xlfn.TEXTSPLIT(FinanceCodesBudget[[#This Row],[SchoolCodes]],",",,TRUE))-SUM(COUNTIF(SCHOOLS[SchoolCode],_xlfn.TEXTSPLIT(FinanceCodesBudget[[#This Row],[SchoolCodes]],",",,TRUE))))</f>
        <v>0</v>
      </c>
      <c r="E421" s="43">
        <f>IF(FinanceCodesBudget[[#This Row],[FinanceCodeTypeCode]]="BUDGET",0,COUNTIF(FinanceCodesBudget[FinanceCode],FinanceCodesBudget[[#This Row],[FinanceCode]])-1)</f>
        <v>0</v>
      </c>
      <c r="F421" s="43">
        <f>IF(FinanceCodesBudget[[#This Row],[FinanceCodeTypeCode]]="BUDGET",0,COUNTIF(FinanceCodesBudget[Title],FinanceCodesBudget[[#This Row],[Title]])-1)</f>
        <v>0</v>
      </c>
      <c r="G421" s="43">
        <f>COUNTIF(Lookup!$A$2:$A$7,FinanceCodesBudget[[#This Row],[FinanceCodeTypeCode]])-1</f>
        <v>0</v>
      </c>
      <c r="H421" s="43">
        <f>IF(TRIM(FinanceCodesBudget[[#This Row],[Title]])="",1,0)</f>
        <v>0</v>
      </c>
      <c r="I421" s="43">
        <f>IF(TRIM(FinanceCodesBudget[[#This Row],[FinanceCode]])="",1,0)</f>
        <v>0</v>
      </c>
      <c r="J421" s="43">
        <f>IF(LEN(FinanceCodesBudget[[#This Row],[FinanceCode]])&lt;100,0,1)</f>
        <v>0</v>
      </c>
      <c r="K421" s="43">
        <f>IF(LEN(FinanceCodesBudget[[#This Row],[Title]])&lt;100,0,1)</f>
        <v>0</v>
      </c>
      <c r="L421" s="43">
        <f>IF(ISBLANK(FinanceCodesBudget[[#This Row],[BalanceToScenario]]),1,0)</f>
        <v>0</v>
      </c>
      <c r="M421" s="43">
        <f>SUM(FinanceCodesBudget[[#This Row],[LedgerIssue]:[CustGrIssue]],FinanceCodesBudget[[#This Row],[DupCode]:[Balance to Scenario Blank]])</f>
        <v>0</v>
      </c>
      <c r="N421">
        <v>845200</v>
      </c>
      <c r="O421" t="s">
        <v>2942</v>
      </c>
      <c r="P421" t="s">
        <v>680</v>
      </c>
      <c r="Q421" t="s">
        <v>1986</v>
      </c>
      <c r="R421" t="b">
        <v>0</v>
      </c>
      <c r="S421" t="s">
        <v>2526</v>
      </c>
      <c r="T421" t="s">
        <v>1300</v>
      </c>
      <c r="U421" t="s">
        <v>1532</v>
      </c>
      <c r="V421" t="b">
        <v>1</v>
      </c>
      <c r="W421" t="b">
        <v>0</v>
      </c>
    </row>
    <row r="422" spans="1:23" x14ac:dyDescent="0.3">
      <c r="A422" s="147">
        <f>IF(COUNTIF(LEDGER[LedgerCode],FinanceCodesBudget[[#This Row],[LedgerCode]])&gt;0,0,1)</f>
        <v>0</v>
      </c>
      <c r="B422" s="43">
        <f>IF(COUNTIF(Table_System_Grouping_Codes[groupingCodeCode],FinanceCodesBudget[[#This Row],[GroupingCode]])&gt;0,0,1)</f>
        <v>0</v>
      </c>
      <c r="C422" s="43">
        <f>IF(COUNTIF(CUSTGROUP[CustomGroupingCode],FinanceCodesBudget[[#This Row],[CustomGrouping]])&gt;0,0,1)</f>
        <v>0</v>
      </c>
      <c r="D422" s="43" cm="1">
        <f t="array" ref="D422">IF(FinanceCodesBudget[[#This Row],[AvailableToAllSchools]]=TRUE,0,COUNTA(_xlfn.TEXTSPLIT(FinanceCodesBudget[[#This Row],[SchoolCodes]],",",,TRUE))-SUM(COUNTIF(SCHOOLS[SchoolCode],_xlfn.TEXTSPLIT(FinanceCodesBudget[[#This Row],[SchoolCodes]],",",,TRUE))))</f>
        <v>0</v>
      </c>
      <c r="E422" s="43">
        <f>IF(FinanceCodesBudget[[#This Row],[FinanceCodeTypeCode]]="BUDGET",0,COUNTIF(FinanceCodesBudget[FinanceCode],FinanceCodesBudget[[#This Row],[FinanceCode]])-1)</f>
        <v>0</v>
      </c>
      <c r="F422" s="43">
        <f>IF(FinanceCodesBudget[[#This Row],[FinanceCodeTypeCode]]="BUDGET",0,COUNTIF(FinanceCodesBudget[Title],FinanceCodesBudget[[#This Row],[Title]])-1)</f>
        <v>0</v>
      </c>
      <c r="G422" s="43">
        <f>COUNTIF(Lookup!$A$2:$A$7,FinanceCodesBudget[[#This Row],[FinanceCodeTypeCode]])-1</f>
        <v>0</v>
      </c>
      <c r="H422" s="43">
        <f>IF(TRIM(FinanceCodesBudget[[#This Row],[Title]])="",1,0)</f>
        <v>0</v>
      </c>
      <c r="I422" s="43">
        <f>IF(TRIM(FinanceCodesBudget[[#This Row],[FinanceCode]])="",1,0)</f>
        <v>0</v>
      </c>
      <c r="J422" s="43">
        <f>IF(LEN(FinanceCodesBudget[[#This Row],[FinanceCode]])&lt;100,0,1)</f>
        <v>0</v>
      </c>
      <c r="K422" s="43">
        <f>IF(LEN(FinanceCodesBudget[[#This Row],[Title]])&lt;100,0,1)</f>
        <v>0</v>
      </c>
      <c r="L422" s="43">
        <f>IF(ISBLANK(FinanceCodesBudget[[#This Row],[BalanceToScenario]]),1,0)</f>
        <v>0</v>
      </c>
      <c r="M422" s="43">
        <f>SUM(FinanceCodesBudget[[#This Row],[LedgerIssue]:[CustGrIssue]],FinanceCodesBudget[[#This Row],[DupCode]:[Balance to Scenario Blank]])</f>
        <v>0</v>
      </c>
      <c r="N422">
        <v>845250</v>
      </c>
      <c r="O422" t="s">
        <v>2943</v>
      </c>
      <c r="P422" t="s">
        <v>682</v>
      </c>
      <c r="Q422" t="s">
        <v>1986</v>
      </c>
      <c r="R422" t="b">
        <v>0</v>
      </c>
      <c r="S422" t="s">
        <v>2526</v>
      </c>
      <c r="T422" t="s">
        <v>1300</v>
      </c>
      <c r="U422" t="s">
        <v>1532</v>
      </c>
      <c r="V422" t="b">
        <v>1</v>
      </c>
      <c r="W422" t="b">
        <v>0</v>
      </c>
    </row>
    <row r="423" spans="1:23" x14ac:dyDescent="0.3">
      <c r="A423" s="147">
        <f>IF(COUNTIF(LEDGER[LedgerCode],FinanceCodesBudget[[#This Row],[LedgerCode]])&gt;0,0,1)</f>
        <v>0</v>
      </c>
      <c r="B423" s="43">
        <f>IF(COUNTIF(Table_System_Grouping_Codes[groupingCodeCode],FinanceCodesBudget[[#This Row],[GroupingCode]])&gt;0,0,1)</f>
        <v>0</v>
      </c>
      <c r="C423" s="43">
        <f>IF(COUNTIF(CUSTGROUP[CustomGroupingCode],FinanceCodesBudget[[#This Row],[CustomGrouping]])&gt;0,0,1)</f>
        <v>0</v>
      </c>
      <c r="D423" s="43" cm="1">
        <f t="array" ref="D423">IF(FinanceCodesBudget[[#This Row],[AvailableToAllSchools]]=TRUE,0,COUNTA(_xlfn.TEXTSPLIT(FinanceCodesBudget[[#This Row],[SchoolCodes]],",",,TRUE))-SUM(COUNTIF(SCHOOLS[SchoolCode],_xlfn.TEXTSPLIT(FinanceCodesBudget[[#This Row],[SchoolCodes]],",",,TRUE))))</f>
        <v>0</v>
      </c>
      <c r="E423" s="43">
        <f>IF(FinanceCodesBudget[[#This Row],[FinanceCodeTypeCode]]="BUDGET",0,COUNTIF(FinanceCodesBudget[FinanceCode],FinanceCodesBudget[[#This Row],[FinanceCode]])-1)</f>
        <v>0</v>
      </c>
      <c r="F423" s="43">
        <f>IF(FinanceCodesBudget[[#This Row],[FinanceCodeTypeCode]]="BUDGET",0,COUNTIF(FinanceCodesBudget[Title],FinanceCodesBudget[[#This Row],[Title]])-1)</f>
        <v>0</v>
      </c>
      <c r="G423" s="43">
        <f>COUNTIF(Lookup!$A$2:$A$7,FinanceCodesBudget[[#This Row],[FinanceCodeTypeCode]])-1</f>
        <v>0</v>
      </c>
      <c r="H423" s="43">
        <f>IF(TRIM(FinanceCodesBudget[[#This Row],[Title]])="",1,0)</f>
        <v>0</v>
      </c>
      <c r="I423" s="43">
        <f>IF(TRIM(FinanceCodesBudget[[#This Row],[FinanceCode]])="",1,0)</f>
        <v>0</v>
      </c>
      <c r="J423" s="43">
        <f>IF(LEN(FinanceCodesBudget[[#This Row],[FinanceCode]])&lt;100,0,1)</f>
        <v>0</v>
      </c>
      <c r="K423" s="43">
        <f>IF(LEN(FinanceCodesBudget[[#This Row],[Title]])&lt;100,0,1)</f>
        <v>0</v>
      </c>
      <c r="L423" s="43">
        <f>IF(ISBLANK(FinanceCodesBudget[[#This Row],[BalanceToScenario]]),1,0)</f>
        <v>0</v>
      </c>
      <c r="M423" s="43">
        <f>SUM(FinanceCodesBudget[[#This Row],[LedgerIssue]:[CustGrIssue]],FinanceCodesBudget[[#This Row],[DupCode]:[Balance to Scenario Blank]])</f>
        <v>0</v>
      </c>
      <c r="N423">
        <v>845260</v>
      </c>
      <c r="O423" t="s">
        <v>2944</v>
      </c>
      <c r="P423" t="s">
        <v>684</v>
      </c>
      <c r="Q423" t="s">
        <v>1994</v>
      </c>
      <c r="R423" t="b">
        <v>0</v>
      </c>
      <c r="S423" t="s">
        <v>2526</v>
      </c>
      <c r="T423" t="s">
        <v>1300</v>
      </c>
      <c r="U423" t="s">
        <v>1532</v>
      </c>
      <c r="V423" t="b">
        <v>1</v>
      </c>
      <c r="W423" t="b">
        <v>0</v>
      </c>
    </row>
    <row r="424" spans="1:23" x14ac:dyDescent="0.3">
      <c r="A424" s="147">
        <f>IF(COUNTIF(LEDGER[LedgerCode],FinanceCodesBudget[[#This Row],[LedgerCode]])&gt;0,0,1)</f>
        <v>0</v>
      </c>
      <c r="B424" s="43">
        <f>IF(COUNTIF(Table_System_Grouping_Codes[groupingCodeCode],FinanceCodesBudget[[#This Row],[GroupingCode]])&gt;0,0,1)</f>
        <v>0</v>
      </c>
      <c r="C424" s="43">
        <f>IF(COUNTIF(CUSTGROUP[CustomGroupingCode],FinanceCodesBudget[[#This Row],[CustomGrouping]])&gt;0,0,1)</f>
        <v>0</v>
      </c>
      <c r="D424" s="43" cm="1">
        <f t="array" ref="D424">IF(FinanceCodesBudget[[#This Row],[AvailableToAllSchools]]=TRUE,0,COUNTA(_xlfn.TEXTSPLIT(FinanceCodesBudget[[#This Row],[SchoolCodes]],",",,TRUE))-SUM(COUNTIF(SCHOOLS[SchoolCode],_xlfn.TEXTSPLIT(FinanceCodesBudget[[#This Row],[SchoolCodes]],",",,TRUE))))</f>
        <v>0</v>
      </c>
      <c r="E424" s="43">
        <f>IF(FinanceCodesBudget[[#This Row],[FinanceCodeTypeCode]]="BUDGET",0,COUNTIF(FinanceCodesBudget[FinanceCode],FinanceCodesBudget[[#This Row],[FinanceCode]])-1)</f>
        <v>0</v>
      </c>
      <c r="F424" s="43">
        <f>IF(FinanceCodesBudget[[#This Row],[FinanceCodeTypeCode]]="BUDGET",0,COUNTIF(FinanceCodesBudget[Title],FinanceCodesBudget[[#This Row],[Title]])-1)</f>
        <v>0</v>
      </c>
      <c r="G424" s="43">
        <f>COUNTIF(Lookup!$A$2:$A$7,FinanceCodesBudget[[#This Row],[FinanceCodeTypeCode]])-1</f>
        <v>0</v>
      </c>
      <c r="H424" s="43">
        <f>IF(TRIM(FinanceCodesBudget[[#This Row],[Title]])="",1,0)</f>
        <v>0</v>
      </c>
      <c r="I424" s="43">
        <f>IF(TRIM(FinanceCodesBudget[[#This Row],[FinanceCode]])="",1,0)</f>
        <v>0</v>
      </c>
      <c r="J424" s="43">
        <f>IF(LEN(FinanceCodesBudget[[#This Row],[FinanceCode]])&lt;100,0,1)</f>
        <v>0</v>
      </c>
      <c r="K424" s="43">
        <f>IF(LEN(FinanceCodesBudget[[#This Row],[Title]])&lt;100,0,1)</f>
        <v>0</v>
      </c>
      <c r="L424" s="43">
        <f>IF(ISBLANK(FinanceCodesBudget[[#This Row],[BalanceToScenario]]),1,0)</f>
        <v>0</v>
      </c>
      <c r="M424" s="43">
        <f>SUM(FinanceCodesBudget[[#This Row],[LedgerIssue]:[CustGrIssue]],FinanceCodesBudget[[#This Row],[DupCode]:[Balance to Scenario Blank]])</f>
        <v>0</v>
      </c>
      <c r="N424">
        <v>845270</v>
      </c>
      <c r="O424" t="s">
        <v>2945</v>
      </c>
      <c r="P424" t="s">
        <v>686</v>
      </c>
      <c r="Q424" t="s">
        <v>1992</v>
      </c>
      <c r="R424" t="b">
        <v>0</v>
      </c>
      <c r="S424" t="s">
        <v>2526</v>
      </c>
      <c r="T424" t="s">
        <v>1300</v>
      </c>
      <c r="U424" t="s">
        <v>1532</v>
      </c>
      <c r="V424" t="b">
        <v>1</v>
      </c>
      <c r="W424" t="b">
        <v>0</v>
      </c>
    </row>
    <row r="425" spans="1:23" x14ac:dyDescent="0.3">
      <c r="A425" s="147">
        <f>IF(COUNTIF(LEDGER[LedgerCode],FinanceCodesBudget[[#This Row],[LedgerCode]])&gt;0,0,1)</f>
        <v>0</v>
      </c>
      <c r="B425" s="43">
        <f>IF(COUNTIF(Table_System_Grouping_Codes[groupingCodeCode],FinanceCodesBudget[[#This Row],[GroupingCode]])&gt;0,0,1)</f>
        <v>0</v>
      </c>
      <c r="C425" s="43">
        <f>IF(COUNTIF(CUSTGROUP[CustomGroupingCode],FinanceCodesBudget[[#This Row],[CustomGrouping]])&gt;0,0,1)</f>
        <v>0</v>
      </c>
      <c r="D425" s="43" cm="1">
        <f t="array" ref="D425">IF(FinanceCodesBudget[[#This Row],[AvailableToAllSchools]]=TRUE,0,COUNTA(_xlfn.TEXTSPLIT(FinanceCodesBudget[[#This Row],[SchoolCodes]],",",,TRUE))-SUM(COUNTIF(SCHOOLS[SchoolCode],_xlfn.TEXTSPLIT(FinanceCodesBudget[[#This Row],[SchoolCodes]],",",,TRUE))))</f>
        <v>0</v>
      </c>
      <c r="E425" s="43">
        <f>IF(FinanceCodesBudget[[#This Row],[FinanceCodeTypeCode]]="BUDGET",0,COUNTIF(FinanceCodesBudget[FinanceCode],FinanceCodesBudget[[#This Row],[FinanceCode]])-1)</f>
        <v>0</v>
      </c>
      <c r="F425" s="43">
        <f>IF(FinanceCodesBudget[[#This Row],[FinanceCodeTypeCode]]="BUDGET",0,COUNTIF(FinanceCodesBudget[Title],FinanceCodesBudget[[#This Row],[Title]])-1)</f>
        <v>0</v>
      </c>
      <c r="G425" s="43">
        <f>COUNTIF(Lookup!$A$2:$A$7,FinanceCodesBudget[[#This Row],[FinanceCodeTypeCode]])-1</f>
        <v>0</v>
      </c>
      <c r="H425" s="43">
        <f>IF(TRIM(FinanceCodesBudget[[#This Row],[Title]])="",1,0)</f>
        <v>0</v>
      </c>
      <c r="I425" s="43">
        <f>IF(TRIM(FinanceCodesBudget[[#This Row],[FinanceCode]])="",1,0)</f>
        <v>0</v>
      </c>
      <c r="J425" s="43">
        <f>IF(LEN(FinanceCodesBudget[[#This Row],[FinanceCode]])&lt;100,0,1)</f>
        <v>0</v>
      </c>
      <c r="K425" s="43">
        <f>IF(LEN(FinanceCodesBudget[[#This Row],[Title]])&lt;100,0,1)</f>
        <v>0</v>
      </c>
      <c r="L425" s="43">
        <f>IF(ISBLANK(FinanceCodesBudget[[#This Row],[BalanceToScenario]]),1,0)</f>
        <v>0</v>
      </c>
      <c r="M425" s="43">
        <f>SUM(FinanceCodesBudget[[#This Row],[LedgerIssue]:[CustGrIssue]],FinanceCodesBudget[[#This Row],[DupCode]:[Balance to Scenario Blank]])</f>
        <v>0</v>
      </c>
      <c r="N425">
        <v>845280</v>
      </c>
      <c r="O425" t="s">
        <v>2946</v>
      </c>
      <c r="P425" t="s">
        <v>688</v>
      </c>
      <c r="Q425" t="s">
        <v>1992</v>
      </c>
      <c r="R425" t="b">
        <v>0</v>
      </c>
      <c r="S425" t="s">
        <v>2526</v>
      </c>
      <c r="T425" t="s">
        <v>1300</v>
      </c>
      <c r="U425" t="s">
        <v>1532</v>
      </c>
      <c r="V425" t="b">
        <v>1</v>
      </c>
      <c r="W425" t="b">
        <v>0</v>
      </c>
    </row>
    <row r="426" spans="1:23" x14ac:dyDescent="0.3">
      <c r="A426" s="147">
        <f>IF(COUNTIF(LEDGER[LedgerCode],FinanceCodesBudget[[#This Row],[LedgerCode]])&gt;0,0,1)</f>
        <v>0</v>
      </c>
      <c r="B426" s="43">
        <f>IF(COUNTIF(Table_System_Grouping_Codes[groupingCodeCode],FinanceCodesBudget[[#This Row],[GroupingCode]])&gt;0,0,1)</f>
        <v>0</v>
      </c>
      <c r="C426" s="43">
        <f>IF(COUNTIF(CUSTGROUP[CustomGroupingCode],FinanceCodesBudget[[#This Row],[CustomGrouping]])&gt;0,0,1)</f>
        <v>0</v>
      </c>
      <c r="D426" s="43" cm="1">
        <f t="array" ref="D426">IF(FinanceCodesBudget[[#This Row],[AvailableToAllSchools]]=TRUE,0,COUNTA(_xlfn.TEXTSPLIT(FinanceCodesBudget[[#This Row],[SchoolCodes]],",",,TRUE))-SUM(COUNTIF(SCHOOLS[SchoolCode],_xlfn.TEXTSPLIT(FinanceCodesBudget[[#This Row],[SchoolCodes]],",",,TRUE))))</f>
        <v>0</v>
      </c>
      <c r="E426" s="43">
        <f>IF(FinanceCodesBudget[[#This Row],[FinanceCodeTypeCode]]="BUDGET",0,COUNTIF(FinanceCodesBudget[FinanceCode],FinanceCodesBudget[[#This Row],[FinanceCode]])-1)</f>
        <v>0</v>
      </c>
      <c r="F426" s="43">
        <f>IF(FinanceCodesBudget[[#This Row],[FinanceCodeTypeCode]]="BUDGET",0,COUNTIF(FinanceCodesBudget[Title],FinanceCodesBudget[[#This Row],[Title]])-1)</f>
        <v>0</v>
      </c>
      <c r="G426" s="43">
        <f>COUNTIF(Lookup!$A$2:$A$7,FinanceCodesBudget[[#This Row],[FinanceCodeTypeCode]])-1</f>
        <v>0</v>
      </c>
      <c r="H426" s="43">
        <f>IF(TRIM(FinanceCodesBudget[[#This Row],[Title]])="",1,0)</f>
        <v>0</v>
      </c>
      <c r="I426" s="43">
        <f>IF(TRIM(FinanceCodesBudget[[#This Row],[FinanceCode]])="",1,0)</f>
        <v>0</v>
      </c>
      <c r="J426" s="43">
        <f>IF(LEN(FinanceCodesBudget[[#This Row],[FinanceCode]])&lt;100,0,1)</f>
        <v>0</v>
      </c>
      <c r="K426" s="43">
        <f>IF(LEN(FinanceCodesBudget[[#This Row],[Title]])&lt;100,0,1)</f>
        <v>0</v>
      </c>
      <c r="L426" s="43">
        <f>IF(ISBLANK(FinanceCodesBudget[[#This Row],[BalanceToScenario]]),1,0)</f>
        <v>0</v>
      </c>
      <c r="M426" s="43">
        <f>SUM(FinanceCodesBudget[[#This Row],[LedgerIssue]:[CustGrIssue]],FinanceCodesBudget[[#This Row],[DupCode]:[Balance to Scenario Blank]])</f>
        <v>0</v>
      </c>
      <c r="N426">
        <v>845290</v>
      </c>
      <c r="O426" t="s">
        <v>2947</v>
      </c>
      <c r="P426" t="s">
        <v>690</v>
      </c>
      <c r="Q426" t="s">
        <v>1994</v>
      </c>
      <c r="R426" t="b">
        <v>0</v>
      </c>
      <c r="S426" t="s">
        <v>2526</v>
      </c>
      <c r="T426" t="s">
        <v>1300</v>
      </c>
      <c r="U426" t="s">
        <v>1532</v>
      </c>
      <c r="V426" t="b">
        <v>1</v>
      </c>
      <c r="W426" t="b">
        <v>0</v>
      </c>
    </row>
    <row r="427" spans="1:23" x14ac:dyDescent="0.3">
      <c r="A427" s="147">
        <f>IF(COUNTIF(LEDGER[LedgerCode],FinanceCodesBudget[[#This Row],[LedgerCode]])&gt;0,0,1)</f>
        <v>0</v>
      </c>
      <c r="B427" s="43">
        <f>IF(COUNTIF(Table_System_Grouping_Codes[groupingCodeCode],FinanceCodesBudget[[#This Row],[GroupingCode]])&gt;0,0,1)</f>
        <v>0</v>
      </c>
      <c r="C427" s="43">
        <f>IF(COUNTIF(CUSTGROUP[CustomGroupingCode],FinanceCodesBudget[[#This Row],[CustomGrouping]])&gt;0,0,1)</f>
        <v>0</v>
      </c>
      <c r="D427" s="43" cm="1">
        <f t="array" ref="D427">IF(FinanceCodesBudget[[#This Row],[AvailableToAllSchools]]=TRUE,0,COUNTA(_xlfn.TEXTSPLIT(FinanceCodesBudget[[#This Row],[SchoolCodes]],",",,TRUE))-SUM(COUNTIF(SCHOOLS[SchoolCode],_xlfn.TEXTSPLIT(FinanceCodesBudget[[#This Row],[SchoolCodes]],",",,TRUE))))</f>
        <v>0</v>
      </c>
      <c r="E427" s="43">
        <f>IF(FinanceCodesBudget[[#This Row],[FinanceCodeTypeCode]]="BUDGET",0,COUNTIF(FinanceCodesBudget[FinanceCode],FinanceCodesBudget[[#This Row],[FinanceCode]])-1)</f>
        <v>0</v>
      </c>
      <c r="F427" s="43">
        <f>IF(FinanceCodesBudget[[#This Row],[FinanceCodeTypeCode]]="BUDGET",0,COUNTIF(FinanceCodesBudget[Title],FinanceCodesBudget[[#This Row],[Title]])-1)</f>
        <v>0</v>
      </c>
      <c r="G427" s="43">
        <f>COUNTIF(Lookup!$A$2:$A$7,FinanceCodesBudget[[#This Row],[FinanceCodeTypeCode]])-1</f>
        <v>0</v>
      </c>
      <c r="H427" s="43">
        <f>IF(TRIM(FinanceCodesBudget[[#This Row],[Title]])="",1,0)</f>
        <v>0</v>
      </c>
      <c r="I427" s="43">
        <f>IF(TRIM(FinanceCodesBudget[[#This Row],[FinanceCode]])="",1,0)</f>
        <v>0</v>
      </c>
      <c r="J427" s="43">
        <f>IF(LEN(FinanceCodesBudget[[#This Row],[FinanceCode]])&lt;100,0,1)</f>
        <v>0</v>
      </c>
      <c r="K427" s="43">
        <f>IF(LEN(FinanceCodesBudget[[#This Row],[Title]])&lt;100,0,1)</f>
        <v>0</v>
      </c>
      <c r="L427" s="43">
        <f>IF(ISBLANK(FinanceCodesBudget[[#This Row],[BalanceToScenario]]),1,0)</f>
        <v>0</v>
      </c>
      <c r="M427" s="43">
        <f>SUM(FinanceCodesBudget[[#This Row],[LedgerIssue]:[CustGrIssue]],FinanceCodesBudget[[#This Row],[DupCode]:[Balance to Scenario Blank]])</f>
        <v>0</v>
      </c>
      <c r="N427">
        <v>845300</v>
      </c>
      <c r="O427" t="s">
        <v>2948</v>
      </c>
      <c r="P427" t="s">
        <v>692</v>
      </c>
      <c r="Q427" t="s">
        <v>1998</v>
      </c>
      <c r="R427" t="b">
        <v>0</v>
      </c>
      <c r="S427" t="s">
        <v>2526</v>
      </c>
      <c r="T427" t="s">
        <v>1300</v>
      </c>
      <c r="U427" t="s">
        <v>1532</v>
      </c>
      <c r="V427" t="b">
        <v>1</v>
      </c>
      <c r="W427" t="b">
        <v>0</v>
      </c>
    </row>
    <row r="428" spans="1:23" x14ac:dyDescent="0.3">
      <c r="A428" s="147">
        <f>IF(COUNTIF(LEDGER[LedgerCode],FinanceCodesBudget[[#This Row],[LedgerCode]])&gt;0,0,1)</f>
        <v>0</v>
      </c>
      <c r="B428" s="43">
        <f>IF(COUNTIF(Table_System_Grouping_Codes[groupingCodeCode],FinanceCodesBudget[[#This Row],[GroupingCode]])&gt;0,0,1)</f>
        <v>0</v>
      </c>
      <c r="C428" s="43">
        <f>IF(COUNTIF(CUSTGROUP[CustomGroupingCode],FinanceCodesBudget[[#This Row],[CustomGrouping]])&gt;0,0,1)</f>
        <v>0</v>
      </c>
      <c r="D428" s="43" cm="1">
        <f t="array" ref="D428">IF(FinanceCodesBudget[[#This Row],[AvailableToAllSchools]]=TRUE,0,COUNTA(_xlfn.TEXTSPLIT(FinanceCodesBudget[[#This Row],[SchoolCodes]],",",,TRUE))-SUM(COUNTIF(SCHOOLS[SchoolCode],_xlfn.TEXTSPLIT(FinanceCodesBudget[[#This Row],[SchoolCodes]],",",,TRUE))))</f>
        <v>0</v>
      </c>
      <c r="E428" s="43">
        <f>IF(FinanceCodesBudget[[#This Row],[FinanceCodeTypeCode]]="BUDGET",0,COUNTIF(FinanceCodesBudget[FinanceCode],FinanceCodesBudget[[#This Row],[FinanceCode]])-1)</f>
        <v>0</v>
      </c>
      <c r="F428" s="43">
        <f>IF(FinanceCodesBudget[[#This Row],[FinanceCodeTypeCode]]="BUDGET",0,COUNTIF(FinanceCodesBudget[Title],FinanceCodesBudget[[#This Row],[Title]])-1)</f>
        <v>0</v>
      </c>
      <c r="G428" s="43">
        <f>COUNTIF(Lookup!$A$2:$A$7,FinanceCodesBudget[[#This Row],[FinanceCodeTypeCode]])-1</f>
        <v>0</v>
      </c>
      <c r="H428" s="43">
        <f>IF(TRIM(FinanceCodesBudget[[#This Row],[Title]])="",1,0)</f>
        <v>0</v>
      </c>
      <c r="I428" s="43">
        <f>IF(TRIM(FinanceCodesBudget[[#This Row],[FinanceCode]])="",1,0)</f>
        <v>0</v>
      </c>
      <c r="J428" s="43">
        <f>IF(LEN(FinanceCodesBudget[[#This Row],[FinanceCode]])&lt;100,0,1)</f>
        <v>0</v>
      </c>
      <c r="K428" s="43">
        <f>IF(LEN(FinanceCodesBudget[[#This Row],[Title]])&lt;100,0,1)</f>
        <v>0</v>
      </c>
      <c r="L428" s="43">
        <f>IF(ISBLANK(FinanceCodesBudget[[#This Row],[BalanceToScenario]]),1,0)</f>
        <v>0</v>
      </c>
      <c r="M428" s="43">
        <f>SUM(FinanceCodesBudget[[#This Row],[LedgerIssue]:[CustGrIssue]],FinanceCodesBudget[[#This Row],[DupCode]:[Balance to Scenario Blank]])</f>
        <v>0</v>
      </c>
      <c r="N428">
        <v>845310</v>
      </c>
      <c r="O428" t="s">
        <v>2949</v>
      </c>
      <c r="P428" t="s">
        <v>694</v>
      </c>
      <c r="Q428" t="s">
        <v>1998</v>
      </c>
      <c r="R428" t="b">
        <v>0</v>
      </c>
      <c r="S428" t="s">
        <v>2526</v>
      </c>
      <c r="T428" t="s">
        <v>1300</v>
      </c>
      <c r="U428" t="s">
        <v>1532</v>
      </c>
      <c r="V428" t="b">
        <v>1</v>
      </c>
      <c r="W428" t="b">
        <v>0</v>
      </c>
    </row>
    <row r="429" spans="1:23" x14ac:dyDescent="0.3">
      <c r="A429" s="147">
        <f>IF(COUNTIF(LEDGER[LedgerCode],FinanceCodesBudget[[#This Row],[LedgerCode]])&gt;0,0,1)</f>
        <v>0</v>
      </c>
      <c r="B429" s="43">
        <f>IF(COUNTIF(Table_System_Grouping_Codes[groupingCodeCode],FinanceCodesBudget[[#This Row],[GroupingCode]])&gt;0,0,1)</f>
        <v>0</v>
      </c>
      <c r="C429" s="43">
        <f>IF(COUNTIF(CUSTGROUP[CustomGroupingCode],FinanceCodesBudget[[#This Row],[CustomGrouping]])&gt;0,0,1)</f>
        <v>0</v>
      </c>
      <c r="D429" s="43" cm="1">
        <f t="array" ref="D429">IF(FinanceCodesBudget[[#This Row],[AvailableToAllSchools]]=TRUE,0,COUNTA(_xlfn.TEXTSPLIT(FinanceCodesBudget[[#This Row],[SchoolCodes]],",",,TRUE))-SUM(COUNTIF(SCHOOLS[SchoolCode],_xlfn.TEXTSPLIT(FinanceCodesBudget[[#This Row],[SchoolCodes]],",",,TRUE))))</f>
        <v>0</v>
      </c>
      <c r="E429" s="43">
        <f>IF(FinanceCodesBudget[[#This Row],[FinanceCodeTypeCode]]="BUDGET",0,COUNTIF(FinanceCodesBudget[FinanceCode],FinanceCodesBudget[[#This Row],[FinanceCode]])-1)</f>
        <v>0</v>
      </c>
      <c r="F429" s="43">
        <f>IF(FinanceCodesBudget[[#This Row],[FinanceCodeTypeCode]]="BUDGET",0,COUNTIF(FinanceCodesBudget[Title],FinanceCodesBudget[[#This Row],[Title]])-1)</f>
        <v>0</v>
      </c>
      <c r="G429" s="43">
        <f>COUNTIF(Lookup!$A$2:$A$7,FinanceCodesBudget[[#This Row],[FinanceCodeTypeCode]])-1</f>
        <v>0</v>
      </c>
      <c r="H429" s="43">
        <f>IF(TRIM(FinanceCodesBudget[[#This Row],[Title]])="",1,0)</f>
        <v>0</v>
      </c>
      <c r="I429" s="43">
        <f>IF(TRIM(FinanceCodesBudget[[#This Row],[FinanceCode]])="",1,0)</f>
        <v>0</v>
      </c>
      <c r="J429" s="43">
        <f>IF(LEN(FinanceCodesBudget[[#This Row],[FinanceCode]])&lt;100,0,1)</f>
        <v>0</v>
      </c>
      <c r="K429" s="43">
        <f>IF(LEN(FinanceCodesBudget[[#This Row],[Title]])&lt;100,0,1)</f>
        <v>0</v>
      </c>
      <c r="L429" s="43">
        <f>IF(ISBLANK(FinanceCodesBudget[[#This Row],[BalanceToScenario]]),1,0)</f>
        <v>0</v>
      </c>
      <c r="M429" s="43">
        <f>SUM(FinanceCodesBudget[[#This Row],[LedgerIssue]:[CustGrIssue]],FinanceCodesBudget[[#This Row],[DupCode]:[Balance to Scenario Blank]])</f>
        <v>0</v>
      </c>
      <c r="N429">
        <v>850100</v>
      </c>
      <c r="O429" t="s">
        <v>2950</v>
      </c>
      <c r="P429" t="s">
        <v>696</v>
      </c>
      <c r="Q429" t="s">
        <v>1998</v>
      </c>
      <c r="R429" t="b">
        <v>0</v>
      </c>
      <c r="S429" t="s">
        <v>2526</v>
      </c>
      <c r="T429" t="s">
        <v>1300</v>
      </c>
      <c r="U429" t="s">
        <v>1532</v>
      </c>
      <c r="V429" t="b">
        <v>1</v>
      </c>
      <c r="W429" t="b">
        <v>0</v>
      </c>
    </row>
    <row r="430" spans="1:23" x14ac:dyDescent="0.3">
      <c r="A430" s="147">
        <f>IF(COUNTIF(LEDGER[LedgerCode],FinanceCodesBudget[[#This Row],[LedgerCode]])&gt;0,0,1)</f>
        <v>0</v>
      </c>
      <c r="B430" s="43">
        <f>IF(COUNTIF(Table_System_Grouping_Codes[groupingCodeCode],FinanceCodesBudget[[#This Row],[GroupingCode]])&gt;0,0,1)</f>
        <v>0</v>
      </c>
      <c r="C430" s="43">
        <f>IF(COUNTIF(CUSTGROUP[CustomGroupingCode],FinanceCodesBudget[[#This Row],[CustomGrouping]])&gt;0,0,1)</f>
        <v>0</v>
      </c>
      <c r="D430" s="43" cm="1">
        <f t="array" ref="D430">IF(FinanceCodesBudget[[#This Row],[AvailableToAllSchools]]=TRUE,0,COUNTA(_xlfn.TEXTSPLIT(FinanceCodesBudget[[#This Row],[SchoolCodes]],",",,TRUE))-SUM(COUNTIF(SCHOOLS[SchoolCode],_xlfn.TEXTSPLIT(FinanceCodesBudget[[#This Row],[SchoolCodes]],",",,TRUE))))</f>
        <v>0</v>
      </c>
      <c r="E430" s="43">
        <f>IF(FinanceCodesBudget[[#This Row],[FinanceCodeTypeCode]]="BUDGET",0,COUNTIF(FinanceCodesBudget[FinanceCode],FinanceCodesBudget[[#This Row],[FinanceCode]])-1)</f>
        <v>0</v>
      </c>
      <c r="F430" s="43">
        <f>IF(FinanceCodesBudget[[#This Row],[FinanceCodeTypeCode]]="BUDGET",0,COUNTIF(FinanceCodesBudget[Title],FinanceCodesBudget[[#This Row],[Title]])-1)</f>
        <v>0</v>
      </c>
      <c r="G430" s="43">
        <f>COUNTIF(Lookup!$A$2:$A$7,FinanceCodesBudget[[#This Row],[FinanceCodeTypeCode]])-1</f>
        <v>0</v>
      </c>
      <c r="H430" s="43">
        <f>IF(TRIM(FinanceCodesBudget[[#This Row],[Title]])="",1,0)</f>
        <v>0</v>
      </c>
      <c r="I430" s="43">
        <f>IF(TRIM(FinanceCodesBudget[[#This Row],[FinanceCode]])="",1,0)</f>
        <v>0</v>
      </c>
      <c r="J430" s="43">
        <f>IF(LEN(FinanceCodesBudget[[#This Row],[FinanceCode]])&lt;100,0,1)</f>
        <v>0</v>
      </c>
      <c r="K430" s="43">
        <f>IF(LEN(FinanceCodesBudget[[#This Row],[Title]])&lt;100,0,1)</f>
        <v>0</v>
      </c>
      <c r="L430" s="43">
        <f>IF(ISBLANK(FinanceCodesBudget[[#This Row],[BalanceToScenario]]),1,0)</f>
        <v>0</v>
      </c>
      <c r="M430" s="43">
        <f>SUM(FinanceCodesBudget[[#This Row],[LedgerIssue]:[CustGrIssue]],FinanceCodesBudget[[#This Row],[DupCode]:[Balance to Scenario Blank]])</f>
        <v>0</v>
      </c>
      <c r="N430">
        <v>850150</v>
      </c>
      <c r="O430" t="s">
        <v>2951</v>
      </c>
      <c r="P430" t="s">
        <v>697</v>
      </c>
      <c r="Q430" t="s">
        <v>1998</v>
      </c>
      <c r="R430" t="b">
        <v>0</v>
      </c>
      <c r="S430" t="s">
        <v>2526</v>
      </c>
      <c r="T430" t="s">
        <v>1300</v>
      </c>
      <c r="U430" t="s">
        <v>1532</v>
      </c>
      <c r="V430" t="b">
        <v>1</v>
      </c>
      <c r="W430" t="b">
        <v>0</v>
      </c>
    </row>
    <row r="431" spans="1:23" x14ac:dyDescent="0.3">
      <c r="A431" s="147">
        <f>IF(COUNTIF(LEDGER[LedgerCode],FinanceCodesBudget[[#This Row],[LedgerCode]])&gt;0,0,1)</f>
        <v>0</v>
      </c>
      <c r="B431" s="43">
        <f>IF(COUNTIF(Table_System_Grouping_Codes[groupingCodeCode],FinanceCodesBudget[[#This Row],[GroupingCode]])&gt;0,0,1)</f>
        <v>0</v>
      </c>
      <c r="C431" s="43">
        <f>IF(COUNTIF(CUSTGROUP[CustomGroupingCode],FinanceCodesBudget[[#This Row],[CustomGrouping]])&gt;0,0,1)</f>
        <v>0</v>
      </c>
      <c r="D431" s="43" cm="1">
        <f t="array" ref="D431">IF(FinanceCodesBudget[[#This Row],[AvailableToAllSchools]]=TRUE,0,COUNTA(_xlfn.TEXTSPLIT(FinanceCodesBudget[[#This Row],[SchoolCodes]],",",,TRUE))-SUM(COUNTIF(SCHOOLS[SchoolCode],_xlfn.TEXTSPLIT(FinanceCodesBudget[[#This Row],[SchoolCodes]],",",,TRUE))))</f>
        <v>0</v>
      </c>
      <c r="E431" s="43">
        <f>IF(FinanceCodesBudget[[#This Row],[FinanceCodeTypeCode]]="BUDGET",0,COUNTIF(FinanceCodesBudget[FinanceCode],FinanceCodesBudget[[#This Row],[FinanceCode]])-1)</f>
        <v>0</v>
      </c>
      <c r="F431" s="43">
        <f>IF(FinanceCodesBudget[[#This Row],[FinanceCodeTypeCode]]="BUDGET",0,COUNTIF(FinanceCodesBudget[Title],FinanceCodesBudget[[#This Row],[Title]])-1)</f>
        <v>0</v>
      </c>
      <c r="G431" s="43">
        <f>COUNTIF(Lookup!$A$2:$A$7,FinanceCodesBudget[[#This Row],[FinanceCodeTypeCode]])-1</f>
        <v>0</v>
      </c>
      <c r="H431" s="43">
        <f>IF(TRIM(FinanceCodesBudget[[#This Row],[Title]])="",1,0)</f>
        <v>0</v>
      </c>
      <c r="I431" s="43">
        <f>IF(TRIM(FinanceCodesBudget[[#This Row],[FinanceCode]])="",1,0)</f>
        <v>0</v>
      </c>
      <c r="J431" s="43">
        <f>IF(LEN(FinanceCodesBudget[[#This Row],[FinanceCode]])&lt;100,0,1)</f>
        <v>0</v>
      </c>
      <c r="K431" s="43">
        <f>IF(LEN(FinanceCodesBudget[[#This Row],[Title]])&lt;100,0,1)</f>
        <v>0</v>
      </c>
      <c r="L431" s="43">
        <f>IF(ISBLANK(FinanceCodesBudget[[#This Row],[BalanceToScenario]]),1,0)</f>
        <v>0</v>
      </c>
      <c r="M431" s="43">
        <f>SUM(FinanceCodesBudget[[#This Row],[LedgerIssue]:[CustGrIssue]],FinanceCodesBudget[[#This Row],[DupCode]:[Balance to Scenario Blank]])</f>
        <v>0</v>
      </c>
      <c r="N431">
        <v>850200</v>
      </c>
      <c r="O431" t="s">
        <v>2952</v>
      </c>
      <c r="P431" t="s">
        <v>699</v>
      </c>
      <c r="Q431" t="s">
        <v>1998</v>
      </c>
      <c r="R431" t="b">
        <v>0</v>
      </c>
      <c r="S431" t="s">
        <v>2526</v>
      </c>
      <c r="T431" t="s">
        <v>1300</v>
      </c>
      <c r="U431" t="s">
        <v>1532</v>
      </c>
      <c r="V431" t="b">
        <v>1</v>
      </c>
      <c r="W431" t="b">
        <v>0</v>
      </c>
    </row>
    <row r="432" spans="1:23" x14ac:dyDescent="0.3">
      <c r="A432" s="147">
        <f>IF(COUNTIF(LEDGER[LedgerCode],FinanceCodesBudget[[#This Row],[LedgerCode]])&gt;0,0,1)</f>
        <v>0</v>
      </c>
      <c r="B432" s="43">
        <f>IF(COUNTIF(Table_System_Grouping_Codes[groupingCodeCode],FinanceCodesBudget[[#This Row],[GroupingCode]])&gt;0,0,1)</f>
        <v>0</v>
      </c>
      <c r="C432" s="43">
        <f>IF(COUNTIF(CUSTGROUP[CustomGroupingCode],FinanceCodesBudget[[#This Row],[CustomGrouping]])&gt;0,0,1)</f>
        <v>0</v>
      </c>
      <c r="D432" s="43" cm="1">
        <f t="array" ref="D432">IF(FinanceCodesBudget[[#This Row],[AvailableToAllSchools]]=TRUE,0,COUNTA(_xlfn.TEXTSPLIT(FinanceCodesBudget[[#This Row],[SchoolCodes]],",",,TRUE))-SUM(COUNTIF(SCHOOLS[SchoolCode],_xlfn.TEXTSPLIT(FinanceCodesBudget[[#This Row],[SchoolCodes]],",",,TRUE))))</f>
        <v>0</v>
      </c>
      <c r="E432" s="43">
        <f>IF(FinanceCodesBudget[[#This Row],[FinanceCodeTypeCode]]="BUDGET",0,COUNTIF(FinanceCodesBudget[FinanceCode],FinanceCodesBudget[[#This Row],[FinanceCode]])-1)</f>
        <v>0</v>
      </c>
      <c r="F432" s="43">
        <f>IF(FinanceCodesBudget[[#This Row],[FinanceCodeTypeCode]]="BUDGET",0,COUNTIF(FinanceCodesBudget[Title],FinanceCodesBudget[[#This Row],[Title]])-1)</f>
        <v>0</v>
      </c>
      <c r="G432" s="43">
        <f>COUNTIF(Lookup!$A$2:$A$7,FinanceCodesBudget[[#This Row],[FinanceCodeTypeCode]])-1</f>
        <v>0</v>
      </c>
      <c r="H432" s="43">
        <f>IF(TRIM(FinanceCodesBudget[[#This Row],[Title]])="",1,0)</f>
        <v>0</v>
      </c>
      <c r="I432" s="43">
        <f>IF(TRIM(FinanceCodesBudget[[#This Row],[FinanceCode]])="",1,0)</f>
        <v>0</v>
      </c>
      <c r="J432" s="43">
        <f>IF(LEN(FinanceCodesBudget[[#This Row],[FinanceCode]])&lt;100,0,1)</f>
        <v>0</v>
      </c>
      <c r="K432" s="43">
        <f>IF(LEN(FinanceCodesBudget[[#This Row],[Title]])&lt;100,0,1)</f>
        <v>0</v>
      </c>
      <c r="L432" s="43">
        <f>IF(ISBLANK(FinanceCodesBudget[[#This Row],[BalanceToScenario]]),1,0)</f>
        <v>0</v>
      </c>
      <c r="M432" s="43">
        <f>SUM(FinanceCodesBudget[[#This Row],[LedgerIssue]:[CustGrIssue]],FinanceCodesBudget[[#This Row],[DupCode]:[Balance to Scenario Blank]])</f>
        <v>0</v>
      </c>
      <c r="N432">
        <v>850250</v>
      </c>
      <c r="O432" t="s">
        <v>2953</v>
      </c>
      <c r="P432" t="s">
        <v>701</v>
      </c>
      <c r="Q432" t="s">
        <v>1998</v>
      </c>
      <c r="R432" t="b">
        <v>0</v>
      </c>
      <c r="S432" t="s">
        <v>2526</v>
      </c>
      <c r="T432" t="s">
        <v>1300</v>
      </c>
      <c r="U432" t="s">
        <v>1532</v>
      </c>
      <c r="V432" t="b">
        <v>1</v>
      </c>
      <c r="W432" t="b">
        <v>0</v>
      </c>
    </row>
    <row r="433" spans="1:23" x14ac:dyDescent="0.3">
      <c r="A433" s="147">
        <f>IF(COUNTIF(LEDGER[LedgerCode],FinanceCodesBudget[[#This Row],[LedgerCode]])&gt;0,0,1)</f>
        <v>0</v>
      </c>
      <c r="B433" s="43">
        <f>IF(COUNTIF(Table_System_Grouping_Codes[groupingCodeCode],FinanceCodesBudget[[#This Row],[GroupingCode]])&gt;0,0,1)</f>
        <v>0</v>
      </c>
      <c r="C433" s="43">
        <f>IF(COUNTIF(CUSTGROUP[CustomGroupingCode],FinanceCodesBudget[[#This Row],[CustomGrouping]])&gt;0,0,1)</f>
        <v>0</v>
      </c>
      <c r="D433" s="43" cm="1">
        <f t="array" ref="D433">IF(FinanceCodesBudget[[#This Row],[AvailableToAllSchools]]=TRUE,0,COUNTA(_xlfn.TEXTSPLIT(FinanceCodesBudget[[#This Row],[SchoolCodes]],",",,TRUE))-SUM(COUNTIF(SCHOOLS[SchoolCode],_xlfn.TEXTSPLIT(FinanceCodesBudget[[#This Row],[SchoolCodes]],",",,TRUE))))</f>
        <v>0</v>
      </c>
      <c r="E433" s="43">
        <f>IF(FinanceCodesBudget[[#This Row],[FinanceCodeTypeCode]]="BUDGET",0,COUNTIF(FinanceCodesBudget[FinanceCode],FinanceCodesBudget[[#This Row],[FinanceCode]])-1)</f>
        <v>0</v>
      </c>
      <c r="F433" s="43">
        <f>IF(FinanceCodesBudget[[#This Row],[FinanceCodeTypeCode]]="BUDGET",0,COUNTIF(FinanceCodesBudget[Title],FinanceCodesBudget[[#This Row],[Title]])-1)</f>
        <v>0</v>
      </c>
      <c r="G433" s="43">
        <f>COUNTIF(Lookup!$A$2:$A$7,FinanceCodesBudget[[#This Row],[FinanceCodeTypeCode]])-1</f>
        <v>0</v>
      </c>
      <c r="H433" s="43">
        <f>IF(TRIM(FinanceCodesBudget[[#This Row],[Title]])="",1,0)</f>
        <v>0</v>
      </c>
      <c r="I433" s="43">
        <f>IF(TRIM(FinanceCodesBudget[[#This Row],[FinanceCode]])="",1,0)</f>
        <v>0</v>
      </c>
      <c r="J433" s="43">
        <f>IF(LEN(FinanceCodesBudget[[#This Row],[FinanceCode]])&lt;100,0,1)</f>
        <v>0</v>
      </c>
      <c r="K433" s="43">
        <f>IF(LEN(FinanceCodesBudget[[#This Row],[Title]])&lt;100,0,1)</f>
        <v>0</v>
      </c>
      <c r="L433" s="43">
        <f>IF(ISBLANK(FinanceCodesBudget[[#This Row],[BalanceToScenario]]),1,0)</f>
        <v>0</v>
      </c>
      <c r="M433" s="43">
        <f>SUM(FinanceCodesBudget[[#This Row],[LedgerIssue]:[CustGrIssue]],FinanceCodesBudget[[#This Row],[DupCode]:[Balance to Scenario Blank]])</f>
        <v>0</v>
      </c>
      <c r="N433">
        <v>850300</v>
      </c>
      <c r="O433" t="s">
        <v>2954</v>
      </c>
      <c r="P433" t="s">
        <v>703</v>
      </c>
      <c r="Q433" t="s">
        <v>1998</v>
      </c>
      <c r="R433" t="b">
        <v>0</v>
      </c>
      <c r="S433" t="s">
        <v>2526</v>
      </c>
      <c r="T433" t="s">
        <v>1300</v>
      </c>
      <c r="U433" t="s">
        <v>1532</v>
      </c>
      <c r="V433" t="b">
        <v>1</v>
      </c>
      <c r="W433" t="b">
        <v>0</v>
      </c>
    </row>
    <row r="434" spans="1:23" x14ac:dyDescent="0.3">
      <c r="A434" s="147">
        <f>IF(COUNTIF(LEDGER[LedgerCode],FinanceCodesBudget[[#This Row],[LedgerCode]])&gt;0,0,1)</f>
        <v>0</v>
      </c>
      <c r="B434" s="43">
        <f>IF(COUNTIF(Table_System_Grouping_Codes[groupingCodeCode],FinanceCodesBudget[[#This Row],[GroupingCode]])&gt;0,0,1)</f>
        <v>0</v>
      </c>
      <c r="C434" s="43">
        <f>IF(COUNTIF(CUSTGROUP[CustomGroupingCode],FinanceCodesBudget[[#This Row],[CustomGrouping]])&gt;0,0,1)</f>
        <v>0</v>
      </c>
      <c r="D434" s="43" cm="1">
        <f t="array" ref="D434">IF(FinanceCodesBudget[[#This Row],[AvailableToAllSchools]]=TRUE,0,COUNTA(_xlfn.TEXTSPLIT(FinanceCodesBudget[[#This Row],[SchoolCodes]],",",,TRUE))-SUM(COUNTIF(SCHOOLS[SchoolCode],_xlfn.TEXTSPLIT(FinanceCodesBudget[[#This Row],[SchoolCodes]],",",,TRUE))))</f>
        <v>0</v>
      </c>
      <c r="E434" s="43">
        <f>IF(FinanceCodesBudget[[#This Row],[FinanceCodeTypeCode]]="BUDGET",0,COUNTIF(FinanceCodesBudget[FinanceCode],FinanceCodesBudget[[#This Row],[FinanceCode]])-1)</f>
        <v>0</v>
      </c>
      <c r="F434" s="43">
        <f>IF(FinanceCodesBudget[[#This Row],[FinanceCodeTypeCode]]="BUDGET",0,COUNTIF(FinanceCodesBudget[Title],FinanceCodesBudget[[#This Row],[Title]])-1)</f>
        <v>0</v>
      </c>
      <c r="G434" s="43">
        <f>COUNTIF(Lookup!$A$2:$A$7,FinanceCodesBudget[[#This Row],[FinanceCodeTypeCode]])-1</f>
        <v>0</v>
      </c>
      <c r="H434" s="43">
        <f>IF(TRIM(FinanceCodesBudget[[#This Row],[Title]])="",1,0)</f>
        <v>0</v>
      </c>
      <c r="I434" s="43">
        <f>IF(TRIM(FinanceCodesBudget[[#This Row],[FinanceCode]])="",1,0)</f>
        <v>0</v>
      </c>
      <c r="J434" s="43">
        <f>IF(LEN(FinanceCodesBudget[[#This Row],[FinanceCode]])&lt;100,0,1)</f>
        <v>0</v>
      </c>
      <c r="K434" s="43">
        <f>IF(LEN(FinanceCodesBudget[[#This Row],[Title]])&lt;100,0,1)</f>
        <v>0</v>
      </c>
      <c r="L434" s="43">
        <f>IF(ISBLANK(FinanceCodesBudget[[#This Row],[BalanceToScenario]]),1,0)</f>
        <v>0</v>
      </c>
      <c r="M434" s="43">
        <f>SUM(FinanceCodesBudget[[#This Row],[LedgerIssue]:[CustGrIssue]],FinanceCodesBudget[[#This Row],[DupCode]:[Balance to Scenario Blank]])</f>
        <v>0</v>
      </c>
      <c r="N434">
        <v>850350</v>
      </c>
      <c r="O434" t="s">
        <v>2955</v>
      </c>
      <c r="P434" t="s">
        <v>705</v>
      </c>
      <c r="Q434" t="s">
        <v>1998</v>
      </c>
      <c r="R434" t="b">
        <v>0</v>
      </c>
      <c r="S434" t="s">
        <v>2526</v>
      </c>
      <c r="T434" t="s">
        <v>1300</v>
      </c>
      <c r="U434" t="s">
        <v>1532</v>
      </c>
      <c r="V434" t="b">
        <v>1</v>
      </c>
      <c r="W434" t="b">
        <v>0</v>
      </c>
    </row>
    <row r="435" spans="1:23" x14ac:dyDescent="0.3">
      <c r="A435" s="147">
        <f>IF(COUNTIF(LEDGER[LedgerCode],FinanceCodesBudget[[#This Row],[LedgerCode]])&gt;0,0,1)</f>
        <v>0</v>
      </c>
      <c r="B435" s="43">
        <f>IF(COUNTIF(Table_System_Grouping_Codes[groupingCodeCode],FinanceCodesBudget[[#This Row],[GroupingCode]])&gt;0,0,1)</f>
        <v>0</v>
      </c>
      <c r="C435" s="43">
        <f>IF(COUNTIF(CUSTGROUP[CustomGroupingCode],FinanceCodesBudget[[#This Row],[CustomGrouping]])&gt;0,0,1)</f>
        <v>0</v>
      </c>
      <c r="D435" s="43" cm="1">
        <f t="array" ref="D435">IF(FinanceCodesBudget[[#This Row],[AvailableToAllSchools]]=TRUE,0,COUNTA(_xlfn.TEXTSPLIT(FinanceCodesBudget[[#This Row],[SchoolCodes]],",",,TRUE))-SUM(COUNTIF(SCHOOLS[SchoolCode],_xlfn.TEXTSPLIT(FinanceCodesBudget[[#This Row],[SchoolCodes]],",",,TRUE))))</f>
        <v>0</v>
      </c>
      <c r="E435" s="43">
        <f>IF(FinanceCodesBudget[[#This Row],[FinanceCodeTypeCode]]="BUDGET",0,COUNTIF(FinanceCodesBudget[FinanceCode],FinanceCodesBudget[[#This Row],[FinanceCode]])-1)</f>
        <v>0</v>
      </c>
      <c r="F435" s="43">
        <f>IF(FinanceCodesBudget[[#This Row],[FinanceCodeTypeCode]]="BUDGET",0,COUNTIF(FinanceCodesBudget[Title],FinanceCodesBudget[[#This Row],[Title]])-1)</f>
        <v>0</v>
      </c>
      <c r="G435" s="43">
        <f>COUNTIF(Lookup!$A$2:$A$7,FinanceCodesBudget[[#This Row],[FinanceCodeTypeCode]])-1</f>
        <v>0</v>
      </c>
      <c r="H435" s="43">
        <f>IF(TRIM(FinanceCodesBudget[[#This Row],[Title]])="",1,0)</f>
        <v>0</v>
      </c>
      <c r="I435" s="43">
        <f>IF(TRIM(FinanceCodesBudget[[#This Row],[FinanceCode]])="",1,0)</f>
        <v>0</v>
      </c>
      <c r="J435" s="43">
        <f>IF(LEN(FinanceCodesBudget[[#This Row],[FinanceCode]])&lt;100,0,1)</f>
        <v>0</v>
      </c>
      <c r="K435" s="43">
        <f>IF(LEN(FinanceCodesBudget[[#This Row],[Title]])&lt;100,0,1)</f>
        <v>0</v>
      </c>
      <c r="L435" s="43">
        <f>IF(ISBLANK(FinanceCodesBudget[[#This Row],[BalanceToScenario]]),1,0)</f>
        <v>0</v>
      </c>
      <c r="M435" s="43">
        <f>SUM(FinanceCodesBudget[[#This Row],[LedgerIssue]:[CustGrIssue]],FinanceCodesBudget[[#This Row],[DupCode]:[Balance to Scenario Blank]])</f>
        <v>0</v>
      </c>
      <c r="N435">
        <v>850400</v>
      </c>
      <c r="O435" t="s">
        <v>2956</v>
      </c>
      <c r="P435" t="s">
        <v>707</v>
      </c>
      <c r="Q435" t="s">
        <v>1998</v>
      </c>
      <c r="R435" t="b">
        <v>0</v>
      </c>
      <c r="S435" t="s">
        <v>2526</v>
      </c>
      <c r="T435" t="s">
        <v>1300</v>
      </c>
      <c r="U435" t="s">
        <v>1532</v>
      </c>
      <c r="V435" t="b">
        <v>1</v>
      </c>
      <c r="W435" t="b">
        <v>0</v>
      </c>
    </row>
    <row r="436" spans="1:23" x14ac:dyDescent="0.3">
      <c r="A436" s="147">
        <f>IF(COUNTIF(LEDGER[LedgerCode],FinanceCodesBudget[[#This Row],[LedgerCode]])&gt;0,0,1)</f>
        <v>0</v>
      </c>
      <c r="B436" s="43">
        <f>IF(COUNTIF(Table_System_Grouping_Codes[groupingCodeCode],FinanceCodesBudget[[#This Row],[GroupingCode]])&gt;0,0,1)</f>
        <v>0</v>
      </c>
      <c r="C436" s="43">
        <f>IF(COUNTIF(CUSTGROUP[CustomGroupingCode],FinanceCodesBudget[[#This Row],[CustomGrouping]])&gt;0,0,1)</f>
        <v>0</v>
      </c>
      <c r="D436" s="43" cm="1">
        <f t="array" ref="D436">IF(FinanceCodesBudget[[#This Row],[AvailableToAllSchools]]=TRUE,0,COUNTA(_xlfn.TEXTSPLIT(FinanceCodesBudget[[#This Row],[SchoolCodes]],",",,TRUE))-SUM(COUNTIF(SCHOOLS[SchoolCode],_xlfn.TEXTSPLIT(FinanceCodesBudget[[#This Row],[SchoolCodes]],",",,TRUE))))</f>
        <v>0</v>
      </c>
      <c r="E436" s="43">
        <f>IF(FinanceCodesBudget[[#This Row],[FinanceCodeTypeCode]]="BUDGET",0,COUNTIF(FinanceCodesBudget[FinanceCode],FinanceCodesBudget[[#This Row],[FinanceCode]])-1)</f>
        <v>0</v>
      </c>
      <c r="F436" s="43">
        <f>IF(FinanceCodesBudget[[#This Row],[FinanceCodeTypeCode]]="BUDGET",0,COUNTIF(FinanceCodesBudget[Title],FinanceCodesBudget[[#This Row],[Title]])-1)</f>
        <v>0</v>
      </c>
      <c r="G436" s="43">
        <f>COUNTIF(Lookup!$A$2:$A$7,FinanceCodesBudget[[#This Row],[FinanceCodeTypeCode]])-1</f>
        <v>0</v>
      </c>
      <c r="H436" s="43">
        <f>IF(TRIM(FinanceCodesBudget[[#This Row],[Title]])="",1,0)</f>
        <v>0</v>
      </c>
      <c r="I436" s="43">
        <f>IF(TRIM(FinanceCodesBudget[[#This Row],[FinanceCode]])="",1,0)</f>
        <v>0</v>
      </c>
      <c r="J436" s="43">
        <f>IF(LEN(FinanceCodesBudget[[#This Row],[FinanceCode]])&lt;100,0,1)</f>
        <v>0</v>
      </c>
      <c r="K436" s="43">
        <f>IF(LEN(FinanceCodesBudget[[#This Row],[Title]])&lt;100,0,1)</f>
        <v>0</v>
      </c>
      <c r="L436" s="43">
        <f>IF(ISBLANK(FinanceCodesBudget[[#This Row],[BalanceToScenario]]),1,0)</f>
        <v>0</v>
      </c>
      <c r="M436" s="43">
        <f>SUM(FinanceCodesBudget[[#This Row],[LedgerIssue]:[CustGrIssue]],FinanceCodesBudget[[#This Row],[DupCode]:[Balance to Scenario Blank]])</f>
        <v>0</v>
      </c>
      <c r="N436">
        <v>855100</v>
      </c>
      <c r="O436" t="s">
        <v>2957</v>
      </c>
      <c r="P436" t="s">
        <v>709</v>
      </c>
      <c r="Q436" t="s">
        <v>1998</v>
      </c>
      <c r="R436" t="b">
        <v>0</v>
      </c>
      <c r="S436" t="s">
        <v>2526</v>
      </c>
      <c r="T436" t="s">
        <v>1300</v>
      </c>
      <c r="U436" t="s">
        <v>1532</v>
      </c>
      <c r="V436" t="b">
        <v>1</v>
      </c>
      <c r="W436" t="b">
        <v>0</v>
      </c>
    </row>
    <row r="437" spans="1:23" x14ac:dyDescent="0.3">
      <c r="A437" s="147">
        <f>IF(COUNTIF(LEDGER[LedgerCode],FinanceCodesBudget[[#This Row],[LedgerCode]])&gt;0,0,1)</f>
        <v>0</v>
      </c>
      <c r="B437" s="43">
        <f>IF(COUNTIF(Table_System_Grouping_Codes[groupingCodeCode],FinanceCodesBudget[[#This Row],[GroupingCode]])&gt;0,0,1)</f>
        <v>0</v>
      </c>
      <c r="C437" s="43">
        <f>IF(COUNTIF(CUSTGROUP[CustomGroupingCode],FinanceCodesBudget[[#This Row],[CustomGrouping]])&gt;0,0,1)</f>
        <v>0</v>
      </c>
      <c r="D437" s="43" cm="1">
        <f t="array" ref="D437">IF(FinanceCodesBudget[[#This Row],[AvailableToAllSchools]]=TRUE,0,COUNTA(_xlfn.TEXTSPLIT(FinanceCodesBudget[[#This Row],[SchoolCodes]],",",,TRUE))-SUM(COUNTIF(SCHOOLS[SchoolCode],_xlfn.TEXTSPLIT(FinanceCodesBudget[[#This Row],[SchoolCodes]],",",,TRUE))))</f>
        <v>0</v>
      </c>
      <c r="E437" s="43">
        <f>IF(FinanceCodesBudget[[#This Row],[FinanceCodeTypeCode]]="BUDGET",0,COUNTIF(FinanceCodesBudget[FinanceCode],FinanceCodesBudget[[#This Row],[FinanceCode]])-1)</f>
        <v>0</v>
      </c>
      <c r="F437" s="43">
        <f>IF(FinanceCodesBudget[[#This Row],[FinanceCodeTypeCode]]="BUDGET",0,COUNTIF(FinanceCodesBudget[Title],FinanceCodesBudget[[#This Row],[Title]])-1)</f>
        <v>0</v>
      </c>
      <c r="G437" s="43">
        <f>COUNTIF(Lookup!$A$2:$A$7,FinanceCodesBudget[[#This Row],[FinanceCodeTypeCode]])-1</f>
        <v>0</v>
      </c>
      <c r="H437" s="43">
        <f>IF(TRIM(FinanceCodesBudget[[#This Row],[Title]])="",1,0)</f>
        <v>0</v>
      </c>
      <c r="I437" s="43">
        <f>IF(TRIM(FinanceCodesBudget[[#This Row],[FinanceCode]])="",1,0)</f>
        <v>0</v>
      </c>
      <c r="J437" s="43">
        <f>IF(LEN(FinanceCodesBudget[[#This Row],[FinanceCode]])&lt;100,0,1)</f>
        <v>0</v>
      </c>
      <c r="K437" s="43">
        <f>IF(LEN(FinanceCodesBudget[[#This Row],[Title]])&lt;100,0,1)</f>
        <v>0</v>
      </c>
      <c r="L437" s="43">
        <f>IF(ISBLANK(FinanceCodesBudget[[#This Row],[BalanceToScenario]]),1,0)</f>
        <v>0</v>
      </c>
      <c r="M437" s="43">
        <f>SUM(FinanceCodesBudget[[#This Row],[LedgerIssue]:[CustGrIssue]],FinanceCodesBudget[[#This Row],[DupCode]:[Balance to Scenario Blank]])</f>
        <v>0</v>
      </c>
      <c r="N437">
        <v>855120</v>
      </c>
      <c r="O437" t="s">
        <v>2958</v>
      </c>
      <c r="P437" t="s">
        <v>711</v>
      </c>
      <c r="Q437" t="s">
        <v>1998</v>
      </c>
      <c r="R437" t="b">
        <v>0</v>
      </c>
      <c r="S437" t="s">
        <v>2526</v>
      </c>
      <c r="T437" t="s">
        <v>1300</v>
      </c>
      <c r="U437" t="s">
        <v>1532</v>
      </c>
      <c r="V437" t="b">
        <v>1</v>
      </c>
      <c r="W437" t="b">
        <v>0</v>
      </c>
    </row>
    <row r="438" spans="1:23" x14ac:dyDescent="0.3">
      <c r="A438" s="147">
        <f>IF(COUNTIF(LEDGER[LedgerCode],FinanceCodesBudget[[#This Row],[LedgerCode]])&gt;0,0,1)</f>
        <v>0</v>
      </c>
      <c r="B438" s="43">
        <f>IF(COUNTIF(Table_System_Grouping_Codes[groupingCodeCode],FinanceCodesBudget[[#This Row],[GroupingCode]])&gt;0,0,1)</f>
        <v>0</v>
      </c>
      <c r="C438" s="43">
        <f>IF(COUNTIF(CUSTGROUP[CustomGroupingCode],FinanceCodesBudget[[#This Row],[CustomGrouping]])&gt;0,0,1)</f>
        <v>0</v>
      </c>
      <c r="D438" s="43" cm="1">
        <f t="array" ref="D438">IF(FinanceCodesBudget[[#This Row],[AvailableToAllSchools]]=TRUE,0,COUNTA(_xlfn.TEXTSPLIT(FinanceCodesBudget[[#This Row],[SchoolCodes]],",",,TRUE))-SUM(COUNTIF(SCHOOLS[SchoolCode],_xlfn.TEXTSPLIT(FinanceCodesBudget[[#This Row],[SchoolCodes]],",",,TRUE))))</f>
        <v>0</v>
      </c>
      <c r="E438" s="43">
        <f>IF(FinanceCodesBudget[[#This Row],[FinanceCodeTypeCode]]="BUDGET",0,COUNTIF(FinanceCodesBudget[FinanceCode],FinanceCodesBudget[[#This Row],[FinanceCode]])-1)</f>
        <v>0</v>
      </c>
      <c r="F438" s="43">
        <f>IF(FinanceCodesBudget[[#This Row],[FinanceCodeTypeCode]]="BUDGET",0,COUNTIF(FinanceCodesBudget[Title],FinanceCodesBudget[[#This Row],[Title]])-1)</f>
        <v>0</v>
      </c>
      <c r="G438" s="43">
        <f>COUNTIF(Lookup!$A$2:$A$7,FinanceCodesBudget[[#This Row],[FinanceCodeTypeCode]])-1</f>
        <v>0</v>
      </c>
      <c r="H438" s="43">
        <f>IF(TRIM(FinanceCodesBudget[[#This Row],[Title]])="",1,0)</f>
        <v>0</v>
      </c>
      <c r="I438" s="43">
        <f>IF(TRIM(FinanceCodesBudget[[#This Row],[FinanceCode]])="",1,0)</f>
        <v>0</v>
      </c>
      <c r="J438" s="43">
        <f>IF(LEN(FinanceCodesBudget[[#This Row],[FinanceCode]])&lt;100,0,1)</f>
        <v>0</v>
      </c>
      <c r="K438" s="43">
        <f>IF(LEN(FinanceCodesBudget[[#This Row],[Title]])&lt;100,0,1)</f>
        <v>0</v>
      </c>
      <c r="L438" s="43">
        <f>IF(ISBLANK(FinanceCodesBudget[[#This Row],[BalanceToScenario]]),1,0)</f>
        <v>0</v>
      </c>
      <c r="M438" s="43">
        <f>SUM(FinanceCodesBudget[[#This Row],[LedgerIssue]:[CustGrIssue]],FinanceCodesBudget[[#This Row],[DupCode]:[Balance to Scenario Blank]])</f>
        <v>0</v>
      </c>
      <c r="N438">
        <v>855150</v>
      </c>
      <c r="O438" t="s">
        <v>2959</v>
      </c>
      <c r="P438" t="s">
        <v>713</v>
      </c>
      <c r="Q438" t="s">
        <v>1998</v>
      </c>
      <c r="R438" t="b">
        <v>0</v>
      </c>
      <c r="S438" t="s">
        <v>2526</v>
      </c>
      <c r="T438" t="s">
        <v>1300</v>
      </c>
      <c r="U438" t="s">
        <v>1532</v>
      </c>
      <c r="V438" t="b">
        <v>1</v>
      </c>
      <c r="W438" t="b">
        <v>0</v>
      </c>
    </row>
    <row r="439" spans="1:23" x14ac:dyDescent="0.3">
      <c r="A439" s="147">
        <f>IF(COUNTIF(LEDGER[LedgerCode],FinanceCodesBudget[[#This Row],[LedgerCode]])&gt;0,0,1)</f>
        <v>0</v>
      </c>
      <c r="B439" s="43">
        <f>IF(COUNTIF(Table_System_Grouping_Codes[groupingCodeCode],FinanceCodesBudget[[#This Row],[GroupingCode]])&gt;0,0,1)</f>
        <v>0</v>
      </c>
      <c r="C439" s="43">
        <f>IF(COUNTIF(CUSTGROUP[CustomGroupingCode],FinanceCodesBudget[[#This Row],[CustomGrouping]])&gt;0,0,1)</f>
        <v>0</v>
      </c>
      <c r="D439" s="43" cm="1">
        <f t="array" ref="D439">IF(FinanceCodesBudget[[#This Row],[AvailableToAllSchools]]=TRUE,0,COUNTA(_xlfn.TEXTSPLIT(FinanceCodesBudget[[#This Row],[SchoolCodes]],",",,TRUE))-SUM(COUNTIF(SCHOOLS[SchoolCode],_xlfn.TEXTSPLIT(FinanceCodesBudget[[#This Row],[SchoolCodes]],",",,TRUE))))</f>
        <v>0</v>
      </c>
      <c r="E439" s="43">
        <f>IF(FinanceCodesBudget[[#This Row],[FinanceCodeTypeCode]]="BUDGET",0,COUNTIF(FinanceCodesBudget[FinanceCode],FinanceCodesBudget[[#This Row],[FinanceCode]])-1)</f>
        <v>0</v>
      </c>
      <c r="F439" s="43">
        <f>IF(FinanceCodesBudget[[#This Row],[FinanceCodeTypeCode]]="BUDGET",0,COUNTIF(FinanceCodesBudget[Title],FinanceCodesBudget[[#This Row],[Title]])-1)</f>
        <v>0</v>
      </c>
      <c r="G439" s="43">
        <f>COUNTIF(Lookup!$A$2:$A$7,FinanceCodesBudget[[#This Row],[FinanceCodeTypeCode]])-1</f>
        <v>0</v>
      </c>
      <c r="H439" s="43">
        <f>IF(TRIM(FinanceCodesBudget[[#This Row],[Title]])="",1,0)</f>
        <v>0</v>
      </c>
      <c r="I439" s="43">
        <f>IF(TRIM(FinanceCodesBudget[[#This Row],[FinanceCode]])="",1,0)</f>
        <v>0</v>
      </c>
      <c r="J439" s="43">
        <f>IF(LEN(FinanceCodesBudget[[#This Row],[FinanceCode]])&lt;100,0,1)</f>
        <v>0</v>
      </c>
      <c r="K439" s="43">
        <f>IF(LEN(FinanceCodesBudget[[#This Row],[Title]])&lt;100,0,1)</f>
        <v>0</v>
      </c>
      <c r="L439" s="43">
        <f>IF(ISBLANK(FinanceCodesBudget[[#This Row],[BalanceToScenario]]),1,0)</f>
        <v>0</v>
      </c>
      <c r="M439" s="43">
        <f>SUM(FinanceCodesBudget[[#This Row],[LedgerIssue]:[CustGrIssue]],FinanceCodesBudget[[#This Row],[DupCode]:[Balance to Scenario Blank]])</f>
        <v>0</v>
      </c>
      <c r="N439">
        <v>855170</v>
      </c>
      <c r="O439" t="s">
        <v>2960</v>
      </c>
      <c r="P439" t="s">
        <v>714</v>
      </c>
      <c r="Q439" t="s">
        <v>1998</v>
      </c>
      <c r="R439" t="b">
        <v>0</v>
      </c>
      <c r="S439" t="s">
        <v>2526</v>
      </c>
      <c r="T439" t="s">
        <v>1300</v>
      </c>
      <c r="U439" t="s">
        <v>1532</v>
      </c>
      <c r="V439" t="b">
        <v>1</v>
      </c>
      <c r="W439" t="b">
        <v>0</v>
      </c>
    </row>
    <row r="440" spans="1:23" x14ac:dyDescent="0.3">
      <c r="A440" s="147">
        <f>IF(COUNTIF(LEDGER[LedgerCode],FinanceCodesBudget[[#This Row],[LedgerCode]])&gt;0,0,1)</f>
        <v>0</v>
      </c>
      <c r="B440" s="43">
        <f>IF(COUNTIF(Table_System_Grouping_Codes[groupingCodeCode],FinanceCodesBudget[[#This Row],[GroupingCode]])&gt;0,0,1)</f>
        <v>0</v>
      </c>
      <c r="C440" s="43">
        <f>IF(COUNTIF(CUSTGROUP[CustomGroupingCode],FinanceCodesBudget[[#This Row],[CustomGrouping]])&gt;0,0,1)</f>
        <v>0</v>
      </c>
      <c r="D440" s="43" cm="1">
        <f t="array" ref="D440">IF(FinanceCodesBudget[[#This Row],[AvailableToAllSchools]]=TRUE,0,COUNTA(_xlfn.TEXTSPLIT(FinanceCodesBudget[[#This Row],[SchoolCodes]],",",,TRUE))-SUM(COUNTIF(SCHOOLS[SchoolCode],_xlfn.TEXTSPLIT(FinanceCodesBudget[[#This Row],[SchoolCodes]],",",,TRUE))))</f>
        <v>0</v>
      </c>
      <c r="E440" s="43">
        <f>IF(FinanceCodesBudget[[#This Row],[FinanceCodeTypeCode]]="BUDGET",0,COUNTIF(FinanceCodesBudget[FinanceCode],FinanceCodesBudget[[#This Row],[FinanceCode]])-1)</f>
        <v>0</v>
      </c>
      <c r="F440" s="43">
        <f>IF(FinanceCodesBudget[[#This Row],[FinanceCodeTypeCode]]="BUDGET",0,COUNTIF(FinanceCodesBudget[Title],FinanceCodesBudget[[#This Row],[Title]])-1)</f>
        <v>0</v>
      </c>
      <c r="G440" s="43">
        <f>COUNTIF(Lookup!$A$2:$A$7,FinanceCodesBudget[[#This Row],[FinanceCodeTypeCode]])-1</f>
        <v>0</v>
      </c>
      <c r="H440" s="43">
        <f>IF(TRIM(FinanceCodesBudget[[#This Row],[Title]])="",1,0)</f>
        <v>0</v>
      </c>
      <c r="I440" s="43">
        <f>IF(TRIM(FinanceCodesBudget[[#This Row],[FinanceCode]])="",1,0)</f>
        <v>0</v>
      </c>
      <c r="J440" s="43">
        <f>IF(LEN(FinanceCodesBudget[[#This Row],[FinanceCode]])&lt;100,0,1)</f>
        <v>0</v>
      </c>
      <c r="K440" s="43">
        <f>IF(LEN(FinanceCodesBudget[[#This Row],[Title]])&lt;100,0,1)</f>
        <v>0</v>
      </c>
      <c r="L440" s="43">
        <f>IF(ISBLANK(FinanceCodesBudget[[#This Row],[BalanceToScenario]]),1,0)</f>
        <v>0</v>
      </c>
      <c r="M440" s="43">
        <f>SUM(FinanceCodesBudget[[#This Row],[LedgerIssue]:[CustGrIssue]],FinanceCodesBudget[[#This Row],[DupCode]:[Balance to Scenario Blank]])</f>
        <v>0</v>
      </c>
      <c r="N440">
        <v>855180</v>
      </c>
      <c r="O440" t="s">
        <v>2961</v>
      </c>
      <c r="P440" t="s">
        <v>715</v>
      </c>
      <c r="Q440" t="s">
        <v>1998</v>
      </c>
      <c r="R440" t="b">
        <v>0</v>
      </c>
      <c r="S440" t="s">
        <v>2526</v>
      </c>
      <c r="T440" t="s">
        <v>1300</v>
      </c>
      <c r="U440" t="s">
        <v>1532</v>
      </c>
      <c r="V440" t="b">
        <v>1</v>
      </c>
      <c r="W440" t="b">
        <v>0</v>
      </c>
    </row>
    <row r="441" spans="1:23" x14ac:dyDescent="0.3">
      <c r="A441" s="147">
        <f>IF(COUNTIF(LEDGER[LedgerCode],FinanceCodesBudget[[#This Row],[LedgerCode]])&gt;0,0,1)</f>
        <v>0</v>
      </c>
      <c r="B441" s="43">
        <f>IF(COUNTIF(Table_System_Grouping_Codes[groupingCodeCode],FinanceCodesBudget[[#This Row],[GroupingCode]])&gt;0,0,1)</f>
        <v>0</v>
      </c>
      <c r="C441" s="43">
        <f>IF(COUNTIF(CUSTGROUP[CustomGroupingCode],FinanceCodesBudget[[#This Row],[CustomGrouping]])&gt;0,0,1)</f>
        <v>0</v>
      </c>
      <c r="D441" s="43" cm="1">
        <f t="array" ref="D441">IF(FinanceCodesBudget[[#This Row],[AvailableToAllSchools]]=TRUE,0,COUNTA(_xlfn.TEXTSPLIT(FinanceCodesBudget[[#This Row],[SchoolCodes]],",",,TRUE))-SUM(COUNTIF(SCHOOLS[SchoolCode],_xlfn.TEXTSPLIT(FinanceCodesBudget[[#This Row],[SchoolCodes]],",",,TRUE))))</f>
        <v>0</v>
      </c>
      <c r="E441" s="43">
        <f>IF(FinanceCodesBudget[[#This Row],[FinanceCodeTypeCode]]="BUDGET",0,COUNTIF(FinanceCodesBudget[FinanceCode],FinanceCodesBudget[[#This Row],[FinanceCode]])-1)</f>
        <v>0</v>
      </c>
      <c r="F441" s="43">
        <f>IF(FinanceCodesBudget[[#This Row],[FinanceCodeTypeCode]]="BUDGET",0,COUNTIF(FinanceCodesBudget[Title],FinanceCodesBudget[[#This Row],[Title]])-1)</f>
        <v>0</v>
      </c>
      <c r="G441" s="43">
        <f>COUNTIF(Lookup!$A$2:$A$7,FinanceCodesBudget[[#This Row],[FinanceCodeTypeCode]])-1</f>
        <v>0</v>
      </c>
      <c r="H441" s="43">
        <f>IF(TRIM(FinanceCodesBudget[[#This Row],[Title]])="",1,0)</f>
        <v>0</v>
      </c>
      <c r="I441" s="43">
        <f>IF(TRIM(FinanceCodesBudget[[#This Row],[FinanceCode]])="",1,0)</f>
        <v>0</v>
      </c>
      <c r="J441" s="43">
        <f>IF(LEN(FinanceCodesBudget[[#This Row],[FinanceCode]])&lt;100,0,1)</f>
        <v>0</v>
      </c>
      <c r="K441" s="43">
        <f>IF(LEN(FinanceCodesBudget[[#This Row],[Title]])&lt;100,0,1)</f>
        <v>0</v>
      </c>
      <c r="L441" s="43">
        <f>IF(ISBLANK(FinanceCodesBudget[[#This Row],[BalanceToScenario]]),1,0)</f>
        <v>0</v>
      </c>
      <c r="M441" s="43">
        <f>SUM(FinanceCodesBudget[[#This Row],[LedgerIssue]:[CustGrIssue]],FinanceCodesBudget[[#This Row],[DupCode]:[Balance to Scenario Blank]])</f>
        <v>0</v>
      </c>
      <c r="N441">
        <v>855200</v>
      </c>
      <c r="O441" t="s">
        <v>2962</v>
      </c>
      <c r="P441" t="s">
        <v>716</v>
      </c>
      <c r="Q441" t="s">
        <v>1998</v>
      </c>
      <c r="R441" t="b">
        <v>0</v>
      </c>
      <c r="S441" t="s">
        <v>2526</v>
      </c>
      <c r="T441" t="s">
        <v>1300</v>
      </c>
      <c r="U441" t="s">
        <v>1532</v>
      </c>
      <c r="V441" t="b">
        <v>1</v>
      </c>
      <c r="W441" t="b">
        <v>0</v>
      </c>
    </row>
    <row r="442" spans="1:23" x14ac:dyDescent="0.3">
      <c r="A442" s="147">
        <f>IF(COUNTIF(LEDGER[LedgerCode],FinanceCodesBudget[[#This Row],[LedgerCode]])&gt;0,0,1)</f>
        <v>0</v>
      </c>
      <c r="B442" s="43">
        <f>IF(COUNTIF(Table_System_Grouping_Codes[groupingCodeCode],FinanceCodesBudget[[#This Row],[GroupingCode]])&gt;0,0,1)</f>
        <v>0</v>
      </c>
      <c r="C442" s="43">
        <f>IF(COUNTIF(CUSTGROUP[CustomGroupingCode],FinanceCodesBudget[[#This Row],[CustomGrouping]])&gt;0,0,1)</f>
        <v>0</v>
      </c>
      <c r="D442" s="43" cm="1">
        <f t="array" ref="D442">IF(FinanceCodesBudget[[#This Row],[AvailableToAllSchools]]=TRUE,0,COUNTA(_xlfn.TEXTSPLIT(FinanceCodesBudget[[#This Row],[SchoolCodes]],",",,TRUE))-SUM(COUNTIF(SCHOOLS[SchoolCode],_xlfn.TEXTSPLIT(FinanceCodesBudget[[#This Row],[SchoolCodes]],",",,TRUE))))</f>
        <v>0</v>
      </c>
      <c r="E442" s="43">
        <f>IF(FinanceCodesBudget[[#This Row],[FinanceCodeTypeCode]]="BUDGET",0,COUNTIF(FinanceCodesBudget[FinanceCode],FinanceCodesBudget[[#This Row],[FinanceCode]])-1)</f>
        <v>0</v>
      </c>
      <c r="F442" s="43">
        <f>IF(FinanceCodesBudget[[#This Row],[FinanceCodeTypeCode]]="BUDGET",0,COUNTIF(FinanceCodesBudget[Title],FinanceCodesBudget[[#This Row],[Title]])-1)</f>
        <v>0</v>
      </c>
      <c r="G442" s="43">
        <f>COUNTIF(Lookup!$A$2:$A$7,FinanceCodesBudget[[#This Row],[FinanceCodeTypeCode]])-1</f>
        <v>0</v>
      </c>
      <c r="H442" s="43">
        <f>IF(TRIM(FinanceCodesBudget[[#This Row],[Title]])="",1,0)</f>
        <v>0</v>
      </c>
      <c r="I442" s="43">
        <f>IF(TRIM(FinanceCodesBudget[[#This Row],[FinanceCode]])="",1,0)</f>
        <v>0</v>
      </c>
      <c r="J442" s="43">
        <f>IF(LEN(FinanceCodesBudget[[#This Row],[FinanceCode]])&lt;100,0,1)</f>
        <v>0</v>
      </c>
      <c r="K442" s="43">
        <f>IF(LEN(FinanceCodesBudget[[#This Row],[Title]])&lt;100,0,1)</f>
        <v>0</v>
      </c>
      <c r="L442" s="43">
        <f>IF(ISBLANK(FinanceCodesBudget[[#This Row],[BalanceToScenario]]),1,0)</f>
        <v>0</v>
      </c>
      <c r="M442" s="43">
        <f>SUM(FinanceCodesBudget[[#This Row],[LedgerIssue]:[CustGrIssue]],FinanceCodesBudget[[#This Row],[DupCode]:[Balance to Scenario Blank]])</f>
        <v>0</v>
      </c>
      <c r="N442">
        <v>855220</v>
      </c>
      <c r="O442" t="s">
        <v>2963</v>
      </c>
      <c r="P442" t="s">
        <v>718</v>
      </c>
      <c r="Q442" t="s">
        <v>1998</v>
      </c>
      <c r="R442" t="b">
        <v>0</v>
      </c>
      <c r="S442" t="s">
        <v>2526</v>
      </c>
      <c r="T442" t="s">
        <v>1300</v>
      </c>
      <c r="U442" t="s">
        <v>1532</v>
      </c>
      <c r="V442" t="b">
        <v>1</v>
      </c>
      <c r="W442" t="b">
        <v>0</v>
      </c>
    </row>
    <row r="443" spans="1:23" x14ac:dyDescent="0.3">
      <c r="A443" s="147">
        <f>IF(COUNTIF(LEDGER[LedgerCode],FinanceCodesBudget[[#This Row],[LedgerCode]])&gt;0,0,1)</f>
        <v>0</v>
      </c>
      <c r="B443" s="43">
        <f>IF(COUNTIF(Table_System_Grouping_Codes[groupingCodeCode],FinanceCodesBudget[[#This Row],[GroupingCode]])&gt;0,0,1)</f>
        <v>0</v>
      </c>
      <c r="C443" s="43">
        <f>IF(COUNTIF(CUSTGROUP[CustomGroupingCode],FinanceCodesBudget[[#This Row],[CustomGrouping]])&gt;0,0,1)</f>
        <v>0</v>
      </c>
      <c r="D443" s="43" cm="1">
        <f t="array" ref="D443">IF(FinanceCodesBudget[[#This Row],[AvailableToAllSchools]]=TRUE,0,COUNTA(_xlfn.TEXTSPLIT(FinanceCodesBudget[[#This Row],[SchoolCodes]],",",,TRUE))-SUM(COUNTIF(SCHOOLS[SchoolCode],_xlfn.TEXTSPLIT(FinanceCodesBudget[[#This Row],[SchoolCodes]],",",,TRUE))))</f>
        <v>0</v>
      </c>
      <c r="E443" s="43">
        <f>IF(FinanceCodesBudget[[#This Row],[FinanceCodeTypeCode]]="BUDGET",0,COUNTIF(FinanceCodesBudget[FinanceCode],FinanceCodesBudget[[#This Row],[FinanceCode]])-1)</f>
        <v>0</v>
      </c>
      <c r="F443" s="43">
        <f>IF(FinanceCodesBudget[[#This Row],[FinanceCodeTypeCode]]="BUDGET",0,COUNTIF(FinanceCodesBudget[Title],FinanceCodesBudget[[#This Row],[Title]])-1)</f>
        <v>0</v>
      </c>
      <c r="G443" s="43">
        <f>COUNTIF(Lookup!$A$2:$A$7,FinanceCodesBudget[[#This Row],[FinanceCodeTypeCode]])-1</f>
        <v>0</v>
      </c>
      <c r="H443" s="43">
        <f>IF(TRIM(FinanceCodesBudget[[#This Row],[Title]])="",1,0)</f>
        <v>0</v>
      </c>
      <c r="I443" s="43">
        <f>IF(TRIM(FinanceCodesBudget[[#This Row],[FinanceCode]])="",1,0)</f>
        <v>0</v>
      </c>
      <c r="J443" s="43">
        <f>IF(LEN(FinanceCodesBudget[[#This Row],[FinanceCode]])&lt;100,0,1)</f>
        <v>0</v>
      </c>
      <c r="K443" s="43">
        <f>IF(LEN(FinanceCodesBudget[[#This Row],[Title]])&lt;100,0,1)</f>
        <v>0</v>
      </c>
      <c r="L443" s="43">
        <f>IF(ISBLANK(FinanceCodesBudget[[#This Row],[BalanceToScenario]]),1,0)</f>
        <v>0</v>
      </c>
      <c r="M443" s="43">
        <f>SUM(FinanceCodesBudget[[#This Row],[LedgerIssue]:[CustGrIssue]],FinanceCodesBudget[[#This Row],[DupCode]:[Balance to Scenario Blank]])</f>
        <v>0</v>
      </c>
      <c r="N443">
        <v>855250</v>
      </c>
      <c r="O443" t="s">
        <v>2964</v>
      </c>
      <c r="P443" t="s">
        <v>1420</v>
      </c>
      <c r="Q443" t="s">
        <v>1998</v>
      </c>
      <c r="R443" t="b">
        <v>0</v>
      </c>
      <c r="S443" t="s">
        <v>2526</v>
      </c>
      <c r="T443" t="s">
        <v>1300</v>
      </c>
      <c r="U443" t="s">
        <v>1532</v>
      </c>
      <c r="V443" t="b">
        <v>1</v>
      </c>
      <c r="W443" t="b">
        <v>0</v>
      </c>
    </row>
    <row r="444" spans="1:23" x14ac:dyDescent="0.3">
      <c r="A444" s="147">
        <f>IF(COUNTIF(LEDGER[LedgerCode],FinanceCodesBudget[[#This Row],[LedgerCode]])&gt;0,0,1)</f>
        <v>0</v>
      </c>
      <c r="B444" s="43">
        <f>IF(COUNTIF(Table_System_Grouping_Codes[groupingCodeCode],FinanceCodesBudget[[#This Row],[GroupingCode]])&gt;0,0,1)</f>
        <v>0</v>
      </c>
      <c r="C444" s="43">
        <f>IF(COUNTIF(CUSTGROUP[CustomGroupingCode],FinanceCodesBudget[[#This Row],[CustomGrouping]])&gt;0,0,1)</f>
        <v>0</v>
      </c>
      <c r="D444" s="43" cm="1">
        <f t="array" ref="D444">IF(FinanceCodesBudget[[#This Row],[AvailableToAllSchools]]=TRUE,0,COUNTA(_xlfn.TEXTSPLIT(FinanceCodesBudget[[#This Row],[SchoolCodes]],",",,TRUE))-SUM(COUNTIF(SCHOOLS[SchoolCode],_xlfn.TEXTSPLIT(FinanceCodesBudget[[#This Row],[SchoolCodes]],",",,TRUE))))</f>
        <v>0</v>
      </c>
      <c r="E444" s="43">
        <f>IF(FinanceCodesBudget[[#This Row],[FinanceCodeTypeCode]]="BUDGET",0,COUNTIF(FinanceCodesBudget[FinanceCode],FinanceCodesBudget[[#This Row],[FinanceCode]])-1)</f>
        <v>0</v>
      </c>
      <c r="F444" s="43">
        <f>IF(FinanceCodesBudget[[#This Row],[FinanceCodeTypeCode]]="BUDGET",0,COUNTIF(FinanceCodesBudget[Title],FinanceCodesBudget[[#This Row],[Title]])-1)</f>
        <v>0</v>
      </c>
      <c r="G444" s="43">
        <f>COUNTIF(Lookup!$A$2:$A$7,FinanceCodesBudget[[#This Row],[FinanceCodeTypeCode]])-1</f>
        <v>0</v>
      </c>
      <c r="H444" s="43">
        <f>IF(TRIM(FinanceCodesBudget[[#This Row],[Title]])="",1,0)</f>
        <v>0</v>
      </c>
      <c r="I444" s="43">
        <f>IF(TRIM(FinanceCodesBudget[[#This Row],[FinanceCode]])="",1,0)</f>
        <v>0</v>
      </c>
      <c r="J444" s="43">
        <f>IF(LEN(FinanceCodesBudget[[#This Row],[FinanceCode]])&lt;100,0,1)</f>
        <v>0</v>
      </c>
      <c r="K444" s="43">
        <f>IF(LEN(FinanceCodesBudget[[#This Row],[Title]])&lt;100,0,1)</f>
        <v>0</v>
      </c>
      <c r="L444" s="43">
        <f>IF(ISBLANK(FinanceCodesBudget[[#This Row],[BalanceToScenario]]),1,0)</f>
        <v>0</v>
      </c>
      <c r="M444" s="43">
        <f>SUM(FinanceCodesBudget[[#This Row],[LedgerIssue]:[CustGrIssue]],FinanceCodesBudget[[#This Row],[DupCode]:[Balance to Scenario Blank]])</f>
        <v>0</v>
      </c>
      <c r="N444">
        <v>855300</v>
      </c>
      <c r="O444" t="s">
        <v>2965</v>
      </c>
      <c r="P444" t="s">
        <v>1420</v>
      </c>
      <c r="Q444" t="s">
        <v>1998</v>
      </c>
      <c r="R444" t="b">
        <v>0</v>
      </c>
      <c r="S444" t="s">
        <v>2966</v>
      </c>
      <c r="T444" t="s">
        <v>1300</v>
      </c>
      <c r="U444" t="s">
        <v>1532</v>
      </c>
      <c r="V444" t="b">
        <v>1</v>
      </c>
      <c r="W444" t="b">
        <v>0</v>
      </c>
    </row>
    <row r="445" spans="1:23" x14ac:dyDescent="0.3">
      <c r="A445" s="147">
        <f>IF(COUNTIF(LEDGER[LedgerCode],FinanceCodesBudget[[#This Row],[LedgerCode]])&gt;0,0,1)</f>
        <v>0</v>
      </c>
      <c r="B445" s="43">
        <f>IF(COUNTIF(Table_System_Grouping_Codes[groupingCodeCode],FinanceCodesBudget[[#This Row],[GroupingCode]])&gt;0,0,1)</f>
        <v>0</v>
      </c>
      <c r="C445" s="43">
        <f>IF(COUNTIF(CUSTGROUP[CustomGroupingCode],FinanceCodesBudget[[#This Row],[CustomGrouping]])&gt;0,0,1)</f>
        <v>0</v>
      </c>
      <c r="D445" s="43" cm="1">
        <f t="array" ref="D445">IF(FinanceCodesBudget[[#This Row],[AvailableToAllSchools]]=TRUE,0,COUNTA(_xlfn.TEXTSPLIT(FinanceCodesBudget[[#This Row],[SchoolCodes]],",",,TRUE))-SUM(COUNTIF(SCHOOLS[SchoolCode],_xlfn.TEXTSPLIT(FinanceCodesBudget[[#This Row],[SchoolCodes]],",",,TRUE))))</f>
        <v>0</v>
      </c>
      <c r="E445" s="43">
        <f>IF(FinanceCodesBudget[[#This Row],[FinanceCodeTypeCode]]="BUDGET",0,COUNTIF(FinanceCodesBudget[FinanceCode],FinanceCodesBudget[[#This Row],[FinanceCode]])-1)</f>
        <v>0</v>
      </c>
      <c r="F445" s="43">
        <f>IF(FinanceCodesBudget[[#This Row],[FinanceCodeTypeCode]]="BUDGET",0,COUNTIF(FinanceCodesBudget[Title],FinanceCodesBudget[[#This Row],[Title]])-1)</f>
        <v>0</v>
      </c>
      <c r="G445" s="43">
        <f>COUNTIF(Lookup!$A$2:$A$7,FinanceCodesBudget[[#This Row],[FinanceCodeTypeCode]])-1</f>
        <v>0</v>
      </c>
      <c r="H445" s="43">
        <f>IF(TRIM(FinanceCodesBudget[[#This Row],[Title]])="",1,0)</f>
        <v>0</v>
      </c>
      <c r="I445" s="43">
        <f>IF(TRIM(FinanceCodesBudget[[#This Row],[FinanceCode]])="",1,0)</f>
        <v>0</v>
      </c>
      <c r="J445" s="43">
        <f>IF(LEN(FinanceCodesBudget[[#This Row],[FinanceCode]])&lt;100,0,1)</f>
        <v>0</v>
      </c>
      <c r="K445" s="43">
        <f>IF(LEN(FinanceCodesBudget[[#This Row],[Title]])&lt;100,0,1)</f>
        <v>0</v>
      </c>
      <c r="L445" s="43">
        <f>IF(ISBLANK(FinanceCodesBudget[[#This Row],[BalanceToScenario]]),1,0)</f>
        <v>0</v>
      </c>
      <c r="M445" s="43">
        <f>SUM(FinanceCodesBudget[[#This Row],[LedgerIssue]:[CustGrIssue]],FinanceCodesBudget[[#This Row],[DupCode]:[Balance to Scenario Blank]])</f>
        <v>0</v>
      </c>
      <c r="N445">
        <v>855320</v>
      </c>
      <c r="O445" t="s">
        <v>2967</v>
      </c>
      <c r="P445" t="s">
        <v>1420</v>
      </c>
      <c r="Q445" t="s">
        <v>1998</v>
      </c>
      <c r="R445" t="b">
        <v>0</v>
      </c>
      <c r="S445" t="s">
        <v>2526</v>
      </c>
      <c r="T445" t="s">
        <v>1300</v>
      </c>
      <c r="U445" t="s">
        <v>1532</v>
      </c>
      <c r="V445" t="b">
        <v>1</v>
      </c>
      <c r="W445" t="b">
        <v>0</v>
      </c>
    </row>
    <row r="446" spans="1:23" x14ac:dyDescent="0.3">
      <c r="A446" s="147">
        <f>IF(COUNTIF(LEDGER[LedgerCode],FinanceCodesBudget[[#This Row],[LedgerCode]])&gt;0,0,1)</f>
        <v>0</v>
      </c>
      <c r="B446" s="43">
        <f>IF(COUNTIF(Table_System_Grouping_Codes[groupingCodeCode],FinanceCodesBudget[[#This Row],[GroupingCode]])&gt;0,0,1)</f>
        <v>0</v>
      </c>
      <c r="C446" s="43">
        <f>IF(COUNTIF(CUSTGROUP[CustomGroupingCode],FinanceCodesBudget[[#This Row],[CustomGrouping]])&gt;0,0,1)</f>
        <v>0</v>
      </c>
      <c r="D446" s="43" cm="1">
        <f t="array" ref="D446">IF(FinanceCodesBudget[[#This Row],[AvailableToAllSchools]]=TRUE,0,COUNTA(_xlfn.TEXTSPLIT(FinanceCodesBudget[[#This Row],[SchoolCodes]],",",,TRUE))-SUM(COUNTIF(SCHOOLS[SchoolCode],_xlfn.TEXTSPLIT(FinanceCodesBudget[[#This Row],[SchoolCodes]],",",,TRUE))))</f>
        <v>0</v>
      </c>
      <c r="E446" s="43">
        <f>IF(FinanceCodesBudget[[#This Row],[FinanceCodeTypeCode]]="BUDGET",0,COUNTIF(FinanceCodesBudget[FinanceCode],FinanceCodesBudget[[#This Row],[FinanceCode]])-1)</f>
        <v>0</v>
      </c>
      <c r="F446" s="43">
        <f>IF(FinanceCodesBudget[[#This Row],[FinanceCodeTypeCode]]="BUDGET",0,COUNTIF(FinanceCodesBudget[Title],FinanceCodesBudget[[#This Row],[Title]])-1)</f>
        <v>0</v>
      </c>
      <c r="G446" s="43">
        <f>COUNTIF(Lookup!$A$2:$A$7,FinanceCodesBudget[[#This Row],[FinanceCodeTypeCode]])-1</f>
        <v>0</v>
      </c>
      <c r="H446" s="43">
        <f>IF(TRIM(FinanceCodesBudget[[#This Row],[Title]])="",1,0)</f>
        <v>0</v>
      </c>
      <c r="I446" s="43">
        <f>IF(TRIM(FinanceCodesBudget[[#This Row],[FinanceCode]])="",1,0)</f>
        <v>0</v>
      </c>
      <c r="J446" s="43">
        <f>IF(LEN(FinanceCodesBudget[[#This Row],[FinanceCode]])&lt;100,0,1)</f>
        <v>0</v>
      </c>
      <c r="K446" s="43">
        <f>IF(LEN(FinanceCodesBudget[[#This Row],[Title]])&lt;100,0,1)</f>
        <v>0</v>
      </c>
      <c r="L446" s="43">
        <f>IF(ISBLANK(FinanceCodesBudget[[#This Row],[BalanceToScenario]]),1,0)</f>
        <v>0</v>
      </c>
      <c r="M446" s="43">
        <f>SUM(FinanceCodesBudget[[#This Row],[LedgerIssue]:[CustGrIssue]],FinanceCodesBudget[[#This Row],[DupCode]:[Balance to Scenario Blank]])</f>
        <v>0</v>
      </c>
      <c r="N446">
        <v>855350</v>
      </c>
      <c r="O446" t="s">
        <v>2968</v>
      </c>
      <c r="P446" t="s">
        <v>720</v>
      </c>
      <c r="Q446" t="s">
        <v>1998</v>
      </c>
      <c r="R446" t="b">
        <v>0</v>
      </c>
      <c r="S446" t="s">
        <v>2526</v>
      </c>
      <c r="T446" t="s">
        <v>1300</v>
      </c>
      <c r="U446" t="s">
        <v>1532</v>
      </c>
      <c r="V446" t="b">
        <v>1</v>
      </c>
      <c r="W446" t="b">
        <v>0</v>
      </c>
    </row>
    <row r="447" spans="1:23" x14ac:dyDescent="0.3">
      <c r="A447" s="147">
        <f>IF(COUNTIF(LEDGER[LedgerCode],FinanceCodesBudget[[#This Row],[LedgerCode]])&gt;0,0,1)</f>
        <v>0</v>
      </c>
      <c r="B447" s="43">
        <f>IF(COUNTIF(Table_System_Grouping_Codes[groupingCodeCode],FinanceCodesBudget[[#This Row],[GroupingCode]])&gt;0,0,1)</f>
        <v>0</v>
      </c>
      <c r="C447" s="43">
        <f>IF(COUNTIF(CUSTGROUP[CustomGroupingCode],FinanceCodesBudget[[#This Row],[CustomGrouping]])&gt;0,0,1)</f>
        <v>0</v>
      </c>
      <c r="D447" s="43" cm="1">
        <f t="array" ref="D447">IF(FinanceCodesBudget[[#This Row],[AvailableToAllSchools]]=TRUE,0,COUNTA(_xlfn.TEXTSPLIT(FinanceCodesBudget[[#This Row],[SchoolCodes]],",",,TRUE))-SUM(COUNTIF(SCHOOLS[SchoolCode],_xlfn.TEXTSPLIT(FinanceCodesBudget[[#This Row],[SchoolCodes]],",",,TRUE))))</f>
        <v>0</v>
      </c>
      <c r="E447" s="43">
        <f>IF(FinanceCodesBudget[[#This Row],[FinanceCodeTypeCode]]="BUDGET",0,COUNTIF(FinanceCodesBudget[FinanceCode],FinanceCodesBudget[[#This Row],[FinanceCode]])-1)</f>
        <v>0</v>
      </c>
      <c r="F447" s="43">
        <f>IF(FinanceCodesBudget[[#This Row],[FinanceCodeTypeCode]]="BUDGET",0,COUNTIF(FinanceCodesBudget[Title],FinanceCodesBudget[[#This Row],[Title]])-1)</f>
        <v>0</v>
      </c>
      <c r="G447" s="43">
        <f>COUNTIF(Lookup!$A$2:$A$7,FinanceCodesBudget[[#This Row],[FinanceCodeTypeCode]])-1</f>
        <v>0</v>
      </c>
      <c r="H447" s="43">
        <f>IF(TRIM(FinanceCodesBudget[[#This Row],[Title]])="",1,0)</f>
        <v>0</v>
      </c>
      <c r="I447" s="43">
        <f>IF(TRIM(FinanceCodesBudget[[#This Row],[FinanceCode]])="",1,0)</f>
        <v>0</v>
      </c>
      <c r="J447" s="43">
        <f>IF(LEN(FinanceCodesBudget[[#This Row],[FinanceCode]])&lt;100,0,1)</f>
        <v>0</v>
      </c>
      <c r="K447" s="43">
        <f>IF(LEN(FinanceCodesBudget[[#This Row],[Title]])&lt;100,0,1)</f>
        <v>0</v>
      </c>
      <c r="L447" s="43">
        <f>IF(ISBLANK(FinanceCodesBudget[[#This Row],[BalanceToScenario]]),1,0)</f>
        <v>0</v>
      </c>
      <c r="M447" s="43">
        <f>SUM(FinanceCodesBudget[[#This Row],[LedgerIssue]:[CustGrIssue]],FinanceCodesBudget[[#This Row],[DupCode]:[Balance to Scenario Blank]])</f>
        <v>0</v>
      </c>
      <c r="N447">
        <v>855370</v>
      </c>
      <c r="O447" t="s">
        <v>2969</v>
      </c>
      <c r="P447" t="s">
        <v>722</v>
      </c>
      <c r="Q447" t="s">
        <v>1998</v>
      </c>
      <c r="R447" t="b">
        <v>0</v>
      </c>
      <c r="S447" t="s">
        <v>2526</v>
      </c>
      <c r="T447" t="s">
        <v>1300</v>
      </c>
      <c r="U447" t="s">
        <v>1532</v>
      </c>
      <c r="V447" t="b">
        <v>1</v>
      </c>
      <c r="W447" t="b">
        <v>0</v>
      </c>
    </row>
    <row r="448" spans="1:23" x14ac:dyDescent="0.3">
      <c r="A448" s="147">
        <f>IF(COUNTIF(LEDGER[LedgerCode],FinanceCodesBudget[[#This Row],[LedgerCode]])&gt;0,0,1)</f>
        <v>0</v>
      </c>
      <c r="B448" s="43">
        <f>IF(COUNTIF(Table_System_Grouping_Codes[groupingCodeCode],FinanceCodesBudget[[#This Row],[GroupingCode]])&gt;0,0,1)</f>
        <v>0</v>
      </c>
      <c r="C448" s="43">
        <f>IF(COUNTIF(CUSTGROUP[CustomGroupingCode],FinanceCodesBudget[[#This Row],[CustomGrouping]])&gt;0,0,1)</f>
        <v>0</v>
      </c>
      <c r="D448" s="43" cm="1">
        <f t="array" ref="D448">IF(FinanceCodesBudget[[#This Row],[AvailableToAllSchools]]=TRUE,0,COUNTA(_xlfn.TEXTSPLIT(FinanceCodesBudget[[#This Row],[SchoolCodes]],",",,TRUE))-SUM(COUNTIF(SCHOOLS[SchoolCode],_xlfn.TEXTSPLIT(FinanceCodesBudget[[#This Row],[SchoolCodes]],",",,TRUE))))</f>
        <v>0</v>
      </c>
      <c r="E448" s="43">
        <f>IF(FinanceCodesBudget[[#This Row],[FinanceCodeTypeCode]]="BUDGET",0,COUNTIF(FinanceCodesBudget[FinanceCode],FinanceCodesBudget[[#This Row],[FinanceCode]])-1)</f>
        <v>0</v>
      </c>
      <c r="F448" s="43">
        <f>IF(FinanceCodesBudget[[#This Row],[FinanceCodeTypeCode]]="BUDGET",0,COUNTIF(FinanceCodesBudget[Title],FinanceCodesBudget[[#This Row],[Title]])-1)</f>
        <v>0</v>
      </c>
      <c r="G448" s="43">
        <f>COUNTIF(Lookup!$A$2:$A$7,FinanceCodesBudget[[#This Row],[FinanceCodeTypeCode]])-1</f>
        <v>0</v>
      </c>
      <c r="H448" s="43">
        <f>IF(TRIM(FinanceCodesBudget[[#This Row],[Title]])="",1,0)</f>
        <v>0</v>
      </c>
      <c r="I448" s="43">
        <f>IF(TRIM(FinanceCodesBudget[[#This Row],[FinanceCode]])="",1,0)</f>
        <v>0</v>
      </c>
      <c r="J448" s="43">
        <f>IF(LEN(FinanceCodesBudget[[#This Row],[FinanceCode]])&lt;100,0,1)</f>
        <v>0</v>
      </c>
      <c r="K448" s="43">
        <f>IF(LEN(FinanceCodesBudget[[#This Row],[Title]])&lt;100,0,1)</f>
        <v>0</v>
      </c>
      <c r="L448" s="43">
        <f>IF(ISBLANK(FinanceCodesBudget[[#This Row],[BalanceToScenario]]),1,0)</f>
        <v>0</v>
      </c>
      <c r="M448" s="43">
        <f>SUM(FinanceCodesBudget[[#This Row],[LedgerIssue]:[CustGrIssue]],FinanceCodesBudget[[#This Row],[DupCode]:[Balance to Scenario Blank]])</f>
        <v>0</v>
      </c>
      <c r="N448">
        <v>855400</v>
      </c>
      <c r="O448" t="s">
        <v>2970</v>
      </c>
      <c r="P448" t="s">
        <v>724</v>
      </c>
      <c r="Q448" t="s">
        <v>1998</v>
      </c>
      <c r="R448" t="b">
        <v>0</v>
      </c>
      <c r="S448" t="s">
        <v>2526</v>
      </c>
      <c r="T448" t="s">
        <v>1300</v>
      </c>
      <c r="U448" t="s">
        <v>1532</v>
      </c>
      <c r="V448" t="b">
        <v>1</v>
      </c>
      <c r="W448" t="b">
        <v>0</v>
      </c>
    </row>
    <row r="449" spans="1:23" x14ac:dyDescent="0.3">
      <c r="A449" s="147">
        <f>IF(COUNTIF(LEDGER[LedgerCode],FinanceCodesBudget[[#This Row],[LedgerCode]])&gt;0,0,1)</f>
        <v>0</v>
      </c>
      <c r="B449" s="43">
        <f>IF(COUNTIF(Table_System_Grouping_Codes[groupingCodeCode],FinanceCodesBudget[[#This Row],[GroupingCode]])&gt;0,0,1)</f>
        <v>0</v>
      </c>
      <c r="C449" s="43">
        <f>IF(COUNTIF(CUSTGROUP[CustomGroupingCode],FinanceCodesBudget[[#This Row],[CustomGrouping]])&gt;0,0,1)</f>
        <v>0</v>
      </c>
      <c r="D449" s="43" cm="1">
        <f t="array" ref="D449">IF(FinanceCodesBudget[[#This Row],[AvailableToAllSchools]]=TRUE,0,COUNTA(_xlfn.TEXTSPLIT(FinanceCodesBudget[[#This Row],[SchoolCodes]],",",,TRUE))-SUM(COUNTIF(SCHOOLS[SchoolCode],_xlfn.TEXTSPLIT(FinanceCodesBudget[[#This Row],[SchoolCodes]],",",,TRUE))))</f>
        <v>0</v>
      </c>
      <c r="E449" s="43">
        <f>IF(FinanceCodesBudget[[#This Row],[FinanceCodeTypeCode]]="BUDGET",0,COUNTIF(FinanceCodesBudget[FinanceCode],FinanceCodesBudget[[#This Row],[FinanceCode]])-1)</f>
        <v>0</v>
      </c>
      <c r="F449" s="43">
        <f>IF(FinanceCodesBudget[[#This Row],[FinanceCodeTypeCode]]="BUDGET",0,COUNTIF(FinanceCodesBudget[Title],FinanceCodesBudget[[#This Row],[Title]])-1)</f>
        <v>0</v>
      </c>
      <c r="G449" s="43">
        <f>COUNTIF(Lookup!$A$2:$A$7,FinanceCodesBudget[[#This Row],[FinanceCodeTypeCode]])-1</f>
        <v>0</v>
      </c>
      <c r="H449" s="43">
        <f>IF(TRIM(FinanceCodesBudget[[#This Row],[Title]])="",1,0)</f>
        <v>0</v>
      </c>
      <c r="I449" s="43">
        <f>IF(TRIM(FinanceCodesBudget[[#This Row],[FinanceCode]])="",1,0)</f>
        <v>0</v>
      </c>
      <c r="J449" s="43">
        <f>IF(LEN(FinanceCodesBudget[[#This Row],[FinanceCode]])&lt;100,0,1)</f>
        <v>0</v>
      </c>
      <c r="K449" s="43">
        <f>IF(LEN(FinanceCodesBudget[[#This Row],[Title]])&lt;100,0,1)</f>
        <v>0</v>
      </c>
      <c r="L449" s="43">
        <f>IF(ISBLANK(FinanceCodesBudget[[#This Row],[BalanceToScenario]]),1,0)</f>
        <v>0</v>
      </c>
      <c r="M449" s="43">
        <f>SUM(FinanceCodesBudget[[#This Row],[LedgerIssue]:[CustGrIssue]],FinanceCodesBudget[[#This Row],[DupCode]:[Balance to Scenario Blank]])</f>
        <v>0</v>
      </c>
      <c r="N449">
        <v>855420</v>
      </c>
      <c r="O449" t="s">
        <v>2971</v>
      </c>
      <c r="P449" t="s">
        <v>726</v>
      </c>
      <c r="Q449" t="s">
        <v>1998</v>
      </c>
      <c r="R449" t="b">
        <v>0</v>
      </c>
      <c r="S449" t="s">
        <v>2526</v>
      </c>
      <c r="T449" t="s">
        <v>1300</v>
      </c>
      <c r="U449" t="s">
        <v>1532</v>
      </c>
      <c r="V449" t="b">
        <v>1</v>
      </c>
      <c r="W449" t="b">
        <v>0</v>
      </c>
    </row>
    <row r="450" spans="1:23" x14ac:dyDescent="0.3">
      <c r="A450" s="147">
        <f>IF(COUNTIF(LEDGER[LedgerCode],FinanceCodesBudget[[#This Row],[LedgerCode]])&gt;0,0,1)</f>
        <v>0</v>
      </c>
      <c r="B450" s="43">
        <f>IF(COUNTIF(Table_System_Grouping_Codes[groupingCodeCode],FinanceCodesBudget[[#This Row],[GroupingCode]])&gt;0,0,1)</f>
        <v>0</v>
      </c>
      <c r="C450" s="43">
        <f>IF(COUNTIF(CUSTGROUP[CustomGroupingCode],FinanceCodesBudget[[#This Row],[CustomGrouping]])&gt;0,0,1)</f>
        <v>0</v>
      </c>
      <c r="D450" s="43" cm="1">
        <f t="array" ref="D450">IF(FinanceCodesBudget[[#This Row],[AvailableToAllSchools]]=TRUE,0,COUNTA(_xlfn.TEXTSPLIT(FinanceCodesBudget[[#This Row],[SchoolCodes]],",",,TRUE))-SUM(COUNTIF(SCHOOLS[SchoolCode],_xlfn.TEXTSPLIT(FinanceCodesBudget[[#This Row],[SchoolCodes]],",",,TRUE))))</f>
        <v>0</v>
      </c>
      <c r="E450" s="43">
        <f>IF(FinanceCodesBudget[[#This Row],[FinanceCodeTypeCode]]="BUDGET",0,COUNTIF(FinanceCodesBudget[FinanceCode],FinanceCodesBudget[[#This Row],[FinanceCode]])-1)</f>
        <v>0</v>
      </c>
      <c r="F450" s="43">
        <f>IF(FinanceCodesBudget[[#This Row],[FinanceCodeTypeCode]]="BUDGET",0,COUNTIF(FinanceCodesBudget[Title],FinanceCodesBudget[[#This Row],[Title]])-1)</f>
        <v>0</v>
      </c>
      <c r="G450" s="43">
        <f>COUNTIF(Lookup!$A$2:$A$7,FinanceCodesBudget[[#This Row],[FinanceCodeTypeCode]])-1</f>
        <v>0</v>
      </c>
      <c r="H450" s="43">
        <f>IF(TRIM(FinanceCodesBudget[[#This Row],[Title]])="",1,0)</f>
        <v>0</v>
      </c>
      <c r="I450" s="43">
        <f>IF(TRIM(FinanceCodesBudget[[#This Row],[FinanceCode]])="",1,0)</f>
        <v>0</v>
      </c>
      <c r="J450" s="43">
        <f>IF(LEN(FinanceCodesBudget[[#This Row],[FinanceCode]])&lt;100,0,1)</f>
        <v>0</v>
      </c>
      <c r="K450" s="43">
        <f>IF(LEN(FinanceCodesBudget[[#This Row],[Title]])&lt;100,0,1)</f>
        <v>0</v>
      </c>
      <c r="L450" s="43">
        <f>IF(ISBLANK(FinanceCodesBudget[[#This Row],[BalanceToScenario]]),1,0)</f>
        <v>0</v>
      </c>
      <c r="M450" s="43">
        <f>SUM(FinanceCodesBudget[[#This Row],[LedgerIssue]:[CustGrIssue]],FinanceCodesBudget[[#This Row],[DupCode]:[Balance to Scenario Blank]])</f>
        <v>0</v>
      </c>
      <c r="N450">
        <v>855450</v>
      </c>
      <c r="O450" t="s">
        <v>2972</v>
      </c>
      <c r="P450" t="s">
        <v>728</v>
      </c>
      <c r="Q450" t="s">
        <v>1998</v>
      </c>
      <c r="R450" t="b">
        <v>0</v>
      </c>
      <c r="S450" t="s">
        <v>2526</v>
      </c>
      <c r="T450" t="s">
        <v>1300</v>
      </c>
      <c r="U450" t="s">
        <v>1532</v>
      </c>
      <c r="V450" t="b">
        <v>1</v>
      </c>
      <c r="W450" t="b">
        <v>0</v>
      </c>
    </row>
    <row r="451" spans="1:23" x14ac:dyDescent="0.3">
      <c r="A451" s="147">
        <f>IF(COUNTIF(LEDGER[LedgerCode],FinanceCodesBudget[[#This Row],[LedgerCode]])&gt;0,0,1)</f>
        <v>0</v>
      </c>
      <c r="B451" s="43">
        <f>IF(COUNTIF(Table_System_Grouping_Codes[groupingCodeCode],FinanceCodesBudget[[#This Row],[GroupingCode]])&gt;0,0,1)</f>
        <v>0</v>
      </c>
      <c r="C451" s="43">
        <f>IF(COUNTIF(CUSTGROUP[CustomGroupingCode],FinanceCodesBudget[[#This Row],[CustomGrouping]])&gt;0,0,1)</f>
        <v>0</v>
      </c>
      <c r="D451" s="43" cm="1">
        <f t="array" ref="D451">IF(FinanceCodesBudget[[#This Row],[AvailableToAllSchools]]=TRUE,0,COUNTA(_xlfn.TEXTSPLIT(FinanceCodesBudget[[#This Row],[SchoolCodes]],",",,TRUE))-SUM(COUNTIF(SCHOOLS[SchoolCode],_xlfn.TEXTSPLIT(FinanceCodesBudget[[#This Row],[SchoolCodes]],",",,TRUE))))</f>
        <v>0</v>
      </c>
      <c r="E451" s="43">
        <f>IF(FinanceCodesBudget[[#This Row],[FinanceCodeTypeCode]]="BUDGET",0,COUNTIF(FinanceCodesBudget[FinanceCode],FinanceCodesBudget[[#This Row],[FinanceCode]])-1)</f>
        <v>0</v>
      </c>
      <c r="F451" s="43">
        <f>IF(FinanceCodesBudget[[#This Row],[FinanceCodeTypeCode]]="BUDGET",0,COUNTIF(FinanceCodesBudget[Title],FinanceCodesBudget[[#This Row],[Title]])-1)</f>
        <v>0</v>
      </c>
      <c r="G451" s="43">
        <f>COUNTIF(Lookup!$A$2:$A$7,FinanceCodesBudget[[#This Row],[FinanceCodeTypeCode]])-1</f>
        <v>0</v>
      </c>
      <c r="H451" s="43">
        <f>IF(TRIM(FinanceCodesBudget[[#This Row],[Title]])="",1,0)</f>
        <v>0</v>
      </c>
      <c r="I451" s="43">
        <f>IF(TRIM(FinanceCodesBudget[[#This Row],[FinanceCode]])="",1,0)</f>
        <v>0</v>
      </c>
      <c r="J451" s="43">
        <f>IF(LEN(FinanceCodesBudget[[#This Row],[FinanceCode]])&lt;100,0,1)</f>
        <v>0</v>
      </c>
      <c r="K451" s="43">
        <f>IF(LEN(FinanceCodesBudget[[#This Row],[Title]])&lt;100,0,1)</f>
        <v>0</v>
      </c>
      <c r="L451" s="43">
        <f>IF(ISBLANK(FinanceCodesBudget[[#This Row],[BalanceToScenario]]),1,0)</f>
        <v>0</v>
      </c>
      <c r="M451" s="43">
        <f>SUM(FinanceCodesBudget[[#This Row],[LedgerIssue]:[CustGrIssue]],FinanceCodesBudget[[#This Row],[DupCode]:[Balance to Scenario Blank]])</f>
        <v>0</v>
      </c>
      <c r="N451">
        <v>855470</v>
      </c>
      <c r="O451" t="s">
        <v>2973</v>
      </c>
      <c r="P451" t="s">
        <v>730</v>
      </c>
      <c r="Q451" t="s">
        <v>1998</v>
      </c>
      <c r="R451" t="b">
        <v>0</v>
      </c>
      <c r="S451" t="s">
        <v>2526</v>
      </c>
      <c r="T451" t="s">
        <v>1300</v>
      </c>
      <c r="U451" t="s">
        <v>1532</v>
      </c>
      <c r="V451" t="b">
        <v>1</v>
      </c>
      <c r="W451" t="b">
        <v>0</v>
      </c>
    </row>
    <row r="452" spans="1:23" x14ac:dyDescent="0.3">
      <c r="A452" s="147">
        <f>IF(COUNTIF(LEDGER[LedgerCode],FinanceCodesBudget[[#This Row],[LedgerCode]])&gt;0,0,1)</f>
        <v>0</v>
      </c>
      <c r="B452" s="43">
        <f>IF(COUNTIF(Table_System_Grouping_Codes[groupingCodeCode],FinanceCodesBudget[[#This Row],[GroupingCode]])&gt;0,0,1)</f>
        <v>0</v>
      </c>
      <c r="C452" s="43">
        <f>IF(COUNTIF(CUSTGROUP[CustomGroupingCode],FinanceCodesBudget[[#This Row],[CustomGrouping]])&gt;0,0,1)</f>
        <v>0</v>
      </c>
      <c r="D452" s="43" cm="1">
        <f t="array" ref="D452">IF(FinanceCodesBudget[[#This Row],[AvailableToAllSchools]]=TRUE,0,COUNTA(_xlfn.TEXTSPLIT(FinanceCodesBudget[[#This Row],[SchoolCodes]],",",,TRUE))-SUM(COUNTIF(SCHOOLS[SchoolCode],_xlfn.TEXTSPLIT(FinanceCodesBudget[[#This Row],[SchoolCodes]],",",,TRUE))))</f>
        <v>0</v>
      </c>
      <c r="E452" s="43">
        <f>IF(FinanceCodesBudget[[#This Row],[FinanceCodeTypeCode]]="BUDGET",0,COUNTIF(FinanceCodesBudget[FinanceCode],FinanceCodesBudget[[#This Row],[FinanceCode]])-1)</f>
        <v>0</v>
      </c>
      <c r="F452" s="43">
        <f>IF(FinanceCodesBudget[[#This Row],[FinanceCodeTypeCode]]="BUDGET",0,COUNTIF(FinanceCodesBudget[Title],FinanceCodesBudget[[#This Row],[Title]])-1)</f>
        <v>0</v>
      </c>
      <c r="G452" s="43">
        <f>COUNTIF(Lookup!$A$2:$A$7,FinanceCodesBudget[[#This Row],[FinanceCodeTypeCode]])-1</f>
        <v>0</v>
      </c>
      <c r="H452" s="43">
        <f>IF(TRIM(FinanceCodesBudget[[#This Row],[Title]])="",1,0)</f>
        <v>0</v>
      </c>
      <c r="I452" s="43">
        <f>IF(TRIM(FinanceCodesBudget[[#This Row],[FinanceCode]])="",1,0)</f>
        <v>0</v>
      </c>
      <c r="J452" s="43">
        <f>IF(LEN(FinanceCodesBudget[[#This Row],[FinanceCode]])&lt;100,0,1)</f>
        <v>0</v>
      </c>
      <c r="K452" s="43">
        <f>IF(LEN(FinanceCodesBudget[[#This Row],[Title]])&lt;100,0,1)</f>
        <v>0</v>
      </c>
      <c r="L452" s="43">
        <f>IF(ISBLANK(FinanceCodesBudget[[#This Row],[BalanceToScenario]]),1,0)</f>
        <v>0</v>
      </c>
      <c r="M452" s="43">
        <f>SUM(FinanceCodesBudget[[#This Row],[LedgerIssue]:[CustGrIssue]],FinanceCodesBudget[[#This Row],[DupCode]:[Balance to Scenario Blank]])</f>
        <v>0</v>
      </c>
      <c r="N452">
        <v>855480</v>
      </c>
      <c r="O452" t="s">
        <v>2974</v>
      </c>
      <c r="P452" t="s">
        <v>732</v>
      </c>
      <c r="Q452" t="s">
        <v>1998</v>
      </c>
      <c r="R452" t="b">
        <v>0</v>
      </c>
      <c r="S452" t="s">
        <v>2526</v>
      </c>
      <c r="T452" t="s">
        <v>1300</v>
      </c>
      <c r="U452" t="s">
        <v>1532</v>
      </c>
      <c r="V452" t="b">
        <v>1</v>
      </c>
      <c r="W452" t="b">
        <v>0</v>
      </c>
    </row>
    <row r="453" spans="1:23" x14ac:dyDescent="0.3">
      <c r="A453" s="147">
        <f>IF(COUNTIF(LEDGER[LedgerCode],FinanceCodesBudget[[#This Row],[LedgerCode]])&gt;0,0,1)</f>
        <v>0</v>
      </c>
      <c r="B453" s="43">
        <f>IF(COUNTIF(Table_System_Grouping_Codes[groupingCodeCode],FinanceCodesBudget[[#This Row],[GroupingCode]])&gt;0,0,1)</f>
        <v>0</v>
      </c>
      <c r="C453" s="43">
        <f>IF(COUNTIF(CUSTGROUP[CustomGroupingCode],FinanceCodesBudget[[#This Row],[CustomGrouping]])&gt;0,0,1)</f>
        <v>0</v>
      </c>
      <c r="D453" s="43" cm="1">
        <f t="array" ref="D453">IF(FinanceCodesBudget[[#This Row],[AvailableToAllSchools]]=TRUE,0,COUNTA(_xlfn.TEXTSPLIT(FinanceCodesBudget[[#This Row],[SchoolCodes]],",",,TRUE))-SUM(COUNTIF(SCHOOLS[SchoolCode],_xlfn.TEXTSPLIT(FinanceCodesBudget[[#This Row],[SchoolCodes]],",",,TRUE))))</f>
        <v>0</v>
      </c>
      <c r="E453" s="43">
        <f>IF(FinanceCodesBudget[[#This Row],[FinanceCodeTypeCode]]="BUDGET",0,COUNTIF(FinanceCodesBudget[FinanceCode],FinanceCodesBudget[[#This Row],[FinanceCode]])-1)</f>
        <v>0</v>
      </c>
      <c r="F453" s="43">
        <f>IF(FinanceCodesBudget[[#This Row],[FinanceCodeTypeCode]]="BUDGET",0,COUNTIF(FinanceCodesBudget[Title],FinanceCodesBudget[[#This Row],[Title]])-1)</f>
        <v>0</v>
      </c>
      <c r="G453" s="43">
        <f>COUNTIF(Lookup!$A$2:$A$7,FinanceCodesBudget[[#This Row],[FinanceCodeTypeCode]])-1</f>
        <v>0</v>
      </c>
      <c r="H453" s="43">
        <f>IF(TRIM(FinanceCodesBudget[[#This Row],[Title]])="",1,0)</f>
        <v>0</v>
      </c>
      <c r="I453" s="43">
        <f>IF(TRIM(FinanceCodesBudget[[#This Row],[FinanceCode]])="",1,0)</f>
        <v>0</v>
      </c>
      <c r="J453" s="43">
        <f>IF(LEN(FinanceCodesBudget[[#This Row],[FinanceCode]])&lt;100,0,1)</f>
        <v>0</v>
      </c>
      <c r="K453" s="43">
        <f>IF(LEN(FinanceCodesBudget[[#This Row],[Title]])&lt;100,0,1)</f>
        <v>0</v>
      </c>
      <c r="L453" s="43">
        <f>IF(ISBLANK(FinanceCodesBudget[[#This Row],[BalanceToScenario]]),1,0)</f>
        <v>0</v>
      </c>
      <c r="M453" s="43">
        <f>SUM(FinanceCodesBudget[[#This Row],[LedgerIssue]:[CustGrIssue]],FinanceCodesBudget[[#This Row],[DupCode]:[Balance to Scenario Blank]])</f>
        <v>0</v>
      </c>
      <c r="N453">
        <v>855490</v>
      </c>
      <c r="O453" t="s">
        <v>2975</v>
      </c>
      <c r="P453" t="s">
        <v>733</v>
      </c>
      <c r="Q453" t="s">
        <v>1998</v>
      </c>
      <c r="R453" t="b">
        <v>0</v>
      </c>
      <c r="S453" t="s">
        <v>2526</v>
      </c>
      <c r="T453" t="s">
        <v>1300</v>
      </c>
      <c r="U453" t="s">
        <v>1532</v>
      </c>
      <c r="V453" t="b">
        <v>1</v>
      </c>
      <c r="W453" t="b">
        <v>0</v>
      </c>
    </row>
    <row r="454" spans="1:23" x14ac:dyDescent="0.3">
      <c r="A454" s="147">
        <f>IF(COUNTIF(LEDGER[LedgerCode],FinanceCodesBudget[[#This Row],[LedgerCode]])&gt;0,0,1)</f>
        <v>0</v>
      </c>
      <c r="B454" s="43">
        <f>IF(COUNTIF(Table_System_Grouping_Codes[groupingCodeCode],FinanceCodesBudget[[#This Row],[GroupingCode]])&gt;0,0,1)</f>
        <v>0</v>
      </c>
      <c r="C454" s="43">
        <f>IF(COUNTIF(CUSTGROUP[CustomGroupingCode],FinanceCodesBudget[[#This Row],[CustomGrouping]])&gt;0,0,1)</f>
        <v>0</v>
      </c>
      <c r="D454" s="43" cm="1">
        <f t="array" ref="D454">IF(FinanceCodesBudget[[#This Row],[AvailableToAllSchools]]=TRUE,0,COUNTA(_xlfn.TEXTSPLIT(FinanceCodesBudget[[#This Row],[SchoolCodes]],",",,TRUE))-SUM(COUNTIF(SCHOOLS[SchoolCode],_xlfn.TEXTSPLIT(FinanceCodesBudget[[#This Row],[SchoolCodes]],",",,TRUE))))</f>
        <v>0</v>
      </c>
      <c r="E454" s="43">
        <f>IF(FinanceCodesBudget[[#This Row],[FinanceCodeTypeCode]]="BUDGET",0,COUNTIF(FinanceCodesBudget[FinanceCode],FinanceCodesBudget[[#This Row],[FinanceCode]])-1)</f>
        <v>0</v>
      </c>
      <c r="F454" s="43">
        <f>IF(FinanceCodesBudget[[#This Row],[FinanceCodeTypeCode]]="BUDGET",0,COUNTIF(FinanceCodesBudget[Title],FinanceCodesBudget[[#This Row],[Title]])-1)</f>
        <v>0</v>
      </c>
      <c r="G454" s="43">
        <f>COUNTIF(Lookup!$A$2:$A$7,FinanceCodesBudget[[#This Row],[FinanceCodeTypeCode]])-1</f>
        <v>0</v>
      </c>
      <c r="H454" s="43">
        <f>IF(TRIM(FinanceCodesBudget[[#This Row],[Title]])="",1,0)</f>
        <v>0</v>
      </c>
      <c r="I454" s="43">
        <f>IF(TRIM(FinanceCodesBudget[[#This Row],[FinanceCode]])="",1,0)</f>
        <v>0</v>
      </c>
      <c r="J454" s="43">
        <f>IF(LEN(FinanceCodesBudget[[#This Row],[FinanceCode]])&lt;100,0,1)</f>
        <v>0</v>
      </c>
      <c r="K454" s="43">
        <f>IF(LEN(FinanceCodesBudget[[#This Row],[Title]])&lt;100,0,1)</f>
        <v>0</v>
      </c>
      <c r="L454" s="43">
        <f>IF(ISBLANK(FinanceCodesBudget[[#This Row],[BalanceToScenario]]),1,0)</f>
        <v>0</v>
      </c>
      <c r="M454" s="43">
        <f>SUM(FinanceCodesBudget[[#This Row],[LedgerIssue]:[CustGrIssue]],FinanceCodesBudget[[#This Row],[DupCode]:[Balance to Scenario Blank]])</f>
        <v>0</v>
      </c>
      <c r="N454">
        <v>855500</v>
      </c>
      <c r="O454" t="s">
        <v>2976</v>
      </c>
      <c r="P454" t="s">
        <v>734</v>
      </c>
      <c r="Q454" t="s">
        <v>1998</v>
      </c>
      <c r="R454" t="b">
        <v>0</v>
      </c>
      <c r="S454" t="s">
        <v>2526</v>
      </c>
      <c r="T454" t="s">
        <v>1300</v>
      </c>
      <c r="U454" t="s">
        <v>1532</v>
      </c>
      <c r="V454" t="b">
        <v>1</v>
      </c>
      <c r="W454" t="b">
        <v>0</v>
      </c>
    </row>
    <row r="455" spans="1:23" x14ac:dyDescent="0.3">
      <c r="A455" s="147">
        <f>IF(COUNTIF(LEDGER[LedgerCode],FinanceCodesBudget[[#This Row],[LedgerCode]])&gt;0,0,1)</f>
        <v>0</v>
      </c>
      <c r="B455" s="43">
        <f>IF(COUNTIF(Table_System_Grouping_Codes[groupingCodeCode],FinanceCodesBudget[[#This Row],[GroupingCode]])&gt;0,0,1)</f>
        <v>0</v>
      </c>
      <c r="C455" s="43">
        <f>IF(COUNTIF(CUSTGROUP[CustomGroupingCode],FinanceCodesBudget[[#This Row],[CustomGrouping]])&gt;0,0,1)</f>
        <v>0</v>
      </c>
      <c r="D455" s="43" cm="1">
        <f t="array" ref="D455">IF(FinanceCodesBudget[[#This Row],[AvailableToAllSchools]]=TRUE,0,COUNTA(_xlfn.TEXTSPLIT(FinanceCodesBudget[[#This Row],[SchoolCodes]],",",,TRUE))-SUM(COUNTIF(SCHOOLS[SchoolCode],_xlfn.TEXTSPLIT(FinanceCodesBudget[[#This Row],[SchoolCodes]],",",,TRUE))))</f>
        <v>0</v>
      </c>
      <c r="E455" s="43">
        <f>IF(FinanceCodesBudget[[#This Row],[FinanceCodeTypeCode]]="BUDGET",0,COUNTIF(FinanceCodesBudget[FinanceCode],FinanceCodesBudget[[#This Row],[FinanceCode]])-1)</f>
        <v>0</v>
      </c>
      <c r="F455" s="43">
        <f>IF(FinanceCodesBudget[[#This Row],[FinanceCodeTypeCode]]="BUDGET",0,COUNTIF(FinanceCodesBudget[Title],FinanceCodesBudget[[#This Row],[Title]])-1)</f>
        <v>0</v>
      </c>
      <c r="G455" s="43">
        <f>COUNTIF(Lookup!$A$2:$A$7,FinanceCodesBudget[[#This Row],[FinanceCodeTypeCode]])-1</f>
        <v>0</v>
      </c>
      <c r="H455" s="43">
        <f>IF(TRIM(FinanceCodesBudget[[#This Row],[Title]])="",1,0)</f>
        <v>0</v>
      </c>
      <c r="I455" s="43">
        <f>IF(TRIM(FinanceCodesBudget[[#This Row],[FinanceCode]])="",1,0)</f>
        <v>0</v>
      </c>
      <c r="J455" s="43">
        <f>IF(LEN(FinanceCodesBudget[[#This Row],[FinanceCode]])&lt;100,0,1)</f>
        <v>0</v>
      </c>
      <c r="K455" s="43">
        <f>IF(LEN(FinanceCodesBudget[[#This Row],[Title]])&lt;100,0,1)</f>
        <v>0</v>
      </c>
      <c r="L455" s="43">
        <f>IF(ISBLANK(FinanceCodesBudget[[#This Row],[BalanceToScenario]]),1,0)</f>
        <v>0</v>
      </c>
      <c r="M455" s="43">
        <f>SUM(FinanceCodesBudget[[#This Row],[LedgerIssue]:[CustGrIssue]],FinanceCodesBudget[[#This Row],[DupCode]:[Balance to Scenario Blank]])</f>
        <v>0</v>
      </c>
      <c r="N455">
        <v>855600</v>
      </c>
      <c r="O455" t="s">
        <v>2977</v>
      </c>
      <c r="P455" t="s">
        <v>735</v>
      </c>
      <c r="Q455" t="s">
        <v>1998</v>
      </c>
      <c r="R455" t="b">
        <v>0</v>
      </c>
      <c r="S455" t="s">
        <v>2526</v>
      </c>
      <c r="T455" t="s">
        <v>1300</v>
      </c>
      <c r="U455" t="s">
        <v>1532</v>
      </c>
      <c r="V455" t="b">
        <v>1</v>
      </c>
      <c r="W455" t="b">
        <v>0</v>
      </c>
    </row>
    <row r="456" spans="1:23" x14ac:dyDescent="0.3">
      <c r="A456" s="147">
        <f>IF(COUNTIF(LEDGER[LedgerCode],FinanceCodesBudget[[#This Row],[LedgerCode]])&gt;0,0,1)</f>
        <v>0</v>
      </c>
      <c r="B456" s="43">
        <f>IF(COUNTIF(Table_System_Grouping_Codes[groupingCodeCode],FinanceCodesBudget[[#This Row],[GroupingCode]])&gt;0,0,1)</f>
        <v>0</v>
      </c>
      <c r="C456" s="43">
        <f>IF(COUNTIF(CUSTGROUP[CustomGroupingCode],FinanceCodesBudget[[#This Row],[CustomGrouping]])&gt;0,0,1)</f>
        <v>0</v>
      </c>
      <c r="D456" s="43" cm="1">
        <f t="array" ref="D456">IF(FinanceCodesBudget[[#This Row],[AvailableToAllSchools]]=TRUE,0,COUNTA(_xlfn.TEXTSPLIT(FinanceCodesBudget[[#This Row],[SchoolCodes]],",",,TRUE))-SUM(COUNTIF(SCHOOLS[SchoolCode],_xlfn.TEXTSPLIT(FinanceCodesBudget[[#This Row],[SchoolCodes]],",",,TRUE))))</f>
        <v>0</v>
      </c>
      <c r="E456" s="43">
        <f>IF(FinanceCodesBudget[[#This Row],[FinanceCodeTypeCode]]="BUDGET",0,COUNTIF(FinanceCodesBudget[FinanceCode],FinanceCodesBudget[[#This Row],[FinanceCode]])-1)</f>
        <v>0</v>
      </c>
      <c r="F456" s="43">
        <f>IF(FinanceCodesBudget[[#This Row],[FinanceCodeTypeCode]]="BUDGET",0,COUNTIF(FinanceCodesBudget[Title],FinanceCodesBudget[[#This Row],[Title]])-1)</f>
        <v>0</v>
      </c>
      <c r="G456" s="43">
        <f>COUNTIF(Lookup!$A$2:$A$7,FinanceCodesBudget[[#This Row],[FinanceCodeTypeCode]])-1</f>
        <v>0</v>
      </c>
      <c r="H456" s="43">
        <f>IF(TRIM(FinanceCodesBudget[[#This Row],[Title]])="",1,0)</f>
        <v>0</v>
      </c>
      <c r="I456" s="43">
        <f>IF(TRIM(FinanceCodesBudget[[#This Row],[FinanceCode]])="",1,0)</f>
        <v>0</v>
      </c>
      <c r="J456" s="43">
        <f>IF(LEN(FinanceCodesBudget[[#This Row],[FinanceCode]])&lt;100,0,1)</f>
        <v>0</v>
      </c>
      <c r="K456" s="43">
        <f>IF(LEN(FinanceCodesBudget[[#This Row],[Title]])&lt;100,0,1)</f>
        <v>0</v>
      </c>
      <c r="L456" s="43">
        <f>IF(ISBLANK(FinanceCodesBudget[[#This Row],[BalanceToScenario]]),1,0)</f>
        <v>0</v>
      </c>
      <c r="M456" s="43">
        <f>SUM(FinanceCodesBudget[[#This Row],[LedgerIssue]:[CustGrIssue]],FinanceCodesBudget[[#This Row],[DupCode]:[Balance to Scenario Blank]])</f>
        <v>0</v>
      </c>
      <c r="N456">
        <v>860100</v>
      </c>
      <c r="O456" t="s">
        <v>2978</v>
      </c>
      <c r="P456" t="s">
        <v>736</v>
      </c>
      <c r="Q456" t="s">
        <v>1998</v>
      </c>
      <c r="R456" t="b">
        <v>0</v>
      </c>
      <c r="S456" t="s">
        <v>2526</v>
      </c>
      <c r="T456" t="s">
        <v>1300</v>
      </c>
      <c r="U456" t="s">
        <v>1532</v>
      </c>
      <c r="V456" t="b">
        <v>1</v>
      </c>
      <c r="W456" t="b">
        <v>0</v>
      </c>
    </row>
    <row r="457" spans="1:23" x14ac:dyDescent="0.3">
      <c r="A457" s="147">
        <f>IF(COUNTIF(LEDGER[LedgerCode],FinanceCodesBudget[[#This Row],[LedgerCode]])&gt;0,0,1)</f>
        <v>0</v>
      </c>
      <c r="B457" s="43">
        <f>IF(COUNTIF(Table_System_Grouping_Codes[groupingCodeCode],FinanceCodesBudget[[#This Row],[GroupingCode]])&gt;0,0,1)</f>
        <v>0</v>
      </c>
      <c r="C457" s="43">
        <f>IF(COUNTIF(CUSTGROUP[CustomGroupingCode],FinanceCodesBudget[[#This Row],[CustomGrouping]])&gt;0,0,1)</f>
        <v>0</v>
      </c>
      <c r="D457" s="43" cm="1">
        <f t="array" ref="D457">IF(FinanceCodesBudget[[#This Row],[AvailableToAllSchools]]=TRUE,0,COUNTA(_xlfn.TEXTSPLIT(FinanceCodesBudget[[#This Row],[SchoolCodes]],",",,TRUE))-SUM(COUNTIF(SCHOOLS[SchoolCode],_xlfn.TEXTSPLIT(FinanceCodesBudget[[#This Row],[SchoolCodes]],",",,TRUE))))</f>
        <v>0</v>
      </c>
      <c r="E457" s="43">
        <f>IF(FinanceCodesBudget[[#This Row],[FinanceCodeTypeCode]]="BUDGET",0,COUNTIF(FinanceCodesBudget[FinanceCode],FinanceCodesBudget[[#This Row],[FinanceCode]])-1)</f>
        <v>0</v>
      </c>
      <c r="F457" s="43">
        <f>IF(FinanceCodesBudget[[#This Row],[FinanceCodeTypeCode]]="BUDGET",0,COUNTIF(FinanceCodesBudget[Title],FinanceCodesBudget[[#This Row],[Title]])-1)</f>
        <v>0</v>
      </c>
      <c r="G457" s="43">
        <f>COUNTIF(Lookup!$A$2:$A$7,FinanceCodesBudget[[#This Row],[FinanceCodeTypeCode]])-1</f>
        <v>0</v>
      </c>
      <c r="H457" s="43">
        <f>IF(TRIM(FinanceCodesBudget[[#This Row],[Title]])="",1,0)</f>
        <v>0</v>
      </c>
      <c r="I457" s="43">
        <f>IF(TRIM(FinanceCodesBudget[[#This Row],[FinanceCode]])="",1,0)</f>
        <v>0</v>
      </c>
      <c r="J457" s="43">
        <f>IF(LEN(FinanceCodesBudget[[#This Row],[FinanceCode]])&lt;100,0,1)</f>
        <v>0</v>
      </c>
      <c r="K457" s="43">
        <f>IF(LEN(FinanceCodesBudget[[#This Row],[Title]])&lt;100,0,1)</f>
        <v>0</v>
      </c>
      <c r="L457" s="43">
        <f>IF(ISBLANK(FinanceCodesBudget[[#This Row],[BalanceToScenario]]),1,0)</f>
        <v>0</v>
      </c>
      <c r="M457" s="43">
        <f>SUM(FinanceCodesBudget[[#This Row],[LedgerIssue]:[CustGrIssue]],FinanceCodesBudget[[#This Row],[DupCode]:[Balance to Scenario Blank]])</f>
        <v>0</v>
      </c>
      <c r="N457">
        <v>860200</v>
      </c>
      <c r="O457" t="s">
        <v>2979</v>
      </c>
      <c r="P457" t="s">
        <v>738</v>
      </c>
      <c r="Q457" t="s">
        <v>1998</v>
      </c>
      <c r="R457" t="b">
        <v>0</v>
      </c>
      <c r="S457" t="s">
        <v>2526</v>
      </c>
      <c r="T457" t="s">
        <v>1300</v>
      </c>
      <c r="U457" t="s">
        <v>1532</v>
      </c>
      <c r="V457" t="b">
        <v>1</v>
      </c>
      <c r="W457" t="b">
        <v>0</v>
      </c>
    </row>
    <row r="458" spans="1:23" x14ac:dyDescent="0.3">
      <c r="A458" s="147">
        <f>IF(COUNTIF(LEDGER[LedgerCode],FinanceCodesBudget[[#This Row],[LedgerCode]])&gt;0,0,1)</f>
        <v>0</v>
      </c>
      <c r="B458" s="43">
        <f>IF(COUNTIF(Table_System_Grouping_Codes[groupingCodeCode],FinanceCodesBudget[[#This Row],[GroupingCode]])&gt;0,0,1)</f>
        <v>0</v>
      </c>
      <c r="C458" s="43">
        <f>IF(COUNTIF(CUSTGROUP[CustomGroupingCode],FinanceCodesBudget[[#This Row],[CustomGrouping]])&gt;0,0,1)</f>
        <v>0</v>
      </c>
      <c r="D458" s="43" cm="1">
        <f t="array" ref="D458">IF(FinanceCodesBudget[[#This Row],[AvailableToAllSchools]]=TRUE,0,COUNTA(_xlfn.TEXTSPLIT(FinanceCodesBudget[[#This Row],[SchoolCodes]],",",,TRUE))-SUM(COUNTIF(SCHOOLS[SchoolCode],_xlfn.TEXTSPLIT(FinanceCodesBudget[[#This Row],[SchoolCodes]],",",,TRUE))))</f>
        <v>0</v>
      </c>
      <c r="E458" s="43">
        <f>IF(FinanceCodesBudget[[#This Row],[FinanceCodeTypeCode]]="BUDGET",0,COUNTIF(FinanceCodesBudget[FinanceCode],FinanceCodesBudget[[#This Row],[FinanceCode]])-1)</f>
        <v>0</v>
      </c>
      <c r="F458" s="43">
        <f>IF(FinanceCodesBudget[[#This Row],[FinanceCodeTypeCode]]="BUDGET",0,COUNTIF(FinanceCodesBudget[Title],FinanceCodesBudget[[#This Row],[Title]])-1)</f>
        <v>0</v>
      </c>
      <c r="G458" s="43">
        <f>COUNTIF(Lookup!$A$2:$A$7,FinanceCodesBudget[[#This Row],[FinanceCodeTypeCode]])-1</f>
        <v>0</v>
      </c>
      <c r="H458" s="43">
        <f>IF(TRIM(FinanceCodesBudget[[#This Row],[Title]])="",1,0)</f>
        <v>0</v>
      </c>
      <c r="I458" s="43">
        <f>IF(TRIM(FinanceCodesBudget[[#This Row],[FinanceCode]])="",1,0)</f>
        <v>0</v>
      </c>
      <c r="J458" s="43">
        <f>IF(LEN(FinanceCodesBudget[[#This Row],[FinanceCode]])&lt;100,0,1)</f>
        <v>0</v>
      </c>
      <c r="K458" s="43">
        <f>IF(LEN(FinanceCodesBudget[[#This Row],[Title]])&lt;100,0,1)</f>
        <v>0</v>
      </c>
      <c r="L458" s="43">
        <f>IF(ISBLANK(FinanceCodesBudget[[#This Row],[BalanceToScenario]]),1,0)</f>
        <v>0</v>
      </c>
      <c r="M458" s="43">
        <f>SUM(FinanceCodesBudget[[#This Row],[LedgerIssue]:[CustGrIssue]],FinanceCodesBudget[[#This Row],[DupCode]:[Balance to Scenario Blank]])</f>
        <v>0</v>
      </c>
      <c r="N458">
        <v>860300</v>
      </c>
      <c r="O458" t="s">
        <v>2980</v>
      </c>
      <c r="P458" t="s">
        <v>740</v>
      </c>
      <c r="Q458" t="s">
        <v>1998</v>
      </c>
      <c r="R458" t="b">
        <v>0</v>
      </c>
      <c r="S458" t="s">
        <v>2526</v>
      </c>
      <c r="T458" t="s">
        <v>1300</v>
      </c>
      <c r="U458" t="s">
        <v>1532</v>
      </c>
      <c r="V458" t="b">
        <v>1</v>
      </c>
      <c r="W458" t="b">
        <v>0</v>
      </c>
    </row>
    <row r="459" spans="1:23" x14ac:dyDescent="0.3">
      <c r="A459" s="147">
        <f>IF(COUNTIF(LEDGER[LedgerCode],FinanceCodesBudget[[#This Row],[LedgerCode]])&gt;0,0,1)</f>
        <v>0</v>
      </c>
      <c r="B459" s="43">
        <f>IF(COUNTIF(Table_System_Grouping_Codes[groupingCodeCode],FinanceCodesBudget[[#This Row],[GroupingCode]])&gt;0,0,1)</f>
        <v>0</v>
      </c>
      <c r="C459" s="43">
        <f>IF(COUNTIF(CUSTGROUP[CustomGroupingCode],FinanceCodesBudget[[#This Row],[CustomGrouping]])&gt;0,0,1)</f>
        <v>0</v>
      </c>
      <c r="D459" s="43" cm="1">
        <f t="array" ref="D459">IF(FinanceCodesBudget[[#This Row],[AvailableToAllSchools]]=TRUE,0,COUNTA(_xlfn.TEXTSPLIT(FinanceCodesBudget[[#This Row],[SchoolCodes]],",",,TRUE))-SUM(COUNTIF(SCHOOLS[SchoolCode],_xlfn.TEXTSPLIT(FinanceCodesBudget[[#This Row],[SchoolCodes]],",",,TRUE))))</f>
        <v>0</v>
      </c>
      <c r="E459" s="43">
        <f>IF(FinanceCodesBudget[[#This Row],[FinanceCodeTypeCode]]="BUDGET",0,COUNTIF(FinanceCodesBudget[FinanceCode],FinanceCodesBudget[[#This Row],[FinanceCode]])-1)</f>
        <v>0</v>
      </c>
      <c r="F459" s="43">
        <f>IF(FinanceCodesBudget[[#This Row],[FinanceCodeTypeCode]]="BUDGET",0,COUNTIF(FinanceCodesBudget[Title],FinanceCodesBudget[[#This Row],[Title]])-1)</f>
        <v>0</v>
      </c>
      <c r="G459" s="43">
        <f>COUNTIF(Lookup!$A$2:$A$7,FinanceCodesBudget[[#This Row],[FinanceCodeTypeCode]])-1</f>
        <v>0</v>
      </c>
      <c r="H459" s="43">
        <f>IF(TRIM(FinanceCodesBudget[[#This Row],[Title]])="",1,0)</f>
        <v>0</v>
      </c>
      <c r="I459" s="43">
        <f>IF(TRIM(FinanceCodesBudget[[#This Row],[FinanceCode]])="",1,0)</f>
        <v>0</v>
      </c>
      <c r="J459" s="43">
        <f>IF(LEN(FinanceCodesBudget[[#This Row],[FinanceCode]])&lt;100,0,1)</f>
        <v>0</v>
      </c>
      <c r="K459" s="43">
        <f>IF(LEN(FinanceCodesBudget[[#This Row],[Title]])&lt;100,0,1)</f>
        <v>0</v>
      </c>
      <c r="L459" s="43">
        <f>IF(ISBLANK(FinanceCodesBudget[[#This Row],[BalanceToScenario]]),1,0)</f>
        <v>0</v>
      </c>
      <c r="M459" s="43">
        <f>SUM(FinanceCodesBudget[[#This Row],[LedgerIssue]:[CustGrIssue]],FinanceCodesBudget[[#This Row],[DupCode]:[Balance to Scenario Blank]])</f>
        <v>0</v>
      </c>
      <c r="N459">
        <v>865100</v>
      </c>
      <c r="O459" t="s">
        <v>2981</v>
      </c>
      <c r="P459" t="s">
        <v>742</v>
      </c>
      <c r="Q459" t="s">
        <v>1998</v>
      </c>
      <c r="R459" t="b">
        <v>0</v>
      </c>
      <c r="S459" t="s">
        <v>2526</v>
      </c>
      <c r="T459" t="s">
        <v>1300</v>
      </c>
      <c r="U459" t="s">
        <v>1532</v>
      </c>
      <c r="V459" t="b">
        <v>1</v>
      </c>
      <c r="W459" t="b">
        <v>0</v>
      </c>
    </row>
    <row r="460" spans="1:23" x14ac:dyDescent="0.3">
      <c r="A460" s="147">
        <f>IF(COUNTIF(LEDGER[LedgerCode],FinanceCodesBudget[[#This Row],[LedgerCode]])&gt;0,0,1)</f>
        <v>0</v>
      </c>
      <c r="B460" s="43">
        <f>IF(COUNTIF(Table_System_Grouping_Codes[groupingCodeCode],FinanceCodesBudget[[#This Row],[GroupingCode]])&gt;0,0,1)</f>
        <v>0</v>
      </c>
      <c r="C460" s="43">
        <f>IF(COUNTIF(CUSTGROUP[CustomGroupingCode],FinanceCodesBudget[[#This Row],[CustomGrouping]])&gt;0,0,1)</f>
        <v>0</v>
      </c>
      <c r="D460" s="43" cm="1">
        <f t="array" ref="D460">IF(FinanceCodesBudget[[#This Row],[AvailableToAllSchools]]=TRUE,0,COUNTA(_xlfn.TEXTSPLIT(FinanceCodesBudget[[#This Row],[SchoolCodes]],",",,TRUE))-SUM(COUNTIF(SCHOOLS[SchoolCode],_xlfn.TEXTSPLIT(FinanceCodesBudget[[#This Row],[SchoolCodes]],",",,TRUE))))</f>
        <v>0</v>
      </c>
      <c r="E460" s="43">
        <f>IF(FinanceCodesBudget[[#This Row],[FinanceCodeTypeCode]]="BUDGET",0,COUNTIF(FinanceCodesBudget[FinanceCode],FinanceCodesBudget[[#This Row],[FinanceCode]])-1)</f>
        <v>0</v>
      </c>
      <c r="F460" s="43">
        <f>IF(FinanceCodesBudget[[#This Row],[FinanceCodeTypeCode]]="BUDGET",0,COUNTIF(FinanceCodesBudget[Title],FinanceCodesBudget[[#This Row],[Title]])-1)</f>
        <v>0</v>
      </c>
      <c r="G460" s="43">
        <f>COUNTIF(Lookup!$A$2:$A$7,FinanceCodesBudget[[#This Row],[FinanceCodeTypeCode]])-1</f>
        <v>0</v>
      </c>
      <c r="H460" s="43">
        <f>IF(TRIM(FinanceCodesBudget[[#This Row],[Title]])="",1,0)</f>
        <v>0</v>
      </c>
      <c r="I460" s="43">
        <f>IF(TRIM(FinanceCodesBudget[[#This Row],[FinanceCode]])="",1,0)</f>
        <v>0</v>
      </c>
      <c r="J460" s="43">
        <f>IF(LEN(FinanceCodesBudget[[#This Row],[FinanceCode]])&lt;100,0,1)</f>
        <v>0</v>
      </c>
      <c r="K460" s="43">
        <f>IF(LEN(FinanceCodesBudget[[#This Row],[Title]])&lt;100,0,1)</f>
        <v>0</v>
      </c>
      <c r="L460" s="43">
        <f>IF(ISBLANK(FinanceCodesBudget[[#This Row],[BalanceToScenario]]),1,0)</f>
        <v>0</v>
      </c>
      <c r="M460" s="43">
        <f>SUM(FinanceCodesBudget[[#This Row],[LedgerIssue]:[CustGrIssue]],FinanceCodesBudget[[#This Row],[DupCode]:[Balance to Scenario Blank]])</f>
        <v>0</v>
      </c>
      <c r="N460">
        <v>865150</v>
      </c>
      <c r="O460" t="s">
        <v>2982</v>
      </c>
      <c r="P460" t="s">
        <v>744</v>
      </c>
      <c r="Q460" t="s">
        <v>1998</v>
      </c>
      <c r="R460" t="b">
        <v>0</v>
      </c>
      <c r="S460" t="s">
        <v>2526</v>
      </c>
      <c r="T460" t="s">
        <v>1300</v>
      </c>
      <c r="U460" t="s">
        <v>1532</v>
      </c>
      <c r="V460" t="b">
        <v>1</v>
      </c>
      <c r="W460" t="b">
        <v>0</v>
      </c>
    </row>
    <row r="461" spans="1:23" x14ac:dyDescent="0.3">
      <c r="A461" s="147">
        <f>IF(COUNTIF(LEDGER[LedgerCode],FinanceCodesBudget[[#This Row],[LedgerCode]])&gt;0,0,1)</f>
        <v>0</v>
      </c>
      <c r="B461" s="43">
        <f>IF(COUNTIF(Table_System_Grouping_Codes[groupingCodeCode],FinanceCodesBudget[[#This Row],[GroupingCode]])&gt;0,0,1)</f>
        <v>0</v>
      </c>
      <c r="C461" s="43">
        <f>IF(COUNTIF(CUSTGROUP[CustomGroupingCode],FinanceCodesBudget[[#This Row],[CustomGrouping]])&gt;0,0,1)</f>
        <v>0</v>
      </c>
      <c r="D461" s="43" cm="1">
        <f t="array" ref="D461">IF(FinanceCodesBudget[[#This Row],[AvailableToAllSchools]]=TRUE,0,COUNTA(_xlfn.TEXTSPLIT(FinanceCodesBudget[[#This Row],[SchoolCodes]],",",,TRUE))-SUM(COUNTIF(SCHOOLS[SchoolCode],_xlfn.TEXTSPLIT(FinanceCodesBudget[[#This Row],[SchoolCodes]],",",,TRUE))))</f>
        <v>0</v>
      </c>
      <c r="E461" s="43">
        <f>IF(FinanceCodesBudget[[#This Row],[FinanceCodeTypeCode]]="BUDGET",0,COUNTIF(FinanceCodesBudget[FinanceCode],FinanceCodesBudget[[#This Row],[FinanceCode]])-1)</f>
        <v>0</v>
      </c>
      <c r="F461" s="43">
        <f>IF(FinanceCodesBudget[[#This Row],[FinanceCodeTypeCode]]="BUDGET",0,COUNTIF(FinanceCodesBudget[Title],FinanceCodesBudget[[#This Row],[Title]])-1)</f>
        <v>0</v>
      </c>
      <c r="G461" s="43">
        <f>COUNTIF(Lookup!$A$2:$A$7,FinanceCodesBudget[[#This Row],[FinanceCodeTypeCode]])-1</f>
        <v>0</v>
      </c>
      <c r="H461" s="43">
        <f>IF(TRIM(FinanceCodesBudget[[#This Row],[Title]])="",1,0)</f>
        <v>0</v>
      </c>
      <c r="I461" s="43">
        <f>IF(TRIM(FinanceCodesBudget[[#This Row],[FinanceCode]])="",1,0)</f>
        <v>0</v>
      </c>
      <c r="J461" s="43">
        <f>IF(LEN(FinanceCodesBudget[[#This Row],[FinanceCode]])&lt;100,0,1)</f>
        <v>0</v>
      </c>
      <c r="K461" s="43">
        <f>IF(LEN(FinanceCodesBudget[[#This Row],[Title]])&lt;100,0,1)</f>
        <v>0</v>
      </c>
      <c r="L461" s="43">
        <f>IF(ISBLANK(FinanceCodesBudget[[#This Row],[BalanceToScenario]]),1,0)</f>
        <v>0</v>
      </c>
      <c r="M461" s="43">
        <f>SUM(FinanceCodesBudget[[#This Row],[LedgerIssue]:[CustGrIssue]],FinanceCodesBudget[[#This Row],[DupCode]:[Balance to Scenario Blank]])</f>
        <v>0</v>
      </c>
      <c r="N461">
        <v>865200</v>
      </c>
      <c r="O461" t="s">
        <v>2983</v>
      </c>
      <c r="P461" t="s">
        <v>746</v>
      </c>
      <c r="Q461" t="s">
        <v>1998</v>
      </c>
      <c r="R461" t="b">
        <v>0</v>
      </c>
      <c r="S461" t="s">
        <v>2526</v>
      </c>
      <c r="T461" t="s">
        <v>1300</v>
      </c>
      <c r="U461" t="s">
        <v>1532</v>
      </c>
      <c r="V461" t="b">
        <v>1</v>
      </c>
      <c r="W461" t="b">
        <v>0</v>
      </c>
    </row>
    <row r="462" spans="1:23" x14ac:dyDescent="0.3">
      <c r="A462" s="147">
        <f>IF(COUNTIF(LEDGER[LedgerCode],FinanceCodesBudget[[#This Row],[LedgerCode]])&gt;0,0,1)</f>
        <v>0</v>
      </c>
      <c r="B462" s="43">
        <f>IF(COUNTIF(Table_System_Grouping_Codes[groupingCodeCode],FinanceCodesBudget[[#This Row],[GroupingCode]])&gt;0,0,1)</f>
        <v>0</v>
      </c>
      <c r="C462" s="43">
        <f>IF(COUNTIF(CUSTGROUP[CustomGroupingCode],FinanceCodesBudget[[#This Row],[CustomGrouping]])&gt;0,0,1)</f>
        <v>0</v>
      </c>
      <c r="D462" s="43" cm="1">
        <f t="array" ref="D462">IF(FinanceCodesBudget[[#This Row],[AvailableToAllSchools]]=TRUE,0,COUNTA(_xlfn.TEXTSPLIT(FinanceCodesBudget[[#This Row],[SchoolCodes]],",",,TRUE))-SUM(COUNTIF(SCHOOLS[SchoolCode],_xlfn.TEXTSPLIT(FinanceCodesBudget[[#This Row],[SchoolCodes]],",",,TRUE))))</f>
        <v>0</v>
      </c>
      <c r="E462" s="43">
        <f>IF(FinanceCodesBudget[[#This Row],[FinanceCodeTypeCode]]="BUDGET",0,COUNTIF(FinanceCodesBudget[FinanceCode],FinanceCodesBudget[[#This Row],[FinanceCode]])-1)</f>
        <v>0</v>
      </c>
      <c r="F462" s="43">
        <f>IF(FinanceCodesBudget[[#This Row],[FinanceCodeTypeCode]]="BUDGET",0,COUNTIF(FinanceCodesBudget[Title],FinanceCodesBudget[[#This Row],[Title]])-1)</f>
        <v>0</v>
      </c>
      <c r="G462" s="43">
        <f>COUNTIF(Lookup!$A$2:$A$7,FinanceCodesBudget[[#This Row],[FinanceCodeTypeCode]])-1</f>
        <v>0</v>
      </c>
      <c r="H462" s="43">
        <f>IF(TRIM(FinanceCodesBudget[[#This Row],[Title]])="",1,0)</f>
        <v>0</v>
      </c>
      <c r="I462" s="43">
        <f>IF(TRIM(FinanceCodesBudget[[#This Row],[FinanceCode]])="",1,0)</f>
        <v>0</v>
      </c>
      <c r="J462" s="43">
        <f>IF(LEN(FinanceCodesBudget[[#This Row],[FinanceCode]])&lt;100,0,1)</f>
        <v>0</v>
      </c>
      <c r="K462" s="43">
        <f>IF(LEN(FinanceCodesBudget[[#This Row],[Title]])&lt;100,0,1)</f>
        <v>0</v>
      </c>
      <c r="L462" s="43">
        <f>IF(ISBLANK(FinanceCodesBudget[[#This Row],[BalanceToScenario]]),1,0)</f>
        <v>0</v>
      </c>
      <c r="M462" s="43">
        <f>SUM(FinanceCodesBudget[[#This Row],[LedgerIssue]:[CustGrIssue]],FinanceCodesBudget[[#This Row],[DupCode]:[Balance to Scenario Blank]])</f>
        <v>0</v>
      </c>
      <c r="N462">
        <v>865300</v>
      </c>
      <c r="O462" t="s">
        <v>2984</v>
      </c>
      <c r="P462" t="s">
        <v>748</v>
      </c>
      <c r="Q462" t="s">
        <v>1998</v>
      </c>
      <c r="R462" t="b">
        <v>0</v>
      </c>
      <c r="S462" t="s">
        <v>2526</v>
      </c>
      <c r="T462" t="s">
        <v>1300</v>
      </c>
      <c r="U462" t="s">
        <v>1532</v>
      </c>
      <c r="V462" t="b">
        <v>1</v>
      </c>
      <c r="W462" t="b">
        <v>0</v>
      </c>
    </row>
    <row r="463" spans="1:23" x14ac:dyDescent="0.3">
      <c r="A463" s="147">
        <f>IF(COUNTIF(LEDGER[LedgerCode],FinanceCodesBudget[[#This Row],[LedgerCode]])&gt;0,0,1)</f>
        <v>0</v>
      </c>
      <c r="B463" s="43">
        <f>IF(COUNTIF(Table_System_Grouping_Codes[groupingCodeCode],FinanceCodesBudget[[#This Row],[GroupingCode]])&gt;0,0,1)</f>
        <v>0</v>
      </c>
      <c r="C463" s="43">
        <f>IF(COUNTIF(CUSTGROUP[CustomGroupingCode],FinanceCodesBudget[[#This Row],[CustomGrouping]])&gt;0,0,1)</f>
        <v>0</v>
      </c>
      <c r="D463" s="43" cm="1">
        <f t="array" ref="D463">IF(FinanceCodesBudget[[#This Row],[AvailableToAllSchools]]=TRUE,0,COUNTA(_xlfn.TEXTSPLIT(FinanceCodesBudget[[#This Row],[SchoolCodes]],",",,TRUE))-SUM(COUNTIF(SCHOOLS[SchoolCode],_xlfn.TEXTSPLIT(FinanceCodesBudget[[#This Row],[SchoolCodes]],",",,TRUE))))</f>
        <v>0</v>
      </c>
      <c r="E463" s="43">
        <f>IF(FinanceCodesBudget[[#This Row],[FinanceCodeTypeCode]]="BUDGET",0,COUNTIF(FinanceCodesBudget[FinanceCode],FinanceCodesBudget[[#This Row],[FinanceCode]])-1)</f>
        <v>0</v>
      </c>
      <c r="F463" s="43">
        <f>IF(FinanceCodesBudget[[#This Row],[FinanceCodeTypeCode]]="BUDGET",0,COUNTIF(FinanceCodesBudget[Title],FinanceCodesBudget[[#This Row],[Title]])-1)</f>
        <v>0</v>
      </c>
      <c r="G463" s="43">
        <f>COUNTIF(Lookup!$A$2:$A$7,FinanceCodesBudget[[#This Row],[FinanceCodeTypeCode]])-1</f>
        <v>0</v>
      </c>
      <c r="H463" s="43">
        <f>IF(TRIM(FinanceCodesBudget[[#This Row],[Title]])="",1,0)</f>
        <v>0</v>
      </c>
      <c r="I463" s="43">
        <f>IF(TRIM(FinanceCodesBudget[[#This Row],[FinanceCode]])="",1,0)</f>
        <v>0</v>
      </c>
      <c r="J463" s="43">
        <f>IF(LEN(FinanceCodesBudget[[#This Row],[FinanceCode]])&lt;100,0,1)</f>
        <v>0</v>
      </c>
      <c r="K463" s="43">
        <f>IF(LEN(FinanceCodesBudget[[#This Row],[Title]])&lt;100,0,1)</f>
        <v>0</v>
      </c>
      <c r="L463" s="43">
        <f>IF(ISBLANK(FinanceCodesBudget[[#This Row],[BalanceToScenario]]),1,0)</f>
        <v>0</v>
      </c>
      <c r="M463" s="43">
        <f>SUM(FinanceCodesBudget[[#This Row],[LedgerIssue]:[CustGrIssue]],FinanceCodesBudget[[#This Row],[DupCode]:[Balance to Scenario Blank]])</f>
        <v>0</v>
      </c>
      <c r="N463">
        <v>865350</v>
      </c>
      <c r="O463" t="s">
        <v>2985</v>
      </c>
      <c r="P463" t="s">
        <v>750</v>
      </c>
      <c r="Q463" t="s">
        <v>1998</v>
      </c>
      <c r="R463" t="b">
        <v>0</v>
      </c>
      <c r="S463" t="s">
        <v>2526</v>
      </c>
      <c r="T463" t="s">
        <v>1300</v>
      </c>
      <c r="U463" t="s">
        <v>1532</v>
      </c>
      <c r="V463" t="b">
        <v>1</v>
      </c>
      <c r="W463" t="b">
        <v>0</v>
      </c>
    </row>
    <row r="464" spans="1:23" x14ac:dyDescent="0.3">
      <c r="A464" s="147">
        <f>IF(COUNTIF(LEDGER[LedgerCode],FinanceCodesBudget[[#This Row],[LedgerCode]])&gt;0,0,1)</f>
        <v>0</v>
      </c>
      <c r="B464" s="43">
        <f>IF(COUNTIF(Table_System_Grouping_Codes[groupingCodeCode],FinanceCodesBudget[[#This Row],[GroupingCode]])&gt;0,0,1)</f>
        <v>0</v>
      </c>
      <c r="C464" s="43">
        <f>IF(COUNTIF(CUSTGROUP[CustomGroupingCode],FinanceCodesBudget[[#This Row],[CustomGrouping]])&gt;0,0,1)</f>
        <v>0</v>
      </c>
      <c r="D464" s="43" cm="1">
        <f t="array" ref="D464">IF(FinanceCodesBudget[[#This Row],[AvailableToAllSchools]]=TRUE,0,COUNTA(_xlfn.TEXTSPLIT(FinanceCodesBudget[[#This Row],[SchoolCodes]],",",,TRUE))-SUM(COUNTIF(SCHOOLS[SchoolCode],_xlfn.TEXTSPLIT(FinanceCodesBudget[[#This Row],[SchoolCodes]],",",,TRUE))))</f>
        <v>0</v>
      </c>
      <c r="E464" s="43">
        <f>IF(FinanceCodesBudget[[#This Row],[FinanceCodeTypeCode]]="BUDGET",0,COUNTIF(FinanceCodesBudget[FinanceCode],FinanceCodesBudget[[#This Row],[FinanceCode]])-1)</f>
        <v>0</v>
      </c>
      <c r="F464" s="43">
        <f>IF(FinanceCodesBudget[[#This Row],[FinanceCodeTypeCode]]="BUDGET",0,COUNTIF(FinanceCodesBudget[Title],FinanceCodesBudget[[#This Row],[Title]])-1)</f>
        <v>0</v>
      </c>
      <c r="G464" s="43">
        <f>COUNTIF(Lookup!$A$2:$A$7,FinanceCodesBudget[[#This Row],[FinanceCodeTypeCode]])-1</f>
        <v>0</v>
      </c>
      <c r="H464" s="43">
        <f>IF(TRIM(FinanceCodesBudget[[#This Row],[Title]])="",1,0)</f>
        <v>0</v>
      </c>
      <c r="I464" s="43">
        <f>IF(TRIM(FinanceCodesBudget[[#This Row],[FinanceCode]])="",1,0)</f>
        <v>0</v>
      </c>
      <c r="J464" s="43">
        <f>IF(LEN(FinanceCodesBudget[[#This Row],[FinanceCode]])&lt;100,0,1)</f>
        <v>0</v>
      </c>
      <c r="K464" s="43">
        <f>IF(LEN(FinanceCodesBudget[[#This Row],[Title]])&lt;100,0,1)</f>
        <v>0</v>
      </c>
      <c r="L464" s="43">
        <f>IF(ISBLANK(FinanceCodesBudget[[#This Row],[BalanceToScenario]]),1,0)</f>
        <v>0</v>
      </c>
      <c r="M464" s="43">
        <f>SUM(FinanceCodesBudget[[#This Row],[LedgerIssue]:[CustGrIssue]],FinanceCodesBudget[[#This Row],[DupCode]:[Balance to Scenario Blank]])</f>
        <v>0</v>
      </c>
      <c r="N464">
        <v>865400</v>
      </c>
      <c r="O464" t="s">
        <v>2986</v>
      </c>
      <c r="P464" t="s">
        <v>752</v>
      </c>
      <c r="Q464" t="s">
        <v>1998</v>
      </c>
      <c r="R464" t="b">
        <v>0</v>
      </c>
      <c r="S464" t="s">
        <v>2526</v>
      </c>
      <c r="T464" t="s">
        <v>1300</v>
      </c>
      <c r="U464" t="s">
        <v>1532</v>
      </c>
      <c r="V464" t="b">
        <v>1</v>
      </c>
      <c r="W464" t="b">
        <v>0</v>
      </c>
    </row>
    <row r="465" spans="1:23" x14ac:dyDescent="0.3">
      <c r="A465" s="147">
        <f>IF(COUNTIF(LEDGER[LedgerCode],FinanceCodesBudget[[#This Row],[LedgerCode]])&gt;0,0,1)</f>
        <v>0</v>
      </c>
      <c r="B465" s="43">
        <f>IF(COUNTIF(Table_System_Grouping_Codes[groupingCodeCode],FinanceCodesBudget[[#This Row],[GroupingCode]])&gt;0,0,1)</f>
        <v>0</v>
      </c>
      <c r="C465" s="43">
        <f>IF(COUNTIF(CUSTGROUP[CustomGroupingCode],FinanceCodesBudget[[#This Row],[CustomGrouping]])&gt;0,0,1)</f>
        <v>0</v>
      </c>
      <c r="D465" s="43" cm="1">
        <f t="array" ref="D465">IF(FinanceCodesBudget[[#This Row],[AvailableToAllSchools]]=TRUE,0,COUNTA(_xlfn.TEXTSPLIT(FinanceCodesBudget[[#This Row],[SchoolCodes]],",",,TRUE))-SUM(COUNTIF(SCHOOLS[SchoolCode],_xlfn.TEXTSPLIT(FinanceCodesBudget[[#This Row],[SchoolCodes]],",",,TRUE))))</f>
        <v>0</v>
      </c>
      <c r="E465" s="43">
        <f>IF(FinanceCodesBudget[[#This Row],[FinanceCodeTypeCode]]="BUDGET",0,COUNTIF(FinanceCodesBudget[FinanceCode],FinanceCodesBudget[[#This Row],[FinanceCode]])-1)</f>
        <v>0</v>
      </c>
      <c r="F465" s="43">
        <f>IF(FinanceCodesBudget[[#This Row],[FinanceCodeTypeCode]]="BUDGET",0,COUNTIF(FinanceCodesBudget[Title],FinanceCodesBudget[[#This Row],[Title]])-1)</f>
        <v>0</v>
      </c>
      <c r="G465" s="43">
        <f>COUNTIF(Lookup!$A$2:$A$7,FinanceCodesBudget[[#This Row],[FinanceCodeTypeCode]])-1</f>
        <v>0</v>
      </c>
      <c r="H465" s="43">
        <f>IF(TRIM(FinanceCodesBudget[[#This Row],[Title]])="",1,0)</f>
        <v>0</v>
      </c>
      <c r="I465" s="43">
        <f>IF(TRIM(FinanceCodesBudget[[#This Row],[FinanceCode]])="",1,0)</f>
        <v>0</v>
      </c>
      <c r="J465" s="43">
        <f>IF(LEN(FinanceCodesBudget[[#This Row],[FinanceCode]])&lt;100,0,1)</f>
        <v>0</v>
      </c>
      <c r="K465" s="43">
        <f>IF(LEN(FinanceCodesBudget[[#This Row],[Title]])&lt;100,0,1)</f>
        <v>0</v>
      </c>
      <c r="L465" s="43">
        <f>IF(ISBLANK(FinanceCodesBudget[[#This Row],[BalanceToScenario]]),1,0)</f>
        <v>0</v>
      </c>
      <c r="M465" s="43">
        <f>SUM(FinanceCodesBudget[[#This Row],[LedgerIssue]:[CustGrIssue]],FinanceCodesBudget[[#This Row],[DupCode]:[Balance to Scenario Blank]])</f>
        <v>0</v>
      </c>
      <c r="N465">
        <v>865410</v>
      </c>
      <c r="O465" t="s">
        <v>2987</v>
      </c>
      <c r="P465" t="s">
        <v>754</v>
      </c>
      <c r="Q465" t="s">
        <v>1998</v>
      </c>
      <c r="R465" t="b">
        <v>0</v>
      </c>
      <c r="S465" t="s">
        <v>2526</v>
      </c>
      <c r="T465" t="s">
        <v>1300</v>
      </c>
      <c r="U465" t="s">
        <v>1532</v>
      </c>
      <c r="V465" t="b">
        <v>1</v>
      </c>
      <c r="W465" t="b">
        <v>0</v>
      </c>
    </row>
    <row r="466" spans="1:23" x14ac:dyDescent="0.3">
      <c r="A466" s="147">
        <f>IF(COUNTIF(LEDGER[LedgerCode],FinanceCodesBudget[[#This Row],[LedgerCode]])&gt;0,0,1)</f>
        <v>0</v>
      </c>
      <c r="B466" s="43">
        <f>IF(COUNTIF(Table_System_Grouping_Codes[groupingCodeCode],FinanceCodesBudget[[#This Row],[GroupingCode]])&gt;0,0,1)</f>
        <v>0</v>
      </c>
      <c r="C466" s="43">
        <f>IF(COUNTIF(CUSTGROUP[CustomGroupingCode],FinanceCodesBudget[[#This Row],[CustomGrouping]])&gt;0,0,1)</f>
        <v>0</v>
      </c>
      <c r="D466" s="43" cm="1">
        <f t="array" ref="D466">IF(FinanceCodesBudget[[#This Row],[AvailableToAllSchools]]=TRUE,0,COUNTA(_xlfn.TEXTSPLIT(FinanceCodesBudget[[#This Row],[SchoolCodes]],",",,TRUE))-SUM(COUNTIF(SCHOOLS[SchoolCode],_xlfn.TEXTSPLIT(FinanceCodesBudget[[#This Row],[SchoolCodes]],",",,TRUE))))</f>
        <v>0</v>
      </c>
      <c r="E466" s="43">
        <f>IF(FinanceCodesBudget[[#This Row],[FinanceCodeTypeCode]]="BUDGET",0,COUNTIF(FinanceCodesBudget[FinanceCode],FinanceCodesBudget[[#This Row],[FinanceCode]])-1)</f>
        <v>0</v>
      </c>
      <c r="F466" s="43">
        <f>IF(FinanceCodesBudget[[#This Row],[FinanceCodeTypeCode]]="BUDGET",0,COUNTIF(FinanceCodesBudget[Title],FinanceCodesBudget[[#This Row],[Title]])-1)</f>
        <v>0</v>
      </c>
      <c r="G466" s="43">
        <f>COUNTIF(Lookup!$A$2:$A$7,FinanceCodesBudget[[#This Row],[FinanceCodeTypeCode]])-1</f>
        <v>0</v>
      </c>
      <c r="H466" s="43">
        <f>IF(TRIM(FinanceCodesBudget[[#This Row],[Title]])="",1,0)</f>
        <v>0</v>
      </c>
      <c r="I466" s="43">
        <f>IF(TRIM(FinanceCodesBudget[[#This Row],[FinanceCode]])="",1,0)</f>
        <v>0</v>
      </c>
      <c r="J466" s="43">
        <f>IF(LEN(FinanceCodesBudget[[#This Row],[FinanceCode]])&lt;100,0,1)</f>
        <v>0</v>
      </c>
      <c r="K466" s="43">
        <f>IF(LEN(FinanceCodesBudget[[#This Row],[Title]])&lt;100,0,1)</f>
        <v>0</v>
      </c>
      <c r="L466" s="43">
        <f>IF(ISBLANK(FinanceCodesBudget[[#This Row],[BalanceToScenario]]),1,0)</f>
        <v>0</v>
      </c>
      <c r="M466" s="43">
        <f>SUM(FinanceCodesBudget[[#This Row],[LedgerIssue]:[CustGrIssue]],FinanceCodesBudget[[#This Row],[DupCode]:[Balance to Scenario Blank]])</f>
        <v>0</v>
      </c>
      <c r="N466">
        <v>870100</v>
      </c>
      <c r="O466" t="s">
        <v>2988</v>
      </c>
      <c r="P466" t="s">
        <v>1422</v>
      </c>
      <c r="Q466" t="s">
        <v>1983</v>
      </c>
      <c r="R466" t="b">
        <v>0</v>
      </c>
      <c r="S466" t="s">
        <v>2526</v>
      </c>
      <c r="T466" t="s">
        <v>1300</v>
      </c>
      <c r="U466" t="s">
        <v>1532</v>
      </c>
      <c r="V466" t="b">
        <v>1</v>
      </c>
      <c r="W466" t="b">
        <v>0</v>
      </c>
    </row>
    <row r="467" spans="1:23" x14ac:dyDescent="0.3">
      <c r="A467" s="147">
        <f>IF(COUNTIF(LEDGER[LedgerCode],FinanceCodesBudget[[#This Row],[LedgerCode]])&gt;0,0,1)</f>
        <v>0</v>
      </c>
      <c r="B467" s="43">
        <f>IF(COUNTIF(Table_System_Grouping_Codes[groupingCodeCode],FinanceCodesBudget[[#This Row],[GroupingCode]])&gt;0,0,1)</f>
        <v>0</v>
      </c>
      <c r="C467" s="43">
        <f>IF(COUNTIF(CUSTGROUP[CustomGroupingCode],FinanceCodesBudget[[#This Row],[CustomGrouping]])&gt;0,0,1)</f>
        <v>0</v>
      </c>
      <c r="D467" s="43" cm="1">
        <f t="array" ref="D467">IF(FinanceCodesBudget[[#This Row],[AvailableToAllSchools]]=TRUE,0,COUNTA(_xlfn.TEXTSPLIT(FinanceCodesBudget[[#This Row],[SchoolCodes]],",",,TRUE))-SUM(COUNTIF(SCHOOLS[SchoolCode],_xlfn.TEXTSPLIT(FinanceCodesBudget[[#This Row],[SchoolCodes]],",",,TRUE))))</f>
        <v>0</v>
      </c>
      <c r="E467" s="43">
        <f>IF(FinanceCodesBudget[[#This Row],[FinanceCodeTypeCode]]="BUDGET",0,COUNTIF(FinanceCodesBudget[FinanceCode],FinanceCodesBudget[[#This Row],[FinanceCode]])-1)</f>
        <v>0</v>
      </c>
      <c r="F467" s="43">
        <f>IF(FinanceCodesBudget[[#This Row],[FinanceCodeTypeCode]]="BUDGET",0,COUNTIF(FinanceCodesBudget[Title],FinanceCodesBudget[[#This Row],[Title]])-1)</f>
        <v>0</v>
      </c>
      <c r="G467" s="43">
        <f>COUNTIF(Lookup!$A$2:$A$7,FinanceCodesBudget[[#This Row],[FinanceCodeTypeCode]])-1</f>
        <v>0</v>
      </c>
      <c r="H467" s="43">
        <f>IF(TRIM(FinanceCodesBudget[[#This Row],[Title]])="",1,0)</f>
        <v>0</v>
      </c>
      <c r="I467" s="43">
        <f>IF(TRIM(FinanceCodesBudget[[#This Row],[FinanceCode]])="",1,0)</f>
        <v>0</v>
      </c>
      <c r="J467" s="43">
        <f>IF(LEN(FinanceCodesBudget[[#This Row],[FinanceCode]])&lt;100,0,1)</f>
        <v>0</v>
      </c>
      <c r="K467" s="43">
        <f>IF(LEN(FinanceCodesBudget[[#This Row],[Title]])&lt;100,0,1)</f>
        <v>0</v>
      </c>
      <c r="L467" s="43">
        <f>IF(ISBLANK(FinanceCodesBudget[[#This Row],[BalanceToScenario]]),1,0)</f>
        <v>0</v>
      </c>
      <c r="M467" s="43">
        <f>SUM(FinanceCodesBudget[[#This Row],[LedgerIssue]:[CustGrIssue]],FinanceCodesBudget[[#This Row],[DupCode]:[Balance to Scenario Blank]])</f>
        <v>0</v>
      </c>
      <c r="N467">
        <v>870200</v>
      </c>
      <c r="O467" t="s">
        <v>2989</v>
      </c>
      <c r="P467" t="s">
        <v>756</v>
      </c>
      <c r="Q467" t="s">
        <v>1998</v>
      </c>
      <c r="R467" t="b">
        <v>0</v>
      </c>
      <c r="S467" t="s">
        <v>2526</v>
      </c>
      <c r="T467" t="s">
        <v>1300</v>
      </c>
      <c r="U467" t="s">
        <v>1532</v>
      </c>
      <c r="V467" t="b">
        <v>1</v>
      </c>
      <c r="W467" t="b">
        <v>0</v>
      </c>
    </row>
    <row r="468" spans="1:23" x14ac:dyDescent="0.3">
      <c r="A468" s="147">
        <f>IF(COUNTIF(LEDGER[LedgerCode],FinanceCodesBudget[[#This Row],[LedgerCode]])&gt;0,0,1)</f>
        <v>0</v>
      </c>
      <c r="B468" s="43">
        <f>IF(COUNTIF(Table_System_Grouping_Codes[groupingCodeCode],FinanceCodesBudget[[#This Row],[GroupingCode]])&gt;0,0,1)</f>
        <v>0</v>
      </c>
      <c r="C468" s="43">
        <f>IF(COUNTIF(CUSTGROUP[CustomGroupingCode],FinanceCodesBudget[[#This Row],[CustomGrouping]])&gt;0,0,1)</f>
        <v>0</v>
      </c>
      <c r="D468" s="43" cm="1">
        <f t="array" ref="D468">IF(FinanceCodesBudget[[#This Row],[AvailableToAllSchools]]=TRUE,0,COUNTA(_xlfn.TEXTSPLIT(FinanceCodesBudget[[#This Row],[SchoolCodes]],",",,TRUE))-SUM(COUNTIF(SCHOOLS[SchoolCode],_xlfn.TEXTSPLIT(FinanceCodesBudget[[#This Row],[SchoolCodes]],",",,TRUE))))</f>
        <v>0</v>
      </c>
      <c r="E468" s="43">
        <f>IF(FinanceCodesBudget[[#This Row],[FinanceCodeTypeCode]]="BUDGET",0,COUNTIF(FinanceCodesBudget[FinanceCode],FinanceCodesBudget[[#This Row],[FinanceCode]])-1)</f>
        <v>0</v>
      </c>
      <c r="F468" s="43">
        <f>IF(FinanceCodesBudget[[#This Row],[FinanceCodeTypeCode]]="BUDGET",0,COUNTIF(FinanceCodesBudget[Title],FinanceCodesBudget[[#This Row],[Title]])-1)</f>
        <v>0</v>
      </c>
      <c r="G468" s="43">
        <f>COUNTIF(Lookup!$A$2:$A$7,FinanceCodesBudget[[#This Row],[FinanceCodeTypeCode]])-1</f>
        <v>0</v>
      </c>
      <c r="H468" s="43">
        <f>IF(TRIM(FinanceCodesBudget[[#This Row],[Title]])="",1,0)</f>
        <v>0</v>
      </c>
      <c r="I468" s="43">
        <f>IF(TRIM(FinanceCodesBudget[[#This Row],[FinanceCode]])="",1,0)</f>
        <v>0</v>
      </c>
      <c r="J468" s="43">
        <f>IF(LEN(FinanceCodesBudget[[#This Row],[FinanceCode]])&lt;100,0,1)</f>
        <v>0</v>
      </c>
      <c r="K468" s="43">
        <f>IF(LEN(FinanceCodesBudget[[#This Row],[Title]])&lt;100,0,1)</f>
        <v>0</v>
      </c>
      <c r="L468" s="43">
        <f>IF(ISBLANK(FinanceCodesBudget[[#This Row],[BalanceToScenario]]),1,0)</f>
        <v>0</v>
      </c>
      <c r="M468" s="43">
        <f>SUM(FinanceCodesBudget[[#This Row],[LedgerIssue]:[CustGrIssue]],FinanceCodesBudget[[#This Row],[DupCode]:[Balance to Scenario Blank]])</f>
        <v>0</v>
      </c>
      <c r="N468">
        <v>870220</v>
      </c>
      <c r="O468" t="s">
        <v>2990</v>
      </c>
      <c r="P468" t="s">
        <v>758</v>
      </c>
      <c r="Q468" t="s">
        <v>2008</v>
      </c>
      <c r="R468" t="b">
        <v>0</v>
      </c>
      <c r="S468" t="s">
        <v>2526</v>
      </c>
      <c r="T468" t="s">
        <v>1300</v>
      </c>
      <c r="U468" t="s">
        <v>1965</v>
      </c>
      <c r="V468" t="b">
        <v>1</v>
      </c>
      <c r="W468" t="b">
        <v>0</v>
      </c>
    </row>
    <row r="469" spans="1:23" x14ac:dyDescent="0.3">
      <c r="A469" s="147">
        <f>IF(COUNTIF(LEDGER[LedgerCode],FinanceCodesBudget[[#This Row],[LedgerCode]])&gt;0,0,1)</f>
        <v>0</v>
      </c>
      <c r="B469" s="43">
        <f>IF(COUNTIF(Table_System_Grouping_Codes[groupingCodeCode],FinanceCodesBudget[[#This Row],[GroupingCode]])&gt;0,0,1)</f>
        <v>0</v>
      </c>
      <c r="C469" s="43">
        <f>IF(COUNTIF(CUSTGROUP[CustomGroupingCode],FinanceCodesBudget[[#This Row],[CustomGrouping]])&gt;0,0,1)</f>
        <v>0</v>
      </c>
      <c r="D469" s="43" cm="1">
        <f t="array" ref="D469">IF(FinanceCodesBudget[[#This Row],[AvailableToAllSchools]]=TRUE,0,COUNTA(_xlfn.TEXTSPLIT(FinanceCodesBudget[[#This Row],[SchoolCodes]],",",,TRUE))-SUM(COUNTIF(SCHOOLS[SchoolCode],_xlfn.TEXTSPLIT(FinanceCodesBudget[[#This Row],[SchoolCodes]],",",,TRUE))))</f>
        <v>0</v>
      </c>
      <c r="E469" s="43">
        <f>IF(FinanceCodesBudget[[#This Row],[FinanceCodeTypeCode]]="BUDGET",0,COUNTIF(FinanceCodesBudget[FinanceCode],FinanceCodesBudget[[#This Row],[FinanceCode]])-1)</f>
        <v>0</v>
      </c>
      <c r="F469" s="43">
        <f>IF(FinanceCodesBudget[[#This Row],[FinanceCodeTypeCode]]="BUDGET",0,COUNTIF(FinanceCodesBudget[Title],FinanceCodesBudget[[#This Row],[Title]])-1)</f>
        <v>0</v>
      </c>
      <c r="G469" s="43">
        <f>COUNTIF(Lookup!$A$2:$A$7,FinanceCodesBudget[[#This Row],[FinanceCodeTypeCode]])-1</f>
        <v>0</v>
      </c>
      <c r="H469" s="43">
        <f>IF(TRIM(FinanceCodesBudget[[#This Row],[Title]])="",1,0)</f>
        <v>0</v>
      </c>
      <c r="I469" s="43">
        <f>IF(TRIM(FinanceCodesBudget[[#This Row],[FinanceCode]])="",1,0)</f>
        <v>0</v>
      </c>
      <c r="J469" s="43">
        <f>IF(LEN(FinanceCodesBudget[[#This Row],[FinanceCode]])&lt;100,0,1)</f>
        <v>0</v>
      </c>
      <c r="K469" s="43">
        <f>IF(LEN(FinanceCodesBudget[[#This Row],[Title]])&lt;100,0,1)</f>
        <v>0</v>
      </c>
      <c r="L469" s="43">
        <f>IF(ISBLANK(FinanceCodesBudget[[#This Row],[BalanceToScenario]]),1,0)</f>
        <v>0</v>
      </c>
      <c r="M469" s="43">
        <f>SUM(FinanceCodesBudget[[#This Row],[LedgerIssue]:[CustGrIssue]],FinanceCodesBudget[[#This Row],[DupCode]:[Balance to Scenario Blank]])</f>
        <v>0</v>
      </c>
      <c r="N469">
        <v>870240</v>
      </c>
      <c r="O469" t="s">
        <v>2991</v>
      </c>
      <c r="P469" t="s">
        <v>760</v>
      </c>
      <c r="Q469" t="s">
        <v>2008</v>
      </c>
      <c r="R469" t="b">
        <v>0</v>
      </c>
      <c r="S469" t="s">
        <v>2526</v>
      </c>
      <c r="T469" t="s">
        <v>1300</v>
      </c>
      <c r="U469" t="s">
        <v>1532</v>
      </c>
      <c r="V469" t="b">
        <v>1</v>
      </c>
      <c r="W469" t="b">
        <v>0</v>
      </c>
    </row>
    <row r="470" spans="1:23" x14ac:dyDescent="0.3">
      <c r="A470" s="147">
        <f>IF(COUNTIF(LEDGER[LedgerCode],FinanceCodesBudget[[#This Row],[LedgerCode]])&gt;0,0,1)</f>
        <v>0</v>
      </c>
      <c r="B470" s="43">
        <f>IF(COUNTIF(Table_System_Grouping_Codes[groupingCodeCode],FinanceCodesBudget[[#This Row],[GroupingCode]])&gt;0,0,1)</f>
        <v>0</v>
      </c>
      <c r="C470" s="43">
        <f>IF(COUNTIF(CUSTGROUP[CustomGroupingCode],FinanceCodesBudget[[#This Row],[CustomGrouping]])&gt;0,0,1)</f>
        <v>0</v>
      </c>
      <c r="D470" s="43" cm="1">
        <f t="array" ref="D470">IF(FinanceCodesBudget[[#This Row],[AvailableToAllSchools]]=TRUE,0,COUNTA(_xlfn.TEXTSPLIT(FinanceCodesBudget[[#This Row],[SchoolCodes]],",",,TRUE))-SUM(COUNTIF(SCHOOLS[SchoolCode],_xlfn.TEXTSPLIT(FinanceCodesBudget[[#This Row],[SchoolCodes]],",",,TRUE))))</f>
        <v>0</v>
      </c>
      <c r="E470" s="43">
        <f>IF(FinanceCodesBudget[[#This Row],[FinanceCodeTypeCode]]="BUDGET",0,COUNTIF(FinanceCodesBudget[FinanceCode],FinanceCodesBudget[[#This Row],[FinanceCode]])-1)</f>
        <v>0</v>
      </c>
      <c r="F470" s="43">
        <f>IF(FinanceCodesBudget[[#This Row],[FinanceCodeTypeCode]]="BUDGET",0,COUNTIF(FinanceCodesBudget[Title],FinanceCodesBudget[[#This Row],[Title]])-1)</f>
        <v>0</v>
      </c>
      <c r="G470" s="43">
        <f>COUNTIF(Lookup!$A$2:$A$7,FinanceCodesBudget[[#This Row],[FinanceCodeTypeCode]])-1</f>
        <v>0</v>
      </c>
      <c r="H470" s="43">
        <f>IF(TRIM(FinanceCodesBudget[[#This Row],[Title]])="",1,0)</f>
        <v>0</v>
      </c>
      <c r="I470" s="43">
        <f>IF(TRIM(FinanceCodesBudget[[#This Row],[FinanceCode]])="",1,0)</f>
        <v>0</v>
      </c>
      <c r="J470" s="43">
        <f>IF(LEN(FinanceCodesBudget[[#This Row],[FinanceCode]])&lt;100,0,1)</f>
        <v>0</v>
      </c>
      <c r="K470" s="43">
        <f>IF(LEN(FinanceCodesBudget[[#This Row],[Title]])&lt;100,0,1)</f>
        <v>0</v>
      </c>
      <c r="L470" s="43">
        <f>IF(ISBLANK(FinanceCodesBudget[[#This Row],[BalanceToScenario]]),1,0)</f>
        <v>0</v>
      </c>
      <c r="M470" s="43">
        <f>SUM(FinanceCodesBudget[[#This Row],[LedgerIssue]:[CustGrIssue]],FinanceCodesBudget[[#This Row],[DupCode]:[Balance to Scenario Blank]])</f>
        <v>0</v>
      </c>
      <c r="N470">
        <v>870260</v>
      </c>
      <c r="O470" t="s">
        <v>2992</v>
      </c>
      <c r="P470" t="s">
        <v>762</v>
      </c>
      <c r="Q470" t="s">
        <v>2008</v>
      </c>
      <c r="R470" t="b">
        <v>0</v>
      </c>
      <c r="S470" t="s">
        <v>2526</v>
      </c>
      <c r="T470" t="s">
        <v>1300</v>
      </c>
      <c r="U470" t="s">
        <v>1532</v>
      </c>
      <c r="V470" t="b">
        <v>1</v>
      </c>
      <c r="W470" t="b">
        <v>0</v>
      </c>
    </row>
    <row r="471" spans="1:23" x14ac:dyDescent="0.3">
      <c r="A471" s="147">
        <f>IF(COUNTIF(LEDGER[LedgerCode],FinanceCodesBudget[[#This Row],[LedgerCode]])&gt;0,0,1)</f>
        <v>0</v>
      </c>
      <c r="B471" s="43">
        <f>IF(COUNTIF(Table_System_Grouping_Codes[groupingCodeCode],FinanceCodesBudget[[#This Row],[GroupingCode]])&gt;0,0,1)</f>
        <v>0</v>
      </c>
      <c r="C471" s="43">
        <f>IF(COUNTIF(CUSTGROUP[CustomGroupingCode],FinanceCodesBudget[[#This Row],[CustomGrouping]])&gt;0,0,1)</f>
        <v>0</v>
      </c>
      <c r="D471" s="43" cm="1">
        <f t="array" ref="D471">IF(FinanceCodesBudget[[#This Row],[AvailableToAllSchools]]=TRUE,0,COUNTA(_xlfn.TEXTSPLIT(FinanceCodesBudget[[#This Row],[SchoolCodes]],",",,TRUE))-SUM(COUNTIF(SCHOOLS[SchoolCode],_xlfn.TEXTSPLIT(FinanceCodesBudget[[#This Row],[SchoolCodes]],",",,TRUE))))</f>
        <v>0</v>
      </c>
      <c r="E471" s="43">
        <f>IF(FinanceCodesBudget[[#This Row],[FinanceCodeTypeCode]]="BUDGET",0,COUNTIF(FinanceCodesBudget[FinanceCode],FinanceCodesBudget[[#This Row],[FinanceCode]])-1)</f>
        <v>0</v>
      </c>
      <c r="F471" s="43">
        <f>IF(FinanceCodesBudget[[#This Row],[FinanceCodeTypeCode]]="BUDGET",0,COUNTIF(FinanceCodesBudget[Title],FinanceCodesBudget[[#This Row],[Title]])-1)</f>
        <v>0</v>
      </c>
      <c r="G471" s="43">
        <f>COUNTIF(Lookup!$A$2:$A$7,FinanceCodesBudget[[#This Row],[FinanceCodeTypeCode]])-1</f>
        <v>0</v>
      </c>
      <c r="H471" s="43">
        <f>IF(TRIM(FinanceCodesBudget[[#This Row],[Title]])="",1,0)</f>
        <v>0</v>
      </c>
      <c r="I471" s="43">
        <f>IF(TRIM(FinanceCodesBudget[[#This Row],[FinanceCode]])="",1,0)</f>
        <v>0</v>
      </c>
      <c r="J471" s="43">
        <f>IF(LEN(FinanceCodesBudget[[#This Row],[FinanceCode]])&lt;100,0,1)</f>
        <v>0</v>
      </c>
      <c r="K471" s="43">
        <f>IF(LEN(FinanceCodesBudget[[#This Row],[Title]])&lt;100,0,1)</f>
        <v>0</v>
      </c>
      <c r="L471" s="43">
        <f>IF(ISBLANK(FinanceCodesBudget[[#This Row],[BalanceToScenario]]),1,0)</f>
        <v>0</v>
      </c>
      <c r="M471" s="43">
        <f>SUM(FinanceCodesBudget[[#This Row],[LedgerIssue]:[CustGrIssue]],FinanceCodesBudget[[#This Row],[DupCode]:[Balance to Scenario Blank]])</f>
        <v>0</v>
      </c>
      <c r="N471">
        <v>870300</v>
      </c>
      <c r="O471" t="s">
        <v>2993</v>
      </c>
      <c r="P471" t="s">
        <v>764</v>
      </c>
      <c r="Q471" t="s">
        <v>2008</v>
      </c>
      <c r="R471" t="b">
        <v>0</v>
      </c>
      <c r="S471" t="s">
        <v>2526</v>
      </c>
      <c r="T471" t="s">
        <v>1300</v>
      </c>
      <c r="U471" t="s">
        <v>1532</v>
      </c>
      <c r="V471" t="b">
        <v>1</v>
      </c>
      <c r="W471" t="b">
        <v>0</v>
      </c>
    </row>
    <row r="472" spans="1:23" x14ac:dyDescent="0.3">
      <c r="A472" s="147">
        <f>IF(COUNTIF(LEDGER[LedgerCode],FinanceCodesBudget[[#This Row],[LedgerCode]])&gt;0,0,1)</f>
        <v>0</v>
      </c>
      <c r="B472" s="43">
        <f>IF(COUNTIF(Table_System_Grouping_Codes[groupingCodeCode],FinanceCodesBudget[[#This Row],[GroupingCode]])&gt;0,0,1)</f>
        <v>0</v>
      </c>
      <c r="C472" s="43">
        <f>IF(COUNTIF(CUSTGROUP[CustomGroupingCode],FinanceCodesBudget[[#This Row],[CustomGrouping]])&gt;0,0,1)</f>
        <v>0</v>
      </c>
      <c r="D472" s="43" cm="1">
        <f t="array" ref="D472">IF(FinanceCodesBudget[[#This Row],[AvailableToAllSchools]]=TRUE,0,COUNTA(_xlfn.TEXTSPLIT(FinanceCodesBudget[[#This Row],[SchoolCodes]],",",,TRUE))-SUM(COUNTIF(SCHOOLS[SchoolCode],_xlfn.TEXTSPLIT(FinanceCodesBudget[[#This Row],[SchoolCodes]],",",,TRUE))))</f>
        <v>0</v>
      </c>
      <c r="E472" s="43">
        <f>IF(FinanceCodesBudget[[#This Row],[FinanceCodeTypeCode]]="BUDGET",0,COUNTIF(FinanceCodesBudget[FinanceCode],FinanceCodesBudget[[#This Row],[FinanceCode]])-1)</f>
        <v>0</v>
      </c>
      <c r="F472" s="43">
        <f>IF(FinanceCodesBudget[[#This Row],[FinanceCodeTypeCode]]="BUDGET",0,COUNTIF(FinanceCodesBudget[Title],FinanceCodesBudget[[#This Row],[Title]])-1)</f>
        <v>0</v>
      </c>
      <c r="G472" s="43">
        <f>COUNTIF(Lookup!$A$2:$A$7,FinanceCodesBudget[[#This Row],[FinanceCodeTypeCode]])-1</f>
        <v>0</v>
      </c>
      <c r="H472" s="43">
        <f>IF(TRIM(FinanceCodesBudget[[#This Row],[Title]])="",1,0)</f>
        <v>0</v>
      </c>
      <c r="I472" s="43">
        <f>IF(TRIM(FinanceCodesBudget[[#This Row],[FinanceCode]])="",1,0)</f>
        <v>0</v>
      </c>
      <c r="J472" s="43">
        <f>IF(LEN(FinanceCodesBudget[[#This Row],[FinanceCode]])&lt;100,0,1)</f>
        <v>0</v>
      </c>
      <c r="K472" s="43">
        <f>IF(LEN(FinanceCodesBudget[[#This Row],[Title]])&lt;100,0,1)</f>
        <v>0</v>
      </c>
      <c r="L472" s="43">
        <f>IF(ISBLANK(FinanceCodesBudget[[#This Row],[BalanceToScenario]]),1,0)</f>
        <v>0</v>
      </c>
      <c r="M472" s="43">
        <f>SUM(FinanceCodesBudget[[#This Row],[LedgerIssue]:[CustGrIssue]],FinanceCodesBudget[[#This Row],[DupCode]:[Balance to Scenario Blank]])</f>
        <v>0</v>
      </c>
      <c r="N472">
        <v>870350</v>
      </c>
      <c r="O472" t="s">
        <v>2994</v>
      </c>
      <c r="P472" t="s">
        <v>766</v>
      </c>
      <c r="Q472" t="s">
        <v>2008</v>
      </c>
      <c r="R472" t="b">
        <v>0</v>
      </c>
      <c r="S472" t="s">
        <v>2526</v>
      </c>
      <c r="T472" t="s">
        <v>1300</v>
      </c>
      <c r="U472" t="s">
        <v>1532</v>
      </c>
      <c r="V472" t="b">
        <v>1</v>
      </c>
      <c r="W472" t="b">
        <v>0</v>
      </c>
    </row>
    <row r="473" spans="1:23" x14ac:dyDescent="0.3">
      <c r="A473" s="147">
        <f>IF(COUNTIF(LEDGER[LedgerCode],FinanceCodesBudget[[#This Row],[LedgerCode]])&gt;0,0,1)</f>
        <v>0</v>
      </c>
      <c r="B473" s="43">
        <f>IF(COUNTIF(Table_System_Grouping_Codes[groupingCodeCode],FinanceCodesBudget[[#This Row],[GroupingCode]])&gt;0,0,1)</f>
        <v>0</v>
      </c>
      <c r="C473" s="43">
        <f>IF(COUNTIF(CUSTGROUP[CustomGroupingCode],FinanceCodesBudget[[#This Row],[CustomGrouping]])&gt;0,0,1)</f>
        <v>0</v>
      </c>
      <c r="D473" s="43" cm="1">
        <f t="array" ref="D473">IF(FinanceCodesBudget[[#This Row],[AvailableToAllSchools]]=TRUE,0,COUNTA(_xlfn.TEXTSPLIT(FinanceCodesBudget[[#This Row],[SchoolCodes]],",",,TRUE))-SUM(COUNTIF(SCHOOLS[SchoolCode],_xlfn.TEXTSPLIT(FinanceCodesBudget[[#This Row],[SchoolCodes]],",",,TRUE))))</f>
        <v>0</v>
      </c>
      <c r="E473" s="43">
        <f>IF(FinanceCodesBudget[[#This Row],[FinanceCodeTypeCode]]="BUDGET",0,COUNTIF(FinanceCodesBudget[FinanceCode],FinanceCodesBudget[[#This Row],[FinanceCode]])-1)</f>
        <v>0</v>
      </c>
      <c r="F473" s="43">
        <f>IF(FinanceCodesBudget[[#This Row],[FinanceCodeTypeCode]]="BUDGET",0,COUNTIF(FinanceCodesBudget[Title],FinanceCodesBudget[[#This Row],[Title]])-1)</f>
        <v>0</v>
      </c>
      <c r="G473" s="43">
        <f>COUNTIF(Lookup!$A$2:$A$7,FinanceCodesBudget[[#This Row],[FinanceCodeTypeCode]])-1</f>
        <v>0</v>
      </c>
      <c r="H473" s="43">
        <f>IF(TRIM(FinanceCodesBudget[[#This Row],[Title]])="",1,0)</f>
        <v>0</v>
      </c>
      <c r="I473" s="43">
        <f>IF(TRIM(FinanceCodesBudget[[#This Row],[FinanceCode]])="",1,0)</f>
        <v>0</v>
      </c>
      <c r="J473" s="43">
        <f>IF(LEN(FinanceCodesBudget[[#This Row],[FinanceCode]])&lt;100,0,1)</f>
        <v>0</v>
      </c>
      <c r="K473" s="43">
        <f>IF(LEN(FinanceCodesBudget[[#This Row],[Title]])&lt;100,0,1)</f>
        <v>0</v>
      </c>
      <c r="L473" s="43">
        <f>IF(ISBLANK(FinanceCodesBudget[[#This Row],[BalanceToScenario]]),1,0)</f>
        <v>0</v>
      </c>
      <c r="M473" s="43">
        <f>SUM(FinanceCodesBudget[[#This Row],[LedgerIssue]:[CustGrIssue]],FinanceCodesBudget[[#This Row],[DupCode]:[Balance to Scenario Blank]])</f>
        <v>0</v>
      </c>
      <c r="N473">
        <v>870400</v>
      </c>
      <c r="O473" t="s">
        <v>2995</v>
      </c>
      <c r="P473" t="s">
        <v>768</v>
      </c>
      <c r="Q473" t="s">
        <v>2008</v>
      </c>
      <c r="R473" t="b">
        <v>0</v>
      </c>
      <c r="S473" t="s">
        <v>2526</v>
      </c>
      <c r="T473" t="s">
        <v>1300</v>
      </c>
      <c r="U473" t="s">
        <v>1532</v>
      </c>
      <c r="V473" t="b">
        <v>1</v>
      </c>
      <c r="W473" t="b">
        <v>0</v>
      </c>
    </row>
    <row r="474" spans="1:23" x14ac:dyDescent="0.3">
      <c r="A474" s="147">
        <f>IF(COUNTIF(LEDGER[LedgerCode],FinanceCodesBudget[[#This Row],[LedgerCode]])&gt;0,0,1)</f>
        <v>0</v>
      </c>
      <c r="B474" s="43">
        <f>IF(COUNTIF(Table_System_Grouping_Codes[groupingCodeCode],FinanceCodesBudget[[#This Row],[GroupingCode]])&gt;0,0,1)</f>
        <v>0</v>
      </c>
      <c r="C474" s="43">
        <f>IF(COUNTIF(CUSTGROUP[CustomGroupingCode],FinanceCodesBudget[[#This Row],[CustomGrouping]])&gt;0,0,1)</f>
        <v>0</v>
      </c>
      <c r="D474" s="43" cm="1">
        <f t="array" ref="D474">IF(FinanceCodesBudget[[#This Row],[AvailableToAllSchools]]=TRUE,0,COUNTA(_xlfn.TEXTSPLIT(FinanceCodesBudget[[#This Row],[SchoolCodes]],",",,TRUE))-SUM(COUNTIF(SCHOOLS[SchoolCode],_xlfn.TEXTSPLIT(FinanceCodesBudget[[#This Row],[SchoolCodes]],",",,TRUE))))</f>
        <v>0</v>
      </c>
      <c r="E474" s="43">
        <f>IF(FinanceCodesBudget[[#This Row],[FinanceCodeTypeCode]]="BUDGET",0,COUNTIF(FinanceCodesBudget[FinanceCode],FinanceCodesBudget[[#This Row],[FinanceCode]])-1)</f>
        <v>0</v>
      </c>
      <c r="F474" s="43">
        <f>IF(FinanceCodesBudget[[#This Row],[FinanceCodeTypeCode]]="BUDGET",0,COUNTIF(FinanceCodesBudget[Title],FinanceCodesBudget[[#This Row],[Title]])-1)</f>
        <v>0</v>
      </c>
      <c r="G474" s="43">
        <f>COUNTIF(Lookup!$A$2:$A$7,FinanceCodesBudget[[#This Row],[FinanceCodeTypeCode]])-1</f>
        <v>0</v>
      </c>
      <c r="H474" s="43">
        <f>IF(TRIM(FinanceCodesBudget[[#This Row],[Title]])="",1,0)</f>
        <v>0</v>
      </c>
      <c r="I474" s="43">
        <f>IF(TRIM(FinanceCodesBudget[[#This Row],[FinanceCode]])="",1,0)</f>
        <v>0</v>
      </c>
      <c r="J474" s="43">
        <f>IF(LEN(FinanceCodesBudget[[#This Row],[FinanceCode]])&lt;100,0,1)</f>
        <v>0</v>
      </c>
      <c r="K474" s="43">
        <f>IF(LEN(FinanceCodesBudget[[#This Row],[Title]])&lt;100,0,1)</f>
        <v>0</v>
      </c>
      <c r="L474" s="43">
        <f>IF(ISBLANK(FinanceCodesBudget[[#This Row],[BalanceToScenario]]),1,0)</f>
        <v>0</v>
      </c>
      <c r="M474" s="43">
        <f>SUM(FinanceCodesBudget[[#This Row],[LedgerIssue]:[CustGrIssue]],FinanceCodesBudget[[#This Row],[DupCode]:[Balance to Scenario Blank]])</f>
        <v>0</v>
      </c>
      <c r="N474">
        <v>870500</v>
      </c>
      <c r="O474" t="s">
        <v>2996</v>
      </c>
      <c r="P474" t="s">
        <v>770</v>
      </c>
      <c r="Q474" t="s">
        <v>2008</v>
      </c>
      <c r="R474" t="b">
        <v>0</v>
      </c>
      <c r="S474" t="s">
        <v>2526</v>
      </c>
      <c r="T474" t="s">
        <v>1300</v>
      </c>
      <c r="U474" t="s">
        <v>1532</v>
      </c>
      <c r="V474" t="b">
        <v>1</v>
      </c>
      <c r="W474" t="b">
        <v>0</v>
      </c>
    </row>
    <row r="475" spans="1:23" x14ac:dyDescent="0.3">
      <c r="A475" s="147">
        <f>IF(COUNTIF(LEDGER[LedgerCode],FinanceCodesBudget[[#This Row],[LedgerCode]])&gt;0,0,1)</f>
        <v>0</v>
      </c>
      <c r="B475" s="43">
        <f>IF(COUNTIF(Table_System_Grouping_Codes[groupingCodeCode],FinanceCodesBudget[[#This Row],[GroupingCode]])&gt;0,0,1)</f>
        <v>0</v>
      </c>
      <c r="C475" s="43">
        <f>IF(COUNTIF(CUSTGROUP[CustomGroupingCode],FinanceCodesBudget[[#This Row],[CustomGrouping]])&gt;0,0,1)</f>
        <v>0</v>
      </c>
      <c r="D475" s="43" cm="1">
        <f t="array" ref="D475">IF(FinanceCodesBudget[[#This Row],[AvailableToAllSchools]]=TRUE,0,COUNTA(_xlfn.TEXTSPLIT(FinanceCodesBudget[[#This Row],[SchoolCodes]],",",,TRUE))-SUM(COUNTIF(SCHOOLS[SchoolCode],_xlfn.TEXTSPLIT(FinanceCodesBudget[[#This Row],[SchoolCodes]],",",,TRUE))))</f>
        <v>0</v>
      </c>
      <c r="E475" s="43">
        <f>IF(FinanceCodesBudget[[#This Row],[FinanceCodeTypeCode]]="BUDGET",0,COUNTIF(FinanceCodesBudget[FinanceCode],FinanceCodesBudget[[#This Row],[FinanceCode]])-1)</f>
        <v>0</v>
      </c>
      <c r="F475" s="43">
        <f>IF(FinanceCodesBudget[[#This Row],[FinanceCodeTypeCode]]="BUDGET",0,COUNTIF(FinanceCodesBudget[Title],FinanceCodesBudget[[#This Row],[Title]])-1)</f>
        <v>0</v>
      </c>
      <c r="G475" s="43">
        <f>COUNTIF(Lookup!$A$2:$A$7,FinanceCodesBudget[[#This Row],[FinanceCodeTypeCode]])-1</f>
        <v>0</v>
      </c>
      <c r="H475" s="43">
        <f>IF(TRIM(FinanceCodesBudget[[#This Row],[Title]])="",1,0)</f>
        <v>0</v>
      </c>
      <c r="I475" s="43">
        <f>IF(TRIM(FinanceCodesBudget[[#This Row],[FinanceCode]])="",1,0)</f>
        <v>0</v>
      </c>
      <c r="J475" s="43">
        <f>IF(LEN(FinanceCodesBudget[[#This Row],[FinanceCode]])&lt;100,0,1)</f>
        <v>0</v>
      </c>
      <c r="K475" s="43">
        <f>IF(LEN(FinanceCodesBudget[[#This Row],[Title]])&lt;100,0,1)</f>
        <v>0</v>
      </c>
      <c r="L475" s="43">
        <f>IF(ISBLANK(FinanceCodesBudget[[#This Row],[BalanceToScenario]]),1,0)</f>
        <v>0</v>
      </c>
      <c r="M475" s="43">
        <f>SUM(FinanceCodesBudget[[#This Row],[LedgerIssue]:[CustGrIssue]],FinanceCodesBudget[[#This Row],[DupCode]:[Balance to Scenario Blank]])</f>
        <v>0</v>
      </c>
      <c r="N475">
        <v>872100</v>
      </c>
      <c r="O475" t="s">
        <v>2997</v>
      </c>
      <c r="P475" t="s">
        <v>1424</v>
      </c>
      <c r="Q475" t="s">
        <v>2008</v>
      </c>
      <c r="R475" t="b">
        <v>0</v>
      </c>
      <c r="S475" t="s">
        <v>2526</v>
      </c>
      <c r="T475" t="s">
        <v>1300</v>
      </c>
      <c r="U475" t="s">
        <v>1532</v>
      </c>
      <c r="V475" t="b">
        <v>1</v>
      </c>
      <c r="W475" t="b">
        <v>0</v>
      </c>
    </row>
    <row r="476" spans="1:23" x14ac:dyDescent="0.3">
      <c r="A476" s="147">
        <f>IF(COUNTIF(LEDGER[LedgerCode],FinanceCodesBudget[[#This Row],[LedgerCode]])&gt;0,0,1)</f>
        <v>0</v>
      </c>
      <c r="B476" s="43">
        <f>IF(COUNTIF(Table_System_Grouping_Codes[groupingCodeCode],FinanceCodesBudget[[#This Row],[GroupingCode]])&gt;0,0,1)</f>
        <v>0</v>
      </c>
      <c r="C476" s="43">
        <f>IF(COUNTIF(CUSTGROUP[CustomGroupingCode],FinanceCodesBudget[[#This Row],[CustomGrouping]])&gt;0,0,1)</f>
        <v>0</v>
      </c>
      <c r="D476" s="43" cm="1">
        <f t="array" ref="D476">IF(FinanceCodesBudget[[#This Row],[AvailableToAllSchools]]=TRUE,0,COUNTA(_xlfn.TEXTSPLIT(FinanceCodesBudget[[#This Row],[SchoolCodes]],",",,TRUE))-SUM(COUNTIF(SCHOOLS[SchoolCode],_xlfn.TEXTSPLIT(FinanceCodesBudget[[#This Row],[SchoolCodes]],",",,TRUE))))</f>
        <v>0</v>
      </c>
      <c r="E476" s="43">
        <f>IF(FinanceCodesBudget[[#This Row],[FinanceCodeTypeCode]]="BUDGET",0,COUNTIF(FinanceCodesBudget[FinanceCode],FinanceCodesBudget[[#This Row],[FinanceCode]])-1)</f>
        <v>0</v>
      </c>
      <c r="F476" s="43">
        <f>IF(FinanceCodesBudget[[#This Row],[FinanceCodeTypeCode]]="BUDGET",0,COUNTIF(FinanceCodesBudget[Title],FinanceCodesBudget[[#This Row],[Title]])-1)</f>
        <v>0</v>
      </c>
      <c r="G476" s="43">
        <f>COUNTIF(Lookup!$A$2:$A$7,FinanceCodesBudget[[#This Row],[FinanceCodeTypeCode]])-1</f>
        <v>0</v>
      </c>
      <c r="H476" s="43">
        <f>IF(TRIM(FinanceCodesBudget[[#This Row],[Title]])="",1,0)</f>
        <v>0</v>
      </c>
      <c r="I476" s="43">
        <f>IF(TRIM(FinanceCodesBudget[[#This Row],[FinanceCode]])="",1,0)</f>
        <v>0</v>
      </c>
      <c r="J476" s="43">
        <f>IF(LEN(FinanceCodesBudget[[#This Row],[FinanceCode]])&lt;100,0,1)</f>
        <v>0</v>
      </c>
      <c r="K476" s="43">
        <f>IF(LEN(FinanceCodesBudget[[#This Row],[Title]])&lt;100,0,1)</f>
        <v>0</v>
      </c>
      <c r="L476" s="43">
        <f>IF(ISBLANK(FinanceCodesBudget[[#This Row],[BalanceToScenario]]),1,0)</f>
        <v>0</v>
      </c>
      <c r="M476" s="43">
        <f>SUM(FinanceCodesBudget[[#This Row],[LedgerIssue]:[CustGrIssue]],FinanceCodesBudget[[#This Row],[DupCode]:[Balance to Scenario Blank]])</f>
        <v>0</v>
      </c>
      <c r="N476">
        <v>872150</v>
      </c>
      <c r="O476" t="s">
        <v>2998</v>
      </c>
      <c r="P476" t="s">
        <v>771</v>
      </c>
      <c r="Q476" t="s">
        <v>2002</v>
      </c>
      <c r="R476" t="b">
        <v>0</v>
      </c>
      <c r="S476" t="s">
        <v>2526</v>
      </c>
      <c r="T476" t="s">
        <v>1300</v>
      </c>
      <c r="U476" t="s">
        <v>1532</v>
      </c>
      <c r="V476" t="b">
        <v>1</v>
      </c>
      <c r="W476" t="b">
        <v>0</v>
      </c>
    </row>
    <row r="477" spans="1:23" x14ac:dyDescent="0.3">
      <c r="A477" s="147">
        <f>IF(COUNTIF(LEDGER[LedgerCode],FinanceCodesBudget[[#This Row],[LedgerCode]])&gt;0,0,1)</f>
        <v>0</v>
      </c>
      <c r="B477" s="43">
        <f>IF(COUNTIF(Table_System_Grouping_Codes[groupingCodeCode],FinanceCodesBudget[[#This Row],[GroupingCode]])&gt;0,0,1)</f>
        <v>0</v>
      </c>
      <c r="C477" s="43">
        <f>IF(COUNTIF(CUSTGROUP[CustomGroupingCode],FinanceCodesBudget[[#This Row],[CustomGrouping]])&gt;0,0,1)</f>
        <v>0</v>
      </c>
      <c r="D477" s="43" cm="1">
        <f t="array" ref="D477">IF(FinanceCodesBudget[[#This Row],[AvailableToAllSchools]]=TRUE,0,COUNTA(_xlfn.TEXTSPLIT(FinanceCodesBudget[[#This Row],[SchoolCodes]],",",,TRUE))-SUM(COUNTIF(SCHOOLS[SchoolCode],_xlfn.TEXTSPLIT(FinanceCodesBudget[[#This Row],[SchoolCodes]],",",,TRUE))))</f>
        <v>0</v>
      </c>
      <c r="E477" s="43">
        <f>IF(FinanceCodesBudget[[#This Row],[FinanceCodeTypeCode]]="BUDGET",0,COUNTIF(FinanceCodesBudget[FinanceCode],FinanceCodesBudget[[#This Row],[FinanceCode]])-1)</f>
        <v>0</v>
      </c>
      <c r="F477" s="43">
        <f>IF(FinanceCodesBudget[[#This Row],[FinanceCodeTypeCode]]="BUDGET",0,COUNTIF(FinanceCodesBudget[Title],FinanceCodesBudget[[#This Row],[Title]])-1)</f>
        <v>0</v>
      </c>
      <c r="G477" s="43">
        <f>COUNTIF(Lookup!$A$2:$A$7,FinanceCodesBudget[[#This Row],[FinanceCodeTypeCode]])-1</f>
        <v>0</v>
      </c>
      <c r="H477" s="43">
        <f>IF(TRIM(FinanceCodesBudget[[#This Row],[Title]])="",1,0)</f>
        <v>0</v>
      </c>
      <c r="I477" s="43">
        <f>IF(TRIM(FinanceCodesBudget[[#This Row],[FinanceCode]])="",1,0)</f>
        <v>0</v>
      </c>
      <c r="J477" s="43">
        <f>IF(LEN(FinanceCodesBudget[[#This Row],[FinanceCode]])&lt;100,0,1)</f>
        <v>0</v>
      </c>
      <c r="K477" s="43">
        <f>IF(LEN(FinanceCodesBudget[[#This Row],[Title]])&lt;100,0,1)</f>
        <v>0</v>
      </c>
      <c r="L477" s="43">
        <f>IF(ISBLANK(FinanceCodesBudget[[#This Row],[BalanceToScenario]]),1,0)</f>
        <v>0</v>
      </c>
      <c r="M477" s="43">
        <f>SUM(FinanceCodesBudget[[#This Row],[LedgerIssue]:[CustGrIssue]],FinanceCodesBudget[[#This Row],[DupCode]:[Balance to Scenario Blank]])</f>
        <v>0</v>
      </c>
      <c r="N477">
        <v>872200</v>
      </c>
      <c r="O477" t="s">
        <v>2999</v>
      </c>
      <c r="P477" t="s">
        <v>773</v>
      </c>
      <c r="Q477" t="s">
        <v>1998</v>
      </c>
      <c r="R477" t="b">
        <v>0</v>
      </c>
      <c r="S477" t="s">
        <v>2526</v>
      </c>
      <c r="T477" t="s">
        <v>1300</v>
      </c>
      <c r="U477" t="s">
        <v>1532</v>
      </c>
      <c r="V477" t="b">
        <v>1</v>
      </c>
      <c r="W477" t="b">
        <v>0</v>
      </c>
    </row>
    <row r="478" spans="1:23" x14ac:dyDescent="0.3">
      <c r="A478" s="147">
        <f>IF(COUNTIF(LEDGER[LedgerCode],FinanceCodesBudget[[#This Row],[LedgerCode]])&gt;0,0,1)</f>
        <v>0</v>
      </c>
      <c r="B478" s="43">
        <f>IF(COUNTIF(Table_System_Grouping_Codes[groupingCodeCode],FinanceCodesBudget[[#This Row],[GroupingCode]])&gt;0,0,1)</f>
        <v>0</v>
      </c>
      <c r="C478" s="43">
        <f>IF(COUNTIF(CUSTGROUP[CustomGroupingCode],FinanceCodesBudget[[#This Row],[CustomGrouping]])&gt;0,0,1)</f>
        <v>0</v>
      </c>
      <c r="D478" s="43" cm="1">
        <f t="array" ref="D478">IF(FinanceCodesBudget[[#This Row],[AvailableToAllSchools]]=TRUE,0,COUNTA(_xlfn.TEXTSPLIT(FinanceCodesBudget[[#This Row],[SchoolCodes]],",",,TRUE))-SUM(COUNTIF(SCHOOLS[SchoolCode],_xlfn.TEXTSPLIT(FinanceCodesBudget[[#This Row],[SchoolCodes]],",",,TRUE))))</f>
        <v>0</v>
      </c>
      <c r="E478" s="43">
        <f>IF(FinanceCodesBudget[[#This Row],[FinanceCodeTypeCode]]="BUDGET",0,COUNTIF(FinanceCodesBudget[FinanceCode],FinanceCodesBudget[[#This Row],[FinanceCode]])-1)</f>
        <v>0</v>
      </c>
      <c r="F478" s="43">
        <f>IF(FinanceCodesBudget[[#This Row],[FinanceCodeTypeCode]]="BUDGET",0,COUNTIF(FinanceCodesBudget[Title],FinanceCodesBudget[[#This Row],[Title]])-1)</f>
        <v>0</v>
      </c>
      <c r="G478" s="43">
        <f>COUNTIF(Lookup!$A$2:$A$7,FinanceCodesBudget[[#This Row],[FinanceCodeTypeCode]])-1</f>
        <v>0</v>
      </c>
      <c r="H478" s="43">
        <f>IF(TRIM(FinanceCodesBudget[[#This Row],[Title]])="",1,0)</f>
        <v>0</v>
      </c>
      <c r="I478" s="43">
        <f>IF(TRIM(FinanceCodesBudget[[#This Row],[FinanceCode]])="",1,0)</f>
        <v>0</v>
      </c>
      <c r="J478" s="43">
        <f>IF(LEN(FinanceCodesBudget[[#This Row],[FinanceCode]])&lt;100,0,1)</f>
        <v>0</v>
      </c>
      <c r="K478" s="43">
        <f>IF(LEN(FinanceCodesBudget[[#This Row],[Title]])&lt;100,0,1)</f>
        <v>0</v>
      </c>
      <c r="L478" s="43">
        <f>IF(ISBLANK(FinanceCodesBudget[[#This Row],[BalanceToScenario]]),1,0)</f>
        <v>0</v>
      </c>
      <c r="M478" s="43">
        <f>SUM(FinanceCodesBudget[[#This Row],[LedgerIssue]:[CustGrIssue]],FinanceCodesBudget[[#This Row],[DupCode]:[Balance to Scenario Blank]])</f>
        <v>0</v>
      </c>
      <c r="N478">
        <v>872500</v>
      </c>
      <c r="O478" t="s">
        <v>3000</v>
      </c>
      <c r="P478" t="s">
        <v>775</v>
      </c>
      <c r="Q478" t="s">
        <v>1985</v>
      </c>
      <c r="R478" t="b">
        <v>0</v>
      </c>
      <c r="S478" t="s">
        <v>2526</v>
      </c>
      <c r="T478" t="s">
        <v>1300</v>
      </c>
      <c r="U478" t="s">
        <v>1532</v>
      </c>
      <c r="V478" t="b">
        <v>1</v>
      </c>
      <c r="W478" t="b">
        <v>0</v>
      </c>
    </row>
    <row r="479" spans="1:23" x14ac:dyDescent="0.3">
      <c r="A479" s="147">
        <f>IF(COUNTIF(LEDGER[LedgerCode],FinanceCodesBudget[[#This Row],[LedgerCode]])&gt;0,0,1)</f>
        <v>0</v>
      </c>
      <c r="B479" s="43">
        <f>IF(COUNTIF(Table_System_Grouping_Codes[groupingCodeCode],FinanceCodesBudget[[#This Row],[GroupingCode]])&gt;0,0,1)</f>
        <v>0</v>
      </c>
      <c r="C479" s="43">
        <f>IF(COUNTIF(CUSTGROUP[CustomGroupingCode],FinanceCodesBudget[[#This Row],[CustomGrouping]])&gt;0,0,1)</f>
        <v>0</v>
      </c>
      <c r="D479" s="43" cm="1">
        <f t="array" ref="D479">IF(FinanceCodesBudget[[#This Row],[AvailableToAllSchools]]=TRUE,0,COUNTA(_xlfn.TEXTSPLIT(FinanceCodesBudget[[#This Row],[SchoolCodes]],",",,TRUE))-SUM(COUNTIF(SCHOOLS[SchoolCode],_xlfn.TEXTSPLIT(FinanceCodesBudget[[#This Row],[SchoolCodes]],",",,TRUE))))</f>
        <v>0</v>
      </c>
      <c r="E479" s="43">
        <f>IF(FinanceCodesBudget[[#This Row],[FinanceCodeTypeCode]]="BUDGET",0,COUNTIF(FinanceCodesBudget[FinanceCode],FinanceCodesBudget[[#This Row],[FinanceCode]])-1)</f>
        <v>0</v>
      </c>
      <c r="F479" s="43">
        <f>IF(FinanceCodesBudget[[#This Row],[FinanceCodeTypeCode]]="BUDGET",0,COUNTIF(FinanceCodesBudget[Title],FinanceCodesBudget[[#This Row],[Title]])-1)</f>
        <v>0</v>
      </c>
      <c r="G479" s="43">
        <f>COUNTIF(Lookup!$A$2:$A$7,FinanceCodesBudget[[#This Row],[FinanceCodeTypeCode]])-1</f>
        <v>0</v>
      </c>
      <c r="H479" s="43">
        <f>IF(TRIM(FinanceCodesBudget[[#This Row],[Title]])="",1,0)</f>
        <v>0</v>
      </c>
      <c r="I479" s="43">
        <f>IF(TRIM(FinanceCodesBudget[[#This Row],[FinanceCode]])="",1,0)</f>
        <v>0</v>
      </c>
      <c r="J479" s="43">
        <f>IF(LEN(FinanceCodesBudget[[#This Row],[FinanceCode]])&lt;100,0,1)</f>
        <v>0</v>
      </c>
      <c r="K479" s="43">
        <f>IF(LEN(FinanceCodesBudget[[#This Row],[Title]])&lt;100,0,1)</f>
        <v>0</v>
      </c>
      <c r="L479" s="43">
        <f>IF(ISBLANK(FinanceCodesBudget[[#This Row],[BalanceToScenario]]),1,0)</f>
        <v>0</v>
      </c>
      <c r="M479" s="43">
        <f>SUM(FinanceCodesBudget[[#This Row],[LedgerIssue]:[CustGrIssue]],FinanceCodesBudget[[#This Row],[DupCode]:[Balance to Scenario Blank]])</f>
        <v>0</v>
      </c>
      <c r="N479">
        <v>872550</v>
      </c>
      <c r="O479" t="s">
        <v>3001</v>
      </c>
      <c r="P479" t="s">
        <v>777</v>
      </c>
      <c r="Q479" t="s">
        <v>2008</v>
      </c>
      <c r="R479" t="b">
        <v>0</v>
      </c>
      <c r="S479" t="s">
        <v>2526</v>
      </c>
      <c r="T479" t="s">
        <v>1300</v>
      </c>
      <c r="U479" t="s">
        <v>1965</v>
      </c>
      <c r="V479" t="b">
        <v>1</v>
      </c>
      <c r="W479" t="b">
        <v>0</v>
      </c>
    </row>
    <row r="480" spans="1:23" x14ac:dyDescent="0.3">
      <c r="A480" s="147">
        <f>IF(COUNTIF(LEDGER[LedgerCode],FinanceCodesBudget[[#This Row],[LedgerCode]])&gt;0,0,1)</f>
        <v>0</v>
      </c>
      <c r="B480" s="43">
        <f>IF(COUNTIF(Table_System_Grouping_Codes[groupingCodeCode],FinanceCodesBudget[[#This Row],[GroupingCode]])&gt;0,0,1)</f>
        <v>0</v>
      </c>
      <c r="C480" s="43">
        <f>IF(COUNTIF(CUSTGROUP[CustomGroupingCode],FinanceCodesBudget[[#This Row],[CustomGrouping]])&gt;0,0,1)</f>
        <v>0</v>
      </c>
      <c r="D480" s="43" cm="1">
        <f t="array" ref="D480">IF(FinanceCodesBudget[[#This Row],[AvailableToAllSchools]]=TRUE,0,COUNTA(_xlfn.TEXTSPLIT(FinanceCodesBudget[[#This Row],[SchoolCodes]],",",,TRUE))-SUM(COUNTIF(SCHOOLS[SchoolCode],_xlfn.TEXTSPLIT(FinanceCodesBudget[[#This Row],[SchoolCodes]],",",,TRUE))))</f>
        <v>0</v>
      </c>
      <c r="E480" s="43">
        <f>IF(FinanceCodesBudget[[#This Row],[FinanceCodeTypeCode]]="BUDGET",0,COUNTIF(FinanceCodesBudget[FinanceCode],FinanceCodesBudget[[#This Row],[FinanceCode]])-1)</f>
        <v>0</v>
      </c>
      <c r="F480" s="43">
        <f>IF(FinanceCodesBudget[[#This Row],[FinanceCodeTypeCode]]="BUDGET",0,COUNTIF(FinanceCodesBudget[Title],FinanceCodesBudget[[#This Row],[Title]])-1)</f>
        <v>0</v>
      </c>
      <c r="G480" s="43">
        <f>COUNTIF(Lookup!$A$2:$A$7,FinanceCodesBudget[[#This Row],[FinanceCodeTypeCode]])-1</f>
        <v>0</v>
      </c>
      <c r="H480" s="43">
        <f>IF(TRIM(FinanceCodesBudget[[#This Row],[Title]])="",1,0)</f>
        <v>0</v>
      </c>
      <c r="I480" s="43">
        <f>IF(TRIM(FinanceCodesBudget[[#This Row],[FinanceCode]])="",1,0)</f>
        <v>0</v>
      </c>
      <c r="J480" s="43">
        <f>IF(LEN(FinanceCodesBudget[[#This Row],[FinanceCode]])&lt;100,0,1)</f>
        <v>0</v>
      </c>
      <c r="K480" s="43">
        <f>IF(LEN(FinanceCodesBudget[[#This Row],[Title]])&lt;100,0,1)</f>
        <v>0</v>
      </c>
      <c r="L480" s="43">
        <f>IF(ISBLANK(FinanceCodesBudget[[#This Row],[BalanceToScenario]]),1,0)</f>
        <v>0</v>
      </c>
      <c r="M480" s="43">
        <f>SUM(FinanceCodesBudget[[#This Row],[LedgerIssue]:[CustGrIssue]],FinanceCodesBudget[[#This Row],[DupCode]:[Balance to Scenario Blank]])</f>
        <v>0</v>
      </c>
      <c r="N480">
        <v>872600</v>
      </c>
      <c r="O480" t="s">
        <v>3002</v>
      </c>
      <c r="P480" t="s">
        <v>779</v>
      </c>
      <c r="Q480" t="s">
        <v>1998</v>
      </c>
      <c r="R480" t="b">
        <v>0</v>
      </c>
      <c r="S480" t="s">
        <v>2526</v>
      </c>
      <c r="T480" t="s">
        <v>1300</v>
      </c>
      <c r="U480" t="s">
        <v>1532</v>
      </c>
      <c r="V480" t="b">
        <v>1</v>
      </c>
      <c r="W480" t="b">
        <v>0</v>
      </c>
    </row>
    <row r="481" spans="1:23" x14ac:dyDescent="0.3">
      <c r="A481" s="147">
        <f>IF(COUNTIF(LEDGER[LedgerCode],FinanceCodesBudget[[#This Row],[LedgerCode]])&gt;0,0,1)</f>
        <v>0</v>
      </c>
      <c r="B481" s="43">
        <f>IF(COUNTIF(Table_System_Grouping_Codes[groupingCodeCode],FinanceCodesBudget[[#This Row],[GroupingCode]])&gt;0,0,1)</f>
        <v>0</v>
      </c>
      <c r="C481" s="43">
        <f>IF(COUNTIF(CUSTGROUP[CustomGroupingCode],FinanceCodesBudget[[#This Row],[CustomGrouping]])&gt;0,0,1)</f>
        <v>0</v>
      </c>
      <c r="D481" s="43" cm="1">
        <f t="array" ref="D481">IF(FinanceCodesBudget[[#This Row],[AvailableToAllSchools]]=TRUE,0,COUNTA(_xlfn.TEXTSPLIT(FinanceCodesBudget[[#This Row],[SchoolCodes]],",",,TRUE))-SUM(COUNTIF(SCHOOLS[SchoolCode],_xlfn.TEXTSPLIT(FinanceCodesBudget[[#This Row],[SchoolCodes]],",",,TRUE))))</f>
        <v>0</v>
      </c>
      <c r="E481" s="43">
        <f>IF(FinanceCodesBudget[[#This Row],[FinanceCodeTypeCode]]="BUDGET",0,COUNTIF(FinanceCodesBudget[FinanceCode],FinanceCodesBudget[[#This Row],[FinanceCode]])-1)</f>
        <v>0</v>
      </c>
      <c r="F481" s="43">
        <f>IF(FinanceCodesBudget[[#This Row],[FinanceCodeTypeCode]]="BUDGET",0,COUNTIF(FinanceCodesBudget[Title],FinanceCodesBudget[[#This Row],[Title]])-1)</f>
        <v>0</v>
      </c>
      <c r="G481" s="43">
        <f>COUNTIF(Lookup!$A$2:$A$7,FinanceCodesBudget[[#This Row],[FinanceCodeTypeCode]])-1</f>
        <v>0</v>
      </c>
      <c r="H481" s="43">
        <f>IF(TRIM(FinanceCodesBudget[[#This Row],[Title]])="",1,0)</f>
        <v>0</v>
      </c>
      <c r="I481" s="43">
        <f>IF(TRIM(FinanceCodesBudget[[#This Row],[FinanceCode]])="",1,0)</f>
        <v>0</v>
      </c>
      <c r="J481" s="43">
        <f>IF(LEN(FinanceCodesBudget[[#This Row],[FinanceCode]])&lt;100,0,1)</f>
        <v>0</v>
      </c>
      <c r="K481" s="43">
        <f>IF(LEN(FinanceCodesBudget[[#This Row],[Title]])&lt;100,0,1)</f>
        <v>0</v>
      </c>
      <c r="L481" s="43">
        <f>IF(ISBLANK(FinanceCodesBudget[[#This Row],[BalanceToScenario]]),1,0)</f>
        <v>0</v>
      </c>
      <c r="M481" s="43">
        <f>SUM(FinanceCodesBudget[[#This Row],[LedgerIssue]:[CustGrIssue]],FinanceCodesBudget[[#This Row],[DupCode]:[Balance to Scenario Blank]])</f>
        <v>0</v>
      </c>
      <c r="N481">
        <v>872650</v>
      </c>
      <c r="O481" t="s">
        <v>3003</v>
      </c>
      <c r="P481" t="s">
        <v>781</v>
      </c>
      <c r="Q481" t="s">
        <v>1998</v>
      </c>
      <c r="R481" t="b">
        <v>0</v>
      </c>
      <c r="S481" t="s">
        <v>2526</v>
      </c>
      <c r="T481" t="s">
        <v>1300</v>
      </c>
      <c r="U481" t="s">
        <v>1532</v>
      </c>
      <c r="V481" t="b">
        <v>1</v>
      </c>
      <c r="W481" t="b">
        <v>0</v>
      </c>
    </row>
    <row r="482" spans="1:23" x14ac:dyDescent="0.3">
      <c r="A482" s="147">
        <f>IF(COUNTIF(LEDGER[LedgerCode],FinanceCodesBudget[[#This Row],[LedgerCode]])&gt;0,0,1)</f>
        <v>0</v>
      </c>
      <c r="B482" s="43">
        <f>IF(COUNTIF(Table_System_Grouping_Codes[groupingCodeCode],FinanceCodesBudget[[#This Row],[GroupingCode]])&gt;0,0,1)</f>
        <v>0</v>
      </c>
      <c r="C482" s="43">
        <f>IF(COUNTIF(CUSTGROUP[CustomGroupingCode],FinanceCodesBudget[[#This Row],[CustomGrouping]])&gt;0,0,1)</f>
        <v>0</v>
      </c>
      <c r="D482" s="43" cm="1">
        <f t="array" ref="D482">IF(FinanceCodesBudget[[#This Row],[AvailableToAllSchools]]=TRUE,0,COUNTA(_xlfn.TEXTSPLIT(FinanceCodesBudget[[#This Row],[SchoolCodes]],",",,TRUE))-SUM(COUNTIF(SCHOOLS[SchoolCode],_xlfn.TEXTSPLIT(FinanceCodesBudget[[#This Row],[SchoolCodes]],",",,TRUE))))</f>
        <v>0</v>
      </c>
      <c r="E482" s="43">
        <f>IF(FinanceCodesBudget[[#This Row],[FinanceCodeTypeCode]]="BUDGET",0,COUNTIF(FinanceCodesBudget[FinanceCode],FinanceCodesBudget[[#This Row],[FinanceCode]])-1)</f>
        <v>0</v>
      </c>
      <c r="F482" s="43">
        <f>IF(FinanceCodesBudget[[#This Row],[FinanceCodeTypeCode]]="BUDGET",0,COUNTIF(FinanceCodesBudget[Title],FinanceCodesBudget[[#This Row],[Title]])-1)</f>
        <v>0</v>
      </c>
      <c r="G482" s="43">
        <f>COUNTIF(Lookup!$A$2:$A$7,FinanceCodesBudget[[#This Row],[FinanceCodeTypeCode]])-1</f>
        <v>0</v>
      </c>
      <c r="H482" s="43">
        <f>IF(TRIM(FinanceCodesBudget[[#This Row],[Title]])="",1,0)</f>
        <v>0</v>
      </c>
      <c r="I482" s="43">
        <f>IF(TRIM(FinanceCodesBudget[[#This Row],[FinanceCode]])="",1,0)</f>
        <v>0</v>
      </c>
      <c r="J482" s="43">
        <f>IF(LEN(FinanceCodesBudget[[#This Row],[FinanceCode]])&lt;100,0,1)</f>
        <v>0</v>
      </c>
      <c r="K482" s="43">
        <f>IF(LEN(FinanceCodesBudget[[#This Row],[Title]])&lt;100,0,1)</f>
        <v>0</v>
      </c>
      <c r="L482" s="43">
        <f>IF(ISBLANK(FinanceCodesBudget[[#This Row],[BalanceToScenario]]),1,0)</f>
        <v>0</v>
      </c>
      <c r="M482" s="43">
        <f>SUM(FinanceCodesBudget[[#This Row],[LedgerIssue]:[CustGrIssue]],FinanceCodesBudget[[#This Row],[DupCode]:[Balance to Scenario Blank]])</f>
        <v>0</v>
      </c>
      <c r="N482">
        <v>872700</v>
      </c>
      <c r="O482" t="s">
        <v>3004</v>
      </c>
      <c r="P482" t="s">
        <v>783</v>
      </c>
      <c r="Q482" t="s">
        <v>1998</v>
      </c>
      <c r="R482" t="b">
        <v>0</v>
      </c>
      <c r="S482" t="s">
        <v>2526</v>
      </c>
      <c r="T482" t="s">
        <v>1300</v>
      </c>
      <c r="U482" t="s">
        <v>1532</v>
      </c>
      <c r="V482" t="b">
        <v>1</v>
      </c>
      <c r="W482" t="b">
        <v>0</v>
      </c>
    </row>
    <row r="483" spans="1:23" x14ac:dyDescent="0.3">
      <c r="A483" s="147">
        <f>IF(COUNTIF(LEDGER[LedgerCode],FinanceCodesBudget[[#This Row],[LedgerCode]])&gt;0,0,1)</f>
        <v>0</v>
      </c>
      <c r="B483" s="43">
        <f>IF(COUNTIF(Table_System_Grouping_Codes[groupingCodeCode],FinanceCodesBudget[[#This Row],[GroupingCode]])&gt;0,0,1)</f>
        <v>0</v>
      </c>
      <c r="C483" s="43">
        <f>IF(COUNTIF(CUSTGROUP[CustomGroupingCode],FinanceCodesBudget[[#This Row],[CustomGrouping]])&gt;0,0,1)</f>
        <v>0</v>
      </c>
      <c r="D483" s="43" cm="1">
        <f t="array" ref="D483">IF(FinanceCodesBudget[[#This Row],[AvailableToAllSchools]]=TRUE,0,COUNTA(_xlfn.TEXTSPLIT(FinanceCodesBudget[[#This Row],[SchoolCodes]],",",,TRUE))-SUM(COUNTIF(SCHOOLS[SchoolCode],_xlfn.TEXTSPLIT(FinanceCodesBudget[[#This Row],[SchoolCodes]],",",,TRUE))))</f>
        <v>0</v>
      </c>
      <c r="E483" s="43">
        <f>IF(FinanceCodesBudget[[#This Row],[FinanceCodeTypeCode]]="BUDGET",0,COUNTIF(FinanceCodesBudget[FinanceCode],FinanceCodesBudget[[#This Row],[FinanceCode]])-1)</f>
        <v>0</v>
      </c>
      <c r="F483" s="43">
        <f>IF(FinanceCodesBudget[[#This Row],[FinanceCodeTypeCode]]="BUDGET",0,COUNTIF(FinanceCodesBudget[Title],FinanceCodesBudget[[#This Row],[Title]])-1)</f>
        <v>0</v>
      </c>
      <c r="G483" s="43">
        <f>COUNTIF(Lookup!$A$2:$A$7,FinanceCodesBudget[[#This Row],[FinanceCodeTypeCode]])-1</f>
        <v>0</v>
      </c>
      <c r="H483" s="43">
        <f>IF(TRIM(FinanceCodesBudget[[#This Row],[Title]])="",1,0)</f>
        <v>0</v>
      </c>
      <c r="I483" s="43">
        <f>IF(TRIM(FinanceCodesBudget[[#This Row],[FinanceCode]])="",1,0)</f>
        <v>0</v>
      </c>
      <c r="J483" s="43">
        <f>IF(LEN(FinanceCodesBudget[[#This Row],[FinanceCode]])&lt;100,0,1)</f>
        <v>0</v>
      </c>
      <c r="K483" s="43">
        <f>IF(LEN(FinanceCodesBudget[[#This Row],[Title]])&lt;100,0,1)</f>
        <v>0</v>
      </c>
      <c r="L483" s="43">
        <f>IF(ISBLANK(FinanceCodesBudget[[#This Row],[BalanceToScenario]]),1,0)</f>
        <v>0</v>
      </c>
      <c r="M483" s="43">
        <f>SUM(FinanceCodesBudget[[#This Row],[LedgerIssue]:[CustGrIssue]],FinanceCodesBudget[[#This Row],[DupCode]:[Balance to Scenario Blank]])</f>
        <v>0</v>
      </c>
      <c r="N483">
        <v>872750</v>
      </c>
      <c r="O483" t="s">
        <v>3005</v>
      </c>
      <c r="P483" t="s">
        <v>785</v>
      </c>
      <c r="Q483" t="s">
        <v>1998</v>
      </c>
      <c r="R483" t="b">
        <v>0</v>
      </c>
      <c r="S483" t="s">
        <v>2526</v>
      </c>
      <c r="T483" t="s">
        <v>1300</v>
      </c>
      <c r="U483" t="s">
        <v>1532</v>
      </c>
      <c r="V483" t="b">
        <v>1</v>
      </c>
      <c r="W483" t="b">
        <v>0</v>
      </c>
    </row>
    <row r="484" spans="1:23" x14ac:dyDescent="0.3">
      <c r="A484" s="147">
        <f>IF(COUNTIF(LEDGER[LedgerCode],FinanceCodesBudget[[#This Row],[LedgerCode]])&gt;0,0,1)</f>
        <v>0</v>
      </c>
      <c r="B484" s="43">
        <f>IF(COUNTIF(Table_System_Grouping_Codes[groupingCodeCode],FinanceCodesBudget[[#This Row],[GroupingCode]])&gt;0,0,1)</f>
        <v>0</v>
      </c>
      <c r="C484" s="43">
        <f>IF(COUNTIF(CUSTGROUP[CustomGroupingCode],FinanceCodesBudget[[#This Row],[CustomGrouping]])&gt;0,0,1)</f>
        <v>0</v>
      </c>
      <c r="D484" s="43" cm="1">
        <f t="array" ref="D484">IF(FinanceCodesBudget[[#This Row],[AvailableToAllSchools]]=TRUE,0,COUNTA(_xlfn.TEXTSPLIT(FinanceCodesBudget[[#This Row],[SchoolCodes]],",",,TRUE))-SUM(COUNTIF(SCHOOLS[SchoolCode],_xlfn.TEXTSPLIT(FinanceCodesBudget[[#This Row],[SchoolCodes]],",",,TRUE))))</f>
        <v>0</v>
      </c>
      <c r="E484" s="43">
        <f>IF(FinanceCodesBudget[[#This Row],[FinanceCodeTypeCode]]="BUDGET",0,COUNTIF(FinanceCodesBudget[FinanceCode],FinanceCodesBudget[[#This Row],[FinanceCode]])-1)</f>
        <v>0</v>
      </c>
      <c r="F484" s="43">
        <f>IF(FinanceCodesBudget[[#This Row],[FinanceCodeTypeCode]]="BUDGET",0,COUNTIF(FinanceCodesBudget[Title],FinanceCodesBudget[[#This Row],[Title]])-1)</f>
        <v>0</v>
      </c>
      <c r="G484" s="43">
        <f>COUNTIF(Lookup!$A$2:$A$7,FinanceCodesBudget[[#This Row],[FinanceCodeTypeCode]])-1</f>
        <v>0</v>
      </c>
      <c r="H484" s="43">
        <f>IF(TRIM(FinanceCodesBudget[[#This Row],[Title]])="",1,0)</f>
        <v>0</v>
      </c>
      <c r="I484" s="43">
        <f>IF(TRIM(FinanceCodesBudget[[#This Row],[FinanceCode]])="",1,0)</f>
        <v>0</v>
      </c>
      <c r="J484" s="43">
        <f>IF(LEN(FinanceCodesBudget[[#This Row],[FinanceCode]])&lt;100,0,1)</f>
        <v>0</v>
      </c>
      <c r="K484" s="43">
        <f>IF(LEN(FinanceCodesBudget[[#This Row],[Title]])&lt;100,0,1)</f>
        <v>0</v>
      </c>
      <c r="L484" s="43">
        <f>IF(ISBLANK(FinanceCodesBudget[[#This Row],[BalanceToScenario]]),1,0)</f>
        <v>0</v>
      </c>
      <c r="M484" s="43">
        <f>SUM(FinanceCodesBudget[[#This Row],[LedgerIssue]:[CustGrIssue]],FinanceCodesBudget[[#This Row],[DupCode]:[Balance to Scenario Blank]])</f>
        <v>0</v>
      </c>
      <c r="N484">
        <v>872950</v>
      </c>
      <c r="O484" t="s">
        <v>3006</v>
      </c>
      <c r="P484" t="s">
        <v>787</v>
      </c>
      <c r="Q484" t="s">
        <v>1998</v>
      </c>
      <c r="R484" t="b">
        <v>0</v>
      </c>
      <c r="S484" t="s">
        <v>2526</v>
      </c>
      <c r="T484" t="s">
        <v>1300</v>
      </c>
      <c r="U484" t="s">
        <v>1532</v>
      </c>
      <c r="V484" t="b">
        <v>1</v>
      </c>
      <c r="W484" t="b">
        <v>0</v>
      </c>
    </row>
    <row r="485" spans="1:23" x14ac:dyDescent="0.3">
      <c r="A485" s="147">
        <f>IF(COUNTIF(LEDGER[LedgerCode],FinanceCodesBudget[[#This Row],[LedgerCode]])&gt;0,0,1)</f>
        <v>0</v>
      </c>
      <c r="B485" s="43">
        <f>IF(COUNTIF(Table_System_Grouping_Codes[groupingCodeCode],FinanceCodesBudget[[#This Row],[GroupingCode]])&gt;0,0,1)</f>
        <v>0</v>
      </c>
      <c r="C485" s="43">
        <f>IF(COUNTIF(CUSTGROUP[CustomGroupingCode],FinanceCodesBudget[[#This Row],[CustomGrouping]])&gt;0,0,1)</f>
        <v>0</v>
      </c>
      <c r="D485" s="43" cm="1">
        <f t="array" ref="D485">IF(FinanceCodesBudget[[#This Row],[AvailableToAllSchools]]=TRUE,0,COUNTA(_xlfn.TEXTSPLIT(FinanceCodesBudget[[#This Row],[SchoolCodes]],",",,TRUE))-SUM(COUNTIF(SCHOOLS[SchoolCode],_xlfn.TEXTSPLIT(FinanceCodesBudget[[#This Row],[SchoolCodes]],",",,TRUE))))</f>
        <v>0</v>
      </c>
      <c r="E485" s="43">
        <f>IF(FinanceCodesBudget[[#This Row],[FinanceCodeTypeCode]]="BUDGET",0,COUNTIF(FinanceCodesBudget[FinanceCode],FinanceCodesBudget[[#This Row],[FinanceCode]])-1)</f>
        <v>0</v>
      </c>
      <c r="F485" s="43">
        <f>IF(FinanceCodesBudget[[#This Row],[FinanceCodeTypeCode]]="BUDGET",0,COUNTIF(FinanceCodesBudget[Title],FinanceCodesBudget[[#This Row],[Title]])-1)</f>
        <v>0</v>
      </c>
      <c r="G485" s="43">
        <f>COUNTIF(Lookup!$A$2:$A$7,FinanceCodesBudget[[#This Row],[FinanceCodeTypeCode]])-1</f>
        <v>0</v>
      </c>
      <c r="H485" s="43">
        <f>IF(TRIM(FinanceCodesBudget[[#This Row],[Title]])="",1,0)</f>
        <v>0</v>
      </c>
      <c r="I485" s="43">
        <f>IF(TRIM(FinanceCodesBudget[[#This Row],[FinanceCode]])="",1,0)</f>
        <v>0</v>
      </c>
      <c r="J485" s="43">
        <f>IF(LEN(FinanceCodesBudget[[#This Row],[FinanceCode]])&lt;100,0,1)</f>
        <v>0</v>
      </c>
      <c r="K485" s="43">
        <f>IF(LEN(FinanceCodesBudget[[#This Row],[Title]])&lt;100,0,1)</f>
        <v>0</v>
      </c>
      <c r="L485" s="43">
        <f>IF(ISBLANK(FinanceCodesBudget[[#This Row],[BalanceToScenario]]),1,0)</f>
        <v>0</v>
      </c>
      <c r="M485" s="43">
        <f>SUM(FinanceCodesBudget[[#This Row],[LedgerIssue]:[CustGrIssue]],FinanceCodesBudget[[#This Row],[DupCode]:[Balance to Scenario Blank]])</f>
        <v>0</v>
      </c>
      <c r="N485">
        <v>880100</v>
      </c>
      <c r="O485" t="s">
        <v>3007</v>
      </c>
      <c r="P485" t="s">
        <v>789</v>
      </c>
      <c r="Q485" t="s">
        <v>1998</v>
      </c>
      <c r="R485" t="b">
        <v>0</v>
      </c>
      <c r="S485" t="s">
        <v>2526</v>
      </c>
      <c r="T485" t="s">
        <v>1300</v>
      </c>
      <c r="U485" t="s">
        <v>1532</v>
      </c>
      <c r="V485" t="b">
        <v>1</v>
      </c>
      <c r="W485" t="b">
        <v>0</v>
      </c>
    </row>
    <row r="486" spans="1:23" x14ac:dyDescent="0.3">
      <c r="A486" s="147">
        <f>IF(COUNTIF(LEDGER[LedgerCode],FinanceCodesBudget[[#This Row],[LedgerCode]])&gt;0,0,1)</f>
        <v>0</v>
      </c>
      <c r="B486" s="43">
        <f>IF(COUNTIF(Table_System_Grouping_Codes[groupingCodeCode],FinanceCodesBudget[[#This Row],[GroupingCode]])&gt;0,0,1)</f>
        <v>0</v>
      </c>
      <c r="C486" s="43">
        <f>IF(COUNTIF(CUSTGROUP[CustomGroupingCode],FinanceCodesBudget[[#This Row],[CustomGrouping]])&gt;0,0,1)</f>
        <v>0</v>
      </c>
      <c r="D486" s="43" cm="1">
        <f t="array" ref="D486">IF(FinanceCodesBudget[[#This Row],[AvailableToAllSchools]]=TRUE,0,COUNTA(_xlfn.TEXTSPLIT(FinanceCodesBudget[[#This Row],[SchoolCodes]],",",,TRUE))-SUM(COUNTIF(SCHOOLS[SchoolCode],_xlfn.TEXTSPLIT(FinanceCodesBudget[[#This Row],[SchoolCodes]],",",,TRUE))))</f>
        <v>0</v>
      </c>
      <c r="E486" s="43">
        <f>IF(FinanceCodesBudget[[#This Row],[FinanceCodeTypeCode]]="BUDGET",0,COUNTIF(FinanceCodesBudget[FinanceCode],FinanceCodesBudget[[#This Row],[FinanceCode]])-1)</f>
        <v>0</v>
      </c>
      <c r="F486" s="43">
        <f>IF(FinanceCodesBudget[[#This Row],[FinanceCodeTypeCode]]="BUDGET",0,COUNTIF(FinanceCodesBudget[Title],FinanceCodesBudget[[#This Row],[Title]])-1)</f>
        <v>0</v>
      </c>
      <c r="G486" s="43">
        <f>COUNTIF(Lookup!$A$2:$A$7,FinanceCodesBudget[[#This Row],[FinanceCodeTypeCode]])-1</f>
        <v>0</v>
      </c>
      <c r="H486" s="43">
        <f>IF(TRIM(FinanceCodesBudget[[#This Row],[Title]])="",1,0)</f>
        <v>0</v>
      </c>
      <c r="I486" s="43">
        <f>IF(TRIM(FinanceCodesBudget[[#This Row],[FinanceCode]])="",1,0)</f>
        <v>0</v>
      </c>
      <c r="J486" s="43">
        <f>IF(LEN(FinanceCodesBudget[[#This Row],[FinanceCode]])&lt;100,0,1)</f>
        <v>0</v>
      </c>
      <c r="K486" s="43">
        <f>IF(LEN(FinanceCodesBudget[[#This Row],[Title]])&lt;100,0,1)</f>
        <v>0</v>
      </c>
      <c r="L486" s="43">
        <f>IF(ISBLANK(FinanceCodesBudget[[#This Row],[BalanceToScenario]]),1,0)</f>
        <v>0</v>
      </c>
      <c r="M486" s="43">
        <f>SUM(FinanceCodesBudget[[#This Row],[LedgerIssue]:[CustGrIssue]],FinanceCodesBudget[[#This Row],[DupCode]:[Balance to Scenario Blank]])</f>
        <v>0</v>
      </c>
      <c r="N486">
        <v>880150</v>
      </c>
      <c r="O486" t="s">
        <v>3008</v>
      </c>
      <c r="P486" t="s">
        <v>791</v>
      </c>
      <c r="Q486" t="s">
        <v>1998</v>
      </c>
      <c r="R486" t="b">
        <v>0</v>
      </c>
      <c r="S486" t="s">
        <v>2526</v>
      </c>
      <c r="T486" t="s">
        <v>1300</v>
      </c>
      <c r="U486" t="s">
        <v>1532</v>
      </c>
      <c r="V486" t="b">
        <v>1</v>
      </c>
      <c r="W486" t="b">
        <v>0</v>
      </c>
    </row>
    <row r="487" spans="1:23" x14ac:dyDescent="0.3">
      <c r="A487" s="147">
        <f>IF(COUNTIF(LEDGER[LedgerCode],FinanceCodesBudget[[#This Row],[LedgerCode]])&gt;0,0,1)</f>
        <v>0</v>
      </c>
      <c r="B487" s="43">
        <f>IF(COUNTIF(Table_System_Grouping_Codes[groupingCodeCode],FinanceCodesBudget[[#This Row],[GroupingCode]])&gt;0,0,1)</f>
        <v>0</v>
      </c>
      <c r="C487" s="43">
        <f>IF(COUNTIF(CUSTGROUP[CustomGroupingCode],FinanceCodesBudget[[#This Row],[CustomGrouping]])&gt;0,0,1)</f>
        <v>0</v>
      </c>
      <c r="D487" s="43" cm="1">
        <f t="array" ref="D487">IF(FinanceCodesBudget[[#This Row],[AvailableToAllSchools]]=TRUE,0,COUNTA(_xlfn.TEXTSPLIT(FinanceCodesBudget[[#This Row],[SchoolCodes]],",",,TRUE))-SUM(COUNTIF(SCHOOLS[SchoolCode],_xlfn.TEXTSPLIT(FinanceCodesBudget[[#This Row],[SchoolCodes]],",",,TRUE))))</f>
        <v>0</v>
      </c>
      <c r="E487" s="43">
        <f>IF(FinanceCodesBudget[[#This Row],[FinanceCodeTypeCode]]="BUDGET",0,COUNTIF(FinanceCodesBudget[FinanceCode],FinanceCodesBudget[[#This Row],[FinanceCode]])-1)</f>
        <v>0</v>
      </c>
      <c r="F487" s="43">
        <f>IF(FinanceCodesBudget[[#This Row],[FinanceCodeTypeCode]]="BUDGET",0,COUNTIF(FinanceCodesBudget[Title],FinanceCodesBudget[[#This Row],[Title]])-1)</f>
        <v>0</v>
      </c>
      <c r="G487" s="43">
        <f>COUNTIF(Lookup!$A$2:$A$7,FinanceCodesBudget[[#This Row],[FinanceCodeTypeCode]])-1</f>
        <v>0</v>
      </c>
      <c r="H487" s="43">
        <f>IF(TRIM(FinanceCodesBudget[[#This Row],[Title]])="",1,0)</f>
        <v>0</v>
      </c>
      <c r="I487" s="43">
        <f>IF(TRIM(FinanceCodesBudget[[#This Row],[FinanceCode]])="",1,0)</f>
        <v>0</v>
      </c>
      <c r="J487" s="43">
        <f>IF(LEN(FinanceCodesBudget[[#This Row],[FinanceCode]])&lt;100,0,1)</f>
        <v>0</v>
      </c>
      <c r="K487" s="43">
        <f>IF(LEN(FinanceCodesBudget[[#This Row],[Title]])&lt;100,0,1)</f>
        <v>0</v>
      </c>
      <c r="L487" s="43">
        <f>IF(ISBLANK(FinanceCodesBudget[[#This Row],[BalanceToScenario]]),1,0)</f>
        <v>0</v>
      </c>
      <c r="M487" s="43">
        <f>SUM(FinanceCodesBudget[[#This Row],[LedgerIssue]:[CustGrIssue]],FinanceCodesBudget[[#This Row],[DupCode]:[Balance to Scenario Blank]])</f>
        <v>0</v>
      </c>
      <c r="N487">
        <v>880170</v>
      </c>
      <c r="O487" t="s">
        <v>3009</v>
      </c>
      <c r="P487" t="s">
        <v>793</v>
      </c>
      <c r="Q487" t="s">
        <v>1998</v>
      </c>
      <c r="R487" t="b">
        <v>0</v>
      </c>
      <c r="S487" t="s">
        <v>2526</v>
      </c>
      <c r="T487" t="s">
        <v>1300</v>
      </c>
      <c r="U487" t="s">
        <v>1532</v>
      </c>
      <c r="V487" t="b">
        <v>1</v>
      </c>
      <c r="W487" t="b">
        <v>0</v>
      </c>
    </row>
    <row r="488" spans="1:23" x14ac:dyDescent="0.3">
      <c r="A488" s="147">
        <f>IF(COUNTIF(LEDGER[LedgerCode],FinanceCodesBudget[[#This Row],[LedgerCode]])&gt;0,0,1)</f>
        <v>0</v>
      </c>
      <c r="B488" s="43">
        <f>IF(COUNTIF(Table_System_Grouping_Codes[groupingCodeCode],FinanceCodesBudget[[#This Row],[GroupingCode]])&gt;0,0,1)</f>
        <v>0</v>
      </c>
      <c r="C488" s="43">
        <f>IF(COUNTIF(CUSTGROUP[CustomGroupingCode],FinanceCodesBudget[[#This Row],[CustomGrouping]])&gt;0,0,1)</f>
        <v>0</v>
      </c>
      <c r="D488" s="43" cm="1">
        <f t="array" ref="D488">IF(FinanceCodesBudget[[#This Row],[AvailableToAllSchools]]=TRUE,0,COUNTA(_xlfn.TEXTSPLIT(FinanceCodesBudget[[#This Row],[SchoolCodes]],",",,TRUE))-SUM(COUNTIF(SCHOOLS[SchoolCode],_xlfn.TEXTSPLIT(FinanceCodesBudget[[#This Row],[SchoolCodes]],",",,TRUE))))</f>
        <v>0</v>
      </c>
      <c r="E488" s="43">
        <f>IF(FinanceCodesBudget[[#This Row],[FinanceCodeTypeCode]]="BUDGET",0,COUNTIF(FinanceCodesBudget[FinanceCode],FinanceCodesBudget[[#This Row],[FinanceCode]])-1)</f>
        <v>0</v>
      </c>
      <c r="F488" s="43">
        <f>IF(FinanceCodesBudget[[#This Row],[FinanceCodeTypeCode]]="BUDGET",0,COUNTIF(FinanceCodesBudget[Title],FinanceCodesBudget[[#This Row],[Title]])-1)</f>
        <v>0</v>
      </c>
      <c r="G488" s="43">
        <f>COUNTIF(Lookup!$A$2:$A$7,FinanceCodesBudget[[#This Row],[FinanceCodeTypeCode]])-1</f>
        <v>0</v>
      </c>
      <c r="H488" s="43">
        <f>IF(TRIM(FinanceCodesBudget[[#This Row],[Title]])="",1,0)</f>
        <v>0</v>
      </c>
      <c r="I488" s="43">
        <f>IF(TRIM(FinanceCodesBudget[[#This Row],[FinanceCode]])="",1,0)</f>
        <v>0</v>
      </c>
      <c r="J488" s="43">
        <f>IF(LEN(FinanceCodesBudget[[#This Row],[FinanceCode]])&lt;100,0,1)</f>
        <v>0</v>
      </c>
      <c r="K488" s="43">
        <f>IF(LEN(FinanceCodesBudget[[#This Row],[Title]])&lt;100,0,1)</f>
        <v>0</v>
      </c>
      <c r="L488" s="43">
        <f>IF(ISBLANK(FinanceCodesBudget[[#This Row],[BalanceToScenario]]),1,0)</f>
        <v>0</v>
      </c>
      <c r="M488" s="43">
        <f>SUM(FinanceCodesBudget[[#This Row],[LedgerIssue]:[CustGrIssue]],FinanceCodesBudget[[#This Row],[DupCode]:[Balance to Scenario Blank]])</f>
        <v>0</v>
      </c>
      <c r="N488">
        <v>880200</v>
      </c>
      <c r="O488" t="s">
        <v>3010</v>
      </c>
      <c r="P488" t="s">
        <v>795</v>
      </c>
      <c r="Q488" t="s">
        <v>1998</v>
      </c>
      <c r="R488" t="b">
        <v>0</v>
      </c>
      <c r="S488" t="s">
        <v>2526</v>
      </c>
      <c r="T488" t="s">
        <v>1300</v>
      </c>
      <c r="U488" t="s">
        <v>1532</v>
      </c>
      <c r="V488" t="b">
        <v>1</v>
      </c>
      <c r="W488" t="b">
        <v>0</v>
      </c>
    </row>
    <row r="489" spans="1:23" x14ac:dyDescent="0.3">
      <c r="A489" s="147">
        <f>IF(COUNTIF(LEDGER[LedgerCode],FinanceCodesBudget[[#This Row],[LedgerCode]])&gt;0,0,1)</f>
        <v>0</v>
      </c>
      <c r="B489" s="43">
        <f>IF(COUNTIF(Table_System_Grouping_Codes[groupingCodeCode],FinanceCodesBudget[[#This Row],[GroupingCode]])&gt;0,0,1)</f>
        <v>0</v>
      </c>
      <c r="C489" s="43">
        <f>IF(COUNTIF(CUSTGROUP[CustomGroupingCode],FinanceCodesBudget[[#This Row],[CustomGrouping]])&gt;0,0,1)</f>
        <v>0</v>
      </c>
      <c r="D489" s="43" cm="1">
        <f t="array" ref="D489">IF(FinanceCodesBudget[[#This Row],[AvailableToAllSchools]]=TRUE,0,COUNTA(_xlfn.TEXTSPLIT(FinanceCodesBudget[[#This Row],[SchoolCodes]],",",,TRUE))-SUM(COUNTIF(SCHOOLS[SchoolCode],_xlfn.TEXTSPLIT(FinanceCodesBudget[[#This Row],[SchoolCodes]],",",,TRUE))))</f>
        <v>0</v>
      </c>
      <c r="E489" s="43">
        <f>IF(FinanceCodesBudget[[#This Row],[FinanceCodeTypeCode]]="BUDGET",0,COUNTIF(FinanceCodesBudget[FinanceCode],FinanceCodesBudget[[#This Row],[FinanceCode]])-1)</f>
        <v>0</v>
      </c>
      <c r="F489" s="43">
        <f>IF(FinanceCodesBudget[[#This Row],[FinanceCodeTypeCode]]="BUDGET",0,COUNTIF(FinanceCodesBudget[Title],FinanceCodesBudget[[#This Row],[Title]])-1)</f>
        <v>0</v>
      </c>
      <c r="G489" s="43">
        <f>COUNTIF(Lookup!$A$2:$A$7,FinanceCodesBudget[[#This Row],[FinanceCodeTypeCode]])-1</f>
        <v>0</v>
      </c>
      <c r="H489" s="43">
        <f>IF(TRIM(FinanceCodesBudget[[#This Row],[Title]])="",1,0)</f>
        <v>0</v>
      </c>
      <c r="I489" s="43">
        <f>IF(TRIM(FinanceCodesBudget[[#This Row],[FinanceCode]])="",1,0)</f>
        <v>0</v>
      </c>
      <c r="J489" s="43">
        <f>IF(LEN(FinanceCodesBudget[[#This Row],[FinanceCode]])&lt;100,0,1)</f>
        <v>0</v>
      </c>
      <c r="K489" s="43">
        <f>IF(LEN(FinanceCodesBudget[[#This Row],[Title]])&lt;100,0,1)</f>
        <v>0</v>
      </c>
      <c r="L489" s="43">
        <f>IF(ISBLANK(FinanceCodesBudget[[#This Row],[BalanceToScenario]]),1,0)</f>
        <v>0</v>
      </c>
      <c r="M489" s="43">
        <f>SUM(FinanceCodesBudget[[#This Row],[LedgerIssue]:[CustGrIssue]],FinanceCodesBudget[[#This Row],[DupCode]:[Balance to Scenario Blank]])</f>
        <v>0</v>
      </c>
      <c r="N489">
        <v>880220</v>
      </c>
      <c r="O489" t="s">
        <v>3011</v>
      </c>
      <c r="P489" t="s">
        <v>797</v>
      </c>
      <c r="Q489" t="s">
        <v>1998</v>
      </c>
      <c r="R489" t="b">
        <v>0</v>
      </c>
      <c r="S489" t="s">
        <v>2526</v>
      </c>
      <c r="T489" t="s">
        <v>1300</v>
      </c>
      <c r="U489" t="s">
        <v>1532</v>
      </c>
      <c r="V489" t="b">
        <v>1</v>
      </c>
      <c r="W489" t="b">
        <v>0</v>
      </c>
    </row>
    <row r="490" spans="1:23" x14ac:dyDescent="0.3">
      <c r="A490" s="147">
        <f>IF(COUNTIF(LEDGER[LedgerCode],FinanceCodesBudget[[#This Row],[LedgerCode]])&gt;0,0,1)</f>
        <v>0</v>
      </c>
      <c r="B490" s="43">
        <f>IF(COUNTIF(Table_System_Grouping_Codes[groupingCodeCode],FinanceCodesBudget[[#This Row],[GroupingCode]])&gt;0,0,1)</f>
        <v>0</v>
      </c>
      <c r="C490" s="43">
        <f>IF(COUNTIF(CUSTGROUP[CustomGroupingCode],FinanceCodesBudget[[#This Row],[CustomGrouping]])&gt;0,0,1)</f>
        <v>0</v>
      </c>
      <c r="D490" s="43" cm="1">
        <f t="array" ref="D490">IF(FinanceCodesBudget[[#This Row],[AvailableToAllSchools]]=TRUE,0,COUNTA(_xlfn.TEXTSPLIT(FinanceCodesBudget[[#This Row],[SchoolCodes]],",",,TRUE))-SUM(COUNTIF(SCHOOLS[SchoolCode],_xlfn.TEXTSPLIT(FinanceCodesBudget[[#This Row],[SchoolCodes]],",",,TRUE))))</f>
        <v>0</v>
      </c>
      <c r="E490" s="43">
        <f>IF(FinanceCodesBudget[[#This Row],[FinanceCodeTypeCode]]="BUDGET",0,COUNTIF(FinanceCodesBudget[FinanceCode],FinanceCodesBudget[[#This Row],[FinanceCode]])-1)</f>
        <v>0</v>
      </c>
      <c r="F490" s="43">
        <f>IF(FinanceCodesBudget[[#This Row],[FinanceCodeTypeCode]]="BUDGET",0,COUNTIF(FinanceCodesBudget[Title],FinanceCodesBudget[[#This Row],[Title]])-1)</f>
        <v>0</v>
      </c>
      <c r="G490" s="43">
        <f>COUNTIF(Lookup!$A$2:$A$7,FinanceCodesBudget[[#This Row],[FinanceCodeTypeCode]])-1</f>
        <v>0</v>
      </c>
      <c r="H490" s="43">
        <f>IF(TRIM(FinanceCodesBudget[[#This Row],[Title]])="",1,0)</f>
        <v>0</v>
      </c>
      <c r="I490" s="43">
        <f>IF(TRIM(FinanceCodesBudget[[#This Row],[FinanceCode]])="",1,0)</f>
        <v>0</v>
      </c>
      <c r="J490" s="43">
        <f>IF(LEN(FinanceCodesBudget[[#This Row],[FinanceCode]])&lt;100,0,1)</f>
        <v>0</v>
      </c>
      <c r="K490" s="43">
        <f>IF(LEN(FinanceCodesBudget[[#This Row],[Title]])&lt;100,0,1)</f>
        <v>0</v>
      </c>
      <c r="L490" s="43">
        <f>IF(ISBLANK(FinanceCodesBudget[[#This Row],[BalanceToScenario]]),1,0)</f>
        <v>0</v>
      </c>
      <c r="M490" s="43">
        <f>SUM(FinanceCodesBudget[[#This Row],[LedgerIssue]:[CustGrIssue]],FinanceCodesBudget[[#This Row],[DupCode]:[Balance to Scenario Blank]])</f>
        <v>0</v>
      </c>
      <c r="N490">
        <v>880250</v>
      </c>
      <c r="O490" t="s">
        <v>3012</v>
      </c>
      <c r="P490" t="s">
        <v>799</v>
      </c>
      <c r="Q490" t="s">
        <v>1998</v>
      </c>
      <c r="R490" t="b">
        <v>0</v>
      </c>
      <c r="S490" t="s">
        <v>2526</v>
      </c>
      <c r="T490" t="s">
        <v>1300</v>
      </c>
      <c r="U490" t="s">
        <v>1532</v>
      </c>
      <c r="V490" t="b">
        <v>1</v>
      </c>
      <c r="W490" t="b">
        <v>0</v>
      </c>
    </row>
    <row r="491" spans="1:23" x14ac:dyDescent="0.3">
      <c r="A491" s="147">
        <f>IF(COUNTIF(LEDGER[LedgerCode],FinanceCodesBudget[[#This Row],[LedgerCode]])&gt;0,0,1)</f>
        <v>0</v>
      </c>
      <c r="B491" s="43">
        <f>IF(COUNTIF(Table_System_Grouping_Codes[groupingCodeCode],FinanceCodesBudget[[#This Row],[GroupingCode]])&gt;0,0,1)</f>
        <v>0</v>
      </c>
      <c r="C491" s="43">
        <f>IF(COUNTIF(CUSTGROUP[CustomGroupingCode],FinanceCodesBudget[[#This Row],[CustomGrouping]])&gt;0,0,1)</f>
        <v>0</v>
      </c>
      <c r="D491" s="43" cm="1">
        <f t="array" ref="D491">IF(FinanceCodesBudget[[#This Row],[AvailableToAllSchools]]=TRUE,0,COUNTA(_xlfn.TEXTSPLIT(FinanceCodesBudget[[#This Row],[SchoolCodes]],",",,TRUE))-SUM(COUNTIF(SCHOOLS[SchoolCode],_xlfn.TEXTSPLIT(FinanceCodesBudget[[#This Row],[SchoolCodes]],",",,TRUE))))</f>
        <v>0</v>
      </c>
      <c r="E491" s="43">
        <f>IF(FinanceCodesBudget[[#This Row],[FinanceCodeTypeCode]]="BUDGET",0,COUNTIF(FinanceCodesBudget[FinanceCode],FinanceCodesBudget[[#This Row],[FinanceCode]])-1)</f>
        <v>0</v>
      </c>
      <c r="F491" s="43">
        <f>IF(FinanceCodesBudget[[#This Row],[FinanceCodeTypeCode]]="BUDGET",0,COUNTIF(FinanceCodesBudget[Title],FinanceCodesBudget[[#This Row],[Title]])-1)</f>
        <v>0</v>
      </c>
      <c r="G491" s="43">
        <f>COUNTIF(Lookup!$A$2:$A$7,FinanceCodesBudget[[#This Row],[FinanceCodeTypeCode]])-1</f>
        <v>0</v>
      </c>
      <c r="H491" s="43">
        <f>IF(TRIM(FinanceCodesBudget[[#This Row],[Title]])="",1,0)</f>
        <v>0</v>
      </c>
      <c r="I491" s="43">
        <f>IF(TRIM(FinanceCodesBudget[[#This Row],[FinanceCode]])="",1,0)</f>
        <v>0</v>
      </c>
      <c r="J491" s="43">
        <f>IF(LEN(FinanceCodesBudget[[#This Row],[FinanceCode]])&lt;100,0,1)</f>
        <v>0</v>
      </c>
      <c r="K491" s="43">
        <f>IF(LEN(FinanceCodesBudget[[#This Row],[Title]])&lt;100,0,1)</f>
        <v>0</v>
      </c>
      <c r="L491" s="43">
        <f>IF(ISBLANK(FinanceCodesBudget[[#This Row],[BalanceToScenario]]),1,0)</f>
        <v>0</v>
      </c>
      <c r="M491" s="43">
        <f>SUM(FinanceCodesBudget[[#This Row],[LedgerIssue]:[CustGrIssue]],FinanceCodesBudget[[#This Row],[DupCode]:[Balance to Scenario Blank]])</f>
        <v>0</v>
      </c>
      <c r="N491">
        <v>880300</v>
      </c>
      <c r="O491" t="s">
        <v>3013</v>
      </c>
      <c r="P491" t="s">
        <v>799</v>
      </c>
      <c r="Q491" t="s">
        <v>1998</v>
      </c>
      <c r="R491" t="b">
        <v>0</v>
      </c>
      <c r="S491" t="s">
        <v>2526</v>
      </c>
      <c r="T491" t="s">
        <v>1300</v>
      </c>
      <c r="U491" t="s">
        <v>1532</v>
      </c>
      <c r="V491" t="b">
        <v>1</v>
      </c>
      <c r="W491" t="b">
        <v>0</v>
      </c>
    </row>
    <row r="492" spans="1:23" x14ac:dyDescent="0.3">
      <c r="A492" s="147">
        <f>IF(COUNTIF(LEDGER[LedgerCode],FinanceCodesBudget[[#This Row],[LedgerCode]])&gt;0,0,1)</f>
        <v>0</v>
      </c>
      <c r="B492" s="43">
        <f>IF(COUNTIF(Table_System_Grouping_Codes[groupingCodeCode],FinanceCodesBudget[[#This Row],[GroupingCode]])&gt;0,0,1)</f>
        <v>0</v>
      </c>
      <c r="C492" s="43">
        <f>IF(COUNTIF(CUSTGROUP[CustomGroupingCode],FinanceCodesBudget[[#This Row],[CustomGrouping]])&gt;0,0,1)</f>
        <v>0</v>
      </c>
      <c r="D492" s="43" cm="1">
        <f t="array" ref="D492">IF(FinanceCodesBudget[[#This Row],[AvailableToAllSchools]]=TRUE,0,COUNTA(_xlfn.TEXTSPLIT(FinanceCodesBudget[[#This Row],[SchoolCodes]],",",,TRUE))-SUM(COUNTIF(SCHOOLS[SchoolCode],_xlfn.TEXTSPLIT(FinanceCodesBudget[[#This Row],[SchoolCodes]],",",,TRUE))))</f>
        <v>0</v>
      </c>
      <c r="E492" s="43">
        <f>IF(FinanceCodesBudget[[#This Row],[FinanceCodeTypeCode]]="BUDGET",0,COUNTIF(FinanceCodesBudget[FinanceCode],FinanceCodesBudget[[#This Row],[FinanceCode]])-1)</f>
        <v>0</v>
      </c>
      <c r="F492" s="43">
        <f>IF(FinanceCodesBudget[[#This Row],[FinanceCodeTypeCode]]="BUDGET",0,COUNTIF(FinanceCodesBudget[Title],FinanceCodesBudget[[#This Row],[Title]])-1)</f>
        <v>0</v>
      </c>
      <c r="G492" s="43">
        <f>COUNTIF(Lookup!$A$2:$A$7,FinanceCodesBudget[[#This Row],[FinanceCodeTypeCode]])-1</f>
        <v>0</v>
      </c>
      <c r="H492" s="43">
        <f>IF(TRIM(FinanceCodesBudget[[#This Row],[Title]])="",1,0)</f>
        <v>0</v>
      </c>
      <c r="I492" s="43">
        <f>IF(TRIM(FinanceCodesBudget[[#This Row],[FinanceCode]])="",1,0)</f>
        <v>0</v>
      </c>
      <c r="J492" s="43">
        <f>IF(LEN(FinanceCodesBudget[[#This Row],[FinanceCode]])&lt;100,0,1)</f>
        <v>0</v>
      </c>
      <c r="K492" s="43">
        <f>IF(LEN(FinanceCodesBudget[[#This Row],[Title]])&lt;100,0,1)</f>
        <v>0</v>
      </c>
      <c r="L492" s="43">
        <f>IF(ISBLANK(FinanceCodesBudget[[#This Row],[BalanceToScenario]]),1,0)</f>
        <v>0</v>
      </c>
      <c r="M492" s="43">
        <f>SUM(FinanceCodesBudget[[#This Row],[LedgerIssue]:[CustGrIssue]],FinanceCodesBudget[[#This Row],[DupCode]:[Balance to Scenario Blank]])</f>
        <v>0</v>
      </c>
      <c r="N492">
        <v>880350</v>
      </c>
      <c r="O492" t="s">
        <v>3014</v>
      </c>
      <c r="P492" t="s">
        <v>801</v>
      </c>
      <c r="Q492" t="s">
        <v>1998</v>
      </c>
      <c r="R492" t="b">
        <v>0</v>
      </c>
      <c r="S492" t="s">
        <v>2526</v>
      </c>
      <c r="T492" t="s">
        <v>1300</v>
      </c>
      <c r="U492" t="s">
        <v>1532</v>
      </c>
      <c r="V492" t="b">
        <v>1</v>
      </c>
      <c r="W492" t="b">
        <v>0</v>
      </c>
    </row>
    <row r="493" spans="1:23" x14ac:dyDescent="0.3">
      <c r="A493" s="147">
        <f>IF(COUNTIF(LEDGER[LedgerCode],FinanceCodesBudget[[#This Row],[LedgerCode]])&gt;0,0,1)</f>
        <v>0</v>
      </c>
      <c r="B493" s="43">
        <f>IF(COUNTIF(Table_System_Grouping_Codes[groupingCodeCode],FinanceCodesBudget[[#This Row],[GroupingCode]])&gt;0,0,1)</f>
        <v>0</v>
      </c>
      <c r="C493" s="43">
        <f>IF(COUNTIF(CUSTGROUP[CustomGroupingCode],FinanceCodesBudget[[#This Row],[CustomGrouping]])&gt;0,0,1)</f>
        <v>0</v>
      </c>
      <c r="D493" s="43" cm="1">
        <f t="array" ref="D493">IF(FinanceCodesBudget[[#This Row],[AvailableToAllSchools]]=TRUE,0,COUNTA(_xlfn.TEXTSPLIT(FinanceCodesBudget[[#This Row],[SchoolCodes]],",",,TRUE))-SUM(COUNTIF(SCHOOLS[SchoolCode],_xlfn.TEXTSPLIT(FinanceCodesBudget[[#This Row],[SchoolCodes]],",",,TRUE))))</f>
        <v>0</v>
      </c>
      <c r="E493" s="43">
        <f>IF(FinanceCodesBudget[[#This Row],[FinanceCodeTypeCode]]="BUDGET",0,COUNTIF(FinanceCodesBudget[FinanceCode],FinanceCodesBudget[[#This Row],[FinanceCode]])-1)</f>
        <v>0</v>
      </c>
      <c r="F493" s="43">
        <f>IF(FinanceCodesBudget[[#This Row],[FinanceCodeTypeCode]]="BUDGET",0,COUNTIF(FinanceCodesBudget[Title],FinanceCodesBudget[[#This Row],[Title]])-1)</f>
        <v>0</v>
      </c>
      <c r="G493" s="43">
        <f>COUNTIF(Lookup!$A$2:$A$7,FinanceCodesBudget[[#This Row],[FinanceCodeTypeCode]])-1</f>
        <v>0</v>
      </c>
      <c r="H493" s="43">
        <f>IF(TRIM(FinanceCodesBudget[[#This Row],[Title]])="",1,0)</f>
        <v>0</v>
      </c>
      <c r="I493" s="43">
        <f>IF(TRIM(FinanceCodesBudget[[#This Row],[FinanceCode]])="",1,0)</f>
        <v>0</v>
      </c>
      <c r="J493" s="43">
        <f>IF(LEN(FinanceCodesBudget[[#This Row],[FinanceCode]])&lt;100,0,1)</f>
        <v>0</v>
      </c>
      <c r="K493" s="43">
        <f>IF(LEN(FinanceCodesBudget[[#This Row],[Title]])&lt;100,0,1)</f>
        <v>0</v>
      </c>
      <c r="L493" s="43">
        <f>IF(ISBLANK(FinanceCodesBudget[[#This Row],[BalanceToScenario]]),1,0)</f>
        <v>0</v>
      </c>
      <c r="M493" s="43">
        <f>SUM(FinanceCodesBudget[[#This Row],[LedgerIssue]:[CustGrIssue]],FinanceCodesBudget[[#This Row],[DupCode]:[Balance to Scenario Blank]])</f>
        <v>0</v>
      </c>
      <c r="N493">
        <v>880400</v>
      </c>
      <c r="O493" t="s">
        <v>3015</v>
      </c>
      <c r="P493" t="s">
        <v>803</v>
      </c>
      <c r="Q493" t="s">
        <v>1998</v>
      </c>
      <c r="R493" t="b">
        <v>0</v>
      </c>
      <c r="S493" t="s">
        <v>2526</v>
      </c>
      <c r="T493" t="s">
        <v>1300</v>
      </c>
      <c r="U493" t="s">
        <v>1532</v>
      </c>
      <c r="V493" t="b">
        <v>1</v>
      </c>
      <c r="W493" t="b">
        <v>0</v>
      </c>
    </row>
    <row r="494" spans="1:23" x14ac:dyDescent="0.3">
      <c r="A494" s="147">
        <f>IF(COUNTIF(LEDGER[LedgerCode],FinanceCodesBudget[[#This Row],[LedgerCode]])&gt;0,0,1)</f>
        <v>0</v>
      </c>
      <c r="B494" s="43">
        <f>IF(COUNTIF(Table_System_Grouping_Codes[groupingCodeCode],FinanceCodesBudget[[#This Row],[GroupingCode]])&gt;0,0,1)</f>
        <v>0</v>
      </c>
      <c r="C494" s="43">
        <f>IF(COUNTIF(CUSTGROUP[CustomGroupingCode],FinanceCodesBudget[[#This Row],[CustomGrouping]])&gt;0,0,1)</f>
        <v>0</v>
      </c>
      <c r="D494" s="43" cm="1">
        <f t="array" ref="D494">IF(FinanceCodesBudget[[#This Row],[AvailableToAllSchools]]=TRUE,0,COUNTA(_xlfn.TEXTSPLIT(FinanceCodesBudget[[#This Row],[SchoolCodes]],",",,TRUE))-SUM(COUNTIF(SCHOOLS[SchoolCode],_xlfn.TEXTSPLIT(FinanceCodesBudget[[#This Row],[SchoolCodes]],",",,TRUE))))</f>
        <v>0</v>
      </c>
      <c r="E494" s="43">
        <f>IF(FinanceCodesBudget[[#This Row],[FinanceCodeTypeCode]]="BUDGET",0,COUNTIF(FinanceCodesBudget[FinanceCode],FinanceCodesBudget[[#This Row],[FinanceCode]])-1)</f>
        <v>0</v>
      </c>
      <c r="F494" s="43">
        <f>IF(FinanceCodesBudget[[#This Row],[FinanceCodeTypeCode]]="BUDGET",0,COUNTIF(FinanceCodesBudget[Title],FinanceCodesBudget[[#This Row],[Title]])-1)</f>
        <v>0</v>
      </c>
      <c r="G494" s="43">
        <f>COUNTIF(Lookup!$A$2:$A$7,FinanceCodesBudget[[#This Row],[FinanceCodeTypeCode]])-1</f>
        <v>0</v>
      </c>
      <c r="H494" s="43">
        <f>IF(TRIM(FinanceCodesBudget[[#This Row],[Title]])="",1,0)</f>
        <v>0</v>
      </c>
      <c r="I494" s="43">
        <f>IF(TRIM(FinanceCodesBudget[[#This Row],[FinanceCode]])="",1,0)</f>
        <v>0</v>
      </c>
      <c r="J494" s="43">
        <f>IF(LEN(FinanceCodesBudget[[#This Row],[FinanceCode]])&lt;100,0,1)</f>
        <v>0</v>
      </c>
      <c r="K494" s="43">
        <f>IF(LEN(FinanceCodesBudget[[#This Row],[Title]])&lt;100,0,1)</f>
        <v>0</v>
      </c>
      <c r="L494" s="43">
        <f>IF(ISBLANK(FinanceCodesBudget[[#This Row],[BalanceToScenario]]),1,0)</f>
        <v>0</v>
      </c>
      <c r="M494" s="43">
        <f>SUM(FinanceCodesBudget[[#This Row],[LedgerIssue]:[CustGrIssue]],FinanceCodesBudget[[#This Row],[DupCode]:[Balance to Scenario Blank]])</f>
        <v>0</v>
      </c>
      <c r="N494">
        <v>880450</v>
      </c>
      <c r="O494" t="s">
        <v>3016</v>
      </c>
      <c r="P494" t="s">
        <v>805</v>
      </c>
      <c r="Q494" t="s">
        <v>1998</v>
      </c>
      <c r="R494" t="b">
        <v>0</v>
      </c>
      <c r="S494" t="s">
        <v>2526</v>
      </c>
      <c r="T494" t="s">
        <v>1300</v>
      </c>
      <c r="U494" t="s">
        <v>1532</v>
      </c>
      <c r="V494" t="b">
        <v>1</v>
      </c>
      <c r="W494" t="b">
        <v>0</v>
      </c>
    </row>
    <row r="495" spans="1:23" x14ac:dyDescent="0.3">
      <c r="A495" s="147">
        <f>IF(COUNTIF(LEDGER[LedgerCode],FinanceCodesBudget[[#This Row],[LedgerCode]])&gt;0,0,1)</f>
        <v>0</v>
      </c>
      <c r="B495" s="43">
        <f>IF(COUNTIF(Table_System_Grouping_Codes[groupingCodeCode],FinanceCodesBudget[[#This Row],[GroupingCode]])&gt;0,0,1)</f>
        <v>0</v>
      </c>
      <c r="C495" s="43">
        <f>IF(COUNTIF(CUSTGROUP[CustomGroupingCode],FinanceCodesBudget[[#This Row],[CustomGrouping]])&gt;0,0,1)</f>
        <v>0</v>
      </c>
      <c r="D495" s="43" cm="1">
        <f t="array" ref="D495">IF(FinanceCodesBudget[[#This Row],[AvailableToAllSchools]]=TRUE,0,COUNTA(_xlfn.TEXTSPLIT(FinanceCodesBudget[[#This Row],[SchoolCodes]],",",,TRUE))-SUM(COUNTIF(SCHOOLS[SchoolCode],_xlfn.TEXTSPLIT(FinanceCodesBudget[[#This Row],[SchoolCodes]],",",,TRUE))))</f>
        <v>0</v>
      </c>
      <c r="E495" s="43">
        <f>IF(FinanceCodesBudget[[#This Row],[FinanceCodeTypeCode]]="BUDGET",0,COUNTIF(FinanceCodesBudget[FinanceCode],FinanceCodesBudget[[#This Row],[FinanceCode]])-1)</f>
        <v>0</v>
      </c>
      <c r="F495" s="43">
        <f>IF(FinanceCodesBudget[[#This Row],[FinanceCodeTypeCode]]="BUDGET",0,COUNTIF(FinanceCodesBudget[Title],FinanceCodesBudget[[#This Row],[Title]])-1)</f>
        <v>0</v>
      </c>
      <c r="G495" s="43">
        <f>COUNTIF(Lookup!$A$2:$A$7,FinanceCodesBudget[[#This Row],[FinanceCodeTypeCode]])-1</f>
        <v>0</v>
      </c>
      <c r="H495" s="43">
        <f>IF(TRIM(FinanceCodesBudget[[#This Row],[Title]])="",1,0)</f>
        <v>0</v>
      </c>
      <c r="I495" s="43">
        <f>IF(TRIM(FinanceCodesBudget[[#This Row],[FinanceCode]])="",1,0)</f>
        <v>0</v>
      </c>
      <c r="J495" s="43">
        <f>IF(LEN(FinanceCodesBudget[[#This Row],[FinanceCode]])&lt;100,0,1)</f>
        <v>0</v>
      </c>
      <c r="K495" s="43">
        <f>IF(LEN(FinanceCodesBudget[[#This Row],[Title]])&lt;100,0,1)</f>
        <v>0</v>
      </c>
      <c r="L495" s="43">
        <f>IF(ISBLANK(FinanceCodesBudget[[#This Row],[BalanceToScenario]]),1,0)</f>
        <v>0</v>
      </c>
      <c r="M495" s="43">
        <f>SUM(FinanceCodesBudget[[#This Row],[LedgerIssue]:[CustGrIssue]],FinanceCodesBudget[[#This Row],[DupCode]:[Balance to Scenario Blank]])</f>
        <v>0</v>
      </c>
      <c r="N495">
        <v>880500</v>
      </c>
      <c r="O495" t="s">
        <v>3017</v>
      </c>
      <c r="P495" t="s">
        <v>807</v>
      </c>
      <c r="Q495" t="s">
        <v>1998</v>
      </c>
      <c r="R495" t="b">
        <v>0</v>
      </c>
      <c r="S495" t="s">
        <v>2526</v>
      </c>
      <c r="T495" t="s">
        <v>1300</v>
      </c>
      <c r="U495" t="s">
        <v>1532</v>
      </c>
      <c r="V495" t="b">
        <v>1</v>
      </c>
      <c r="W495" t="b">
        <v>0</v>
      </c>
    </row>
    <row r="496" spans="1:23" x14ac:dyDescent="0.3">
      <c r="A496" s="147">
        <f>IF(COUNTIF(LEDGER[LedgerCode],FinanceCodesBudget[[#This Row],[LedgerCode]])&gt;0,0,1)</f>
        <v>0</v>
      </c>
      <c r="B496" s="43">
        <f>IF(COUNTIF(Table_System_Grouping_Codes[groupingCodeCode],FinanceCodesBudget[[#This Row],[GroupingCode]])&gt;0,0,1)</f>
        <v>0</v>
      </c>
      <c r="C496" s="43">
        <f>IF(COUNTIF(CUSTGROUP[CustomGroupingCode],FinanceCodesBudget[[#This Row],[CustomGrouping]])&gt;0,0,1)</f>
        <v>0</v>
      </c>
      <c r="D496" s="43" cm="1">
        <f t="array" ref="D496">IF(FinanceCodesBudget[[#This Row],[AvailableToAllSchools]]=TRUE,0,COUNTA(_xlfn.TEXTSPLIT(FinanceCodesBudget[[#This Row],[SchoolCodes]],",",,TRUE))-SUM(COUNTIF(SCHOOLS[SchoolCode],_xlfn.TEXTSPLIT(FinanceCodesBudget[[#This Row],[SchoolCodes]],",",,TRUE))))</f>
        <v>0</v>
      </c>
      <c r="E496" s="43">
        <f>IF(FinanceCodesBudget[[#This Row],[FinanceCodeTypeCode]]="BUDGET",0,COUNTIF(FinanceCodesBudget[FinanceCode],FinanceCodesBudget[[#This Row],[FinanceCode]])-1)</f>
        <v>0</v>
      </c>
      <c r="F496" s="43">
        <f>IF(FinanceCodesBudget[[#This Row],[FinanceCodeTypeCode]]="BUDGET",0,COUNTIF(FinanceCodesBudget[Title],FinanceCodesBudget[[#This Row],[Title]])-1)</f>
        <v>0</v>
      </c>
      <c r="G496" s="43">
        <f>COUNTIF(Lookup!$A$2:$A$7,FinanceCodesBudget[[#This Row],[FinanceCodeTypeCode]])-1</f>
        <v>0</v>
      </c>
      <c r="H496" s="43">
        <f>IF(TRIM(FinanceCodesBudget[[#This Row],[Title]])="",1,0)</f>
        <v>0</v>
      </c>
      <c r="I496" s="43">
        <f>IF(TRIM(FinanceCodesBudget[[#This Row],[FinanceCode]])="",1,0)</f>
        <v>0</v>
      </c>
      <c r="J496" s="43">
        <f>IF(LEN(FinanceCodesBudget[[#This Row],[FinanceCode]])&lt;100,0,1)</f>
        <v>0</v>
      </c>
      <c r="K496" s="43">
        <f>IF(LEN(FinanceCodesBudget[[#This Row],[Title]])&lt;100,0,1)</f>
        <v>0</v>
      </c>
      <c r="L496" s="43">
        <f>IF(ISBLANK(FinanceCodesBudget[[#This Row],[BalanceToScenario]]),1,0)</f>
        <v>0</v>
      </c>
      <c r="M496" s="43">
        <f>SUM(FinanceCodesBudget[[#This Row],[LedgerIssue]:[CustGrIssue]],FinanceCodesBudget[[#This Row],[DupCode]:[Balance to Scenario Blank]])</f>
        <v>0</v>
      </c>
      <c r="N496">
        <v>880530</v>
      </c>
      <c r="O496" t="s">
        <v>3018</v>
      </c>
      <c r="P496" t="s">
        <v>809</v>
      </c>
      <c r="Q496" t="s">
        <v>1998</v>
      </c>
      <c r="R496" t="b">
        <v>0</v>
      </c>
      <c r="S496" t="s">
        <v>2526</v>
      </c>
      <c r="T496" t="s">
        <v>1300</v>
      </c>
      <c r="U496" t="s">
        <v>1532</v>
      </c>
      <c r="V496" t="b">
        <v>1</v>
      </c>
      <c r="W496" t="b">
        <v>0</v>
      </c>
    </row>
    <row r="497" spans="1:23" x14ac:dyDescent="0.3">
      <c r="A497" s="147">
        <f>IF(COUNTIF(LEDGER[LedgerCode],FinanceCodesBudget[[#This Row],[LedgerCode]])&gt;0,0,1)</f>
        <v>0</v>
      </c>
      <c r="B497" s="43">
        <f>IF(COUNTIF(Table_System_Grouping_Codes[groupingCodeCode],FinanceCodesBudget[[#This Row],[GroupingCode]])&gt;0,0,1)</f>
        <v>0</v>
      </c>
      <c r="C497" s="43">
        <f>IF(COUNTIF(CUSTGROUP[CustomGroupingCode],FinanceCodesBudget[[#This Row],[CustomGrouping]])&gt;0,0,1)</f>
        <v>0</v>
      </c>
      <c r="D497" s="43" cm="1">
        <f t="array" ref="D497">IF(FinanceCodesBudget[[#This Row],[AvailableToAllSchools]]=TRUE,0,COUNTA(_xlfn.TEXTSPLIT(FinanceCodesBudget[[#This Row],[SchoolCodes]],",",,TRUE))-SUM(COUNTIF(SCHOOLS[SchoolCode],_xlfn.TEXTSPLIT(FinanceCodesBudget[[#This Row],[SchoolCodes]],",",,TRUE))))</f>
        <v>0</v>
      </c>
      <c r="E497" s="43">
        <f>IF(FinanceCodesBudget[[#This Row],[FinanceCodeTypeCode]]="BUDGET",0,COUNTIF(FinanceCodesBudget[FinanceCode],FinanceCodesBudget[[#This Row],[FinanceCode]])-1)</f>
        <v>0</v>
      </c>
      <c r="F497" s="43">
        <f>IF(FinanceCodesBudget[[#This Row],[FinanceCodeTypeCode]]="BUDGET",0,COUNTIF(FinanceCodesBudget[Title],FinanceCodesBudget[[#This Row],[Title]])-1)</f>
        <v>0</v>
      </c>
      <c r="G497" s="43">
        <f>COUNTIF(Lookup!$A$2:$A$7,FinanceCodesBudget[[#This Row],[FinanceCodeTypeCode]])-1</f>
        <v>0</v>
      </c>
      <c r="H497" s="43">
        <f>IF(TRIM(FinanceCodesBudget[[#This Row],[Title]])="",1,0)</f>
        <v>0</v>
      </c>
      <c r="I497" s="43">
        <f>IF(TRIM(FinanceCodesBudget[[#This Row],[FinanceCode]])="",1,0)</f>
        <v>0</v>
      </c>
      <c r="J497" s="43">
        <f>IF(LEN(FinanceCodesBudget[[#This Row],[FinanceCode]])&lt;100,0,1)</f>
        <v>0</v>
      </c>
      <c r="K497" s="43">
        <f>IF(LEN(FinanceCodesBudget[[#This Row],[Title]])&lt;100,0,1)</f>
        <v>0</v>
      </c>
      <c r="L497" s="43">
        <f>IF(ISBLANK(FinanceCodesBudget[[#This Row],[BalanceToScenario]]),1,0)</f>
        <v>0</v>
      </c>
      <c r="M497" s="43">
        <f>SUM(FinanceCodesBudget[[#This Row],[LedgerIssue]:[CustGrIssue]],FinanceCodesBudget[[#This Row],[DupCode]:[Balance to Scenario Blank]])</f>
        <v>0</v>
      </c>
      <c r="N497">
        <v>880550</v>
      </c>
      <c r="O497" t="s">
        <v>3019</v>
      </c>
      <c r="P497" t="s">
        <v>811</v>
      </c>
      <c r="Q497" t="s">
        <v>1998</v>
      </c>
      <c r="R497" t="b">
        <v>0</v>
      </c>
      <c r="S497" t="s">
        <v>2526</v>
      </c>
      <c r="T497" t="s">
        <v>1300</v>
      </c>
      <c r="U497" t="s">
        <v>1532</v>
      </c>
      <c r="V497" t="b">
        <v>1</v>
      </c>
      <c r="W497" t="b">
        <v>0</v>
      </c>
    </row>
    <row r="498" spans="1:23" x14ac:dyDescent="0.3">
      <c r="A498" s="147">
        <f>IF(COUNTIF(LEDGER[LedgerCode],FinanceCodesBudget[[#This Row],[LedgerCode]])&gt;0,0,1)</f>
        <v>0</v>
      </c>
      <c r="B498" s="43">
        <f>IF(COUNTIF(Table_System_Grouping_Codes[groupingCodeCode],FinanceCodesBudget[[#This Row],[GroupingCode]])&gt;0,0,1)</f>
        <v>0</v>
      </c>
      <c r="C498" s="43">
        <f>IF(COUNTIF(CUSTGROUP[CustomGroupingCode],FinanceCodesBudget[[#This Row],[CustomGrouping]])&gt;0,0,1)</f>
        <v>0</v>
      </c>
      <c r="D498" s="43" cm="1">
        <f t="array" ref="D498">IF(FinanceCodesBudget[[#This Row],[AvailableToAllSchools]]=TRUE,0,COUNTA(_xlfn.TEXTSPLIT(FinanceCodesBudget[[#This Row],[SchoolCodes]],",",,TRUE))-SUM(COUNTIF(SCHOOLS[SchoolCode],_xlfn.TEXTSPLIT(FinanceCodesBudget[[#This Row],[SchoolCodes]],",",,TRUE))))</f>
        <v>0</v>
      </c>
      <c r="E498" s="43">
        <f>IF(FinanceCodesBudget[[#This Row],[FinanceCodeTypeCode]]="BUDGET",0,COUNTIF(FinanceCodesBudget[FinanceCode],FinanceCodesBudget[[#This Row],[FinanceCode]])-1)</f>
        <v>0</v>
      </c>
      <c r="F498" s="43">
        <f>IF(FinanceCodesBudget[[#This Row],[FinanceCodeTypeCode]]="BUDGET",0,COUNTIF(FinanceCodesBudget[Title],FinanceCodesBudget[[#This Row],[Title]])-1)</f>
        <v>0</v>
      </c>
      <c r="G498" s="43">
        <f>COUNTIF(Lookup!$A$2:$A$7,FinanceCodesBudget[[#This Row],[FinanceCodeTypeCode]])-1</f>
        <v>0</v>
      </c>
      <c r="H498" s="43">
        <f>IF(TRIM(FinanceCodesBudget[[#This Row],[Title]])="",1,0)</f>
        <v>0</v>
      </c>
      <c r="I498" s="43">
        <f>IF(TRIM(FinanceCodesBudget[[#This Row],[FinanceCode]])="",1,0)</f>
        <v>0</v>
      </c>
      <c r="J498" s="43">
        <f>IF(LEN(FinanceCodesBudget[[#This Row],[FinanceCode]])&lt;100,0,1)</f>
        <v>0</v>
      </c>
      <c r="K498" s="43">
        <f>IF(LEN(FinanceCodesBudget[[#This Row],[Title]])&lt;100,0,1)</f>
        <v>0</v>
      </c>
      <c r="L498" s="43">
        <f>IF(ISBLANK(FinanceCodesBudget[[#This Row],[BalanceToScenario]]),1,0)</f>
        <v>0</v>
      </c>
      <c r="M498" s="43">
        <f>SUM(FinanceCodesBudget[[#This Row],[LedgerIssue]:[CustGrIssue]],FinanceCodesBudget[[#This Row],[DupCode]:[Balance to Scenario Blank]])</f>
        <v>0</v>
      </c>
      <c r="N498">
        <v>880600</v>
      </c>
      <c r="O498" t="s">
        <v>3020</v>
      </c>
      <c r="P498" t="s">
        <v>813</v>
      </c>
      <c r="Q498" t="s">
        <v>1998</v>
      </c>
      <c r="R498" t="b">
        <v>0</v>
      </c>
      <c r="S498" t="s">
        <v>2094</v>
      </c>
      <c r="T498" t="s">
        <v>1300</v>
      </c>
      <c r="U498" t="s">
        <v>1532</v>
      </c>
      <c r="V498" t="b">
        <v>1</v>
      </c>
      <c r="W498" t="b">
        <v>0</v>
      </c>
    </row>
    <row r="499" spans="1:23" x14ac:dyDescent="0.3">
      <c r="A499" s="147">
        <f>IF(COUNTIF(LEDGER[LedgerCode],FinanceCodesBudget[[#This Row],[LedgerCode]])&gt;0,0,1)</f>
        <v>0</v>
      </c>
      <c r="B499" s="43">
        <f>IF(COUNTIF(Table_System_Grouping_Codes[groupingCodeCode],FinanceCodesBudget[[#This Row],[GroupingCode]])&gt;0,0,1)</f>
        <v>0</v>
      </c>
      <c r="C499" s="43">
        <f>IF(COUNTIF(CUSTGROUP[CustomGroupingCode],FinanceCodesBudget[[#This Row],[CustomGrouping]])&gt;0,0,1)</f>
        <v>0</v>
      </c>
      <c r="D499" s="43" cm="1">
        <f t="array" ref="D499">IF(FinanceCodesBudget[[#This Row],[AvailableToAllSchools]]=TRUE,0,COUNTA(_xlfn.TEXTSPLIT(FinanceCodesBudget[[#This Row],[SchoolCodes]],",",,TRUE))-SUM(COUNTIF(SCHOOLS[SchoolCode],_xlfn.TEXTSPLIT(FinanceCodesBudget[[#This Row],[SchoolCodes]],",",,TRUE))))</f>
        <v>0</v>
      </c>
      <c r="E499" s="43">
        <f>IF(FinanceCodesBudget[[#This Row],[FinanceCodeTypeCode]]="BUDGET",0,COUNTIF(FinanceCodesBudget[FinanceCode],FinanceCodesBudget[[#This Row],[FinanceCode]])-1)</f>
        <v>0</v>
      </c>
      <c r="F499" s="43">
        <f>IF(FinanceCodesBudget[[#This Row],[FinanceCodeTypeCode]]="BUDGET",0,COUNTIF(FinanceCodesBudget[Title],FinanceCodesBudget[[#This Row],[Title]])-1)</f>
        <v>0</v>
      </c>
      <c r="G499" s="43">
        <f>COUNTIF(Lookup!$A$2:$A$7,FinanceCodesBudget[[#This Row],[FinanceCodeTypeCode]])-1</f>
        <v>0</v>
      </c>
      <c r="H499" s="43">
        <f>IF(TRIM(FinanceCodesBudget[[#This Row],[Title]])="",1,0)</f>
        <v>0</v>
      </c>
      <c r="I499" s="43">
        <f>IF(TRIM(FinanceCodesBudget[[#This Row],[FinanceCode]])="",1,0)</f>
        <v>0</v>
      </c>
      <c r="J499" s="43">
        <f>IF(LEN(FinanceCodesBudget[[#This Row],[FinanceCode]])&lt;100,0,1)</f>
        <v>0</v>
      </c>
      <c r="K499" s="43">
        <f>IF(LEN(FinanceCodesBudget[[#This Row],[Title]])&lt;100,0,1)</f>
        <v>0</v>
      </c>
      <c r="L499" s="43">
        <f>IF(ISBLANK(FinanceCodesBudget[[#This Row],[BalanceToScenario]]),1,0)</f>
        <v>0</v>
      </c>
      <c r="M499" s="43">
        <f>SUM(FinanceCodesBudget[[#This Row],[LedgerIssue]:[CustGrIssue]],FinanceCodesBudget[[#This Row],[DupCode]:[Balance to Scenario Blank]])</f>
        <v>0</v>
      </c>
      <c r="N499">
        <v>880700</v>
      </c>
      <c r="O499" t="s">
        <v>3021</v>
      </c>
      <c r="P499" t="s">
        <v>815</v>
      </c>
      <c r="Q499" t="s">
        <v>1998</v>
      </c>
      <c r="R499" t="b">
        <v>0</v>
      </c>
      <c r="S499" t="s">
        <v>2329</v>
      </c>
      <c r="T499" t="s">
        <v>1300</v>
      </c>
      <c r="U499" t="s">
        <v>1532</v>
      </c>
      <c r="V499" t="b">
        <v>1</v>
      </c>
      <c r="W499" t="b">
        <v>0</v>
      </c>
    </row>
    <row r="500" spans="1:23" x14ac:dyDescent="0.3">
      <c r="A500" s="147">
        <f>IF(COUNTIF(LEDGER[LedgerCode],FinanceCodesBudget[[#This Row],[LedgerCode]])&gt;0,0,1)</f>
        <v>0</v>
      </c>
      <c r="B500" s="43">
        <f>IF(COUNTIF(Table_System_Grouping_Codes[groupingCodeCode],FinanceCodesBudget[[#This Row],[GroupingCode]])&gt;0,0,1)</f>
        <v>0</v>
      </c>
      <c r="C500" s="43">
        <f>IF(COUNTIF(CUSTGROUP[CustomGroupingCode],FinanceCodesBudget[[#This Row],[CustomGrouping]])&gt;0,0,1)</f>
        <v>0</v>
      </c>
      <c r="D500" s="43" cm="1">
        <f t="array" ref="D500">IF(FinanceCodesBudget[[#This Row],[AvailableToAllSchools]]=TRUE,0,COUNTA(_xlfn.TEXTSPLIT(FinanceCodesBudget[[#This Row],[SchoolCodes]],",",,TRUE))-SUM(COUNTIF(SCHOOLS[SchoolCode],_xlfn.TEXTSPLIT(FinanceCodesBudget[[#This Row],[SchoolCodes]],",",,TRUE))))</f>
        <v>0</v>
      </c>
      <c r="E500" s="43">
        <f>IF(FinanceCodesBudget[[#This Row],[FinanceCodeTypeCode]]="BUDGET",0,COUNTIF(FinanceCodesBudget[FinanceCode],FinanceCodesBudget[[#This Row],[FinanceCode]])-1)</f>
        <v>0</v>
      </c>
      <c r="F500" s="43">
        <f>IF(FinanceCodesBudget[[#This Row],[FinanceCodeTypeCode]]="BUDGET",0,COUNTIF(FinanceCodesBudget[Title],FinanceCodesBudget[[#This Row],[Title]])-1)</f>
        <v>0</v>
      </c>
      <c r="G500" s="43">
        <f>COUNTIF(Lookup!$A$2:$A$7,FinanceCodesBudget[[#This Row],[FinanceCodeTypeCode]])-1</f>
        <v>0</v>
      </c>
      <c r="H500" s="43">
        <f>IF(TRIM(FinanceCodesBudget[[#This Row],[Title]])="",1,0)</f>
        <v>0</v>
      </c>
      <c r="I500" s="43">
        <f>IF(TRIM(FinanceCodesBudget[[#This Row],[FinanceCode]])="",1,0)</f>
        <v>0</v>
      </c>
      <c r="J500" s="43">
        <f>IF(LEN(FinanceCodesBudget[[#This Row],[FinanceCode]])&lt;100,0,1)</f>
        <v>0</v>
      </c>
      <c r="K500" s="43">
        <f>IF(LEN(FinanceCodesBudget[[#This Row],[Title]])&lt;100,0,1)</f>
        <v>0</v>
      </c>
      <c r="L500" s="43">
        <f>IF(ISBLANK(FinanceCodesBudget[[#This Row],[BalanceToScenario]]),1,0)</f>
        <v>0</v>
      </c>
      <c r="M500" s="43">
        <f>SUM(FinanceCodesBudget[[#This Row],[LedgerIssue]:[CustGrIssue]],FinanceCodesBudget[[#This Row],[DupCode]:[Balance to Scenario Blank]])</f>
        <v>0</v>
      </c>
      <c r="N500">
        <v>890100</v>
      </c>
      <c r="O500" t="s">
        <v>3022</v>
      </c>
      <c r="P500" t="s">
        <v>817</v>
      </c>
      <c r="Q500" t="s">
        <v>1998</v>
      </c>
      <c r="R500" t="b">
        <v>0</v>
      </c>
      <c r="S500" t="s">
        <v>2735</v>
      </c>
      <c r="T500" t="s">
        <v>1300</v>
      </c>
      <c r="U500" t="s">
        <v>1532</v>
      </c>
      <c r="V500" t="b">
        <v>1</v>
      </c>
      <c r="W500" t="b">
        <v>0</v>
      </c>
    </row>
    <row r="501" spans="1:23" x14ac:dyDescent="0.3">
      <c r="A501" s="147">
        <f>IF(COUNTIF(LEDGER[LedgerCode],FinanceCodesBudget[[#This Row],[LedgerCode]])&gt;0,0,1)</f>
        <v>0</v>
      </c>
      <c r="B501" s="43">
        <f>IF(COUNTIF(Table_System_Grouping_Codes[groupingCodeCode],FinanceCodesBudget[[#This Row],[GroupingCode]])&gt;0,0,1)</f>
        <v>0</v>
      </c>
      <c r="C501" s="43">
        <f>IF(COUNTIF(CUSTGROUP[CustomGroupingCode],FinanceCodesBudget[[#This Row],[CustomGrouping]])&gt;0,0,1)</f>
        <v>0</v>
      </c>
      <c r="D501" s="43" cm="1">
        <f t="array" ref="D501">IF(FinanceCodesBudget[[#This Row],[AvailableToAllSchools]]=TRUE,0,COUNTA(_xlfn.TEXTSPLIT(FinanceCodesBudget[[#This Row],[SchoolCodes]],",",,TRUE))-SUM(COUNTIF(SCHOOLS[SchoolCode],_xlfn.TEXTSPLIT(FinanceCodesBudget[[#This Row],[SchoolCodes]],",",,TRUE))))</f>
        <v>0</v>
      </c>
      <c r="E501" s="43">
        <f>IF(FinanceCodesBudget[[#This Row],[FinanceCodeTypeCode]]="BUDGET",0,COUNTIF(FinanceCodesBudget[FinanceCode],FinanceCodesBudget[[#This Row],[FinanceCode]])-1)</f>
        <v>0</v>
      </c>
      <c r="F501" s="43">
        <f>IF(FinanceCodesBudget[[#This Row],[FinanceCodeTypeCode]]="BUDGET",0,COUNTIF(FinanceCodesBudget[Title],FinanceCodesBudget[[#This Row],[Title]])-1)</f>
        <v>0</v>
      </c>
      <c r="G501" s="43">
        <f>COUNTIF(Lookup!$A$2:$A$7,FinanceCodesBudget[[#This Row],[FinanceCodeTypeCode]])-1</f>
        <v>0</v>
      </c>
      <c r="H501" s="43">
        <f>IF(TRIM(FinanceCodesBudget[[#This Row],[Title]])="",1,0)</f>
        <v>0</v>
      </c>
      <c r="I501" s="43">
        <f>IF(TRIM(FinanceCodesBudget[[#This Row],[FinanceCode]])="",1,0)</f>
        <v>0</v>
      </c>
      <c r="J501" s="43">
        <f>IF(LEN(FinanceCodesBudget[[#This Row],[FinanceCode]])&lt;100,0,1)</f>
        <v>0</v>
      </c>
      <c r="K501" s="43">
        <f>IF(LEN(FinanceCodesBudget[[#This Row],[Title]])&lt;100,0,1)</f>
        <v>0</v>
      </c>
      <c r="L501" s="43">
        <f>IF(ISBLANK(FinanceCodesBudget[[#This Row],[BalanceToScenario]]),1,0)</f>
        <v>0</v>
      </c>
      <c r="M501" s="43">
        <f>SUM(FinanceCodesBudget[[#This Row],[LedgerIssue]:[CustGrIssue]],FinanceCodesBudget[[#This Row],[DupCode]:[Balance to Scenario Blank]])</f>
        <v>0</v>
      </c>
      <c r="N501">
        <v>890150</v>
      </c>
      <c r="O501" t="s">
        <v>3023</v>
      </c>
      <c r="P501" t="s">
        <v>819</v>
      </c>
      <c r="Q501" t="s">
        <v>1998</v>
      </c>
      <c r="R501" t="b">
        <v>0</v>
      </c>
      <c r="S501" t="s">
        <v>2526</v>
      </c>
      <c r="T501" t="s">
        <v>1300</v>
      </c>
      <c r="U501" t="s">
        <v>1532</v>
      </c>
      <c r="V501" t="b">
        <v>1</v>
      </c>
      <c r="W501" t="b">
        <v>0</v>
      </c>
    </row>
    <row r="502" spans="1:23" x14ac:dyDescent="0.3">
      <c r="A502" s="147">
        <f>IF(COUNTIF(LEDGER[LedgerCode],FinanceCodesBudget[[#This Row],[LedgerCode]])&gt;0,0,1)</f>
        <v>0</v>
      </c>
      <c r="B502" s="43">
        <f>IF(COUNTIF(Table_System_Grouping_Codes[groupingCodeCode],FinanceCodesBudget[[#This Row],[GroupingCode]])&gt;0,0,1)</f>
        <v>0</v>
      </c>
      <c r="C502" s="43">
        <f>IF(COUNTIF(CUSTGROUP[CustomGroupingCode],FinanceCodesBudget[[#This Row],[CustomGrouping]])&gt;0,0,1)</f>
        <v>0</v>
      </c>
      <c r="D502" s="43" cm="1">
        <f t="array" ref="D502">IF(FinanceCodesBudget[[#This Row],[AvailableToAllSchools]]=TRUE,0,COUNTA(_xlfn.TEXTSPLIT(FinanceCodesBudget[[#This Row],[SchoolCodes]],",",,TRUE))-SUM(COUNTIF(SCHOOLS[SchoolCode],_xlfn.TEXTSPLIT(FinanceCodesBudget[[#This Row],[SchoolCodes]],",",,TRUE))))</f>
        <v>0</v>
      </c>
      <c r="E502" s="43">
        <f>IF(FinanceCodesBudget[[#This Row],[FinanceCodeTypeCode]]="BUDGET",0,COUNTIF(FinanceCodesBudget[FinanceCode],FinanceCodesBudget[[#This Row],[FinanceCode]])-1)</f>
        <v>0</v>
      </c>
      <c r="F502" s="43">
        <f>IF(FinanceCodesBudget[[#This Row],[FinanceCodeTypeCode]]="BUDGET",0,COUNTIF(FinanceCodesBudget[Title],FinanceCodesBudget[[#This Row],[Title]])-1)</f>
        <v>0</v>
      </c>
      <c r="G502" s="43">
        <f>COUNTIF(Lookup!$A$2:$A$7,FinanceCodesBudget[[#This Row],[FinanceCodeTypeCode]])-1</f>
        <v>0</v>
      </c>
      <c r="H502" s="43">
        <f>IF(TRIM(FinanceCodesBudget[[#This Row],[Title]])="",1,0)</f>
        <v>0</v>
      </c>
      <c r="I502" s="43">
        <f>IF(TRIM(FinanceCodesBudget[[#This Row],[FinanceCode]])="",1,0)</f>
        <v>0</v>
      </c>
      <c r="J502" s="43">
        <f>IF(LEN(FinanceCodesBudget[[#This Row],[FinanceCode]])&lt;100,0,1)</f>
        <v>0</v>
      </c>
      <c r="K502" s="43">
        <f>IF(LEN(FinanceCodesBudget[[#This Row],[Title]])&lt;100,0,1)</f>
        <v>0</v>
      </c>
      <c r="L502" s="43">
        <f>IF(ISBLANK(FinanceCodesBudget[[#This Row],[BalanceToScenario]]),1,0)</f>
        <v>0</v>
      </c>
      <c r="M502" s="43">
        <f>SUM(FinanceCodesBudget[[#This Row],[LedgerIssue]:[CustGrIssue]],FinanceCodesBudget[[#This Row],[DupCode]:[Balance to Scenario Blank]])</f>
        <v>0</v>
      </c>
      <c r="N502">
        <v>890200</v>
      </c>
      <c r="O502" t="s">
        <v>3024</v>
      </c>
      <c r="P502" t="s">
        <v>821</v>
      </c>
      <c r="Q502" t="s">
        <v>1998</v>
      </c>
      <c r="R502" t="b">
        <v>0</v>
      </c>
      <c r="S502" t="s">
        <v>2526</v>
      </c>
      <c r="T502" t="s">
        <v>1300</v>
      </c>
      <c r="U502" t="s">
        <v>1532</v>
      </c>
      <c r="V502" t="b">
        <v>1</v>
      </c>
      <c r="W502" t="b">
        <v>0</v>
      </c>
    </row>
    <row r="503" spans="1:23" x14ac:dyDescent="0.3">
      <c r="A503" s="147">
        <f>IF(COUNTIF(LEDGER[LedgerCode],FinanceCodesBudget[[#This Row],[LedgerCode]])&gt;0,0,1)</f>
        <v>0</v>
      </c>
      <c r="B503" s="43">
        <f>IF(COUNTIF(Table_System_Grouping_Codes[groupingCodeCode],FinanceCodesBudget[[#This Row],[GroupingCode]])&gt;0,0,1)</f>
        <v>0</v>
      </c>
      <c r="C503" s="43">
        <f>IF(COUNTIF(CUSTGROUP[CustomGroupingCode],FinanceCodesBudget[[#This Row],[CustomGrouping]])&gt;0,0,1)</f>
        <v>0</v>
      </c>
      <c r="D503" s="43" cm="1">
        <f t="array" ref="D503">IF(FinanceCodesBudget[[#This Row],[AvailableToAllSchools]]=TRUE,0,COUNTA(_xlfn.TEXTSPLIT(FinanceCodesBudget[[#This Row],[SchoolCodes]],",",,TRUE))-SUM(COUNTIF(SCHOOLS[SchoolCode],_xlfn.TEXTSPLIT(FinanceCodesBudget[[#This Row],[SchoolCodes]],",",,TRUE))))</f>
        <v>0</v>
      </c>
      <c r="E503" s="43">
        <f>IF(FinanceCodesBudget[[#This Row],[FinanceCodeTypeCode]]="BUDGET",0,COUNTIF(FinanceCodesBudget[FinanceCode],FinanceCodesBudget[[#This Row],[FinanceCode]])-1)</f>
        <v>0</v>
      </c>
      <c r="F503" s="43">
        <f>IF(FinanceCodesBudget[[#This Row],[FinanceCodeTypeCode]]="BUDGET",0,COUNTIF(FinanceCodesBudget[Title],FinanceCodesBudget[[#This Row],[Title]])-1)</f>
        <v>0</v>
      </c>
      <c r="G503" s="43">
        <f>COUNTIF(Lookup!$A$2:$A$7,FinanceCodesBudget[[#This Row],[FinanceCodeTypeCode]])-1</f>
        <v>0</v>
      </c>
      <c r="H503" s="43">
        <f>IF(TRIM(FinanceCodesBudget[[#This Row],[Title]])="",1,0)</f>
        <v>0</v>
      </c>
      <c r="I503" s="43">
        <f>IF(TRIM(FinanceCodesBudget[[#This Row],[FinanceCode]])="",1,0)</f>
        <v>0</v>
      </c>
      <c r="J503" s="43">
        <f>IF(LEN(FinanceCodesBudget[[#This Row],[FinanceCode]])&lt;100,0,1)</f>
        <v>0</v>
      </c>
      <c r="K503" s="43">
        <f>IF(LEN(FinanceCodesBudget[[#This Row],[Title]])&lt;100,0,1)</f>
        <v>0</v>
      </c>
      <c r="L503" s="43">
        <f>IF(ISBLANK(FinanceCodesBudget[[#This Row],[BalanceToScenario]]),1,0)</f>
        <v>0</v>
      </c>
      <c r="M503" s="43">
        <f>SUM(FinanceCodesBudget[[#This Row],[LedgerIssue]:[CustGrIssue]],FinanceCodesBudget[[#This Row],[DupCode]:[Balance to Scenario Blank]])</f>
        <v>0</v>
      </c>
      <c r="N503">
        <v>890300</v>
      </c>
      <c r="O503" t="s">
        <v>3025</v>
      </c>
      <c r="P503" t="s">
        <v>822</v>
      </c>
      <c r="Q503" t="s">
        <v>1998</v>
      </c>
      <c r="R503" t="b">
        <v>0</v>
      </c>
      <c r="S503" t="s">
        <v>2526</v>
      </c>
      <c r="T503" t="s">
        <v>1300</v>
      </c>
      <c r="U503" t="s">
        <v>1532</v>
      </c>
      <c r="V503" t="b">
        <v>1</v>
      </c>
      <c r="W503" t="b">
        <v>0</v>
      </c>
    </row>
    <row r="504" spans="1:23" x14ac:dyDescent="0.3">
      <c r="A504" s="147">
        <f>IF(COUNTIF(LEDGER[LedgerCode],FinanceCodesBudget[[#This Row],[LedgerCode]])&gt;0,0,1)</f>
        <v>0</v>
      </c>
      <c r="B504" s="43">
        <f>IF(COUNTIF(Table_System_Grouping_Codes[groupingCodeCode],FinanceCodesBudget[[#This Row],[GroupingCode]])&gt;0,0,1)</f>
        <v>0</v>
      </c>
      <c r="C504" s="43">
        <f>IF(COUNTIF(CUSTGROUP[CustomGroupingCode],FinanceCodesBudget[[#This Row],[CustomGrouping]])&gt;0,0,1)</f>
        <v>0</v>
      </c>
      <c r="D504" s="43" cm="1">
        <f t="array" ref="D504">IF(FinanceCodesBudget[[#This Row],[AvailableToAllSchools]]=TRUE,0,COUNTA(_xlfn.TEXTSPLIT(FinanceCodesBudget[[#This Row],[SchoolCodes]],",",,TRUE))-SUM(COUNTIF(SCHOOLS[SchoolCode],_xlfn.TEXTSPLIT(FinanceCodesBudget[[#This Row],[SchoolCodes]],",",,TRUE))))</f>
        <v>0</v>
      </c>
      <c r="E504" s="43">
        <f>IF(FinanceCodesBudget[[#This Row],[FinanceCodeTypeCode]]="BUDGET",0,COUNTIF(FinanceCodesBudget[FinanceCode],FinanceCodesBudget[[#This Row],[FinanceCode]])-1)</f>
        <v>0</v>
      </c>
      <c r="F504" s="43">
        <f>IF(FinanceCodesBudget[[#This Row],[FinanceCodeTypeCode]]="BUDGET",0,COUNTIF(FinanceCodesBudget[Title],FinanceCodesBudget[[#This Row],[Title]])-1)</f>
        <v>0</v>
      </c>
      <c r="G504" s="43">
        <f>COUNTIF(Lookup!$A$2:$A$7,FinanceCodesBudget[[#This Row],[FinanceCodeTypeCode]])-1</f>
        <v>0</v>
      </c>
      <c r="H504" s="43">
        <f>IF(TRIM(FinanceCodesBudget[[#This Row],[Title]])="",1,0)</f>
        <v>0</v>
      </c>
      <c r="I504" s="43">
        <f>IF(TRIM(FinanceCodesBudget[[#This Row],[FinanceCode]])="",1,0)</f>
        <v>0</v>
      </c>
      <c r="J504" s="43">
        <f>IF(LEN(FinanceCodesBudget[[#This Row],[FinanceCode]])&lt;100,0,1)</f>
        <v>0</v>
      </c>
      <c r="K504" s="43">
        <f>IF(LEN(FinanceCodesBudget[[#This Row],[Title]])&lt;100,0,1)</f>
        <v>0</v>
      </c>
      <c r="L504" s="43">
        <f>IF(ISBLANK(FinanceCodesBudget[[#This Row],[BalanceToScenario]]),1,0)</f>
        <v>0</v>
      </c>
      <c r="M504" s="43">
        <f>SUM(FinanceCodesBudget[[#This Row],[LedgerIssue]:[CustGrIssue]],FinanceCodesBudget[[#This Row],[DupCode]:[Balance to Scenario Blank]])</f>
        <v>0</v>
      </c>
      <c r="N504">
        <v>890400</v>
      </c>
      <c r="O504" t="s">
        <v>3026</v>
      </c>
      <c r="P504" t="s">
        <v>824</v>
      </c>
      <c r="Q504" t="s">
        <v>1998</v>
      </c>
      <c r="R504" t="b">
        <v>0</v>
      </c>
      <c r="S504" t="s">
        <v>2526</v>
      </c>
      <c r="T504" t="s">
        <v>1300</v>
      </c>
      <c r="U504" t="s">
        <v>1532</v>
      </c>
      <c r="V504" t="b">
        <v>1</v>
      </c>
      <c r="W504" t="b">
        <v>0</v>
      </c>
    </row>
    <row r="505" spans="1:23" x14ac:dyDescent="0.3">
      <c r="A505" s="147">
        <f>IF(COUNTIF(LEDGER[LedgerCode],FinanceCodesBudget[[#This Row],[LedgerCode]])&gt;0,0,1)</f>
        <v>0</v>
      </c>
      <c r="B505" s="43">
        <f>IF(COUNTIF(Table_System_Grouping_Codes[groupingCodeCode],FinanceCodesBudget[[#This Row],[GroupingCode]])&gt;0,0,1)</f>
        <v>0</v>
      </c>
      <c r="C505" s="43">
        <f>IF(COUNTIF(CUSTGROUP[CustomGroupingCode],FinanceCodesBudget[[#This Row],[CustomGrouping]])&gt;0,0,1)</f>
        <v>0</v>
      </c>
      <c r="D505" s="43" cm="1">
        <f t="array" ref="D505">IF(FinanceCodesBudget[[#This Row],[AvailableToAllSchools]]=TRUE,0,COUNTA(_xlfn.TEXTSPLIT(FinanceCodesBudget[[#This Row],[SchoolCodes]],",",,TRUE))-SUM(COUNTIF(SCHOOLS[SchoolCode],_xlfn.TEXTSPLIT(FinanceCodesBudget[[#This Row],[SchoolCodes]],",",,TRUE))))</f>
        <v>0</v>
      </c>
      <c r="E505" s="43">
        <f>IF(FinanceCodesBudget[[#This Row],[FinanceCodeTypeCode]]="BUDGET",0,COUNTIF(FinanceCodesBudget[FinanceCode],FinanceCodesBudget[[#This Row],[FinanceCode]])-1)</f>
        <v>0</v>
      </c>
      <c r="F505" s="43">
        <f>IF(FinanceCodesBudget[[#This Row],[FinanceCodeTypeCode]]="BUDGET",0,COUNTIF(FinanceCodesBudget[Title],FinanceCodesBudget[[#This Row],[Title]])-1)</f>
        <v>0</v>
      </c>
      <c r="G505" s="43">
        <f>COUNTIF(Lookup!$A$2:$A$7,FinanceCodesBudget[[#This Row],[FinanceCodeTypeCode]])-1</f>
        <v>0</v>
      </c>
      <c r="H505" s="43">
        <f>IF(TRIM(FinanceCodesBudget[[#This Row],[Title]])="",1,0)</f>
        <v>0</v>
      </c>
      <c r="I505" s="43">
        <f>IF(TRIM(FinanceCodesBudget[[#This Row],[FinanceCode]])="",1,0)</f>
        <v>0</v>
      </c>
      <c r="J505" s="43">
        <f>IF(LEN(FinanceCodesBudget[[#This Row],[FinanceCode]])&lt;100,0,1)</f>
        <v>0</v>
      </c>
      <c r="K505" s="43">
        <f>IF(LEN(FinanceCodesBudget[[#This Row],[Title]])&lt;100,0,1)</f>
        <v>0</v>
      </c>
      <c r="L505" s="43">
        <f>IF(ISBLANK(FinanceCodesBudget[[#This Row],[BalanceToScenario]]),1,0)</f>
        <v>0</v>
      </c>
      <c r="M505" s="43">
        <f>SUM(FinanceCodesBudget[[#This Row],[LedgerIssue]:[CustGrIssue]],FinanceCodesBudget[[#This Row],[DupCode]:[Balance to Scenario Blank]])</f>
        <v>0</v>
      </c>
      <c r="N505">
        <v>892100</v>
      </c>
      <c r="O505" t="s">
        <v>3027</v>
      </c>
      <c r="P505" t="s">
        <v>826</v>
      </c>
      <c r="Q505" t="s">
        <v>2008</v>
      </c>
      <c r="R505" t="b">
        <v>0</v>
      </c>
      <c r="S505" t="s">
        <v>2526</v>
      </c>
      <c r="T505" t="s">
        <v>1300</v>
      </c>
      <c r="U505" t="s">
        <v>1965</v>
      </c>
      <c r="V505" t="b">
        <v>1</v>
      </c>
      <c r="W505" t="b">
        <v>0</v>
      </c>
    </row>
    <row r="506" spans="1:23" x14ac:dyDescent="0.3">
      <c r="A506" s="147">
        <f>IF(COUNTIF(LEDGER[LedgerCode],FinanceCodesBudget[[#This Row],[LedgerCode]])&gt;0,0,1)</f>
        <v>0</v>
      </c>
      <c r="B506" s="43">
        <f>IF(COUNTIF(Table_System_Grouping_Codes[groupingCodeCode],FinanceCodesBudget[[#This Row],[GroupingCode]])&gt;0,0,1)</f>
        <v>0</v>
      </c>
      <c r="C506" s="43">
        <f>IF(COUNTIF(CUSTGROUP[CustomGroupingCode],FinanceCodesBudget[[#This Row],[CustomGrouping]])&gt;0,0,1)</f>
        <v>0</v>
      </c>
      <c r="D506" s="43" cm="1">
        <f t="array" ref="D506">IF(FinanceCodesBudget[[#This Row],[AvailableToAllSchools]]=TRUE,0,COUNTA(_xlfn.TEXTSPLIT(FinanceCodesBudget[[#This Row],[SchoolCodes]],",",,TRUE))-SUM(COUNTIF(SCHOOLS[SchoolCode],_xlfn.TEXTSPLIT(FinanceCodesBudget[[#This Row],[SchoolCodes]],",",,TRUE))))</f>
        <v>0</v>
      </c>
      <c r="E506" s="43">
        <f>IF(FinanceCodesBudget[[#This Row],[FinanceCodeTypeCode]]="BUDGET",0,COUNTIF(FinanceCodesBudget[FinanceCode],FinanceCodesBudget[[#This Row],[FinanceCode]])-1)</f>
        <v>0</v>
      </c>
      <c r="F506" s="43">
        <f>IF(FinanceCodesBudget[[#This Row],[FinanceCodeTypeCode]]="BUDGET",0,COUNTIF(FinanceCodesBudget[Title],FinanceCodesBudget[[#This Row],[Title]])-1)</f>
        <v>0</v>
      </c>
      <c r="G506" s="43">
        <f>COUNTIF(Lookup!$A$2:$A$7,FinanceCodesBudget[[#This Row],[FinanceCodeTypeCode]])-1</f>
        <v>0</v>
      </c>
      <c r="H506" s="43">
        <f>IF(TRIM(FinanceCodesBudget[[#This Row],[Title]])="",1,0)</f>
        <v>0</v>
      </c>
      <c r="I506" s="43">
        <f>IF(TRIM(FinanceCodesBudget[[#This Row],[FinanceCode]])="",1,0)</f>
        <v>0</v>
      </c>
      <c r="J506" s="43">
        <f>IF(LEN(FinanceCodesBudget[[#This Row],[FinanceCode]])&lt;100,0,1)</f>
        <v>0</v>
      </c>
      <c r="K506" s="43">
        <f>IF(LEN(FinanceCodesBudget[[#This Row],[Title]])&lt;100,0,1)</f>
        <v>0</v>
      </c>
      <c r="L506" s="43">
        <f>IF(ISBLANK(FinanceCodesBudget[[#This Row],[BalanceToScenario]]),1,0)</f>
        <v>0</v>
      </c>
      <c r="M506" s="43">
        <f>SUM(FinanceCodesBudget[[#This Row],[LedgerIssue]:[CustGrIssue]],FinanceCodesBudget[[#This Row],[DupCode]:[Balance to Scenario Blank]])</f>
        <v>0</v>
      </c>
      <c r="N506">
        <v>892110</v>
      </c>
      <c r="O506" t="s">
        <v>3028</v>
      </c>
      <c r="P506" t="s">
        <v>828</v>
      </c>
      <c r="Q506" t="s">
        <v>2008</v>
      </c>
      <c r="R506" t="b">
        <v>0</v>
      </c>
      <c r="S506" t="s">
        <v>2526</v>
      </c>
      <c r="T506" t="s">
        <v>1300</v>
      </c>
      <c r="U506" t="s">
        <v>1965</v>
      </c>
      <c r="V506" t="b">
        <v>1</v>
      </c>
      <c r="W506" t="b">
        <v>0</v>
      </c>
    </row>
    <row r="507" spans="1:23" x14ac:dyDescent="0.3">
      <c r="A507" s="147">
        <f>IF(COUNTIF(LEDGER[LedgerCode],FinanceCodesBudget[[#This Row],[LedgerCode]])&gt;0,0,1)</f>
        <v>0</v>
      </c>
      <c r="B507" s="43">
        <f>IF(COUNTIF(Table_System_Grouping_Codes[groupingCodeCode],FinanceCodesBudget[[#This Row],[GroupingCode]])&gt;0,0,1)</f>
        <v>0</v>
      </c>
      <c r="C507" s="43">
        <f>IF(COUNTIF(CUSTGROUP[CustomGroupingCode],FinanceCodesBudget[[#This Row],[CustomGrouping]])&gt;0,0,1)</f>
        <v>0</v>
      </c>
      <c r="D507" s="43" cm="1">
        <f t="array" ref="D507">IF(FinanceCodesBudget[[#This Row],[AvailableToAllSchools]]=TRUE,0,COUNTA(_xlfn.TEXTSPLIT(FinanceCodesBudget[[#This Row],[SchoolCodes]],",",,TRUE))-SUM(COUNTIF(SCHOOLS[SchoolCode],_xlfn.TEXTSPLIT(FinanceCodesBudget[[#This Row],[SchoolCodes]],",",,TRUE))))</f>
        <v>0</v>
      </c>
      <c r="E507" s="43">
        <f>IF(FinanceCodesBudget[[#This Row],[FinanceCodeTypeCode]]="BUDGET",0,COUNTIF(FinanceCodesBudget[FinanceCode],FinanceCodesBudget[[#This Row],[FinanceCode]])-1)</f>
        <v>0</v>
      </c>
      <c r="F507" s="43">
        <f>IF(FinanceCodesBudget[[#This Row],[FinanceCodeTypeCode]]="BUDGET",0,COUNTIF(FinanceCodesBudget[Title],FinanceCodesBudget[[#This Row],[Title]])-1)</f>
        <v>0</v>
      </c>
      <c r="G507" s="43">
        <f>COUNTIF(Lookup!$A$2:$A$7,FinanceCodesBudget[[#This Row],[FinanceCodeTypeCode]])-1</f>
        <v>0</v>
      </c>
      <c r="H507" s="43">
        <f>IF(TRIM(FinanceCodesBudget[[#This Row],[Title]])="",1,0)</f>
        <v>0</v>
      </c>
      <c r="I507" s="43">
        <f>IF(TRIM(FinanceCodesBudget[[#This Row],[FinanceCode]])="",1,0)</f>
        <v>0</v>
      </c>
      <c r="J507" s="43">
        <f>IF(LEN(FinanceCodesBudget[[#This Row],[FinanceCode]])&lt;100,0,1)</f>
        <v>0</v>
      </c>
      <c r="K507" s="43">
        <f>IF(LEN(FinanceCodesBudget[[#This Row],[Title]])&lt;100,0,1)</f>
        <v>0</v>
      </c>
      <c r="L507" s="43">
        <f>IF(ISBLANK(FinanceCodesBudget[[#This Row],[BalanceToScenario]]),1,0)</f>
        <v>0</v>
      </c>
      <c r="M507" s="43">
        <f>SUM(FinanceCodesBudget[[#This Row],[LedgerIssue]:[CustGrIssue]],FinanceCodesBudget[[#This Row],[DupCode]:[Balance to Scenario Blank]])</f>
        <v>0</v>
      </c>
      <c r="N507">
        <v>892150</v>
      </c>
      <c r="O507" t="s">
        <v>3029</v>
      </c>
      <c r="P507" t="s">
        <v>830</v>
      </c>
      <c r="Q507" t="s">
        <v>2008</v>
      </c>
      <c r="R507" t="b">
        <v>0</v>
      </c>
      <c r="S507" t="s">
        <v>2526</v>
      </c>
      <c r="T507" t="s">
        <v>1300</v>
      </c>
      <c r="U507" t="s">
        <v>1965</v>
      </c>
      <c r="V507" t="b">
        <v>1</v>
      </c>
      <c r="W507" t="b">
        <v>0</v>
      </c>
    </row>
    <row r="508" spans="1:23" x14ac:dyDescent="0.3">
      <c r="A508" s="147">
        <f>IF(COUNTIF(LEDGER[LedgerCode],FinanceCodesBudget[[#This Row],[LedgerCode]])&gt;0,0,1)</f>
        <v>0</v>
      </c>
      <c r="B508" s="43">
        <f>IF(COUNTIF(Table_System_Grouping_Codes[groupingCodeCode],FinanceCodesBudget[[#This Row],[GroupingCode]])&gt;0,0,1)</f>
        <v>0</v>
      </c>
      <c r="C508" s="43">
        <f>IF(COUNTIF(CUSTGROUP[CustomGroupingCode],FinanceCodesBudget[[#This Row],[CustomGrouping]])&gt;0,0,1)</f>
        <v>0</v>
      </c>
      <c r="D508" s="43" cm="1">
        <f t="array" ref="D508">IF(FinanceCodesBudget[[#This Row],[AvailableToAllSchools]]=TRUE,0,COUNTA(_xlfn.TEXTSPLIT(FinanceCodesBudget[[#This Row],[SchoolCodes]],",",,TRUE))-SUM(COUNTIF(SCHOOLS[SchoolCode],_xlfn.TEXTSPLIT(FinanceCodesBudget[[#This Row],[SchoolCodes]],",",,TRUE))))</f>
        <v>0</v>
      </c>
      <c r="E508" s="43">
        <f>IF(FinanceCodesBudget[[#This Row],[FinanceCodeTypeCode]]="BUDGET",0,COUNTIF(FinanceCodesBudget[FinanceCode],FinanceCodesBudget[[#This Row],[FinanceCode]])-1)</f>
        <v>0</v>
      </c>
      <c r="F508" s="43">
        <f>IF(FinanceCodesBudget[[#This Row],[FinanceCodeTypeCode]]="BUDGET",0,COUNTIF(FinanceCodesBudget[Title],FinanceCodesBudget[[#This Row],[Title]])-1)</f>
        <v>0</v>
      </c>
      <c r="G508" s="43">
        <f>COUNTIF(Lookup!$A$2:$A$7,FinanceCodesBudget[[#This Row],[FinanceCodeTypeCode]])-1</f>
        <v>0</v>
      </c>
      <c r="H508" s="43">
        <f>IF(TRIM(FinanceCodesBudget[[#This Row],[Title]])="",1,0)</f>
        <v>0</v>
      </c>
      <c r="I508" s="43">
        <f>IF(TRIM(FinanceCodesBudget[[#This Row],[FinanceCode]])="",1,0)</f>
        <v>0</v>
      </c>
      <c r="J508" s="43">
        <f>IF(LEN(FinanceCodesBudget[[#This Row],[FinanceCode]])&lt;100,0,1)</f>
        <v>0</v>
      </c>
      <c r="K508" s="43">
        <f>IF(LEN(FinanceCodesBudget[[#This Row],[Title]])&lt;100,0,1)</f>
        <v>0</v>
      </c>
      <c r="L508" s="43">
        <f>IF(ISBLANK(FinanceCodesBudget[[#This Row],[BalanceToScenario]]),1,0)</f>
        <v>0</v>
      </c>
      <c r="M508" s="43">
        <f>SUM(FinanceCodesBudget[[#This Row],[LedgerIssue]:[CustGrIssue]],FinanceCodesBudget[[#This Row],[DupCode]:[Balance to Scenario Blank]])</f>
        <v>0</v>
      </c>
      <c r="N508">
        <v>892160</v>
      </c>
      <c r="O508" t="s">
        <v>3030</v>
      </c>
      <c r="P508" t="s">
        <v>832</v>
      </c>
      <c r="Q508" t="s">
        <v>2008</v>
      </c>
      <c r="R508" t="b">
        <v>0</v>
      </c>
      <c r="S508" t="s">
        <v>2526</v>
      </c>
      <c r="T508" t="s">
        <v>1300</v>
      </c>
      <c r="U508" t="s">
        <v>1965</v>
      </c>
      <c r="V508" t="b">
        <v>1</v>
      </c>
      <c r="W508" t="b">
        <v>0</v>
      </c>
    </row>
    <row r="509" spans="1:23" x14ac:dyDescent="0.3">
      <c r="A509" s="147">
        <f>IF(COUNTIF(LEDGER[LedgerCode],FinanceCodesBudget[[#This Row],[LedgerCode]])&gt;0,0,1)</f>
        <v>0</v>
      </c>
      <c r="B509" s="43">
        <f>IF(COUNTIF(Table_System_Grouping_Codes[groupingCodeCode],FinanceCodesBudget[[#This Row],[GroupingCode]])&gt;0,0,1)</f>
        <v>0</v>
      </c>
      <c r="C509" s="43">
        <f>IF(COUNTIF(CUSTGROUP[CustomGroupingCode],FinanceCodesBudget[[#This Row],[CustomGrouping]])&gt;0,0,1)</f>
        <v>0</v>
      </c>
      <c r="D509" s="43" cm="1">
        <f t="array" ref="D509">IF(FinanceCodesBudget[[#This Row],[AvailableToAllSchools]]=TRUE,0,COUNTA(_xlfn.TEXTSPLIT(FinanceCodesBudget[[#This Row],[SchoolCodes]],",",,TRUE))-SUM(COUNTIF(SCHOOLS[SchoolCode],_xlfn.TEXTSPLIT(FinanceCodesBudget[[#This Row],[SchoolCodes]],",",,TRUE))))</f>
        <v>0</v>
      </c>
      <c r="E509" s="43">
        <f>IF(FinanceCodesBudget[[#This Row],[FinanceCodeTypeCode]]="BUDGET",0,COUNTIF(FinanceCodesBudget[FinanceCode],FinanceCodesBudget[[#This Row],[FinanceCode]])-1)</f>
        <v>0</v>
      </c>
      <c r="F509" s="43">
        <f>IF(FinanceCodesBudget[[#This Row],[FinanceCodeTypeCode]]="BUDGET",0,COUNTIF(FinanceCodesBudget[Title],FinanceCodesBudget[[#This Row],[Title]])-1)</f>
        <v>0</v>
      </c>
      <c r="G509" s="43">
        <f>COUNTIF(Lookup!$A$2:$A$7,FinanceCodesBudget[[#This Row],[FinanceCodeTypeCode]])-1</f>
        <v>0</v>
      </c>
      <c r="H509" s="43">
        <f>IF(TRIM(FinanceCodesBudget[[#This Row],[Title]])="",1,0)</f>
        <v>0</v>
      </c>
      <c r="I509" s="43">
        <f>IF(TRIM(FinanceCodesBudget[[#This Row],[FinanceCode]])="",1,0)</f>
        <v>0</v>
      </c>
      <c r="J509" s="43">
        <f>IF(LEN(FinanceCodesBudget[[#This Row],[FinanceCode]])&lt;100,0,1)</f>
        <v>0</v>
      </c>
      <c r="K509" s="43">
        <f>IF(LEN(FinanceCodesBudget[[#This Row],[Title]])&lt;100,0,1)</f>
        <v>0</v>
      </c>
      <c r="L509" s="43">
        <f>IF(ISBLANK(FinanceCodesBudget[[#This Row],[BalanceToScenario]]),1,0)</f>
        <v>0</v>
      </c>
      <c r="M509" s="43">
        <f>SUM(FinanceCodesBudget[[#This Row],[LedgerIssue]:[CustGrIssue]],FinanceCodesBudget[[#This Row],[DupCode]:[Balance to Scenario Blank]])</f>
        <v>0</v>
      </c>
      <c r="N509">
        <v>892200</v>
      </c>
      <c r="O509" t="s">
        <v>3031</v>
      </c>
      <c r="P509" t="s">
        <v>834</v>
      </c>
      <c r="Q509" t="s">
        <v>2008</v>
      </c>
      <c r="R509" t="b">
        <v>0</v>
      </c>
      <c r="S509" t="s">
        <v>2526</v>
      </c>
      <c r="T509" t="s">
        <v>1300</v>
      </c>
      <c r="U509" t="s">
        <v>1965</v>
      </c>
      <c r="V509" t="b">
        <v>1</v>
      </c>
      <c r="W509" t="b">
        <v>0</v>
      </c>
    </row>
    <row r="510" spans="1:23" x14ac:dyDescent="0.3">
      <c r="A510" s="147">
        <f>IF(COUNTIF(LEDGER[LedgerCode],FinanceCodesBudget[[#This Row],[LedgerCode]])&gt;0,0,1)</f>
        <v>0</v>
      </c>
      <c r="B510" s="43">
        <f>IF(COUNTIF(Table_System_Grouping_Codes[groupingCodeCode],FinanceCodesBudget[[#This Row],[GroupingCode]])&gt;0,0,1)</f>
        <v>0</v>
      </c>
      <c r="C510" s="43">
        <f>IF(COUNTIF(CUSTGROUP[CustomGroupingCode],FinanceCodesBudget[[#This Row],[CustomGrouping]])&gt;0,0,1)</f>
        <v>0</v>
      </c>
      <c r="D510" s="43" cm="1">
        <f t="array" ref="D510">IF(FinanceCodesBudget[[#This Row],[AvailableToAllSchools]]=TRUE,0,COUNTA(_xlfn.TEXTSPLIT(FinanceCodesBudget[[#This Row],[SchoolCodes]],",",,TRUE))-SUM(COUNTIF(SCHOOLS[SchoolCode],_xlfn.TEXTSPLIT(FinanceCodesBudget[[#This Row],[SchoolCodes]],",",,TRUE))))</f>
        <v>0</v>
      </c>
      <c r="E510" s="43">
        <f>IF(FinanceCodesBudget[[#This Row],[FinanceCodeTypeCode]]="BUDGET",0,COUNTIF(FinanceCodesBudget[FinanceCode],FinanceCodesBudget[[#This Row],[FinanceCode]])-1)</f>
        <v>0</v>
      </c>
      <c r="F510" s="43">
        <f>IF(FinanceCodesBudget[[#This Row],[FinanceCodeTypeCode]]="BUDGET",0,COUNTIF(FinanceCodesBudget[Title],FinanceCodesBudget[[#This Row],[Title]])-1)</f>
        <v>0</v>
      </c>
      <c r="G510" s="43">
        <f>COUNTIF(Lookup!$A$2:$A$7,FinanceCodesBudget[[#This Row],[FinanceCodeTypeCode]])-1</f>
        <v>0</v>
      </c>
      <c r="H510" s="43">
        <f>IF(TRIM(FinanceCodesBudget[[#This Row],[Title]])="",1,0)</f>
        <v>0</v>
      </c>
      <c r="I510" s="43">
        <f>IF(TRIM(FinanceCodesBudget[[#This Row],[FinanceCode]])="",1,0)</f>
        <v>0</v>
      </c>
      <c r="J510" s="43">
        <f>IF(LEN(FinanceCodesBudget[[#This Row],[FinanceCode]])&lt;100,0,1)</f>
        <v>0</v>
      </c>
      <c r="K510" s="43">
        <f>IF(LEN(FinanceCodesBudget[[#This Row],[Title]])&lt;100,0,1)</f>
        <v>0</v>
      </c>
      <c r="L510" s="43">
        <f>IF(ISBLANK(FinanceCodesBudget[[#This Row],[BalanceToScenario]]),1,0)</f>
        <v>0</v>
      </c>
      <c r="M510" s="43">
        <f>SUM(FinanceCodesBudget[[#This Row],[LedgerIssue]:[CustGrIssue]],FinanceCodesBudget[[#This Row],[DupCode]:[Balance to Scenario Blank]])</f>
        <v>0</v>
      </c>
      <c r="N510">
        <v>892250</v>
      </c>
      <c r="O510" t="s">
        <v>3032</v>
      </c>
      <c r="P510" t="s">
        <v>836</v>
      </c>
      <c r="Q510" t="s">
        <v>2008</v>
      </c>
      <c r="R510" t="b">
        <v>0</v>
      </c>
      <c r="S510" t="s">
        <v>2526</v>
      </c>
      <c r="T510" t="s">
        <v>1300</v>
      </c>
      <c r="U510" t="s">
        <v>1965</v>
      </c>
      <c r="V510" t="b">
        <v>1</v>
      </c>
      <c r="W510" t="b">
        <v>0</v>
      </c>
    </row>
    <row r="511" spans="1:23" x14ac:dyDescent="0.3">
      <c r="A511" s="147">
        <f>IF(COUNTIF(LEDGER[LedgerCode],FinanceCodesBudget[[#This Row],[LedgerCode]])&gt;0,0,1)</f>
        <v>0</v>
      </c>
      <c r="B511" s="43">
        <f>IF(COUNTIF(Table_System_Grouping_Codes[groupingCodeCode],FinanceCodesBudget[[#This Row],[GroupingCode]])&gt;0,0,1)</f>
        <v>0</v>
      </c>
      <c r="C511" s="43">
        <f>IF(COUNTIF(CUSTGROUP[CustomGroupingCode],FinanceCodesBudget[[#This Row],[CustomGrouping]])&gt;0,0,1)</f>
        <v>0</v>
      </c>
      <c r="D511" s="43" cm="1">
        <f t="array" ref="D511">IF(FinanceCodesBudget[[#This Row],[AvailableToAllSchools]]=TRUE,0,COUNTA(_xlfn.TEXTSPLIT(FinanceCodesBudget[[#This Row],[SchoolCodes]],",",,TRUE))-SUM(COUNTIF(SCHOOLS[SchoolCode],_xlfn.TEXTSPLIT(FinanceCodesBudget[[#This Row],[SchoolCodes]],",",,TRUE))))</f>
        <v>0</v>
      </c>
      <c r="E511" s="43">
        <f>IF(FinanceCodesBudget[[#This Row],[FinanceCodeTypeCode]]="BUDGET",0,COUNTIF(FinanceCodesBudget[FinanceCode],FinanceCodesBudget[[#This Row],[FinanceCode]])-1)</f>
        <v>0</v>
      </c>
      <c r="F511" s="43">
        <f>IF(FinanceCodesBudget[[#This Row],[FinanceCodeTypeCode]]="BUDGET",0,COUNTIF(FinanceCodesBudget[Title],FinanceCodesBudget[[#This Row],[Title]])-1)</f>
        <v>0</v>
      </c>
      <c r="G511" s="43">
        <f>COUNTIF(Lookup!$A$2:$A$7,FinanceCodesBudget[[#This Row],[FinanceCodeTypeCode]])-1</f>
        <v>0</v>
      </c>
      <c r="H511" s="43">
        <f>IF(TRIM(FinanceCodesBudget[[#This Row],[Title]])="",1,0)</f>
        <v>0</v>
      </c>
      <c r="I511" s="43">
        <f>IF(TRIM(FinanceCodesBudget[[#This Row],[FinanceCode]])="",1,0)</f>
        <v>0</v>
      </c>
      <c r="J511" s="43">
        <f>IF(LEN(FinanceCodesBudget[[#This Row],[FinanceCode]])&lt;100,0,1)</f>
        <v>0</v>
      </c>
      <c r="K511" s="43">
        <f>IF(LEN(FinanceCodesBudget[[#This Row],[Title]])&lt;100,0,1)</f>
        <v>0</v>
      </c>
      <c r="L511" s="43">
        <f>IF(ISBLANK(FinanceCodesBudget[[#This Row],[BalanceToScenario]]),1,0)</f>
        <v>0</v>
      </c>
      <c r="M511" s="43">
        <f>SUM(FinanceCodesBudget[[#This Row],[LedgerIssue]:[CustGrIssue]],FinanceCodesBudget[[#This Row],[DupCode]:[Balance to Scenario Blank]])</f>
        <v>0</v>
      </c>
      <c r="N511">
        <v>892300</v>
      </c>
      <c r="O511" t="s">
        <v>3033</v>
      </c>
      <c r="P511" t="s">
        <v>838</v>
      </c>
      <c r="Q511" t="s">
        <v>851</v>
      </c>
      <c r="R511" t="b">
        <v>0</v>
      </c>
      <c r="S511" t="s">
        <v>2526</v>
      </c>
      <c r="T511" t="s">
        <v>1300</v>
      </c>
      <c r="U511" t="s">
        <v>1965</v>
      </c>
      <c r="V511" t="b">
        <v>1</v>
      </c>
      <c r="W511" t="b">
        <v>0</v>
      </c>
    </row>
    <row r="512" spans="1:23" x14ac:dyDescent="0.3">
      <c r="A512" s="147">
        <f>IF(COUNTIF(LEDGER[LedgerCode],FinanceCodesBudget[[#This Row],[LedgerCode]])&gt;0,0,1)</f>
        <v>0</v>
      </c>
      <c r="B512" s="43">
        <f>IF(COUNTIF(Table_System_Grouping_Codes[groupingCodeCode],FinanceCodesBudget[[#This Row],[GroupingCode]])&gt;0,0,1)</f>
        <v>0</v>
      </c>
      <c r="C512" s="43">
        <f>IF(COUNTIF(CUSTGROUP[CustomGroupingCode],FinanceCodesBudget[[#This Row],[CustomGrouping]])&gt;0,0,1)</f>
        <v>0</v>
      </c>
      <c r="D512" s="43" cm="1">
        <f t="array" ref="D512">IF(FinanceCodesBudget[[#This Row],[AvailableToAllSchools]]=TRUE,0,COUNTA(_xlfn.TEXTSPLIT(FinanceCodesBudget[[#This Row],[SchoolCodes]],",",,TRUE))-SUM(COUNTIF(SCHOOLS[SchoolCode],_xlfn.TEXTSPLIT(FinanceCodesBudget[[#This Row],[SchoolCodes]],",",,TRUE))))</f>
        <v>0</v>
      </c>
      <c r="E512" s="43">
        <f>IF(FinanceCodesBudget[[#This Row],[FinanceCodeTypeCode]]="BUDGET",0,COUNTIF(FinanceCodesBudget[FinanceCode],FinanceCodesBudget[[#This Row],[FinanceCode]])-1)</f>
        <v>0</v>
      </c>
      <c r="F512" s="43">
        <f>IF(FinanceCodesBudget[[#This Row],[FinanceCodeTypeCode]]="BUDGET",0,COUNTIF(FinanceCodesBudget[Title],FinanceCodesBudget[[#This Row],[Title]])-1)</f>
        <v>0</v>
      </c>
      <c r="G512" s="43">
        <f>COUNTIF(Lookup!$A$2:$A$7,FinanceCodesBudget[[#This Row],[FinanceCodeTypeCode]])-1</f>
        <v>0</v>
      </c>
      <c r="H512" s="43">
        <f>IF(TRIM(FinanceCodesBudget[[#This Row],[Title]])="",1,0)</f>
        <v>0</v>
      </c>
      <c r="I512" s="43">
        <f>IF(TRIM(FinanceCodesBudget[[#This Row],[FinanceCode]])="",1,0)</f>
        <v>0</v>
      </c>
      <c r="J512" s="43">
        <f>IF(LEN(FinanceCodesBudget[[#This Row],[FinanceCode]])&lt;100,0,1)</f>
        <v>0</v>
      </c>
      <c r="K512" s="43">
        <f>IF(LEN(FinanceCodesBudget[[#This Row],[Title]])&lt;100,0,1)</f>
        <v>0</v>
      </c>
      <c r="L512" s="43">
        <f>IF(ISBLANK(FinanceCodesBudget[[#This Row],[BalanceToScenario]]),1,0)</f>
        <v>0</v>
      </c>
      <c r="M512" s="43">
        <f>SUM(FinanceCodesBudget[[#This Row],[LedgerIssue]:[CustGrIssue]],FinanceCodesBudget[[#This Row],[DupCode]:[Balance to Scenario Blank]])</f>
        <v>0</v>
      </c>
      <c r="N512">
        <v>892350</v>
      </c>
      <c r="O512" t="s">
        <v>3034</v>
      </c>
      <c r="P512" t="s">
        <v>840</v>
      </c>
      <c r="Q512" t="s">
        <v>851</v>
      </c>
      <c r="R512" t="b">
        <v>0</v>
      </c>
      <c r="S512" t="s">
        <v>2526</v>
      </c>
      <c r="T512" t="s">
        <v>1300</v>
      </c>
      <c r="U512" t="s">
        <v>1965</v>
      </c>
      <c r="V512" t="b">
        <v>1</v>
      </c>
      <c r="W512" t="b">
        <v>0</v>
      </c>
    </row>
    <row r="513" spans="1:23" x14ac:dyDescent="0.3">
      <c r="A513" s="147">
        <f>IF(COUNTIF(LEDGER[LedgerCode],FinanceCodesBudget[[#This Row],[LedgerCode]])&gt;0,0,1)</f>
        <v>0</v>
      </c>
      <c r="B513" s="43">
        <f>IF(COUNTIF(Table_System_Grouping_Codes[groupingCodeCode],FinanceCodesBudget[[#This Row],[GroupingCode]])&gt;0,0,1)</f>
        <v>0</v>
      </c>
      <c r="C513" s="43">
        <f>IF(COUNTIF(CUSTGROUP[CustomGroupingCode],FinanceCodesBudget[[#This Row],[CustomGrouping]])&gt;0,0,1)</f>
        <v>0</v>
      </c>
      <c r="D513" s="43" cm="1">
        <f t="array" ref="D513">IF(FinanceCodesBudget[[#This Row],[AvailableToAllSchools]]=TRUE,0,COUNTA(_xlfn.TEXTSPLIT(FinanceCodesBudget[[#This Row],[SchoolCodes]],",",,TRUE))-SUM(COUNTIF(SCHOOLS[SchoolCode],_xlfn.TEXTSPLIT(FinanceCodesBudget[[#This Row],[SchoolCodes]],",",,TRUE))))</f>
        <v>0</v>
      </c>
      <c r="E513" s="43">
        <f>IF(FinanceCodesBudget[[#This Row],[FinanceCodeTypeCode]]="BUDGET",0,COUNTIF(FinanceCodesBudget[FinanceCode],FinanceCodesBudget[[#This Row],[FinanceCode]])-1)</f>
        <v>0</v>
      </c>
      <c r="F513" s="43">
        <f>IF(FinanceCodesBudget[[#This Row],[FinanceCodeTypeCode]]="BUDGET",0,COUNTIF(FinanceCodesBudget[Title],FinanceCodesBudget[[#This Row],[Title]])-1)</f>
        <v>0</v>
      </c>
      <c r="G513" s="43">
        <f>COUNTIF(Lookup!$A$2:$A$7,FinanceCodesBudget[[#This Row],[FinanceCodeTypeCode]])-1</f>
        <v>0</v>
      </c>
      <c r="H513" s="43">
        <f>IF(TRIM(FinanceCodesBudget[[#This Row],[Title]])="",1,0)</f>
        <v>0</v>
      </c>
      <c r="I513" s="43">
        <f>IF(TRIM(FinanceCodesBudget[[#This Row],[FinanceCode]])="",1,0)</f>
        <v>0</v>
      </c>
      <c r="J513" s="43">
        <f>IF(LEN(FinanceCodesBudget[[#This Row],[FinanceCode]])&lt;100,0,1)</f>
        <v>0</v>
      </c>
      <c r="K513" s="43">
        <f>IF(LEN(FinanceCodesBudget[[#This Row],[Title]])&lt;100,0,1)</f>
        <v>0</v>
      </c>
      <c r="L513" s="43">
        <f>IF(ISBLANK(FinanceCodesBudget[[#This Row],[BalanceToScenario]]),1,0)</f>
        <v>0</v>
      </c>
      <c r="M513" s="43">
        <f>SUM(FinanceCodesBudget[[#This Row],[LedgerIssue]:[CustGrIssue]],FinanceCodesBudget[[#This Row],[DupCode]:[Balance to Scenario Blank]])</f>
        <v>0</v>
      </c>
      <c r="N513">
        <v>892500</v>
      </c>
      <c r="O513" t="s">
        <v>3035</v>
      </c>
      <c r="P513" t="s">
        <v>842</v>
      </c>
      <c r="Q513" t="s">
        <v>65</v>
      </c>
      <c r="R513" t="b">
        <v>0</v>
      </c>
      <c r="S513" t="s">
        <v>2526</v>
      </c>
      <c r="T513" t="s">
        <v>1300</v>
      </c>
      <c r="U513" t="s">
        <v>1965</v>
      </c>
      <c r="V513" t="b">
        <v>1</v>
      </c>
      <c r="W513" t="b">
        <v>0</v>
      </c>
    </row>
    <row r="514" spans="1:23" x14ac:dyDescent="0.3">
      <c r="A514" s="147">
        <f>IF(COUNTIF(LEDGER[LedgerCode],FinanceCodesBudget[[#This Row],[LedgerCode]])&gt;0,0,1)</f>
        <v>0</v>
      </c>
      <c r="B514" s="43">
        <f>IF(COUNTIF(Table_System_Grouping_Codes[groupingCodeCode],FinanceCodesBudget[[#This Row],[GroupingCode]])&gt;0,0,1)</f>
        <v>0</v>
      </c>
      <c r="C514" s="43">
        <f>IF(COUNTIF(CUSTGROUP[CustomGroupingCode],FinanceCodesBudget[[#This Row],[CustomGrouping]])&gt;0,0,1)</f>
        <v>0</v>
      </c>
      <c r="D514" s="43" cm="1">
        <f t="array" ref="D514">IF(FinanceCodesBudget[[#This Row],[AvailableToAllSchools]]=TRUE,0,COUNTA(_xlfn.TEXTSPLIT(FinanceCodesBudget[[#This Row],[SchoolCodes]],",",,TRUE))-SUM(COUNTIF(SCHOOLS[SchoolCode],_xlfn.TEXTSPLIT(FinanceCodesBudget[[#This Row],[SchoolCodes]],",",,TRUE))))</f>
        <v>0</v>
      </c>
      <c r="E514" s="43">
        <f>IF(FinanceCodesBudget[[#This Row],[FinanceCodeTypeCode]]="BUDGET",0,COUNTIF(FinanceCodesBudget[FinanceCode],FinanceCodesBudget[[#This Row],[FinanceCode]])-1)</f>
        <v>0</v>
      </c>
      <c r="F514" s="43">
        <f>IF(FinanceCodesBudget[[#This Row],[FinanceCodeTypeCode]]="BUDGET",0,COUNTIF(FinanceCodesBudget[Title],FinanceCodesBudget[[#This Row],[Title]])-1)</f>
        <v>0</v>
      </c>
      <c r="G514" s="43">
        <f>COUNTIF(Lookup!$A$2:$A$7,FinanceCodesBudget[[#This Row],[FinanceCodeTypeCode]])-1</f>
        <v>0</v>
      </c>
      <c r="H514" s="43">
        <f>IF(TRIM(FinanceCodesBudget[[#This Row],[Title]])="",1,0)</f>
        <v>0</v>
      </c>
      <c r="I514" s="43">
        <f>IF(TRIM(FinanceCodesBudget[[#This Row],[FinanceCode]])="",1,0)</f>
        <v>0</v>
      </c>
      <c r="J514" s="43">
        <f>IF(LEN(FinanceCodesBudget[[#This Row],[FinanceCode]])&lt;100,0,1)</f>
        <v>0</v>
      </c>
      <c r="K514" s="43">
        <f>IF(LEN(FinanceCodesBudget[[#This Row],[Title]])&lt;100,0,1)</f>
        <v>0</v>
      </c>
      <c r="L514" s="43">
        <f>IF(ISBLANK(FinanceCodesBudget[[#This Row],[BalanceToScenario]]),1,0)</f>
        <v>0</v>
      </c>
      <c r="M514" s="43">
        <f>SUM(FinanceCodesBudget[[#This Row],[LedgerIssue]:[CustGrIssue]],FinanceCodesBudget[[#This Row],[DupCode]:[Balance to Scenario Blank]])</f>
        <v>0</v>
      </c>
      <c r="N514">
        <v>892600</v>
      </c>
      <c r="O514" t="s">
        <v>3036</v>
      </c>
      <c r="P514" t="s">
        <v>844</v>
      </c>
      <c r="Q514" t="s">
        <v>65</v>
      </c>
      <c r="R514" t="b">
        <v>0</v>
      </c>
      <c r="S514" t="s">
        <v>2526</v>
      </c>
      <c r="T514" t="s">
        <v>1300</v>
      </c>
      <c r="U514" t="s">
        <v>1532</v>
      </c>
      <c r="V514" t="b">
        <v>1</v>
      </c>
      <c r="W514" t="b">
        <v>0</v>
      </c>
    </row>
    <row r="515" spans="1:23" x14ac:dyDescent="0.3">
      <c r="A515" s="147">
        <f>IF(COUNTIF(LEDGER[LedgerCode],FinanceCodesBudget[[#This Row],[LedgerCode]])&gt;0,0,1)</f>
        <v>0</v>
      </c>
      <c r="B515" s="43">
        <f>IF(COUNTIF(Table_System_Grouping_Codes[groupingCodeCode],FinanceCodesBudget[[#This Row],[GroupingCode]])&gt;0,0,1)</f>
        <v>0</v>
      </c>
      <c r="C515" s="43">
        <f>IF(COUNTIF(CUSTGROUP[CustomGroupingCode],FinanceCodesBudget[[#This Row],[CustomGrouping]])&gt;0,0,1)</f>
        <v>0</v>
      </c>
      <c r="D515" s="43" cm="1">
        <f t="array" ref="D515">IF(FinanceCodesBudget[[#This Row],[AvailableToAllSchools]]=TRUE,0,COUNTA(_xlfn.TEXTSPLIT(FinanceCodesBudget[[#This Row],[SchoolCodes]],",",,TRUE))-SUM(COUNTIF(SCHOOLS[SchoolCode],_xlfn.TEXTSPLIT(FinanceCodesBudget[[#This Row],[SchoolCodes]],",",,TRUE))))</f>
        <v>0</v>
      </c>
      <c r="E515" s="43">
        <f>IF(FinanceCodesBudget[[#This Row],[FinanceCodeTypeCode]]="BUDGET",0,COUNTIF(FinanceCodesBudget[FinanceCode],FinanceCodesBudget[[#This Row],[FinanceCode]])-1)</f>
        <v>0</v>
      </c>
      <c r="F515" s="43">
        <f>IF(FinanceCodesBudget[[#This Row],[FinanceCodeTypeCode]]="BUDGET",0,COUNTIF(FinanceCodesBudget[Title],FinanceCodesBudget[[#This Row],[Title]])-1)</f>
        <v>0</v>
      </c>
      <c r="G515" s="43">
        <f>COUNTIF(Lookup!$A$2:$A$7,FinanceCodesBudget[[#This Row],[FinanceCodeTypeCode]])-1</f>
        <v>0</v>
      </c>
      <c r="H515" s="43">
        <f>IF(TRIM(FinanceCodesBudget[[#This Row],[Title]])="",1,0)</f>
        <v>0</v>
      </c>
      <c r="I515" s="43">
        <f>IF(TRIM(FinanceCodesBudget[[#This Row],[FinanceCode]])="",1,0)</f>
        <v>0</v>
      </c>
      <c r="J515" s="43">
        <f>IF(LEN(FinanceCodesBudget[[#This Row],[FinanceCode]])&lt;100,0,1)</f>
        <v>0</v>
      </c>
      <c r="K515" s="43">
        <f>IF(LEN(FinanceCodesBudget[[#This Row],[Title]])&lt;100,0,1)</f>
        <v>0</v>
      </c>
      <c r="L515" s="43">
        <f>IF(ISBLANK(FinanceCodesBudget[[#This Row],[BalanceToScenario]]),1,0)</f>
        <v>0</v>
      </c>
      <c r="M515" s="43">
        <f>SUM(FinanceCodesBudget[[#This Row],[LedgerIssue]:[CustGrIssue]],FinanceCodesBudget[[#This Row],[DupCode]:[Balance to Scenario Blank]])</f>
        <v>0</v>
      </c>
      <c r="N515">
        <v>892700</v>
      </c>
      <c r="O515" t="s">
        <v>3037</v>
      </c>
      <c r="P515" t="s">
        <v>851</v>
      </c>
      <c r="Q515" t="s">
        <v>65</v>
      </c>
      <c r="R515" t="b">
        <v>0</v>
      </c>
      <c r="S515" t="s">
        <v>2526</v>
      </c>
      <c r="T515" t="s">
        <v>1300</v>
      </c>
      <c r="U515" t="s">
        <v>1532</v>
      </c>
      <c r="V515" t="b">
        <v>1</v>
      </c>
      <c r="W515" t="b">
        <v>0</v>
      </c>
    </row>
    <row r="516" spans="1:23" x14ac:dyDescent="0.3">
      <c r="A516" s="147">
        <f>IF(COUNTIF(LEDGER[LedgerCode],FinanceCodesBudget[[#This Row],[LedgerCode]])&gt;0,0,1)</f>
        <v>0</v>
      </c>
      <c r="B516" s="43">
        <f>IF(COUNTIF(Table_System_Grouping_Codes[groupingCodeCode],FinanceCodesBudget[[#This Row],[GroupingCode]])&gt;0,0,1)</f>
        <v>0</v>
      </c>
      <c r="C516" s="43">
        <f>IF(COUNTIF(CUSTGROUP[CustomGroupingCode],FinanceCodesBudget[[#This Row],[CustomGrouping]])&gt;0,0,1)</f>
        <v>0</v>
      </c>
      <c r="D516" s="43" cm="1">
        <f t="array" ref="D516">IF(FinanceCodesBudget[[#This Row],[AvailableToAllSchools]]=TRUE,0,COUNTA(_xlfn.TEXTSPLIT(FinanceCodesBudget[[#This Row],[SchoolCodes]],",",,TRUE))-SUM(COUNTIF(SCHOOLS[SchoolCode],_xlfn.TEXTSPLIT(FinanceCodesBudget[[#This Row],[SchoolCodes]],",",,TRUE))))</f>
        <v>0</v>
      </c>
      <c r="E516" s="43">
        <f>IF(FinanceCodesBudget[[#This Row],[FinanceCodeTypeCode]]="BUDGET",0,COUNTIF(FinanceCodesBudget[FinanceCode],FinanceCodesBudget[[#This Row],[FinanceCode]])-1)</f>
        <v>0</v>
      </c>
      <c r="F516" s="43">
        <f>IF(FinanceCodesBudget[[#This Row],[FinanceCodeTypeCode]]="BUDGET",0,COUNTIF(FinanceCodesBudget[Title],FinanceCodesBudget[[#This Row],[Title]])-1)</f>
        <v>0</v>
      </c>
      <c r="G516" s="43">
        <f>COUNTIF(Lookup!$A$2:$A$7,FinanceCodesBudget[[#This Row],[FinanceCodeTypeCode]])-1</f>
        <v>0</v>
      </c>
      <c r="H516" s="43">
        <f>IF(TRIM(FinanceCodesBudget[[#This Row],[Title]])="",1,0)</f>
        <v>0</v>
      </c>
      <c r="I516" s="43">
        <f>IF(TRIM(FinanceCodesBudget[[#This Row],[FinanceCode]])="",1,0)</f>
        <v>0</v>
      </c>
      <c r="J516" s="43">
        <f>IF(LEN(FinanceCodesBudget[[#This Row],[FinanceCode]])&lt;100,0,1)</f>
        <v>0</v>
      </c>
      <c r="K516" s="43">
        <f>IF(LEN(FinanceCodesBudget[[#This Row],[Title]])&lt;100,0,1)</f>
        <v>0</v>
      </c>
      <c r="L516" s="43">
        <f>IF(ISBLANK(FinanceCodesBudget[[#This Row],[BalanceToScenario]]),1,0)</f>
        <v>0</v>
      </c>
      <c r="M516" s="43">
        <f>SUM(FinanceCodesBudget[[#This Row],[LedgerIssue]:[CustGrIssue]],FinanceCodesBudget[[#This Row],[DupCode]:[Balance to Scenario Blank]])</f>
        <v>0</v>
      </c>
      <c r="N516">
        <v>892800</v>
      </c>
      <c r="O516" t="s">
        <v>3038</v>
      </c>
      <c r="P516" t="s">
        <v>851</v>
      </c>
      <c r="Q516" t="s">
        <v>65</v>
      </c>
      <c r="R516" t="b">
        <v>0</v>
      </c>
      <c r="S516" t="s">
        <v>2526</v>
      </c>
      <c r="T516" t="s">
        <v>1300</v>
      </c>
      <c r="U516" t="s">
        <v>1532</v>
      </c>
      <c r="V516" t="b">
        <v>1</v>
      </c>
      <c r="W516" t="b">
        <v>0</v>
      </c>
    </row>
    <row r="517" spans="1:23" x14ac:dyDescent="0.3">
      <c r="A517" s="147">
        <f>IF(COUNTIF(LEDGER[LedgerCode],FinanceCodesBudget[[#This Row],[LedgerCode]])&gt;0,0,1)</f>
        <v>0</v>
      </c>
      <c r="B517" s="43">
        <f>IF(COUNTIF(Table_System_Grouping_Codes[groupingCodeCode],FinanceCodesBudget[[#This Row],[GroupingCode]])&gt;0,0,1)</f>
        <v>0</v>
      </c>
      <c r="C517" s="43">
        <f>IF(COUNTIF(CUSTGROUP[CustomGroupingCode],FinanceCodesBudget[[#This Row],[CustomGrouping]])&gt;0,0,1)</f>
        <v>0</v>
      </c>
      <c r="D517" s="43" cm="1">
        <f t="array" ref="D517">IF(FinanceCodesBudget[[#This Row],[AvailableToAllSchools]]=TRUE,0,COUNTA(_xlfn.TEXTSPLIT(FinanceCodesBudget[[#This Row],[SchoolCodes]],",",,TRUE))-SUM(COUNTIF(SCHOOLS[SchoolCode],_xlfn.TEXTSPLIT(FinanceCodesBudget[[#This Row],[SchoolCodes]],",",,TRUE))))</f>
        <v>0</v>
      </c>
      <c r="E517" s="43">
        <f>IF(FinanceCodesBudget[[#This Row],[FinanceCodeTypeCode]]="BUDGET",0,COUNTIF(FinanceCodesBudget[FinanceCode],FinanceCodesBudget[[#This Row],[FinanceCode]])-1)</f>
        <v>0</v>
      </c>
      <c r="F517" s="43">
        <f>IF(FinanceCodesBudget[[#This Row],[FinanceCodeTypeCode]]="BUDGET",0,COUNTIF(FinanceCodesBudget[Title],FinanceCodesBudget[[#This Row],[Title]])-1)</f>
        <v>0</v>
      </c>
      <c r="G517" s="43">
        <f>COUNTIF(Lookup!$A$2:$A$7,FinanceCodesBudget[[#This Row],[FinanceCodeTypeCode]])-1</f>
        <v>0</v>
      </c>
      <c r="H517" s="43">
        <f>IF(TRIM(FinanceCodesBudget[[#This Row],[Title]])="",1,0)</f>
        <v>0</v>
      </c>
      <c r="I517" s="43">
        <f>IF(TRIM(FinanceCodesBudget[[#This Row],[FinanceCode]])="",1,0)</f>
        <v>0</v>
      </c>
      <c r="J517" s="43">
        <f>IF(LEN(FinanceCodesBudget[[#This Row],[FinanceCode]])&lt;100,0,1)</f>
        <v>0</v>
      </c>
      <c r="K517" s="43">
        <f>IF(LEN(FinanceCodesBudget[[#This Row],[Title]])&lt;100,0,1)</f>
        <v>0</v>
      </c>
      <c r="L517" s="43">
        <f>IF(ISBLANK(FinanceCodesBudget[[#This Row],[BalanceToScenario]]),1,0)</f>
        <v>0</v>
      </c>
      <c r="M517" s="43">
        <f>SUM(FinanceCodesBudget[[#This Row],[LedgerIssue]:[CustGrIssue]],FinanceCodesBudget[[#This Row],[DupCode]:[Balance to Scenario Blank]])</f>
        <v>0</v>
      </c>
      <c r="N517">
        <v>893100</v>
      </c>
      <c r="O517" t="s">
        <v>3039</v>
      </c>
      <c r="P517" t="s">
        <v>851</v>
      </c>
      <c r="Q517" t="s">
        <v>65</v>
      </c>
      <c r="R517" t="b">
        <v>0</v>
      </c>
      <c r="S517" t="s">
        <v>2526</v>
      </c>
      <c r="T517" t="s">
        <v>1300</v>
      </c>
      <c r="U517" t="s">
        <v>1532</v>
      </c>
      <c r="V517" t="b">
        <v>1</v>
      </c>
      <c r="W517" t="b">
        <v>0</v>
      </c>
    </row>
    <row r="518" spans="1:23" x14ac:dyDescent="0.3">
      <c r="A518" s="147">
        <f>IF(COUNTIF(LEDGER[LedgerCode],FinanceCodesBudget[[#This Row],[LedgerCode]])&gt;0,0,1)</f>
        <v>0</v>
      </c>
      <c r="B518" s="43">
        <f>IF(COUNTIF(Table_System_Grouping_Codes[groupingCodeCode],FinanceCodesBudget[[#This Row],[GroupingCode]])&gt;0,0,1)</f>
        <v>0</v>
      </c>
      <c r="C518" s="43">
        <f>IF(COUNTIF(CUSTGROUP[CustomGroupingCode],FinanceCodesBudget[[#This Row],[CustomGrouping]])&gt;0,0,1)</f>
        <v>0</v>
      </c>
      <c r="D518" s="43" cm="1">
        <f t="array" ref="D518">IF(FinanceCodesBudget[[#This Row],[AvailableToAllSchools]]=TRUE,0,COUNTA(_xlfn.TEXTSPLIT(FinanceCodesBudget[[#This Row],[SchoolCodes]],",",,TRUE))-SUM(COUNTIF(SCHOOLS[SchoolCode],_xlfn.TEXTSPLIT(FinanceCodesBudget[[#This Row],[SchoolCodes]],",",,TRUE))))</f>
        <v>0</v>
      </c>
      <c r="E518" s="43">
        <f>IF(FinanceCodesBudget[[#This Row],[FinanceCodeTypeCode]]="BUDGET",0,COUNTIF(FinanceCodesBudget[FinanceCode],FinanceCodesBudget[[#This Row],[FinanceCode]])-1)</f>
        <v>0</v>
      </c>
      <c r="F518" s="43">
        <f>IF(FinanceCodesBudget[[#This Row],[FinanceCodeTypeCode]]="BUDGET",0,COUNTIF(FinanceCodesBudget[Title],FinanceCodesBudget[[#This Row],[Title]])-1)</f>
        <v>0</v>
      </c>
      <c r="G518" s="43">
        <f>COUNTIF(Lookup!$A$2:$A$7,FinanceCodesBudget[[#This Row],[FinanceCodeTypeCode]])-1</f>
        <v>0</v>
      </c>
      <c r="H518" s="43">
        <f>IF(TRIM(FinanceCodesBudget[[#This Row],[Title]])="",1,0)</f>
        <v>0</v>
      </c>
      <c r="I518" s="43">
        <f>IF(TRIM(FinanceCodesBudget[[#This Row],[FinanceCode]])="",1,0)</f>
        <v>0</v>
      </c>
      <c r="J518" s="43">
        <f>IF(LEN(FinanceCodesBudget[[#This Row],[FinanceCode]])&lt;100,0,1)</f>
        <v>0</v>
      </c>
      <c r="K518" s="43">
        <f>IF(LEN(FinanceCodesBudget[[#This Row],[Title]])&lt;100,0,1)</f>
        <v>0</v>
      </c>
      <c r="L518" s="43">
        <f>IF(ISBLANK(FinanceCodesBudget[[#This Row],[BalanceToScenario]]),1,0)</f>
        <v>0</v>
      </c>
      <c r="M518" s="43">
        <f>SUM(FinanceCodesBudget[[#This Row],[LedgerIssue]:[CustGrIssue]],FinanceCodesBudget[[#This Row],[DupCode]:[Balance to Scenario Blank]])</f>
        <v>0</v>
      </c>
      <c r="N518">
        <v>893200</v>
      </c>
      <c r="O518" t="s">
        <v>3040</v>
      </c>
      <c r="P518" t="s">
        <v>851</v>
      </c>
      <c r="Q518" t="s">
        <v>65</v>
      </c>
      <c r="R518" t="b">
        <v>0</v>
      </c>
      <c r="S518" t="s">
        <v>2526</v>
      </c>
      <c r="T518" t="s">
        <v>1300</v>
      </c>
      <c r="U518" t="s">
        <v>1532</v>
      </c>
      <c r="V518" t="b">
        <v>1</v>
      </c>
      <c r="W518" t="b">
        <v>0</v>
      </c>
    </row>
    <row r="519" spans="1:23" x14ac:dyDescent="0.3">
      <c r="A519" s="147">
        <f>IF(COUNTIF(LEDGER[LedgerCode],FinanceCodesBudget[[#This Row],[LedgerCode]])&gt;0,0,1)</f>
        <v>0</v>
      </c>
      <c r="B519" s="43">
        <f>IF(COUNTIF(Table_System_Grouping_Codes[groupingCodeCode],FinanceCodesBudget[[#This Row],[GroupingCode]])&gt;0,0,1)</f>
        <v>0</v>
      </c>
      <c r="C519" s="43">
        <f>IF(COUNTIF(CUSTGROUP[CustomGroupingCode],FinanceCodesBudget[[#This Row],[CustomGrouping]])&gt;0,0,1)</f>
        <v>0</v>
      </c>
      <c r="D519" s="43" cm="1">
        <f t="array" ref="D519">IF(FinanceCodesBudget[[#This Row],[AvailableToAllSchools]]=TRUE,0,COUNTA(_xlfn.TEXTSPLIT(FinanceCodesBudget[[#This Row],[SchoolCodes]],",",,TRUE))-SUM(COUNTIF(SCHOOLS[SchoolCode],_xlfn.TEXTSPLIT(FinanceCodesBudget[[#This Row],[SchoolCodes]],",",,TRUE))))</f>
        <v>0</v>
      </c>
      <c r="E519" s="43">
        <f>IF(FinanceCodesBudget[[#This Row],[FinanceCodeTypeCode]]="BUDGET",0,COUNTIF(FinanceCodesBudget[FinanceCode],FinanceCodesBudget[[#This Row],[FinanceCode]])-1)</f>
        <v>0</v>
      </c>
      <c r="F519" s="43">
        <f>IF(FinanceCodesBudget[[#This Row],[FinanceCodeTypeCode]]="BUDGET",0,COUNTIF(FinanceCodesBudget[Title],FinanceCodesBudget[[#This Row],[Title]])-1)</f>
        <v>0</v>
      </c>
      <c r="G519" s="43">
        <f>COUNTIF(Lookup!$A$2:$A$7,FinanceCodesBudget[[#This Row],[FinanceCodeTypeCode]])-1</f>
        <v>0</v>
      </c>
      <c r="H519" s="43">
        <f>IF(TRIM(FinanceCodesBudget[[#This Row],[Title]])="",1,0)</f>
        <v>0</v>
      </c>
      <c r="I519" s="43">
        <f>IF(TRIM(FinanceCodesBudget[[#This Row],[FinanceCode]])="",1,0)</f>
        <v>0</v>
      </c>
      <c r="J519" s="43">
        <f>IF(LEN(FinanceCodesBudget[[#This Row],[FinanceCode]])&lt;100,0,1)</f>
        <v>0</v>
      </c>
      <c r="K519" s="43">
        <f>IF(LEN(FinanceCodesBudget[[#This Row],[Title]])&lt;100,0,1)</f>
        <v>0</v>
      </c>
      <c r="L519" s="43">
        <f>IF(ISBLANK(FinanceCodesBudget[[#This Row],[BalanceToScenario]]),1,0)</f>
        <v>0</v>
      </c>
      <c r="M519" s="43">
        <f>SUM(FinanceCodesBudget[[#This Row],[LedgerIssue]:[CustGrIssue]],FinanceCodesBudget[[#This Row],[DupCode]:[Balance to Scenario Blank]])</f>
        <v>0</v>
      </c>
      <c r="N519">
        <v>893300</v>
      </c>
      <c r="O519" t="s">
        <v>3041</v>
      </c>
      <c r="P519" t="s">
        <v>851</v>
      </c>
      <c r="Q519" t="s">
        <v>65</v>
      </c>
      <c r="R519" t="b">
        <v>0</v>
      </c>
      <c r="S519" t="s">
        <v>2526</v>
      </c>
      <c r="T519" t="s">
        <v>1300</v>
      </c>
      <c r="U519" t="s">
        <v>1532</v>
      </c>
      <c r="V519" t="b">
        <v>1</v>
      </c>
      <c r="W519" t="b">
        <v>0</v>
      </c>
    </row>
    <row r="520" spans="1:23" x14ac:dyDescent="0.3">
      <c r="A520" s="147">
        <f>IF(COUNTIF(LEDGER[LedgerCode],FinanceCodesBudget[[#This Row],[LedgerCode]])&gt;0,0,1)</f>
        <v>0</v>
      </c>
      <c r="B520" s="43">
        <f>IF(COUNTIF(Table_System_Grouping_Codes[groupingCodeCode],FinanceCodesBudget[[#This Row],[GroupingCode]])&gt;0,0,1)</f>
        <v>0</v>
      </c>
      <c r="C520" s="43">
        <f>IF(COUNTIF(CUSTGROUP[CustomGroupingCode],FinanceCodesBudget[[#This Row],[CustomGrouping]])&gt;0,0,1)</f>
        <v>0</v>
      </c>
      <c r="D520" s="43" cm="1">
        <f t="array" ref="D520">IF(FinanceCodesBudget[[#This Row],[AvailableToAllSchools]]=TRUE,0,COUNTA(_xlfn.TEXTSPLIT(FinanceCodesBudget[[#This Row],[SchoolCodes]],",",,TRUE))-SUM(COUNTIF(SCHOOLS[SchoolCode],_xlfn.TEXTSPLIT(FinanceCodesBudget[[#This Row],[SchoolCodes]],",",,TRUE))))</f>
        <v>0</v>
      </c>
      <c r="E520" s="43">
        <f>IF(FinanceCodesBudget[[#This Row],[FinanceCodeTypeCode]]="BUDGET",0,COUNTIF(FinanceCodesBudget[FinanceCode],FinanceCodesBudget[[#This Row],[FinanceCode]])-1)</f>
        <v>0</v>
      </c>
      <c r="F520" s="43">
        <f>IF(FinanceCodesBudget[[#This Row],[FinanceCodeTypeCode]]="BUDGET",0,COUNTIF(FinanceCodesBudget[Title],FinanceCodesBudget[[#This Row],[Title]])-1)</f>
        <v>0</v>
      </c>
      <c r="G520" s="43">
        <f>COUNTIF(Lookup!$A$2:$A$7,FinanceCodesBudget[[#This Row],[FinanceCodeTypeCode]])-1</f>
        <v>0</v>
      </c>
      <c r="H520" s="43">
        <f>IF(TRIM(FinanceCodesBudget[[#This Row],[Title]])="",1,0)</f>
        <v>0</v>
      </c>
      <c r="I520" s="43">
        <f>IF(TRIM(FinanceCodesBudget[[#This Row],[FinanceCode]])="",1,0)</f>
        <v>0</v>
      </c>
      <c r="J520" s="43">
        <f>IF(LEN(FinanceCodesBudget[[#This Row],[FinanceCode]])&lt;100,0,1)</f>
        <v>0</v>
      </c>
      <c r="K520" s="43">
        <f>IF(LEN(FinanceCodesBudget[[#This Row],[Title]])&lt;100,0,1)</f>
        <v>0</v>
      </c>
      <c r="L520" s="43">
        <f>IF(ISBLANK(FinanceCodesBudget[[#This Row],[BalanceToScenario]]),1,0)</f>
        <v>0</v>
      </c>
      <c r="M520" s="43">
        <f>SUM(FinanceCodesBudget[[#This Row],[LedgerIssue]:[CustGrIssue]],FinanceCodesBudget[[#This Row],[DupCode]:[Balance to Scenario Blank]])</f>
        <v>0</v>
      </c>
      <c r="N520">
        <v>895100</v>
      </c>
      <c r="O520" t="s">
        <v>3042</v>
      </c>
      <c r="P520" t="s">
        <v>851</v>
      </c>
      <c r="Q520" t="s">
        <v>1998</v>
      </c>
      <c r="R520" t="b">
        <v>0</v>
      </c>
      <c r="S520" t="s">
        <v>2735</v>
      </c>
      <c r="T520" t="s">
        <v>1300</v>
      </c>
      <c r="U520" t="s">
        <v>1532</v>
      </c>
      <c r="V520" t="b">
        <v>1</v>
      </c>
      <c r="W520" t="b">
        <v>0</v>
      </c>
    </row>
    <row r="521" spans="1:23" x14ac:dyDescent="0.3">
      <c r="A521" s="147">
        <f>IF(COUNTIF(LEDGER[LedgerCode],FinanceCodesBudget[[#This Row],[LedgerCode]])&gt;0,0,1)</f>
        <v>0</v>
      </c>
      <c r="B521" s="43">
        <f>IF(COUNTIF(Table_System_Grouping_Codes[groupingCodeCode],FinanceCodesBudget[[#This Row],[GroupingCode]])&gt;0,0,1)</f>
        <v>0</v>
      </c>
      <c r="C521" s="43">
        <f>IF(COUNTIF(CUSTGROUP[CustomGroupingCode],FinanceCodesBudget[[#This Row],[CustomGrouping]])&gt;0,0,1)</f>
        <v>0</v>
      </c>
      <c r="D521" s="43" cm="1">
        <f t="array" ref="D521">IF(FinanceCodesBudget[[#This Row],[AvailableToAllSchools]]=TRUE,0,COUNTA(_xlfn.TEXTSPLIT(FinanceCodesBudget[[#This Row],[SchoolCodes]],",",,TRUE))-SUM(COUNTIF(SCHOOLS[SchoolCode],_xlfn.TEXTSPLIT(FinanceCodesBudget[[#This Row],[SchoolCodes]],",",,TRUE))))</f>
        <v>0</v>
      </c>
      <c r="E521" s="43">
        <f>IF(FinanceCodesBudget[[#This Row],[FinanceCodeTypeCode]]="BUDGET",0,COUNTIF(FinanceCodesBudget[FinanceCode],FinanceCodesBudget[[#This Row],[FinanceCode]])-1)</f>
        <v>0</v>
      </c>
      <c r="F521" s="43">
        <f>IF(FinanceCodesBudget[[#This Row],[FinanceCodeTypeCode]]="BUDGET",0,COUNTIF(FinanceCodesBudget[Title],FinanceCodesBudget[[#This Row],[Title]])-1)</f>
        <v>0</v>
      </c>
      <c r="G521" s="43">
        <f>COUNTIF(Lookup!$A$2:$A$7,FinanceCodesBudget[[#This Row],[FinanceCodeTypeCode]])-1</f>
        <v>0</v>
      </c>
      <c r="H521" s="43">
        <f>IF(TRIM(FinanceCodesBudget[[#This Row],[Title]])="",1,0)</f>
        <v>0</v>
      </c>
      <c r="I521" s="43">
        <f>IF(TRIM(FinanceCodesBudget[[#This Row],[FinanceCode]])="",1,0)</f>
        <v>0</v>
      </c>
      <c r="J521" s="43">
        <f>IF(LEN(FinanceCodesBudget[[#This Row],[FinanceCode]])&lt;100,0,1)</f>
        <v>0</v>
      </c>
      <c r="K521" s="43">
        <f>IF(LEN(FinanceCodesBudget[[#This Row],[Title]])&lt;100,0,1)</f>
        <v>0</v>
      </c>
      <c r="L521" s="43">
        <f>IF(ISBLANK(FinanceCodesBudget[[#This Row],[BalanceToScenario]]),1,0)</f>
        <v>0</v>
      </c>
      <c r="M521" s="43">
        <f>SUM(FinanceCodesBudget[[#This Row],[LedgerIssue]:[CustGrIssue]],FinanceCodesBudget[[#This Row],[DupCode]:[Balance to Scenario Blank]])</f>
        <v>0</v>
      </c>
      <c r="N521">
        <v>895150</v>
      </c>
      <c r="O521" t="s">
        <v>3043</v>
      </c>
      <c r="P521" t="s">
        <v>815</v>
      </c>
      <c r="Q521" t="s">
        <v>1998</v>
      </c>
      <c r="R521" t="b">
        <v>0</v>
      </c>
      <c r="S521" t="s">
        <v>2735</v>
      </c>
      <c r="T521" t="s">
        <v>1300</v>
      </c>
      <c r="U521" t="s">
        <v>1532</v>
      </c>
      <c r="V521" t="b">
        <v>1</v>
      </c>
      <c r="W521" t="b">
        <v>0</v>
      </c>
    </row>
    <row r="522" spans="1:23" x14ac:dyDescent="0.3">
      <c r="A522" s="147">
        <f>IF(COUNTIF(LEDGER[LedgerCode],FinanceCodesBudget[[#This Row],[LedgerCode]])&gt;0,0,1)</f>
        <v>0</v>
      </c>
      <c r="B522" s="43">
        <f>IF(COUNTIF(Table_System_Grouping_Codes[groupingCodeCode],FinanceCodesBudget[[#This Row],[GroupingCode]])&gt;0,0,1)</f>
        <v>0</v>
      </c>
      <c r="C522" s="43">
        <f>IF(COUNTIF(CUSTGROUP[CustomGroupingCode],FinanceCodesBudget[[#This Row],[CustomGrouping]])&gt;0,0,1)</f>
        <v>0</v>
      </c>
      <c r="D522" s="43" cm="1">
        <f t="array" ref="D522">IF(FinanceCodesBudget[[#This Row],[AvailableToAllSchools]]=TRUE,0,COUNTA(_xlfn.TEXTSPLIT(FinanceCodesBudget[[#This Row],[SchoolCodes]],",",,TRUE))-SUM(COUNTIF(SCHOOLS[SchoolCode],_xlfn.TEXTSPLIT(FinanceCodesBudget[[#This Row],[SchoolCodes]],",",,TRUE))))</f>
        <v>0</v>
      </c>
      <c r="E522" s="43">
        <f>IF(FinanceCodesBudget[[#This Row],[FinanceCodeTypeCode]]="BUDGET",0,COUNTIF(FinanceCodesBudget[FinanceCode],FinanceCodesBudget[[#This Row],[FinanceCode]])-1)</f>
        <v>0</v>
      </c>
      <c r="F522" s="43">
        <f>IF(FinanceCodesBudget[[#This Row],[FinanceCodeTypeCode]]="BUDGET",0,COUNTIF(FinanceCodesBudget[Title],FinanceCodesBudget[[#This Row],[Title]])-1)</f>
        <v>0</v>
      </c>
      <c r="G522" s="43">
        <f>COUNTIF(Lookup!$A$2:$A$7,FinanceCodesBudget[[#This Row],[FinanceCodeTypeCode]])-1</f>
        <v>0</v>
      </c>
      <c r="H522" s="43">
        <f>IF(TRIM(FinanceCodesBudget[[#This Row],[Title]])="",1,0)</f>
        <v>0</v>
      </c>
      <c r="I522" s="43">
        <f>IF(TRIM(FinanceCodesBudget[[#This Row],[FinanceCode]])="",1,0)</f>
        <v>0</v>
      </c>
      <c r="J522" s="43">
        <f>IF(LEN(FinanceCodesBudget[[#This Row],[FinanceCode]])&lt;100,0,1)</f>
        <v>0</v>
      </c>
      <c r="K522" s="43">
        <f>IF(LEN(FinanceCodesBudget[[#This Row],[Title]])&lt;100,0,1)</f>
        <v>0</v>
      </c>
      <c r="L522" s="43">
        <f>IF(ISBLANK(FinanceCodesBudget[[#This Row],[BalanceToScenario]]),1,0)</f>
        <v>0</v>
      </c>
      <c r="M522" s="43">
        <f>SUM(FinanceCodesBudget[[#This Row],[LedgerIssue]:[CustGrIssue]],FinanceCodesBudget[[#This Row],[DupCode]:[Balance to Scenario Blank]])</f>
        <v>0</v>
      </c>
      <c r="N522">
        <v>895200</v>
      </c>
      <c r="O522" t="s">
        <v>3044</v>
      </c>
      <c r="P522" t="s">
        <v>817</v>
      </c>
      <c r="Q522" t="s">
        <v>1998</v>
      </c>
      <c r="R522" t="b">
        <v>0</v>
      </c>
      <c r="S522" t="s">
        <v>2735</v>
      </c>
      <c r="T522" t="s">
        <v>1300</v>
      </c>
      <c r="U522" t="s">
        <v>1532</v>
      </c>
      <c r="V522" t="b">
        <v>1</v>
      </c>
      <c r="W522" t="b">
        <v>0</v>
      </c>
    </row>
    <row r="523" spans="1:23" x14ac:dyDescent="0.3">
      <c r="A523" s="147">
        <f>IF(COUNTIF(LEDGER[LedgerCode],FinanceCodesBudget[[#This Row],[LedgerCode]])&gt;0,0,1)</f>
        <v>0</v>
      </c>
      <c r="B523" s="43">
        <f>IF(COUNTIF(Table_System_Grouping_Codes[groupingCodeCode],FinanceCodesBudget[[#This Row],[GroupingCode]])&gt;0,0,1)</f>
        <v>0</v>
      </c>
      <c r="C523" s="43">
        <f>IF(COUNTIF(CUSTGROUP[CustomGroupingCode],FinanceCodesBudget[[#This Row],[CustomGrouping]])&gt;0,0,1)</f>
        <v>0</v>
      </c>
      <c r="D523" s="43" cm="1">
        <f t="array" ref="D523">IF(FinanceCodesBudget[[#This Row],[AvailableToAllSchools]]=TRUE,0,COUNTA(_xlfn.TEXTSPLIT(FinanceCodesBudget[[#This Row],[SchoolCodes]],",",,TRUE))-SUM(COUNTIF(SCHOOLS[SchoolCode],_xlfn.TEXTSPLIT(FinanceCodesBudget[[#This Row],[SchoolCodes]],",",,TRUE))))</f>
        <v>0</v>
      </c>
      <c r="E523" s="43">
        <f>IF(FinanceCodesBudget[[#This Row],[FinanceCodeTypeCode]]="BUDGET",0,COUNTIF(FinanceCodesBudget[FinanceCode],FinanceCodesBudget[[#This Row],[FinanceCode]])-1)</f>
        <v>0</v>
      </c>
      <c r="F523" s="43">
        <f>IF(FinanceCodesBudget[[#This Row],[FinanceCodeTypeCode]]="BUDGET",0,COUNTIF(FinanceCodesBudget[Title],FinanceCodesBudget[[#This Row],[Title]])-1)</f>
        <v>0</v>
      </c>
      <c r="G523" s="43">
        <f>COUNTIF(Lookup!$A$2:$A$7,FinanceCodesBudget[[#This Row],[FinanceCodeTypeCode]])-1</f>
        <v>0</v>
      </c>
      <c r="H523" s="43">
        <f>IF(TRIM(FinanceCodesBudget[[#This Row],[Title]])="",1,0)</f>
        <v>0</v>
      </c>
      <c r="I523" s="43">
        <f>IF(TRIM(FinanceCodesBudget[[#This Row],[FinanceCode]])="",1,0)</f>
        <v>0</v>
      </c>
      <c r="J523" s="43">
        <f>IF(LEN(FinanceCodesBudget[[#This Row],[FinanceCode]])&lt;100,0,1)</f>
        <v>0</v>
      </c>
      <c r="K523" s="43">
        <f>IF(LEN(FinanceCodesBudget[[#This Row],[Title]])&lt;100,0,1)</f>
        <v>0</v>
      </c>
      <c r="L523" s="43">
        <f>IF(ISBLANK(FinanceCodesBudget[[#This Row],[BalanceToScenario]]),1,0)</f>
        <v>0</v>
      </c>
      <c r="M523" s="43">
        <f>SUM(FinanceCodesBudget[[#This Row],[LedgerIssue]:[CustGrIssue]],FinanceCodesBudget[[#This Row],[DupCode]:[Balance to Scenario Blank]])</f>
        <v>0</v>
      </c>
      <c r="N523">
        <v>895250</v>
      </c>
      <c r="O523" t="s">
        <v>3045</v>
      </c>
      <c r="P523" t="s">
        <v>819</v>
      </c>
      <c r="Q523" t="s">
        <v>1998</v>
      </c>
      <c r="R523" t="b">
        <v>0</v>
      </c>
      <c r="S523" t="s">
        <v>2735</v>
      </c>
      <c r="T523" t="s">
        <v>1300</v>
      </c>
      <c r="U523" t="s">
        <v>1532</v>
      </c>
      <c r="V523" t="b">
        <v>1</v>
      </c>
      <c r="W523" t="b">
        <v>0</v>
      </c>
    </row>
    <row r="524" spans="1:23" x14ac:dyDescent="0.3">
      <c r="A524" s="147">
        <f>IF(COUNTIF(LEDGER[LedgerCode],FinanceCodesBudget[[#This Row],[LedgerCode]])&gt;0,0,1)</f>
        <v>0</v>
      </c>
      <c r="B524" s="43">
        <f>IF(COUNTIF(Table_System_Grouping_Codes[groupingCodeCode],FinanceCodesBudget[[#This Row],[GroupingCode]])&gt;0,0,1)</f>
        <v>0</v>
      </c>
      <c r="C524" s="43">
        <f>IF(COUNTIF(CUSTGROUP[CustomGroupingCode],FinanceCodesBudget[[#This Row],[CustomGrouping]])&gt;0,0,1)</f>
        <v>0</v>
      </c>
      <c r="D524" s="43" cm="1">
        <f t="array" ref="D524">IF(FinanceCodesBudget[[#This Row],[AvailableToAllSchools]]=TRUE,0,COUNTA(_xlfn.TEXTSPLIT(FinanceCodesBudget[[#This Row],[SchoolCodes]],",",,TRUE))-SUM(COUNTIF(SCHOOLS[SchoolCode],_xlfn.TEXTSPLIT(FinanceCodesBudget[[#This Row],[SchoolCodes]],",",,TRUE))))</f>
        <v>0</v>
      </c>
      <c r="E524" s="43">
        <f>IF(FinanceCodesBudget[[#This Row],[FinanceCodeTypeCode]]="BUDGET",0,COUNTIF(FinanceCodesBudget[FinanceCode],FinanceCodesBudget[[#This Row],[FinanceCode]])-1)</f>
        <v>0</v>
      </c>
      <c r="F524" s="43">
        <f>IF(FinanceCodesBudget[[#This Row],[FinanceCodeTypeCode]]="BUDGET",0,COUNTIF(FinanceCodesBudget[Title],FinanceCodesBudget[[#This Row],[Title]])-1)</f>
        <v>0</v>
      </c>
      <c r="G524" s="43">
        <f>COUNTIF(Lookup!$A$2:$A$7,FinanceCodesBudget[[#This Row],[FinanceCodeTypeCode]])-1</f>
        <v>0</v>
      </c>
      <c r="H524" s="43">
        <f>IF(TRIM(FinanceCodesBudget[[#This Row],[Title]])="",1,0)</f>
        <v>0</v>
      </c>
      <c r="I524" s="43">
        <f>IF(TRIM(FinanceCodesBudget[[#This Row],[FinanceCode]])="",1,0)</f>
        <v>0</v>
      </c>
      <c r="J524" s="43">
        <f>IF(LEN(FinanceCodesBudget[[#This Row],[FinanceCode]])&lt;100,0,1)</f>
        <v>0</v>
      </c>
      <c r="K524" s="43">
        <f>IF(LEN(FinanceCodesBudget[[#This Row],[Title]])&lt;100,0,1)</f>
        <v>0</v>
      </c>
      <c r="L524" s="43">
        <f>IF(ISBLANK(FinanceCodesBudget[[#This Row],[BalanceToScenario]]),1,0)</f>
        <v>0</v>
      </c>
      <c r="M524" s="43">
        <f>SUM(FinanceCodesBudget[[#This Row],[LedgerIssue]:[CustGrIssue]],FinanceCodesBudget[[#This Row],[DupCode]:[Balance to Scenario Blank]])</f>
        <v>0</v>
      </c>
      <c r="N524">
        <v>895300</v>
      </c>
      <c r="O524" t="s">
        <v>3046</v>
      </c>
      <c r="P524" t="s">
        <v>821</v>
      </c>
      <c r="Q524" t="s">
        <v>1998</v>
      </c>
      <c r="R524" t="b">
        <v>0</v>
      </c>
      <c r="S524" t="s">
        <v>2735</v>
      </c>
      <c r="T524" t="s">
        <v>1300</v>
      </c>
      <c r="U524" t="s">
        <v>1532</v>
      </c>
      <c r="V524" t="b">
        <v>1</v>
      </c>
      <c r="W524" t="b">
        <v>0</v>
      </c>
    </row>
    <row r="525" spans="1:23" x14ac:dyDescent="0.3">
      <c r="A525" s="147">
        <f>IF(COUNTIF(LEDGER[LedgerCode],FinanceCodesBudget[[#This Row],[LedgerCode]])&gt;0,0,1)</f>
        <v>0</v>
      </c>
      <c r="B525" s="43">
        <f>IF(COUNTIF(Table_System_Grouping_Codes[groupingCodeCode],FinanceCodesBudget[[#This Row],[GroupingCode]])&gt;0,0,1)</f>
        <v>0</v>
      </c>
      <c r="C525" s="43">
        <f>IF(COUNTIF(CUSTGROUP[CustomGroupingCode],FinanceCodesBudget[[#This Row],[CustomGrouping]])&gt;0,0,1)</f>
        <v>0</v>
      </c>
      <c r="D525" s="43" cm="1">
        <f t="array" ref="D525">IF(FinanceCodesBudget[[#This Row],[AvailableToAllSchools]]=TRUE,0,COUNTA(_xlfn.TEXTSPLIT(FinanceCodesBudget[[#This Row],[SchoolCodes]],",",,TRUE))-SUM(COUNTIF(SCHOOLS[SchoolCode],_xlfn.TEXTSPLIT(FinanceCodesBudget[[#This Row],[SchoolCodes]],",",,TRUE))))</f>
        <v>0</v>
      </c>
      <c r="E525" s="43">
        <f>IF(FinanceCodesBudget[[#This Row],[FinanceCodeTypeCode]]="BUDGET",0,COUNTIF(FinanceCodesBudget[FinanceCode],FinanceCodesBudget[[#This Row],[FinanceCode]])-1)</f>
        <v>0</v>
      </c>
      <c r="F525" s="43">
        <f>IF(FinanceCodesBudget[[#This Row],[FinanceCodeTypeCode]]="BUDGET",0,COUNTIF(FinanceCodesBudget[Title],FinanceCodesBudget[[#This Row],[Title]])-1)</f>
        <v>0</v>
      </c>
      <c r="G525" s="43">
        <f>COUNTIF(Lookup!$A$2:$A$7,FinanceCodesBudget[[#This Row],[FinanceCodeTypeCode]])-1</f>
        <v>0</v>
      </c>
      <c r="H525" s="43">
        <f>IF(TRIM(FinanceCodesBudget[[#This Row],[Title]])="",1,0)</f>
        <v>0</v>
      </c>
      <c r="I525" s="43">
        <f>IF(TRIM(FinanceCodesBudget[[#This Row],[FinanceCode]])="",1,0)</f>
        <v>0</v>
      </c>
      <c r="J525" s="43">
        <f>IF(LEN(FinanceCodesBudget[[#This Row],[FinanceCode]])&lt;100,0,1)</f>
        <v>0</v>
      </c>
      <c r="K525" s="43">
        <f>IF(LEN(FinanceCodesBudget[[#This Row],[Title]])&lt;100,0,1)</f>
        <v>0</v>
      </c>
      <c r="L525" s="43">
        <f>IF(ISBLANK(FinanceCodesBudget[[#This Row],[BalanceToScenario]]),1,0)</f>
        <v>0</v>
      </c>
      <c r="M525" s="43">
        <f>SUM(FinanceCodesBudget[[#This Row],[LedgerIssue]:[CustGrIssue]],FinanceCodesBudget[[#This Row],[DupCode]:[Balance to Scenario Blank]])</f>
        <v>0</v>
      </c>
      <c r="N525">
        <v>895350</v>
      </c>
      <c r="O525" t="s">
        <v>3047</v>
      </c>
      <c r="P525" t="s">
        <v>822</v>
      </c>
      <c r="Q525" t="s">
        <v>1998</v>
      </c>
      <c r="R525" t="b">
        <v>0</v>
      </c>
      <c r="S525" t="s">
        <v>2735</v>
      </c>
      <c r="T525" t="s">
        <v>1300</v>
      </c>
      <c r="U525" t="s">
        <v>1532</v>
      </c>
      <c r="V525" t="b">
        <v>1</v>
      </c>
      <c r="W525" t="b">
        <v>0</v>
      </c>
    </row>
    <row r="526" spans="1:23" x14ac:dyDescent="0.3">
      <c r="A526" s="147">
        <f>IF(COUNTIF(LEDGER[LedgerCode],FinanceCodesBudget[[#This Row],[LedgerCode]])&gt;0,0,1)</f>
        <v>0</v>
      </c>
      <c r="B526" s="43">
        <f>IF(COUNTIF(Table_System_Grouping_Codes[groupingCodeCode],FinanceCodesBudget[[#This Row],[GroupingCode]])&gt;0,0,1)</f>
        <v>0</v>
      </c>
      <c r="C526" s="43">
        <f>IF(COUNTIF(CUSTGROUP[CustomGroupingCode],FinanceCodesBudget[[#This Row],[CustomGrouping]])&gt;0,0,1)</f>
        <v>0</v>
      </c>
      <c r="D526" s="43" cm="1">
        <f t="array" ref="D526">IF(FinanceCodesBudget[[#This Row],[AvailableToAllSchools]]=TRUE,0,COUNTA(_xlfn.TEXTSPLIT(FinanceCodesBudget[[#This Row],[SchoolCodes]],",",,TRUE))-SUM(COUNTIF(SCHOOLS[SchoolCode],_xlfn.TEXTSPLIT(FinanceCodesBudget[[#This Row],[SchoolCodes]],",",,TRUE))))</f>
        <v>0</v>
      </c>
      <c r="E526" s="43">
        <f>IF(FinanceCodesBudget[[#This Row],[FinanceCodeTypeCode]]="BUDGET",0,COUNTIF(FinanceCodesBudget[FinanceCode],FinanceCodesBudget[[#This Row],[FinanceCode]])-1)</f>
        <v>0</v>
      </c>
      <c r="F526" s="43">
        <f>IF(FinanceCodesBudget[[#This Row],[FinanceCodeTypeCode]]="BUDGET",0,COUNTIF(FinanceCodesBudget[Title],FinanceCodesBudget[[#This Row],[Title]])-1)</f>
        <v>0</v>
      </c>
      <c r="G526" s="43">
        <f>COUNTIF(Lookup!$A$2:$A$7,FinanceCodesBudget[[#This Row],[FinanceCodeTypeCode]])-1</f>
        <v>0</v>
      </c>
      <c r="H526" s="43">
        <f>IF(TRIM(FinanceCodesBudget[[#This Row],[Title]])="",1,0)</f>
        <v>0</v>
      </c>
      <c r="I526" s="43">
        <f>IF(TRIM(FinanceCodesBudget[[#This Row],[FinanceCode]])="",1,0)</f>
        <v>0</v>
      </c>
      <c r="J526" s="43">
        <f>IF(LEN(FinanceCodesBudget[[#This Row],[FinanceCode]])&lt;100,0,1)</f>
        <v>0</v>
      </c>
      <c r="K526" s="43">
        <f>IF(LEN(FinanceCodesBudget[[#This Row],[Title]])&lt;100,0,1)</f>
        <v>0</v>
      </c>
      <c r="L526" s="43">
        <f>IF(ISBLANK(FinanceCodesBudget[[#This Row],[BalanceToScenario]]),1,0)</f>
        <v>0</v>
      </c>
      <c r="M526" s="43">
        <f>SUM(FinanceCodesBudget[[#This Row],[LedgerIssue]:[CustGrIssue]],FinanceCodesBudget[[#This Row],[DupCode]:[Balance to Scenario Blank]])</f>
        <v>0</v>
      </c>
      <c r="N526">
        <v>895400</v>
      </c>
      <c r="O526" t="s">
        <v>3048</v>
      </c>
      <c r="P526" t="s">
        <v>824</v>
      </c>
      <c r="Q526" t="s">
        <v>1998</v>
      </c>
      <c r="R526" t="b">
        <v>0</v>
      </c>
      <c r="S526" t="s">
        <v>2735</v>
      </c>
      <c r="T526" t="s">
        <v>1300</v>
      </c>
      <c r="U526" t="s">
        <v>1532</v>
      </c>
      <c r="V526" t="b">
        <v>1</v>
      </c>
      <c r="W526" t="b">
        <v>0</v>
      </c>
    </row>
    <row r="527" spans="1:23" x14ac:dyDescent="0.3">
      <c r="A527" s="147">
        <f>IF(COUNTIF(LEDGER[LedgerCode],FinanceCodesBudget[[#This Row],[LedgerCode]])&gt;0,0,1)</f>
        <v>0</v>
      </c>
      <c r="B527" s="43">
        <f>IF(COUNTIF(Table_System_Grouping_Codes[groupingCodeCode],FinanceCodesBudget[[#This Row],[GroupingCode]])&gt;0,0,1)</f>
        <v>0</v>
      </c>
      <c r="C527" s="43">
        <f>IF(COUNTIF(CUSTGROUP[CustomGroupingCode],FinanceCodesBudget[[#This Row],[CustomGrouping]])&gt;0,0,1)</f>
        <v>0</v>
      </c>
      <c r="D527" s="43" cm="1">
        <f t="array" ref="D527">IF(FinanceCodesBudget[[#This Row],[AvailableToAllSchools]]=TRUE,0,COUNTA(_xlfn.TEXTSPLIT(FinanceCodesBudget[[#This Row],[SchoolCodes]],",",,TRUE))-SUM(COUNTIF(SCHOOLS[SchoolCode],_xlfn.TEXTSPLIT(FinanceCodesBudget[[#This Row],[SchoolCodes]],",",,TRUE))))</f>
        <v>0</v>
      </c>
      <c r="E527" s="43">
        <f>IF(FinanceCodesBudget[[#This Row],[FinanceCodeTypeCode]]="BUDGET",0,COUNTIF(FinanceCodesBudget[FinanceCode],FinanceCodesBudget[[#This Row],[FinanceCode]])-1)</f>
        <v>0</v>
      </c>
      <c r="F527" s="43">
        <f>IF(FinanceCodesBudget[[#This Row],[FinanceCodeTypeCode]]="BUDGET",0,COUNTIF(FinanceCodesBudget[Title],FinanceCodesBudget[[#This Row],[Title]])-1)</f>
        <v>0</v>
      </c>
      <c r="G527" s="43">
        <f>COUNTIF(Lookup!$A$2:$A$7,FinanceCodesBudget[[#This Row],[FinanceCodeTypeCode]])-1</f>
        <v>0</v>
      </c>
      <c r="H527" s="43">
        <f>IF(TRIM(FinanceCodesBudget[[#This Row],[Title]])="",1,0)</f>
        <v>0</v>
      </c>
      <c r="I527" s="43">
        <f>IF(TRIM(FinanceCodesBudget[[#This Row],[FinanceCode]])="",1,0)</f>
        <v>0</v>
      </c>
      <c r="J527" s="43">
        <f>IF(LEN(FinanceCodesBudget[[#This Row],[FinanceCode]])&lt;100,0,1)</f>
        <v>0</v>
      </c>
      <c r="K527" s="43">
        <f>IF(LEN(FinanceCodesBudget[[#This Row],[Title]])&lt;100,0,1)</f>
        <v>0</v>
      </c>
      <c r="L527" s="43">
        <f>IF(ISBLANK(FinanceCodesBudget[[#This Row],[BalanceToScenario]]),1,0)</f>
        <v>0</v>
      </c>
      <c r="M527" s="43">
        <f>SUM(FinanceCodesBudget[[#This Row],[LedgerIssue]:[CustGrIssue]],FinanceCodesBudget[[#This Row],[DupCode]:[Balance to Scenario Blank]])</f>
        <v>0</v>
      </c>
      <c r="N527">
        <v>895450</v>
      </c>
      <c r="O527" t="s">
        <v>3049</v>
      </c>
      <c r="P527" t="s">
        <v>826</v>
      </c>
      <c r="Q527" t="s">
        <v>1998</v>
      </c>
      <c r="R527" t="b">
        <v>0</v>
      </c>
      <c r="S527" t="s">
        <v>2735</v>
      </c>
      <c r="T527" t="s">
        <v>1300</v>
      </c>
      <c r="U527" t="s">
        <v>1532</v>
      </c>
      <c r="V527" t="b">
        <v>1</v>
      </c>
      <c r="W527" t="b">
        <v>0</v>
      </c>
    </row>
    <row r="528" spans="1:23" x14ac:dyDescent="0.3">
      <c r="A528" s="147">
        <f>IF(COUNTIF(LEDGER[LedgerCode],FinanceCodesBudget[[#This Row],[LedgerCode]])&gt;0,0,1)</f>
        <v>0</v>
      </c>
      <c r="B528" s="43">
        <f>IF(COUNTIF(Table_System_Grouping_Codes[groupingCodeCode],FinanceCodesBudget[[#This Row],[GroupingCode]])&gt;0,0,1)</f>
        <v>0</v>
      </c>
      <c r="C528" s="43">
        <f>IF(COUNTIF(CUSTGROUP[CustomGroupingCode],FinanceCodesBudget[[#This Row],[CustomGrouping]])&gt;0,0,1)</f>
        <v>0</v>
      </c>
      <c r="D528" s="43" cm="1">
        <f t="array" ref="D528">IF(FinanceCodesBudget[[#This Row],[AvailableToAllSchools]]=TRUE,0,COUNTA(_xlfn.TEXTSPLIT(FinanceCodesBudget[[#This Row],[SchoolCodes]],",",,TRUE))-SUM(COUNTIF(SCHOOLS[SchoolCode],_xlfn.TEXTSPLIT(FinanceCodesBudget[[#This Row],[SchoolCodes]],",",,TRUE))))</f>
        <v>0</v>
      </c>
      <c r="E528" s="43">
        <f>IF(FinanceCodesBudget[[#This Row],[FinanceCodeTypeCode]]="BUDGET",0,COUNTIF(FinanceCodesBudget[FinanceCode],FinanceCodesBudget[[#This Row],[FinanceCode]])-1)</f>
        <v>0</v>
      </c>
      <c r="F528" s="43">
        <f>IF(FinanceCodesBudget[[#This Row],[FinanceCodeTypeCode]]="BUDGET",0,COUNTIF(FinanceCodesBudget[Title],FinanceCodesBudget[[#This Row],[Title]])-1)</f>
        <v>0</v>
      </c>
      <c r="G528" s="43">
        <f>COUNTIF(Lookup!$A$2:$A$7,FinanceCodesBudget[[#This Row],[FinanceCodeTypeCode]])-1</f>
        <v>0</v>
      </c>
      <c r="H528" s="43">
        <f>IF(TRIM(FinanceCodesBudget[[#This Row],[Title]])="",1,0)</f>
        <v>0</v>
      </c>
      <c r="I528" s="43">
        <f>IF(TRIM(FinanceCodesBudget[[#This Row],[FinanceCode]])="",1,0)</f>
        <v>0</v>
      </c>
      <c r="J528" s="43">
        <f>IF(LEN(FinanceCodesBudget[[#This Row],[FinanceCode]])&lt;100,0,1)</f>
        <v>0</v>
      </c>
      <c r="K528" s="43">
        <f>IF(LEN(FinanceCodesBudget[[#This Row],[Title]])&lt;100,0,1)</f>
        <v>0</v>
      </c>
      <c r="L528" s="43">
        <f>IF(ISBLANK(FinanceCodesBudget[[#This Row],[BalanceToScenario]]),1,0)</f>
        <v>0</v>
      </c>
      <c r="M528" s="43">
        <f>SUM(FinanceCodesBudget[[#This Row],[LedgerIssue]:[CustGrIssue]],FinanceCodesBudget[[#This Row],[DupCode]:[Balance to Scenario Blank]])</f>
        <v>0</v>
      </c>
      <c r="N528">
        <v>895500</v>
      </c>
      <c r="O528" t="s">
        <v>3050</v>
      </c>
      <c r="P528" t="s">
        <v>828</v>
      </c>
      <c r="Q528" t="s">
        <v>1998</v>
      </c>
      <c r="R528" t="b">
        <v>0</v>
      </c>
      <c r="S528" t="s">
        <v>2735</v>
      </c>
      <c r="T528" t="s">
        <v>1300</v>
      </c>
      <c r="U528" t="s">
        <v>1532</v>
      </c>
      <c r="V528" t="b">
        <v>1</v>
      </c>
      <c r="W528" t="b">
        <v>0</v>
      </c>
    </row>
    <row r="529" spans="1:23" x14ac:dyDescent="0.3">
      <c r="A529" s="147">
        <f>IF(COUNTIF(LEDGER[LedgerCode],FinanceCodesBudget[[#This Row],[LedgerCode]])&gt;0,0,1)</f>
        <v>0</v>
      </c>
      <c r="B529" s="43">
        <f>IF(COUNTIF(Table_System_Grouping_Codes[groupingCodeCode],FinanceCodesBudget[[#This Row],[GroupingCode]])&gt;0,0,1)</f>
        <v>0</v>
      </c>
      <c r="C529" s="43">
        <f>IF(COUNTIF(CUSTGROUP[CustomGroupingCode],FinanceCodesBudget[[#This Row],[CustomGrouping]])&gt;0,0,1)</f>
        <v>0</v>
      </c>
      <c r="D529" s="43" cm="1">
        <f t="array" ref="D529">IF(FinanceCodesBudget[[#This Row],[AvailableToAllSchools]]=TRUE,0,COUNTA(_xlfn.TEXTSPLIT(FinanceCodesBudget[[#This Row],[SchoolCodes]],",",,TRUE))-SUM(COUNTIF(SCHOOLS[SchoolCode],_xlfn.TEXTSPLIT(FinanceCodesBudget[[#This Row],[SchoolCodes]],",",,TRUE))))</f>
        <v>0</v>
      </c>
      <c r="E529" s="43">
        <f>IF(FinanceCodesBudget[[#This Row],[FinanceCodeTypeCode]]="BUDGET",0,COUNTIF(FinanceCodesBudget[FinanceCode],FinanceCodesBudget[[#This Row],[FinanceCode]])-1)</f>
        <v>0</v>
      </c>
      <c r="F529" s="43">
        <f>IF(FinanceCodesBudget[[#This Row],[FinanceCodeTypeCode]]="BUDGET",0,COUNTIF(FinanceCodesBudget[Title],FinanceCodesBudget[[#This Row],[Title]])-1)</f>
        <v>0</v>
      </c>
      <c r="G529" s="43">
        <f>COUNTIF(Lookup!$A$2:$A$7,FinanceCodesBudget[[#This Row],[FinanceCodeTypeCode]])-1</f>
        <v>0</v>
      </c>
      <c r="H529" s="43">
        <f>IF(TRIM(FinanceCodesBudget[[#This Row],[Title]])="",1,0)</f>
        <v>0</v>
      </c>
      <c r="I529" s="43">
        <f>IF(TRIM(FinanceCodesBudget[[#This Row],[FinanceCode]])="",1,0)</f>
        <v>0</v>
      </c>
      <c r="J529" s="43">
        <f>IF(LEN(FinanceCodesBudget[[#This Row],[FinanceCode]])&lt;100,0,1)</f>
        <v>0</v>
      </c>
      <c r="K529" s="43">
        <f>IF(LEN(FinanceCodesBudget[[#This Row],[Title]])&lt;100,0,1)</f>
        <v>0</v>
      </c>
      <c r="L529" s="43">
        <f>IF(ISBLANK(FinanceCodesBudget[[#This Row],[BalanceToScenario]]),1,0)</f>
        <v>0</v>
      </c>
      <c r="M529" s="43">
        <f>SUM(FinanceCodesBudget[[#This Row],[LedgerIssue]:[CustGrIssue]],FinanceCodesBudget[[#This Row],[DupCode]:[Balance to Scenario Blank]])</f>
        <v>0</v>
      </c>
      <c r="N529">
        <v>895550</v>
      </c>
      <c r="O529" t="s">
        <v>3051</v>
      </c>
      <c r="P529" t="s">
        <v>830</v>
      </c>
      <c r="Q529" t="s">
        <v>1998</v>
      </c>
      <c r="R529" t="b">
        <v>0</v>
      </c>
      <c r="S529" t="s">
        <v>2735</v>
      </c>
      <c r="T529" t="s">
        <v>1300</v>
      </c>
      <c r="U529" t="s">
        <v>1532</v>
      </c>
      <c r="V529" t="b">
        <v>1</v>
      </c>
      <c r="W529" t="b">
        <v>0</v>
      </c>
    </row>
    <row r="530" spans="1:23" x14ac:dyDescent="0.3">
      <c r="A530" s="147">
        <f>IF(COUNTIF(LEDGER[LedgerCode],FinanceCodesBudget[[#This Row],[LedgerCode]])&gt;0,0,1)</f>
        <v>0</v>
      </c>
      <c r="B530" s="43">
        <f>IF(COUNTIF(Table_System_Grouping_Codes[groupingCodeCode],FinanceCodesBudget[[#This Row],[GroupingCode]])&gt;0,0,1)</f>
        <v>0</v>
      </c>
      <c r="C530" s="43">
        <f>IF(COUNTIF(CUSTGROUP[CustomGroupingCode],FinanceCodesBudget[[#This Row],[CustomGrouping]])&gt;0,0,1)</f>
        <v>0</v>
      </c>
      <c r="D530" s="43" cm="1">
        <f t="array" ref="D530">IF(FinanceCodesBudget[[#This Row],[AvailableToAllSchools]]=TRUE,0,COUNTA(_xlfn.TEXTSPLIT(FinanceCodesBudget[[#This Row],[SchoolCodes]],",",,TRUE))-SUM(COUNTIF(SCHOOLS[SchoolCode],_xlfn.TEXTSPLIT(FinanceCodesBudget[[#This Row],[SchoolCodes]],",",,TRUE))))</f>
        <v>0</v>
      </c>
      <c r="E530" s="43">
        <f>IF(FinanceCodesBudget[[#This Row],[FinanceCodeTypeCode]]="BUDGET",0,COUNTIF(FinanceCodesBudget[FinanceCode],FinanceCodesBudget[[#This Row],[FinanceCode]])-1)</f>
        <v>0</v>
      </c>
      <c r="F530" s="43">
        <f>IF(FinanceCodesBudget[[#This Row],[FinanceCodeTypeCode]]="BUDGET",0,COUNTIF(FinanceCodesBudget[Title],FinanceCodesBudget[[#This Row],[Title]])-1)</f>
        <v>0</v>
      </c>
      <c r="G530" s="43">
        <f>COUNTIF(Lookup!$A$2:$A$7,FinanceCodesBudget[[#This Row],[FinanceCodeTypeCode]])-1</f>
        <v>0</v>
      </c>
      <c r="H530" s="43">
        <f>IF(TRIM(FinanceCodesBudget[[#This Row],[Title]])="",1,0)</f>
        <v>0</v>
      </c>
      <c r="I530" s="43">
        <f>IF(TRIM(FinanceCodesBudget[[#This Row],[FinanceCode]])="",1,0)</f>
        <v>0</v>
      </c>
      <c r="J530" s="43">
        <f>IF(LEN(FinanceCodesBudget[[#This Row],[FinanceCode]])&lt;100,0,1)</f>
        <v>0</v>
      </c>
      <c r="K530" s="43">
        <f>IF(LEN(FinanceCodesBudget[[#This Row],[Title]])&lt;100,0,1)</f>
        <v>0</v>
      </c>
      <c r="L530" s="43">
        <f>IF(ISBLANK(FinanceCodesBudget[[#This Row],[BalanceToScenario]]),1,0)</f>
        <v>0</v>
      </c>
      <c r="M530" s="43">
        <f>SUM(FinanceCodesBudget[[#This Row],[LedgerIssue]:[CustGrIssue]],FinanceCodesBudget[[#This Row],[DupCode]:[Balance to Scenario Blank]])</f>
        <v>0</v>
      </c>
      <c r="N530">
        <v>895600</v>
      </c>
      <c r="O530" t="s">
        <v>3052</v>
      </c>
      <c r="P530" t="s">
        <v>832</v>
      </c>
      <c r="Q530" t="s">
        <v>1998</v>
      </c>
      <c r="R530" t="b">
        <v>0</v>
      </c>
      <c r="S530" t="s">
        <v>2735</v>
      </c>
      <c r="T530" t="s">
        <v>1300</v>
      </c>
      <c r="U530" t="s">
        <v>1532</v>
      </c>
      <c r="V530" t="b">
        <v>1</v>
      </c>
      <c r="W530" t="b">
        <v>0</v>
      </c>
    </row>
    <row r="531" spans="1:23" x14ac:dyDescent="0.3">
      <c r="A531" s="147">
        <f>IF(COUNTIF(LEDGER[LedgerCode],FinanceCodesBudget[[#This Row],[LedgerCode]])&gt;0,0,1)</f>
        <v>0</v>
      </c>
      <c r="B531" s="43">
        <f>IF(COUNTIF(Table_System_Grouping_Codes[groupingCodeCode],FinanceCodesBudget[[#This Row],[GroupingCode]])&gt;0,0,1)</f>
        <v>0</v>
      </c>
      <c r="C531" s="43">
        <f>IF(COUNTIF(CUSTGROUP[CustomGroupingCode],FinanceCodesBudget[[#This Row],[CustomGrouping]])&gt;0,0,1)</f>
        <v>0</v>
      </c>
      <c r="D531" s="43" cm="1">
        <f t="array" ref="D531">IF(FinanceCodesBudget[[#This Row],[AvailableToAllSchools]]=TRUE,0,COUNTA(_xlfn.TEXTSPLIT(FinanceCodesBudget[[#This Row],[SchoolCodes]],",",,TRUE))-SUM(COUNTIF(SCHOOLS[SchoolCode],_xlfn.TEXTSPLIT(FinanceCodesBudget[[#This Row],[SchoolCodes]],",",,TRUE))))</f>
        <v>0</v>
      </c>
      <c r="E531" s="43">
        <f>IF(FinanceCodesBudget[[#This Row],[FinanceCodeTypeCode]]="BUDGET",0,COUNTIF(FinanceCodesBudget[FinanceCode],FinanceCodesBudget[[#This Row],[FinanceCode]])-1)</f>
        <v>0</v>
      </c>
      <c r="F531" s="43">
        <f>IF(FinanceCodesBudget[[#This Row],[FinanceCodeTypeCode]]="BUDGET",0,COUNTIF(FinanceCodesBudget[Title],FinanceCodesBudget[[#This Row],[Title]])-1)</f>
        <v>0</v>
      </c>
      <c r="G531" s="43">
        <f>COUNTIF(Lookup!$A$2:$A$7,FinanceCodesBudget[[#This Row],[FinanceCodeTypeCode]])-1</f>
        <v>0</v>
      </c>
      <c r="H531" s="43">
        <f>IF(TRIM(FinanceCodesBudget[[#This Row],[Title]])="",1,0)</f>
        <v>0</v>
      </c>
      <c r="I531" s="43">
        <f>IF(TRIM(FinanceCodesBudget[[#This Row],[FinanceCode]])="",1,0)</f>
        <v>0</v>
      </c>
      <c r="J531" s="43">
        <f>IF(LEN(FinanceCodesBudget[[#This Row],[FinanceCode]])&lt;100,0,1)</f>
        <v>0</v>
      </c>
      <c r="K531" s="43">
        <f>IF(LEN(FinanceCodesBudget[[#This Row],[Title]])&lt;100,0,1)</f>
        <v>0</v>
      </c>
      <c r="L531" s="43">
        <f>IF(ISBLANK(FinanceCodesBudget[[#This Row],[BalanceToScenario]]),1,0)</f>
        <v>0</v>
      </c>
      <c r="M531" s="43">
        <f>SUM(FinanceCodesBudget[[#This Row],[LedgerIssue]:[CustGrIssue]],FinanceCodesBudget[[#This Row],[DupCode]:[Balance to Scenario Blank]])</f>
        <v>0</v>
      </c>
      <c r="N531">
        <v>895650</v>
      </c>
      <c r="O531" t="s">
        <v>3053</v>
      </c>
      <c r="P531" t="s">
        <v>834</v>
      </c>
      <c r="Q531" t="s">
        <v>1998</v>
      </c>
      <c r="R531" t="b">
        <v>0</v>
      </c>
      <c r="S531" t="s">
        <v>2735</v>
      </c>
      <c r="T531" t="s">
        <v>1300</v>
      </c>
      <c r="U531" t="s">
        <v>1532</v>
      </c>
      <c r="V531" t="b">
        <v>1</v>
      </c>
      <c r="W531" t="b">
        <v>0</v>
      </c>
    </row>
    <row r="532" spans="1:23" x14ac:dyDescent="0.3">
      <c r="A532" s="147">
        <f>IF(COUNTIF(LEDGER[LedgerCode],FinanceCodesBudget[[#This Row],[LedgerCode]])&gt;0,0,1)</f>
        <v>0</v>
      </c>
      <c r="B532" s="43">
        <f>IF(COUNTIF(Table_System_Grouping_Codes[groupingCodeCode],FinanceCodesBudget[[#This Row],[GroupingCode]])&gt;0,0,1)</f>
        <v>0</v>
      </c>
      <c r="C532" s="43">
        <f>IF(COUNTIF(CUSTGROUP[CustomGroupingCode],FinanceCodesBudget[[#This Row],[CustomGrouping]])&gt;0,0,1)</f>
        <v>0</v>
      </c>
      <c r="D532" s="43" cm="1">
        <f t="array" ref="D532">IF(FinanceCodesBudget[[#This Row],[AvailableToAllSchools]]=TRUE,0,COUNTA(_xlfn.TEXTSPLIT(FinanceCodesBudget[[#This Row],[SchoolCodes]],",",,TRUE))-SUM(COUNTIF(SCHOOLS[SchoolCode],_xlfn.TEXTSPLIT(FinanceCodesBudget[[#This Row],[SchoolCodes]],",",,TRUE))))</f>
        <v>0</v>
      </c>
      <c r="E532" s="43">
        <f>IF(FinanceCodesBudget[[#This Row],[FinanceCodeTypeCode]]="BUDGET",0,COUNTIF(FinanceCodesBudget[FinanceCode],FinanceCodesBudget[[#This Row],[FinanceCode]])-1)</f>
        <v>0</v>
      </c>
      <c r="F532" s="43">
        <f>IF(FinanceCodesBudget[[#This Row],[FinanceCodeTypeCode]]="BUDGET",0,COUNTIF(FinanceCodesBudget[Title],FinanceCodesBudget[[#This Row],[Title]])-1)</f>
        <v>0</v>
      </c>
      <c r="G532" s="43">
        <f>COUNTIF(Lookup!$A$2:$A$7,FinanceCodesBudget[[#This Row],[FinanceCodeTypeCode]])-1</f>
        <v>0</v>
      </c>
      <c r="H532" s="43">
        <f>IF(TRIM(FinanceCodesBudget[[#This Row],[Title]])="",1,0)</f>
        <v>0</v>
      </c>
      <c r="I532" s="43">
        <f>IF(TRIM(FinanceCodesBudget[[#This Row],[FinanceCode]])="",1,0)</f>
        <v>0</v>
      </c>
      <c r="J532" s="43">
        <f>IF(LEN(FinanceCodesBudget[[#This Row],[FinanceCode]])&lt;100,0,1)</f>
        <v>0</v>
      </c>
      <c r="K532" s="43">
        <f>IF(LEN(FinanceCodesBudget[[#This Row],[Title]])&lt;100,0,1)</f>
        <v>0</v>
      </c>
      <c r="L532" s="43">
        <f>IF(ISBLANK(FinanceCodesBudget[[#This Row],[BalanceToScenario]]),1,0)</f>
        <v>0</v>
      </c>
      <c r="M532" s="43">
        <f>SUM(FinanceCodesBudget[[#This Row],[LedgerIssue]:[CustGrIssue]],FinanceCodesBudget[[#This Row],[DupCode]:[Balance to Scenario Blank]])</f>
        <v>0</v>
      </c>
      <c r="N532">
        <v>895700</v>
      </c>
      <c r="O532" t="s">
        <v>3054</v>
      </c>
      <c r="P532" t="s">
        <v>836</v>
      </c>
      <c r="Q532" t="s">
        <v>1998</v>
      </c>
      <c r="R532" t="b">
        <v>0</v>
      </c>
      <c r="S532" t="s">
        <v>2735</v>
      </c>
      <c r="T532" t="s">
        <v>1300</v>
      </c>
      <c r="U532" t="s">
        <v>1532</v>
      </c>
      <c r="V532" t="b">
        <v>1</v>
      </c>
      <c r="W532" t="b">
        <v>0</v>
      </c>
    </row>
    <row r="533" spans="1:23" x14ac:dyDescent="0.3">
      <c r="A533" s="147">
        <f>IF(COUNTIF(LEDGER[LedgerCode],FinanceCodesBudget[[#This Row],[LedgerCode]])&gt;0,0,1)</f>
        <v>0</v>
      </c>
      <c r="B533" s="43">
        <f>IF(COUNTIF(Table_System_Grouping_Codes[groupingCodeCode],FinanceCodesBudget[[#This Row],[GroupingCode]])&gt;0,0,1)</f>
        <v>0</v>
      </c>
      <c r="C533" s="43">
        <f>IF(COUNTIF(CUSTGROUP[CustomGroupingCode],FinanceCodesBudget[[#This Row],[CustomGrouping]])&gt;0,0,1)</f>
        <v>0</v>
      </c>
      <c r="D533" s="43" cm="1">
        <f t="array" ref="D533">IF(FinanceCodesBudget[[#This Row],[AvailableToAllSchools]]=TRUE,0,COUNTA(_xlfn.TEXTSPLIT(FinanceCodesBudget[[#This Row],[SchoolCodes]],",",,TRUE))-SUM(COUNTIF(SCHOOLS[SchoolCode],_xlfn.TEXTSPLIT(FinanceCodesBudget[[#This Row],[SchoolCodes]],",",,TRUE))))</f>
        <v>0</v>
      </c>
      <c r="E533" s="43">
        <f>IF(FinanceCodesBudget[[#This Row],[FinanceCodeTypeCode]]="BUDGET",0,COUNTIF(FinanceCodesBudget[FinanceCode],FinanceCodesBudget[[#This Row],[FinanceCode]])-1)</f>
        <v>0</v>
      </c>
      <c r="F533" s="43">
        <f>IF(FinanceCodesBudget[[#This Row],[FinanceCodeTypeCode]]="BUDGET",0,COUNTIF(FinanceCodesBudget[Title],FinanceCodesBudget[[#This Row],[Title]])-1)</f>
        <v>0</v>
      </c>
      <c r="G533" s="43">
        <f>COUNTIF(Lookup!$A$2:$A$7,FinanceCodesBudget[[#This Row],[FinanceCodeTypeCode]])-1</f>
        <v>0</v>
      </c>
      <c r="H533" s="43">
        <f>IF(TRIM(FinanceCodesBudget[[#This Row],[Title]])="",1,0)</f>
        <v>0</v>
      </c>
      <c r="I533" s="43">
        <f>IF(TRIM(FinanceCodesBudget[[#This Row],[FinanceCode]])="",1,0)</f>
        <v>0</v>
      </c>
      <c r="J533" s="43">
        <f>IF(LEN(FinanceCodesBudget[[#This Row],[FinanceCode]])&lt;100,0,1)</f>
        <v>0</v>
      </c>
      <c r="K533" s="43">
        <f>IF(LEN(FinanceCodesBudget[[#This Row],[Title]])&lt;100,0,1)</f>
        <v>0</v>
      </c>
      <c r="L533" s="43">
        <f>IF(ISBLANK(FinanceCodesBudget[[#This Row],[BalanceToScenario]]),1,0)</f>
        <v>0</v>
      </c>
      <c r="M533" s="43">
        <f>SUM(FinanceCodesBudget[[#This Row],[LedgerIssue]:[CustGrIssue]],FinanceCodesBudget[[#This Row],[DupCode]:[Balance to Scenario Blank]])</f>
        <v>0</v>
      </c>
      <c r="N533">
        <v>895750</v>
      </c>
      <c r="O533" t="s">
        <v>3055</v>
      </c>
      <c r="P533" t="s">
        <v>838</v>
      </c>
      <c r="Q533" t="s">
        <v>2008</v>
      </c>
      <c r="R533" t="b">
        <v>0</v>
      </c>
      <c r="S533" t="s">
        <v>2735</v>
      </c>
      <c r="T533" t="s">
        <v>1300</v>
      </c>
      <c r="U533" t="s">
        <v>1965</v>
      </c>
      <c r="V533" t="b">
        <v>1</v>
      </c>
      <c r="W533" t="b">
        <v>0</v>
      </c>
    </row>
    <row r="534" spans="1:23" x14ac:dyDescent="0.3">
      <c r="A534" s="147">
        <f>IF(COUNTIF(LEDGER[LedgerCode],FinanceCodesBudget[[#This Row],[LedgerCode]])&gt;0,0,1)</f>
        <v>0</v>
      </c>
      <c r="B534" s="43">
        <f>IF(COUNTIF(Table_System_Grouping_Codes[groupingCodeCode],FinanceCodesBudget[[#This Row],[GroupingCode]])&gt;0,0,1)</f>
        <v>0</v>
      </c>
      <c r="C534" s="43">
        <f>IF(COUNTIF(CUSTGROUP[CustomGroupingCode],FinanceCodesBudget[[#This Row],[CustomGrouping]])&gt;0,0,1)</f>
        <v>0</v>
      </c>
      <c r="D534" s="43" cm="1">
        <f t="array" ref="D534">IF(FinanceCodesBudget[[#This Row],[AvailableToAllSchools]]=TRUE,0,COUNTA(_xlfn.TEXTSPLIT(FinanceCodesBudget[[#This Row],[SchoolCodes]],",",,TRUE))-SUM(COUNTIF(SCHOOLS[SchoolCode],_xlfn.TEXTSPLIT(FinanceCodesBudget[[#This Row],[SchoolCodes]],",",,TRUE))))</f>
        <v>0</v>
      </c>
      <c r="E534" s="43">
        <f>IF(FinanceCodesBudget[[#This Row],[FinanceCodeTypeCode]]="BUDGET",0,COUNTIF(FinanceCodesBudget[FinanceCode],FinanceCodesBudget[[#This Row],[FinanceCode]])-1)</f>
        <v>0</v>
      </c>
      <c r="F534" s="43">
        <f>IF(FinanceCodesBudget[[#This Row],[FinanceCodeTypeCode]]="BUDGET",0,COUNTIF(FinanceCodesBudget[Title],FinanceCodesBudget[[#This Row],[Title]])-1)</f>
        <v>0</v>
      </c>
      <c r="G534" s="43">
        <f>COUNTIF(Lookup!$A$2:$A$7,FinanceCodesBudget[[#This Row],[FinanceCodeTypeCode]])-1</f>
        <v>0</v>
      </c>
      <c r="H534" s="43">
        <f>IF(TRIM(FinanceCodesBudget[[#This Row],[Title]])="",1,0)</f>
        <v>0</v>
      </c>
      <c r="I534" s="43">
        <f>IF(TRIM(FinanceCodesBudget[[#This Row],[FinanceCode]])="",1,0)</f>
        <v>0</v>
      </c>
      <c r="J534" s="43">
        <f>IF(LEN(FinanceCodesBudget[[#This Row],[FinanceCode]])&lt;100,0,1)</f>
        <v>0</v>
      </c>
      <c r="K534" s="43">
        <f>IF(LEN(FinanceCodesBudget[[#This Row],[Title]])&lt;100,0,1)</f>
        <v>0</v>
      </c>
      <c r="L534" s="43">
        <f>IF(ISBLANK(FinanceCodesBudget[[#This Row],[BalanceToScenario]]),1,0)</f>
        <v>0</v>
      </c>
      <c r="M534" s="43">
        <f>SUM(FinanceCodesBudget[[#This Row],[LedgerIssue]:[CustGrIssue]],FinanceCodesBudget[[#This Row],[DupCode]:[Balance to Scenario Blank]])</f>
        <v>0</v>
      </c>
      <c r="N534">
        <v>895760</v>
      </c>
      <c r="O534" t="s">
        <v>3056</v>
      </c>
      <c r="P534" t="s">
        <v>840</v>
      </c>
      <c r="Q534" t="s">
        <v>2008</v>
      </c>
      <c r="R534" t="b">
        <v>0</v>
      </c>
      <c r="S534" t="s">
        <v>2735</v>
      </c>
      <c r="T534" t="s">
        <v>1300</v>
      </c>
      <c r="U534" t="s">
        <v>1965</v>
      </c>
      <c r="V534" t="b">
        <v>1</v>
      </c>
      <c r="W534" t="b">
        <v>0</v>
      </c>
    </row>
    <row r="535" spans="1:23" x14ac:dyDescent="0.3">
      <c r="A535" s="147">
        <f>IF(COUNTIF(LEDGER[LedgerCode],FinanceCodesBudget[[#This Row],[LedgerCode]])&gt;0,0,1)</f>
        <v>0</v>
      </c>
      <c r="B535" s="43">
        <f>IF(COUNTIF(Table_System_Grouping_Codes[groupingCodeCode],FinanceCodesBudget[[#This Row],[GroupingCode]])&gt;0,0,1)</f>
        <v>0</v>
      </c>
      <c r="C535" s="43">
        <f>IF(COUNTIF(CUSTGROUP[CustomGroupingCode],FinanceCodesBudget[[#This Row],[CustomGrouping]])&gt;0,0,1)</f>
        <v>0</v>
      </c>
      <c r="D535" s="43" cm="1">
        <f t="array" ref="D535">IF(FinanceCodesBudget[[#This Row],[AvailableToAllSchools]]=TRUE,0,COUNTA(_xlfn.TEXTSPLIT(FinanceCodesBudget[[#This Row],[SchoolCodes]],",",,TRUE))-SUM(COUNTIF(SCHOOLS[SchoolCode],_xlfn.TEXTSPLIT(FinanceCodesBudget[[#This Row],[SchoolCodes]],",",,TRUE))))</f>
        <v>0</v>
      </c>
      <c r="E535" s="43">
        <f>IF(FinanceCodesBudget[[#This Row],[FinanceCodeTypeCode]]="BUDGET",0,COUNTIF(FinanceCodesBudget[FinanceCode],FinanceCodesBudget[[#This Row],[FinanceCode]])-1)</f>
        <v>0</v>
      </c>
      <c r="F535" s="43">
        <f>IF(FinanceCodesBudget[[#This Row],[FinanceCodeTypeCode]]="BUDGET",0,COUNTIF(FinanceCodesBudget[Title],FinanceCodesBudget[[#This Row],[Title]])-1)</f>
        <v>0</v>
      </c>
      <c r="G535" s="43">
        <f>COUNTIF(Lookup!$A$2:$A$7,FinanceCodesBudget[[#This Row],[FinanceCodeTypeCode]])-1</f>
        <v>0</v>
      </c>
      <c r="H535" s="43">
        <f>IF(TRIM(FinanceCodesBudget[[#This Row],[Title]])="",1,0)</f>
        <v>0</v>
      </c>
      <c r="I535" s="43">
        <f>IF(TRIM(FinanceCodesBudget[[#This Row],[FinanceCode]])="",1,0)</f>
        <v>0</v>
      </c>
      <c r="J535" s="43">
        <f>IF(LEN(FinanceCodesBudget[[#This Row],[FinanceCode]])&lt;100,0,1)</f>
        <v>0</v>
      </c>
      <c r="K535" s="43">
        <f>IF(LEN(FinanceCodesBudget[[#This Row],[Title]])&lt;100,0,1)</f>
        <v>0</v>
      </c>
      <c r="L535" s="43">
        <f>IF(ISBLANK(FinanceCodesBudget[[#This Row],[BalanceToScenario]]),1,0)</f>
        <v>0</v>
      </c>
      <c r="M535" s="43">
        <f>SUM(FinanceCodesBudget[[#This Row],[LedgerIssue]:[CustGrIssue]],FinanceCodesBudget[[#This Row],[DupCode]:[Balance to Scenario Blank]])</f>
        <v>0</v>
      </c>
      <c r="N535">
        <v>895800</v>
      </c>
      <c r="O535" t="s">
        <v>3057</v>
      </c>
      <c r="P535" t="s">
        <v>842</v>
      </c>
      <c r="Q535" t="s">
        <v>2008</v>
      </c>
      <c r="R535" t="b">
        <v>0</v>
      </c>
      <c r="S535" t="s">
        <v>2735</v>
      </c>
      <c r="T535" t="s">
        <v>1300</v>
      </c>
      <c r="U535" t="s">
        <v>1965</v>
      </c>
      <c r="V535" t="b">
        <v>1</v>
      </c>
      <c r="W535" t="b">
        <v>0</v>
      </c>
    </row>
    <row r="536" spans="1:23" x14ac:dyDescent="0.3">
      <c r="A536" s="147">
        <f>IF(COUNTIF(LEDGER[LedgerCode],FinanceCodesBudget[[#This Row],[LedgerCode]])&gt;0,0,1)</f>
        <v>0</v>
      </c>
      <c r="B536" s="43">
        <f>IF(COUNTIF(Table_System_Grouping_Codes[groupingCodeCode],FinanceCodesBudget[[#This Row],[GroupingCode]])&gt;0,0,1)</f>
        <v>0</v>
      </c>
      <c r="C536" s="43">
        <f>IF(COUNTIF(CUSTGROUP[CustomGroupingCode],FinanceCodesBudget[[#This Row],[CustomGrouping]])&gt;0,0,1)</f>
        <v>0</v>
      </c>
      <c r="D536" s="43" cm="1">
        <f t="array" ref="D536">IF(FinanceCodesBudget[[#This Row],[AvailableToAllSchools]]=TRUE,0,COUNTA(_xlfn.TEXTSPLIT(FinanceCodesBudget[[#This Row],[SchoolCodes]],",",,TRUE))-SUM(COUNTIF(SCHOOLS[SchoolCode],_xlfn.TEXTSPLIT(FinanceCodesBudget[[#This Row],[SchoolCodes]],",",,TRUE))))</f>
        <v>0</v>
      </c>
      <c r="E536" s="43">
        <f>IF(FinanceCodesBudget[[#This Row],[FinanceCodeTypeCode]]="BUDGET",0,COUNTIF(FinanceCodesBudget[FinanceCode],FinanceCodesBudget[[#This Row],[FinanceCode]])-1)</f>
        <v>0</v>
      </c>
      <c r="F536" s="43">
        <f>IF(FinanceCodesBudget[[#This Row],[FinanceCodeTypeCode]]="BUDGET",0,COUNTIF(FinanceCodesBudget[Title],FinanceCodesBudget[[#This Row],[Title]])-1)</f>
        <v>0</v>
      </c>
      <c r="G536" s="43">
        <f>COUNTIF(Lookup!$A$2:$A$7,FinanceCodesBudget[[#This Row],[FinanceCodeTypeCode]])-1</f>
        <v>0</v>
      </c>
      <c r="H536" s="43">
        <f>IF(TRIM(FinanceCodesBudget[[#This Row],[Title]])="",1,0)</f>
        <v>0</v>
      </c>
      <c r="I536" s="43">
        <f>IF(TRIM(FinanceCodesBudget[[#This Row],[FinanceCode]])="",1,0)</f>
        <v>0</v>
      </c>
      <c r="J536" s="43">
        <f>IF(LEN(FinanceCodesBudget[[#This Row],[FinanceCode]])&lt;100,0,1)</f>
        <v>0</v>
      </c>
      <c r="K536" s="43">
        <f>IF(LEN(FinanceCodesBudget[[#This Row],[Title]])&lt;100,0,1)</f>
        <v>0</v>
      </c>
      <c r="L536" s="43">
        <f>IF(ISBLANK(FinanceCodesBudget[[#This Row],[BalanceToScenario]]),1,0)</f>
        <v>0</v>
      </c>
      <c r="M536" s="43">
        <f>SUM(FinanceCodesBudget[[#This Row],[LedgerIssue]:[CustGrIssue]],FinanceCodesBudget[[#This Row],[DupCode]:[Balance to Scenario Blank]])</f>
        <v>0</v>
      </c>
      <c r="N536">
        <v>895850</v>
      </c>
      <c r="O536" t="s">
        <v>3058</v>
      </c>
      <c r="P536" t="s">
        <v>844</v>
      </c>
      <c r="Q536" t="s">
        <v>1998</v>
      </c>
      <c r="R536" t="b">
        <v>0</v>
      </c>
      <c r="S536" t="s">
        <v>2735</v>
      </c>
      <c r="T536" t="s">
        <v>1300</v>
      </c>
      <c r="U536" t="s">
        <v>1965</v>
      </c>
      <c r="V536" t="b">
        <v>1</v>
      </c>
      <c r="W536" t="b">
        <v>0</v>
      </c>
    </row>
  </sheetData>
  <mergeCells count="1">
    <mergeCell ref="N1:X1"/>
  </mergeCells>
  <phoneticPr fontId="2" type="noConversion"/>
  <conditionalFormatting sqref="N1:N1048576">
    <cfRule type="duplicateValues" dxfId="24" priority="1"/>
  </conditionalFormatting>
  <pageMargins left="0.7" right="0.7" top="0.75" bottom="0.75" header="0.3" footer="0.3"/>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B7237-740E-43A6-99DE-E2747EF8A4D8}">
  <sheetPr codeName="Sheet151">
    <tabColor theme="9" tint="0.39997558519241921"/>
  </sheetPr>
  <dimension ref="A1:X10"/>
  <sheetViews>
    <sheetView zoomScale="90" zoomScaleNormal="90" workbookViewId="0">
      <pane ySplit="1" topLeftCell="A2" activePane="bottomLeft" state="frozen"/>
      <selection activeCell="D2" sqref="D2"/>
      <selection pane="bottomLeft" activeCell="T12" sqref="T12"/>
    </sheetView>
  </sheetViews>
  <sheetFormatPr defaultColWidth="9.33203125" defaultRowHeight="14.4" outlineLevelCol="1" x14ac:dyDescent="0.3"/>
  <cols>
    <col min="1" max="1" width="9.5546875" style="12" hidden="1" customWidth="1" outlineLevel="1"/>
    <col min="2" max="2" width="10" style="12" hidden="1" customWidth="1" outlineLevel="1"/>
    <col min="3" max="3" width="11.88671875" style="12" hidden="1" customWidth="1" outlineLevel="1"/>
    <col min="4" max="4" width="9.33203125" style="12" hidden="1" customWidth="1" outlineLevel="1"/>
    <col min="5" max="6" width="8.6640625" style="12" hidden="1" customWidth="1" outlineLevel="1"/>
    <col min="7" max="7" width="10" style="12" hidden="1" customWidth="1" outlineLevel="1"/>
    <col min="8" max="8" width="10.33203125" style="12" hidden="1" customWidth="1" outlineLevel="1"/>
    <col min="9" max="9" width="11.33203125" style="12" customWidth="1" collapsed="1"/>
    <col min="10" max="10" width="18.33203125" style="12" bestFit="1" customWidth="1"/>
    <col min="11" max="11" width="9.6640625" style="20" customWidth="1"/>
    <col min="12" max="12" width="8.88671875" style="20" customWidth="1"/>
    <col min="13" max="13" width="12.88671875" style="12" customWidth="1"/>
    <col min="14" max="14" width="14.109375" style="12" customWidth="1"/>
    <col min="15" max="15" width="25.88671875" style="12" bestFit="1" customWidth="1"/>
    <col min="16" max="17" width="10.5546875" style="12" customWidth="1"/>
    <col min="18" max="18" width="12.109375" style="12" customWidth="1"/>
    <col min="19" max="20" width="10.5546875" customWidth="1"/>
    <col min="21" max="21" width="13.33203125" style="14" bestFit="1" customWidth="1"/>
    <col min="22" max="22" width="9" style="12" customWidth="1"/>
    <col min="23" max="23" width="13.6640625" style="12" customWidth="1"/>
    <col min="24" max="24" width="11.33203125" style="15" customWidth="1"/>
    <col min="25" max="16384" width="9.33203125" style="12"/>
  </cols>
  <sheetData>
    <row r="1" spans="1:24" s="25" customFormat="1" ht="43.2" x14ac:dyDescent="0.3">
      <c r="A1" s="53" t="s">
        <v>1632</v>
      </c>
      <c r="B1" s="53" t="s">
        <v>1631</v>
      </c>
      <c r="C1" s="123" t="s">
        <v>1665</v>
      </c>
      <c r="D1" s="53" t="s">
        <v>1659</v>
      </c>
      <c r="E1" s="53" t="s">
        <v>1639</v>
      </c>
      <c r="F1" s="53" t="s">
        <v>1638</v>
      </c>
      <c r="G1" s="53" t="s">
        <v>1661</v>
      </c>
      <c r="H1" s="122" t="s">
        <v>1660</v>
      </c>
      <c r="I1" s="53" t="s">
        <v>886</v>
      </c>
      <c r="J1" s="54" t="s">
        <v>911</v>
      </c>
      <c r="K1" s="55" t="s">
        <v>1628</v>
      </c>
      <c r="L1" s="56" t="s">
        <v>1629</v>
      </c>
      <c r="M1" s="25" t="s">
        <v>1049</v>
      </c>
      <c r="N1" s="25" t="s">
        <v>1050</v>
      </c>
      <c r="O1" s="25" t="s">
        <v>1051</v>
      </c>
      <c r="P1" s="25" t="s">
        <v>1052</v>
      </c>
      <c r="Q1" s="25" t="s">
        <v>1707</v>
      </c>
      <c r="R1" s="25" t="s">
        <v>1048</v>
      </c>
      <c r="S1" s="49" t="s">
        <v>1053</v>
      </c>
      <c r="T1" s="25" t="s">
        <v>904</v>
      </c>
      <c r="U1" s="25" t="s">
        <v>905</v>
      </c>
      <c r="V1" s="50" t="s">
        <v>1054</v>
      </c>
      <c r="W1" s="25" t="s">
        <v>1378</v>
      </c>
      <c r="X1" s="25" t="s">
        <v>1133</v>
      </c>
    </row>
    <row r="2" spans="1:24" x14ac:dyDescent="0.3">
      <c r="A2" s="57">
        <f>COUNTIF(PAYSCALES[PayScaleCode],PAYSCALES[[#This Row],[PayScaleCode]])-1</f>
        <v>0</v>
      </c>
      <c r="B2" s="57">
        <f>IF(PAYSCALES[[#This Row],[AvailableToAllSchools]]=FALSE,IF(ISBLANK(PAYSCALES[[#This Row],[SchoolCodes]]),1,0),IF(PAYSCALES[[#This Row],[AvailableToAllSchools]]=TRUE,IF(ISBLANK(PAYSCALES[[#This Row],[SchoolCodes]]),0,1)))</f>
        <v>0</v>
      </c>
      <c r="C2" s="57" cm="1">
        <f t="array" ref="C2">IF(PAYSCALES[[#This Row],[AvailableToAllSchools]]=TRUE,0,COUNTA(_xlfn.TEXTSPLIT(PAYSCALES[[#This Row],[SchoolCodes]],",",,TRUE))-SUM(COUNTIF(SCHOOLS[SchoolCode],_xlfn.TEXTSPLIT(PAYSCALES[[#This Row],[SchoolCodes]],",",,TRUE))))</f>
        <v>0</v>
      </c>
      <c r="D2"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2" s="57">
        <f>IF(LEN(PAYSCALES[[#This Row],[PayScaleCode]])&lt;100,0,1)</f>
        <v>0</v>
      </c>
      <c r="F2" s="57">
        <f>IF(LEN(PAYSCALES[[#This Row],[PayScaleTitle]])&lt;100,0,1)</f>
        <v>0</v>
      </c>
      <c r="G2" s="57">
        <f>COUNTBLANK(PAYSCALES[[#This Row],[PayScaleCode]:[AvailableToAllSchools]])+COUNTBLANK(PAYSCALES[[#This Row],[PayScaleEnabled]:[ExcludePension]])</f>
        <v>0</v>
      </c>
      <c r="H2" s="57">
        <f>IF(SUBSTITUTE(TEXT(PAYSCALES[[#This Row],[PayScaleCode]],10)," ","")=TEXT(PAYSCALES[[#This Row],[PayScaleCode]],10),0,1)</f>
        <v>0</v>
      </c>
      <c r="I2" s="57">
        <f>SUM(PAYSCALES[[#This Row],[Duplicate Scale Code]:[Space in Code]])</f>
        <v>0</v>
      </c>
      <c r="J2" s="57" t="s">
        <v>897</v>
      </c>
      <c r="K2" s="109">
        <f>PAYSCALES[[#This Row],[IncrementDate]]</f>
        <v>44440</v>
      </c>
      <c r="L2" s="109">
        <f>PAYSCALES[[#This Row],[IncreaseDate]]</f>
        <v>44440</v>
      </c>
      <c r="N2" s="12" t="s">
        <v>1127</v>
      </c>
      <c r="O2" s="12" t="s">
        <v>3071</v>
      </c>
      <c r="P2" t="b">
        <v>0</v>
      </c>
      <c r="Q2" s="51">
        <v>44440</v>
      </c>
      <c r="R2" s="51">
        <v>44440</v>
      </c>
      <c r="S2" s="12">
        <v>2</v>
      </c>
      <c r="T2" t="b">
        <v>1</v>
      </c>
      <c r="U2"/>
      <c r="V2" t="b">
        <v>1</v>
      </c>
      <c r="W2" s="139" t="b">
        <v>0</v>
      </c>
      <c r="X2" s="139" t="b">
        <v>0</v>
      </c>
    </row>
    <row r="3" spans="1:24" x14ac:dyDescent="0.3">
      <c r="A3" s="57">
        <f>COUNTIF(PAYSCALES[PayScaleCode],PAYSCALES[[#This Row],[PayScaleCode]])-1</f>
        <v>0</v>
      </c>
      <c r="B3" s="57">
        <f>IF(PAYSCALES[[#This Row],[AvailableToAllSchools]]=FALSE,IF(ISBLANK(PAYSCALES[[#This Row],[SchoolCodes]]),1,0),IF(PAYSCALES[[#This Row],[AvailableToAllSchools]]=TRUE,IF(ISBLANK(PAYSCALES[[#This Row],[SchoolCodes]]),0,1)))</f>
        <v>0</v>
      </c>
      <c r="C3" s="57" cm="1">
        <f t="array" ref="C3">IF(PAYSCALES[[#This Row],[AvailableToAllSchools]]=TRUE,0,COUNTA(_xlfn.TEXTSPLIT(PAYSCALES[[#This Row],[SchoolCodes]],",",,TRUE))-SUM(COUNTIF(SCHOOLS[SchoolCode],_xlfn.TEXTSPLIT(PAYSCALES[[#This Row],[SchoolCodes]],",",,TRUE))))</f>
        <v>0</v>
      </c>
      <c r="D3"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3" s="57">
        <f>IF(LEN(PAYSCALES[[#This Row],[PayScaleCode]])&lt;100,0,1)</f>
        <v>0</v>
      </c>
      <c r="F3" s="57">
        <f>IF(LEN(PAYSCALES[[#This Row],[PayScaleTitle]])&lt;100,0,1)</f>
        <v>0</v>
      </c>
      <c r="G3" s="57">
        <f>COUNTBLANK(PAYSCALES[[#This Row],[PayScaleCode]:[AvailableToAllSchools]])+COUNTBLANK(PAYSCALES[[#This Row],[PayScaleEnabled]:[ExcludePension]])</f>
        <v>0</v>
      </c>
      <c r="H3" s="57">
        <f>IF(SUBSTITUTE(TEXT(PAYSCALES[[#This Row],[PayScaleCode]],10)," ","")=TEXT(PAYSCALES[[#This Row],[PayScaleCode]],10),0,1)</f>
        <v>0</v>
      </c>
      <c r="I3" s="57">
        <f>SUM(PAYSCALES[[#This Row],[Duplicate Scale Code]:[Space in Code]])</f>
        <v>0</v>
      </c>
      <c r="J3" s="57" t="s">
        <v>897</v>
      </c>
      <c r="K3" s="109">
        <f>PAYSCALES[[#This Row],[IncrementDate]]</f>
        <v>44440</v>
      </c>
      <c r="L3" s="109">
        <f>PAYSCALES[[#This Row],[IncreaseDate]]</f>
        <v>44440</v>
      </c>
      <c r="N3" s="12" t="s">
        <v>1749</v>
      </c>
      <c r="O3" s="12" t="s">
        <v>3072</v>
      </c>
      <c r="P3" t="b">
        <v>0</v>
      </c>
      <c r="Q3" s="51">
        <v>44440</v>
      </c>
      <c r="R3" s="51">
        <v>44440</v>
      </c>
      <c r="S3" s="12">
        <v>2</v>
      </c>
      <c r="T3" t="b">
        <v>1</v>
      </c>
      <c r="U3"/>
      <c r="V3" t="b">
        <v>1</v>
      </c>
      <c r="W3" s="139" t="b">
        <v>0</v>
      </c>
      <c r="X3" s="139" t="b">
        <v>0</v>
      </c>
    </row>
    <row r="4" spans="1:24" x14ac:dyDescent="0.3">
      <c r="A4" s="57">
        <f>COUNTIF(PAYSCALES[PayScaleCode],PAYSCALES[[#This Row],[PayScaleCode]])-1</f>
        <v>0</v>
      </c>
      <c r="B4" s="57">
        <f>IF(PAYSCALES[[#This Row],[AvailableToAllSchools]]=FALSE,IF(ISBLANK(PAYSCALES[[#This Row],[SchoolCodes]]),1,0),IF(PAYSCALES[[#This Row],[AvailableToAllSchools]]=TRUE,IF(ISBLANK(PAYSCALES[[#This Row],[SchoolCodes]]),0,1)))</f>
        <v>0</v>
      </c>
      <c r="C4" s="57" cm="1">
        <f t="array" ref="C4">IF(PAYSCALES[[#This Row],[AvailableToAllSchools]]=TRUE,0,COUNTA(_xlfn.TEXTSPLIT(PAYSCALES[[#This Row],[SchoolCodes]],",",,TRUE))-SUM(COUNTIF(SCHOOLS[SchoolCode],_xlfn.TEXTSPLIT(PAYSCALES[[#This Row],[SchoolCodes]],",",,TRUE))))</f>
        <v>0</v>
      </c>
      <c r="D4"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4" s="57">
        <f>IF(LEN(PAYSCALES[[#This Row],[PayScaleCode]])&lt;100,0,1)</f>
        <v>0</v>
      </c>
      <c r="F4" s="57">
        <f>IF(LEN(PAYSCALES[[#This Row],[PayScaleTitle]])&lt;100,0,1)</f>
        <v>0</v>
      </c>
      <c r="G4" s="57">
        <f>COUNTBLANK(PAYSCALES[[#This Row],[PayScaleCode]:[AvailableToAllSchools]])+COUNTBLANK(PAYSCALES[[#This Row],[PayScaleEnabled]:[ExcludePension]])</f>
        <v>0</v>
      </c>
      <c r="H4" s="57">
        <f>IF(SUBSTITUTE(TEXT(PAYSCALES[[#This Row],[PayScaleCode]],10)," ","")=TEXT(PAYSCALES[[#This Row],[PayScaleCode]],10),0,1)</f>
        <v>0</v>
      </c>
      <c r="I4" s="57">
        <f>SUM(PAYSCALES[[#This Row],[Duplicate Scale Code]:[Space in Code]])</f>
        <v>0</v>
      </c>
      <c r="J4" s="57" t="s">
        <v>897</v>
      </c>
      <c r="K4" s="109">
        <f>PAYSCALES[[#This Row],[IncrementDate]]</f>
        <v>44440</v>
      </c>
      <c r="L4" s="109">
        <f>PAYSCALES[[#This Row],[IncreaseDate]]</f>
        <v>44440</v>
      </c>
      <c r="N4" s="12" t="s">
        <v>1750</v>
      </c>
      <c r="O4" s="12" t="s">
        <v>1055</v>
      </c>
      <c r="P4" t="b">
        <v>0</v>
      </c>
      <c r="Q4" s="51">
        <v>44440</v>
      </c>
      <c r="R4" s="51">
        <v>44440</v>
      </c>
      <c r="S4" s="12">
        <v>2</v>
      </c>
      <c r="T4" t="b">
        <v>1</v>
      </c>
      <c r="U4"/>
      <c r="V4" t="b">
        <v>1</v>
      </c>
      <c r="W4" s="139" t="b">
        <v>0</v>
      </c>
      <c r="X4" s="139" t="b">
        <v>0</v>
      </c>
    </row>
    <row r="5" spans="1:24" x14ac:dyDescent="0.3">
      <c r="A5" s="57">
        <f>COUNTIF(PAYSCALES[PayScaleCode],PAYSCALES[[#This Row],[PayScaleCode]])-1</f>
        <v>0</v>
      </c>
      <c r="B5" s="57">
        <f>IF(PAYSCALES[[#This Row],[AvailableToAllSchools]]=FALSE,IF(ISBLANK(PAYSCALES[[#This Row],[SchoolCodes]]),1,0),IF(PAYSCALES[[#This Row],[AvailableToAllSchools]]=TRUE,IF(ISBLANK(PAYSCALES[[#This Row],[SchoolCodes]]),0,1)))</f>
        <v>0</v>
      </c>
      <c r="C5" s="57" cm="1">
        <f t="array" ref="C5">IF(PAYSCALES[[#This Row],[AvailableToAllSchools]]=TRUE,0,COUNTA(_xlfn.TEXTSPLIT(PAYSCALES[[#This Row],[SchoolCodes]],",",,TRUE))-SUM(COUNTIF(SCHOOLS[SchoolCode],_xlfn.TEXTSPLIT(PAYSCALES[[#This Row],[SchoolCodes]],",",,TRUE))))</f>
        <v>0</v>
      </c>
      <c r="D5"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5" s="57">
        <f>IF(LEN(PAYSCALES[[#This Row],[PayScaleCode]])&lt;100,0,1)</f>
        <v>0</v>
      </c>
      <c r="F5" s="57">
        <f>IF(LEN(PAYSCALES[[#This Row],[PayScaleTitle]])&lt;100,0,1)</f>
        <v>0</v>
      </c>
      <c r="G5" s="57">
        <f>COUNTBLANK(PAYSCALES[[#This Row],[PayScaleCode]:[AvailableToAllSchools]])+COUNTBLANK(PAYSCALES[[#This Row],[PayScaleEnabled]:[ExcludePension]])</f>
        <v>0</v>
      </c>
      <c r="H5" s="57">
        <f>IF(SUBSTITUTE(TEXT(PAYSCALES[[#This Row],[PayScaleCode]],10)," ","")=TEXT(PAYSCALES[[#This Row],[PayScaleCode]],10),0,1)</f>
        <v>0</v>
      </c>
      <c r="I5" s="57">
        <f>SUM(PAYSCALES[[#This Row],[Duplicate Scale Code]:[Space in Code]])</f>
        <v>0</v>
      </c>
      <c r="J5" s="57" t="s">
        <v>897</v>
      </c>
      <c r="K5" s="109">
        <f>PAYSCALES[[#This Row],[IncrementDate]]</f>
        <v>44440</v>
      </c>
      <c r="L5" s="109">
        <f>PAYSCALES[[#This Row],[IncreaseDate]]</f>
        <v>44440</v>
      </c>
      <c r="N5" s="12" t="s">
        <v>1220</v>
      </c>
      <c r="O5" s="12" t="s">
        <v>3075</v>
      </c>
      <c r="P5" t="b">
        <v>0</v>
      </c>
      <c r="Q5" s="51">
        <v>44440</v>
      </c>
      <c r="R5" s="51">
        <v>44440</v>
      </c>
      <c r="S5" s="12">
        <v>2</v>
      </c>
      <c r="T5" t="b">
        <v>0</v>
      </c>
      <c r="U5" t="s">
        <v>51</v>
      </c>
      <c r="V5" t="b">
        <v>1</v>
      </c>
      <c r="W5" s="139" t="b">
        <v>0</v>
      </c>
      <c r="X5" s="139" t="b">
        <v>0</v>
      </c>
    </row>
    <row r="6" spans="1:24" x14ac:dyDescent="0.3">
      <c r="A6" s="57">
        <f>COUNTIF(PAYSCALES[PayScaleCode],PAYSCALES[[#This Row],[PayScaleCode]])-1</f>
        <v>0</v>
      </c>
      <c r="B6" s="57">
        <f>IF(PAYSCALES[[#This Row],[AvailableToAllSchools]]=FALSE,IF(ISBLANK(PAYSCALES[[#This Row],[SchoolCodes]]),1,0),IF(PAYSCALES[[#This Row],[AvailableToAllSchools]]=TRUE,IF(ISBLANK(PAYSCALES[[#This Row],[SchoolCodes]]),0,1)))</f>
        <v>0</v>
      </c>
      <c r="C6" s="57" cm="1">
        <f t="array" ref="C6">IF(PAYSCALES[[#This Row],[AvailableToAllSchools]]=TRUE,0,COUNTA(_xlfn.TEXTSPLIT(PAYSCALES[[#This Row],[SchoolCodes]],",",,TRUE))-SUM(COUNTIF(SCHOOLS[SchoolCode],_xlfn.TEXTSPLIT(PAYSCALES[[#This Row],[SchoolCodes]],",",,TRUE))))</f>
        <v>0</v>
      </c>
      <c r="D6"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6" s="57">
        <f>IF(LEN(PAYSCALES[[#This Row],[PayScaleCode]])&lt;100,0,1)</f>
        <v>0</v>
      </c>
      <c r="F6" s="57">
        <f>IF(LEN(PAYSCALES[[#This Row],[PayScaleTitle]])&lt;100,0,1)</f>
        <v>0</v>
      </c>
      <c r="G6" s="57">
        <f>COUNTBLANK(PAYSCALES[[#This Row],[PayScaleCode]:[AvailableToAllSchools]])+COUNTBLANK(PAYSCALES[[#This Row],[PayScaleEnabled]:[ExcludePension]])</f>
        <v>0</v>
      </c>
      <c r="H6" s="57">
        <f>IF(SUBSTITUTE(TEXT(PAYSCALES[[#This Row],[PayScaleCode]],10)," ","")=TEXT(PAYSCALES[[#This Row],[PayScaleCode]],10),0,1)</f>
        <v>0</v>
      </c>
      <c r="I6" s="57">
        <f>SUM(PAYSCALES[[#This Row],[Duplicate Scale Code]:[Space in Code]])</f>
        <v>0</v>
      </c>
      <c r="J6" s="57" t="s">
        <v>897</v>
      </c>
      <c r="K6" s="109">
        <f>PAYSCALES[[#This Row],[IncrementDate]]</f>
        <v>44287</v>
      </c>
      <c r="L6" s="109">
        <f>PAYSCALES[[#This Row],[IncreaseDate]]</f>
        <v>44287</v>
      </c>
      <c r="N6" s="12" t="s">
        <v>3107</v>
      </c>
      <c r="O6" s="12" t="s">
        <v>3108</v>
      </c>
      <c r="P6" s="19" t="b">
        <v>1</v>
      </c>
      <c r="Q6" s="51">
        <v>44287</v>
      </c>
      <c r="R6" s="51">
        <v>44287</v>
      </c>
      <c r="S6" s="12">
        <v>2</v>
      </c>
      <c r="T6" t="b">
        <v>1</v>
      </c>
      <c r="U6"/>
      <c r="V6" t="b">
        <v>1</v>
      </c>
      <c r="W6" s="139" t="b">
        <v>0</v>
      </c>
      <c r="X6" s="139" t="b">
        <v>0</v>
      </c>
    </row>
    <row r="7" spans="1:24" x14ac:dyDescent="0.3">
      <c r="A7" s="57">
        <f>COUNTIF(PAYSCALES[PayScaleCode],PAYSCALES[[#This Row],[PayScaleCode]])-1</f>
        <v>0</v>
      </c>
      <c r="B7" s="57">
        <f>IF(PAYSCALES[[#This Row],[AvailableToAllSchools]]=FALSE,IF(ISBLANK(PAYSCALES[[#This Row],[SchoolCodes]]),1,0),IF(PAYSCALES[[#This Row],[AvailableToAllSchools]]=TRUE,IF(ISBLANK(PAYSCALES[[#This Row],[SchoolCodes]]),0,1)))</f>
        <v>0</v>
      </c>
      <c r="C7" s="57" cm="1">
        <f t="array" ref="C7">IF(PAYSCALES[[#This Row],[AvailableToAllSchools]]=TRUE,0,COUNTA(_xlfn.TEXTSPLIT(PAYSCALES[[#This Row],[SchoolCodes]],",",,TRUE))-SUM(COUNTIF(SCHOOLS[SchoolCode],_xlfn.TEXTSPLIT(PAYSCALES[[#This Row],[SchoolCodes]],",",,TRUE))))</f>
        <v>0</v>
      </c>
      <c r="D7"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7" s="57">
        <f>IF(LEN(PAYSCALES[[#This Row],[PayScaleCode]])&lt;100,0,1)</f>
        <v>0</v>
      </c>
      <c r="F7" s="57">
        <f>IF(LEN(PAYSCALES[[#This Row],[PayScaleTitle]])&lt;100,0,1)</f>
        <v>0</v>
      </c>
      <c r="G7" s="57">
        <f>COUNTBLANK(PAYSCALES[[#This Row],[PayScaleCode]:[AvailableToAllSchools]])+COUNTBLANK(PAYSCALES[[#This Row],[PayScaleEnabled]:[ExcludePension]])</f>
        <v>0</v>
      </c>
      <c r="H7" s="57">
        <f>IF(SUBSTITUTE(TEXT(PAYSCALES[[#This Row],[PayScaleCode]],10)," ","")=TEXT(PAYSCALES[[#This Row],[PayScaleCode]],10),0,1)</f>
        <v>0</v>
      </c>
      <c r="I7" s="57">
        <f>SUM(PAYSCALES[[#This Row],[Duplicate Scale Code]:[Space in Code]])</f>
        <v>0</v>
      </c>
      <c r="J7" s="57" t="s">
        <v>897</v>
      </c>
      <c r="K7" s="109">
        <f>PAYSCALES[[#This Row],[IncrementDate]]</f>
        <v>44652</v>
      </c>
      <c r="L7" s="109">
        <f>PAYSCALES[[#This Row],[IncreaseDate]]</f>
        <v>44652</v>
      </c>
      <c r="N7" s="12" t="s">
        <v>1744</v>
      </c>
      <c r="O7" s="12" t="s">
        <v>1602</v>
      </c>
      <c r="P7" t="b">
        <v>0</v>
      </c>
      <c r="Q7" s="51">
        <v>44652</v>
      </c>
      <c r="R7" s="51">
        <v>44652</v>
      </c>
      <c r="S7" s="12">
        <v>2</v>
      </c>
      <c r="T7" t="b">
        <v>1</v>
      </c>
      <c r="U7"/>
      <c r="V7" s="5" t="b">
        <v>1</v>
      </c>
      <c r="W7" s="139" t="b">
        <v>0</v>
      </c>
      <c r="X7" s="139" t="b">
        <v>0</v>
      </c>
    </row>
    <row r="8" spans="1:24" x14ac:dyDescent="0.3">
      <c r="S8" s="12"/>
      <c r="T8" s="12"/>
    </row>
    <row r="9" spans="1:24" x14ac:dyDescent="0.3">
      <c r="S9" s="12"/>
      <c r="T9" s="12"/>
    </row>
    <row r="10" spans="1:24" x14ac:dyDescent="0.3">
      <c r="S10" s="12"/>
      <c r="T10" s="12"/>
    </row>
  </sheetData>
  <phoneticPr fontId="2" type="noConversion"/>
  <pageMargins left="0.7" right="0.7" top="0.75" bottom="0.75" header="0.3" footer="0.3"/>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59E7ACFE-466C-48D9-9702-A15F18DD8959}">
          <x14:formula1>
            <xm:f>Validation!$A$10:$A$13</xm:f>
          </x14:formula1>
          <xm:sqref>J2:J7</xm:sqref>
        </x14:dataValidation>
        <x14:dataValidation type="list" allowBlank="1" showInputMessage="1" showErrorMessage="1" xr:uid="{452A9C64-F7A7-480D-B7A6-66FC016C680B}">
          <x14:formula1>
            <xm:f>Validation!$G$2:$G$3</xm:f>
          </x14:formula1>
          <xm:sqref>V3:V7</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2BF6B-815C-4245-BCBC-5B15FF36E7B5}">
  <sheetPr codeName="Sheet17">
    <tabColor theme="9" tint="0.39997558519241921"/>
  </sheetPr>
  <dimension ref="A1:AA113"/>
  <sheetViews>
    <sheetView zoomScale="90" zoomScaleNormal="90" workbookViewId="0">
      <pane ySplit="1" topLeftCell="A47" activePane="bottomLeft" state="frozen"/>
      <selection activeCell="D2" sqref="D2"/>
      <selection pane="bottomLeft" activeCell="A60" sqref="A60:XFD60"/>
    </sheetView>
  </sheetViews>
  <sheetFormatPr defaultColWidth="9.33203125" defaultRowHeight="14.4" outlineLevelCol="1" x14ac:dyDescent="0.3"/>
  <cols>
    <col min="1" max="1" width="15.88671875" style="12" hidden="1" customWidth="1" outlineLevel="1"/>
    <col min="2" max="2" width="10.6640625" style="12" hidden="1" customWidth="1" outlineLevel="1"/>
    <col min="3" max="3" width="22.5546875" style="12" hidden="1" customWidth="1" outlineLevel="1"/>
    <col min="4" max="5" width="10.6640625" style="12" hidden="1" customWidth="1" outlineLevel="1"/>
    <col min="6" max="6" width="8.6640625" style="12" hidden="1" customWidth="1" outlineLevel="1"/>
    <col min="7" max="7" width="10.6640625" style="12" hidden="1" customWidth="1" outlineLevel="1"/>
    <col min="8" max="12" width="8.6640625" style="12" hidden="1" customWidth="1" outlineLevel="1"/>
    <col min="13" max="13" width="11.109375" style="12" customWidth="1" collapsed="1"/>
    <col min="14" max="14" width="17.5546875" style="12" customWidth="1"/>
    <col min="15" max="15" width="12.6640625" style="12" customWidth="1"/>
    <col min="16" max="16" width="13.33203125" style="12" customWidth="1"/>
    <col min="17" max="17" width="25.109375" style="12" bestFit="1" customWidth="1"/>
    <col min="18" max="21" width="10.5546875" style="12" customWidth="1"/>
    <col min="22" max="22" width="10.5546875" style="15" customWidth="1"/>
    <col min="23" max="23" width="14.33203125" style="20" customWidth="1"/>
    <col min="24" max="24" width="12.33203125" style="20" customWidth="1"/>
    <col min="25" max="25" width="13.6640625" style="14" customWidth="1"/>
    <col min="26" max="16384" width="9.33203125" style="12"/>
  </cols>
  <sheetData>
    <row r="1" spans="1:25" s="25" customFormat="1" ht="64.349999999999994" customHeight="1" x14ac:dyDescent="0.3">
      <c r="A1" s="53" t="s">
        <v>1729</v>
      </c>
      <c r="B1" s="53" t="s">
        <v>1635</v>
      </c>
      <c r="C1" s="53" t="s">
        <v>1730</v>
      </c>
      <c r="D1" s="53" t="s">
        <v>1723</v>
      </c>
      <c r="E1" s="53" t="s">
        <v>1666</v>
      </c>
      <c r="F1" s="65" t="s">
        <v>1641</v>
      </c>
      <c r="G1" s="65" t="s">
        <v>1726</v>
      </c>
      <c r="H1" s="53" t="s">
        <v>1659</v>
      </c>
      <c r="I1" s="53" t="s">
        <v>1639</v>
      </c>
      <c r="J1" s="53" t="s">
        <v>1638</v>
      </c>
      <c r="K1" s="53" t="s">
        <v>1661</v>
      </c>
      <c r="L1" s="122" t="s">
        <v>1660</v>
      </c>
      <c r="M1" s="53" t="s">
        <v>886</v>
      </c>
      <c r="N1" s="54" t="s">
        <v>911</v>
      </c>
      <c r="O1" s="25" t="s">
        <v>1049</v>
      </c>
      <c r="P1" s="25" t="s">
        <v>1050</v>
      </c>
      <c r="Q1" s="59" t="s">
        <v>1051</v>
      </c>
      <c r="R1" s="25" t="s">
        <v>1056</v>
      </c>
      <c r="S1" s="25" t="s">
        <v>1057</v>
      </c>
      <c r="T1" s="146" t="s">
        <v>1058</v>
      </c>
      <c r="U1" s="25" t="s">
        <v>1059</v>
      </c>
      <c r="V1" s="50" t="s">
        <v>1060</v>
      </c>
      <c r="W1" s="58" t="s">
        <v>1061</v>
      </c>
      <c r="X1" s="58" t="s">
        <v>1062</v>
      </c>
      <c r="Y1" s="49" t="s">
        <v>1063</v>
      </c>
    </row>
    <row r="2" spans="1:25" x14ac:dyDescent="0.3">
      <c r="A2" s="140" t="str">
        <f>PSPOINTS[[#This Row],[PayScaleCode]]&amp;PSPOINTS[[#This Row],[RateDateFrom]]</f>
        <v>MAIN45901</v>
      </c>
      <c r="B2" s="57">
        <f t="shared" ref="B2:B59" si="0">IF(A2=A1,SUM(T2-T1)-1,T2-1)</f>
        <v>0</v>
      </c>
      <c r="C2" s="57" t="str">
        <f>PSPOINTS[[#This Row],[PayScaleCode]]&amp;PSPOINTS[[#This Row],[PayScalePointCode]]&amp;PSPOINTS[[#This Row],[RateDateFrom]]</f>
        <v>MAINM145901</v>
      </c>
      <c r="D2" s="57">
        <f>COUNTIF(PSPOINTS[Pay Scale String Duplicates],PSPOINTS[[#This Row],[Pay Scale String Duplicates]])-1</f>
        <v>0</v>
      </c>
      <c r="E2" s="57">
        <f>IF((MONTH(_xlfn.XLOOKUP(PSPOINTS[[#This Row],[PayScaleCode]],PayScales!N:N,PayScales!R:R)))=MONTH(PSPOINTS[[#This Row],[RateDateFrom]]),0,1)</f>
        <v>0</v>
      </c>
      <c r="F2" s="57">
        <f>IF(ISBLANK(PSPOINTS[[#This Row],[RateDateTo]]),0,IF(PSPOINTS[[#This Row],[RateDateFrom]]&lt;PSPOINTS[[#This Row],[RateDateTo]],0,1))</f>
        <v>0</v>
      </c>
      <c r="G2" s="57" cm="1">
        <f t="array" aca="1" ref="G2" ca="1">IF(CELL("format",PSPOINTS[[#This Row],[RateDateFrom]])="D1",0,1)+IF(CELL("format",PSPOINTS[[#This Row],[RateDateTo]])="D1",0,1)</f>
        <v>0</v>
      </c>
      <c r="H2" s="57">
        <f>IF(OR(PSPOINTS[[#This Row],[Hourly]]=TRUE,PSPOINTS[[#This Row],[Hourly]]=FALSE),IF(OR(PSPOINTS[[#This Row],[PayScalePointEnabled]]=TRUE,PSPOINTS[[#This Row],[PayScalePointEnabled]]=FALSE),0,1),1)</f>
        <v>0</v>
      </c>
      <c r="I2" s="57">
        <f>IF(LEN(PSPOINTS[[#This Row],[PayScalePointCode]])&lt;100,0,1)</f>
        <v>0</v>
      </c>
      <c r="J2" s="57">
        <f>IF(LEN(PSPOINTS[[#This Row],[PayScalePointTitle]])&lt;100,0,1)</f>
        <v>0</v>
      </c>
      <c r="K2" s="112">
        <f>(COUNTBLANK(PSPOINTS[[#This Row],[PayScalePointCode]:[RateDateFrom]])+COUNTBLANK(PSPOINTS[[#This Row],[PayScaleRate]]))</f>
        <v>0</v>
      </c>
      <c r="L2" s="112">
        <f>IF(SUBSTITUTE(TEXT(PSPOINTS[[#This Row],[PayScaleCode]],10)," ","")=TEXT(PSPOINTS[[#This Row],[PayScaleCode]],10),0,1)+IF(SUBSTITUTE(TEXT(PSPOINTS[[#This Row],[PayScalePointCode]],10)," ","")=TEXT(PSPOINTS[[#This Row],[PayScalePointCode]],10),0,1)</f>
        <v>0</v>
      </c>
      <c r="M2" s="57">
        <f ca="1">SUM(PSPOINTS[[#This Row],[Scale Point Issue]:[Space in Code]])</f>
        <v>0</v>
      </c>
      <c r="N2" s="57" t="s">
        <v>897</v>
      </c>
      <c r="P2" s="12" t="s">
        <v>1127</v>
      </c>
      <c r="Q2" s="57" t="str">
        <f>_xlfn.XLOOKUP(PSPOINTS[[#This Row],[PayScaleCode]],PayScales!N:N,PayScales!O:O)</f>
        <v>Teachers Main</v>
      </c>
      <c r="R2" s="12" t="s">
        <v>1064</v>
      </c>
      <c r="S2" s="12" t="s">
        <v>1064</v>
      </c>
      <c r="T2" s="12">
        <v>1</v>
      </c>
      <c r="U2" t="b">
        <v>0</v>
      </c>
      <c r="V2" t="b">
        <v>1</v>
      </c>
      <c r="W2" s="20">
        <v>45901</v>
      </c>
      <c r="Y2" s="14">
        <v>32916</v>
      </c>
    </row>
    <row r="3" spans="1:25" x14ac:dyDescent="0.3">
      <c r="A3" s="140" t="str">
        <f>PSPOINTS[[#This Row],[PayScaleCode]]&amp;PSPOINTS[[#This Row],[RateDateFrom]]</f>
        <v>MAIN45901</v>
      </c>
      <c r="B3" s="57">
        <f t="shared" si="0"/>
        <v>0</v>
      </c>
      <c r="C3" s="57" t="str">
        <f>PSPOINTS[[#This Row],[PayScaleCode]]&amp;PSPOINTS[[#This Row],[PayScalePointCode]]&amp;PSPOINTS[[#This Row],[RateDateFrom]]</f>
        <v>MAINM245901</v>
      </c>
      <c r="D3" s="57">
        <f>COUNTIF(PSPOINTS[Pay Scale String Duplicates],PSPOINTS[[#This Row],[Pay Scale String Duplicates]])-1</f>
        <v>0</v>
      </c>
      <c r="E3" s="57">
        <f>IF((MONTH(_xlfn.XLOOKUP(PSPOINTS[[#This Row],[PayScaleCode]],PayScales!N:N,PayScales!R:R)))=MONTH(PSPOINTS[[#This Row],[RateDateFrom]]),0,1)</f>
        <v>0</v>
      </c>
      <c r="F3" s="57">
        <f>IF(ISBLANK(PSPOINTS[[#This Row],[RateDateTo]]),0,IF(PSPOINTS[[#This Row],[RateDateFrom]]&lt;PSPOINTS[[#This Row],[RateDateTo]],0,1))</f>
        <v>0</v>
      </c>
      <c r="G3" s="57" cm="1">
        <f t="array" aca="1" ref="G3" ca="1">IF(CELL("format",PSPOINTS[[#This Row],[RateDateFrom]])="D1",0,1)+IF(CELL("format",PSPOINTS[[#This Row],[RateDateTo]])="D1",0,1)</f>
        <v>0</v>
      </c>
      <c r="H3" s="57">
        <f>IF(OR(PSPOINTS[[#This Row],[Hourly]]=TRUE,PSPOINTS[[#This Row],[Hourly]]=FALSE),IF(OR(PSPOINTS[[#This Row],[PayScalePointEnabled]]=TRUE,PSPOINTS[[#This Row],[PayScalePointEnabled]]=FALSE),0,1),1)</f>
        <v>0</v>
      </c>
      <c r="I3" s="57">
        <f>IF(LEN(PSPOINTS[[#This Row],[PayScalePointCode]])&lt;100,0,1)</f>
        <v>0</v>
      </c>
      <c r="J3" s="57">
        <f>IF(LEN(PSPOINTS[[#This Row],[PayScalePointTitle]])&lt;100,0,1)</f>
        <v>0</v>
      </c>
      <c r="K3" s="57">
        <f>(COUNTBLANK(PSPOINTS[[#This Row],[PayScalePointCode]:[RateDateFrom]])+COUNTBLANK(PSPOINTS[[#This Row],[PayScaleRate]]))</f>
        <v>0</v>
      </c>
      <c r="L3" s="112">
        <f>IF(SUBSTITUTE(TEXT(PSPOINTS[[#This Row],[PayScaleCode]],10)," ","")=TEXT(PSPOINTS[[#This Row],[PayScaleCode]],10),0,1)+IF(SUBSTITUTE(TEXT(PSPOINTS[[#This Row],[PayScalePointCode]],10)," ","")=TEXT(PSPOINTS[[#This Row],[PayScalePointCode]],10),0,1)</f>
        <v>0</v>
      </c>
      <c r="M3" s="57">
        <f ca="1">SUM(PSPOINTS[[#This Row],[Scale Point Issue]:[Space in Code]])</f>
        <v>0</v>
      </c>
      <c r="N3" s="57" t="s">
        <v>897</v>
      </c>
      <c r="P3" s="12" t="s">
        <v>1127</v>
      </c>
      <c r="Q3" s="57" t="str">
        <f>_xlfn.XLOOKUP(PSPOINTS[[#This Row],[PayScaleCode]],PayScales!N:N,PayScales!O:O)</f>
        <v>Teachers Main</v>
      </c>
      <c r="R3" s="12" t="s">
        <v>1065</v>
      </c>
      <c r="S3" s="12" t="s">
        <v>1065</v>
      </c>
      <c r="T3" s="12">
        <v>2</v>
      </c>
      <c r="U3" t="b">
        <v>0</v>
      </c>
      <c r="V3" t="b">
        <v>1</v>
      </c>
      <c r="W3" s="20">
        <v>45901</v>
      </c>
      <c r="Y3" s="14">
        <v>34823</v>
      </c>
    </row>
    <row r="4" spans="1:25" x14ac:dyDescent="0.3">
      <c r="A4" s="140" t="str">
        <f>PSPOINTS[[#This Row],[PayScaleCode]]&amp;PSPOINTS[[#This Row],[RateDateFrom]]</f>
        <v>MAIN45901</v>
      </c>
      <c r="B4" s="57">
        <f t="shared" si="0"/>
        <v>0</v>
      </c>
      <c r="C4" s="57" t="str">
        <f>PSPOINTS[[#This Row],[PayScaleCode]]&amp;PSPOINTS[[#This Row],[PayScalePointCode]]&amp;PSPOINTS[[#This Row],[RateDateFrom]]</f>
        <v>MAINM345901</v>
      </c>
      <c r="D4" s="57">
        <f>COUNTIF(PSPOINTS[Pay Scale String Duplicates],PSPOINTS[[#This Row],[Pay Scale String Duplicates]])-1</f>
        <v>0</v>
      </c>
      <c r="E4" s="57">
        <f>IF((MONTH(_xlfn.XLOOKUP(PSPOINTS[[#This Row],[PayScaleCode]],PayScales!N:N,PayScales!R:R)))=MONTH(PSPOINTS[[#This Row],[RateDateFrom]]),0,1)</f>
        <v>0</v>
      </c>
      <c r="F4" s="57">
        <f>IF(ISBLANK(PSPOINTS[[#This Row],[RateDateTo]]),0,IF(PSPOINTS[[#This Row],[RateDateFrom]]&lt;PSPOINTS[[#This Row],[RateDateTo]],0,1))</f>
        <v>0</v>
      </c>
      <c r="G4" s="57" cm="1">
        <f t="array" aca="1" ref="G4" ca="1">IF(CELL("format",PSPOINTS[[#This Row],[RateDateFrom]])="D1",0,1)+IF(CELL("format",PSPOINTS[[#This Row],[RateDateTo]])="D1",0,1)</f>
        <v>0</v>
      </c>
      <c r="H4" s="57">
        <f>IF(OR(PSPOINTS[[#This Row],[Hourly]]=TRUE,PSPOINTS[[#This Row],[Hourly]]=FALSE),IF(OR(PSPOINTS[[#This Row],[PayScalePointEnabled]]=TRUE,PSPOINTS[[#This Row],[PayScalePointEnabled]]=FALSE),0,1),1)</f>
        <v>0</v>
      </c>
      <c r="I4" s="57">
        <f>IF(LEN(PSPOINTS[[#This Row],[PayScalePointCode]])&lt;100,0,1)</f>
        <v>0</v>
      </c>
      <c r="J4" s="57">
        <f>IF(LEN(PSPOINTS[[#This Row],[PayScalePointTitle]])&lt;100,0,1)</f>
        <v>0</v>
      </c>
      <c r="K4" s="57">
        <f>(COUNTBLANK(PSPOINTS[[#This Row],[PayScalePointCode]:[RateDateFrom]])+COUNTBLANK(PSPOINTS[[#This Row],[PayScaleRate]]))</f>
        <v>0</v>
      </c>
      <c r="L4" s="112">
        <f>IF(SUBSTITUTE(TEXT(PSPOINTS[[#This Row],[PayScaleCode]],10)," ","")=TEXT(PSPOINTS[[#This Row],[PayScaleCode]],10),0,1)+IF(SUBSTITUTE(TEXT(PSPOINTS[[#This Row],[PayScalePointCode]],10)," ","")=TEXT(PSPOINTS[[#This Row],[PayScalePointCode]],10),0,1)</f>
        <v>0</v>
      </c>
      <c r="M4" s="57">
        <f ca="1">SUM(PSPOINTS[[#This Row],[Scale Point Issue]:[Space in Code]])</f>
        <v>0</v>
      </c>
      <c r="N4" s="57" t="s">
        <v>897</v>
      </c>
      <c r="P4" s="12" t="s">
        <v>1127</v>
      </c>
      <c r="Q4" s="57" t="str">
        <f>_xlfn.XLOOKUP(PSPOINTS[[#This Row],[PayScaleCode]],PayScales!N:N,PayScales!O:O)</f>
        <v>Teachers Main</v>
      </c>
      <c r="R4" s="12" t="s">
        <v>1066</v>
      </c>
      <c r="S4" s="12" t="s">
        <v>1066</v>
      </c>
      <c r="T4" s="12">
        <v>3</v>
      </c>
      <c r="U4" t="b">
        <v>0</v>
      </c>
      <c r="V4" t="b">
        <v>1</v>
      </c>
      <c r="W4" s="20">
        <v>45901</v>
      </c>
      <c r="Y4" s="14">
        <v>37101</v>
      </c>
    </row>
    <row r="5" spans="1:25" x14ac:dyDescent="0.3">
      <c r="A5" s="140" t="str">
        <f>PSPOINTS[[#This Row],[PayScaleCode]]&amp;PSPOINTS[[#This Row],[RateDateFrom]]</f>
        <v>MAIN45901</v>
      </c>
      <c r="B5" s="57">
        <f t="shared" si="0"/>
        <v>0</v>
      </c>
      <c r="C5" s="57" t="str">
        <f>PSPOINTS[[#This Row],[PayScaleCode]]&amp;PSPOINTS[[#This Row],[PayScalePointCode]]&amp;PSPOINTS[[#This Row],[RateDateFrom]]</f>
        <v>MAINM445901</v>
      </c>
      <c r="D5" s="57">
        <f>COUNTIF(PSPOINTS[Pay Scale String Duplicates],PSPOINTS[[#This Row],[Pay Scale String Duplicates]])-1</f>
        <v>0</v>
      </c>
      <c r="E5" s="57">
        <f>IF((MONTH(_xlfn.XLOOKUP(PSPOINTS[[#This Row],[PayScaleCode]],PayScales!N:N,PayScales!R:R)))=MONTH(PSPOINTS[[#This Row],[RateDateFrom]]),0,1)</f>
        <v>0</v>
      </c>
      <c r="F5" s="57">
        <f>IF(ISBLANK(PSPOINTS[[#This Row],[RateDateTo]]),0,IF(PSPOINTS[[#This Row],[RateDateFrom]]&lt;PSPOINTS[[#This Row],[RateDateTo]],0,1))</f>
        <v>0</v>
      </c>
      <c r="G5" s="57" cm="1">
        <f t="array" aca="1" ref="G5" ca="1">IF(CELL("format",PSPOINTS[[#This Row],[RateDateFrom]])="D1",0,1)+IF(CELL("format",PSPOINTS[[#This Row],[RateDateTo]])="D1",0,1)</f>
        <v>0</v>
      </c>
      <c r="H5" s="57">
        <f>IF(OR(PSPOINTS[[#This Row],[Hourly]]=TRUE,PSPOINTS[[#This Row],[Hourly]]=FALSE),IF(OR(PSPOINTS[[#This Row],[PayScalePointEnabled]]=TRUE,PSPOINTS[[#This Row],[PayScalePointEnabled]]=FALSE),0,1),1)</f>
        <v>0</v>
      </c>
      <c r="I5" s="57">
        <f>IF(LEN(PSPOINTS[[#This Row],[PayScalePointCode]])&lt;100,0,1)</f>
        <v>0</v>
      </c>
      <c r="J5" s="57">
        <f>IF(LEN(PSPOINTS[[#This Row],[PayScalePointTitle]])&lt;100,0,1)</f>
        <v>0</v>
      </c>
      <c r="K5" s="57">
        <f>(COUNTBLANK(PSPOINTS[[#This Row],[PayScalePointCode]:[RateDateFrom]])+COUNTBLANK(PSPOINTS[[#This Row],[PayScaleRate]]))</f>
        <v>0</v>
      </c>
      <c r="L5" s="112">
        <f>IF(SUBSTITUTE(TEXT(PSPOINTS[[#This Row],[PayScaleCode]],10)," ","")=TEXT(PSPOINTS[[#This Row],[PayScaleCode]],10),0,1)+IF(SUBSTITUTE(TEXT(PSPOINTS[[#This Row],[PayScalePointCode]],10)," ","")=TEXT(PSPOINTS[[#This Row],[PayScalePointCode]],10),0,1)</f>
        <v>0</v>
      </c>
      <c r="M5" s="57">
        <f ca="1">SUM(PSPOINTS[[#This Row],[Scale Point Issue]:[Space in Code]])</f>
        <v>0</v>
      </c>
      <c r="N5" s="57" t="s">
        <v>897</v>
      </c>
      <c r="P5" s="12" t="s">
        <v>1127</v>
      </c>
      <c r="Q5" s="57" t="str">
        <f>_xlfn.XLOOKUP(PSPOINTS[[#This Row],[PayScaleCode]],PayScales!N:N,PayScales!O:O)</f>
        <v>Teachers Main</v>
      </c>
      <c r="R5" s="12" t="s">
        <v>1067</v>
      </c>
      <c r="S5" s="12" t="s">
        <v>1067</v>
      </c>
      <c r="T5" s="12">
        <v>4</v>
      </c>
      <c r="U5" t="b">
        <v>0</v>
      </c>
      <c r="V5" t="b">
        <v>1</v>
      </c>
      <c r="W5" s="20">
        <v>45901</v>
      </c>
      <c r="Y5" s="14">
        <v>39556</v>
      </c>
    </row>
    <row r="6" spans="1:25" x14ac:dyDescent="0.3">
      <c r="A6" s="140" t="str">
        <f>PSPOINTS[[#This Row],[PayScaleCode]]&amp;PSPOINTS[[#This Row],[RateDateFrom]]</f>
        <v>MAIN45901</v>
      </c>
      <c r="B6" s="57">
        <f t="shared" si="0"/>
        <v>0</v>
      </c>
      <c r="C6" s="57" t="str">
        <f>PSPOINTS[[#This Row],[PayScaleCode]]&amp;PSPOINTS[[#This Row],[PayScalePointCode]]&amp;PSPOINTS[[#This Row],[RateDateFrom]]</f>
        <v>MAINM545901</v>
      </c>
      <c r="D6" s="57">
        <f>COUNTIF(PSPOINTS[Pay Scale String Duplicates],PSPOINTS[[#This Row],[Pay Scale String Duplicates]])-1</f>
        <v>0</v>
      </c>
      <c r="E6" s="57">
        <f>IF((MONTH(_xlfn.XLOOKUP(PSPOINTS[[#This Row],[PayScaleCode]],PayScales!N:N,PayScales!R:R)))=MONTH(PSPOINTS[[#This Row],[RateDateFrom]]),0,1)</f>
        <v>0</v>
      </c>
      <c r="F6" s="57">
        <f>IF(ISBLANK(PSPOINTS[[#This Row],[RateDateTo]]),0,IF(PSPOINTS[[#This Row],[RateDateFrom]]&lt;PSPOINTS[[#This Row],[RateDateTo]],0,1))</f>
        <v>0</v>
      </c>
      <c r="G6" s="57" cm="1">
        <f t="array" aca="1" ref="G6" ca="1">IF(CELL("format",PSPOINTS[[#This Row],[RateDateFrom]])="D1",0,1)+IF(CELL("format",PSPOINTS[[#This Row],[RateDateTo]])="D1",0,1)</f>
        <v>0</v>
      </c>
      <c r="H6" s="57">
        <f>IF(OR(PSPOINTS[[#This Row],[Hourly]]=TRUE,PSPOINTS[[#This Row],[Hourly]]=FALSE),IF(OR(PSPOINTS[[#This Row],[PayScalePointEnabled]]=TRUE,PSPOINTS[[#This Row],[PayScalePointEnabled]]=FALSE),0,1),1)</f>
        <v>0</v>
      </c>
      <c r="I6" s="57">
        <f>IF(LEN(PSPOINTS[[#This Row],[PayScalePointCode]])&lt;100,0,1)</f>
        <v>0</v>
      </c>
      <c r="J6" s="57">
        <f>IF(LEN(PSPOINTS[[#This Row],[PayScalePointTitle]])&lt;100,0,1)</f>
        <v>0</v>
      </c>
      <c r="K6" s="57">
        <f>(COUNTBLANK(PSPOINTS[[#This Row],[PayScalePointCode]:[RateDateFrom]])+COUNTBLANK(PSPOINTS[[#This Row],[PayScaleRate]]))</f>
        <v>0</v>
      </c>
      <c r="L6" s="112">
        <f>IF(SUBSTITUTE(TEXT(PSPOINTS[[#This Row],[PayScaleCode]],10)," ","")=TEXT(PSPOINTS[[#This Row],[PayScaleCode]],10),0,1)+IF(SUBSTITUTE(TEXT(PSPOINTS[[#This Row],[PayScalePointCode]],10)," ","")=TEXT(PSPOINTS[[#This Row],[PayScalePointCode]],10),0,1)</f>
        <v>0</v>
      </c>
      <c r="M6" s="57">
        <f ca="1">SUM(PSPOINTS[[#This Row],[Scale Point Issue]:[Space in Code]])</f>
        <v>0</v>
      </c>
      <c r="N6" s="57" t="s">
        <v>897</v>
      </c>
      <c r="P6" s="12" t="s">
        <v>1127</v>
      </c>
      <c r="Q6" s="57" t="str">
        <f>_xlfn.XLOOKUP(PSPOINTS[[#This Row],[PayScaleCode]],PayScales!N:N,PayScales!O:O)</f>
        <v>Teachers Main</v>
      </c>
      <c r="R6" s="12" t="s">
        <v>1068</v>
      </c>
      <c r="S6" s="12" t="s">
        <v>1068</v>
      </c>
      <c r="T6" s="12">
        <v>5</v>
      </c>
      <c r="U6" t="b">
        <v>0</v>
      </c>
      <c r="V6" t="b">
        <v>1</v>
      </c>
      <c r="W6" s="20">
        <v>45901</v>
      </c>
      <c r="Y6" s="14">
        <v>42057</v>
      </c>
    </row>
    <row r="7" spans="1:25" x14ac:dyDescent="0.3">
      <c r="A7" s="140" t="str">
        <f>PSPOINTS[[#This Row],[PayScaleCode]]&amp;PSPOINTS[[#This Row],[RateDateFrom]]</f>
        <v>MAIN45901</v>
      </c>
      <c r="B7" s="57">
        <f t="shared" si="0"/>
        <v>0</v>
      </c>
      <c r="C7" s="57" t="str">
        <f>PSPOINTS[[#This Row],[PayScaleCode]]&amp;PSPOINTS[[#This Row],[PayScalePointCode]]&amp;PSPOINTS[[#This Row],[RateDateFrom]]</f>
        <v>MAINM645901</v>
      </c>
      <c r="D7" s="57">
        <f>COUNTIF(PSPOINTS[Pay Scale String Duplicates],PSPOINTS[[#This Row],[Pay Scale String Duplicates]])-1</f>
        <v>0</v>
      </c>
      <c r="E7" s="57">
        <f>IF((MONTH(_xlfn.XLOOKUP(PSPOINTS[[#This Row],[PayScaleCode]],PayScales!N:N,PayScales!R:R)))=MONTH(PSPOINTS[[#This Row],[RateDateFrom]]),0,1)</f>
        <v>0</v>
      </c>
      <c r="F7" s="57">
        <f>IF(ISBLANK(PSPOINTS[[#This Row],[RateDateTo]]),0,IF(PSPOINTS[[#This Row],[RateDateFrom]]&lt;PSPOINTS[[#This Row],[RateDateTo]],0,1))</f>
        <v>0</v>
      </c>
      <c r="G7" s="57" cm="1">
        <f t="array" aca="1" ref="G7" ca="1">IF(CELL("format",PSPOINTS[[#This Row],[RateDateFrom]])="D1",0,1)+IF(CELL("format",PSPOINTS[[#This Row],[RateDateTo]])="D1",0,1)</f>
        <v>0</v>
      </c>
      <c r="H7" s="57">
        <f>IF(OR(PSPOINTS[[#This Row],[Hourly]]=TRUE,PSPOINTS[[#This Row],[Hourly]]=FALSE),IF(OR(PSPOINTS[[#This Row],[PayScalePointEnabled]]=TRUE,PSPOINTS[[#This Row],[PayScalePointEnabled]]=FALSE),0,1),1)</f>
        <v>0</v>
      </c>
      <c r="I7" s="57">
        <f>IF(LEN(PSPOINTS[[#This Row],[PayScalePointCode]])&lt;100,0,1)</f>
        <v>0</v>
      </c>
      <c r="J7" s="57">
        <f>IF(LEN(PSPOINTS[[#This Row],[PayScalePointTitle]])&lt;100,0,1)</f>
        <v>0</v>
      </c>
      <c r="K7" s="57">
        <f>(COUNTBLANK(PSPOINTS[[#This Row],[PayScalePointCode]:[RateDateFrom]])+COUNTBLANK(PSPOINTS[[#This Row],[PayScaleRate]]))</f>
        <v>0</v>
      </c>
      <c r="L7" s="112">
        <f>IF(SUBSTITUTE(TEXT(PSPOINTS[[#This Row],[PayScaleCode]],10)," ","")=TEXT(PSPOINTS[[#This Row],[PayScaleCode]],10),0,1)+IF(SUBSTITUTE(TEXT(PSPOINTS[[#This Row],[PayScalePointCode]],10)," ","")=TEXT(PSPOINTS[[#This Row],[PayScalePointCode]],10),0,1)</f>
        <v>0</v>
      </c>
      <c r="M7" s="57">
        <f ca="1">SUM(PSPOINTS[[#This Row],[Scale Point Issue]:[Space in Code]])</f>
        <v>0</v>
      </c>
      <c r="N7" s="57" t="s">
        <v>897</v>
      </c>
      <c r="P7" s="12" t="s">
        <v>1127</v>
      </c>
      <c r="Q7" s="57" t="str">
        <f>_xlfn.XLOOKUP(PSPOINTS[[#This Row],[PayScaleCode]],PayScales!N:N,PayScales!O:O)</f>
        <v>Teachers Main</v>
      </c>
      <c r="R7" s="12" t="s">
        <v>1546</v>
      </c>
      <c r="S7" s="12" t="s">
        <v>1546</v>
      </c>
      <c r="T7" s="12">
        <v>6</v>
      </c>
      <c r="U7" t="b">
        <v>0</v>
      </c>
      <c r="V7" t="b">
        <v>1</v>
      </c>
      <c r="W7" s="20">
        <v>45901</v>
      </c>
      <c r="Y7" s="14">
        <v>45352</v>
      </c>
    </row>
    <row r="8" spans="1:25" x14ac:dyDescent="0.3">
      <c r="A8" s="140" t="str">
        <f>PSPOINTS[[#This Row],[PayScaleCode]]&amp;PSPOINTS[[#This Row],[RateDateFrom]]</f>
        <v>MAIN45901</v>
      </c>
      <c r="B8" s="57">
        <f t="shared" si="0"/>
        <v>0</v>
      </c>
      <c r="C8" s="57" t="str">
        <f>PSPOINTS[[#This Row],[PayScaleCode]]&amp;PSPOINTS[[#This Row],[PayScalePointCode]]&amp;PSPOINTS[[#This Row],[RateDateFrom]]</f>
        <v>MAINU145901</v>
      </c>
      <c r="D8" s="57">
        <f>COUNTIF(PSPOINTS[Pay Scale String Duplicates],PSPOINTS[[#This Row],[Pay Scale String Duplicates]])-1</f>
        <v>0</v>
      </c>
      <c r="E8" s="57">
        <f>IF((MONTH(_xlfn.XLOOKUP(PSPOINTS[[#This Row],[PayScaleCode]],PayScales!N:N,PayScales!R:R)))=MONTH(PSPOINTS[[#This Row],[RateDateFrom]]),0,1)</f>
        <v>0</v>
      </c>
      <c r="F8" s="57">
        <f>IF(ISBLANK(PSPOINTS[[#This Row],[RateDateTo]]),0,IF(PSPOINTS[[#This Row],[RateDateFrom]]&lt;PSPOINTS[[#This Row],[RateDateTo]],0,1))</f>
        <v>0</v>
      </c>
      <c r="G8" s="57" cm="1">
        <f t="array" aca="1" ref="G8" ca="1">IF(CELL("format",PSPOINTS[[#This Row],[RateDateFrom]])="D1",0,1)+IF(CELL("format",PSPOINTS[[#This Row],[RateDateTo]])="D1",0,1)</f>
        <v>0</v>
      </c>
      <c r="H8" s="57">
        <f>IF(OR(PSPOINTS[[#This Row],[Hourly]]=TRUE,PSPOINTS[[#This Row],[Hourly]]=FALSE),IF(OR(PSPOINTS[[#This Row],[PayScalePointEnabled]]=TRUE,PSPOINTS[[#This Row],[PayScalePointEnabled]]=FALSE),0,1),1)</f>
        <v>0</v>
      </c>
      <c r="I8" s="57">
        <f>IF(LEN(PSPOINTS[[#This Row],[PayScalePointCode]])&lt;100,0,1)</f>
        <v>0</v>
      </c>
      <c r="J8" s="57">
        <f>IF(LEN(PSPOINTS[[#This Row],[PayScalePointTitle]])&lt;100,0,1)</f>
        <v>0</v>
      </c>
      <c r="K8" s="57">
        <f>(COUNTBLANK(PSPOINTS[[#This Row],[PayScalePointCode]:[RateDateFrom]])+COUNTBLANK(PSPOINTS[[#This Row],[PayScaleRate]]))</f>
        <v>0</v>
      </c>
      <c r="L8" s="112">
        <f>IF(SUBSTITUTE(TEXT(PSPOINTS[[#This Row],[PayScaleCode]],10)," ","")=TEXT(PSPOINTS[[#This Row],[PayScaleCode]],10),0,1)+IF(SUBSTITUTE(TEXT(PSPOINTS[[#This Row],[PayScalePointCode]],10)," ","")=TEXT(PSPOINTS[[#This Row],[PayScalePointCode]],10),0,1)</f>
        <v>0</v>
      </c>
      <c r="M8" s="57">
        <f ca="1">SUM(PSPOINTS[[#This Row],[Scale Point Issue]:[Space in Code]])</f>
        <v>0</v>
      </c>
      <c r="N8" s="57" t="s">
        <v>897</v>
      </c>
      <c r="P8" s="12" t="s">
        <v>1127</v>
      </c>
      <c r="Q8" s="57" t="str">
        <f>_xlfn.XLOOKUP(PSPOINTS[[#This Row],[PayScaleCode]],PayScales!N:N,PayScales!O:O)</f>
        <v>Teachers Main</v>
      </c>
      <c r="R8" s="12" t="s">
        <v>3073</v>
      </c>
      <c r="S8" s="12" t="s">
        <v>3073</v>
      </c>
      <c r="T8" s="12">
        <v>7</v>
      </c>
      <c r="U8" t="b">
        <v>0</v>
      </c>
      <c r="V8" t="b">
        <v>1</v>
      </c>
      <c r="W8" s="20">
        <v>45901</v>
      </c>
      <c r="Y8" s="14">
        <v>47472</v>
      </c>
    </row>
    <row r="9" spans="1:25" x14ac:dyDescent="0.3">
      <c r="A9" s="140" t="str">
        <f>PSPOINTS[[#This Row],[PayScaleCode]]&amp;PSPOINTS[[#This Row],[RateDateFrom]]</f>
        <v>MAIN45901</v>
      </c>
      <c r="B9" s="57">
        <f t="shared" si="0"/>
        <v>0</v>
      </c>
      <c r="C9" s="57" t="str">
        <f>PSPOINTS[[#This Row],[PayScaleCode]]&amp;PSPOINTS[[#This Row],[PayScalePointCode]]&amp;PSPOINTS[[#This Row],[RateDateFrom]]</f>
        <v>MAINU245901</v>
      </c>
      <c r="D9" s="57">
        <f>COUNTIF(PSPOINTS[Pay Scale String Duplicates],PSPOINTS[[#This Row],[Pay Scale String Duplicates]])-1</f>
        <v>0</v>
      </c>
      <c r="E9" s="57">
        <f>IF((MONTH(_xlfn.XLOOKUP(PSPOINTS[[#This Row],[PayScaleCode]],PayScales!N:N,PayScales!R:R)))=MONTH(PSPOINTS[[#This Row],[RateDateFrom]]),0,1)</f>
        <v>0</v>
      </c>
      <c r="F9" s="57">
        <f>IF(ISBLANK(PSPOINTS[[#This Row],[RateDateTo]]),0,IF(PSPOINTS[[#This Row],[RateDateFrom]]&lt;PSPOINTS[[#This Row],[RateDateTo]],0,1))</f>
        <v>0</v>
      </c>
      <c r="G9" s="57" cm="1">
        <f t="array" aca="1" ref="G9" ca="1">IF(CELL("format",PSPOINTS[[#This Row],[RateDateFrom]])="D1",0,1)+IF(CELL("format",PSPOINTS[[#This Row],[RateDateTo]])="D1",0,1)</f>
        <v>0</v>
      </c>
      <c r="H9" s="57">
        <f>IF(OR(PSPOINTS[[#This Row],[Hourly]]=TRUE,PSPOINTS[[#This Row],[Hourly]]=FALSE),IF(OR(PSPOINTS[[#This Row],[PayScalePointEnabled]]=TRUE,PSPOINTS[[#This Row],[PayScalePointEnabled]]=FALSE),0,1),1)</f>
        <v>0</v>
      </c>
      <c r="I9" s="57">
        <f>IF(LEN(PSPOINTS[[#This Row],[PayScalePointCode]])&lt;100,0,1)</f>
        <v>0</v>
      </c>
      <c r="J9" s="57">
        <f>IF(LEN(PSPOINTS[[#This Row],[PayScalePointTitle]])&lt;100,0,1)</f>
        <v>0</v>
      </c>
      <c r="K9" s="57">
        <f>(COUNTBLANK(PSPOINTS[[#This Row],[PayScalePointCode]:[RateDateFrom]])+COUNTBLANK(PSPOINTS[[#This Row],[PayScaleRate]]))</f>
        <v>0</v>
      </c>
      <c r="L9" s="112">
        <f>IF(SUBSTITUTE(TEXT(PSPOINTS[[#This Row],[PayScaleCode]],10)," ","")=TEXT(PSPOINTS[[#This Row],[PayScaleCode]],10),0,1)+IF(SUBSTITUTE(TEXT(PSPOINTS[[#This Row],[PayScalePointCode]],10)," ","")=TEXT(PSPOINTS[[#This Row],[PayScalePointCode]],10),0,1)</f>
        <v>0</v>
      </c>
      <c r="M9" s="57">
        <f ca="1">SUM(PSPOINTS[[#This Row],[Scale Point Issue]:[Space in Code]])</f>
        <v>0</v>
      </c>
      <c r="N9" s="57" t="s">
        <v>897</v>
      </c>
      <c r="P9" s="12" t="s">
        <v>1127</v>
      </c>
      <c r="Q9" s="57" t="str">
        <f>_xlfn.XLOOKUP(PSPOINTS[[#This Row],[PayScaleCode]],PayScales!N:N,PayScales!O:O)</f>
        <v>Teachers Main</v>
      </c>
      <c r="R9" s="12" t="s">
        <v>3074</v>
      </c>
      <c r="S9" s="12" t="s">
        <v>3074</v>
      </c>
      <c r="T9" s="12">
        <v>8</v>
      </c>
      <c r="U9" t="b">
        <v>0</v>
      </c>
      <c r="V9" t="b">
        <v>1</v>
      </c>
      <c r="W9" s="20">
        <v>45901</v>
      </c>
      <c r="Y9" s="14">
        <v>49232</v>
      </c>
    </row>
    <row r="10" spans="1:25" x14ac:dyDescent="0.3">
      <c r="A10" s="140" t="str">
        <f>PSPOINTS[[#This Row],[PayScaleCode]]&amp;PSPOINTS[[#This Row],[RateDateFrom]]</f>
        <v>MAIN45901</v>
      </c>
      <c r="B10" s="57">
        <f t="shared" si="0"/>
        <v>0</v>
      </c>
      <c r="C10" s="57" t="str">
        <f>PSPOINTS[[#This Row],[PayScaleCode]]&amp;PSPOINTS[[#This Row],[PayScalePointCode]]&amp;PSPOINTS[[#This Row],[RateDateFrom]]</f>
        <v>MAINU345901</v>
      </c>
      <c r="D10" s="57">
        <f>COUNTIF(PSPOINTS[Pay Scale String Duplicates],PSPOINTS[[#This Row],[Pay Scale String Duplicates]])-1</f>
        <v>0</v>
      </c>
      <c r="E10" s="57">
        <f>IF((MONTH(_xlfn.XLOOKUP(PSPOINTS[[#This Row],[PayScaleCode]],PayScales!N:N,PayScales!R:R)))=MONTH(PSPOINTS[[#This Row],[RateDateFrom]]),0,1)</f>
        <v>0</v>
      </c>
      <c r="F10" s="57">
        <f>IF(ISBLANK(PSPOINTS[[#This Row],[RateDateTo]]),0,IF(PSPOINTS[[#This Row],[RateDateFrom]]&lt;PSPOINTS[[#This Row],[RateDateTo]],0,1))</f>
        <v>0</v>
      </c>
      <c r="G10" s="57" cm="1">
        <f t="array" aca="1" ref="G10" ca="1">IF(CELL("format",PSPOINTS[[#This Row],[RateDateFrom]])="D1",0,1)+IF(CELL("format",PSPOINTS[[#This Row],[RateDateTo]])="D1",0,1)</f>
        <v>0</v>
      </c>
      <c r="H10" s="57">
        <f>IF(OR(PSPOINTS[[#This Row],[Hourly]]=TRUE,PSPOINTS[[#This Row],[Hourly]]=FALSE),IF(OR(PSPOINTS[[#This Row],[PayScalePointEnabled]]=TRUE,PSPOINTS[[#This Row],[PayScalePointEnabled]]=FALSE),0,1),1)</f>
        <v>0</v>
      </c>
      <c r="I10" s="57">
        <f>IF(LEN(PSPOINTS[[#This Row],[PayScalePointCode]])&lt;100,0,1)</f>
        <v>0</v>
      </c>
      <c r="J10" s="57">
        <f>IF(LEN(PSPOINTS[[#This Row],[PayScalePointTitle]])&lt;100,0,1)</f>
        <v>0</v>
      </c>
      <c r="K10" s="57">
        <f>(COUNTBLANK(PSPOINTS[[#This Row],[PayScalePointCode]:[RateDateFrom]])+COUNTBLANK(PSPOINTS[[#This Row],[PayScaleRate]]))</f>
        <v>0</v>
      </c>
      <c r="L10" s="112">
        <f>IF(SUBSTITUTE(TEXT(PSPOINTS[[#This Row],[PayScaleCode]],10)," ","")=TEXT(PSPOINTS[[#This Row],[PayScaleCode]],10),0,1)+IF(SUBSTITUTE(TEXT(PSPOINTS[[#This Row],[PayScalePointCode]],10)," ","")=TEXT(PSPOINTS[[#This Row],[PayScalePointCode]],10),0,1)</f>
        <v>0</v>
      </c>
      <c r="M10" s="57">
        <f ca="1">SUM(PSPOINTS[[#This Row],[Scale Point Issue]:[Space in Code]])</f>
        <v>0</v>
      </c>
      <c r="N10" s="57" t="s">
        <v>897</v>
      </c>
      <c r="P10" s="12" t="s">
        <v>1127</v>
      </c>
      <c r="Q10" s="57" t="str">
        <f>_xlfn.XLOOKUP(PSPOINTS[[#This Row],[PayScaleCode]],PayScales!N:N,PayScales!O:O)</f>
        <v>Teachers Main</v>
      </c>
      <c r="R10" s="12" t="s">
        <v>1745</v>
      </c>
      <c r="S10" s="12" t="s">
        <v>1745</v>
      </c>
      <c r="T10" s="12">
        <v>9</v>
      </c>
      <c r="U10" t="b">
        <v>0</v>
      </c>
      <c r="V10" t="b">
        <v>1</v>
      </c>
      <c r="W10" s="20">
        <v>45901</v>
      </c>
      <c r="Y10" s="14">
        <v>51048</v>
      </c>
    </row>
    <row r="11" spans="1:25" x14ac:dyDescent="0.3">
      <c r="A11" s="140" t="str">
        <f>PSPOINTS[[#This Row],[PayScaleCode]]&amp;PSPOINTS[[#This Row],[RateDateFrom]]</f>
        <v>UQ45901</v>
      </c>
      <c r="B11" s="57">
        <f t="shared" si="0"/>
        <v>0</v>
      </c>
      <c r="C11" s="57" t="str">
        <f>PSPOINTS[[#This Row],[PayScaleCode]]&amp;PSPOINTS[[#This Row],[PayScalePointCode]]&amp;PSPOINTS[[#This Row],[RateDateFrom]]</f>
        <v>UQUQ145901</v>
      </c>
      <c r="D11" s="57">
        <f>COUNTIF(PSPOINTS[Pay Scale String Duplicates],PSPOINTS[[#This Row],[Pay Scale String Duplicates]])-1</f>
        <v>0</v>
      </c>
      <c r="E11" s="57">
        <f>IF((MONTH(_xlfn.XLOOKUP(PSPOINTS[[#This Row],[PayScaleCode]],PayScales!N:N,PayScales!R:R)))=MONTH(PSPOINTS[[#This Row],[RateDateFrom]]),0,1)</f>
        <v>0</v>
      </c>
      <c r="F11" s="57">
        <f>IF(ISBLANK(PSPOINTS[[#This Row],[RateDateTo]]),0,IF(PSPOINTS[[#This Row],[RateDateFrom]]&lt;PSPOINTS[[#This Row],[RateDateTo]],0,1))</f>
        <v>0</v>
      </c>
      <c r="G11" s="57" cm="1">
        <f t="array" aca="1" ref="G11" ca="1">IF(CELL("format",PSPOINTS[[#This Row],[RateDateFrom]])="D1",0,1)+IF(CELL("format",PSPOINTS[[#This Row],[RateDateTo]])="D1",0,1)</f>
        <v>0</v>
      </c>
      <c r="H11" s="57">
        <f>IF(OR(PSPOINTS[[#This Row],[Hourly]]=TRUE,PSPOINTS[[#This Row],[Hourly]]=FALSE),IF(OR(PSPOINTS[[#This Row],[PayScalePointEnabled]]=TRUE,PSPOINTS[[#This Row],[PayScalePointEnabled]]=FALSE),0,1),1)</f>
        <v>0</v>
      </c>
      <c r="I11" s="57">
        <f>IF(LEN(PSPOINTS[[#This Row],[PayScalePointCode]])&lt;100,0,1)</f>
        <v>0</v>
      </c>
      <c r="J11" s="57">
        <f>IF(LEN(PSPOINTS[[#This Row],[PayScalePointTitle]])&lt;100,0,1)</f>
        <v>0</v>
      </c>
      <c r="K11" s="57">
        <f>(COUNTBLANK(PSPOINTS[[#This Row],[PayScalePointCode]:[RateDateFrom]])+COUNTBLANK(PSPOINTS[[#This Row],[PayScaleRate]]))</f>
        <v>0</v>
      </c>
      <c r="L11" s="112">
        <f>IF(SUBSTITUTE(TEXT(PSPOINTS[[#This Row],[PayScaleCode]],10)," ","")=TEXT(PSPOINTS[[#This Row],[PayScaleCode]],10),0,1)+IF(SUBSTITUTE(TEXT(PSPOINTS[[#This Row],[PayScalePointCode]],10)," ","")=TEXT(PSPOINTS[[#This Row],[PayScalePointCode]],10),0,1)</f>
        <v>0</v>
      </c>
      <c r="M11" s="57">
        <f ca="1">SUM(PSPOINTS[[#This Row],[Scale Point Issue]:[Space in Code]])</f>
        <v>0</v>
      </c>
      <c r="N11" s="57" t="s">
        <v>897</v>
      </c>
      <c r="P11" s="12" t="s">
        <v>1749</v>
      </c>
      <c r="Q11" s="57" t="str">
        <f>_xlfn.XLOOKUP(PSPOINTS[[#This Row],[PayScaleCode]],PayScales!N:N,PayScales!O:O)</f>
        <v>Teachers Unqualified</v>
      </c>
      <c r="R11" s="12" t="s">
        <v>1069</v>
      </c>
      <c r="S11" s="12" t="s">
        <v>1069</v>
      </c>
      <c r="T11" s="12">
        <v>1</v>
      </c>
      <c r="U11" t="b">
        <v>0</v>
      </c>
      <c r="V11" t="b">
        <v>1</v>
      </c>
      <c r="W11" s="20">
        <v>45901</v>
      </c>
      <c r="Y11" s="14">
        <v>22601</v>
      </c>
    </row>
    <row r="12" spans="1:25" x14ac:dyDescent="0.3">
      <c r="A12" s="140" t="str">
        <f>PSPOINTS[[#This Row],[PayScaleCode]]&amp;PSPOINTS[[#This Row],[RateDateFrom]]</f>
        <v>UQ45901</v>
      </c>
      <c r="B12" s="57">
        <f t="shared" si="0"/>
        <v>0</v>
      </c>
      <c r="C12" s="57" t="str">
        <f>PSPOINTS[[#This Row],[PayScaleCode]]&amp;PSPOINTS[[#This Row],[PayScalePointCode]]&amp;PSPOINTS[[#This Row],[RateDateFrom]]</f>
        <v>UQUQ245901</v>
      </c>
      <c r="D12" s="57">
        <f>COUNTIF(PSPOINTS[Pay Scale String Duplicates],PSPOINTS[[#This Row],[Pay Scale String Duplicates]])-1</f>
        <v>0</v>
      </c>
      <c r="E12" s="57">
        <f>IF((MONTH(_xlfn.XLOOKUP(PSPOINTS[[#This Row],[PayScaleCode]],PayScales!N:N,PayScales!R:R)))=MONTH(PSPOINTS[[#This Row],[RateDateFrom]]),0,1)</f>
        <v>0</v>
      </c>
      <c r="F12" s="57">
        <f>IF(ISBLANK(PSPOINTS[[#This Row],[RateDateTo]]),0,IF(PSPOINTS[[#This Row],[RateDateFrom]]&lt;PSPOINTS[[#This Row],[RateDateTo]],0,1))</f>
        <v>0</v>
      </c>
      <c r="G12" s="57" cm="1">
        <f t="array" aca="1" ref="G12" ca="1">IF(CELL("format",PSPOINTS[[#This Row],[RateDateFrom]])="D1",0,1)+IF(CELL("format",PSPOINTS[[#This Row],[RateDateTo]])="D1",0,1)</f>
        <v>0</v>
      </c>
      <c r="H12" s="57">
        <f>IF(OR(PSPOINTS[[#This Row],[Hourly]]=TRUE,PSPOINTS[[#This Row],[Hourly]]=FALSE),IF(OR(PSPOINTS[[#This Row],[PayScalePointEnabled]]=TRUE,PSPOINTS[[#This Row],[PayScalePointEnabled]]=FALSE),0,1),1)</f>
        <v>0</v>
      </c>
      <c r="I12" s="57">
        <f>IF(LEN(PSPOINTS[[#This Row],[PayScalePointCode]])&lt;100,0,1)</f>
        <v>0</v>
      </c>
      <c r="J12" s="57">
        <f>IF(LEN(PSPOINTS[[#This Row],[PayScalePointTitle]])&lt;100,0,1)</f>
        <v>0</v>
      </c>
      <c r="K12" s="57">
        <f>(COUNTBLANK(PSPOINTS[[#This Row],[PayScalePointCode]:[RateDateFrom]])+COUNTBLANK(PSPOINTS[[#This Row],[PayScaleRate]]))</f>
        <v>0</v>
      </c>
      <c r="L12" s="112">
        <f>IF(SUBSTITUTE(TEXT(PSPOINTS[[#This Row],[PayScaleCode]],10)," ","")=TEXT(PSPOINTS[[#This Row],[PayScaleCode]],10),0,1)+IF(SUBSTITUTE(TEXT(PSPOINTS[[#This Row],[PayScalePointCode]],10)," ","")=TEXT(PSPOINTS[[#This Row],[PayScalePointCode]],10),0,1)</f>
        <v>0</v>
      </c>
      <c r="M12" s="57">
        <f ca="1">SUM(PSPOINTS[[#This Row],[Scale Point Issue]:[Space in Code]])</f>
        <v>0</v>
      </c>
      <c r="N12" s="57" t="s">
        <v>897</v>
      </c>
      <c r="P12" s="12" t="s">
        <v>1749</v>
      </c>
      <c r="Q12" s="57" t="str">
        <f>_xlfn.XLOOKUP(PSPOINTS[[#This Row],[PayScaleCode]],PayScales!N:N,PayScales!O:O)</f>
        <v>Teachers Unqualified</v>
      </c>
      <c r="R12" s="12" t="s">
        <v>1070</v>
      </c>
      <c r="S12" s="12" t="s">
        <v>1070</v>
      </c>
      <c r="T12" s="12">
        <v>2</v>
      </c>
      <c r="U12" t="b">
        <v>0</v>
      </c>
      <c r="V12" t="b">
        <v>1</v>
      </c>
      <c r="W12" s="20">
        <v>45901</v>
      </c>
      <c r="Y12" s="14">
        <v>25193</v>
      </c>
    </row>
    <row r="13" spans="1:25" x14ac:dyDescent="0.3">
      <c r="A13" s="140" t="str">
        <f>PSPOINTS[[#This Row],[PayScaleCode]]&amp;PSPOINTS[[#This Row],[RateDateFrom]]</f>
        <v>UQ45901</v>
      </c>
      <c r="B13" s="57">
        <f t="shared" si="0"/>
        <v>0</v>
      </c>
      <c r="C13" s="57" t="str">
        <f>PSPOINTS[[#This Row],[PayScaleCode]]&amp;PSPOINTS[[#This Row],[PayScalePointCode]]&amp;PSPOINTS[[#This Row],[RateDateFrom]]</f>
        <v>UQUQ345901</v>
      </c>
      <c r="D13" s="57">
        <f>COUNTIF(PSPOINTS[Pay Scale String Duplicates],PSPOINTS[[#This Row],[Pay Scale String Duplicates]])-1</f>
        <v>0</v>
      </c>
      <c r="E13" s="57">
        <f>IF((MONTH(_xlfn.XLOOKUP(PSPOINTS[[#This Row],[PayScaleCode]],PayScales!N:N,PayScales!R:R)))=MONTH(PSPOINTS[[#This Row],[RateDateFrom]]),0,1)</f>
        <v>0</v>
      </c>
      <c r="F13" s="57">
        <f>IF(ISBLANK(PSPOINTS[[#This Row],[RateDateTo]]),0,IF(PSPOINTS[[#This Row],[RateDateFrom]]&lt;PSPOINTS[[#This Row],[RateDateTo]],0,1))</f>
        <v>0</v>
      </c>
      <c r="G13" s="57" cm="1">
        <f t="array" aca="1" ref="G13" ca="1">IF(CELL("format",PSPOINTS[[#This Row],[RateDateFrom]])="D1",0,1)+IF(CELL("format",PSPOINTS[[#This Row],[RateDateTo]])="D1",0,1)</f>
        <v>0</v>
      </c>
      <c r="H13" s="57">
        <f>IF(OR(PSPOINTS[[#This Row],[Hourly]]=TRUE,PSPOINTS[[#This Row],[Hourly]]=FALSE),IF(OR(PSPOINTS[[#This Row],[PayScalePointEnabled]]=TRUE,PSPOINTS[[#This Row],[PayScalePointEnabled]]=FALSE),0,1),1)</f>
        <v>0</v>
      </c>
      <c r="I13" s="57">
        <f>IF(LEN(PSPOINTS[[#This Row],[PayScalePointCode]])&lt;100,0,1)</f>
        <v>0</v>
      </c>
      <c r="J13" s="57">
        <f>IF(LEN(PSPOINTS[[#This Row],[PayScalePointTitle]])&lt;100,0,1)</f>
        <v>0</v>
      </c>
      <c r="K13" s="57">
        <f>(COUNTBLANK(PSPOINTS[[#This Row],[PayScalePointCode]:[RateDateFrom]])+COUNTBLANK(PSPOINTS[[#This Row],[PayScaleRate]]))</f>
        <v>0</v>
      </c>
      <c r="L13" s="112">
        <f>IF(SUBSTITUTE(TEXT(PSPOINTS[[#This Row],[PayScaleCode]],10)," ","")=TEXT(PSPOINTS[[#This Row],[PayScaleCode]],10),0,1)+IF(SUBSTITUTE(TEXT(PSPOINTS[[#This Row],[PayScalePointCode]],10)," ","")=TEXT(PSPOINTS[[#This Row],[PayScalePointCode]],10),0,1)</f>
        <v>0</v>
      </c>
      <c r="M13" s="57">
        <f ca="1">SUM(PSPOINTS[[#This Row],[Scale Point Issue]:[Space in Code]])</f>
        <v>0</v>
      </c>
      <c r="N13" s="57" t="s">
        <v>897</v>
      </c>
      <c r="P13" s="12" t="s">
        <v>1749</v>
      </c>
      <c r="Q13" s="57" t="str">
        <f>_xlfn.XLOOKUP(PSPOINTS[[#This Row],[PayScaleCode]],PayScales!N:N,PayScales!O:O)</f>
        <v>Teachers Unqualified</v>
      </c>
      <c r="R13" s="12" t="s">
        <v>1071</v>
      </c>
      <c r="S13" s="12" t="s">
        <v>1071</v>
      </c>
      <c r="T13" s="12">
        <v>3</v>
      </c>
      <c r="U13" t="b">
        <v>0</v>
      </c>
      <c r="V13" t="b">
        <v>1</v>
      </c>
      <c r="W13" s="20">
        <v>45901</v>
      </c>
      <c r="Y13" s="14">
        <v>27785</v>
      </c>
    </row>
    <row r="14" spans="1:25" x14ac:dyDescent="0.3">
      <c r="A14" s="140" t="str">
        <f>PSPOINTS[[#This Row],[PayScaleCode]]&amp;PSPOINTS[[#This Row],[RateDateFrom]]</f>
        <v>UQ45901</v>
      </c>
      <c r="B14" s="57">
        <f t="shared" si="0"/>
        <v>0</v>
      </c>
      <c r="C14" s="57" t="str">
        <f>PSPOINTS[[#This Row],[PayScaleCode]]&amp;PSPOINTS[[#This Row],[PayScalePointCode]]&amp;PSPOINTS[[#This Row],[RateDateFrom]]</f>
        <v>UQUQ445901</v>
      </c>
      <c r="D14" s="57">
        <f>COUNTIF(PSPOINTS[Pay Scale String Duplicates],PSPOINTS[[#This Row],[Pay Scale String Duplicates]])-1</f>
        <v>0</v>
      </c>
      <c r="E14" s="57">
        <f>IF((MONTH(_xlfn.XLOOKUP(PSPOINTS[[#This Row],[PayScaleCode]],PayScales!N:N,PayScales!R:R)))=MONTH(PSPOINTS[[#This Row],[RateDateFrom]]),0,1)</f>
        <v>0</v>
      </c>
      <c r="F14" s="57">
        <f>IF(ISBLANK(PSPOINTS[[#This Row],[RateDateTo]]),0,IF(PSPOINTS[[#This Row],[RateDateFrom]]&lt;PSPOINTS[[#This Row],[RateDateTo]],0,1))</f>
        <v>0</v>
      </c>
      <c r="G14" s="57" cm="1">
        <f t="array" aca="1" ref="G14" ca="1">IF(CELL("format",PSPOINTS[[#This Row],[RateDateFrom]])="D1",0,1)+IF(CELL("format",PSPOINTS[[#This Row],[RateDateTo]])="D1",0,1)</f>
        <v>0</v>
      </c>
      <c r="H14" s="57">
        <f>IF(OR(PSPOINTS[[#This Row],[Hourly]]=TRUE,PSPOINTS[[#This Row],[Hourly]]=FALSE),IF(OR(PSPOINTS[[#This Row],[PayScalePointEnabled]]=TRUE,PSPOINTS[[#This Row],[PayScalePointEnabled]]=FALSE),0,1),1)</f>
        <v>0</v>
      </c>
      <c r="I14" s="57">
        <f>IF(LEN(PSPOINTS[[#This Row],[PayScalePointCode]])&lt;100,0,1)</f>
        <v>0</v>
      </c>
      <c r="J14" s="57">
        <f>IF(LEN(PSPOINTS[[#This Row],[PayScalePointTitle]])&lt;100,0,1)</f>
        <v>0</v>
      </c>
      <c r="K14" s="57">
        <f>(COUNTBLANK(PSPOINTS[[#This Row],[PayScalePointCode]:[RateDateFrom]])+COUNTBLANK(PSPOINTS[[#This Row],[PayScaleRate]]))</f>
        <v>0</v>
      </c>
      <c r="L14" s="112">
        <f>IF(SUBSTITUTE(TEXT(PSPOINTS[[#This Row],[PayScaleCode]],10)," ","")=TEXT(PSPOINTS[[#This Row],[PayScaleCode]],10),0,1)+IF(SUBSTITUTE(TEXT(PSPOINTS[[#This Row],[PayScalePointCode]],10)," ","")=TEXT(PSPOINTS[[#This Row],[PayScalePointCode]],10),0,1)</f>
        <v>0</v>
      </c>
      <c r="M14" s="57">
        <f ca="1">SUM(PSPOINTS[[#This Row],[Scale Point Issue]:[Space in Code]])</f>
        <v>0</v>
      </c>
      <c r="N14" s="57" t="s">
        <v>897</v>
      </c>
      <c r="P14" s="12" t="s">
        <v>1749</v>
      </c>
      <c r="Q14" s="57" t="str">
        <f>_xlfn.XLOOKUP(PSPOINTS[[#This Row],[PayScaleCode]],PayScales!N:N,PayScales!O:O)</f>
        <v>Teachers Unqualified</v>
      </c>
      <c r="R14" s="12" t="s">
        <v>1072</v>
      </c>
      <c r="S14" s="12" t="s">
        <v>1072</v>
      </c>
      <c r="T14" s="12">
        <v>4</v>
      </c>
      <c r="U14" t="b">
        <v>0</v>
      </c>
      <c r="V14" t="b">
        <v>1</v>
      </c>
      <c r="W14" s="20">
        <v>45901</v>
      </c>
      <c r="Y14" s="14">
        <v>30071</v>
      </c>
    </row>
    <row r="15" spans="1:25" x14ac:dyDescent="0.3">
      <c r="A15" s="140" t="str">
        <f>PSPOINTS[[#This Row],[PayScaleCode]]&amp;PSPOINTS[[#This Row],[RateDateFrom]]</f>
        <v>UQ45901</v>
      </c>
      <c r="B15" s="57">
        <f t="shared" si="0"/>
        <v>0</v>
      </c>
      <c r="C15" s="57" t="str">
        <f>PSPOINTS[[#This Row],[PayScaleCode]]&amp;PSPOINTS[[#This Row],[PayScalePointCode]]&amp;PSPOINTS[[#This Row],[RateDateFrom]]</f>
        <v>UQUQ545901</v>
      </c>
      <c r="D15" s="57">
        <f>COUNTIF(PSPOINTS[Pay Scale String Duplicates],PSPOINTS[[#This Row],[Pay Scale String Duplicates]])-1</f>
        <v>0</v>
      </c>
      <c r="E15" s="57">
        <f>IF((MONTH(_xlfn.XLOOKUP(PSPOINTS[[#This Row],[PayScaleCode]],PayScales!N:N,PayScales!R:R)))=MONTH(PSPOINTS[[#This Row],[RateDateFrom]]),0,1)</f>
        <v>0</v>
      </c>
      <c r="F15" s="57">
        <f>IF(ISBLANK(PSPOINTS[[#This Row],[RateDateTo]]),0,IF(PSPOINTS[[#This Row],[RateDateFrom]]&lt;PSPOINTS[[#This Row],[RateDateTo]],0,1))</f>
        <v>0</v>
      </c>
      <c r="G15" s="57" cm="1">
        <f t="array" aca="1" ref="G15" ca="1">IF(CELL("format",PSPOINTS[[#This Row],[RateDateFrom]])="D1",0,1)+IF(CELL("format",PSPOINTS[[#This Row],[RateDateTo]])="D1",0,1)</f>
        <v>0</v>
      </c>
      <c r="H15" s="57">
        <f>IF(OR(PSPOINTS[[#This Row],[Hourly]]=TRUE,PSPOINTS[[#This Row],[Hourly]]=FALSE),IF(OR(PSPOINTS[[#This Row],[PayScalePointEnabled]]=TRUE,PSPOINTS[[#This Row],[PayScalePointEnabled]]=FALSE),0,1),1)</f>
        <v>0</v>
      </c>
      <c r="I15" s="57">
        <f>IF(LEN(PSPOINTS[[#This Row],[PayScalePointCode]])&lt;100,0,1)</f>
        <v>0</v>
      </c>
      <c r="J15" s="57">
        <f>IF(LEN(PSPOINTS[[#This Row],[PayScalePointTitle]])&lt;100,0,1)</f>
        <v>0</v>
      </c>
      <c r="K15" s="57">
        <f>(COUNTBLANK(PSPOINTS[[#This Row],[PayScalePointCode]:[RateDateFrom]])+COUNTBLANK(PSPOINTS[[#This Row],[PayScaleRate]]))</f>
        <v>0</v>
      </c>
      <c r="L15" s="112">
        <f>IF(SUBSTITUTE(TEXT(PSPOINTS[[#This Row],[PayScaleCode]],10)," ","")=TEXT(PSPOINTS[[#This Row],[PayScaleCode]],10),0,1)+IF(SUBSTITUTE(TEXT(PSPOINTS[[#This Row],[PayScalePointCode]],10)," ","")=TEXT(PSPOINTS[[#This Row],[PayScalePointCode]],10),0,1)</f>
        <v>0</v>
      </c>
      <c r="M15" s="57">
        <f ca="1">SUM(PSPOINTS[[#This Row],[Scale Point Issue]:[Space in Code]])</f>
        <v>0</v>
      </c>
      <c r="N15" s="57" t="s">
        <v>897</v>
      </c>
      <c r="P15" s="12" t="s">
        <v>1749</v>
      </c>
      <c r="Q15" s="57" t="str">
        <f>_xlfn.XLOOKUP(PSPOINTS[[#This Row],[PayScaleCode]],PayScales!N:N,PayScales!O:O)</f>
        <v>Teachers Unqualified</v>
      </c>
      <c r="R15" s="12" t="s">
        <v>1073</v>
      </c>
      <c r="S15" s="12" t="s">
        <v>1073</v>
      </c>
      <c r="T15" s="12">
        <v>5</v>
      </c>
      <c r="U15" t="b">
        <v>0</v>
      </c>
      <c r="V15" t="b">
        <v>1</v>
      </c>
      <c r="W15" s="20">
        <v>45901</v>
      </c>
      <c r="Y15" s="14">
        <v>32667</v>
      </c>
    </row>
    <row r="16" spans="1:25" x14ac:dyDescent="0.3">
      <c r="A16" s="140" t="str">
        <f>PSPOINTS[[#This Row],[PayScaleCode]]&amp;PSPOINTS[[#This Row],[RateDateFrom]]</f>
        <v>UQ45901</v>
      </c>
      <c r="B16" s="57">
        <f t="shared" si="0"/>
        <v>0</v>
      </c>
      <c r="C16" s="57" t="str">
        <f>PSPOINTS[[#This Row],[PayScaleCode]]&amp;PSPOINTS[[#This Row],[PayScalePointCode]]&amp;PSPOINTS[[#This Row],[RateDateFrom]]</f>
        <v>UQUQ645901</v>
      </c>
      <c r="D16" s="57">
        <f>COUNTIF(PSPOINTS[Pay Scale String Duplicates],PSPOINTS[[#This Row],[Pay Scale String Duplicates]])-1</f>
        <v>0</v>
      </c>
      <c r="E16" s="57">
        <f>IF((MONTH(_xlfn.XLOOKUP(PSPOINTS[[#This Row],[PayScaleCode]],PayScales!N:N,PayScales!R:R)))=MONTH(PSPOINTS[[#This Row],[RateDateFrom]]),0,1)</f>
        <v>0</v>
      </c>
      <c r="F16" s="57">
        <f>IF(ISBLANK(PSPOINTS[[#This Row],[RateDateTo]]),0,IF(PSPOINTS[[#This Row],[RateDateFrom]]&lt;PSPOINTS[[#This Row],[RateDateTo]],0,1))</f>
        <v>0</v>
      </c>
      <c r="G16" s="57" cm="1">
        <f t="array" aca="1" ref="G16" ca="1">IF(CELL("format",PSPOINTS[[#This Row],[RateDateFrom]])="D1",0,1)+IF(CELL("format",PSPOINTS[[#This Row],[RateDateTo]])="D1",0,1)</f>
        <v>0</v>
      </c>
      <c r="H16" s="57">
        <f>IF(OR(PSPOINTS[[#This Row],[Hourly]]=TRUE,PSPOINTS[[#This Row],[Hourly]]=FALSE),IF(OR(PSPOINTS[[#This Row],[PayScalePointEnabled]]=TRUE,PSPOINTS[[#This Row],[PayScalePointEnabled]]=FALSE),0,1),1)</f>
        <v>0</v>
      </c>
      <c r="I16" s="57">
        <f>IF(LEN(PSPOINTS[[#This Row],[PayScalePointCode]])&lt;100,0,1)</f>
        <v>0</v>
      </c>
      <c r="J16" s="57">
        <f>IF(LEN(PSPOINTS[[#This Row],[PayScalePointTitle]])&lt;100,0,1)</f>
        <v>0</v>
      </c>
      <c r="K16" s="57">
        <f>(COUNTBLANK(PSPOINTS[[#This Row],[PayScalePointCode]:[RateDateFrom]])+COUNTBLANK(PSPOINTS[[#This Row],[PayScaleRate]]))</f>
        <v>0</v>
      </c>
      <c r="L16" s="112">
        <f>IF(SUBSTITUTE(TEXT(PSPOINTS[[#This Row],[PayScaleCode]],10)," ","")=TEXT(PSPOINTS[[#This Row],[PayScaleCode]],10),0,1)+IF(SUBSTITUTE(TEXT(PSPOINTS[[#This Row],[PayScalePointCode]],10)," ","")=TEXT(PSPOINTS[[#This Row],[PayScalePointCode]],10),0,1)</f>
        <v>0</v>
      </c>
      <c r="M16" s="57">
        <f ca="1">SUM(PSPOINTS[[#This Row],[Scale Point Issue]:[Space in Code]])</f>
        <v>0</v>
      </c>
      <c r="N16" s="57" t="s">
        <v>897</v>
      </c>
      <c r="P16" s="12" t="s">
        <v>1749</v>
      </c>
      <c r="Q16" s="57" t="str">
        <f>_xlfn.XLOOKUP(PSPOINTS[[#This Row],[PayScaleCode]],PayScales!N:N,PayScales!O:O)</f>
        <v>Teachers Unqualified</v>
      </c>
      <c r="R16" s="12" t="s">
        <v>1074</v>
      </c>
      <c r="S16" s="12" t="s">
        <v>1074</v>
      </c>
      <c r="T16" s="12">
        <v>6</v>
      </c>
      <c r="U16" t="b">
        <v>0</v>
      </c>
      <c r="V16" t="b">
        <v>1</v>
      </c>
      <c r="W16" s="20">
        <v>45901</v>
      </c>
      <c r="Y16" s="14">
        <v>35259</v>
      </c>
    </row>
    <row r="17" spans="1:25" x14ac:dyDescent="0.3">
      <c r="A17" s="140" t="str">
        <f>PSPOINTS[[#This Row],[PayScaleCode]]&amp;PSPOINTS[[#This Row],[RateDateFrom]]</f>
        <v>LS45901</v>
      </c>
      <c r="B17" s="57">
        <f t="shared" si="0"/>
        <v>0</v>
      </c>
      <c r="C17" s="57" t="str">
        <f>PSPOINTS[[#This Row],[PayScaleCode]]&amp;PSPOINTS[[#This Row],[PayScalePointCode]]&amp;PSPOINTS[[#This Row],[RateDateFrom]]</f>
        <v>LSL0145901</v>
      </c>
      <c r="D17" s="57">
        <f>COUNTIF(PSPOINTS[Pay Scale String Duplicates],PSPOINTS[[#This Row],[Pay Scale String Duplicates]])-1</f>
        <v>0</v>
      </c>
      <c r="E17" s="57">
        <f>IF((MONTH(_xlfn.XLOOKUP(PSPOINTS[[#This Row],[PayScaleCode]],PayScales!N:N,PayScales!R:R)))=MONTH(PSPOINTS[[#This Row],[RateDateFrom]]),0,1)</f>
        <v>0</v>
      </c>
      <c r="F17" s="57">
        <f>IF(ISBLANK(PSPOINTS[[#This Row],[RateDateTo]]),0,IF(PSPOINTS[[#This Row],[RateDateFrom]]&lt;PSPOINTS[[#This Row],[RateDateTo]],0,1))</f>
        <v>0</v>
      </c>
      <c r="G17" s="57" cm="1">
        <f t="array" aca="1" ref="G17" ca="1">IF(CELL("format",PSPOINTS[[#This Row],[RateDateFrom]])="D1",0,1)+IF(CELL("format",PSPOINTS[[#This Row],[RateDateTo]])="D1",0,1)</f>
        <v>0</v>
      </c>
      <c r="H17" s="57">
        <f>IF(OR(PSPOINTS[[#This Row],[Hourly]]=TRUE,PSPOINTS[[#This Row],[Hourly]]=FALSE),IF(OR(PSPOINTS[[#This Row],[PayScalePointEnabled]]=TRUE,PSPOINTS[[#This Row],[PayScalePointEnabled]]=FALSE),0,1),1)</f>
        <v>0</v>
      </c>
      <c r="I17" s="57">
        <f>IF(LEN(PSPOINTS[[#This Row],[PayScalePointCode]])&lt;100,0,1)</f>
        <v>0</v>
      </c>
      <c r="J17" s="57">
        <f>IF(LEN(PSPOINTS[[#This Row],[PayScalePointTitle]])&lt;100,0,1)</f>
        <v>0</v>
      </c>
      <c r="K17" s="57">
        <f>(COUNTBLANK(PSPOINTS[[#This Row],[PayScalePointCode]:[RateDateFrom]])+COUNTBLANK(PSPOINTS[[#This Row],[PayScaleRate]]))</f>
        <v>0</v>
      </c>
      <c r="L17" s="112">
        <f>IF(SUBSTITUTE(TEXT(PSPOINTS[[#This Row],[PayScaleCode]],10)," ","")=TEXT(PSPOINTS[[#This Row],[PayScaleCode]],10),0,1)+IF(SUBSTITUTE(TEXT(PSPOINTS[[#This Row],[PayScalePointCode]],10)," ","")=TEXT(PSPOINTS[[#This Row],[PayScalePointCode]],10),0,1)</f>
        <v>0</v>
      </c>
      <c r="M17" s="57">
        <f ca="1">SUM(PSPOINTS[[#This Row],[Scale Point Issue]:[Space in Code]])</f>
        <v>0</v>
      </c>
      <c r="N17" s="57" t="s">
        <v>897</v>
      </c>
      <c r="P17" s="12" t="s">
        <v>1750</v>
      </c>
      <c r="Q17" s="57" t="str">
        <f>_xlfn.XLOOKUP(PSPOINTS[[#This Row],[PayScaleCode]],PayScales!N:N,PayScales!O:O)</f>
        <v>Leadership Group</v>
      </c>
      <c r="R17" s="12" t="s">
        <v>1075</v>
      </c>
      <c r="S17" s="12" t="s">
        <v>1075</v>
      </c>
      <c r="T17" s="12">
        <v>1</v>
      </c>
      <c r="U17" t="b">
        <v>0</v>
      </c>
      <c r="V17" t="b">
        <v>1</v>
      </c>
      <c r="W17" s="20">
        <v>45901</v>
      </c>
      <c r="Y17" s="14">
        <v>51773</v>
      </c>
    </row>
    <row r="18" spans="1:25" x14ac:dyDescent="0.3">
      <c r="A18" s="140" t="str">
        <f>PSPOINTS[[#This Row],[PayScaleCode]]&amp;PSPOINTS[[#This Row],[RateDateFrom]]</f>
        <v>LS45901</v>
      </c>
      <c r="B18" s="57">
        <f t="shared" si="0"/>
        <v>0</v>
      </c>
      <c r="C18" s="57" t="str">
        <f>PSPOINTS[[#This Row],[PayScaleCode]]&amp;PSPOINTS[[#This Row],[PayScalePointCode]]&amp;PSPOINTS[[#This Row],[RateDateFrom]]</f>
        <v>LSL0245901</v>
      </c>
      <c r="D18" s="57">
        <f>COUNTIF(PSPOINTS[Pay Scale String Duplicates],PSPOINTS[[#This Row],[Pay Scale String Duplicates]])-1</f>
        <v>0</v>
      </c>
      <c r="E18" s="57">
        <f>IF((MONTH(_xlfn.XLOOKUP(PSPOINTS[[#This Row],[PayScaleCode]],PayScales!N:N,PayScales!R:R)))=MONTH(PSPOINTS[[#This Row],[RateDateFrom]]),0,1)</f>
        <v>0</v>
      </c>
      <c r="F18" s="57">
        <f>IF(ISBLANK(PSPOINTS[[#This Row],[RateDateTo]]),0,IF(PSPOINTS[[#This Row],[RateDateFrom]]&lt;PSPOINTS[[#This Row],[RateDateTo]],0,1))</f>
        <v>0</v>
      </c>
      <c r="G18" s="57" cm="1">
        <f t="array" aca="1" ref="G18" ca="1">IF(CELL("format",PSPOINTS[[#This Row],[RateDateFrom]])="D1",0,1)+IF(CELL("format",PSPOINTS[[#This Row],[RateDateTo]])="D1",0,1)</f>
        <v>0</v>
      </c>
      <c r="H18" s="57">
        <f>IF(OR(PSPOINTS[[#This Row],[Hourly]]=TRUE,PSPOINTS[[#This Row],[Hourly]]=FALSE),IF(OR(PSPOINTS[[#This Row],[PayScalePointEnabled]]=TRUE,PSPOINTS[[#This Row],[PayScalePointEnabled]]=FALSE),0,1),1)</f>
        <v>0</v>
      </c>
      <c r="I18" s="57">
        <f>IF(LEN(PSPOINTS[[#This Row],[PayScalePointCode]])&lt;100,0,1)</f>
        <v>0</v>
      </c>
      <c r="J18" s="57">
        <f>IF(LEN(PSPOINTS[[#This Row],[PayScalePointTitle]])&lt;100,0,1)</f>
        <v>0</v>
      </c>
      <c r="K18" s="57">
        <f>(COUNTBLANK(PSPOINTS[[#This Row],[PayScalePointCode]:[RateDateFrom]])+COUNTBLANK(PSPOINTS[[#This Row],[PayScaleRate]]))</f>
        <v>0</v>
      </c>
      <c r="L18" s="112">
        <f>IF(SUBSTITUTE(TEXT(PSPOINTS[[#This Row],[PayScaleCode]],10)," ","")=TEXT(PSPOINTS[[#This Row],[PayScaleCode]],10),0,1)+IF(SUBSTITUTE(TEXT(PSPOINTS[[#This Row],[PayScalePointCode]],10)," ","")=TEXT(PSPOINTS[[#This Row],[PayScalePointCode]],10),0,1)</f>
        <v>0</v>
      </c>
      <c r="M18" s="57">
        <f ca="1">SUM(PSPOINTS[[#This Row],[Scale Point Issue]:[Space in Code]])</f>
        <v>0</v>
      </c>
      <c r="N18" s="57" t="s">
        <v>897</v>
      </c>
      <c r="P18" s="12" t="s">
        <v>1750</v>
      </c>
      <c r="Q18" s="57" t="str">
        <f>_xlfn.XLOOKUP(PSPOINTS[[#This Row],[PayScaleCode]],PayScales!N:N,PayScales!O:O)</f>
        <v>Leadership Group</v>
      </c>
      <c r="R18" s="12" t="s">
        <v>1076</v>
      </c>
      <c r="S18" s="12" t="s">
        <v>1076</v>
      </c>
      <c r="T18" s="12">
        <v>2</v>
      </c>
      <c r="U18" t="b">
        <v>0</v>
      </c>
      <c r="V18" t="b">
        <v>1</v>
      </c>
      <c r="W18" s="20">
        <v>45901</v>
      </c>
      <c r="Y18" s="14">
        <v>53069</v>
      </c>
    </row>
    <row r="19" spans="1:25" x14ac:dyDescent="0.3">
      <c r="A19" s="140" t="str">
        <f>PSPOINTS[[#This Row],[PayScaleCode]]&amp;PSPOINTS[[#This Row],[RateDateFrom]]</f>
        <v>LS45901</v>
      </c>
      <c r="B19" s="57">
        <f t="shared" si="0"/>
        <v>0</v>
      </c>
      <c r="C19" s="57" t="str">
        <f>PSPOINTS[[#This Row],[PayScaleCode]]&amp;PSPOINTS[[#This Row],[PayScalePointCode]]&amp;PSPOINTS[[#This Row],[RateDateFrom]]</f>
        <v>LSL0345901</v>
      </c>
      <c r="D19" s="57">
        <f>COUNTIF(PSPOINTS[Pay Scale String Duplicates],PSPOINTS[[#This Row],[Pay Scale String Duplicates]])-1</f>
        <v>0</v>
      </c>
      <c r="E19" s="57">
        <f>IF((MONTH(_xlfn.XLOOKUP(PSPOINTS[[#This Row],[PayScaleCode]],PayScales!N:N,PayScales!R:R)))=MONTH(PSPOINTS[[#This Row],[RateDateFrom]]),0,1)</f>
        <v>0</v>
      </c>
      <c r="F19" s="57">
        <f>IF(ISBLANK(PSPOINTS[[#This Row],[RateDateTo]]),0,IF(PSPOINTS[[#This Row],[RateDateFrom]]&lt;PSPOINTS[[#This Row],[RateDateTo]],0,1))</f>
        <v>0</v>
      </c>
      <c r="G19" s="57" cm="1">
        <f t="array" aca="1" ref="G19" ca="1">IF(CELL("format",PSPOINTS[[#This Row],[RateDateFrom]])="D1",0,1)+IF(CELL("format",PSPOINTS[[#This Row],[RateDateTo]])="D1",0,1)</f>
        <v>0</v>
      </c>
      <c r="H19" s="57">
        <f>IF(OR(PSPOINTS[[#This Row],[Hourly]]=TRUE,PSPOINTS[[#This Row],[Hourly]]=FALSE),IF(OR(PSPOINTS[[#This Row],[PayScalePointEnabled]]=TRUE,PSPOINTS[[#This Row],[PayScalePointEnabled]]=FALSE),0,1),1)</f>
        <v>0</v>
      </c>
      <c r="I19" s="57">
        <f>IF(LEN(PSPOINTS[[#This Row],[PayScalePointCode]])&lt;100,0,1)</f>
        <v>0</v>
      </c>
      <c r="J19" s="57">
        <f>IF(LEN(PSPOINTS[[#This Row],[PayScalePointTitle]])&lt;100,0,1)</f>
        <v>0</v>
      </c>
      <c r="K19" s="57">
        <f>(COUNTBLANK(PSPOINTS[[#This Row],[PayScalePointCode]:[RateDateFrom]])+COUNTBLANK(PSPOINTS[[#This Row],[PayScaleRate]]))</f>
        <v>0</v>
      </c>
      <c r="L19" s="112">
        <f>IF(SUBSTITUTE(TEXT(PSPOINTS[[#This Row],[PayScaleCode]],10)," ","")=TEXT(PSPOINTS[[#This Row],[PayScaleCode]],10),0,1)+IF(SUBSTITUTE(TEXT(PSPOINTS[[#This Row],[PayScalePointCode]],10)," ","")=TEXT(PSPOINTS[[#This Row],[PayScalePointCode]],10),0,1)</f>
        <v>0</v>
      </c>
      <c r="M19" s="57">
        <f ca="1">SUM(PSPOINTS[[#This Row],[Scale Point Issue]:[Space in Code]])</f>
        <v>0</v>
      </c>
      <c r="N19" s="57" t="s">
        <v>897</v>
      </c>
      <c r="P19" s="12" t="s">
        <v>1750</v>
      </c>
      <c r="Q19" s="57" t="str">
        <f>_xlfn.XLOOKUP(PSPOINTS[[#This Row],[PayScaleCode]],PayScales!N:N,PayScales!O:O)</f>
        <v>Leadership Group</v>
      </c>
      <c r="R19" s="12" t="s">
        <v>1077</v>
      </c>
      <c r="S19" s="12" t="s">
        <v>1077</v>
      </c>
      <c r="T19" s="12">
        <v>3</v>
      </c>
      <c r="U19" t="b">
        <v>0</v>
      </c>
      <c r="V19" t="b">
        <v>1</v>
      </c>
      <c r="W19" s="20">
        <v>45901</v>
      </c>
      <c r="Y19" s="14">
        <v>54394</v>
      </c>
    </row>
    <row r="20" spans="1:25" x14ac:dyDescent="0.3">
      <c r="A20" s="140" t="str">
        <f>PSPOINTS[[#This Row],[PayScaleCode]]&amp;PSPOINTS[[#This Row],[RateDateFrom]]</f>
        <v>LS45901</v>
      </c>
      <c r="B20" s="57">
        <f t="shared" si="0"/>
        <v>0</v>
      </c>
      <c r="C20" s="57" t="str">
        <f>PSPOINTS[[#This Row],[PayScaleCode]]&amp;PSPOINTS[[#This Row],[PayScalePointCode]]&amp;PSPOINTS[[#This Row],[RateDateFrom]]</f>
        <v>LSL0445901</v>
      </c>
      <c r="D20" s="57">
        <f>COUNTIF(PSPOINTS[Pay Scale String Duplicates],PSPOINTS[[#This Row],[Pay Scale String Duplicates]])-1</f>
        <v>0</v>
      </c>
      <c r="E20" s="57">
        <f>IF((MONTH(_xlfn.XLOOKUP(PSPOINTS[[#This Row],[PayScaleCode]],PayScales!N:N,PayScales!R:R)))=MONTH(PSPOINTS[[#This Row],[RateDateFrom]]),0,1)</f>
        <v>0</v>
      </c>
      <c r="F20" s="57">
        <f>IF(ISBLANK(PSPOINTS[[#This Row],[RateDateTo]]),0,IF(PSPOINTS[[#This Row],[RateDateFrom]]&lt;PSPOINTS[[#This Row],[RateDateTo]],0,1))</f>
        <v>0</v>
      </c>
      <c r="G20" s="57" cm="1">
        <f t="array" aca="1" ref="G20" ca="1">IF(CELL("format",PSPOINTS[[#This Row],[RateDateFrom]])="D1",0,1)+IF(CELL("format",PSPOINTS[[#This Row],[RateDateTo]])="D1",0,1)</f>
        <v>0</v>
      </c>
      <c r="H20" s="57">
        <f>IF(OR(PSPOINTS[[#This Row],[Hourly]]=TRUE,PSPOINTS[[#This Row],[Hourly]]=FALSE),IF(OR(PSPOINTS[[#This Row],[PayScalePointEnabled]]=TRUE,PSPOINTS[[#This Row],[PayScalePointEnabled]]=FALSE),0,1),1)</f>
        <v>0</v>
      </c>
      <c r="I20" s="57">
        <f>IF(LEN(PSPOINTS[[#This Row],[PayScalePointCode]])&lt;100,0,1)</f>
        <v>0</v>
      </c>
      <c r="J20" s="57">
        <f>IF(LEN(PSPOINTS[[#This Row],[PayScalePointTitle]])&lt;100,0,1)</f>
        <v>0</v>
      </c>
      <c r="K20" s="57">
        <f>(COUNTBLANK(PSPOINTS[[#This Row],[PayScalePointCode]:[RateDateFrom]])+COUNTBLANK(PSPOINTS[[#This Row],[PayScaleRate]]))</f>
        <v>0</v>
      </c>
      <c r="L20" s="112">
        <f>IF(SUBSTITUTE(TEXT(PSPOINTS[[#This Row],[PayScaleCode]],10)," ","")=TEXT(PSPOINTS[[#This Row],[PayScaleCode]],10),0,1)+IF(SUBSTITUTE(TEXT(PSPOINTS[[#This Row],[PayScalePointCode]],10)," ","")=TEXT(PSPOINTS[[#This Row],[PayScalePointCode]],10),0,1)</f>
        <v>0</v>
      </c>
      <c r="M20" s="57">
        <f ca="1">SUM(PSPOINTS[[#This Row],[Scale Point Issue]:[Space in Code]])</f>
        <v>0</v>
      </c>
      <c r="N20" s="57" t="s">
        <v>897</v>
      </c>
      <c r="P20" s="12" t="s">
        <v>1750</v>
      </c>
      <c r="Q20" s="57" t="str">
        <f>_xlfn.XLOOKUP(PSPOINTS[[#This Row],[PayScaleCode]],PayScales!N:N,PayScales!O:O)</f>
        <v>Leadership Group</v>
      </c>
      <c r="R20" s="12" t="s">
        <v>1078</v>
      </c>
      <c r="S20" s="12" t="s">
        <v>1078</v>
      </c>
      <c r="T20" s="12">
        <v>4</v>
      </c>
      <c r="U20" t="b">
        <v>0</v>
      </c>
      <c r="V20" t="b">
        <v>1</v>
      </c>
      <c r="W20" s="20">
        <v>45901</v>
      </c>
      <c r="Y20" s="14">
        <v>55747</v>
      </c>
    </row>
    <row r="21" spans="1:25" x14ac:dyDescent="0.3">
      <c r="A21" s="140" t="str">
        <f>PSPOINTS[[#This Row],[PayScaleCode]]&amp;PSPOINTS[[#This Row],[RateDateFrom]]</f>
        <v>LS45901</v>
      </c>
      <c r="B21" s="57">
        <f t="shared" si="0"/>
        <v>0</v>
      </c>
      <c r="C21" s="57" t="str">
        <f>PSPOINTS[[#This Row],[PayScaleCode]]&amp;PSPOINTS[[#This Row],[PayScalePointCode]]&amp;PSPOINTS[[#This Row],[RateDateFrom]]</f>
        <v>LSL0545901</v>
      </c>
      <c r="D21" s="57">
        <f>COUNTIF(PSPOINTS[Pay Scale String Duplicates],PSPOINTS[[#This Row],[Pay Scale String Duplicates]])-1</f>
        <v>0</v>
      </c>
      <c r="E21" s="57">
        <f>IF((MONTH(_xlfn.XLOOKUP(PSPOINTS[[#This Row],[PayScaleCode]],PayScales!N:N,PayScales!R:R)))=MONTH(PSPOINTS[[#This Row],[RateDateFrom]]),0,1)</f>
        <v>0</v>
      </c>
      <c r="F21" s="57">
        <f>IF(ISBLANK(PSPOINTS[[#This Row],[RateDateTo]]),0,IF(PSPOINTS[[#This Row],[RateDateFrom]]&lt;PSPOINTS[[#This Row],[RateDateTo]],0,1))</f>
        <v>0</v>
      </c>
      <c r="G21" s="57" cm="1">
        <f t="array" aca="1" ref="G21" ca="1">IF(CELL("format",PSPOINTS[[#This Row],[RateDateFrom]])="D1",0,1)+IF(CELL("format",PSPOINTS[[#This Row],[RateDateTo]])="D1",0,1)</f>
        <v>0</v>
      </c>
      <c r="H21" s="57">
        <f>IF(OR(PSPOINTS[[#This Row],[Hourly]]=TRUE,PSPOINTS[[#This Row],[Hourly]]=FALSE),IF(OR(PSPOINTS[[#This Row],[PayScalePointEnabled]]=TRUE,PSPOINTS[[#This Row],[PayScalePointEnabled]]=FALSE),0,1),1)</f>
        <v>0</v>
      </c>
      <c r="I21" s="57">
        <f>IF(LEN(PSPOINTS[[#This Row],[PayScalePointCode]])&lt;100,0,1)</f>
        <v>0</v>
      </c>
      <c r="J21" s="57">
        <f>IF(LEN(PSPOINTS[[#This Row],[PayScalePointTitle]])&lt;100,0,1)</f>
        <v>0</v>
      </c>
      <c r="K21" s="57">
        <f>(COUNTBLANK(PSPOINTS[[#This Row],[PayScalePointCode]:[RateDateFrom]])+COUNTBLANK(PSPOINTS[[#This Row],[PayScaleRate]]))</f>
        <v>0</v>
      </c>
      <c r="L21" s="112">
        <f>IF(SUBSTITUTE(TEXT(PSPOINTS[[#This Row],[PayScaleCode]],10)," ","")=TEXT(PSPOINTS[[#This Row],[PayScaleCode]],10),0,1)+IF(SUBSTITUTE(TEXT(PSPOINTS[[#This Row],[PayScalePointCode]],10)," ","")=TEXT(PSPOINTS[[#This Row],[PayScalePointCode]],10),0,1)</f>
        <v>0</v>
      </c>
      <c r="M21" s="57">
        <f ca="1">SUM(PSPOINTS[[#This Row],[Scale Point Issue]:[Space in Code]])</f>
        <v>0</v>
      </c>
      <c r="N21" s="57" t="s">
        <v>897</v>
      </c>
      <c r="P21" s="12" t="s">
        <v>1750</v>
      </c>
      <c r="Q21" s="57" t="str">
        <f>_xlfn.XLOOKUP(PSPOINTS[[#This Row],[PayScaleCode]],PayScales!N:N,PayScales!O:O)</f>
        <v>Leadership Group</v>
      </c>
      <c r="R21" s="12" t="s">
        <v>1079</v>
      </c>
      <c r="S21" s="12" t="s">
        <v>1079</v>
      </c>
      <c r="T21" s="12">
        <v>5</v>
      </c>
      <c r="U21" t="b">
        <v>0</v>
      </c>
      <c r="V21" t="b">
        <v>1</v>
      </c>
      <c r="W21" s="20">
        <v>45901</v>
      </c>
      <c r="Y21" s="14">
        <v>57137</v>
      </c>
    </row>
    <row r="22" spans="1:25" x14ac:dyDescent="0.3">
      <c r="A22" s="140" t="str">
        <f>PSPOINTS[[#This Row],[PayScaleCode]]&amp;PSPOINTS[[#This Row],[RateDateFrom]]</f>
        <v>LS45901</v>
      </c>
      <c r="B22" s="57">
        <f t="shared" si="0"/>
        <v>0</v>
      </c>
      <c r="C22" s="57" t="str">
        <f>PSPOINTS[[#This Row],[PayScaleCode]]&amp;PSPOINTS[[#This Row],[PayScalePointCode]]&amp;PSPOINTS[[#This Row],[RateDateFrom]]</f>
        <v>LSL0645901</v>
      </c>
      <c r="D22" s="57">
        <f>COUNTIF(PSPOINTS[Pay Scale String Duplicates],PSPOINTS[[#This Row],[Pay Scale String Duplicates]])-1</f>
        <v>0</v>
      </c>
      <c r="E22" s="57">
        <f>IF((MONTH(_xlfn.XLOOKUP(PSPOINTS[[#This Row],[PayScaleCode]],PayScales!N:N,PayScales!R:R)))=MONTH(PSPOINTS[[#This Row],[RateDateFrom]]),0,1)</f>
        <v>0</v>
      </c>
      <c r="F22" s="57">
        <f>IF(ISBLANK(PSPOINTS[[#This Row],[RateDateTo]]),0,IF(PSPOINTS[[#This Row],[RateDateFrom]]&lt;PSPOINTS[[#This Row],[RateDateTo]],0,1))</f>
        <v>0</v>
      </c>
      <c r="G22" s="57" cm="1">
        <f t="array" aca="1" ref="G22" ca="1">IF(CELL("format",PSPOINTS[[#This Row],[RateDateFrom]])="D1",0,1)+IF(CELL("format",PSPOINTS[[#This Row],[RateDateTo]])="D1",0,1)</f>
        <v>0</v>
      </c>
      <c r="H22" s="57">
        <f>IF(OR(PSPOINTS[[#This Row],[Hourly]]=TRUE,PSPOINTS[[#This Row],[Hourly]]=FALSE),IF(OR(PSPOINTS[[#This Row],[PayScalePointEnabled]]=TRUE,PSPOINTS[[#This Row],[PayScalePointEnabled]]=FALSE),0,1),1)</f>
        <v>0</v>
      </c>
      <c r="I22" s="57">
        <f>IF(LEN(PSPOINTS[[#This Row],[PayScalePointCode]])&lt;100,0,1)</f>
        <v>0</v>
      </c>
      <c r="J22" s="57">
        <f>IF(LEN(PSPOINTS[[#This Row],[PayScalePointTitle]])&lt;100,0,1)</f>
        <v>0</v>
      </c>
      <c r="K22" s="57">
        <f>(COUNTBLANK(PSPOINTS[[#This Row],[PayScalePointCode]:[RateDateFrom]])+COUNTBLANK(PSPOINTS[[#This Row],[PayScaleRate]]))</f>
        <v>0</v>
      </c>
      <c r="L22" s="112">
        <f>IF(SUBSTITUTE(TEXT(PSPOINTS[[#This Row],[PayScaleCode]],10)," ","")=TEXT(PSPOINTS[[#This Row],[PayScaleCode]],10),0,1)+IF(SUBSTITUTE(TEXT(PSPOINTS[[#This Row],[PayScalePointCode]],10)," ","")=TEXT(PSPOINTS[[#This Row],[PayScalePointCode]],10),0,1)</f>
        <v>0</v>
      </c>
      <c r="M22" s="57">
        <f ca="1">SUM(PSPOINTS[[#This Row],[Scale Point Issue]:[Space in Code]])</f>
        <v>0</v>
      </c>
      <c r="N22" s="57" t="s">
        <v>897</v>
      </c>
      <c r="P22" s="12" t="s">
        <v>1750</v>
      </c>
      <c r="Q22" s="57" t="str">
        <f>_xlfn.XLOOKUP(PSPOINTS[[#This Row],[PayScaleCode]],PayScales!N:N,PayScales!O:O)</f>
        <v>Leadership Group</v>
      </c>
      <c r="R22" s="12" t="s">
        <v>1080</v>
      </c>
      <c r="S22" s="12" t="s">
        <v>1080</v>
      </c>
      <c r="T22" s="12">
        <v>6</v>
      </c>
      <c r="U22" t="b">
        <v>0</v>
      </c>
      <c r="V22" t="b">
        <v>1</v>
      </c>
      <c r="W22" s="20">
        <v>45901</v>
      </c>
      <c r="Y22" s="14">
        <v>58569</v>
      </c>
    </row>
    <row r="23" spans="1:25" x14ac:dyDescent="0.3">
      <c r="A23" s="140" t="str">
        <f>PSPOINTS[[#This Row],[PayScaleCode]]&amp;PSPOINTS[[#This Row],[RateDateFrom]]</f>
        <v>LS45901</v>
      </c>
      <c r="B23" s="57">
        <f t="shared" si="0"/>
        <v>0</v>
      </c>
      <c r="C23" s="57" t="str">
        <f>PSPOINTS[[#This Row],[PayScaleCode]]&amp;PSPOINTS[[#This Row],[PayScalePointCode]]&amp;PSPOINTS[[#This Row],[RateDateFrom]]</f>
        <v>LSL0745901</v>
      </c>
      <c r="D23" s="57">
        <f>COUNTIF(PSPOINTS[Pay Scale String Duplicates],PSPOINTS[[#This Row],[Pay Scale String Duplicates]])-1</f>
        <v>0</v>
      </c>
      <c r="E23" s="57">
        <f>IF((MONTH(_xlfn.XLOOKUP(PSPOINTS[[#This Row],[PayScaleCode]],PayScales!N:N,PayScales!R:R)))=MONTH(PSPOINTS[[#This Row],[RateDateFrom]]),0,1)</f>
        <v>0</v>
      </c>
      <c r="F23" s="57">
        <f>IF(ISBLANK(PSPOINTS[[#This Row],[RateDateTo]]),0,IF(PSPOINTS[[#This Row],[RateDateFrom]]&lt;PSPOINTS[[#This Row],[RateDateTo]],0,1))</f>
        <v>0</v>
      </c>
      <c r="G23" s="57" cm="1">
        <f t="array" aca="1" ref="G23" ca="1">IF(CELL("format",PSPOINTS[[#This Row],[RateDateFrom]])="D1",0,1)+IF(CELL("format",PSPOINTS[[#This Row],[RateDateTo]])="D1",0,1)</f>
        <v>0</v>
      </c>
      <c r="H23" s="57">
        <f>IF(OR(PSPOINTS[[#This Row],[Hourly]]=TRUE,PSPOINTS[[#This Row],[Hourly]]=FALSE),IF(OR(PSPOINTS[[#This Row],[PayScalePointEnabled]]=TRUE,PSPOINTS[[#This Row],[PayScalePointEnabled]]=FALSE),0,1),1)</f>
        <v>0</v>
      </c>
      <c r="I23" s="57">
        <f>IF(LEN(PSPOINTS[[#This Row],[PayScalePointCode]])&lt;100,0,1)</f>
        <v>0</v>
      </c>
      <c r="J23" s="57">
        <f>IF(LEN(PSPOINTS[[#This Row],[PayScalePointTitle]])&lt;100,0,1)</f>
        <v>0</v>
      </c>
      <c r="K23" s="57">
        <f>(COUNTBLANK(PSPOINTS[[#This Row],[PayScalePointCode]:[RateDateFrom]])+COUNTBLANK(PSPOINTS[[#This Row],[PayScaleRate]]))</f>
        <v>0</v>
      </c>
      <c r="L23" s="112">
        <f>IF(SUBSTITUTE(TEXT(PSPOINTS[[#This Row],[PayScaleCode]],10)," ","")=TEXT(PSPOINTS[[#This Row],[PayScaleCode]],10),0,1)+IF(SUBSTITUTE(TEXT(PSPOINTS[[#This Row],[PayScalePointCode]],10)," ","")=TEXT(PSPOINTS[[#This Row],[PayScalePointCode]],10),0,1)</f>
        <v>0</v>
      </c>
      <c r="M23" s="57">
        <f ca="1">SUM(PSPOINTS[[#This Row],[Scale Point Issue]:[Space in Code]])</f>
        <v>0</v>
      </c>
      <c r="N23" s="57" t="s">
        <v>897</v>
      </c>
      <c r="P23" s="12" t="s">
        <v>1750</v>
      </c>
      <c r="Q23" s="57" t="str">
        <f>_xlfn.XLOOKUP(PSPOINTS[[#This Row],[PayScaleCode]],PayScales!N:N,PayScales!O:O)</f>
        <v>Leadership Group</v>
      </c>
      <c r="R23" s="12" t="s">
        <v>1081</v>
      </c>
      <c r="S23" s="12" t="s">
        <v>1081</v>
      </c>
      <c r="T23" s="12">
        <v>7</v>
      </c>
      <c r="U23" t="b">
        <v>0</v>
      </c>
      <c r="V23" t="b">
        <v>1</v>
      </c>
      <c r="W23" s="20">
        <v>45901</v>
      </c>
      <c r="Y23" s="14">
        <v>60145</v>
      </c>
    </row>
    <row r="24" spans="1:25" x14ac:dyDescent="0.3">
      <c r="A24" s="140" t="str">
        <f>PSPOINTS[[#This Row],[PayScaleCode]]&amp;PSPOINTS[[#This Row],[RateDateFrom]]</f>
        <v>LS45901</v>
      </c>
      <c r="B24" s="57">
        <f t="shared" si="0"/>
        <v>0</v>
      </c>
      <c r="C24" s="57" t="str">
        <f>PSPOINTS[[#This Row],[PayScaleCode]]&amp;PSPOINTS[[#This Row],[PayScalePointCode]]&amp;PSPOINTS[[#This Row],[RateDateFrom]]</f>
        <v>LSL0845901</v>
      </c>
      <c r="D24" s="57">
        <f>COUNTIF(PSPOINTS[Pay Scale String Duplicates],PSPOINTS[[#This Row],[Pay Scale String Duplicates]])-1</f>
        <v>0</v>
      </c>
      <c r="E24" s="57">
        <f>IF((MONTH(_xlfn.XLOOKUP(PSPOINTS[[#This Row],[PayScaleCode]],PayScales!N:N,PayScales!R:R)))=MONTH(PSPOINTS[[#This Row],[RateDateFrom]]),0,1)</f>
        <v>0</v>
      </c>
      <c r="F24" s="57">
        <f>IF(ISBLANK(PSPOINTS[[#This Row],[RateDateTo]]),0,IF(PSPOINTS[[#This Row],[RateDateFrom]]&lt;PSPOINTS[[#This Row],[RateDateTo]],0,1))</f>
        <v>0</v>
      </c>
      <c r="G24" s="57" cm="1">
        <f t="array" aca="1" ref="G24" ca="1">IF(CELL("format",PSPOINTS[[#This Row],[RateDateFrom]])="D1",0,1)+IF(CELL("format",PSPOINTS[[#This Row],[RateDateTo]])="D1",0,1)</f>
        <v>0</v>
      </c>
      <c r="H24" s="57">
        <f>IF(OR(PSPOINTS[[#This Row],[Hourly]]=TRUE,PSPOINTS[[#This Row],[Hourly]]=FALSE),IF(OR(PSPOINTS[[#This Row],[PayScalePointEnabled]]=TRUE,PSPOINTS[[#This Row],[PayScalePointEnabled]]=FALSE),0,1),1)</f>
        <v>0</v>
      </c>
      <c r="I24" s="57">
        <f>IF(LEN(PSPOINTS[[#This Row],[PayScalePointCode]])&lt;100,0,1)</f>
        <v>0</v>
      </c>
      <c r="J24" s="57">
        <f>IF(LEN(PSPOINTS[[#This Row],[PayScalePointTitle]])&lt;100,0,1)</f>
        <v>0</v>
      </c>
      <c r="K24" s="57">
        <f>(COUNTBLANK(PSPOINTS[[#This Row],[PayScalePointCode]:[RateDateFrom]])+COUNTBLANK(PSPOINTS[[#This Row],[PayScaleRate]]))</f>
        <v>0</v>
      </c>
      <c r="L24" s="112">
        <f>IF(SUBSTITUTE(TEXT(PSPOINTS[[#This Row],[PayScaleCode]],10)," ","")=TEXT(PSPOINTS[[#This Row],[PayScaleCode]],10),0,1)+IF(SUBSTITUTE(TEXT(PSPOINTS[[#This Row],[PayScalePointCode]],10)," ","")=TEXT(PSPOINTS[[#This Row],[PayScalePointCode]],10),0,1)</f>
        <v>0</v>
      </c>
      <c r="M24" s="57">
        <f ca="1">SUM(PSPOINTS[[#This Row],[Scale Point Issue]:[Space in Code]])</f>
        <v>0</v>
      </c>
      <c r="N24" s="57" t="s">
        <v>897</v>
      </c>
      <c r="P24" s="12" t="s">
        <v>1750</v>
      </c>
      <c r="Q24" s="57" t="str">
        <f>_xlfn.XLOOKUP(PSPOINTS[[#This Row],[PayScaleCode]],PayScales!N:N,PayScales!O:O)</f>
        <v>Leadership Group</v>
      </c>
      <c r="R24" s="12" t="s">
        <v>1082</v>
      </c>
      <c r="S24" s="12" t="s">
        <v>1082</v>
      </c>
      <c r="T24" s="12">
        <v>8</v>
      </c>
      <c r="U24" t="b">
        <v>0</v>
      </c>
      <c r="V24" t="b">
        <v>1</v>
      </c>
      <c r="W24" s="20">
        <v>45901</v>
      </c>
      <c r="Y24" s="14">
        <v>61534</v>
      </c>
    </row>
    <row r="25" spans="1:25" x14ac:dyDescent="0.3">
      <c r="A25" s="140" t="str">
        <f>PSPOINTS[[#This Row],[PayScaleCode]]&amp;PSPOINTS[[#This Row],[RateDateFrom]]</f>
        <v>LS45901</v>
      </c>
      <c r="B25" s="57">
        <f t="shared" si="0"/>
        <v>0</v>
      </c>
      <c r="C25" s="57" t="str">
        <f>PSPOINTS[[#This Row],[PayScaleCode]]&amp;PSPOINTS[[#This Row],[PayScalePointCode]]&amp;PSPOINTS[[#This Row],[RateDateFrom]]</f>
        <v>LSL0945901</v>
      </c>
      <c r="D25" s="57">
        <f>COUNTIF(PSPOINTS[Pay Scale String Duplicates],PSPOINTS[[#This Row],[Pay Scale String Duplicates]])-1</f>
        <v>0</v>
      </c>
      <c r="E25" s="57">
        <f>IF((MONTH(_xlfn.XLOOKUP(PSPOINTS[[#This Row],[PayScaleCode]],PayScales!N:N,PayScales!R:R)))=MONTH(PSPOINTS[[#This Row],[RateDateFrom]]),0,1)</f>
        <v>0</v>
      </c>
      <c r="F25" s="57">
        <f>IF(ISBLANK(PSPOINTS[[#This Row],[RateDateTo]]),0,IF(PSPOINTS[[#This Row],[RateDateFrom]]&lt;PSPOINTS[[#This Row],[RateDateTo]],0,1))</f>
        <v>0</v>
      </c>
      <c r="G25" s="57" cm="1">
        <f t="array" aca="1" ref="G25" ca="1">IF(CELL("format",PSPOINTS[[#This Row],[RateDateFrom]])="D1",0,1)+IF(CELL("format",PSPOINTS[[#This Row],[RateDateTo]])="D1",0,1)</f>
        <v>0</v>
      </c>
      <c r="H25" s="57">
        <f>IF(OR(PSPOINTS[[#This Row],[Hourly]]=TRUE,PSPOINTS[[#This Row],[Hourly]]=FALSE),IF(OR(PSPOINTS[[#This Row],[PayScalePointEnabled]]=TRUE,PSPOINTS[[#This Row],[PayScalePointEnabled]]=FALSE),0,1),1)</f>
        <v>0</v>
      </c>
      <c r="I25" s="57">
        <f>IF(LEN(PSPOINTS[[#This Row],[PayScalePointCode]])&lt;100,0,1)</f>
        <v>0</v>
      </c>
      <c r="J25" s="57">
        <f>IF(LEN(PSPOINTS[[#This Row],[PayScalePointTitle]])&lt;100,0,1)</f>
        <v>0</v>
      </c>
      <c r="K25" s="57">
        <f>(COUNTBLANK(PSPOINTS[[#This Row],[PayScalePointCode]:[RateDateFrom]])+COUNTBLANK(PSPOINTS[[#This Row],[PayScaleRate]]))</f>
        <v>0</v>
      </c>
      <c r="L25" s="112">
        <f>IF(SUBSTITUTE(TEXT(PSPOINTS[[#This Row],[PayScaleCode]],10)," ","")=TEXT(PSPOINTS[[#This Row],[PayScaleCode]],10),0,1)+IF(SUBSTITUTE(TEXT(PSPOINTS[[#This Row],[PayScalePointCode]],10)," ","")=TEXT(PSPOINTS[[#This Row],[PayScalePointCode]],10),0,1)</f>
        <v>0</v>
      </c>
      <c r="M25" s="57">
        <f ca="1">SUM(PSPOINTS[[#This Row],[Scale Point Issue]:[Space in Code]])</f>
        <v>0</v>
      </c>
      <c r="N25" s="57" t="s">
        <v>897</v>
      </c>
      <c r="P25" s="12" t="s">
        <v>1750</v>
      </c>
      <c r="Q25" s="57" t="str">
        <f>_xlfn.XLOOKUP(PSPOINTS[[#This Row],[PayScaleCode]],PayScales!N:N,PayScales!O:O)</f>
        <v>Leadership Group</v>
      </c>
      <c r="R25" s="12" t="s">
        <v>1083</v>
      </c>
      <c r="S25" s="12" t="s">
        <v>1083</v>
      </c>
      <c r="T25" s="12">
        <v>9</v>
      </c>
      <c r="U25" t="b">
        <v>0</v>
      </c>
      <c r="V25" t="b">
        <v>1</v>
      </c>
      <c r="W25" s="20">
        <v>45901</v>
      </c>
      <c r="Y25" s="14">
        <v>63070</v>
      </c>
    </row>
    <row r="26" spans="1:25" x14ac:dyDescent="0.3">
      <c r="A26" s="140" t="str">
        <f>PSPOINTS[[#This Row],[PayScaleCode]]&amp;PSPOINTS[[#This Row],[RateDateFrom]]</f>
        <v>LS45901</v>
      </c>
      <c r="B26" s="57">
        <f t="shared" si="0"/>
        <v>0</v>
      </c>
      <c r="C26" s="57" t="str">
        <f>PSPOINTS[[#This Row],[PayScaleCode]]&amp;PSPOINTS[[#This Row],[PayScalePointCode]]&amp;PSPOINTS[[#This Row],[RateDateFrom]]</f>
        <v>LSL1045901</v>
      </c>
      <c r="D26" s="57">
        <f>COUNTIF(PSPOINTS[Pay Scale String Duplicates],PSPOINTS[[#This Row],[Pay Scale String Duplicates]])-1</f>
        <v>0</v>
      </c>
      <c r="E26" s="57">
        <f>IF((MONTH(_xlfn.XLOOKUP(PSPOINTS[[#This Row],[PayScaleCode]],PayScales!N:N,PayScales!R:R)))=MONTH(PSPOINTS[[#This Row],[RateDateFrom]]),0,1)</f>
        <v>0</v>
      </c>
      <c r="F26" s="57">
        <f>IF(ISBLANK(PSPOINTS[[#This Row],[RateDateTo]]),0,IF(PSPOINTS[[#This Row],[RateDateFrom]]&lt;PSPOINTS[[#This Row],[RateDateTo]],0,1))</f>
        <v>0</v>
      </c>
      <c r="G26" s="57" cm="1">
        <f t="array" aca="1" ref="G26" ca="1">IF(CELL("format",PSPOINTS[[#This Row],[RateDateFrom]])="D1",0,1)+IF(CELL("format",PSPOINTS[[#This Row],[RateDateTo]])="D1",0,1)</f>
        <v>0</v>
      </c>
      <c r="H26" s="57">
        <f>IF(OR(PSPOINTS[[#This Row],[Hourly]]=TRUE,PSPOINTS[[#This Row],[Hourly]]=FALSE),IF(OR(PSPOINTS[[#This Row],[PayScalePointEnabled]]=TRUE,PSPOINTS[[#This Row],[PayScalePointEnabled]]=FALSE),0,1),1)</f>
        <v>0</v>
      </c>
      <c r="I26" s="57">
        <f>IF(LEN(PSPOINTS[[#This Row],[PayScalePointCode]])&lt;100,0,1)</f>
        <v>0</v>
      </c>
      <c r="J26" s="57">
        <f>IF(LEN(PSPOINTS[[#This Row],[PayScalePointTitle]])&lt;100,0,1)</f>
        <v>0</v>
      </c>
      <c r="K26" s="57">
        <f>(COUNTBLANK(PSPOINTS[[#This Row],[PayScalePointCode]:[RateDateFrom]])+COUNTBLANK(PSPOINTS[[#This Row],[PayScaleRate]]))</f>
        <v>0</v>
      </c>
      <c r="L26" s="112">
        <f>IF(SUBSTITUTE(TEXT(PSPOINTS[[#This Row],[PayScaleCode]],10)," ","")=TEXT(PSPOINTS[[#This Row],[PayScaleCode]],10),0,1)+IF(SUBSTITUTE(TEXT(PSPOINTS[[#This Row],[PayScalePointCode]],10)," ","")=TEXT(PSPOINTS[[#This Row],[PayScalePointCode]],10),0,1)</f>
        <v>0</v>
      </c>
      <c r="M26" s="57">
        <f ca="1">SUM(PSPOINTS[[#This Row],[Scale Point Issue]:[Space in Code]])</f>
        <v>0</v>
      </c>
      <c r="N26" s="57" t="s">
        <v>897</v>
      </c>
      <c r="P26" s="12" t="s">
        <v>1750</v>
      </c>
      <c r="Q26" s="57" t="str">
        <f>_xlfn.XLOOKUP(PSPOINTS[[#This Row],[PayScaleCode]],PayScales!N:N,PayScales!O:O)</f>
        <v>Leadership Group</v>
      </c>
      <c r="R26" s="12" t="s">
        <v>1084</v>
      </c>
      <c r="S26" s="12" t="s">
        <v>1084</v>
      </c>
      <c r="T26" s="12">
        <v>10</v>
      </c>
      <c r="U26" t="b">
        <v>0</v>
      </c>
      <c r="V26" t="b">
        <v>1</v>
      </c>
      <c r="W26" s="20">
        <v>45901</v>
      </c>
      <c r="Y26" s="14">
        <v>64691</v>
      </c>
    </row>
    <row r="27" spans="1:25" x14ac:dyDescent="0.3">
      <c r="A27" s="140" t="str">
        <f>PSPOINTS[[#This Row],[PayScaleCode]]&amp;PSPOINTS[[#This Row],[RateDateFrom]]</f>
        <v>LS45901</v>
      </c>
      <c r="B27" s="57">
        <f t="shared" si="0"/>
        <v>0</v>
      </c>
      <c r="C27" s="57" t="str">
        <f>PSPOINTS[[#This Row],[PayScaleCode]]&amp;PSPOINTS[[#This Row],[PayScalePointCode]]&amp;PSPOINTS[[#This Row],[RateDateFrom]]</f>
        <v>LSL1145901</v>
      </c>
      <c r="D27" s="57">
        <f>COUNTIF(PSPOINTS[Pay Scale String Duplicates],PSPOINTS[[#This Row],[Pay Scale String Duplicates]])-1</f>
        <v>0</v>
      </c>
      <c r="E27" s="57">
        <f>IF((MONTH(_xlfn.XLOOKUP(PSPOINTS[[#This Row],[PayScaleCode]],PayScales!N:N,PayScales!R:R)))=MONTH(PSPOINTS[[#This Row],[RateDateFrom]]),0,1)</f>
        <v>0</v>
      </c>
      <c r="F27" s="57">
        <f>IF(ISBLANK(PSPOINTS[[#This Row],[RateDateTo]]),0,IF(PSPOINTS[[#This Row],[RateDateFrom]]&lt;PSPOINTS[[#This Row],[RateDateTo]],0,1))</f>
        <v>0</v>
      </c>
      <c r="G27" s="57" cm="1">
        <f t="array" aca="1" ref="G27" ca="1">IF(CELL("format",PSPOINTS[[#This Row],[RateDateFrom]])="D1",0,1)+IF(CELL("format",PSPOINTS[[#This Row],[RateDateTo]])="D1",0,1)</f>
        <v>0</v>
      </c>
      <c r="H27" s="57">
        <f>IF(OR(PSPOINTS[[#This Row],[Hourly]]=TRUE,PSPOINTS[[#This Row],[Hourly]]=FALSE),IF(OR(PSPOINTS[[#This Row],[PayScalePointEnabled]]=TRUE,PSPOINTS[[#This Row],[PayScalePointEnabled]]=FALSE),0,1),1)</f>
        <v>0</v>
      </c>
      <c r="I27" s="57">
        <f>IF(LEN(PSPOINTS[[#This Row],[PayScalePointCode]])&lt;100,0,1)</f>
        <v>0</v>
      </c>
      <c r="J27" s="57">
        <f>IF(LEN(PSPOINTS[[#This Row],[PayScalePointTitle]])&lt;100,0,1)</f>
        <v>0</v>
      </c>
      <c r="K27" s="57">
        <f>(COUNTBLANK(PSPOINTS[[#This Row],[PayScalePointCode]:[RateDateFrom]])+COUNTBLANK(PSPOINTS[[#This Row],[PayScaleRate]]))</f>
        <v>0</v>
      </c>
      <c r="L27" s="112">
        <f>IF(SUBSTITUTE(TEXT(PSPOINTS[[#This Row],[PayScaleCode]],10)," ","")=TEXT(PSPOINTS[[#This Row],[PayScaleCode]],10),0,1)+IF(SUBSTITUTE(TEXT(PSPOINTS[[#This Row],[PayScalePointCode]],10)," ","")=TEXT(PSPOINTS[[#This Row],[PayScalePointCode]],10),0,1)</f>
        <v>0</v>
      </c>
      <c r="M27" s="57">
        <f ca="1">SUM(PSPOINTS[[#This Row],[Scale Point Issue]:[Space in Code]])</f>
        <v>0</v>
      </c>
      <c r="N27" s="57" t="s">
        <v>897</v>
      </c>
      <c r="P27" s="12" t="s">
        <v>1750</v>
      </c>
      <c r="Q27" s="57" t="str">
        <f>_xlfn.XLOOKUP(PSPOINTS[[#This Row],[PayScaleCode]],PayScales!N:N,PayScales!O:O)</f>
        <v>Leadership Group</v>
      </c>
      <c r="R27" s="12" t="s">
        <v>1085</v>
      </c>
      <c r="S27" s="12" t="s">
        <v>1085</v>
      </c>
      <c r="T27" s="12">
        <v>11</v>
      </c>
      <c r="U27" t="b">
        <v>0</v>
      </c>
      <c r="V27" t="b">
        <v>1</v>
      </c>
      <c r="W27" s="20">
        <v>45901</v>
      </c>
      <c r="Y27" s="14">
        <v>66368</v>
      </c>
    </row>
    <row r="28" spans="1:25" x14ac:dyDescent="0.3">
      <c r="A28" s="140" t="str">
        <f>PSPOINTS[[#This Row],[PayScaleCode]]&amp;PSPOINTS[[#This Row],[RateDateFrom]]</f>
        <v>LS45901</v>
      </c>
      <c r="B28" s="57">
        <f t="shared" si="0"/>
        <v>0</v>
      </c>
      <c r="C28" s="57" t="str">
        <f>PSPOINTS[[#This Row],[PayScaleCode]]&amp;PSPOINTS[[#This Row],[PayScalePointCode]]&amp;PSPOINTS[[#This Row],[RateDateFrom]]</f>
        <v>LSL1245901</v>
      </c>
      <c r="D28" s="57">
        <f>COUNTIF(PSPOINTS[Pay Scale String Duplicates],PSPOINTS[[#This Row],[Pay Scale String Duplicates]])-1</f>
        <v>0</v>
      </c>
      <c r="E28" s="57">
        <f>IF((MONTH(_xlfn.XLOOKUP(PSPOINTS[[#This Row],[PayScaleCode]],PayScales!N:N,PayScales!R:R)))=MONTH(PSPOINTS[[#This Row],[RateDateFrom]]),0,1)</f>
        <v>0</v>
      </c>
      <c r="F28" s="57">
        <f>IF(ISBLANK(PSPOINTS[[#This Row],[RateDateTo]]),0,IF(PSPOINTS[[#This Row],[RateDateFrom]]&lt;PSPOINTS[[#This Row],[RateDateTo]],0,1))</f>
        <v>0</v>
      </c>
      <c r="G28" s="57" cm="1">
        <f t="array" aca="1" ref="G28" ca="1">IF(CELL("format",PSPOINTS[[#This Row],[RateDateFrom]])="D1",0,1)+IF(CELL("format",PSPOINTS[[#This Row],[RateDateTo]])="D1",0,1)</f>
        <v>0</v>
      </c>
      <c r="H28" s="57">
        <f>IF(OR(PSPOINTS[[#This Row],[Hourly]]=TRUE,PSPOINTS[[#This Row],[Hourly]]=FALSE),IF(OR(PSPOINTS[[#This Row],[PayScalePointEnabled]]=TRUE,PSPOINTS[[#This Row],[PayScalePointEnabled]]=FALSE),0,1),1)</f>
        <v>0</v>
      </c>
      <c r="I28" s="57">
        <f>IF(LEN(PSPOINTS[[#This Row],[PayScalePointCode]])&lt;100,0,1)</f>
        <v>0</v>
      </c>
      <c r="J28" s="57">
        <f>IF(LEN(PSPOINTS[[#This Row],[PayScalePointTitle]])&lt;100,0,1)</f>
        <v>0</v>
      </c>
      <c r="K28" s="57">
        <f>(COUNTBLANK(PSPOINTS[[#This Row],[PayScalePointCode]:[RateDateFrom]])+COUNTBLANK(PSPOINTS[[#This Row],[PayScaleRate]]))</f>
        <v>0</v>
      </c>
      <c r="L28" s="112">
        <f>IF(SUBSTITUTE(TEXT(PSPOINTS[[#This Row],[PayScaleCode]],10)," ","")=TEXT(PSPOINTS[[#This Row],[PayScaleCode]],10),0,1)+IF(SUBSTITUTE(TEXT(PSPOINTS[[#This Row],[PayScalePointCode]],10)," ","")=TEXT(PSPOINTS[[#This Row],[PayScalePointCode]],10),0,1)</f>
        <v>0</v>
      </c>
      <c r="M28" s="57">
        <f ca="1">SUM(PSPOINTS[[#This Row],[Scale Point Issue]:[Space in Code]])</f>
        <v>0</v>
      </c>
      <c r="N28" s="57" t="s">
        <v>897</v>
      </c>
      <c r="P28" s="12" t="s">
        <v>1750</v>
      </c>
      <c r="Q28" s="57" t="str">
        <f>_xlfn.XLOOKUP(PSPOINTS[[#This Row],[PayScaleCode]],PayScales!N:N,PayScales!O:O)</f>
        <v>Leadership Group</v>
      </c>
      <c r="R28" s="12" t="s">
        <v>1086</v>
      </c>
      <c r="S28" s="12" t="s">
        <v>1086</v>
      </c>
      <c r="T28" s="12">
        <v>12</v>
      </c>
      <c r="U28" t="b">
        <v>0</v>
      </c>
      <c r="V28" t="b">
        <v>1</v>
      </c>
      <c r="W28" s="20">
        <v>45901</v>
      </c>
      <c r="Y28" s="14">
        <v>67898</v>
      </c>
    </row>
    <row r="29" spans="1:25" x14ac:dyDescent="0.3">
      <c r="A29" s="140" t="str">
        <f>PSPOINTS[[#This Row],[PayScaleCode]]&amp;PSPOINTS[[#This Row],[RateDateFrom]]</f>
        <v>LS45901</v>
      </c>
      <c r="B29" s="57">
        <f t="shared" si="0"/>
        <v>0</v>
      </c>
      <c r="C29" s="57" t="str">
        <f>PSPOINTS[[#This Row],[PayScaleCode]]&amp;PSPOINTS[[#This Row],[PayScalePointCode]]&amp;PSPOINTS[[#This Row],[RateDateFrom]]</f>
        <v>LSL1345901</v>
      </c>
      <c r="D29" s="57">
        <f>COUNTIF(PSPOINTS[Pay Scale String Duplicates],PSPOINTS[[#This Row],[Pay Scale String Duplicates]])-1</f>
        <v>0</v>
      </c>
      <c r="E29" s="57">
        <f>IF((MONTH(_xlfn.XLOOKUP(PSPOINTS[[#This Row],[PayScaleCode]],PayScales!N:N,PayScales!R:R)))=MONTH(PSPOINTS[[#This Row],[RateDateFrom]]),0,1)</f>
        <v>0</v>
      </c>
      <c r="F29" s="57">
        <f>IF(ISBLANK(PSPOINTS[[#This Row],[RateDateTo]]),0,IF(PSPOINTS[[#This Row],[RateDateFrom]]&lt;PSPOINTS[[#This Row],[RateDateTo]],0,1))</f>
        <v>0</v>
      </c>
      <c r="G29" s="57" cm="1">
        <f t="array" aca="1" ref="G29" ca="1">IF(CELL("format",PSPOINTS[[#This Row],[RateDateFrom]])="D1",0,1)+IF(CELL("format",PSPOINTS[[#This Row],[RateDateTo]])="D1",0,1)</f>
        <v>0</v>
      </c>
      <c r="H29" s="57">
        <f>IF(OR(PSPOINTS[[#This Row],[Hourly]]=TRUE,PSPOINTS[[#This Row],[Hourly]]=FALSE),IF(OR(PSPOINTS[[#This Row],[PayScalePointEnabled]]=TRUE,PSPOINTS[[#This Row],[PayScalePointEnabled]]=FALSE),0,1),1)</f>
        <v>0</v>
      </c>
      <c r="I29" s="57">
        <f>IF(LEN(PSPOINTS[[#This Row],[PayScalePointCode]])&lt;100,0,1)</f>
        <v>0</v>
      </c>
      <c r="J29" s="57">
        <f>IF(LEN(PSPOINTS[[#This Row],[PayScalePointTitle]])&lt;100,0,1)</f>
        <v>0</v>
      </c>
      <c r="K29" s="57">
        <f>(COUNTBLANK(PSPOINTS[[#This Row],[PayScalePointCode]:[RateDateFrom]])+COUNTBLANK(PSPOINTS[[#This Row],[PayScaleRate]]))</f>
        <v>0</v>
      </c>
      <c r="L29" s="112">
        <f>IF(SUBSTITUTE(TEXT(PSPOINTS[[#This Row],[PayScaleCode]],10)," ","")=TEXT(PSPOINTS[[#This Row],[PayScaleCode]],10),0,1)+IF(SUBSTITUTE(TEXT(PSPOINTS[[#This Row],[PayScalePointCode]],10)," ","")=TEXT(PSPOINTS[[#This Row],[PayScalePointCode]],10),0,1)</f>
        <v>0</v>
      </c>
      <c r="M29" s="57">
        <f ca="1">SUM(PSPOINTS[[#This Row],[Scale Point Issue]:[Space in Code]])</f>
        <v>0</v>
      </c>
      <c r="N29" s="57" t="s">
        <v>897</v>
      </c>
      <c r="P29" s="12" t="s">
        <v>1750</v>
      </c>
      <c r="Q29" s="57" t="str">
        <f>_xlfn.XLOOKUP(PSPOINTS[[#This Row],[PayScaleCode]],PayScales!N:N,PayScales!O:O)</f>
        <v>Leadership Group</v>
      </c>
      <c r="R29" s="12" t="s">
        <v>1087</v>
      </c>
      <c r="S29" s="12" t="s">
        <v>1087</v>
      </c>
      <c r="T29" s="12">
        <v>13</v>
      </c>
      <c r="U29" t="b">
        <v>0</v>
      </c>
      <c r="V29" t="b">
        <v>1</v>
      </c>
      <c r="W29" s="20">
        <v>45901</v>
      </c>
      <c r="Y29" s="14">
        <v>69596</v>
      </c>
    </row>
    <row r="30" spans="1:25" x14ac:dyDescent="0.3">
      <c r="A30" s="140" t="str">
        <f>PSPOINTS[[#This Row],[PayScaleCode]]&amp;PSPOINTS[[#This Row],[RateDateFrom]]</f>
        <v>LS45901</v>
      </c>
      <c r="B30" s="57">
        <f t="shared" si="0"/>
        <v>0</v>
      </c>
      <c r="C30" s="57" t="str">
        <f>PSPOINTS[[#This Row],[PayScaleCode]]&amp;PSPOINTS[[#This Row],[PayScalePointCode]]&amp;PSPOINTS[[#This Row],[RateDateFrom]]</f>
        <v>LSL1445901</v>
      </c>
      <c r="D30" s="57">
        <f>COUNTIF(PSPOINTS[Pay Scale String Duplicates],PSPOINTS[[#This Row],[Pay Scale String Duplicates]])-1</f>
        <v>0</v>
      </c>
      <c r="E30" s="57">
        <f>IF((MONTH(_xlfn.XLOOKUP(PSPOINTS[[#This Row],[PayScaleCode]],PayScales!N:N,PayScales!R:R)))=MONTH(PSPOINTS[[#This Row],[RateDateFrom]]),0,1)</f>
        <v>0</v>
      </c>
      <c r="F30" s="57">
        <f>IF(ISBLANK(PSPOINTS[[#This Row],[RateDateTo]]),0,IF(PSPOINTS[[#This Row],[RateDateFrom]]&lt;PSPOINTS[[#This Row],[RateDateTo]],0,1))</f>
        <v>0</v>
      </c>
      <c r="G30" s="57" cm="1">
        <f t="array" aca="1" ref="G30" ca="1">IF(CELL("format",PSPOINTS[[#This Row],[RateDateFrom]])="D1",0,1)+IF(CELL("format",PSPOINTS[[#This Row],[RateDateTo]])="D1",0,1)</f>
        <v>0</v>
      </c>
      <c r="H30" s="57">
        <f>IF(OR(PSPOINTS[[#This Row],[Hourly]]=TRUE,PSPOINTS[[#This Row],[Hourly]]=FALSE),IF(OR(PSPOINTS[[#This Row],[PayScalePointEnabled]]=TRUE,PSPOINTS[[#This Row],[PayScalePointEnabled]]=FALSE),0,1),1)</f>
        <v>0</v>
      </c>
      <c r="I30" s="57">
        <f>IF(LEN(PSPOINTS[[#This Row],[PayScalePointCode]])&lt;100,0,1)</f>
        <v>0</v>
      </c>
      <c r="J30" s="57">
        <f>IF(LEN(PSPOINTS[[#This Row],[PayScalePointTitle]])&lt;100,0,1)</f>
        <v>0</v>
      </c>
      <c r="K30" s="57">
        <f>(COUNTBLANK(PSPOINTS[[#This Row],[PayScalePointCode]:[RateDateFrom]])+COUNTBLANK(PSPOINTS[[#This Row],[PayScaleRate]]))</f>
        <v>0</v>
      </c>
      <c r="L30" s="112">
        <f>IF(SUBSTITUTE(TEXT(PSPOINTS[[#This Row],[PayScaleCode]],10)," ","")=TEXT(PSPOINTS[[#This Row],[PayScaleCode]],10),0,1)+IF(SUBSTITUTE(TEXT(PSPOINTS[[#This Row],[PayScalePointCode]],10)," ","")=TEXT(PSPOINTS[[#This Row],[PayScalePointCode]],10),0,1)</f>
        <v>0</v>
      </c>
      <c r="M30" s="57">
        <f ca="1">SUM(PSPOINTS[[#This Row],[Scale Point Issue]:[Space in Code]])</f>
        <v>0</v>
      </c>
      <c r="N30" s="57" t="s">
        <v>897</v>
      </c>
      <c r="P30" s="12" t="s">
        <v>1750</v>
      </c>
      <c r="Q30" s="57" t="str">
        <f>_xlfn.XLOOKUP(PSPOINTS[[#This Row],[PayScaleCode]],PayScales!N:N,PayScales!O:O)</f>
        <v>Leadership Group</v>
      </c>
      <c r="R30" s="12" t="s">
        <v>1088</v>
      </c>
      <c r="S30" s="12" t="s">
        <v>1088</v>
      </c>
      <c r="T30" s="12">
        <v>14</v>
      </c>
      <c r="U30" t="b">
        <v>0</v>
      </c>
      <c r="V30" t="b">
        <v>1</v>
      </c>
      <c r="W30" s="20">
        <v>45901</v>
      </c>
      <c r="Y30" s="14">
        <v>71330</v>
      </c>
    </row>
    <row r="31" spans="1:25" x14ac:dyDescent="0.3">
      <c r="A31" s="140" t="str">
        <f>PSPOINTS[[#This Row],[PayScaleCode]]&amp;PSPOINTS[[#This Row],[RateDateFrom]]</f>
        <v>LS45901</v>
      </c>
      <c r="B31" s="57">
        <f t="shared" si="0"/>
        <v>0</v>
      </c>
      <c r="C31" s="57" t="str">
        <f>PSPOINTS[[#This Row],[PayScaleCode]]&amp;PSPOINTS[[#This Row],[PayScalePointCode]]&amp;PSPOINTS[[#This Row],[RateDateFrom]]</f>
        <v>LSL1545901</v>
      </c>
      <c r="D31" s="57">
        <f>COUNTIF(PSPOINTS[Pay Scale String Duplicates],PSPOINTS[[#This Row],[Pay Scale String Duplicates]])-1</f>
        <v>0</v>
      </c>
      <c r="E31" s="57">
        <f>IF((MONTH(_xlfn.XLOOKUP(PSPOINTS[[#This Row],[PayScaleCode]],PayScales!N:N,PayScales!R:R)))=MONTH(PSPOINTS[[#This Row],[RateDateFrom]]),0,1)</f>
        <v>0</v>
      </c>
      <c r="F31" s="57">
        <f>IF(ISBLANK(PSPOINTS[[#This Row],[RateDateTo]]),0,IF(PSPOINTS[[#This Row],[RateDateFrom]]&lt;PSPOINTS[[#This Row],[RateDateTo]],0,1))</f>
        <v>0</v>
      </c>
      <c r="G31" s="57" cm="1">
        <f t="array" aca="1" ref="G31" ca="1">IF(CELL("format",PSPOINTS[[#This Row],[RateDateFrom]])="D1",0,1)+IF(CELL("format",PSPOINTS[[#This Row],[RateDateTo]])="D1",0,1)</f>
        <v>0</v>
      </c>
      <c r="H31" s="57">
        <f>IF(OR(PSPOINTS[[#This Row],[Hourly]]=TRUE,PSPOINTS[[#This Row],[Hourly]]=FALSE),IF(OR(PSPOINTS[[#This Row],[PayScalePointEnabled]]=TRUE,PSPOINTS[[#This Row],[PayScalePointEnabled]]=FALSE),0,1),1)</f>
        <v>0</v>
      </c>
      <c r="I31" s="57">
        <f>IF(LEN(PSPOINTS[[#This Row],[PayScalePointCode]])&lt;100,0,1)</f>
        <v>0</v>
      </c>
      <c r="J31" s="57">
        <f>IF(LEN(PSPOINTS[[#This Row],[PayScalePointTitle]])&lt;100,0,1)</f>
        <v>0</v>
      </c>
      <c r="K31" s="57">
        <f>(COUNTBLANK(PSPOINTS[[#This Row],[PayScalePointCode]:[RateDateFrom]])+COUNTBLANK(PSPOINTS[[#This Row],[PayScaleRate]]))</f>
        <v>0</v>
      </c>
      <c r="L31" s="112">
        <f>IF(SUBSTITUTE(TEXT(PSPOINTS[[#This Row],[PayScaleCode]],10)," ","")=TEXT(PSPOINTS[[#This Row],[PayScaleCode]],10),0,1)+IF(SUBSTITUTE(TEXT(PSPOINTS[[#This Row],[PayScalePointCode]],10)," ","")=TEXT(PSPOINTS[[#This Row],[PayScalePointCode]],10),0,1)</f>
        <v>0</v>
      </c>
      <c r="M31" s="57">
        <f ca="1">SUM(PSPOINTS[[#This Row],[Scale Point Issue]:[Space in Code]])</f>
        <v>0</v>
      </c>
      <c r="N31" s="57" t="s">
        <v>897</v>
      </c>
      <c r="P31" s="12" t="s">
        <v>1750</v>
      </c>
      <c r="Q31" s="57" t="str">
        <f>_xlfn.XLOOKUP(PSPOINTS[[#This Row],[PayScaleCode]],PayScales!N:N,PayScales!O:O)</f>
        <v>Leadership Group</v>
      </c>
      <c r="R31" s="12" t="s">
        <v>1089</v>
      </c>
      <c r="S31" s="12" t="s">
        <v>1089</v>
      </c>
      <c r="T31" s="12">
        <v>15</v>
      </c>
      <c r="U31" t="b">
        <v>0</v>
      </c>
      <c r="V31" t="b">
        <v>1</v>
      </c>
      <c r="W31" s="20">
        <v>45901</v>
      </c>
      <c r="Y31" s="14">
        <v>73105</v>
      </c>
    </row>
    <row r="32" spans="1:25" x14ac:dyDescent="0.3">
      <c r="A32" s="140" t="str">
        <f>PSPOINTS[[#This Row],[PayScaleCode]]&amp;PSPOINTS[[#This Row],[RateDateFrom]]</f>
        <v>LS45901</v>
      </c>
      <c r="B32" s="57">
        <f t="shared" si="0"/>
        <v>0</v>
      </c>
      <c r="C32" s="57" t="str">
        <f>PSPOINTS[[#This Row],[PayScaleCode]]&amp;PSPOINTS[[#This Row],[PayScalePointCode]]&amp;PSPOINTS[[#This Row],[RateDateFrom]]</f>
        <v>LSL1645901</v>
      </c>
      <c r="D32" s="57">
        <f>COUNTIF(PSPOINTS[Pay Scale String Duplicates],PSPOINTS[[#This Row],[Pay Scale String Duplicates]])-1</f>
        <v>0</v>
      </c>
      <c r="E32" s="57">
        <f>IF((MONTH(_xlfn.XLOOKUP(PSPOINTS[[#This Row],[PayScaleCode]],PayScales!N:N,PayScales!R:R)))=MONTH(PSPOINTS[[#This Row],[RateDateFrom]]),0,1)</f>
        <v>0</v>
      </c>
      <c r="F32" s="57">
        <f>IF(ISBLANK(PSPOINTS[[#This Row],[RateDateTo]]),0,IF(PSPOINTS[[#This Row],[RateDateFrom]]&lt;PSPOINTS[[#This Row],[RateDateTo]],0,1))</f>
        <v>0</v>
      </c>
      <c r="G32" s="57" cm="1">
        <f t="array" aca="1" ref="G32" ca="1">IF(CELL("format",PSPOINTS[[#This Row],[RateDateFrom]])="D1",0,1)+IF(CELL("format",PSPOINTS[[#This Row],[RateDateTo]])="D1",0,1)</f>
        <v>0</v>
      </c>
      <c r="H32" s="57">
        <f>IF(OR(PSPOINTS[[#This Row],[Hourly]]=TRUE,PSPOINTS[[#This Row],[Hourly]]=FALSE),IF(OR(PSPOINTS[[#This Row],[PayScalePointEnabled]]=TRUE,PSPOINTS[[#This Row],[PayScalePointEnabled]]=FALSE),0,1),1)</f>
        <v>0</v>
      </c>
      <c r="I32" s="57">
        <f>IF(LEN(PSPOINTS[[#This Row],[PayScalePointCode]])&lt;100,0,1)</f>
        <v>0</v>
      </c>
      <c r="J32" s="57">
        <f>IF(LEN(PSPOINTS[[#This Row],[PayScalePointTitle]])&lt;100,0,1)</f>
        <v>0</v>
      </c>
      <c r="K32" s="57">
        <f>(COUNTBLANK(PSPOINTS[[#This Row],[PayScalePointCode]:[RateDateFrom]])+COUNTBLANK(PSPOINTS[[#This Row],[PayScaleRate]]))</f>
        <v>0</v>
      </c>
      <c r="L32" s="112">
        <f>IF(SUBSTITUTE(TEXT(PSPOINTS[[#This Row],[PayScaleCode]],10)," ","")=TEXT(PSPOINTS[[#This Row],[PayScaleCode]],10),0,1)+IF(SUBSTITUTE(TEXT(PSPOINTS[[#This Row],[PayScalePointCode]],10)," ","")=TEXT(PSPOINTS[[#This Row],[PayScalePointCode]],10),0,1)</f>
        <v>0</v>
      </c>
      <c r="M32" s="57">
        <f ca="1">SUM(PSPOINTS[[#This Row],[Scale Point Issue]:[Space in Code]])</f>
        <v>0</v>
      </c>
      <c r="N32" s="57" t="s">
        <v>897</v>
      </c>
      <c r="P32" s="12" t="s">
        <v>1750</v>
      </c>
      <c r="Q32" s="57" t="str">
        <f>_xlfn.XLOOKUP(PSPOINTS[[#This Row],[PayScaleCode]],PayScales!N:N,PayScales!O:O)</f>
        <v>Leadership Group</v>
      </c>
      <c r="R32" s="12" t="s">
        <v>1090</v>
      </c>
      <c r="S32" s="12" t="s">
        <v>1090</v>
      </c>
      <c r="T32" s="12">
        <v>16</v>
      </c>
      <c r="U32" t="b">
        <v>0</v>
      </c>
      <c r="V32" t="b">
        <v>1</v>
      </c>
      <c r="W32" s="20">
        <v>45901</v>
      </c>
      <c r="Y32" s="14">
        <v>75049</v>
      </c>
    </row>
    <row r="33" spans="1:25" x14ac:dyDescent="0.3">
      <c r="A33" s="140" t="str">
        <f>PSPOINTS[[#This Row],[PayScaleCode]]&amp;PSPOINTS[[#This Row],[RateDateFrom]]</f>
        <v>LS45901</v>
      </c>
      <c r="B33" s="57">
        <f t="shared" si="0"/>
        <v>0</v>
      </c>
      <c r="C33" s="57" t="str">
        <f>PSPOINTS[[#This Row],[PayScaleCode]]&amp;PSPOINTS[[#This Row],[PayScalePointCode]]&amp;PSPOINTS[[#This Row],[RateDateFrom]]</f>
        <v>LSL1745901</v>
      </c>
      <c r="D33" s="57">
        <f>COUNTIF(PSPOINTS[Pay Scale String Duplicates],PSPOINTS[[#This Row],[Pay Scale String Duplicates]])-1</f>
        <v>0</v>
      </c>
      <c r="E33" s="57">
        <f>IF((MONTH(_xlfn.XLOOKUP(PSPOINTS[[#This Row],[PayScaleCode]],PayScales!N:N,PayScales!R:R)))=MONTH(PSPOINTS[[#This Row],[RateDateFrom]]),0,1)</f>
        <v>0</v>
      </c>
      <c r="F33" s="57">
        <f>IF(ISBLANK(PSPOINTS[[#This Row],[RateDateTo]]),0,IF(PSPOINTS[[#This Row],[RateDateFrom]]&lt;PSPOINTS[[#This Row],[RateDateTo]],0,1))</f>
        <v>0</v>
      </c>
      <c r="G33" s="57" cm="1">
        <f t="array" aca="1" ref="G33" ca="1">IF(CELL("format",PSPOINTS[[#This Row],[RateDateFrom]])="D1",0,1)+IF(CELL("format",PSPOINTS[[#This Row],[RateDateTo]])="D1",0,1)</f>
        <v>0</v>
      </c>
      <c r="H33" s="57">
        <f>IF(OR(PSPOINTS[[#This Row],[Hourly]]=TRUE,PSPOINTS[[#This Row],[Hourly]]=FALSE),IF(OR(PSPOINTS[[#This Row],[PayScalePointEnabled]]=TRUE,PSPOINTS[[#This Row],[PayScalePointEnabled]]=FALSE),0,1),1)</f>
        <v>0</v>
      </c>
      <c r="I33" s="57">
        <f>IF(LEN(PSPOINTS[[#This Row],[PayScalePointCode]])&lt;100,0,1)</f>
        <v>0</v>
      </c>
      <c r="J33" s="57">
        <f>IF(LEN(PSPOINTS[[#This Row],[PayScalePointTitle]])&lt;100,0,1)</f>
        <v>0</v>
      </c>
      <c r="K33" s="57">
        <f>(COUNTBLANK(PSPOINTS[[#This Row],[PayScalePointCode]:[RateDateFrom]])+COUNTBLANK(PSPOINTS[[#This Row],[PayScaleRate]]))</f>
        <v>0</v>
      </c>
      <c r="L33" s="112">
        <f>IF(SUBSTITUTE(TEXT(PSPOINTS[[#This Row],[PayScaleCode]],10)," ","")=TEXT(PSPOINTS[[#This Row],[PayScaleCode]],10),0,1)+IF(SUBSTITUTE(TEXT(PSPOINTS[[#This Row],[PayScalePointCode]],10)," ","")=TEXT(PSPOINTS[[#This Row],[PayScalePointCode]],10),0,1)</f>
        <v>0</v>
      </c>
      <c r="M33" s="57">
        <f ca="1">SUM(PSPOINTS[[#This Row],[Scale Point Issue]:[Space in Code]])</f>
        <v>0</v>
      </c>
      <c r="N33" s="57" t="s">
        <v>897</v>
      </c>
      <c r="P33" s="12" t="s">
        <v>1750</v>
      </c>
      <c r="Q33" s="57" t="str">
        <f>_xlfn.XLOOKUP(PSPOINTS[[#This Row],[PayScaleCode]],PayScales!N:N,PayScales!O:O)</f>
        <v>Leadership Group</v>
      </c>
      <c r="R33" s="12" t="s">
        <v>1091</v>
      </c>
      <c r="S33" s="12" t="s">
        <v>1091</v>
      </c>
      <c r="T33" s="12">
        <v>17</v>
      </c>
      <c r="U33" t="b">
        <v>0</v>
      </c>
      <c r="V33" t="b">
        <v>1</v>
      </c>
      <c r="W33" s="20">
        <v>45901</v>
      </c>
      <c r="Y33" s="14">
        <v>76772</v>
      </c>
    </row>
    <row r="34" spans="1:25" x14ac:dyDescent="0.3">
      <c r="A34" s="140" t="str">
        <f>PSPOINTS[[#This Row],[PayScaleCode]]&amp;PSPOINTS[[#This Row],[RateDateFrom]]</f>
        <v>LS45901</v>
      </c>
      <c r="B34" s="57">
        <f t="shared" si="0"/>
        <v>0</v>
      </c>
      <c r="C34" s="57" t="str">
        <f>PSPOINTS[[#This Row],[PayScaleCode]]&amp;PSPOINTS[[#This Row],[PayScalePointCode]]&amp;PSPOINTS[[#This Row],[RateDateFrom]]</f>
        <v>LSL1845901</v>
      </c>
      <c r="D34" s="57">
        <f>COUNTIF(PSPOINTS[Pay Scale String Duplicates],PSPOINTS[[#This Row],[Pay Scale String Duplicates]])-1</f>
        <v>0</v>
      </c>
      <c r="E34" s="57">
        <f>IF((MONTH(_xlfn.XLOOKUP(PSPOINTS[[#This Row],[PayScaleCode]],PayScales!N:N,PayScales!R:R)))=MONTH(PSPOINTS[[#This Row],[RateDateFrom]]),0,1)</f>
        <v>0</v>
      </c>
      <c r="F34" s="57">
        <f>IF(ISBLANK(PSPOINTS[[#This Row],[RateDateTo]]),0,IF(PSPOINTS[[#This Row],[RateDateFrom]]&lt;PSPOINTS[[#This Row],[RateDateTo]],0,1))</f>
        <v>0</v>
      </c>
      <c r="G34" s="57" cm="1">
        <f t="array" aca="1" ref="G34" ca="1">IF(CELL("format",PSPOINTS[[#This Row],[RateDateFrom]])="D1",0,1)+IF(CELL("format",PSPOINTS[[#This Row],[RateDateTo]])="D1",0,1)</f>
        <v>0</v>
      </c>
      <c r="H34" s="57">
        <f>IF(OR(PSPOINTS[[#This Row],[Hourly]]=TRUE,PSPOINTS[[#This Row],[Hourly]]=FALSE),IF(OR(PSPOINTS[[#This Row],[PayScalePointEnabled]]=TRUE,PSPOINTS[[#This Row],[PayScalePointEnabled]]=FALSE),0,1),1)</f>
        <v>0</v>
      </c>
      <c r="I34" s="57">
        <f>IF(LEN(PSPOINTS[[#This Row],[PayScalePointCode]])&lt;100,0,1)</f>
        <v>0</v>
      </c>
      <c r="J34" s="57">
        <f>IF(LEN(PSPOINTS[[#This Row],[PayScalePointTitle]])&lt;100,0,1)</f>
        <v>0</v>
      </c>
      <c r="K34" s="57">
        <f>(COUNTBLANK(PSPOINTS[[#This Row],[PayScalePointCode]:[RateDateFrom]])+COUNTBLANK(PSPOINTS[[#This Row],[PayScaleRate]]))</f>
        <v>0</v>
      </c>
      <c r="L34" s="112">
        <f>IF(SUBSTITUTE(TEXT(PSPOINTS[[#This Row],[PayScaleCode]],10)," ","")=TEXT(PSPOINTS[[#This Row],[PayScaleCode]],10),0,1)+IF(SUBSTITUTE(TEXT(PSPOINTS[[#This Row],[PayScalePointCode]],10)," ","")=TEXT(PSPOINTS[[#This Row],[PayScalePointCode]],10),0,1)</f>
        <v>0</v>
      </c>
      <c r="M34" s="57">
        <f ca="1">SUM(PSPOINTS[[#This Row],[Scale Point Issue]:[Space in Code]])</f>
        <v>0</v>
      </c>
      <c r="N34" s="57" t="s">
        <v>897</v>
      </c>
      <c r="P34" s="12" t="s">
        <v>1750</v>
      </c>
      <c r="Q34" s="57" t="str">
        <f>_xlfn.XLOOKUP(PSPOINTS[[#This Row],[PayScaleCode]],PayScales!N:N,PayScales!O:O)</f>
        <v>Leadership Group</v>
      </c>
      <c r="R34" s="12" t="s">
        <v>1092</v>
      </c>
      <c r="S34" s="12" t="s">
        <v>1092</v>
      </c>
      <c r="T34" s="12">
        <v>18</v>
      </c>
      <c r="U34" t="b">
        <v>0</v>
      </c>
      <c r="V34" t="b">
        <v>1</v>
      </c>
      <c r="W34" s="20">
        <v>45901</v>
      </c>
      <c r="Y34" s="14">
        <v>78702</v>
      </c>
    </row>
    <row r="35" spans="1:25" x14ac:dyDescent="0.3">
      <c r="A35" s="140" t="str">
        <f>PSPOINTS[[#This Row],[PayScaleCode]]&amp;PSPOINTS[[#This Row],[RateDateFrom]]</f>
        <v>LS45901</v>
      </c>
      <c r="B35" s="57">
        <f t="shared" si="0"/>
        <v>0</v>
      </c>
      <c r="C35" s="57" t="str">
        <f>PSPOINTS[[#This Row],[PayScaleCode]]&amp;PSPOINTS[[#This Row],[PayScalePointCode]]&amp;PSPOINTS[[#This Row],[RateDateFrom]]</f>
        <v>LSL1945901</v>
      </c>
      <c r="D35" s="57">
        <f>COUNTIF(PSPOINTS[Pay Scale String Duplicates],PSPOINTS[[#This Row],[Pay Scale String Duplicates]])-1</f>
        <v>0</v>
      </c>
      <c r="E35" s="57">
        <f>IF((MONTH(_xlfn.XLOOKUP(PSPOINTS[[#This Row],[PayScaleCode]],PayScales!N:N,PayScales!R:R)))=MONTH(PSPOINTS[[#This Row],[RateDateFrom]]),0,1)</f>
        <v>0</v>
      </c>
      <c r="F35" s="57">
        <f>IF(ISBLANK(PSPOINTS[[#This Row],[RateDateTo]]),0,IF(PSPOINTS[[#This Row],[RateDateFrom]]&lt;PSPOINTS[[#This Row],[RateDateTo]],0,1))</f>
        <v>0</v>
      </c>
      <c r="G35" s="57" cm="1">
        <f t="array" aca="1" ref="G35" ca="1">IF(CELL("format",PSPOINTS[[#This Row],[RateDateFrom]])="D1",0,1)+IF(CELL("format",PSPOINTS[[#This Row],[RateDateTo]])="D1",0,1)</f>
        <v>0</v>
      </c>
      <c r="H35" s="57">
        <f>IF(OR(PSPOINTS[[#This Row],[Hourly]]=TRUE,PSPOINTS[[#This Row],[Hourly]]=FALSE),IF(OR(PSPOINTS[[#This Row],[PayScalePointEnabled]]=TRUE,PSPOINTS[[#This Row],[PayScalePointEnabled]]=FALSE),0,1),1)</f>
        <v>0</v>
      </c>
      <c r="I35" s="57">
        <f>IF(LEN(PSPOINTS[[#This Row],[PayScalePointCode]])&lt;100,0,1)</f>
        <v>0</v>
      </c>
      <c r="J35" s="57">
        <f>IF(LEN(PSPOINTS[[#This Row],[PayScalePointTitle]])&lt;100,0,1)</f>
        <v>0</v>
      </c>
      <c r="K35" s="57">
        <f>(COUNTBLANK(PSPOINTS[[#This Row],[PayScalePointCode]:[RateDateFrom]])+COUNTBLANK(PSPOINTS[[#This Row],[PayScaleRate]]))</f>
        <v>0</v>
      </c>
      <c r="L35" s="112">
        <f>IF(SUBSTITUTE(TEXT(PSPOINTS[[#This Row],[PayScaleCode]],10)," ","")=TEXT(PSPOINTS[[#This Row],[PayScaleCode]],10),0,1)+IF(SUBSTITUTE(TEXT(PSPOINTS[[#This Row],[PayScalePointCode]],10)," ","")=TEXT(PSPOINTS[[#This Row],[PayScalePointCode]],10),0,1)</f>
        <v>0</v>
      </c>
      <c r="M35" s="57">
        <f ca="1">SUM(PSPOINTS[[#This Row],[Scale Point Issue]:[Space in Code]])</f>
        <v>0</v>
      </c>
      <c r="N35" s="57" t="s">
        <v>897</v>
      </c>
      <c r="P35" s="12" t="s">
        <v>1750</v>
      </c>
      <c r="Q35" s="57" t="str">
        <f>_xlfn.XLOOKUP(PSPOINTS[[#This Row],[PayScaleCode]],PayScales!N:N,PayScales!O:O)</f>
        <v>Leadership Group</v>
      </c>
      <c r="R35" s="12" t="s">
        <v>1093</v>
      </c>
      <c r="S35" s="12" t="s">
        <v>1093</v>
      </c>
      <c r="T35" s="12">
        <v>19</v>
      </c>
      <c r="U35" t="b">
        <v>0</v>
      </c>
      <c r="V35" t="b">
        <v>1</v>
      </c>
      <c r="W35" s="20">
        <v>45901</v>
      </c>
      <c r="Y35" s="14">
        <v>80655</v>
      </c>
    </row>
    <row r="36" spans="1:25" x14ac:dyDescent="0.3">
      <c r="A36" s="140" t="str">
        <f>PSPOINTS[[#This Row],[PayScaleCode]]&amp;PSPOINTS[[#This Row],[RateDateFrom]]</f>
        <v>LS45901</v>
      </c>
      <c r="B36" s="57">
        <f t="shared" si="0"/>
        <v>0</v>
      </c>
      <c r="C36" s="57" t="str">
        <f>PSPOINTS[[#This Row],[PayScaleCode]]&amp;PSPOINTS[[#This Row],[PayScalePointCode]]&amp;PSPOINTS[[#This Row],[RateDateFrom]]</f>
        <v>LSL2045901</v>
      </c>
      <c r="D36" s="57">
        <f>COUNTIF(PSPOINTS[Pay Scale String Duplicates],PSPOINTS[[#This Row],[Pay Scale String Duplicates]])-1</f>
        <v>0</v>
      </c>
      <c r="E36" s="57">
        <f>IF((MONTH(_xlfn.XLOOKUP(PSPOINTS[[#This Row],[PayScaleCode]],PayScales!N:N,PayScales!R:R)))=MONTH(PSPOINTS[[#This Row],[RateDateFrom]]),0,1)</f>
        <v>0</v>
      </c>
      <c r="F36" s="57">
        <f>IF(ISBLANK(PSPOINTS[[#This Row],[RateDateTo]]),0,IF(PSPOINTS[[#This Row],[RateDateFrom]]&lt;PSPOINTS[[#This Row],[RateDateTo]],0,1))</f>
        <v>0</v>
      </c>
      <c r="G36" s="57" cm="1">
        <f t="array" aca="1" ref="G36" ca="1">IF(CELL("format",PSPOINTS[[#This Row],[RateDateFrom]])="D1",0,1)+IF(CELL("format",PSPOINTS[[#This Row],[RateDateTo]])="D1",0,1)</f>
        <v>0</v>
      </c>
      <c r="H36" s="57">
        <f>IF(OR(PSPOINTS[[#This Row],[Hourly]]=TRUE,PSPOINTS[[#This Row],[Hourly]]=FALSE),IF(OR(PSPOINTS[[#This Row],[PayScalePointEnabled]]=TRUE,PSPOINTS[[#This Row],[PayScalePointEnabled]]=FALSE),0,1),1)</f>
        <v>0</v>
      </c>
      <c r="I36" s="57">
        <f>IF(LEN(PSPOINTS[[#This Row],[PayScalePointCode]])&lt;100,0,1)</f>
        <v>0</v>
      </c>
      <c r="J36" s="57">
        <f>IF(LEN(PSPOINTS[[#This Row],[PayScalePointTitle]])&lt;100,0,1)</f>
        <v>0</v>
      </c>
      <c r="K36" s="57">
        <f>(COUNTBLANK(PSPOINTS[[#This Row],[PayScalePointCode]:[RateDateFrom]])+COUNTBLANK(PSPOINTS[[#This Row],[PayScaleRate]]))</f>
        <v>0</v>
      </c>
      <c r="L36" s="112">
        <f>IF(SUBSTITUTE(TEXT(PSPOINTS[[#This Row],[PayScaleCode]],10)," ","")=TEXT(PSPOINTS[[#This Row],[PayScaleCode]],10),0,1)+IF(SUBSTITUTE(TEXT(PSPOINTS[[#This Row],[PayScalePointCode]],10)," ","")=TEXT(PSPOINTS[[#This Row],[PayScalePointCode]],10),0,1)</f>
        <v>0</v>
      </c>
      <c r="M36" s="57">
        <f ca="1">SUM(PSPOINTS[[#This Row],[Scale Point Issue]:[Space in Code]])</f>
        <v>0</v>
      </c>
      <c r="N36" s="57" t="s">
        <v>897</v>
      </c>
      <c r="P36" s="12" t="s">
        <v>1750</v>
      </c>
      <c r="Q36" s="57" t="str">
        <f>_xlfn.XLOOKUP(PSPOINTS[[#This Row],[PayScaleCode]],PayScales!N:N,PayScales!O:O)</f>
        <v>Leadership Group</v>
      </c>
      <c r="R36" s="12" t="s">
        <v>1094</v>
      </c>
      <c r="S36" s="12" t="s">
        <v>1094</v>
      </c>
      <c r="T36" s="12">
        <v>20</v>
      </c>
      <c r="U36" t="b">
        <v>0</v>
      </c>
      <c r="V36" t="b">
        <v>1</v>
      </c>
      <c r="W36" s="20">
        <v>45901</v>
      </c>
      <c r="Y36" s="14">
        <v>82654</v>
      </c>
    </row>
    <row r="37" spans="1:25" x14ac:dyDescent="0.3">
      <c r="A37" s="140" t="str">
        <f>PSPOINTS[[#This Row],[PayScaleCode]]&amp;PSPOINTS[[#This Row],[RateDateFrom]]</f>
        <v>LS45901</v>
      </c>
      <c r="B37" s="57">
        <f t="shared" si="0"/>
        <v>0</v>
      </c>
      <c r="C37" s="57" t="str">
        <f>PSPOINTS[[#This Row],[PayScaleCode]]&amp;PSPOINTS[[#This Row],[PayScalePointCode]]&amp;PSPOINTS[[#This Row],[RateDateFrom]]</f>
        <v>LSL2145901</v>
      </c>
      <c r="D37" s="57">
        <f>COUNTIF(PSPOINTS[Pay Scale String Duplicates],PSPOINTS[[#This Row],[Pay Scale String Duplicates]])-1</f>
        <v>0</v>
      </c>
      <c r="E37" s="57">
        <f>IF((MONTH(_xlfn.XLOOKUP(PSPOINTS[[#This Row],[PayScaleCode]],PayScales!N:N,PayScales!R:R)))=MONTH(PSPOINTS[[#This Row],[RateDateFrom]]),0,1)</f>
        <v>0</v>
      </c>
      <c r="F37" s="57">
        <f>IF(ISBLANK(PSPOINTS[[#This Row],[RateDateTo]]),0,IF(PSPOINTS[[#This Row],[RateDateFrom]]&lt;PSPOINTS[[#This Row],[RateDateTo]],0,1))</f>
        <v>0</v>
      </c>
      <c r="G37" s="57" cm="1">
        <f t="array" aca="1" ref="G37" ca="1">IF(CELL("format",PSPOINTS[[#This Row],[RateDateFrom]])="D1",0,1)+IF(CELL("format",PSPOINTS[[#This Row],[RateDateTo]])="D1",0,1)</f>
        <v>0</v>
      </c>
      <c r="H37" s="57">
        <f>IF(OR(PSPOINTS[[#This Row],[Hourly]]=TRUE,PSPOINTS[[#This Row],[Hourly]]=FALSE),IF(OR(PSPOINTS[[#This Row],[PayScalePointEnabled]]=TRUE,PSPOINTS[[#This Row],[PayScalePointEnabled]]=FALSE),0,1),1)</f>
        <v>0</v>
      </c>
      <c r="I37" s="57">
        <f>IF(LEN(PSPOINTS[[#This Row],[PayScalePointCode]])&lt;100,0,1)</f>
        <v>0</v>
      </c>
      <c r="J37" s="57">
        <f>IF(LEN(PSPOINTS[[#This Row],[PayScalePointTitle]])&lt;100,0,1)</f>
        <v>0</v>
      </c>
      <c r="K37" s="57">
        <f>(COUNTBLANK(PSPOINTS[[#This Row],[PayScalePointCode]:[RateDateFrom]])+COUNTBLANK(PSPOINTS[[#This Row],[PayScaleRate]]))</f>
        <v>0</v>
      </c>
      <c r="L37" s="112">
        <f>IF(SUBSTITUTE(TEXT(PSPOINTS[[#This Row],[PayScaleCode]],10)," ","")=TEXT(PSPOINTS[[#This Row],[PayScaleCode]],10),0,1)+IF(SUBSTITUTE(TEXT(PSPOINTS[[#This Row],[PayScalePointCode]],10)," ","")=TEXT(PSPOINTS[[#This Row],[PayScalePointCode]],10),0,1)</f>
        <v>0</v>
      </c>
      <c r="M37" s="57">
        <f ca="1">SUM(PSPOINTS[[#This Row],[Scale Point Issue]:[Space in Code]])</f>
        <v>0</v>
      </c>
      <c r="N37" s="57" t="s">
        <v>897</v>
      </c>
      <c r="P37" s="12" t="s">
        <v>1750</v>
      </c>
      <c r="Q37" s="57" t="str">
        <f>_xlfn.XLOOKUP(PSPOINTS[[#This Row],[PayScaleCode]],PayScales!N:N,PayScales!O:O)</f>
        <v>Leadership Group</v>
      </c>
      <c r="R37" s="12" t="s">
        <v>1095</v>
      </c>
      <c r="S37" s="12" t="s">
        <v>1095</v>
      </c>
      <c r="T37" s="12">
        <v>21</v>
      </c>
      <c r="U37" t="b">
        <v>0</v>
      </c>
      <c r="V37" t="b">
        <v>1</v>
      </c>
      <c r="W37" s="20">
        <v>45901</v>
      </c>
      <c r="Y37" s="14">
        <v>84699</v>
      </c>
    </row>
    <row r="38" spans="1:25" x14ac:dyDescent="0.3">
      <c r="A38" s="140" t="str">
        <f>PSPOINTS[[#This Row],[PayScaleCode]]&amp;PSPOINTS[[#This Row],[RateDateFrom]]</f>
        <v>LS45901</v>
      </c>
      <c r="B38" s="57">
        <f t="shared" si="0"/>
        <v>0</v>
      </c>
      <c r="C38" s="57" t="str">
        <f>PSPOINTS[[#This Row],[PayScaleCode]]&amp;PSPOINTS[[#This Row],[PayScalePointCode]]&amp;PSPOINTS[[#This Row],[RateDateFrom]]</f>
        <v>LSL2245901</v>
      </c>
      <c r="D38" s="57">
        <f>COUNTIF(PSPOINTS[Pay Scale String Duplicates],PSPOINTS[[#This Row],[Pay Scale String Duplicates]])-1</f>
        <v>0</v>
      </c>
      <c r="E38" s="57">
        <f>IF((MONTH(_xlfn.XLOOKUP(PSPOINTS[[#This Row],[PayScaleCode]],PayScales!N:N,PayScales!R:R)))=MONTH(PSPOINTS[[#This Row],[RateDateFrom]]),0,1)</f>
        <v>0</v>
      </c>
      <c r="F38" s="57">
        <f>IF(ISBLANK(PSPOINTS[[#This Row],[RateDateTo]]),0,IF(PSPOINTS[[#This Row],[RateDateFrom]]&lt;PSPOINTS[[#This Row],[RateDateTo]],0,1))</f>
        <v>0</v>
      </c>
      <c r="G38" s="57" cm="1">
        <f t="array" aca="1" ref="G38" ca="1">IF(CELL("format",PSPOINTS[[#This Row],[RateDateFrom]])="D1",0,1)+IF(CELL("format",PSPOINTS[[#This Row],[RateDateTo]])="D1",0,1)</f>
        <v>0</v>
      </c>
      <c r="H38" s="57">
        <f>IF(OR(PSPOINTS[[#This Row],[Hourly]]=TRUE,PSPOINTS[[#This Row],[Hourly]]=FALSE),IF(OR(PSPOINTS[[#This Row],[PayScalePointEnabled]]=TRUE,PSPOINTS[[#This Row],[PayScalePointEnabled]]=FALSE),0,1),1)</f>
        <v>0</v>
      </c>
      <c r="I38" s="57">
        <f>IF(LEN(PSPOINTS[[#This Row],[PayScalePointCode]])&lt;100,0,1)</f>
        <v>0</v>
      </c>
      <c r="J38" s="57">
        <f>IF(LEN(PSPOINTS[[#This Row],[PayScalePointTitle]])&lt;100,0,1)</f>
        <v>0</v>
      </c>
      <c r="K38" s="57">
        <f>(COUNTBLANK(PSPOINTS[[#This Row],[PayScalePointCode]:[RateDateFrom]])+COUNTBLANK(PSPOINTS[[#This Row],[PayScaleRate]]))</f>
        <v>0</v>
      </c>
      <c r="L38" s="112">
        <f>IF(SUBSTITUTE(TEXT(PSPOINTS[[#This Row],[PayScaleCode]],10)," ","")=TEXT(PSPOINTS[[#This Row],[PayScaleCode]],10),0,1)+IF(SUBSTITUTE(TEXT(PSPOINTS[[#This Row],[PayScalePointCode]],10)," ","")=TEXT(PSPOINTS[[#This Row],[PayScalePointCode]],10),0,1)</f>
        <v>0</v>
      </c>
      <c r="M38" s="57">
        <f ca="1">SUM(PSPOINTS[[#This Row],[Scale Point Issue]:[Space in Code]])</f>
        <v>0</v>
      </c>
      <c r="N38" s="57" t="s">
        <v>897</v>
      </c>
      <c r="P38" s="12" t="s">
        <v>1750</v>
      </c>
      <c r="Q38" s="57" t="str">
        <f>_xlfn.XLOOKUP(PSPOINTS[[#This Row],[PayScaleCode]],PayScales!N:N,PayScales!O:O)</f>
        <v>Leadership Group</v>
      </c>
      <c r="R38" s="12" t="s">
        <v>1096</v>
      </c>
      <c r="S38" s="12" t="s">
        <v>1096</v>
      </c>
      <c r="T38" s="12">
        <v>22</v>
      </c>
      <c r="U38" t="b">
        <v>0</v>
      </c>
      <c r="V38" t="b">
        <v>1</v>
      </c>
      <c r="W38" s="20">
        <v>45901</v>
      </c>
      <c r="Y38" s="14">
        <v>86803</v>
      </c>
    </row>
    <row r="39" spans="1:25" x14ac:dyDescent="0.3">
      <c r="A39" s="140" t="str">
        <f>PSPOINTS[[#This Row],[PayScaleCode]]&amp;PSPOINTS[[#This Row],[RateDateFrom]]</f>
        <v>LS45901</v>
      </c>
      <c r="B39" s="57">
        <f t="shared" si="0"/>
        <v>0</v>
      </c>
      <c r="C39" s="57" t="str">
        <f>PSPOINTS[[#This Row],[PayScaleCode]]&amp;PSPOINTS[[#This Row],[PayScalePointCode]]&amp;PSPOINTS[[#This Row],[RateDateFrom]]</f>
        <v>LSL2345901</v>
      </c>
      <c r="D39" s="57">
        <f>COUNTIF(PSPOINTS[Pay Scale String Duplicates],PSPOINTS[[#This Row],[Pay Scale String Duplicates]])-1</f>
        <v>0</v>
      </c>
      <c r="E39" s="57">
        <f>IF((MONTH(_xlfn.XLOOKUP(PSPOINTS[[#This Row],[PayScaleCode]],PayScales!N:N,PayScales!R:R)))=MONTH(PSPOINTS[[#This Row],[RateDateFrom]]),0,1)</f>
        <v>0</v>
      </c>
      <c r="F39" s="57">
        <f>IF(ISBLANK(PSPOINTS[[#This Row],[RateDateTo]]),0,IF(PSPOINTS[[#This Row],[RateDateFrom]]&lt;PSPOINTS[[#This Row],[RateDateTo]],0,1))</f>
        <v>0</v>
      </c>
      <c r="G39" s="57" cm="1">
        <f t="array" aca="1" ref="G39" ca="1">IF(CELL("format",PSPOINTS[[#This Row],[RateDateFrom]])="D1",0,1)+IF(CELL("format",PSPOINTS[[#This Row],[RateDateTo]])="D1",0,1)</f>
        <v>0</v>
      </c>
      <c r="H39" s="57">
        <f>IF(OR(PSPOINTS[[#This Row],[Hourly]]=TRUE,PSPOINTS[[#This Row],[Hourly]]=FALSE),IF(OR(PSPOINTS[[#This Row],[PayScalePointEnabled]]=TRUE,PSPOINTS[[#This Row],[PayScalePointEnabled]]=FALSE),0,1),1)</f>
        <v>0</v>
      </c>
      <c r="I39" s="57">
        <f>IF(LEN(PSPOINTS[[#This Row],[PayScalePointCode]])&lt;100,0,1)</f>
        <v>0</v>
      </c>
      <c r="J39" s="57">
        <f>IF(LEN(PSPOINTS[[#This Row],[PayScalePointTitle]])&lt;100,0,1)</f>
        <v>0</v>
      </c>
      <c r="K39" s="57">
        <f>(COUNTBLANK(PSPOINTS[[#This Row],[PayScalePointCode]:[RateDateFrom]])+COUNTBLANK(PSPOINTS[[#This Row],[PayScaleRate]]))</f>
        <v>0</v>
      </c>
      <c r="L39" s="112">
        <f>IF(SUBSTITUTE(TEXT(PSPOINTS[[#This Row],[PayScaleCode]],10)," ","")=TEXT(PSPOINTS[[#This Row],[PayScaleCode]],10),0,1)+IF(SUBSTITUTE(TEXT(PSPOINTS[[#This Row],[PayScalePointCode]],10)," ","")=TEXT(PSPOINTS[[#This Row],[PayScalePointCode]],10),0,1)</f>
        <v>0</v>
      </c>
      <c r="M39" s="57">
        <f ca="1">SUM(PSPOINTS[[#This Row],[Scale Point Issue]:[Space in Code]])</f>
        <v>0</v>
      </c>
      <c r="N39" s="57" t="s">
        <v>897</v>
      </c>
      <c r="P39" s="12" t="s">
        <v>1750</v>
      </c>
      <c r="Q39" s="57" t="str">
        <f>_xlfn.XLOOKUP(PSPOINTS[[#This Row],[PayScaleCode]],PayScales!N:N,PayScales!O:O)</f>
        <v>Leadership Group</v>
      </c>
      <c r="R39" s="12" t="s">
        <v>1097</v>
      </c>
      <c r="S39" s="12" t="s">
        <v>1097</v>
      </c>
      <c r="T39" s="12">
        <v>23</v>
      </c>
      <c r="U39" t="b">
        <v>0</v>
      </c>
      <c r="V39" t="b">
        <v>1</v>
      </c>
      <c r="W39" s="20">
        <v>45901</v>
      </c>
      <c r="Y39" s="14">
        <v>88950</v>
      </c>
    </row>
    <row r="40" spans="1:25" x14ac:dyDescent="0.3">
      <c r="A40" s="140" t="str">
        <f>PSPOINTS[[#This Row],[PayScaleCode]]&amp;PSPOINTS[[#This Row],[RateDateFrom]]</f>
        <v>LS45901</v>
      </c>
      <c r="B40" s="57">
        <f t="shared" si="0"/>
        <v>0</v>
      </c>
      <c r="C40" s="57" t="str">
        <f>PSPOINTS[[#This Row],[PayScaleCode]]&amp;PSPOINTS[[#This Row],[PayScalePointCode]]&amp;PSPOINTS[[#This Row],[RateDateFrom]]</f>
        <v>LSL2445901</v>
      </c>
      <c r="D40" s="57">
        <f>COUNTIF(PSPOINTS[Pay Scale String Duplicates],PSPOINTS[[#This Row],[Pay Scale String Duplicates]])-1</f>
        <v>0</v>
      </c>
      <c r="E40" s="57">
        <f>IF((MONTH(_xlfn.XLOOKUP(PSPOINTS[[#This Row],[PayScaleCode]],PayScales!N:N,PayScales!R:R)))=MONTH(PSPOINTS[[#This Row],[RateDateFrom]]),0,1)</f>
        <v>0</v>
      </c>
      <c r="F40" s="57">
        <f>IF(ISBLANK(PSPOINTS[[#This Row],[RateDateTo]]),0,IF(PSPOINTS[[#This Row],[RateDateFrom]]&lt;PSPOINTS[[#This Row],[RateDateTo]],0,1))</f>
        <v>0</v>
      </c>
      <c r="G40" s="57" cm="1">
        <f t="array" aca="1" ref="G40" ca="1">IF(CELL("format",PSPOINTS[[#This Row],[RateDateFrom]])="D1",0,1)+IF(CELL("format",PSPOINTS[[#This Row],[RateDateTo]])="D1",0,1)</f>
        <v>0</v>
      </c>
      <c r="H40" s="57">
        <f>IF(OR(PSPOINTS[[#This Row],[Hourly]]=TRUE,PSPOINTS[[#This Row],[Hourly]]=FALSE),IF(OR(PSPOINTS[[#This Row],[PayScalePointEnabled]]=TRUE,PSPOINTS[[#This Row],[PayScalePointEnabled]]=FALSE),0,1),1)</f>
        <v>0</v>
      </c>
      <c r="I40" s="57">
        <f>IF(LEN(PSPOINTS[[#This Row],[PayScalePointCode]])&lt;100,0,1)</f>
        <v>0</v>
      </c>
      <c r="J40" s="57">
        <f>IF(LEN(PSPOINTS[[#This Row],[PayScalePointTitle]])&lt;100,0,1)</f>
        <v>0</v>
      </c>
      <c r="K40" s="57">
        <f>(COUNTBLANK(PSPOINTS[[#This Row],[PayScalePointCode]:[RateDateFrom]])+COUNTBLANK(PSPOINTS[[#This Row],[PayScaleRate]]))</f>
        <v>0</v>
      </c>
      <c r="L40" s="112">
        <f>IF(SUBSTITUTE(TEXT(PSPOINTS[[#This Row],[PayScaleCode]],10)," ","")=TEXT(PSPOINTS[[#This Row],[PayScaleCode]],10),0,1)+IF(SUBSTITUTE(TEXT(PSPOINTS[[#This Row],[PayScalePointCode]],10)," ","")=TEXT(PSPOINTS[[#This Row],[PayScalePointCode]],10),0,1)</f>
        <v>0</v>
      </c>
      <c r="M40" s="57">
        <f ca="1">SUM(PSPOINTS[[#This Row],[Scale Point Issue]:[Space in Code]])</f>
        <v>0</v>
      </c>
      <c r="N40" s="57" t="s">
        <v>897</v>
      </c>
      <c r="P40" s="12" t="s">
        <v>1750</v>
      </c>
      <c r="Q40" s="57" t="str">
        <f>_xlfn.XLOOKUP(PSPOINTS[[#This Row],[PayScaleCode]],PayScales!N:N,PayScales!O:O)</f>
        <v>Leadership Group</v>
      </c>
      <c r="R40" s="12" t="s">
        <v>1098</v>
      </c>
      <c r="S40" s="12" t="s">
        <v>1098</v>
      </c>
      <c r="T40" s="12">
        <v>24</v>
      </c>
      <c r="U40" t="b">
        <v>0</v>
      </c>
      <c r="V40" t="b">
        <v>1</v>
      </c>
      <c r="W40" s="20">
        <v>45901</v>
      </c>
      <c r="Y40" s="14">
        <v>91158</v>
      </c>
    </row>
    <row r="41" spans="1:25" x14ac:dyDescent="0.3">
      <c r="A41" s="140" t="str">
        <f>PSPOINTS[[#This Row],[PayScaleCode]]&amp;PSPOINTS[[#This Row],[RateDateFrom]]</f>
        <v>LS45901</v>
      </c>
      <c r="B41" s="57">
        <f t="shared" si="0"/>
        <v>0</v>
      </c>
      <c r="C41" s="57" t="str">
        <f>PSPOINTS[[#This Row],[PayScaleCode]]&amp;PSPOINTS[[#This Row],[PayScalePointCode]]&amp;PSPOINTS[[#This Row],[RateDateFrom]]</f>
        <v>LSL2545901</v>
      </c>
      <c r="D41" s="57">
        <f>COUNTIF(PSPOINTS[Pay Scale String Duplicates],PSPOINTS[[#This Row],[Pay Scale String Duplicates]])-1</f>
        <v>0</v>
      </c>
      <c r="E41" s="57">
        <f>IF((MONTH(_xlfn.XLOOKUP(PSPOINTS[[#This Row],[PayScaleCode]],PayScales!N:N,PayScales!R:R)))=MONTH(PSPOINTS[[#This Row],[RateDateFrom]]),0,1)</f>
        <v>0</v>
      </c>
      <c r="F41" s="57">
        <f>IF(ISBLANK(PSPOINTS[[#This Row],[RateDateTo]]),0,IF(PSPOINTS[[#This Row],[RateDateFrom]]&lt;PSPOINTS[[#This Row],[RateDateTo]],0,1))</f>
        <v>0</v>
      </c>
      <c r="G41" s="57" cm="1">
        <f t="array" aca="1" ref="G41" ca="1">IF(CELL("format",PSPOINTS[[#This Row],[RateDateFrom]])="D1",0,1)+IF(CELL("format",PSPOINTS[[#This Row],[RateDateTo]])="D1",0,1)</f>
        <v>0</v>
      </c>
      <c r="H41" s="57">
        <f>IF(OR(PSPOINTS[[#This Row],[Hourly]]=TRUE,PSPOINTS[[#This Row],[Hourly]]=FALSE),IF(OR(PSPOINTS[[#This Row],[PayScalePointEnabled]]=TRUE,PSPOINTS[[#This Row],[PayScalePointEnabled]]=FALSE),0,1),1)</f>
        <v>0</v>
      </c>
      <c r="I41" s="57">
        <f>IF(LEN(PSPOINTS[[#This Row],[PayScalePointCode]])&lt;100,0,1)</f>
        <v>0</v>
      </c>
      <c r="J41" s="57">
        <f>IF(LEN(PSPOINTS[[#This Row],[PayScalePointTitle]])&lt;100,0,1)</f>
        <v>0</v>
      </c>
      <c r="K41" s="57">
        <f>(COUNTBLANK(PSPOINTS[[#This Row],[PayScalePointCode]:[RateDateFrom]])+COUNTBLANK(PSPOINTS[[#This Row],[PayScaleRate]]))</f>
        <v>0</v>
      </c>
      <c r="L41" s="112">
        <f>IF(SUBSTITUTE(TEXT(PSPOINTS[[#This Row],[PayScaleCode]],10)," ","")=TEXT(PSPOINTS[[#This Row],[PayScaleCode]],10),0,1)+IF(SUBSTITUTE(TEXT(PSPOINTS[[#This Row],[PayScalePointCode]],10)," ","")=TEXT(PSPOINTS[[#This Row],[PayScalePointCode]],10),0,1)</f>
        <v>0</v>
      </c>
      <c r="M41" s="57">
        <f ca="1">SUM(PSPOINTS[[#This Row],[Scale Point Issue]:[Space in Code]])</f>
        <v>0</v>
      </c>
      <c r="N41" s="57" t="s">
        <v>897</v>
      </c>
      <c r="P41" s="12" t="s">
        <v>1750</v>
      </c>
      <c r="Q41" s="57" t="str">
        <f>_xlfn.XLOOKUP(PSPOINTS[[#This Row],[PayScaleCode]],PayScales!N:N,PayScales!O:O)</f>
        <v>Leadership Group</v>
      </c>
      <c r="R41" s="12" t="s">
        <v>1099</v>
      </c>
      <c r="S41" s="12" t="s">
        <v>1099</v>
      </c>
      <c r="T41" s="12">
        <v>25</v>
      </c>
      <c r="U41" t="b">
        <v>0</v>
      </c>
      <c r="V41" t="b">
        <v>1</v>
      </c>
      <c r="W41" s="20">
        <v>45901</v>
      </c>
      <c r="Y41" s="14">
        <v>93424</v>
      </c>
    </row>
    <row r="42" spans="1:25" x14ac:dyDescent="0.3">
      <c r="A42" s="140" t="str">
        <f>PSPOINTS[[#This Row],[PayScaleCode]]&amp;PSPOINTS[[#This Row],[RateDateFrom]]</f>
        <v>LS45901</v>
      </c>
      <c r="B42" s="57">
        <f t="shared" si="0"/>
        <v>0</v>
      </c>
      <c r="C42" s="57" t="str">
        <f>PSPOINTS[[#This Row],[PayScaleCode]]&amp;PSPOINTS[[#This Row],[PayScalePointCode]]&amp;PSPOINTS[[#This Row],[RateDateFrom]]</f>
        <v>LSL2645901</v>
      </c>
      <c r="D42" s="57">
        <f>COUNTIF(PSPOINTS[Pay Scale String Duplicates],PSPOINTS[[#This Row],[Pay Scale String Duplicates]])-1</f>
        <v>0</v>
      </c>
      <c r="E42" s="57">
        <f>IF((MONTH(_xlfn.XLOOKUP(PSPOINTS[[#This Row],[PayScaleCode]],PayScales!N:N,PayScales!R:R)))=MONTH(PSPOINTS[[#This Row],[RateDateFrom]]),0,1)</f>
        <v>0</v>
      </c>
      <c r="F42" s="57">
        <f>IF(ISBLANK(PSPOINTS[[#This Row],[RateDateTo]]),0,IF(PSPOINTS[[#This Row],[RateDateFrom]]&lt;PSPOINTS[[#This Row],[RateDateTo]],0,1))</f>
        <v>0</v>
      </c>
      <c r="G42" s="57" cm="1">
        <f t="array" aca="1" ref="G42" ca="1">IF(CELL("format",PSPOINTS[[#This Row],[RateDateFrom]])="D1",0,1)+IF(CELL("format",PSPOINTS[[#This Row],[RateDateTo]])="D1",0,1)</f>
        <v>0</v>
      </c>
      <c r="H42" s="57">
        <f>IF(OR(PSPOINTS[[#This Row],[Hourly]]=TRUE,PSPOINTS[[#This Row],[Hourly]]=FALSE),IF(OR(PSPOINTS[[#This Row],[PayScalePointEnabled]]=TRUE,PSPOINTS[[#This Row],[PayScalePointEnabled]]=FALSE),0,1),1)</f>
        <v>0</v>
      </c>
      <c r="I42" s="57">
        <f>IF(LEN(PSPOINTS[[#This Row],[PayScalePointCode]])&lt;100,0,1)</f>
        <v>0</v>
      </c>
      <c r="J42" s="57">
        <f>IF(LEN(PSPOINTS[[#This Row],[PayScalePointTitle]])&lt;100,0,1)</f>
        <v>0</v>
      </c>
      <c r="K42" s="57">
        <f>(COUNTBLANK(PSPOINTS[[#This Row],[PayScalePointCode]:[RateDateFrom]])+COUNTBLANK(PSPOINTS[[#This Row],[PayScaleRate]]))</f>
        <v>0</v>
      </c>
      <c r="L42" s="112">
        <f>IF(SUBSTITUTE(TEXT(PSPOINTS[[#This Row],[PayScaleCode]],10)," ","")=TEXT(PSPOINTS[[#This Row],[PayScaleCode]],10),0,1)+IF(SUBSTITUTE(TEXT(PSPOINTS[[#This Row],[PayScalePointCode]],10)," ","")=TEXT(PSPOINTS[[#This Row],[PayScalePointCode]],10),0,1)</f>
        <v>0</v>
      </c>
      <c r="M42" s="57">
        <f ca="1">SUM(PSPOINTS[[#This Row],[Scale Point Issue]:[Space in Code]])</f>
        <v>0</v>
      </c>
      <c r="N42" s="57" t="s">
        <v>897</v>
      </c>
      <c r="P42" s="12" t="s">
        <v>1750</v>
      </c>
      <c r="Q42" s="57" t="str">
        <f>_xlfn.XLOOKUP(PSPOINTS[[#This Row],[PayScaleCode]],PayScales!N:N,PayScales!O:O)</f>
        <v>Leadership Group</v>
      </c>
      <c r="R42" s="12" t="s">
        <v>1100</v>
      </c>
      <c r="S42" s="12" t="s">
        <v>1100</v>
      </c>
      <c r="T42" s="12">
        <v>26</v>
      </c>
      <c r="U42" t="b">
        <v>0</v>
      </c>
      <c r="V42" t="b">
        <v>1</v>
      </c>
      <c r="W42" s="20">
        <v>45901</v>
      </c>
      <c r="Y42" s="14">
        <v>95735</v>
      </c>
    </row>
    <row r="43" spans="1:25" x14ac:dyDescent="0.3">
      <c r="A43" s="140" t="str">
        <f>PSPOINTS[[#This Row],[PayScaleCode]]&amp;PSPOINTS[[#This Row],[RateDateFrom]]</f>
        <v>LS45901</v>
      </c>
      <c r="B43" s="57">
        <f t="shared" si="0"/>
        <v>0</v>
      </c>
      <c r="C43" s="57" t="str">
        <f>PSPOINTS[[#This Row],[PayScaleCode]]&amp;PSPOINTS[[#This Row],[PayScalePointCode]]&amp;PSPOINTS[[#This Row],[RateDateFrom]]</f>
        <v>LSL2745901</v>
      </c>
      <c r="D43" s="57">
        <f>COUNTIF(PSPOINTS[Pay Scale String Duplicates],PSPOINTS[[#This Row],[Pay Scale String Duplicates]])-1</f>
        <v>0</v>
      </c>
      <c r="E43" s="57">
        <f>IF((MONTH(_xlfn.XLOOKUP(PSPOINTS[[#This Row],[PayScaleCode]],PayScales!N:N,PayScales!R:R)))=MONTH(PSPOINTS[[#This Row],[RateDateFrom]]),0,1)</f>
        <v>0</v>
      </c>
      <c r="F43" s="57">
        <f>IF(ISBLANK(PSPOINTS[[#This Row],[RateDateTo]]),0,IF(PSPOINTS[[#This Row],[RateDateFrom]]&lt;PSPOINTS[[#This Row],[RateDateTo]],0,1))</f>
        <v>0</v>
      </c>
      <c r="G43" s="57" cm="1">
        <f t="array" aca="1" ref="G43" ca="1">IF(CELL("format",PSPOINTS[[#This Row],[RateDateFrom]])="D1",0,1)+IF(CELL("format",PSPOINTS[[#This Row],[RateDateTo]])="D1",0,1)</f>
        <v>0</v>
      </c>
      <c r="H43" s="57">
        <f>IF(OR(PSPOINTS[[#This Row],[Hourly]]=TRUE,PSPOINTS[[#This Row],[Hourly]]=FALSE),IF(OR(PSPOINTS[[#This Row],[PayScalePointEnabled]]=TRUE,PSPOINTS[[#This Row],[PayScalePointEnabled]]=FALSE),0,1),1)</f>
        <v>0</v>
      </c>
      <c r="I43" s="57">
        <f>IF(LEN(PSPOINTS[[#This Row],[PayScalePointCode]])&lt;100,0,1)</f>
        <v>0</v>
      </c>
      <c r="J43" s="57">
        <f>IF(LEN(PSPOINTS[[#This Row],[PayScalePointTitle]])&lt;100,0,1)</f>
        <v>0</v>
      </c>
      <c r="K43" s="57">
        <f>(COUNTBLANK(PSPOINTS[[#This Row],[PayScalePointCode]:[RateDateFrom]])+COUNTBLANK(PSPOINTS[[#This Row],[PayScaleRate]]))</f>
        <v>0</v>
      </c>
      <c r="L43" s="112">
        <f>IF(SUBSTITUTE(TEXT(PSPOINTS[[#This Row],[PayScaleCode]],10)," ","")=TEXT(PSPOINTS[[#This Row],[PayScaleCode]],10),0,1)+IF(SUBSTITUTE(TEXT(PSPOINTS[[#This Row],[PayScalePointCode]],10)," ","")=TEXT(PSPOINTS[[#This Row],[PayScalePointCode]],10),0,1)</f>
        <v>0</v>
      </c>
      <c r="M43" s="57">
        <f ca="1">SUM(PSPOINTS[[#This Row],[Scale Point Issue]:[Space in Code]])</f>
        <v>0</v>
      </c>
      <c r="N43" s="57" t="s">
        <v>897</v>
      </c>
      <c r="P43" s="12" t="s">
        <v>1750</v>
      </c>
      <c r="Q43" s="57" t="str">
        <f>_xlfn.XLOOKUP(PSPOINTS[[#This Row],[PayScaleCode]],PayScales!N:N,PayScales!O:O)</f>
        <v>Leadership Group</v>
      </c>
      <c r="R43" s="12" t="s">
        <v>1101</v>
      </c>
      <c r="S43" s="12" t="s">
        <v>1101</v>
      </c>
      <c r="T43" s="12">
        <v>27</v>
      </c>
      <c r="U43" t="b">
        <v>0</v>
      </c>
      <c r="V43" t="b">
        <v>1</v>
      </c>
      <c r="W43" s="20">
        <v>45901</v>
      </c>
      <c r="Y43" s="14">
        <v>98106</v>
      </c>
    </row>
    <row r="44" spans="1:25" x14ac:dyDescent="0.3">
      <c r="A44" s="140" t="str">
        <f>PSPOINTS[[#This Row],[PayScaleCode]]&amp;PSPOINTS[[#This Row],[RateDateFrom]]</f>
        <v>LS45901</v>
      </c>
      <c r="B44" s="57">
        <f t="shared" si="0"/>
        <v>0</v>
      </c>
      <c r="C44" s="57" t="str">
        <f>PSPOINTS[[#This Row],[PayScaleCode]]&amp;PSPOINTS[[#This Row],[PayScalePointCode]]&amp;PSPOINTS[[#This Row],[RateDateFrom]]</f>
        <v>LSL2845901</v>
      </c>
      <c r="D44" s="57">
        <f>COUNTIF(PSPOINTS[Pay Scale String Duplicates],PSPOINTS[[#This Row],[Pay Scale String Duplicates]])-1</f>
        <v>0</v>
      </c>
      <c r="E44" s="57">
        <f>IF((MONTH(_xlfn.XLOOKUP(PSPOINTS[[#This Row],[PayScaleCode]],PayScales!N:N,PayScales!R:R)))=MONTH(PSPOINTS[[#This Row],[RateDateFrom]]),0,1)</f>
        <v>0</v>
      </c>
      <c r="F44" s="57">
        <f>IF(ISBLANK(PSPOINTS[[#This Row],[RateDateTo]]),0,IF(PSPOINTS[[#This Row],[RateDateFrom]]&lt;PSPOINTS[[#This Row],[RateDateTo]],0,1))</f>
        <v>0</v>
      </c>
      <c r="G44" s="57" cm="1">
        <f t="array" aca="1" ref="G44" ca="1">IF(CELL("format",PSPOINTS[[#This Row],[RateDateFrom]])="D1",0,1)+IF(CELL("format",PSPOINTS[[#This Row],[RateDateTo]])="D1",0,1)</f>
        <v>0</v>
      </c>
      <c r="H44" s="57">
        <f>IF(OR(PSPOINTS[[#This Row],[Hourly]]=TRUE,PSPOINTS[[#This Row],[Hourly]]=FALSE),IF(OR(PSPOINTS[[#This Row],[PayScalePointEnabled]]=TRUE,PSPOINTS[[#This Row],[PayScalePointEnabled]]=FALSE),0,1),1)</f>
        <v>0</v>
      </c>
      <c r="I44" s="57">
        <f>IF(LEN(PSPOINTS[[#This Row],[PayScalePointCode]])&lt;100,0,1)</f>
        <v>0</v>
      </c>
      <c r="J44" s="57">
        <f>IF(LEN(PSPOINTS[[#This Row],[PayScalePointTitle]])&lt;100,0,1)</f>
        <v>0</v>
      </c>
      <c r="K44" s="57">
        <f>(COUNTBLANK(PSPOINTS[[#This Row],[PayScalePointCode]:[RateDateFrom]])+COUNTBLANK(PSPOINTS[[#This Row],[PayScaleRate]]))</f>
        <v>0</v>
      </c>
      <c r="L44" s="112">
        <f>IF(SUBSTITUTE(TEXT(PSPOINTS[[#This Row],[PayScaleCode]],10)," ","")=TEXT(PSPOINTS[[#This Row],[PayScaleCode]],10),0,1)+IF(SUBSTITUTE(TEXT(PSPOINTS[[#This Row],[PayScalePointCode]],10)," ","")=TEXT(PSPOINTS[[#This Row],[PayScalePointCode]],10),0,1)</f>
        <v>0</v>
      </c>
      <c r="M44" s="57">
        <f ca="1">SUM(PSPOINTS[[#This Row],[Scale Point Issue]:[Space in Code]])</f>
        <v>0</v>
      </c>
      <c r="N44" s="57" t="s">
        <v>897</v>
      </c>
      <c r="P44" s="12" t="s">
        <v>1750</v>
      </c>
      <c r="Q44" s="57" t="str">
        <f>_xlfn.XLOOKUP(PSPOINTS[[#This Row],[PayScaleCode]],PayScales!N:N,PayScales!O:O)</f>
        <v>Leadership Group</v>
      </c>
      <c r="R44" s="12" t="s">
        <v>1102</v>
      </c>
      <c r="S44" s="12" t="s">
        <v>1102</v>
      </c>
      <c r="T44" s="12">
        <v>28</v>
      </c>
      <c r="U44" t="b">
        <v>0</v>
      </c>
      <c r="V44" t="b">
        <v>1</v>
      </c>
      <c r="W44" s="20">
        <v>45901</v>
      </c>
      <c r="Y44" s="14">
        <v>100540</v>
      </c>
    </row>
    <row r="45" spans="1:25" x14ac:dyDescent="0.3">
      <c r="A45" s="140" t="str">
        <f>PSPOINTS[[#This Row],[PayScaleCode]]&amp;PSPOINTS[[#This Row],[RateDateFrom]]</f>
        <v>LS45901</v>
      </c>
      <c r="B45" s="57">
        <f t="shared" si="0"/>
        <v>0</v>
      </c>
      <c r="C45" s="57" t="str">
        <f>PSPOINTS[[#This Row],[PayScaleCode]]&amp;PSPOINTS[[#This Row],[PayScalePointCode]]&amp;PSPOINTS[[#This Row],[RateDateFrom]]</f>
        <v>LSL2945901</v>
      </c>
      <c r="D45" s="57">
        <f>COUNTIF(PSPOINTS[Pay Scale String Duplicates],PSPOINTS[[#This Row],[Pay Scale String Duplicates]])-1</f>
        <v>0</v>
      </c>
      <c r="E45" s="57">
        <f>IF((MONTH(_xlfn.XLOOKUP(PSPOINTS[[#This Row],[PayScaleCode]],PayScales!N:N,PayScales!R:R)))=MONTH(PSPOINTS[[#This Row],[RateDateFrom]]),0,1)</f>
        <v>0</v>
      </c>
      <c r="F45" s="57">
        <f>IF(ISBLANK(PSPOINTS[[#This Row],[RateDateTo]]),0,IF(PSPOINTS[[#This Row],[RateDateFrom]]&lt;PSPOINTS[[#This Row],[RateDateTo]],0,1))</f>
        <v>0</v>
      </c>
      <c r="G45" s="57" cm="1">
        <f t="array" aca="1" ref="G45" ca="1">IF(CELL("format",PSPOINTS[[#This Row],[RateDateFrom]])="D1",0,1)+IF(CELL("format",PSPOINTS[[#This Row],[RateDateTo]])="D1",0,1)</f>
        <v>0</v>
      </c>
      <c r="H45" s="57">
        <f>IF(OR(PSPOINTS[[#This Row],[Hourly]]=TRUE,PSPOINTS[[#This Row],[Hourly]]=FALSE),IF(OR(PSPOINTS[[#This Row],[PayScalePointEnabled]]=TRUE,PSPOINTS[[#This Row],[PayScalePointEnabled]]=FALSE),0,1),1)</f>
        <v>0</v>
      </c>
      <c r="I45" s="57">
        <f>IF(LEN(PSPOINTS[[#This Row],[PayScalePointCode]])&lt;100,0,1)</f>
        <v>0</v>
      </c>
      <c r="J45" s="57">
        <f>IF(LEN(PSPOINTS[[#This Row],[PayScalePointTitle]])&lt;100,0,1)</f>
        <v>0</v>
      </c>
      <c r="K45" s="57">
        <f>(COUNTBLANK(PSPOINTS[[#This Row],[PayScalePointCode]:[RateDateFrom]])+COUNTBLANK(PSPOINTS[[#This Row],[PayScaleRate]]))</f>
        <v>0</v>
      </c>
      <c r="L45" s="112">
        <f>IF(SUBSTITUTE(TEXT(PSPOINTS[[#This Row],[PayScaleCode]],10)," ","")=TEXT(PSPOINTS[[#This Row],[PayScaleCode]],10),0,1)+IF(SUBSTITUTE(TEXT(PSPOINTS[[#This Row],[PayScalePointCode]],10)," ","")=TEXT(PSPOINTS[[#This Row],[PayScalePointCode]],10),0,1)</f>
        <v>0</v>
      </c>
      <c r="M45" s="57">
        <f ca="1">SUM(PSPOINTS[[#This Row],[Scale Point Issue]:[Space in Code]])</f>
        <v>0</v>
      </c>
      <c r="N45" s="57" t="s">
        <v>897</v>
      </c>
      <c r="P45" s="12" t="s">
        <v>1750</v>
      </c>
      <c r="Q45" s="57" t="str">
        <f>_xlfn.XLOOKUP(PSPOINTS[[#This Row],[PayScaleCode]],PayScales!N:N,PayScales!O:O)</f>
        <v>Leadership Group</v>
      </c>
      <c r="R45" s="12" t="s">
        <v>1103</v>
      </c>
      <c r="S45" s="12" t="s">
        <v>1103</v>
      </c>
      <c r="T45" s="12">
        <v>29</v>
      </c>
      <c r="U45" t="b">
        <v>0</v>
      </c>
      <c r="V45" t="b">
        <v>1</v>
      </c>
      <c r="W45" s="20">
        <v>45901</v>
      </c>
      <c r="Y45" s="14">
        <v>103030</v>
      </c>
    </row>
    <row r="46" spans="1:25" x14ac:dyDescent="0.3">
      <c r="A46" s="140" t="str">
        <f>PSPOINTS[[#This Row],[PayScaleCode]]&amp;PSPOINTS[[#This Row],[RateDateFrom]]</f>
        <v>LS45901</v>
      </c>
      <c r="B46" s="57">
        <f t="shared" si="0"/>
        <v>0</v>
      </c>
      <c r="C46" s="57" t="str">
        <f>PSPOINTS[[#This Row],[PayScaleCode]]&amp;PSPOINTS[[#This Row],[PayScalePointCode]]&amp;PSPOINTS[[#This Row],[RateDateFrom]]</f>
        <v>LSL3045901</v>
      </c>
      <c r="D46" s="57">
        <f>COUNTIF(PSPOINTS[Pay Scale String Duplicates],PSPOINTS[[#This Row],[Pay Scale String Duplicates]])-1</f>
        <v>0</v>
      </c>
      <c r="E46" s="57">
        <f>IF((MONTH(_xlfn.XLOOKUP(PSPOINTS[[#This Row],[PayScaleCode]],PayScales!N:N,PayScales!R:R)))=MONTH(PSPOINTS[[#This Row],[RateDateFrom]]),0,1)</f>
        <v>0</v>
      </c>
      <c r="F46" s="57">
        <f>IF(ISBLANK(PSPOINTS[[#This Row],[RateDateTo]]),0,IF(PSPOINTS[[#This Row],[RateDateFrom]]&lt;PSPOINTS[[#This Row],[RateDateTo]],0,1))</f>
        <v>0</v>
      </c>
      <c r="G46" s="57" cm="1">
        <f t="array" aca="1" ref="G46" ca="1">IF(CELL("format",PSPOINTS[[#This Row],[RateDateFrom]])="D1",0,1)+IF(CELL("format",PSPOINTS[[#This Row],[RateDateTo]])="D1",0,1)</f>
        <v>0</v>
      </c>
      <c r="H46" s="57">
        <f>IF(OR(PSPOINTS[[#This Row],[Hourly]]=TRUE,PSPOINTS[[#This Row],[Hourly]]=FALSE),IF(OR(PSPOINTS[[#This Row],[PayScalePointEnabled]]=TRUE,PSPOINTS[[#This Row],[PayScalePointEnabled]]=FALSE),0,1),1)</f>
        <v>0</v>
      </c>
      <c r="I46" s="57">
        <f>IF(LEN(PSPOINTS[[#This Row],[PayScalePointCode]])&lt;100,0,1)</f>
        <v>0</v>
      </c>
      <c r="J46" s="57">
        <f>IF(LEN(PSPOINTS[[#This Row],[PayScalePointTitle]])&lt;100,0,1)</f>
        <v>0</v>
      </c>
      <c r="K46" s="57">
        <f>(COUNTBLANK(PSPOINTS[[#This Row],[PayScalePointCode]:[RateDateFrom]])+COUNTBLANK(PSPOINTS[[#This Row],[PayScaleRate]]))</f>
        <v>0</v>
      </c>
      <c r="L46" s="112">
        <f>IF(SUBSTITUTE(TEXT(PSPOINTS[[#This Row],[PayScaleCode]],10)," ","")=TEXT(PSPOINTS[[#This Row],[PayScaleCode]],10),0,1)+IF(SUBSTITUTE(TEXT(PSPOINTS[[#This Row],[PayScalePointCode]],10)," ","")=TEXT(PSPOINTS[[#This Row],[PayScalePointCode]],10),0,1)</f>
        <v>0</v>
      </c>
      <c r="M46" s="57">
        <f ca="1">SUM(PSPOINTS[[#This Row],[Scale Point Issue]:[Space in Code]])</f>
        <v>0</v>
      </c>
      <c r="N46" s="57" t="s">
        <v>897</v>
      </c>
      <c r="P46" s="12" t="s">
        <v>1750</v>
      </c>
      <c r="Q46" s="57" t="str">
        <f>_xlfn.XLOOKUP(PSPOINTS[[#This Row],[PayScaleCode]],PayScales!N:N,PayScales!O:O)</f>
        <v>Leadership Group</v>
      </c>
      <c r="R46" s="12" t="s">
        <v>1104</v>
      </c>
      <c r="S46" s="12" t="s">
        <v>1104</v>
      </c>
      <c r="T46" s="12">
        <v>30</v>
      </c>
      <c r="U46" t="b">
        <v>0</v>
      </c>
      <c r="V46" t="b">
        <v>1</v>
      </c>
      <c r="W46" s="20">
        <v>45901</v>
      </c>
      <c r="Y46" s="14">
        <v>105595</v>
      </c>
    </row>
    <row r="47" spans="1:25" x14ac:dyDescent="0.3">
      <c r="A47" s="140" t="str">
        <f>PSPOINTS[[#This Row],[PayScaleCode]]&amp;PSPOINTS[[#This Row],[RateDateFrom]]</f>
        <v>LS45901</v>
      </c>
      <c r="B47" s="57">
        <f t="shared" si="0"/>
        <v>0</v>
      </c>
      <c r="C47" s="57" t="str">
        <f>PSPOINTS[[#This Row],[PayScaleCode]]&amp;PSPOINTS[[#This Row],[PayScalePointCode]]&amp;PSPOINTS[[#This Row],[RateDateFrom]]</f>
        <v>LSL3145901</v>
      </c>
      <c r="D47" s="57">
        <f>COUNTIF(PSPOINTS[Pay Scale String Duplicates],PSPOINTS[[#This Row],[Pay Scale String Duplicates]])-1</f>
        <v>0</v>
      </c>
      <c r="E47" s="57">
        <f>IF((MONTH(_xlfn.XLOOKUP(PSPOINTS[[#This Row],[PayScaleCode]],PayScales!N:N,PayScales!R:R)))=MONTH(PSPOINTS[[#This Row],[RateDateFrom]]),0,1)</f>
        <v>0</v>
      </c>
      <c r="F47" s="57">
        <f>IF(ISBLANK(PSPOINTS[[#This Row],[RateDateTo]]),0,IF(PSPOINTS[[#This Row],[RateDateFrom]]&lt;PSPOINTS[[#This Row],[RateDateTo]],0,1))</f>
        <v>0</v>
      </c>
      <c r="G47" s="57" cm="1">
        <f t="array" aca="1" ref="G47" ca="1">IF(CELL("format",PSPOINTS[[#This Row],[RateDateFrom]])="D1",0,1)+IF(CELL("format",PSPOINTS[[#This Row],[RateDateTo]])="D1",0,1)</f>
        <v>0</v>
      </c>
      <c r="H47" s="57">
        <f>IF(OR(PSPOINTS[[#This Row],[Hourly]]=TRUE,PSPOINTS[[#This Row],[Hourly]]=FALSE),IF(OR(PSPOINTS[[#This Row],[PayScalePointEnabled]]=TRUE,PSPOINTS[[#This Row],[PayScalePointEnabled]]=FALSE),0,1),1)</f>
        <v>0</v>
      </c>
      <c r="I47" s="57">
        <f>IF(LEN(PSPOINTS[[#This Row],[PayScalePointCode]])&lt;100,0,1)</f>
        <v>0</v>
      </c>
      <c r="J47" s="57">
        <f>IF(LEN(PSPOINTS[[#This Row],[PayScalePointTitle]])&lt;100,0,1)</f>
        <v>0</v>
      </c>
      <c r="K47" s="57">
        <f>(COUNTBLANK(PSPOINTS[[#This Row],[PayScalePointCode]:[RateDateFrom]])+COUNTBLANK(PSPOINTS[[#This Row],[PayScaleRate]]))</f>
        <v>0</v>
      </c>
      <c r="L47" s="112">
        <f>IF(SUBSTITUTE(TEXT(PSPOINTS[[#This Row],[PayScaleCode]],10)," ","")=TEXT(PSPOINTS[[#This Row],[PayScaleCode]],10),0,1)+IF(SUBSTITUTE(TEXT(PSPOINTS[[#This Row],[PayScalePointCode]],10)," ","")=TEXT(PSPOINTS[[#This Row],[PayScalePointCode]],10),0,1)</f>
        <v>0</v>
      </c>
      <c r="M47" s="57">
        <f ca="1">SUM(PSPOINTS[[#This Row],[Scale Point Issue]:[Space in Code]])</f>
        <v>0</v>
      </c>
      <c r="N47" s="57" t="s">
        <v>897</v>
      </c>
      <c r="P47" s="12" t="s">
        <v>1750</v>
      </c>
      <c r="Q47" s="57" t="str">
        <f>_xlfn.XLOOKUP(PSPOINTS[[#This Row],[PayScaleCode]],PayScales!N:N,PayScales!O:O)</f>
        <v>Leadership Group</v>
      </c>
      <c r="R47" s="12" t="s">
        <v>1105</v>
      </c>
      <c r="S47" s="12" t="s">
        <v>1105</v>
      </c>
      <c r="T47" s="12">
        <v>31</v>
      </c>
      <c r="U47" t="b">
        <v>0</v>
      </c>
      <c r="V47" t="b">
        <v>1</v>
      </c>
      <c r="W47" s="20">
        <v>45901</v>
      </c>
      <c r="Y47" s="14">
        <v>108202</v>
      </c>
    </row>
    <row r="48" spans="1:25" x14ac:dyDescent="0.3">
      <c r="A48" s="140" t="str">
        <f>PSPOINTS[[#This Row],[PayScaleCode]]&amp;PSPOINTS[[#This Row],[RateDateFrom]]</f>
        <v>LS45901</v>
      </c>
      <c r="B48" s="57">
        <f t="shared" si="0"/>
        <v>0</v>
      </c>
      <c r="C48" s="57" t="str">
        <f>PSPOINTS[[#This Row],[PayScaleCode]]&amp;PSPOINTS[[#This Row],[PayScalePointCode]]&amp;PSPOINTS[[#This Row],[RateDateFrom]]</f>
        <v>LSL3245901</v>
      </c>
      <c r="D48" s="57">
        <f>COUNTIF(PSPOINTS[Pay Scale String Duplicates],PSPOINTS[[#This Row],[Pay Scale String Duplicates]])-1</f>
        <v>0</v>
      </c>
      <c r="E48" s="57">
        <f>IF((MONTH(_xlfn.XLOOKUP(PSPOINTS[[#This Row],[PayScaleCode]],PayScales!N:N,PayScales!R:R)))=MONTH(PSPOINTS[[#This Row],[RateDateFrom]]),0,1)</f>
        <v>0</v>
      </c>
      <c r="F48" s="57">
        <f>IF(ISBLANK(PSPOINTS[[#This Row],[RateDateTo]]),0,IF(PSPOINTS[[#This Row],[RateDateFrom]]&lt;PSPOINTS[[#This Row],[RateDateTo]],0,1))</f>
        <v>0</v>
      </c>
      <c r="G48" s="57" cm="1">
        <f t="array" aca="1" ref="G48" ca="1">IF(CELL("format",PSPOINTS[[#This Row],[RateDateFrom]])="D1",0,1)+IF(CELL("format",PSPOINTS[[#This Row],[RateDateTo]])="D1",0,1)</f>
        <v>0</v>
      </c>
      <c r="H48" s="57">
        <f>IF(OR(PSPOINTS[[#This Row],[Hourly]]=TRUE,PSPOINTS[[#This Row],[Hourly]]=FALSE),IF(OR(PSPOINTS[[#This Row],[PayScalePointEnabled]]=TRUE,PSPOINTS[[#This Row],[PayScalePointEnabled]]=FALSE),0,1),1)</f>
        <v>0</v>
      </c>
      <c r="I48" s="57">
        <f>IF(LEN(PSPOINTS[[#This Row],[PayScalePointCode]])&lt;100,0,1)</f>
        <v>0</v>
      </c>
      <c r="J48" s="57">
        <f>IF(LEN(PSPOINTS[[#This Row],[PayScalePointTitle]])&lt;100,0,1)</f>
        <v>0</v>
      </c>
      <c r="K48" s="57">
        <f>(COUNTBLANK(PSPOINTS[[#This Row],[PayScalePointCode]:[RateDateFrom]])+COUNTBLANK(PSPOINTS[[#This Row],[PayScaleRate]]))</f>
        <v>0</v>
      </c>
      <c r="L48" s="112">
        <f>IF(SUBSTITUTE(TEXT(PSPOINTS[[#This Row],[PayScaleCode]],10)," ","")=TEXT(PSPOINTS[[#This Row],[PayScaleCode]],10),0,1)+IF(SUBSTITUTE(TEXT(PSPOINTS[[#This Row],[PayScalePointCode]],10)," ","")=TEXT(PSPOINTS[[#This Row],[PayScalePointCode]],10),0,1)</f>
        <v>0</v>
      </c>
      <c r="M48" s="57">
        <f ca="1">SUM(PSPOINTS[[#This Row],[Scale Point Issue]:[Space in Code]])</f>
        <v>0</v>
      </c>
      <c r="N48" s="57" t="s">
        <v>897</v>
      </c>
      <c r="P48" s="12" t="s">
        <v>1750</v>
      </c>
      <c r="Q48" s="57" t="str">
        <f>_xlfn.XLOOKUP(PSPOINTS[[#This Row],[PayScaleCode]],PayScales!N:N,PayScales!O:O)</f>
        <v>Leadership Group</v>
      </c>
      <c r="R48" s="12" t="s">
        <v>1106</v>
      </c>
      <c r="S48" s="12" t="s">
        <v>1106</v>
      </c>
      <c r="T48" s="12">
        <v>32</v>
      </c>
      <c r="U48" t="b">
        <v>0</v>
      </c>
      <c r="V48" t="b">
        <v>1</v>
      </c>
      <c r="W48" s="20">
        <v>45901</v>
      </c>
      <c r="Y48" s="14">
        <v>110892</v>
      </c>
    </row>
    <row r="49" spans="1:25" x14ac:dyDescent="0.3">
      <c r="A49" s="140" t="str">
        <f>PSPOINTS[[#This Row],[PayScaleCode]]&amp;PSPOINTS[[#This Row],[RateDateFrom]]</f>
        <v>LS45901</v>
      </c>
      <c r="B49" s="57">
        <f t="shared" si="0"/>
        <v>0</v>
      </c>
      <c r="C49" s="57" t="str">
        <f>PSPOINTS[[#This Row],[PayScaleCode]]&amp;PSPOINTS[[#This Row],[PayScalePointCode]]&amp;PSPOINTS[[#This Row],[RateDateFrom]]</f>
        <v>LSL3345901</v>
      </c>
      <c r="D49" s="57">
        <f>COUNTIF(PSPOINTS[Pay Scale String Duplicates],PSPOINTS[[#This Row],[Pay Scale String Duplicates]])-1</f>
        <v>0</v>
      </c>
      <c r="E49" s="57">
        <f>IF((MONTH(_xlfn.XLOOKUP(PSPOINTS[[#This Row],[PayScaleCode]],PayScales!N:N,PayScales!R:R)))=MONTH(PSPOINTS[[#This Row],[RateDateFrom]]),0,1)</f>
        <v>0</v>
      </c>
      <c r="F49" s="57">
        <f>IF(ISBLANK(PSPOINTS[[#This Row],[RateDateTo]]),0,IF(PSPOINTS[[#This Row],[RateDateFrom]]&lt;PSPOINTS[[#This Row],[RateDateTo]],0,1))</f>
        <v>0</v>
      </c>
      <c r="G49" s="57" cm="1">
        <f t="array" aca="1" ref="G49" ca="1">IF(CELL("format",PSPOINTS[[#This Row],[RateDateFrom]])="D1",0,1)+IF(CELL("format",PSPOINTS[[#This Row],[RateDateTo]])="D1",0,1)</f>
        <v>0</v>
      </c>
      <c r="H49" s="57">
        <f>IF(OR(PSPOINTS[[#This Row],[Hourly]]=TRUE,PSPOINTS[[#This Row],[Hourly]]=FALSE),IF(OR(PSPOINTS[[#This Row],[PayScalePointEnabled]]=TRUE,PSPOINTS[[#This Row],[PayScalePointEnabled]]=FALSE),0,1),1)</f>
        <v>0</v>
      </c>
      <c r="I49" s="57">
        <f>IF(LEN(PSPOINTS[[#This Row],[PayScalePointCode]])&lt;100,0,1)</f>
        <v>0</v>
      </c>
      <c r="J49" s="57">
        <f>IF(LEN(PSPOINTS[[#This Row],[PayScalePointTitle]])&lt;100,0,1)</f>
        <v>0</v>
      </c>
      <c r="K49" s="57">
        <f>(COUNTBLANK(PSPOINTS[[#This Row],[PayScalePointCode]:[RateDateFrom]])+COUNTBLANK(PSPOINTS[[#This Row],[PayScaleRate]]))</f>
        <v>0</v>
      </c>
      <c r="L49" s="112">
        <f>IF(SUBSTITUTE(TEXT(PSPOINTS[[#This Row],[PayScaleCode]],10)," ","")=TEXT(PSPOINTS[[#This Row],[PayScaleCode]],10),0,1)+IF(SUBSTITUTE(TEXT(PSPOINTS[[#This Row],[PayScalePointCode]],10)," ","")=TEXT(PSPOINTS[[#This Row],[PayScalePointCode]],10),0,1)</f>
        <v>0</v>
      </c>
      <c r="M49" s="57">
        <f ca="1">SUM(PSPOINTS[[#This Row],[Scale Point Issue]:[Space in Code]])</f>
        <v>0</v>
      </c>
      <c r="N49" s="57" t="s">
        <v>897</v>
      </c>
      <c r="P49" s="12" t="s">
        <v>1750</v>
      </c>
      <c r="Q49" s="57" t="str">
        <f>_xlfn.XLOOKUP(PSPOINTS[[#This Row],[PayScaleCode]],PayScales!N:N,PayScales!O:O)</f>
        <v>Leadership Group</v>
      </c>
      <c r="R49" s="12" t="s">
        <v>1107</v>
      </c>
      <c r="S49" s="12" t="s">
        <v>1107</v>
      </c>
      <c r="T49" s="12">
        <v>33</v>
      </c>
      <c r="U49" t="b">
        <v>0</v>
      </c>
      <c r="V49" t="b">
        <v>1</v>
      </c>
      <c r="W49" s="20">
        <v>45901</v>
      </c>
      <c r="Y49" s="14">
        <v>113646</v>
      </c>
    </row>
    <row r="50" spans="1:25" x14ac:dyDescent="0.3">
      <c r="A50" s="140" t="str">
        <f>PSPOINTS[[#This Row],[PayScaleCode]]&amp;PSPOINTS[[#This Row],[RateDateFrom]]</f>
        <v>LS45901</v>
      </c>
      <c r="B50" s="57">
        <f t="shared" si="0"/>
        <v>0</v>
      </c>
      <c r="C50" s="57" t="str">
        <f>PSPOINTS[[#This Row],[PayScaleCode]]&amp;PSPOINTS[[#This Row],[PayScalePointCode]]&amp;PSPOINTS[[#This Row],[RateDateFrom]]</f>
        <v>LSL3445901</v>
      </c>
      <c r="D50" s="57">
        <f>COUNTIF(PSPOINTS[Pay Scale String Duplicates],PSPOINTS[[#This Row],[Pay Scale String Duplicates]])-1</f>
        <v>0</v>
      </c>
      <c r="E50" s="57">
        <f>IF((MONTH(_xlfn.XLOOKUP(PSPOINTS[[#This Row],[PayScaleCode]],PayScales!N:N,PayScales!R:R)))=MONTH(PSPOINTS[[#This Row],[RateDateFrom]]),0,1)</f>
        <v>0</v>
      </c>
      <c r="F50" s="57">
        <f>IF(ISBLANK(PSPOINTS[[#This Row],[RateDateTo]]),0,IF(PSPOINTS[[#This Row],[RateDateFrom]]&lt;PSPOINTS[[#This Row],[RateDateTo]],0,1))</f>
        <v>0</v>
      </c>
      <c r="G50" s="57" cm="1">
        <f t="array" aca="1" ref="G50" ca="1">IF(CELL("format",PSPOINTS[[#This Row],[RateDateFrom]])="D1",0,1)+IF(CELL("format",PSPOINTS[[#This Row],[RateDateTo]])="D1",0,1)</f>
        <v>0</v>
      </c>
      <c r="H50" s="57">
        <f>IF(OR(PSPOINTS[[#This Row],[Hourly]]=TRUE,PSPOINTS[[#This Row],[Hourly]]=FALSE),IF(OR(PSPOINTS[[#This Row],[PayScalePointEnabled]]=TRUE,PSPOINTS[[#This Row],[PayScalePointEnabled]]=FALSE),0,1),1)</f>
        <v>0</v>
      </c>
      <c r="I50" s="57">
        <f>IF(LEN(PSPOINTS[[#This Row],[PayScalePointCode]])&lt;100,0,1)</f>
        <v>0</v>
      </c>
      <c r="J50" s="57">
        <f>IF(LEN(PSPOINTS[[#This Row],[PayScalePointTitle]])&lt;100,0,1)</f>
        <v>0</v>
      </c>
      <c r="K50" s="57">
        <f>(COUNTBLANK(PSPOINTS[[#This Row],[PayScalePointCode]:[RateDateFrom]])+COUNTBLANK(PSPOINTS[[#This Row],[PayScaleRate]]))</f>
        <v>0</v>
      </c>
      <c r="L50" s="112">
        <f>IF(SUBSTITUTE(TEXT(PSPOINTS[[#This Row],[PayScaleCode]],10)," ","")=TEXT(PSPOINTS[[#This Row],[PayScaleCode]],10),0,1)+IF(SUBSTITUTE(TEXT(PSPOINTS[[#This Row],[PayScalePointCode]],10)," ","")=TEXT(PSPOINTS[[#This Row],[PayScalePointCode]],10),0,1)</f>
        <v>0</v>
      </c>
      <c r="M50" s="57">
        <f ca="1">SUM(PSPOINTS[[#This Row],[Scale Point Issue]:[Space in Code]])</f>
        <v>0</v>
      </c>
      <c r="N50" s="57" t="s">
        <v>897</v>
      </c>
      <c r="P50" s="12" t="s">
        <v>1750</v>
      </c>
      <c r="Q50" s="57" t="str">
        <f>_xlfn.XLOOKUP(PSPOINTS[[#This Row],[PayScaleCode]],PayScales!N:N,PayScales!O:O)</f>
        <v>Leadership Group</v>
      </c>
      <c r="R50" s="12" t="s">
        <v>1108</v>
      </c>
      <c r="S50" s="12" t="s">
        <v>1108</v>
      </c>
      <c r="T50" s="12">
        <v>34</v>
      </c>
      <c r="U50" t="b">
        <v>0</v>
      </c>
      <c r="V50" t="b">
        <v>1</v>
      </c>
      <c r="W50" s="20">
        <v>45901</v>
      </c>
      <c r="Y50" s="14">
        <v>116456</v>
      </c>
    </row>
    <row r="51" spans="1:25" x14ac:dyDescent="0.3">
      <c r="A51" s="140" t="str">
        <f>PSPOINTS[[#This Row],[PayScaleCode]]&amp;PSPOINTS[[#This Row],[RateDateFrom]]</f>
        <v>LS45901</v>
      </c>
      <c r="B51" s="57">
        <f t="shared" si="0"/>
        <v>0</v>
      </c>
      <c r="C51" s="57" t="str">
        <f>PSPOINTS[[#This Row],[PayScaleCode]]&amp;PSPOINTS[[#This Row],[PayScalePointCode]]&amp;PSPOINTS[[#This Row],[RateDateFrom]]</f>
        <v>LSL3545901</v>
      </c>
      <c r="D51" s="57">
        <f>COUNTIF(PSPOINTS[Pay Scale String Duplicates],PSPOINTS[[#This Row],[Pay Scale String Duplicates]])-1</f>
        <v>0</v>
      </c>
      <c r="E51" s="57">
        <f>IF((MONTH(_xlfn.XLOOKUP(PSPOINTS[[#This Row],[PayScaleCode]],PayScales!N:N,PayScales!R:R)))=MONTH(PSPOINTS[[#This Row],[RateDateFrom]]),0,1)</f>
        <v>0</v>
      </c>
      <c r="F51" s="57">
        <f>IF(ISBLANK(PSPOINTS[[#This Row],[RateDateTo]]),0,IF(PSPOINTS[[#This Row],[RateDateFrom]]&lt;PSPOINTS[[#This Row],[RateDateTo]],0,1))</f>
        <v>0</v>
      </c>
      <c r="G51" s="57" cm="1">
        <f t="array" aca="1" ref="G51" ca="1">IF(CELL("format",PSPOINTS[[#This Row],[RateDateFrom]])="D1",0,1)+IF(CELL("format",PSPOINTS[[#This Row],[RateDateTo]])="D1",0,1)</f>
        <v>0</v>
      </c>
      <c r="H51" s="57">
        <f>IF(OR(PSPOINTS[[#This Row],[Hourly]]=TRUE,PSPOINTS[[#This Row],[Hourly]]=FALSE),IF(OR(PSPOINTS[[#This Row],[PayScalePointEnabled]]=TRUE,PSPOINTS[[#This Row],[PayScalePointEnabled]]=FALSE),0,1),1)</f>
        <v>0</v>
      </c>
      <c r="I51" s="57">
        <f>IF(LEN(PSPOINTS[[#This Row],[PayScalePointCode]])&lt;100,0,1)</f>
        <v>0</v>
      </c>
      <c r="J51" s="57">
        <f>IF(LEN(PSPOINTS[[#This Row],[PayScalePointTitle]])&lt;100,0,1)</f>
        <v>0</v>
      </c>
      <c r="K51" s="57">
        <f>(COUNTBLANK(PSPOINTS[[#This Row],[PayScalePointCode]:[RateDateFrom]])+COUNTBLANK(PSPOINTS[[#This Row],[PayScaleRate]]))</f>
        <v>0</v>
      </c>
      <c r="L51" s="112">
        <f>IF(SUBSTITUTE(TEXT(PSPOINTS[[#This Row],[PayScaleCode]],10)," ","")=TEXT(PSPOINTS[[#This Row],[PayScaleCode]],10),0,1)+IF(SUBSTITUTE(TEXT(PSPOINTS[[#This Row],[PayScalePointCode]],10)," ","")=TEXT(PSPOINTS[[#This Row],[PayScalePointCode]],10),0,1)</f>
        <v>0</v>
      </c>
      <c r="M51" s="57">
        <f ca="1">SUM(PSPOINTS[[#This Row],[Scale Point Issue]:[Space in Code]])</f>
        <v>0</v>
      </c>
      <c r="N51" s="57" t="s">
        <v>897</v>
      </c>
      <c r="P51" s="12" t="s">
        <v>1750</v>
      </c>
      <c r="Q51" s="57" t="str">
        <f>_xlfn.XLOOKUP(PSPOINTS[[#This Row],[PayScaleCode]],PayScales!N:N,PayScales!O:O)</f>
        <v>Leadership Group</v>
      </c>
      <c r="R51" s="12" t="s">
        <v>1109</v>
      </c>
      <c r="S51" s="12" t="s">
        <v>1109</v>
      </c>
      <c r="T51" s="12">
        <v>35</v>
      </c>
      <c r="U51" t="b">
        <v>0</v>
      </c>
      <c r="V51" t="b">
        <v>1</v>
      </c>
      <c r="W51" s="20">
        <v>45901</v>
      </c>
      <c r="Y51" s="14">
        <v>119350</v>
      </c>
    </row>
    <row r="52" spans="1:25" x14ac:dyDescent="0.3">
      <c r="A52" s="140" t="str">
        <f>PSPOINTS[[#This Row],[PayScaleCode]]&amp;PSPOINTS[[#This Row],[RateDateFrom]]</f>
        <v>LS45901</v>
      </c>
      <c r="B52" s="57">
        <f t="shared" si="0"/>
        <v>0</v>
      </c>
      <c r="C52" s="57" t="str">
        <f>PSPOINTS[[#This Row],[PayScaleCode]]&amp;PSPOINTS[[#This Row],[PayScalePointCode]]&amp;PSPOINTS[[#This Row],[RateDateFrom]]</f>
        <v>LSL3645901</v>
      </c>
      <c r="D52" s="57">
        <f>COUNTIF(PSPOINTS[Pay Scale String Duplicates],PSPOINTS[[#This Row],[Pay Scale String Duplicates]])-1</f>
        <v>0</v>
      </c>
      <c r="E52" s="57">
        <f>IF((MONTH(_xlfn.XLOOKUP(PSPOINTS[[#This Row],[PayScaleCode]],PayScales!N:N,PayScales!R:R)))=MONTH(PSPOINTS[[#This Row],[RateDateFrom]]),0,1)</f>
        <v>0</v>
      </c>
      <c r="F52" s="57">
        <f>IF(ISBLANK(PSPOINTS[[#This Row],[RateDateTo]]),0,IF(PSPOINTS[[#This Row],[RateDateFrom]]&lt;PSPOINTS[[#This Row],[RateDateTo]],0,1))</f>
        <v>0</v>
      </c>
      <c r="G52" s="57" cm="1">
        <f t="array" aca="1" ref="G52" ca="1">IF(CELL("format",PSPOINTS[[#This Row],[RateDateFrom]])="D1",0,1)+IF(CELL("format",PSPOINTS[[#This Row],[RateDateTo]])="D1",0,1)</f>
        <v>0</v>
      </c>
      <c r="H52" s="57">
        <f>IF(OR(PSPOINTS[[#This Row],[Hourly]]=TRUE,PSPOINTS[[#This Row],[Hourly]]=FALSE),IF(OR(PSPOINTS[[#This Row],[PayScalePointEnabled]]=TRUE,PSPOINTS[[#This Row],[PayScalePointEnabled]]=FALSE),0,1),1)</f>
        <v>0</v>
      </c>
      <c r="I52" s="57">
        <f>IF(LEN(PSPOINTS[[#This Row],[PayScalePointCode]])&lt;100,0,1)</f>
        <v>0</v>
      </c>
      <c r="J52" s="57">
        <f>IF(LEN(PSPOINTS[[#This Row],[PayScalePointTitle]])&lt;100,0,1)</f>
        <v>0</v>
      </c>
      <c r="K52" s="57">
        <f>(COUNTBLANK(PSPOINTS[[#This Row],[PayScalePointCode]:[RateDateFrom]])+COUNTBLANK(PSPOINTS[[#This Row],[PayScaleRate]]))</f>
        <v>0</v>
      </c>
      <c r="L52" s="112">
        <f>IF(SUBSTITUTE(TEXT(PSPOINTS[[#This Row],[PayScaleCode]],10)," ","")=TEXT(PSPOINTS[[#This Row],[PayScaleCode]],10),0,1)+IF(SUBSTITUTE(TEXT(PSPOINTS[[#This Row],[PayScalePointCode]],10)," ","")=TEXT(PSPOINTS[[#This Row],[PayScalePointCode]],10),0,1)</f>
        <v>0</v>
      </c>
      <c r="M52" s="57">
        <f ca="1">SUM(PSPOINTS[[#This Row],[Scale Point Issue]:[Space in Code]])</f>
        <v>0</v>
      </c>
      <c r="N52" s="57" t="s">
        <v>897</v>
      </c>
      <c r="P52" s="12" t="s">
        <v>1750</v>
      </c>
      <c r="Q52" s="57" t="str">
        <f>_xlfn.XLOOKUP(PSPOINTS[[#This Row],[PayScaleCode]],PayScales!N:N,PayScales!O:O)</f>
        <v>Leadership Group</v>
      </c>
      <c r="R52" s="12" t="s">
        <v>1110</v>
      </c>
      <c r="S52" s="12" t="s">
        <v>1110</v>
      </c>
      <c r="T52" s="12">
        <v>36</v>
      </c>
      <c r="U52" t="b">
        <v>0</v>
      </c>
      <c r="V52" t="b">
        <v>1</v>
      </c>
      <c r="W52" s="20">
        <v>45901</v>
      </c>
      <c r="Y52" s="14">
        <v>122306</v>
      </c>
    </row>
    <row r="53" spans="1:25" x14ac:dyDescent="0.3">
      <c r="A53" s="140" t="str">
        <f>PSPOINTS[[#This Row],[PayScaleCode]]&amp;PSPOINTS[[#This Row],[RateDateFrom]]</f>
        <v>LS45901</v>
      </c>
      <c r="B53" s="57">
        <f t="shared" si="0"/>
        <v>0</v>
      </c>
      <c r="C53" s="57" t="str">
        <f>PSPOINTS[[#This Row],[PayScaleCode]]&amp;PSPOINTS[[#This Row],[PayScalePointCode]]&amp;PSPOINTS[[#This Row],[RateDateFrom]]</f>
        <v>LSL3745901</v>
      </c>
      <c r="D53" s="57">
        <f>COUNTIF(PSPOINTS[Pay Scale String Duplicates],PSPOINTS[[#This Row],[Pay Scale String Duplicates]])-1</f>
        <v>0</v>
      </c>
      <c r="E53" s="57">
        <f>IF((MONTH(_xlfn.XLOOKUP(PSPOINTS[[#This Row],[PayScaleCode]],PayScales!N:N,PayScales!R:R)))=MONTH(PSPOINTS[[#This Row],[RateDateFrom]]),0,1)</f>
        <v>0</v>
      </c>
      <c r="F53" s="57">
        <f>IF(ISBLANK(PSPOINTS[[#This Row],[RateDateTo]]),0,IF(PSPOINTS[[#This Row],[RateDateFrom]]&lt;PSPOINTS[[#This Row],[RateDateTo]],0,1))</f>
        <v>0</v>
      </c>
      <c r="G53" s="57" cm="1">
        <f t="array" aca="1" ref="G53" ca="1">IF(CELL("format",PSPOINTS[[#This Row],[RateDateFrom]])="D1",0,1)+IF(CELL("format",PSPOINTS[[#This Row],[RateDateTo]])="D1",0,1)</f>
        <v>0</v>
      </c>
      <c r="H53" s="57">
        <f>IF(OR(PSPOINTS[[#This Row],[Hourly]]=TRUE,PSPOINTS[[#This Row],[Hourly]]=FALSE),IF(OR(PSPOINTS[[#This Row],[PayScalePointEnabled]]=TRUE,PSPOINTS[[#This Row],[PayScalePointEnabled]]=FALSE),0,1),1)</f>
        <v>0</v>
      </c>
      <c r="I53" s="57">
        <f>IF(LEN(PSPOINTS[[#This Row],[PayScalePointCode]])&lt;100,0,1)</f>
        <v>0</v>
      </c>
      <c r="J53" s="57">
        <f>IF(LEN(PSPOINTS[[#This Row],[PayScalePointTitle]])&lt;100,0,1)</f>
        <v>0</v>
      </c>
      <c r="K53" s="57">
        <f>(COUNTBLANK(PSPOINTS[[#This Row],[PayScalePointCode]:[RateDateFrom]])+COUNTBLANK(PSPOINTS[[#This Row],[PayScaleRate]]))</f>
        <v>0</v>
      </c>
      <c r="L53" s="112">
        <f>IF(SUBSTITUTE(TEXT(PSPOINTS[[#This Row],[PayScaleCode]],10)," ","")=TEXT(PSPOINTS[[#This Row],[PayScaleCode]],10),0,1)+IF(SUBSTITUTE(TEXT(PSPOINTS[[#This Row],[PayScalePointCode]],10)," ","")=TEXT(PSPOINTS[[#This Row],[PayScalePointCode]],10),0,1)</f>
        <v>0</v>
      </c>
      <c r="M53" s="57">
        <f ca="1">SUM(PSPOINTS[[#This Row],[Scale Point Issue]:[Space in Code]])</f>
        <v>0</v>
      </c>
      <c r="N53" s="57" t="s">
        <v>897</v>
      </c>
      <c r="P53" s="12" t="s">
        <v>1750</v>
      </c>
      <c r="Q53" s="57" t="str">
        <f>_xlfn.XLOOKUP(PSPOINTS[[#This Row],[PayScaleCode]],PayScales!N:N,PayScales!O:O)</f>
        <v>Leadership Group</v>
      </c>
      <c r="R53" s="12" t="s">
        <v>1111</v>
      </c>
      <c r="S53" s="12" t="s">
        <v>1111</v>
      </c>
      <c r="T53" s="12">
        <v>37</v>
      </c>
      <c r="U53" t="b">
        <v>0</v>
      </c>
      <c r="V53" t="b">
        <v>1</v>
      </c>
      <c r="W53" s="20">
        <v>45901</v>
      </c>
      <c r="Y53" s="14">
        <v>125345</v>
      </c>
    </row>
    <row r="54" spans="1:25" x14ac:dyDescent="0.3">
      <c r="A54" s="140" t="str">
        <f>PSPOINTS[[#This Row],[PayScaleCode]]&amp;PSPOINTS[[#This Row],[RateDateFrom]]</f>
        <v>LS45901</v>
      </c>
      <c r="B54" s="57">
        <f t="shared" si="0"/>
        <v>0</v>
      </c>
      <c r="C54" s="57" t="str">
        <f>PSPOINTS[[#This Row],[PayScaleCode]]&amp;PSPOINTS[[#This Row],[PayScalePointCode]]&amp;PSPOINTS[[#This Row],[RateDateFrom]]</f>
        <v>LSL3845901</v>
      </c>
      <c r="D54" s="57">
        <f>COUNTIF(PSPOINTS[Pay Scale String Duplicates],PSPOINTS[[#This Row],[Pay Scale String Duplicates]])-1</f>
        <v>0</v>
      </c>
      <c r="E54" s="57">
        <f>IF((MONTH(_xlfn.XLOOKUP(PSPOINTS[[#This Row],[PayScaleCode]],PayScales!N:N,PayScales!R:R)))=MONTH(PSPOINTS[[#This Row],[RateDateFrom]]),0,1)</f>
        <v>0</v>
      </c>
      <c r="F54" s="57">
        <f>IF(ISBLANK(PSPOINTS[[#This Row],[RateDateTo]]),0,IF(PSPOINTS[[#This Row],[RateDateFrom]]&lt;PSPOINTS[[#This Row],[RateDateTo]],0,1))</f>
        <v>0</v>
      </c>
      <c r="G54" s="57" cm="1">
        <f t="array" aca="1" ref="G54" ca="1">IF(CELL("format",PSPOINTS[[#This Row],[RateDateFrom]])="D1",0,1)+IF(CELL("format",PSPOINTS[[#This Row],[RateDateTo]])="D1",0,1)</f>
        <v>0</v>
      </c>
      <c r="H54" s="57">
        <f>IF(OR(PSPOINTS[[#This Row],[Hourly]]=TRUE,PSPOINTS[[#This Row],[Hourly]]=FALSE),IF(OR(PSPOINTS[[#This Row],[PayScalePointEnabled]]=TRUE,PSPOINTS[[#This Row],[PayScalePointEnabled]]=FALSE),0,1),1)</f>
        <v>0</v>
      </c>
      <c r="I54" s="57">
        <f>IF(LEN(PSPOINTS[[#This Row],[PayScalePointCode]])&lt;100,0,1)</f>
        <v>0</v>
      </c>
      <c r="J54" s="57">
        <f>IF(LEN(PSPOINTS[[#This Row],[PayScalePointTitle]])&lt;100,0,1)</f>
        <v>0</v>
      </c>
      <c r="K54" s="57">
        <f>(COUNTBLANK(PSPOINTS[[#This Row],[PayScalePointCode]:[RateDateFrom]])+COUNTBLANK(PSPOINTS[[#This Row],[PayScaleRate]]))</f>
        <v>0</v>
      </c>
      <c r="L54" s="112">
        <f>IF(SUBSTITUTE(TEXT(PSPOINTS[[#This Row],[PayScaleCode]],10)," ","")=TEXT(PSPOINTS[[#This Row],[PayScaleCode]],10),0,1)+IF(SUBSTITUTE(TEXT(PSPOINTS[[#This Row],[PayScalePointCode]],10)," ","")=TEXT(PSPOINTS[[#This Row],[PayScalePointCode]],10),0,1)</f>
        <v>0</v>
      </c>
      <c r="M54" s="57">
        <f ca="1">SUM(PSPOINTS[[#This Row],[Scale Point Issue]:[Space in Code]])</f>
        <v>0</v>
      </c>
      <c r="N54" s="57" t="s">
        <v>897</v>
      </c>
      <c r="P54" s="12" t="s">
        <v>1750</v>
      </c>
      <c r="Q54" s="57" t="str">
        <f>_xlfn.XLOOKUP(PSPOINTS[[#This Row],[PayScaleCode]],PayScales!N:N,PayScales!O:O)</f>
        <v>Leadership Group</v>
      </c>
      <c r="R54" s="12" t="s">
        <v>1112</v>
      </c>
      <c r="S54" s="12" t="s">
        <v>1112</v>
      </c>
      <c r="T54" s="12">
        <v>38</v>
      </c>
      <c r="U54" t="b">
        <v>0</v>
      </c>
      <c r="V54" t="b">
        <v>1</v>
      </c>
      <c r="W54" s="20">
        <v>45901</v>
      </c>
      <c r="Y54" s="14">
        <v>128447</v>
      </c>
    </row>
    <row r="55" spans="1:25" x14ac:dyDescent="0.3">
      <c r="A55" s="140" t="str">
        <f>PSPOINTS[[#This Row],[PayScaleCode]]&amp;PSPOINTS[[#This Row],[RateDateFrom]]</f>
        <v>LS45901</v>
      </c>
      <c r="B55" s="57">
        <f t="shared" si="0"/>
        <v>0</v>
      </c>
      <c r="C55" s="57" t="str">
        <f>PSPOINTS[[#This Row],[PayScaleCode]]&amp;PSPOINTS[[#This Row],[PayScalePointCode]]&amp;PSPOINTS[[#This Row],[RateDateFrom]]</f>
        <v>LSL3945901</v>
      </c>
      <c r="D55" s="57">
        <f>COUNTIF(PSPOINTS[Pay Scale String Duplicates],PSPOINTS[[#This Row],[Pay Scale String Duplicates]])-1</f>
        <v>0</v>
      </c>
      <c r="E55" s="57">
        <f>IF((MONTH(_xlfn.XLOOKUP(PSPOINTS[[#This Row],[PayScaleCode]],PayScales!N:N,PayScales!R:R)))=MONTH(PSPOINTS[[#This Row],[RateDateFrom]]),0,1)</f>
        <v>0</v>
      </c>
      <c r="F55" s="57">
        <f>IF(ISBLANK(PSPOINTS[[#This Row],[RateDateTo]]),0,IF(PSPOINTS[[#This Row],[RateDateFrom]]&lt;PSPOINTS[[#This Row],[RateDateTo]],0,1))</f>
        <v>0</v>
      </c>
      <c r="G55" s="57" cm="1">
        <f t="array" aca="1" ref="G55" ca="1">IF(CELL("format",PSPOINTS[[#This Row],[RateDateFrom]])="D1",0,1)+IF(CELL("format",PSPOINTS[[#This Row],[RateDateTo]])="D1",0,1)</f>
        <v>0</v>
      </c>
      <c r="H55" s="57">
        <f>IF(OR(PSPOINTS[[#This Row],[Hourly]]=TRUE,PSPOINTS[[#This Row],[Hourly]]=FALSE),IF(OR(PSPOINTS[[#This Row],[PayScalePointEnabled]]=TRUE,PSPOINTS[[#This Row],[PayScalePointEnabled]]=FALSE),0,1),1)</f>
        <v>0</v>
      </c>
      <c r="I55" s="57">
        <f>IF(LEN(PSPOINTS[[#This Row],[PayScalePointCode]])&lt;100,0,1)</f>
        <v>0</v>
      </c>
      <c r="J55" s="57">
        <f>IF(LEN(PSPOINTS[[#This Row],[PayScalePointTitle]])&lt;100,0,1)</f>
        <v>0</v>
      </c>
      <c r="K55" s="57">
        <f>(COUNTBLANK(PSPOINTS[[#This Row],[PayScalePointCode]:[RateDateFrom]])+COUNTBLANK(PSPOINTS[[#This Row],[PayScaleRate]]))</f>
        <v>0</v>
      </c>
      <c r="L55" s="112">
        <f>IF(SUBSTITUTE(TEXT(PSPOINTS[[#This Row],[PayScaleCode]],10)," ","")=TEXT(PSPOINTS[[#This Row],[PayScaleCode]],10),0,1)+IF(SUBSTITUTE(TEXT(PSPOINTS[[#This Row],[PayScalePointCode]],10)," ","")=TEXT(PSPOINTS[[#This Row],[PayScalePointCode]],10),0,1)</f>
        <v>0</v>
      </c>
      <c r="M55" s="57">
        <f ca="1">SUM(PSPOINTS[[#This Row],[Scale Point Issue]:[Space in Code]])</f>
        <v>0</v>
      </c>
      <c r="N55" s="57" t="s">
        <v>897</v>
      </c>
      <c r="P55" s="12" t="s">
        <v>1750</v>
      </c>
      <c r="Q55" s="57" t="str">
        <f>_xlfn.XLOOKUP(PSPOINTS[[#This Row],[PayScaleCode]],PayScales!N:N,PayScales!O:O)</f>
        <v>Leadership Group</v>
      </c>
      <c r="R55" s="12" t="s">
        <v>1113</v>
      </c>
      <c r="S55" s="12" t="s">
        <v>1113</v>
      </c>
      <c r="T55" s="12">
        <v>39</v>
      </c>
      <c r="U55" t="b">
        <v>0</v>
      </c>
      <c r="V55" t="b">
        <v>1</v>
      </c>
      <c r="W55" s="20">
        <v>45901</v>
      </c>
      <c r="Y55" s="14">
        <v>131578</v>
      </c>
    </row>
    <row r="56" spans="1:25" x14ac:dyDescent="0.3">
      <c r="A56" s="140" t="str">
        <f>PSPOINTS[[#This Row],[PayScaleCode]]&amp;PSPOINTS[[#This Row],[RateDateFrom]]</f>
        <v>LS45901</v>
      </c>
      <c r="B56" s="57">
        <f t="shared" si="0"/>
        <v>0</v>
      </c>
      <c r="C56" s="57" t="str">
        <f>PSPOINTS[[#This Row],[PayScaleCode]]&amp;PSPOINTS[[#This Row],[PayScalePointCode]]&amp;PSPOINTS[[#This Row],[RateDateFrom]]</f>
        <v>LSL4045901</v>
      </c>
      <c r="D56" s="57">
        <f>COUNTIF(PSPOINTS[Pay Scale String Duplicates],PSPOINTS[[#This Row],[Pay Scale String Duplicates]])-1</f>
        <v>0</v>
      </c>
      <c r="E56" s="57">
        <f>IF((MONTH(_xlfn.XLOOKUP(PSPOINTS[[#This Row],[PayScaleCode]],PayScales!N:N,PayScales!R:R)))=MONTH(PSPOINTS[[#This Row],[RateDateFrom]]),0,1)</f>
        <v>0</v>
      </c>
      <c r="F56" s="57">
        <f>IF(ISBLANK(PSPOINTS[[#This Row],[RateDateTo]]),0,IF(PSPOINTS[[#This Row],[RateDateFrom]]&lt;PSPOINTS[[#This Row],[RateDateTo]],0,1))</f>
        <v>0</v>
      </c>
      <c r="G56" s="57" cm="1">
        <f t="array" aca="1" ref="G56" ca="1">IF(CELL("format",PSPOINTS[[#This Row],[RateDateFrom]])="D1",0,1)+IF(CELL("format",PSPOINTS[[#This Row],[RateDateTo]])="D1",0,1)</f>
        <v>0</v>
      </c>
      <c r="H56" s="57">
        <f>IF(OR(PSPOINTS[[#This Row],[Hourly]]=TRUE,PSPOINTS[[#This Row],[Hourly]]=FALSE),IF(OR(PSPOINTS[[#This Row],[PayScalePointEnabled]]=TRUE,PSPOINTS[[#This Row],[PayScalePointEnabled]]=FALSE),0,1),1)</f>
        <v>0</v>
      </c>
      <c r="I56" s="57">
        <f>IF(LEN(PSPOINTS[[#This Row],[PayScalePointCode]])&lt;100,0,1)</f>
        <v>0</v>
      </c>
      <c r="J56" s="57">
        <f>IF(LEN(PSPOINTS[[#This Row],[PayScalePointTitle]])&lt;100,0,1)</f>
        <v>0</v>
      </c>
      <c r="K56" s="57">
        <f>(COUNTBLANK(PSPOINTS[[#This Row],[PayScalePointCode]:[RateDateFrom]])+COUNTBLANK(PSPOINTS[[#This Row],[PayScaleRate]]))</f>
        <v>0</v>
      </c>
      <c r="L56" s="112">
        <f>IF(SUBSTITUTE(TEXT(PSPOINTS[[#This Row],[PayScaleCode]],10)," ","")=TEXT(PSPOINTS[[#This Row],[PayScaleCode]],10),0,1)+IF(SUBSTITUTE(TEXT(PSPOINTS[[#This Row],[PayScalePointCode]],10)," ","")=TEXT(PSPOINTS[[#This Row],[PayScalePointCode]],10),0,1)</f>
        <v>0</v>
      </c>
      <c r="M56" s="57">
        <f ca="1">SUM(PSPOINTS[[#This Row],[Scale Point Issue]:[Space in Code]])</f>
        <v>0</v>
      </c>
      <c r="N56" s="57" t="s">
        <v>897</v>
      </c>
      <c r="P56" s="12" t="s">
        <v>1750</v>
      </c>
      <c r="Q56" s="57" t="str">
        <f>_xlfn.XLOOKUP(PSPOINTS[[#This Row],[PayScaleCode]],PayScales!N:N,PayScales!O:O)</f>
        <v>Leadership Group</v>
      </c>
      <c r="R56" s="12" t="s">
        <v>1114</v>
      </c>
      <c r="S56" s="12" t="s">
        <v>1114</v>
      </c>
      <c r="T56" s="12">
        <v>40</v>
      </c>
      <c r="U56" t="b">
        <v>0</v>
      </c>
      <c r="V56" t="b">
        <v>1</v>
      </c>
      <c r="W56" s="20">
        <v>45901</v>
      </c>
      <c r="Y56" s="14">
        <v>134860</v>
      </c>
    </row>
    <row r="57" spans="1:25" x14ac:dyDescent="0.3">
      <c r="A57" s="140" t="str">
        <f>PSPOINTS[[#This Row],[PayScaleCode]]&amp;PSPOINTS[[#This Row],[RateDateFrom]]</f>
        <v>LS45901</v>
      </c>
      <c r="B57" s="57">
        <f t="shared" si="0"/>
        <v>0</v>
      </c>
      <c r="C57" s="57" t="str">
        <f>PSPOINTS[[#This Row],[PayScaleCode]]&amp;PSPOINTS[[#This Row],[PayScalePointCode]]&amp;PSPOINTS[[#This Row],[RateDateFrom]]</f>
        <v>LSL4145901</v>
      </c>
      <c r="D57" s="57">
        <f>COUNTIF(PSPOINTS[Pay Scale String Duplicates],PSPOINTS[[#This Row],[Pay Scale String Duplicates]])-1</f>
        <v>0</v>
      </c>
      <c r="E57" s="57">
        <f>IF((MONTH(_xlfn.XLOOKUP(PSPOINTS[[#This Row],[PayScaleCode]],PayScales!N:N,PayScales!R:R)))=MONTH(PSPOINTS[[#This Row],[RateDateFrom]]),0,1)</f>
        <v>0</v>
      </c>
      <c r="F57" s="57">
        <f>IF(ISBLANK(PSPOINTS[[#This Row],[RateDateTo]]),0,IF(PSPOINTS[[#This Row],[RateDateFrom]]&lt;PSPOINTS[[#This Row],[RateDateTo]],0,1))</f>
        <v>0</v>
      </c>
      <c r="G57" s="57" cm="1">
        <f t="array" aca="1" ref="G57" ca="1">IF(CELL("format",PSPOINTS[[#This Row],[RateDateFrom]])="D1",0,1)+IF(CELL("format",PSPOINTS[[#This Row],[RateDateTo]])="D1",0,1)</f>
        <v>0</v>
      </c>
      <c r="H57" s="57">
        <f>IF(OR(PSPOINTS[[#This Row],[Hourly]]=TRUE,PSPOINTS[[#This Row],[Hourly]]=FALSE),IF(OR(PSPOINTS[[#This Row],[PayScalePointEnabled]]=TRUE,PSPOINTS[[#This Row],[PayScalePointEnabled]]=FALSE),0,1),1)</f>
        <v>0</v>
      </c>
      <c r="I57" s="57">
        <f>IF(LEN(PSPOINTS[[#This Row],[PayScalePointCode]])&lt;100,0,1)</f>
        <v>0</v>
      </c>
      <c r="J57" s="57">
        <f>IF(LEN(PSPOINTS[[#This Row],[PayScalePointTitle]])&lt;100,0,1)</f>
        <v>0</v>
      </c>
      <c r="K57" s="57">
        <f>(COUNTBLANK(PSPOINTS[[#This Row],[PayScalePointCode]:[RateDateFrom]])+COUNTBLANK(PSPOINTS[[#This Row],[PayScaleRate]]))</f>
        <v>0</v>
      </c>
      <c r="L57" s="112">
        <f>IF(SUBSTITUTE(TEXT(PSPOINTS[[#This Row],[PayScaleCode]],10)," ","")=TEXT(PSPOINTS[[#This Row],[PayScaleCode]],10),0,1)+IF(SUBSTITUTE(TEXT(PSPOINTS[[#This Row],[PayScalePointCode]],10)," ","")=TEXT(PSPOINTS[[#This Row],[PayScalePointCode]],10),0,1)</f>
        <v>0</v>
      </c>
      <c r="M57" s="57">
        <f ca="1">SUM(PSPOINTS[[#This Row],[Scale Point Issue]:[Space in Code]])</f>
        <v>0</v>
      </c>
      <c r="N57" s="57" t="s">
        <v>897</v>
      </c>
      <c r="P57" s="12" t="s">
        <v>1750</v>
      </c>
      <c r="Q57" s="57" t="str">
        <f>_xlfn.XLOOKUP(PSPOINTS[[#This Row],[PayScaleCode]],PayScales!N:N,PayScales!O:O)</f>
        <v>Leadership Group</v>
      </c>
      <c r="R57" s="12" t="s">
        <v>1115</v>
      </c>
      <c r="S57" s="12" t="s">
        <v>1115</v>
      </c>
      <c r="T57" s="12">
        <v>41</v>
      </c>
      <c r="U57" t="b">
        <v>0</v>
      </c>
      <c r="V57" t="b">
        <v>1</v>
      </c>
      <c r="W57" s="20">
        <v>45901</v>
      </c>
      <c r="Y57" s="14">
        <v>138230</v>
      </c>
    </row>
    <row r="58" spans="1:25" x14ac:dyDescent="0.3">
      <c r="A58" s="140" t="str">
        <f>PSPOINTS[[#This Row],[PayScaleCode]]&amp;PSPOINTS[[#This Row],[RateDateFrom]]</f>
        <v>LS45901</v>
      </c>
      <c r="B58" s="57">
        <f t="shared" si="0"/>
        <v>0</v>
      </c>
      <c r="C58" s="57" t="str">
        <f>PSPOINTS[[#This Row],[PayScaleCode]]&amp;PSPOINTS[[#This Row],[PayScalePointCode]]&amp;PSPOINTS[[#This Row],[RateDateFrom]]</f>
        <v>LSL4245901</v>
      </c>
      <c r="D58" s="57">
        <f>COUNTIF(PSPOINTS[Pay Scale String Duplicates],PSPOINTS[[#This Row],[Pay Scale String Duplicates]])-1</f>
        <v>0</v>
      </c>
      <c r="E58" s="57">
        <f>IF((MONTH(_xlfn.XLOOKUP(PSPOINTS[[#This Row],[PayScaleCode]],PayScales!N:N,PayScales!R:R)))=MONTH(PSPOINTS[[#This Row],[RateDateFrom]]),0,1)</f>
        <v>0</v>
      </c>
      <c r="F58" s="57">
        <f>IF(ISBLANK(PSPOINTS[[#This Row],[RateDateTo]]),0,IF(PSPOINTS[[#This Row],[RateDateFrom]]&lt;PSPOINTS[[#This Row],[RateDateTo]],0,1))</f>
        <v>0</v>
      </c>
      <c r="G58" s="57" cm="1">
        <f t="array" aca="1" ref="G58" ca="1">IF(CELL("format",PSPOINTS[[#This Row],[RateDateFrom]])="D1",0,1)+IF(CELL("format",PSPOINTS[[#This Row],[RateDateTo]])="D1",0,1)</f>
        <v>0</v>
      </c>
      <c r="H58" s="57">
        <f>IF(OR(PSPOINTS[[#This Row],[Hourly]]=TRUE,PSPOINTS[[#This Row],[Hourly]]=FALSE),IF(OR(PSPOINTS[[#This Row],[PayScalePointEnabled]]=TRUE,PSPOINTS[[#This Row],[PayScalePointEnabled]]=FALSE),0,1),1)</f>
        <v>0</v>
      </c>
      <c r="I58" s="57">
        <f>IF(LEN(PSPOINTS[[#This Row],[PayScalePointCode]])&lt;100,0,1)</f>
        <v>0</v>
      </c>
      <c r="J58" s="57">
        <f>IF(LEN(PSPOINTS[[#This Row],[PayScalePointTitle]])&lt;100,0,1)</f>
        <v>0</v>
      </c>
      <c r="K58" s="57">
        <f>(COUNTBLANK(PSPOINTS[[#This Row],[PayScalePointCode]:[RateDateFrom]])+COUNTBLANK(PSPOINTS[[#This Row],[PayScaleRate]]))</f>
        <v>0</v>
      </c>
      <c r="L58" s="112">
        <f>IF(SUBSTITUTE(TEXT(PSPOINTS[[#This Row],[PayScaleCode]],10)," ","")=TEXT(PSPOINTS[[#This Row],[PayScaleCode]],10),0,1)+IF(SUBSTITUTE(TEXT(PSPOINTS[[#This Row],[PayScalePointCode]],10)," ","")=TEXT(PSPOINTS[[#This Row],[PayScalePointCode]],10),0,1)</f>
        <v>0</v>
      </c>
      <c r="M58" s="57">
        <f ca="1">SUM(PSPOINTS[[#This Row],[Scale Point Issue]:[Space in Code]])</f>
        <v>0</v>
      </c>
      <c r="N58" s="57" t="s">
        <v>897</v>
      </c>
      <c r="P58" s="12" t="s">
        <v>1750</v>
      </c>
      <c r="Q58" s="57" t="str">
        <f>_xlfn.XLOOKUP(PSPOINTS[[#This Row],[PayScaleCode]],PayScales!N:N,PayScales!O:O)</f>
        <v>Leadership Group</v>
      </c>
      <c r="R58" s="12" t="s">
        <v>1116</v>
      </c>
      <c r="S58" s="12" t="s">
        <v>1116</v>
      </c>
      <c r="T58" s="12">
        <v>42</v>
      </c>
      <c r="U58" t="b">
        <v>0</v>
      </c>
      <c r="V58" t="b">
        <v>1</v>
      </c>
      <c r="W58" s="20">
        <v>45901</v>
      </c>
      <c r="Y58" s="14">
        <v>141693</v>
      </c>
    </row>
    <row r="59" spans="1:25" x14ac:dyDescent="0.3">
      <c r="A59" s="140" t="str">
        <f>PSPOINTS[[#This Row],[PayScaleCode]]&amp;PSPOINTS[[#This Row],[RateDateFrom]]</f>
        <v>LS45901</v>
      </c>
      <c r="B59" s="57">
        <f t="shared" si="0"/>
        <v>0</v>
      </c>
      <c r="C59" s="57" t="str">
        <f>PSPOINTS[[#This Row],[PayScaleCode]]&amp;PSPOINTS[[#This Row],[PayScalePointCode]]&amp;PSPOINTS[[#This Row],[RateDateFrom]]</f>
        <v>LSL4345901</v>
      </c>
      <c r="D59" s="57">
        <f>COUNTIF(PSPOINTS[Pay Scale String Duplicates],PSPOINTS[[#This Row],[Pay Scale String Duplicates]])-1</f>
        <v>0</v>
      </c>
      <c r="E59" s="57">
        <f>IF((MONTH(_xlfn.XLOOKUP(PSPOINTS[[#This Row],[PayScaleCode]],PayScales!N:N,PayScales!R:R)))=MONTH(PSPOINTS[[#This Row],[RateDateFrom]]),0,1)</f>
        <v>0</v>
      </c>
      <c r="F59" s="57">
        <f>IF(ISBLANK(PSPOINTS[[#This Row],[RateDateTo]]),0,IF(PSPOINTS[[#This Row],[RateDateFrom]]&lt;PSPOINTS[[#This Row],[RateDateTo]],0,1))</f>
        <v>0</v>
      </c>
      <c r="G59" s="57" cm="1">
        <f t="array" aca="1" ref="G59" ca="1">IF(CELL("format",PSPOINTS[[#This Row],[RateDateFrom]])="D1",0,1)+IF(CELL("format",PSPOINTS[[#This Row],[RateDateTo]])="D1",0,1)</f>
        <v>0</v>
      </c>
      <c r="H59" s="57">
        <f>IF(OR(PSPOINTS[[#This Row],[Hourly]]=TRUE,PSPOINTS[[#This Row],[Hourly]]=FALSE),IF(OR(PSPOINTS[[#This Row],[PayScalePointEnabled]]=TRUE,PSPOINTS[[#This Row],[PayScalePointEnabled]]=FALSE),0,1),1)</f>
        <v>0</v>
      </c>
      <c r="I59" s="57">
        <f>IF(LEN(PSPOINTS[[#This Row],[PayScalePointCode]])&lt;100,0,1)</f>
        <v>0</v>
      </c>
      <c r="J59" s="57">
        <f>IF(LEN(PSPOINTS[[#This Row],[PayScalePointTitle]])&lt;100,0,1)</f>
        <v>0</v>
      </c>
      <c r="K59" s="57">
        <f>(COUNTBLANK(PSPOINTS[[#This Row],[PayScalePointCode]:[RateDateFrom]])+COUNTBLANK(PSPOINTS[[#This Row],[PayScaleRate]]))</f>
        <v>0</v>
      </c>
      <c r="L59" s="112">
        <f>IF(SUBSTITUTE(TEXT(PSPOINTS[[#This Row],[PayScaleCode]],10)," ","")=TEXT(PSPOINTS[[#This Row],[PayScaleCode]],10),0,1)+IF(SUBSTITUTE(TEXT(PSPOINTS[[#This Row],[PayScalePointCode]],10)," ","")=TEXT(PSPOINTS[[#This Row],[PayScalePointCode]],10),0,1)</f>
        <v>0</v>
      </c>
      <c r="M59" s="57">
        <f ca="1">SUM(PSPOINTS[[#This Row],[Scale Point Issue]:[Space in Code]])</f>
        <v>0</v>
      </c>
      <c r="N59" s="57" t="s">
        <v>897</v>
      </c>
      <c r="P59" s="12" t="s">
        <v>1750</v>
      </c>
      <c r="Q59" s="57" t="str">
        <f>_xlfn.XLOOKUP(PSPOINTS[[#This Row],[PayScaleCode]],PayScales!N:N,PayScales!O:O)</f>
        <v>Leadership Group</v>
      </c>
      <c r="R59" s="12" t="s">
        <v>1117</v>
      </c>
      <c r="S59" s="12" t="s">
        <v>1117</v>
      </c>
      <c r="T59" s="12">
        <v>43</v>
      </c>
      <c r="U59" t="b">
        <v>0</v>
      </c>
      <c r="V59" t="b">
        <v>1</v>
      </c>
      <c r="W59" s="20">
        <v>45901</v>
      </c>
      <c r="Y59" s="14">
        <v>143796</v>
      </c>
    </row>
    <row r="60" spans="1:25" x14ac:dyDescent="0.3">
      <c r="A60" s="140" t="str">
        <f>PSPOINTS[[#This Row],[PayScaleCode]]&amp;PSPOINTS[[#This Row],[RateDateFrom]]</f>
        <v>CEO45901</v>
      </c>
      <c r="B60" s="57">
        <f>IF(A60=A59,SUM(T60-T59)-1,T60-1)</f>
        <v>0</v>
      </c>
      <c r="C60" s="57" t="str">
        <f>PSPOINTS[[#This Row],[PayScaleCode]]&amp;PSPOINTS[[#This Row],[PayScalePointCode]]&amp;PSPOINTS[[#This Row],[RateDateFrom]]</f>
        <v>CEOL0145901</v>
      </c>
      <c r="D60" s="57">
        <f>COUNTIF(PSPOINTS[Pay Scale String Duplicates],PSPOINTS[[#This Row],[Pay Scale String Duplicates]])-1</f>
        <v>0</v>
      </c>
      <c r="E60" s="57">
        <f>IF((MONTH(_xlfn.XLOOKUP(PSPOINTS[[#This Row],[PayScaleCode]],PayScales!N:N,PayScales!R:R)))=MONTH(PSPOINTS[[#This Row],[RateDateFrom]]),0,1)</f>
        <v>0</v>
      </c>
      <c r="F60" s="57">
        <f>IF(ISBLANK(PSPOINTS[[#This Row],[RateDateTo]]),0,IF(PSPOINTS[[#This Row],[RateDateFrom]]&lt;PSPOINTS[[#This Row],[RateDateTo]],0,1))</f>
        <v>0</v>
      </c>
      <c r="G60" s="57" cm="1">
        <f t="array" aca="1" ref="G60" ca="1">IF(CELL("format",PSPOINTS[[#This Row],[RateDateFrom]])="D1",0,1)+IF(CELL("format",PSPOINTS[[#This Row],[RateDateTo]])="D1",0,1)</f>
        <v>0</v>
      </c>
      <c r="H60" s="57">
        <f>IF(OR(PSPOINTS[[#This Row],[Hourly]]=TRUE,PSPOINTS[[#This Row],[Hourly]]=FALSE),IF(OR(PSPOINTS[[#This Row],[PayScalePointEnabled]]=TRUE,PSPOINTS[[#This Row],[PayScalePointEnabled]]=FALSE),0,1),1)</f>
        <v>0</v>
      </c>
      <c r="I60" s="57">
        <f>IF(LEN(PSPOINTS[[#This Row],[PayScalePointCode]])&lt;100,0,1)</f>
        <v>0</v>
      </c>
      <c r="J60" s="57">
        <f>IF(LEN(PSPOINTS[[#This Row],[PayScalePointTitle]])&lt;100,0,1)</f>
        <v>0</v>
      </c>
      <c r="K60" s="57">
        <f>(COUNTBLANK(PSPOINTS[[#This Row],[PayScalePointCode]:[RateDateFrom]])+COUNTBLANK(PSPOINTS[[#This Row],[PayScaleRate]]))</f>
        <v>0</v>
      </c>
      <c r="L60" s="112">
        <f>IF(SUBSTITUTE(TEXT(PSPOINTS[[#This Row],[PayScaleCode]],10)," ","")=TEXT(PSPOINTS[[#This Row],[PayScaleCode]],10),0,1)+IF(SUBSTITUTE(TEXT(PSPOINTS[[#This Row],[PayScalePointCode]],10)," ","")=TEXT(PSPOINTS[[#This Row],[PayScalePointCode]],10),0,1)</f>
        <v>0</v>
      </c>
      <c r="M60" s="57">
        <f ca="1">SUM(PSPOINTS[[#This Row],[Scale Point Issue]:[Space in Code]])</f>
        <v>0</v>
      </c>
      <c r="N60" s="57" t="s">
        <v>897</v>
      </c>
      <c r="P60" s="12" t="s">
        <v>1220</v>
      </c>
      <c r="Q60" s="57" t="str">
        <f>_xlfn.XLOOKUP(PSPOINTS[[#This Row],[PayScaleCode]],PayScales!N:N,PayScales!O:O)</f>
        <v>CEO Scale</v>
      </c>
      <c r="R60" s="12" t="s">
        <v>1075</v>
      </c>
      <c r="S60" s="12" t="s">
        <v>1075</v>
      </c>
      <c r="T60" s="12">
        <v>1</v>
      </c>
      <c r="U60" t="b">
        <v>0</v>
      </c>
      <c r="V60" t="b">
        <v>1</v>
      </c>
      <c r="W60" s="20">
        <v>45901</v>
      </c>
      <c r="Y60" s="14">
        <v>147432</v>
      </c>
    </row>
    <row r="61" spans="1:25" x14ac:dyDescent="0.3">
      <c r="A61" s="140" t="str">
        <f>PSPOINTS[[#This Row],[PayScaleCode]]&amp;PSPOINTS[[#This Row],[RateDateFrom]]</f>
        <v>CEO45901</v>
      </c>
      <c r="B61" s="57">
        <f t="shared" ref="B61:B107" si="1">IF(A61=A60,SUM(T61-T60)-1,T61-1)</f>
        <v>0</v>
      </c>
      <c r="C61" s="57" t="str">
        <f>PSPOINTS[[#This Row],[PayScaleCode]]&amp;PSPOINTS[[#This Row],[PayScalePointCode]]&amp;PSPOINTS[[#This Row],[RateDateFrom]]</f>
        <v>CEOL0245901</v>
      </c>
      <c r="D61" s="57">
        <f>COUNTIF(PSPOINTS[Pay Scale String Duplicates],PSPOINTS[[#This Row],[Pay Scale String Duplicates]])-1</f>
        <v>0</v>
      </c>
      <c r="E61" s="57">
        <f>IF((MONTH(_xlfn.XLOOKUP(PSPOINTS[[#This Row],[PayScaleCode]],PayScales!N:N,PayScales!R:R)))=MONTH(PSPOINTS[[#This Row],[RateDateFrom]]),0,1)</f>
        <v>0</v>
      </c>
      <c r="F61" s="57">
        <f>IF(ISBLANK(PSPOINTS[[#This Row],[RateDateTo]]),0,IF(PSPOINTS[[#This Row],[RateDateFrom]]&lt;PSPOINTS[[#This Row],[RateDateTo]],0,1))</f>
        <v>0</v>
      </c>
      <c r="G61" s="57" cm="1">
        <f t="array" aca="1" ref="G61" ca="1">IF(CELL("format",PSPOINTS[[#This Row],[RateDateFrom]])="D1",0,1)+IF(CELL("format",PSPOINTS[[#This Row],[RateDateTo]])="D1",0,1)</f>
        <v>0</v>
      </c>
      <c r="H61" s="57">
        <f>IF(OR(PSPOINTS[[#This Row],[Hourly]]=TRUE,PSPOINTS[[#This Row],[Hourly]]=FALSE),IF(OR(PSPOINTS[[#This Row],[PayScalePointEnabled]]=TRUE,PSPOINTS[[#This Row],[PayScalePointEnabled]]=FALSE),0,1),1)</f>
        <v>0</v>
      </c>
      <c r="I61" s="57">
        <f>IF(LEN(PSPOINTS[[#This Row],[PayScalePointCode]])&lt;100,0,1)</f>
        <v>0</v>
      </c>
      <c r="J61" s="57">
        <f>IF(LEN(PSPOINTS[[#This Row],[PayScalePointTitle]])&lt;100,0,1)</f>
        <v>0</v>
      </c>
      <c r="K61" s="57">
        <f>(COUNTBLANK(PSPOINTS[[#This Row],[PayScalePointCode]:[RateDateFrom]])+COUNTBLANK(PSPOINTS[[#This Row],[PayScaleRate]]))</f>
        <v>0</v>
      </c>
      <c r="L61" s="112">
        <f>IF(SUBSTITUTE(TEXT(PSPOINTS[[#This Row],[PayScaleCode]],10)," ","")=TEXT(PSPOINTS[[#This Row],[PayScaleCode]],10),0,1)+IF(SUBSTITUTE(TEXT(PSPOINTS[[#This Row],[PayScalePointCode]],10)," ","")=TEXT(PSPOINTS[[#This Row],[PayScalePointCode]],10),0,1)</f>
        <v>0</v>
      </c>
      <c r="M61" s="57">
        <f ca="1">SUM(PSPOINTS[[#This Row],[Scale Point Issue]:[Space in Code]])</f>
        <v>0</v>
      </c>
      <c r="N61" s="57" t="s">
        <v>897</v>
      </c>
      <c r="P61" s="12" t="s">
        <v>1220</v>
      </c>
      <c r="Q61" s="57" t="str">
        <f>_xlfn.XLOOKUP(PSPOINTS[[#This Row],[PayScaleCode]],PayScales!N:N,PayScales!O:O)</f>
        <v>CEO Scale</v>
      </c>
      <c r="R61" s="12" t="s">
        <v>1076</v>
      </c>
      <c r="S61" s="12" t="s">
        <v>1076</v>
      </c>
      <c r="T61" s="12">
        <v>2</v>
      </c>
      <c r="U61" t="b">
        <v>0</v>
      </c>
      <c r="V61" t="b">
        <v>1</v>
      </c>
      <c r="W61" s="20">
        <v>45901</v>
      </c>
      <c r="Y61" s="14">
        <v>149432</v>
      </c>
    </row>
    <row r="62" spans="1:25" x14ac:dyDescent="0.3">
      <c r="A62" s="140" t="str">
        <f>PSPOINTS[[#This Row],[PayScaleCode]]&amp;PSPOINTS[[#This Row],[RateDateFrom]]</f>
        <v>CEO45901</v>
      </c>
      <c r="B62" s="57">
        <f t="shared" si="1"/>
        <v>0</v>
      </c>
      <c r="C62" s="57" t="str">
        <f>PSPOINTS[[#This Row],[PayScaleCode]]&amp;PSPOINTS[[#This Row],[PayScalePointCode]]&amp;PSPOINTS[[#This Row],[RateDateFrom]]</f>
        <v>CEOL0345901</v>
      </c>
      <c r="D62" s="57">
        <f>COUNTIF(PSPOINTS[Pay Scale String Duplicates],PSPOINTS[[#This Row],[Pay Scale String Duplicates]])-1</f>
        <v>0</v>
      </c>
      <c r="E62" s="57">
        <f>IF((MONTH(_xlfn.XLOOKUP(PSPOINTS[[#This Row],[PayScaleCode]],PayScales!N:N,PayScales!R:R)))=MONTH(PSPOINTS[[#This Row],[RateDateFrom]]),0,1)</f>
        <v>0</v>
      </c>
      <c r="F62" s="57">
        <f>IF(ISBLANK(PSPOINTS[[#This Row],[RateDateTo]]),0,IF(PSPOINTS[[#This Row],[RateDateFrom]]&lt;PSPOINTS[[#This Row],[RateDateTo]],0,1))</f>
        <v>0</v>
      </c>
      <c r="G62" s="57" cm="1">
        <f t="array" aca="1" ref="G62" ca="1">IF(CELL("format",PSPOINTS[[#This Row],[RateDateFrom]])="D1",0,1)+IF(CELL("format",PSPOINTS[[#This Row],[RateDateTo]])="D1",0,1)</f>
        <v>0</v>
      </c>
      <c r="H62" s="57">
        <f>IF(OR(PSPOINTS[[#This Row],[Hourly]]=TRUE,PSPOINTS[[#This Row],[Hourly]]=FALSE),IF(OR(PSPOINTS[[#This Row],[PayScalePointEnabled]]=TRUE,PSPOINTS[[#This Row],[PayScalePointEnabled]]=FALSE),0,1),1)</f>
        <v>0</v>
      </c>
      <c r="I62" s="57">
        <f>IF(LEN(PSPOINTS[[#This Row],[PayScalePointCode]])&lt;100,0,1)</f>
        <v>0</v>
      </c>
      <c r="J62" s="57">
        <f>IF(LEN(PSPOINTS[[#This Row],[PayScalePointTitle]])&lt;100,0,1)</f>
        <v>0</v>
      </c>
      <c r="K62" s="57">
        <f>(COUNTBLANK(PSPOINTS[[#This Row],[PayScalePointCode]:[RateDateFrom]])+COUNTBLANK(PSPOINTS[[#This Row],[PayScaleRate]]))</f>
        <v>0</v>
      </c>
      <c r="L62" s="112">
        <f>IF(SUBSTITUTE(TEXT(PSPOINTS[[#This Row],[PayScaleCode]],10)," ","")=TEXT(PSPOINTS[[#This Row],[PayScaleCode]],10),0,1)+IF(SUBSTITUTE(TEXT(PSPOINTS[[#This Row],[PayScalePointCode]],10)," ","")=TEXT(PSPOINTS[[#This Row],[PayScalePointCode]],10),0,1)</f>
        <v>0</v>
      </c>
      <c r="M62" s="57">
        <f ca="1">SUM(PSPOINTS[[#This Row],[Scale Point Issue]:[Space in Code]])</f>
        <v>0</v>
      </c>
      <c r="N62" s="57" t="s">
        <v>897</v>
      </c>
      <c r="P62" s="12" t="s">
        <v>1220</v>
      </c>
      <c r="Q62" s="57" t="str">
        <f>_xlfn.XLOOKUP(PSPOINTS[[#This Row],[PayScaleCode]],PayScales!N:N,PayScales!O:O)</f>
        <v>CEO Scale</v>
      </c>
      <c r="R62" s="12" t="s">
        <v>1077</v>
      </c>
      <c r="S62" s="12" t="s">
        <v>1077</v>
      </c>
      <c r="T62" s="12">
        <v>3</v>
      </c>
      <c r="U62" t="b">
        <v>0</v>
      </c>
      <c r="V62" t="b">
        <v>1</v>
      </c>
      <c r="W62" s="20">
        <v>45901</v>
      </c>
      <c r="Y62" s="14">
        <v>151432</v>
      </c>
    </row>
    <row r="63" spans="1:25" x14ac:dyDescent="0.3">
      <c r="A63" s="140" t="str">
        <f>PSPOINTS[[#This Row],[PayScaleCode]]&amp;PSPOINTS[[#This Row],[RateDateFrom]]</f>
        <v>CEO45901</v>
      </c>
      <c r="B63" s="57">
        <f t="shared" si="1"/>
        <v>0</v>
      </c>
      <c r="C63" s="57" t="str">
        <f>PSPOINTS[[#This Row],[PayScaleCode]]&amp;PSPOINTS[[#This Row],[PayScalePointCode]]&amp;PSPOINTS[[#This Row],[RateDateFrom]]</f>
        <v>CEOL0445901</v>
      </c>
      <c r="D63" s="57">
        <f>COUNTIF(PSPOINTS[Pay Scale String Duplicates],PSPOINTS[[#This Row],[Pay Scale String Duplicates]])-1</f>
        <v>0</v>
      </c>
      <c r="E63" s="57">
        <f>IF((MONTH(_xlfn.XLOOKUP(PSPOINTS[[#This Row],[PayScaleCode]],PayScales!N:N,PayScales!R:R)))=MONTH(PSPOINTS[[#This Row],[RateDateFrom]]),0,1)</f>
        <v>0</v>
      </c>
      <c r="F63" s="57">
        <f>IF(ISBLANK(PSPOINTS[[#This Row],[RateDateTo]]),0,IF(PSPOINTS[[#This Row],[RateDateFrom]]&lt;PSPOINTS[[#This Row],[RateDateTo]],0,1))</f>
        <v>0</v>
      </c>
      <c r="G63" s="57" cm="1">
        <f t="array" aca="1" ref="G63" ca="1">IF(CELL("format",PSPOINTS[[#This Row],[RateDateFrom]])="D1",0,1)+IF(CELL("format",PSPOINTS[[#This Row],[RateDateTo]])="D1",0,1)</f>
        <v>0</v>
      </c>
      <c r="H63" s="57">
        <f>IF(OR(PSPOINTS[[#This Row],[Hourly]]=TRUE,PSPOINTS[[#This Row],[Hourly]]=FALSE),IF(OR(PSPOINTS[[#This Row],[PayScalePointEnabled]]=TRUE,PSPOINTS[[#This Row],[PayScalePointEnabled]]=FALSE),0,1),1)</f>
        <v>0</v>
      </c>
      <c r="I63" s="57">
        <f>IF(LEN(PSPOINTS[[#This Row],[PayScalePointCode]])&lt;100,0,1)</f>
        <v>0</v>
      </c>
      <c r="J63" s="57">
        <f>IF(LEN(PSPOINTS[[#This Row],[PayScalePointTitle]])&lt;100,0,1)</f>
        <v>0</v>
      </c>
      <c r="K63" s="57">
        <f>(COUNTBLANK(PSPOINTS[[#This Row],[PayScalePointCode]:[RateDateFrom]])+COUNTBLANK(PSPOINTS[[#This Row],[PayScaleRate]]))</f>
        <v>0</v>
      </c>
      <c r="L63" s="112">
        <f>IF(SUBSTITUTE(TEXT(PSPOINTS[[#This Row],[PayScaleCode]],10)," ","")=TEXT(PSPOINTS[[#This Row],[PayScaleCode]],10),0,1)+IF(SUBSTITUTE(TEXT(PSPOINTS[[#This Row],[PayScalePointCode]],10)," ","")=TEXT(PSPOINTS[[#This Row],[PayScalePointCode]],10),0,1)</f>
        <v>0</v>
      </c>
      <c r="M63" s="57">
        <f ca="1">SUM(PSPOINTS[[#This Row],[Scale Point Issue]:[Space in Code]])</f>
        <v>0</v>
      </c>
      <c r="N63" s="57" t="s">
        <v>897</v>
      </c>
      <c r="P63" s="12" t="s">
        <v>1220</v>
      </c>
      <c r="Q63" s="57" t="str">
        <f>_xlfn.XLOOKUP(PSPOINTS[[#This Row],[PayScaleCode]],PayScales!N:N,PayScales!O:O)</f>
        <v>CEO Scale</v>
      </c>
      <c r="R63" s="12" t="s">
        <v>1078</v>
      </c>
      <c r="S63" s="12" t="s">
        <v>1078</v>
      </c>
      <c r="T63" s="12">
        <v>4</v>
      </c>
      <c r="U63" t="b">
        <v>0</v>
      </c>
      <c r="V63" t="b">
        <v>1</v>
      </c>
      <c r="W63" s="20">
        <v>45901</v>
      </c>
      <c r="Y63" s="14">
        <v>153432</v>
      </c>
    </row>
    <row r="64" spans="1:25" x14ac:dyDescent="0.3">
      <c r="A64" s="140" t="str">
        <f>PSPOINTS[[#This Row],[PayScaleCode]]&amp;PSPOINTS[[#This Row],[RateDateFrom]]</f>
        <v>CEO45901</v>
      </c>
      <c r="B64" s="57">
        <f t="shared" si="1"/>
        <v>0</v>
      </c>
      <c r="C64" s="57" t="str">
        <f>PSPOINTS[[#This Row],[PayScaleCode]]&amp;PSPOINTS[[#This Row],[PayScalePointCode]]&amp;PSPOINTS[[#This Row],[RateDateFrom]]</f>
        <v>CEOL0545901</v>
      </c>
      <c r="D64" s="57">
        <f>COUNTIF(PSPOINTS[Pay Scale String Duplicates],PSPOINTS[[#This Row],[Pay Scale String Duplicates]])-1</f>
        <v>0</v>
      </c>
      <c r="E64" s="57">
        <f>IF((MONTH(_xlfn.XLOOKUP(PSPOINTS[[#This Row],[PayScaleCode]],PayScales!N:N,PayScales!R:R)))=MONTH(PSPOINTS[[#This Row],[RateDateFrom]]),0,1)</f>
        <v>0</v>
      </c>
      <c r="F64" s="57">
        <f>IF(ISBLANK(PSPOINTS[[#This Row],[RateDateTo]]),0,IF(PSPOINTS[[#This Row],[RateDateFrom]]&lt;PSPOINTS[[#This Row],[RateDateTo]],0,1))</f>
        <v>0</v>
      </c>
      <c r="G64" s="57" cm="1">
        <f t="array" aca="1" ref="G64" ca="1">IF(CELL("format",PSPOINTS[[#This Row],[RateDateFrom]])="D1",0,1)+IF(CELL("format",PSPOINTS[[#This Row],[RateDateTo]])="D1",0,1)</f>
        <v>0</v>
      </c>
      <c r="H64" s="57">
        <f>IF(OR(PSPOINTS[[#This Row],[Hourly]]=TRUE,PSPOINTS[[#This Row],[Hourly]]=FALSE),IF(OR(PSPOINTS[[#This Row],[PayScalePointEnabled]]=TRUE,PSPOINTS[[#This Row],[PayScalePointEnabled]]=FALSE),0,1),1)</f>
        <v>0</v>
      </c>
      <c r="I64" s="57">
        <f>IF(LEN(PSPOINTS[[#This Row],[PayScalePointCode]])&lt;100,0,1)</f>
        <v>0</v>
      </c>
      <c r="J64" s="57">
        <f>IF(LEN(PSPOINTS[[#This Row],[PayScalePointTitle]])&lt;100,0,1)</f>
        <v>0</v>
      </c>
      <c r="K64" s="57">
        <f>(COUNTBLANK(PSPOINTS[[#This Row],[PayScalePointCode]:[RateDateFrom]])+COUNTBLANK(PSPOINTS[[#This Row],[PayScaleRate]]))</f>
        <v>0</v>
      </c>
      <c r="L64" s="112">
        <f>IF(SUBSTITUTE(TEXT(PSPOINTS[[#This Row],[PayScaleCode]],10)," ","")=TEXT(PSPOINTS[[#This Row],[PayScaleCode]],10),0,1)+IF(SUBSTITUTE(TEXT(PSPOINTS[[#This Row],[PayScalePointCode]],10)," ","")=TEXT(PSPOINTS[[#This Row],[PayScalePointCode]],10),0,1)</f>
        <v>0</v>
      </c>
      <c r="M64" s="57">
        <f ca="1">SUM(PSPOINTS[[#This Row],[Scale Point Issue]:[Space in Code]])</f>
        <v>0</v>
      </c>
      <c r="N64" s="57" t="s">
        <v>897</v>
      </c>
      <c r="P64" s="12" t="s">
        <v>1220</v>
      </c>
      <c r="Q64" s="57" t="str">
        <f>_xlfn.XLOOKUP(PSPOINTS[[#This Row],[PayScaleCode]],PayScales!N:N,PayScales!O:O)</f>
        <v>CEO Scale</v>
      </c>
      <c r="R64" s="12" t="s">
        <v>1079</v>
      </c>
      <c r="S64" s="12" t="s">
        <v>1079</v>
      </c>
      <c r="T64" s="12">
        <v>5</v>
      </c>
      <c r="U64" t="b">
        <v>0</v>
      </c>
      <c r="V64" t="b">
        <v>1</v>
      </c>
      <c r="W64" s="20">
        <v>45901</v>
      </c>
      <c r="Y64" s="14">
        <v>155432</v>
      </c>
    </row>
    <row r="65" spans="1:25" x14ac:dyDescent="0.3">
      <c r="A65" s="140" t="str">
        <f>PSPOINTS[[#This Row],[PayScaleCode]]&amp;PSPOINTS[[#This Row],[RateDateFrom]]</f>
        <v>NJC_CHE45748</v>
      </c>
      <c r="B65" s="57">
        <f t="shared" si="1"/>
        <v>0</v>
      </c>
      <c r="C65" s="57" t="str">
        <f>PSPOINTS[[#This Row],[PayScaleCode]]&amp;PSPOINTS[[#This Row],[PayScalePointCode]]&amp;PSPOINTS[[#This Row],[RateDateFrom]]</f>
        <v>NJC_CHE145748</v>
      </c>
      <c r="D65" s="57">
        <f>COUNTIF(PSPOINTS[Pay Scale String Duplicates],PSPOINTS[[#This Row],[Pay Scale String Duplicates]])-1</f>
        <v>0</v>
      </c>
      <c r="E65" s="57">
        <f>IF((MONTH(_xlfn.XLOOKUP(PSPOINTS[[#This Row],[PayScaleCode]],PayScales!N:N,PayScales!R:R)))=MONTH(PSPOINTS[[#This Row],[RateDateFrom]]),0,1)</f>
        <v>0</v>
      </c>
      <c r="F65" s="57">
        <f>IF(ISBLANK(PSPOINTS[[#This Row],[RateDateTo]]),0,IF(PSPOINTS[[#This Row],[RateDateFrom]]&lt;PSPOINTS[[#This Row],[RateDateTo]],0,1))</f>
        <v>0</v>
      </c>
      <c r="G65" s="57" cm="1">
        <f t="array" aca="1" ref="G65" ca="1">IF(CELL("format",PSPOINTS[[#This Row],[RateDateFrom]])="D1",0,1)+IF(CELL("format",PSPOINTS[[#This Row],[RateDateTo]])="D1",0,1)</f>
        <v>0</v>
      </c>
      <c r="H65" s="57">
        <f>IF(OR(PSPOINTS[[#This Row],[Hourly]]=TRUE,PSPOINTS[[#This Row],[Hourly]]=FALSE),IF(OR(PSPOINTS[[#This Row],[PayScalePointEnabled]]=TRUE,PSPOINTS[[#This Row],[PayScalePointEnabled]]=FALSE),0,1),1)</f>
        <v>0</v>
      </c>
      <c r="I65" s="57">
        <f>IF(LEN(PSPOINTS[[#This Row],[PayScalePointCode]])&lt;100,0,1)</f>
        <v>0</v>
      </c>
      <c r="J65" s="57">
        <f>IF(LEN(PSPOINTS[[#This Row],[PayScalePointTitle]])&lt;100,0,1)</f>
        <v>0</v>
      </c>
      <c r="K65" s="57">
        <f>(COUNTBLANK(PSPOINTS[[#This Row],[PayScalePointCode]:[RateDateFrom]])+COUNTBLANK(PSPOINTS[[#This Row],[PayScaleRate]]))</f>
        <v>0</v>
      </c>
      <c r="L65" s="112">
        <f>IF(SUBSTITUTE(TEXT(PSPOINTS[[#This Row],[PayScaleCode]],10)," ","")=TEXT(PSPOINTS[[#This Row],[PayScaleCode]],10),0,1)+IF(SUBSTITUTE(TEXT(PSPOINTS[[#This Row],[PayScalePointCode]],10)," ","")=TEXT(PSPOINTS[[#This Row],[PayScalePointCode]],10),0,1)</f>
        <v>0</v>
      </c>
      <c r="M65" s="57">
        <f ca="1">SUM(PSPOINTS[[#This Row],[Scale Point Issue]:[Space in Code]])</f>
        <v>0</v>
      </c>
      <c r="N65" s="57" t="s">
        <v>897</v>
      </c>
      <c r="P65" s="12" t="s">
        <v>3107</v>
      </c>
      <c r="Q65" s="57" t="str">
        <f>_xlfn.XLOOKUP(PSPOINTS[[#This Row],[PayScaleCode]],PayScales!N:N,PayScales!O:O)</f>
        <v>NJC - Cheshire East</v>
      </c>
      <c r="R65" s="12">
        <v>1</v>
      </c>
      <c r="S65" s="12">
        <v>1</v>
      </c>
      <c r="T65" s="12">
        <v>1</v>
      </c>
      <c r="U65" t="b">
        <v>0</v>
      </c>
      <c r="V65" s="148" t="b">
        <v>0</v>
      </c>
      <c r="W65" s="20">
        <v>45748</v>
      </c>
      <c r="Y65" s="14">
        <v>0</v>
      </c>
    </row>
    <row r="66" spans="1:25" x14ac:dyDescent="0.3">
      <c r="A66" s="140" t="str">
        <f>PSPOINTS[[#This Row],[PayScaleCode]]&amp;PSPOINTS[[#This Row],[RateDateFrom]]</f>
        <v>NJC_CHE45748</v>
      </c>
      <c r="B66" s="57">
        <f t="shared" si="1"/>
        <v>0</v>
      </c>
      <c r="C66" s="57" t="str">
        <f>PSPOINTS[[#This Row],[PayScaleCode]]&amp;PSPOINTS[[#This Row],[PayScalePointCode]]&amp;PSPOINTS[[#This Row],[RateDateFrom]]</f>
        <v>NJC_CHE245748</v>
      </c>
      <c r="D66" s="57">
        <f>COUNTIF(PSPOINTS[Pay Scale String Duplicates],PSPOINTS[[#This Row],[Pay Scale String Duplicates]])-1</f>
        <v>0</v>
      </c>
      <c r="E66" s="57">
        <f>IF((MONTH(_xlfn.XLOOKUP(PSPOINTS[[#This Row],[PayScaleCode]],PayScales!N:N,PayScales!R:R)))=MONTH(PSPOINTS[[#This Row],[RateDateFrom]]),0,1)</f>
        <v>0</v>
      </c>
      <c r="F66" s="57">
        <f>IF(ISBLANK(PSPOINTS[[#This Row],[RateDateTo]]),0,IF(PSPOINTS[[#This Row],[RateDateFrom]]&lt;PSPOINTS[[#This Row],[RateDateTo]],0,1))</f>
        <v>0</v>
      </c>
      <c r="G66" s="57" cm="1">
        <f t="array" aca="1" ref="G66" ca="1">IF(CELL("format",PSPOINTS[[#This Row],[RateDateFrom]])="D1",0,1)+IF(CELL("format",PSPOINTS[[#This Row],[RateDateTo]])="D1",0,1)</f>
        <v>0</v>
      </c>
      <c r="H66" s="57">
        <f>IF(OR(PSPOINTS[[#This Row],[Hourly]]=TRUE,PSPOINTS[[#This Row],[Hourly]]=FALSE),IF(OR(PSPOINTS[[#This Row],[PayScalePointEnabled]]=TRUE,PSPOINTS[[#This Row],[PayScalePointEnabled]]=FALSE),0,1),1)</f>
        <v>0</v>
      </c>
      <c r="I66" s="57">
        <f>IF(LEN(PSPOINTS[[#This Row],[PayScalePointCode]])&lt;100,0,1)</f>
        <v>0</v>
      </c>
      <c r="J66" s="57">
        <f>IF(LEN(PSPOINTS[[#This Row],[PayScalePointTitle]])&lt;100,0,1)</f>
        <v>0</v>
      </c>
      <c r="K66" s="57">
        <f>(COUNTBLANK(PSPOINTS[[#This Row],[PayScalePointCode]:[RateDateFrom]])+COUNTBLANK(PSPOINTS[[#This Row],[PayScaleRate]]))</f>
        <v>0</v>
      </c>
      <c r="L66" s="112">
        <f>IF(SUBSTITUTE(TEXT(PSPOINTS[[#This Row],[PayScaleCode]],10)," ","")=TEXT(PSPOINTS[[#This Row],[PayScaleCode]],10),0,1)+IF(SUBSTITUTE(TEXT(PSPOINTS[[#This Row],[PayScalePointCode]],10)," ","")=TEXT(PSPOINTS[[#This Row],[PayScalePointCode]],10),0,1)</f>
        <v>0</v>
      </c>
      <c r="M66" s="57">
        <f ca="1">SUM(PSPOINTS[[#This Row],[Scale Point Issue]:[Space in Code]])</f>
        <v>0</v>
      </c>
      <c r="N66" s="57" t="s">
        <v>897</v>
      </c>
      <c r="P66" s="12" t="s">
        <v>3107</v>
      </c>
      <c r="Q66" s="57" t="str">
        <f>_xlfn.XLOOKUP(PSPOINTS[[#This Row],[PayScaleCode]],PayScales!N:N,PayScales!O:O)</f>
        <v>NJC - Cheshire East</v>
      </c>
      <c r="R66" s="12">
        <v>2</v>
      </c>
      <c r="S66" s="12">
        <v>2</v>
      </c>
      <c r="T66" s="12">
        <v>2</v>
      </c>
      <c r="U66" t="b">
        <v>0</v>
      </c>
      <c r="V66" s="5" t="b">
        <v>1</v>
      </c>
      <c r="W66" s="20">
        <v>45748</v>
      </c>
      <c r="Y66" s="14">
        <v>24413</v>
      </c>
    </row>
    <row r="67" spans="1:25" x14ac:dyDescent="0.3">
      <c r="A67" s="140" t="str">
        <f>PSPOINTS[[#This Row],[PayScaleCode]]&amp;PSPOINTS[[#This Row],[RateDateFrom]]</f>
        <v>NJC_CHE45748</v>
      </c>
      <c r="B67" s="57">
        <f t="shared" si="1"/>
        <v>0</v>
      </c>
      <c r="C67" s="57" t="str">
        <f>PSPOINTS[[#This Row],[PayScaleCode]]&amp;PSPOINTS[[#This Row],[PayScalePointCode]]&amp;PSPOINTS[[#This Row],[RateDateFrom]]</f>
        <v>NJC_CHE345748</v>
      </c>
      <c r="D67" s="57">
        <f>COUNTIF(PSPOINTS[Pay Scale String Duplicates],PSPOINTS[[#This Row],[Pay Scale String Duplicates]])-1</f>
        <v>0</v>
      </c>
      <c r="E67" s="57">
        <f>IF((MONTH(_xlfn.XLOOKUP(PSPOINTS[[#This Row],[PayScaleCode]],PayScales!N:N,PayScales!R:R)))=MONTH(PSPOINTS[[#This Row],[RateDateFrom]]),0,1)</f>
        <v>0</v>
      </c>
      <c r="F67" s="57">
        <f>IF(ISBLANK(PSPOINTS[[#This Row],[RateDateTo]]),0,IF(PSPOINTS[[#This Row],[RateDateFrom]]&lt;PSPOINTS[[#This Row],[RateDateTo]],0,1))</f>
        <v>0</v>
      </c>
      <c r="G67" s="57" cm="1">
        <f t="array" aca="1" ref="G67" ca="1">IF(CELL("format",PSPOINTS[[#This Row],[RateDateFrom]])="D1",0,1)+IF(CELL("format",PSPOINTS[[#This Row],[RateDateTo]])="D1",0,1)</f>
        <v>0</v>
      </c>
      <c r="H67" s="57">
        <f>IF(OR(PSPOINTS[[#This Row],[Hourly]]=TRUE,PSPOINTS[[#This Row],[Hourly]]=FALSE),IF(OR(PSPOINTS[[#This Row],[PayScalePointEnabled]]=TRUE,PSPOINTS[[#This Row],[PayScalePointEnabled]]=FALSE),0,1),1)</f>
        <v>0</v>
      </c>
      <c r="I67" s="57">
        <f>IF(LEN(PSPOINTS[[#This Row],[PayScalePointCode]])&lt;100,0,1)</f>
        <v>0</v>
      </c>
      <c r="J67" s="57">
        <f>IF(LEN(PSPOINTS[[#This Row],[PayScalePointTitle]])&lt;100,0,1)</f>
        <v>0</v>
      </c>
      <c r="K67" s="57">
        <f>(COUNTBLANK(PSPOINTS[[#This Row],[PayScalePointCode]:[RateDateFrom]])+COUNTBLANK(PSPOINTS[[#This Row],[PayScaleRate]]))</f>
        <v>0</v>
      </c>
      <c r="L67" s="112">
        <f>IF(SUBSTITUTE(TEXT(PSPOINTS[[#This Row],[PayScaleCode]],10)," ","")=TEXT(PSPOINTS[[#This Row],[PayScaleCode]],10),0,1)+IF(SUBSTITUTE(TEXT(PSPOINTS[[#This Row],[PayScalePointCode]],10)," ","")=TEXT(PSPOINTS[[#This Row],[PayScalePointCode]],10),0,1)</f>
        <v>0</v>
      </c>
      <c r="M67" s="57">
        <f ca="1">SUM(PSPOINTS[[#This Row],[Scale Point Issue]:[Space in Code]])</f>
        <v>0</v>
      </c>
      <c r="N67" s="57" t="s">
        <v>897</v>
      </c>
      <c r="P67" s="12" t="s">
        <v>3107</v>
      </c>
      <c r="Q67" s="57" t="str">
        <f>_xlfn.XLOOKUP(PSPOINTS[[#This Row],[PayScaleCode]],PayScales!N:N,PayScales!O:O)</f>
        <v>NJC - Cheshire East</v>
      </c>
      <c r="R67" s="12">
        <v>3</v>
      </c>
      <c r="S67" s="12">
        <v>3</v>
      </c>
      <c r="T67" s="12">
        <v>3</v>
      </c>
      <c r="U67" t="b">
        <v>0</v>
      </c>
      <c r="V67" s="5" t="b">
        <v>1</v>
      </c>
      <c r="W67" s="20">
        <v>45748</v>
      </c>
      <c r="Y67" s="14">
        <v>24796</v>
      </c>
    </row>
    <row r="68" spans="1:25" x14ac:dyDescent="0.3">
      <c r="A68" s="140" t="str">
        <f>PSPOINTS[[#This Row],[PayScaleCode]]&amp;PSPOINTS[[#This Row],[RateDateFrom]]</f>
        <v>NJC_CHE45748</v>
      </c>
      <c r="B68" s="57">
        <f t="shared" si="1"/>
        <v>0</v>
      </c>
      <c r="C68" s="57" t="str">
        <f>PSPOINTS[[#This Row],[PayScaleCode]]&amp;PSPOINTS[[#This Row],[PayScalePointCode]]&amp;PSPOINTS[[#This Row],[RateDateFrom]]</f>
        <v>NJC_CHE445748</v>
      </c>
      <c r="D68" s="57">
        <f>COUNTIF(PSPOINTS[Pay Scale String Duplicates],PSPOINTS[[#This Row],[Pay Scale String Duplicates]])-1</f>
        <v>0</v>
      </c>
      <c r="E68" s="57">
        <f>IF((MONTH(_xlfn.XLOOKUP(PSPOINTS[[#This Row],[PayScaleCode]],PayScales!N:N,PayScales!R:R)))=MONTH(PSPOINTS[[#This Row],[RateDateFrom]]),0,1)</f>
        <v>0</v>
      </c>
      <c r="F68" s="57">
        <f>IF(ISBLANK(PSPOINTS[[#This Row],[RateDateTo]]),0,IF(PSPOINTS[[#This Row],[RateDateFrom]]&lt;PSPOINTS[[#This Row],[RateDateTo]],0,1))</f>
        <v>0</v>
      </c>
      <c r="G68" s="57" cm="1">
        <f t="array" aca="1" ref="G68" ca="1">IF(CELL("format",PSPOINTS[[#This Row],[RateDateFrom]])="D1",0,1)+IF(CELL("format",PSPOINTS[[#This Row],[RateDateTo]])="D1",0,1)</f>
        <v>0</v>
      </c>
      <c r="H68" s="57">
        <f>IF(OR(PSPOINTS[[#This Row],[Hourly]]=TRUE,PSPOINTS[[#This Row],[Hourly]]=FALSE),IF(OR(PSPOINTS[[#This Row],[PayScalePointEnabled]]=TRUE,PSPOINTS[[#This Row],[PayScalePointEnabled]]=FALSE),0,1),1)</f>
        <v>0</v>
      </c>
      <c r="I68" s="57">
        <f>IF(LEN(PSPOINTS[[#This Row],[PayScalePointCode]])&lt;100,0,1)</f>
        <v>0</v>
      </c>
      <c r="J68" s="57">
        <f>IF(LEN(PSPOINTS[[#This Row],[PayScalePointTitle]])&lt;100,0,1)</f>
        <v>0</v>
      </c>
      <c r="K68" s="57">
        <f>(COUNTBLANK(PSPOINTS[[#This Row],[PayScalePointCode]:[RateDateFrom]])+COUNTBLANK(PSPOINTS[[#This Row],[PayScaleRate]]))</f>
        <v>0</v>
      </c>
      <c r="L68" s="112">
        <f>IF(SUBSTITUTE(TEXT(PSPOINTS[[#This Row],[PayScaleCode]],10)," ","")=TEXT(PSPOINTS[[#This Row],[PayScaleCode]],10),0,1)+IF(SUBSTITUTE(TEXT(PSPOINTS[[#This Row],[PayScalePointCode]],10)," ","")=TEXT(PSPOINTS[[#This Row],[PayScalePointCode]],10),0,1)</f>
        <v>0</v>
      </c>
      <c r="M68" s="57">
        <f ca="1">SUM(PSPOINTS[[#This Row],[Scale Point Issue]:[Space in Code]])</f>
        <v>0</v>
      </c>
      <c r="N68" s="57" t="s">
        <v>897</v>
      </c>
      <c r="P68" s="12" t="s">
        <v>3107</v>
      </c>
      <c r="Q68" s="57" t="str">
        <f>_xlfn.XLOOKUP(PSPOINTS[[#This Row],[PayScaleCode]],PayScales!N:N,PayScales!O:O)</f>
        <v>NJC - Cheshire East</v>
      </c>
      <c r="R68" s="12">
        <v>4</v>
      </c>
      <c r="S68" s="12">
        <v>4</v>
      </c>
      <c r="T68" s="12">
        <v>4</v>
      </c>
      <c r="U68" t="b">
        <v>0</v>
      </c>
      <c r="V68" s="5" t="b">
        <v>1</v>
      </c>
      <c r="W68" s="20">
        <v>45748</v>
      </c>
      <c r="Y68" s="14">
        <v>25185</v>
      </c>
    </row>
    <row r="69" spans="1:25" x14ac:dyDescent="0.3">
      <c r="A69" s="140" t="str">
        <f>PSPOINTS[[#This Row],[PayScaleCode]]&amp;PSPOINTS[[#This Row],[RateDateFrom]]</f>
        <v>NJC_CHE45748</v>
      </c>
      <c r="B69" s="57">
        <f t="shared" si="1"/>
        <v>0</v>
      </c>
      <c r="C69" s="57" t="str">
        <f>PSPOINTS[[#This Row],[PayScaleCode]]&amp;PSPOINTS[[#This Row],[PayScalePointCode]]&amp;PSPOINTS[[#This Row],[RateDateFrom]]</f>
        <v>NJC_CHE545748</v>
      </c>
      <c r="D69" s="57">
        <f>COUNTIF(PSPOINTS[Pay Scale String Duplicates],PSPOINTS[[#This Row],[Pay Scale String Duplicates]])-1</f>
        <v>0</v>
      </c>
      <c r="E69" s="57">
        <f>IF((MONTH(_xlfn.XLOOKUP(PSPOINTS[[#This Row],[PayScaleCode]],PayScales!N:N,PayScales!R:R)))=MONTH(PSPOINTS[[#This Row],[RateDateFrom]]),0,1)</f>
        <v>0</v>
      </c>
      <c r="F69" s="57">
        <f>IF(ISBLANK(PSPOINTS[[#This Row],[RateDateTo]]),0,IF(PSPOINTS[[#This Row],[RateDateFrom]]&lt;PSPOINTS[[#This Row],[RateDateTo]],0,1))</f>
        <v>0</v>
      </c>
      <c r="G69" s="57" cm="1">
        <f t="array" aca="1" ref="G69" ca="1">IF(CELL("format",PSPOINTS[[#This Row],[RateDateFrom]])="D1",0,1)+IF(CELL("format",PSPOINTS[[#This Row],[RateDateTo]])="D1",0,1)</f>
        <v>0</v>
      </c>
      <c r="H69" s="57">
        <f>IF(OR(PSPOINTS[[#This Row],[Hourly]]=TRUE,PSPOINTS[[#This Row],[Hourly]]=FALSE),IF(OR(PSPOINTS[[#This Row],[PayScalePointEnabled]]=TRUE,PSPOINTS[[#This Row],[PayScalePointEnabled]]=FALSE),0,1),1)</f>
        <v>0</v>
      </c>
      <c r="I69" s="57">
        <f>IF(LEN(PSPOINTS[[#This Row],[PayScalePointCode]])&lt;100,0,1)</f>
        <v>0</v>
      </c>
      <c r="J69" s="57">
        <f>IF(LEN(PSPOINTS[[#This Row],[PayScalePointTitle]])&lt;100,0,1)</f>
        <v>0</v>
      </c>
      <c r="K69" s="57">
        <f>(COUNTBLANK(PSPOINTS[[#This Row],[PayScalePointCode]:[RateDateFrom]])+COUNTBLANK(PSPOINTS[[#This Row],[PayScaleRate]]))</f>
        <v>0</v>
      </c>
      <c r="L69" s="112">
        <f>IF(SUBSTITUTE(TEXT(PSPOINTS[[#This Row],[PayScaleCode]],10)," ","")=TEXT(PSPOINTS[[#This Row],[PayScaleCode]],10),0,1)+IF(SUBSTITUTE(TEXT(PSPOINTS[[#This Row],[PayScalePointCode]],10)," ","")=TEXT(PSPOINTS[[#This Row],[PayScalePointCode]],10),0,1)</f>
        <v>0</v>
      </c>
      <c r="M69" s="57">
        <f ca="1">SUM(PSPOINTS[[#This Row],[Scale Point Issue]:[Space in Code]])</f>
        <v>0</v>
      </c>
      <c r="N69" s="57" t="s">
        <v>897</v>
      </c>
      <c r="P69" s="12" t="s">
        <v>3107</v>
      </c>
      <c r="Q69" s="57" t="str">
        <f>_xlfn.XLOOKUP(PSPOINTS[[#This Row],[PayScaleCode]],PayScales!N:N,PayScales!O:O)</f>
        <v>NJC - Cheshire East</v>
      </c>
      <c r="R69" s="12">
        <v>5</v>
      </c>
      <c r="S69" s="12">
        <v>5</v>
      </c>
      <c r="T69" s="12">
        <v>5</v>
      </c>
      <c r="U69" t="b">
        <v>0</v>
      </c>
      <c r="V69" s="5" t="b">
        <v>1</v>
      </c>
      <c r="W69" s="20">
        <v>45748</v>
      </c>
      <c r="Y69" s="14">
        <v>25583</v>
      </c>
    </row>
    <row r="70" spans="1:25" x14ac:dyDescent="0.3">
      <c r="A70" s="140" t="str">
        <f>PSPOINTS[[#This Row],[PayScaleCode]]&amp;PSPOINTS[[#This Row],[RateDateFrom]]</f>
        <v>NJC_CHE45748</v>
      </c>
      <c r="B70" s="57">
        <f t="shared" si="1"/>
        <v>0</v>
      </c>
      <c r="C70" s="57" t="str">
        <f>PSPOINTS[[#This Row],[PayScaleCode]]&amp;PSPOINTS[[#This Row],[PayScalePointCode]]&amp;PSPOINTS[[#This Row],[RateDateFrom]]</f>
        <v>NJC_CHE645748</v>
      </c>
      <c r="D70" s="57">
        <f>COUNTIF(PSPOINTS[Pay Scale String Duplicates],PSPOINTS[[#This Row],[Pay Scale String Duplicates]])-1</f>
        <v>0</v>
      </c>
      <c r="E70" s="57">
        <f>IF((MONTH(_xlfn.XLOOKUP(PSPOINTS[[#This Row],[PayScaleCode]],PayScales!N:N,PayScales!R:R)))=MONTH(PSPOINTS[[#This Row],[RateDateFrom]]),0,1)</f>
        <v>0</v>
      </c>
      <c r="F70" s="57">
        <f>IF(ISBLANK(PSPOINTS[[#This Row],[RateDateTo]]),0,IF(PSPOINTS[[#This Row],[RateDateFrom]]&lt;PSPOINTS[[#This Row],[RateDateTo]],0,1))</f>
        <v>0</v>
      </c>
      <c r="G70" s="57" cm="1">
        <f t="array" aca="1" ref="G70" ca="1">IF(CELL("format",PSPOINTS[[#This Row],[RateDateFrom]])="D1",0,1)+IF(CELL("format",PSPOINTS[[#This Row],[RateDateTo]])="D1",0,1)</f>
        <v>0</v>
      </c>
      <c r="H70" s="57">
        <f>IF(OR(PSPOINTS[[#This Row],[Hourly]]=TRUE,PSPOINTS[[#This Row],[Hourly]]=FALSE),IF(OR(PSPOINTS[[#This Row],[PayScalePointEnabled]]=TRUE,PSPOINTS[[#This Row],[PayScalePointEnabled]]=FALSE),0,1),1)</f>
        <v>0</v>
      </c>
      <c r="I70" s="57">
        <f>IF(LEN(PSPOINTS[[#This Row],[PayScalePointCode]])&lt;100,0,1)</f>
        <v>0</v>
      </c>
      <c r="J70" s="57">
        <f>IF(LEN(PSPOINTS[[#This Row],[PayScalePointTitle]])&lt;100,0,1)</f>
        <v>0</v>
      </c>
      <c r="K70" s="57">
        <f>(COUNTBLANK(PSPOINTS[[#This Row],[PayScalePointCode]:[RateDateFrom]])+COUNTBLANK(PSPOINTS[[#This Row],[PayScaleRate]]))</f>
        <v>0</v>
      </c>
      <c r="L70" s="112">
        <f>IF(SUBSTITUTE(TEXT(PSPOINTS[[#This Row],[PayScaleCode]],10)," ","")=TEXT(PSPOINTS[[#This Row],[PayScaleCode]],10),0,1)+IF(SUBSTITUTE(TEXT(PSPOINTS[[#This Row],[PayScalePointCode]],10)," ","")=TEXT(PSPOINTS[[#This Row],[PayScalePointCode]],10),0,1)</f>
        <v>0</v>
      </c>
      <c r="M70" s="57">
        <f ca="1">SUM(PSPOINTS[[#This Row],[Scale Point Issue]:[Space in Code]])</f>
        <v>0</v>
      </c>
      <c r="N70" s="57" t="s">
        <v>897</v>
      </c>
      <c r="P70" s="12" t="s">
        <v>3107</v>
      </c>
      <c r="Q70" s="57" t="str">
        <f>_xlfn.XLOOKUP(PSPOINTS[[#This Row],[PayScaleCode]],PayScales!N:N,PayScales!O:O)</f>
        <v>NJC - Cheshire East</v>
      </c>
      <c r="R70" s="12">
        <v>6</v>
      </c>
      <c r="S70" s="12">
        <v>6</v>
      </c>
      <c r="T70" s="12">
        <v>6</v>
      </c>
      <c r="U70" t="b">
        <v>0</v>
      </c>
      <c r="V70" s="5" t="b">
        <v>1</v>
      </c>
      <c r="W70" s="20">
        <v>45748</v>
      </c>
      <c r="Y70" s="14">
        <v>25989</v>
      </c>
    </row>
    <row r="71" spans="1:25" x14ac:dyDescent="0.3">
      <c r="A71" s="140" t="str">
        <f>PSPOINTS[[#This Row],[PayScaleCode]]&amp;PSPOINTS[[#This Row],[RateDateFrom]]</f>
        <v>NJC_CHE45748</v>
      </c>
      <c r="B71" s="57">
        <f t="shared" si="1"/>
        <v>0</v>
      </c>
      <c r="C71" s="57" t="str">
        <f>PSPOINTS[[#This Row],[PayScaleCode]]&amp;PSPOINTS[[#This Row],[PayScalePointCode]]&amp;PSPOINTS[[#This Row],[RateDateFrom]]</f>
        <v>NJC_CHE745748</v>
      </c>
      <c r="D71" s="57">
        <f>COUNTIF(PSPOINTS[Pay Scale String Duplicates],PSPOINTS[[#This Row],[Pay Scale String Duplicates]])-1</f>
        <v>0</v>
      </c>
      <c r="E71" s="57">
        <f>IF((MONTH(_xlfn.XLOOKUP(PSPOINTS[[#This Row],[PayScaleCode]],PayScales!N:N,PayScales!R:R)))=MONTH(PSPOINTS[[#This Row],[RateDateFrom]]),0,1)</f>
        <v>0</v>
      </c>
      <c r="F71" s="57">
        <f>IF(ISBLANK(PSPOINTS[[#This Row],[RateDateTo]]),0,IF(PSPOINTS[[#This Row],[RateDateFrom]]&lt;PSPOINTS[[#This Row],[RateDateTo]],0,1))</f>
        <v>0</v>
      </c>
      <c r="G71" s="57" cm="1">
        <f t="array" aca="1" ref="G71" ca="1">IF(CELL("format",PSPOINTS[[#This Row],[RateDateFrom]])="D1",0,1)+IF(CELL("format",PSPOINTS[[#This Row],[RateDateTo]])="D1",0,1)</f>
        <v>0</v>
      </c>
      <c r="H71" s="57">
        <f>IF(OR(PSPOINTS[[#This Row],[Hourly]]=TRUE,PSPOINTS[[#This Row],[Hourly]]=FALSE),IF(OR(PSPOINTS[[#This Row],[PayScalePointEnabled]]=TRUE,PSPOINTS[[#This Row],[PayScalePointEnabled]]=FALSE),0,1),1)</f>
        <v>0</v>
      </c>
      <c r="I71" s="57">
        <f>IF(LEN(PSPOINTS[[#This Row],[PayScalePointCode]])&lt;100,0,1)</f>
        <v>0</v>
      </c>
      <c r="J71" s="57">
        <f>IF(LEN(PSPOINTS[[#This Row],[PayScalePointTitle]])&lt;100,0,1)</f>
        <v>0</v>
      </c>
      <c r="K71" s="57">
        <f>(COUNTBLANK(PSPOINTS[[#This Row],[PayScalePointCode]:[RateDateFrom]])+COUNTBLANK(PSPOINTS[[#This Row],[PayScaleRate]]))</f>
        <v>0</v>
      </c>
      <c r="L71" s="112">
        <f>IF(SUBSTITUTE(TEXT(PSPOINTS[[#This Row],[PayScaleCode]],10)," ","")=TEXT(PSPOINTS[[#This Row],[PayScaleCode]],10),0,1)+IF(SUBSTITUTE(TEXT(PSPOINTS[[#This Row],[PayScalePointCode]],10)," ","")=TEXT(PSPOINTS[[#This Row],[PayScalePointCode]],10),0,1)</f>
        <v>0</v>
      </c>
      <c r="M71" s="57">
        <f ca="1">SUM(PSPOINTS[[#This Row],[Scale Point Issue]:[Space in Code]])</f>
        <v>0</v>
      </c>
      <c r="N71" s="57" t="s">
        <v>897</v>
      </c>
      <c r="P71" s="12" t="s">
        <v>3107</v>
      </c>
      <c r="Q71" s="57" t="str">
        <f>_xlfn.XLOOKUP(PSPOINTS[[#This Row],[PayScaleCode]],PayScales!N:N,PayScales!O:O)</f>
        <v>NJC - Cheshire East</v>
      </c>
      <c r="R71" s="12">
        <v>7</v>
      </c>
      <c r="S71" s="12">
        <v>7</v>
      </c>
      <c r="T71" s="12">
        <v>7</v>
      </c>
      <c r="U71" t="b">
        <v>0</v>
      </c>
      <c r="V71" s="5" t="b">
        <v>1</v>
      </c>
      <c r="W71" s="20">
        <v>45748</v>
      </c>
      <c r="Y71" s="14">
        <v>26403</v>
      </c>
    </row>
    <row r="72" spans="1:25" x14ac:dyDescent="0.3">
      <c r="A72" s="140" t="str">
        <f>PSPOINTS[[#This Row],[PayScaleCode]]&amp;PSPOINTS[[#This Row],[RateDateFrom]]</f>
        <v>NJC_CHE45748</v>
      </c>
      <c r="B72" s="57">
        <f t="shared" si="1"/>
        <v>0</v>
      </c>
      <c r="C72" s="57" t="str">
        <f>PSPOINTS[[#This Row],[PayScaleCode]]&amp;PSPOINTS[[#This Row],[PayScalePointCode]]&amp;PSPOINTS[[#This Row],[RateDateFrom]]</f>
        <v>NJC_CHE845748</v>
      </c>
      <c r="D72" s="57">
        <f>COUNTIF(PSPOINTS[Pay Scale String Duplicates],PSPOINTS[[#This Row],[Pay Scale String Duplicates]])-1</f>
        <v>0</v>
      </c>
      <c r="E72" s="57">
        <f>IF((MONTH(_xlfn.XLOOKUP(PSPOINTS[[#This Row],[PayScaleCode]],PayScales!N:N,PayScales!R:R)))=MONTH(PSPOINTS[[#This Row],[RateDateFrom]]),0,1)</f>
        <v>0</v>
      </c>
      <c r="F72" s="57">
        <f>IF(ISBLANK(PSPOINTS[[#This Row],[RateDateTo]]),0,IF(PSPOINTS[[#This Row],[RateDateFrom]]&lt;PSPOINTS[[#This Row],[RateDateTo]],0,1))</f>
        <v>0</v>
      </c>
      <c r="G72" s="57" cm="1">
        <f t="array" aca="1" ref="G72" ca="1">IF(CELL("format",PSPOINTS[[#This Row],[RateDateFrom]])="D1",0,1)+IF(CELL("format",PSPOINTS[[#This Row],[RateDateTo]])="D1",0,1)</f>
        <v>0</v>
      </c>
      <c r="H72" s="57">
        <f>IF(OR(PSPOINTS[[#This Row],[Hourly]]=TRUE,PSPOINTS[[#This Row],[Hourly]]=FALSE),IF(OR(PSPOINTS[[#This Row],[PayScalePointEnabled]]=TRUE,PSPOINTS[[#This Row],[PayScalePointEnabled]]=FALSE),0,1),1)</f>
        <v>0</v>
      </c>
      <c r="I72" s="57">
        <f>IF(LEN(PSPOINTS[[#This Row],[PayScalePointCode]])&lt;100,0,1)</f>
        <v>0</v>
      </c>
      <c r="J72" s="57">
        <f>IF(LEN(PSPOINTS[[#This Row],[PayScalePointTitle]])&lt;100,0,1)</f>
        <v>0</v>
      </c>
      <c r="K72" s="57">
        <f>(COUNTBLANK(PSPOINTS[[#This Row],[PayScalePointCode]:[RateDateFrom]])+COUNTBLANK(PSPOINTS[[#This Row],[PayScaleRate]]))</f>
        <v>0</v>
      </c>
      <c r="L72" s="112">
        <f>IF(SUBSTITUTE(TEXT(PSPOINTS[[#This Row],[PayScaleCode]],10)," ","")=TEXT(PSPOINTS[[#This Row],[PayScaleCode]],10),0,1)+IF(SUBSTITUTE(TEXT(PSPOINTS[[#This Row],[PayScalePointCode]],10)," ","")=TEXT(PSPOINTS[[#This Row],[PayScalePointCode]],10),0,1)</f>
        <v>0</v>
      </c>
      <c r="M72" s="57">
        <f ca="1">SUM(PSPOINTS[[#This Row],[Scale Point Issue]:[Space in Code]])</f>
        <v>0</v>
      </c>
      <c r="N72" s="57" t="s">
        <v>897</v>
      </c>
      <c r="P72" s="12" t="s">
        <v>3107</v>
      </c>
      <c r="Q72" s="57" t="str">
        <f>_xlfn.XLOOKUP(PSPOINTS[[#This Row],[PayScaleCode]],PayScales!N:N,PayScales!O:O)</f>
        <v>NJC - Cheshire East</v>
      </c>
      <c r="R72" s="12">
        <v>8</v>
      </c>
      <c r="S72" s="12">
        <v>8</v>
      </c>
      <c r="T72" s="12">
        <v>8</v>
      </c>
      <c r="U72" t="b">
        <v>0</v>
      </c>
      <c r="V72" s="5" t="b">
        <v>1</v>
      </c>
      <c r="W72" s="20">
        <v>45748</v>
      </c>
      <c r="Y72" s="14">
        <v>26824</v>
      </c>
    </row>
    <row r="73" spans="1:25" x14ac:dyDescent="0.3">
      <c r="A73" s="140" t="str">
        <f>PSPOINTS[[#This Row],[PayScaleCode]]&amp;PSPOINTS[[#This Row],[RateDateFrom]]</f>
        <v>NJC_CHE45748</v>
      </c>
      <c r="B73" s="57">
        <f t="shared" si="1"/>
        <v>0</v>
      </c>
      <c r="C73" s="57" t="str">
        <f>PSPOINTS[[#This Row],[PayScaleCode]]&amp;PSPOINTS[[#This Row],[PayScalePointCode]]&amp;PSPOINTS[[#This Row],[RateDateFrom]]</f>
        <v>NJC_CHE945748</v>
      </c>
      <c r="D73" s="57">
        <f>COUNTIF(PSPOINTS[Pay Scale String Duplicates],PSPOINTS[[#This Row],[Pay Scale String Duplicates]])-1</f>
        <v>0</v>
      </c>
      <c r="E73" s="57">
        <f>IF((MONTH(_xlfn.XLOOKUP(PSPOINTS[[#This Row],[PayScaleCode]],PayScales!N:N,PayScales!R:R)))=MONTH(PSPOINTS[[#This Row],[RateDateFrom]]),0,1)</f>
        <v>0</v>
      </c>
      <c r="F73" s="57">
        <f>IF(ISBLANK(PSPOINTS[[#This Row],[RateDateTo]]),0,IF(PSPOINTS[[#This Row],[RateDateFrom]]&lt;PSPOINTS[[#This Row],[RateDateTo]],0,1))</f>
        <v>0</v>
      </c>
      <c r="G73" s="57" cm="1">
        <f t="array" aca="1" ref="G73" ca="1">IF(CELL("format",PSPOINTS[[#This Row],[RateDateFrom]])="D1",0,1)+IF(CELL("format",PSPOINTS[[#This Row],[RateDateTo]])="D1",0,1)</f>
        <v>0</v>
      </c>
      <c r="H73" s="57">
        <f>IF(OR(PSPOINTS[[#This Row],[Hourly]]=TRUE,PSPOINTS[[#This Row],[Hourly]]=FALSE),IF(OR(PSPOINTS[[#This Row],[PayScalePointEnabled]]=TRUE,PSPOINTS[[#This Row],[PayScalePointEnabled]]=FALSE),0,1),1)</f>
        <v>0</v>
      </c>
      <c r="I73" s="57">
        <f>IF(LEN(PSPOINTS[[#This Row],[PayScalePointCode]])&lt;100,0,1)</f>
        <v>0</v>
      </c>
      <c r="J73" s="57">
        <f>IF(LEN(PSPOINTS[[#This Row],[PayScalePointTitle]])&lt;100,0,1)</f>
        <v>0</v>
      </c>
      <c r="K73" s="57">
        <f>(COUNTBLANK(PSPOINTS[[#This Row],[PayScalePointCode]:[RateDateFrom]])+COUNTBLANK(PSPOINTS[[#This Row],[PayScaleRate]]))</f>
        <v>0</v>
      </c>
      <c r="L73" s="112">
        <f>IF(SUBSTITUTE(TEXT(PSPOINTS[[#This Row],[PayScaleCode]],10)," ","")=TEXT(PSPOINTS[[#This Row],[PayScaleCode]],10),0,1)+IF(SUBSTITUTE(TEXT(PSPOINTS[[#This Row],[PayScalePointCode]],10)," ","")=TEXT(PSPOINTS[[#This Row],[PayScalePointCode]],10),0,1)</f>
        <v>0</v>
      </c>
      <c r="M73" s="57">
        <f ca="1">SUM(PSPOINTS[[#This Row],[Scale Point Issue]:[Space in Code]])</f>
        <v>0</v>
      </c>
      <c r="N73" s="57" t="s">
        <v>897</v>
      </c>
      <c r="P73" s="12" t="s">
        <v>3107</v>
      </c>
      <c r="Q73" s="57" t="str">
        <f>_xlfn.XLOOKUP(PSPOINTS[[#This Row],[PayScaleCode]],PayScales!N:N,PayScales!O:O)</f>
        <v>NJC - Cheshire East</v>
      </c>
      <c r="R73" s="12">
        <v>9</v>
      </c>
      <c r="S73" s="12">
        <v>9</v>
      </c>
      <c r="T73" s="12">
        <v>9</v>
      </c>
      <c r="U73" t="b">
        <v>0</v>
      </c>
      <c r="V73" s="5" t="b">
        <v>1</v>
      </c>
      <c r="W73" s="20">
        <v>45748</v>
      </c>
      <c r="Y73" s="14">
        <v>27254</v>
      </c>
    </row>
    <row r="74" spans="1:25" x14ac:dyDescent="0.3">
      <c r="A74" s="140" t="str">
        <f>PSPOINTS[[#This Row],[PayScaleCode]]&amp;PSPOINTS[[#This Row],[RateDateFrom]]</f>
        <v>NJC_CHE45748</v>
      </c>
      <c r="B74" s="57">
        <f t="shared" si="1"/>
        <v>0</v>
      </c>
      <c r="C74" s="57" t="str">
        <f>PSPOINTS[[#This Row],[PayScaleCode]]&amp;PSPOINTS[[#This Row],[PayScalePointCode]]&amp;PSPOINTS[[#This Row],[RateDateFrom]]</f>
        <v>NJC_CHE1045748</v>
      </c>
      <c r="D74" s="57">
        <f>COUNTIF(PSPOINTS[Pay Scale String Duplicates],PSPOINTS[[#This Row],[Pay Scale String Duplicates]])-1</f>
        <v>0</v>
      </c>
      <c r="E74" s="57">
        <f>IF((MONTH(_xlfn.XLOOKUP(PSPOINTS[[#This Row],[PayScaleCode]],PayScales!N:N,PayScales!R:R)))=MONTH(PSPOINTS[[#This Row],[RateDateFrom]]),0,1)</f>
        <v>0</v>
      </c>
      <c r="F74" s="57">
        <f>IF(ISBLANK(PSPOINTS[[#This Row],[RateDateTo]]),0,IF(PSPOINTS[[#This Row],[RateDateFrom]]&lt;PSPOINTS[[#This Row],[RateDateTo]],0,1))</f>
        <v>0</v>
      </c>
      <c r="G74" s="57" cm="1">
        <f t="array" aca="1" ref="G74" ca="1">IF(CELL("format",PSPOINTS[[#This Row],[RateDateFrom]])="D1",0,1)+IF(CELL("format",PSPOINTS[[#This Row],[RateDateTo]])="D1",0,1)</f>
        <v>0</v>
      </c>
      <c r="H74" s="57">
        <f>IF(OR(PSPOINTS[[#This Row],[Hourly]]=TRUE,PSPOINTS[[#This Row],[Hourly]]=FALSE),IF(OR(PSPOINTS[[#This Row],[PayScalePointEnabled]]=TRUE,PSPOINTS[[#This Row],[PayScalePointEnabled]]=FALSE),0,1),1)</f>
        <v>0</v>
      </c>
      <c r="I74" s="57">
        <f>IF(LEN(PSPOINTS[[#This Row],[PayScalePointCode]])&lt;100,0,1)</f>
        <v>0</v>
      </c>
      <c r="J74" s="57">
        <f>IF(LEN(PSPOINTS[[#This Row],[PayScalePointTitle]])&lt;100,0,1)</f>
        <v>0</v>
      </c>
      <c r="K74" s="57">
        <f>(COUNTBLANK(PSPOINTS[[#This Row],[PayScalePointCode]:[RateDateFrom]])+COUNTBLANK(PSPOINTS[[#This Row],[PayScaleRate]]))</f>
        <v>0</v>
      </c>
      <c r="L74" s="112">
        <f>IF(SUBSTITUTE(TEXT(PSPOINTS[[#This Row],[PayScaleCode]],10)," ","")=TEXT(PSPOINTS[[#This Row],[PayScaleCode]],10),0,1)+IF(SUBSTITUTE(TEXT(PSPOINTS[[#This Row],[PayScalePointCode]],10)," ","")=TEXT(PSPOINTS[[#This Row],[PayScalePointCode]],10),0,1)</f>
        <v>0</v>
      </c>
      <c r="M74" s="57">
        <f ca="1">SUM(PSPOINTS[[#This Row],[Scale Point Issue]:[Space in Code]])</f>
        <v>0</v>
      </c>
      <c r="N74" s="57" t="s">
        <v>897</v>
      </c>
      <c r="P74" s="12" t="s">
        <v>3107</v>
      </c>
      <c r="Q74" s="57" t="str">
        <f>_xlfn.XLOOKUP(PSPOINTS[[#This Row],[PayScaleCode]],PayScales!N:N,PayScales!O:O)</f>
        <v>NJC - Cheshire East</v>
      </c>
      <c r="R74" s="12">
        <v>10</v>
      </c>
      <c r="S74" s="12">
        <v>10</v>
      </c>
      <c r="T74" s="12">
        <v>10</v>
      </c>
      <c r="U74" t="b">
        <v>0</v>
      </c>
      <c r="V74" s="5" t="b">
        <v>1</v>
      </c>
      <c r="W74" s="20">
        <v>45748</v>
      </c>
      <c r="Y74" s="14">
        <v>27694</v>
      </c>
    </row>
    <row r="75" spans="1:25" x14ac:dyDescent="0.3">
      <c r="A75" s="140" t="str">
        <f>PSPOINTS[[#This Row],[PayScaleCode]]&amp;PSPOINTS[[#This Row],[RateDateFrom]]</f>
        <v>NJC_CHE45748</v>
      </c>
      <c r="B75" s="57">
        <f t="shared" si="1"/>
        <v>0</v>
      </c>
      <c r="C75" s="57" t="str">
        <f>PSPOINTS[[#This Row],[PayScaleCode]]&amp;PSPOINTS[[#This Row],[PayScalePointCode]]&amp;PSPOINTS[[#This Row],[RateDateFrom]]</f>
        <v>NJC_CHE1145748</v>
      </c>
      <c r="D75" s="57">
        <f>COUNTIF(PSPOINTS[Pay Scale String Duplicates],PSPOINTS[[#This Row],[Pay Scale String Duplicates]])-1</f>
        <v>0</v>
      </c>
      <c r="E75" s="57">
        <f>IF((MONTH(_xlfn.XLOOKUP(PSPOINTS[[#This Row],[PayScaleCode]],PayScales!N:N,PayScales!R:R)))=MONTH(PSPOINTS[[#This Row],[RateDateFrom]]),0,1)</f>
        <v>0</v>
      </c>
      <c r="F75" s="57">
        <f>IF(ISBLANK(PSPOINTS[[#This Row],[RateDateTo]]),0,IF(PSPOINTS[[#This Row],[RateDateFrom]]&lt;PSPOINTS[[#This Row],[RateDateTo]],0,1))</f>
        <v>0</v>
      </c>
      <c r="G75" s="57" cm="1">
        <f t="array" aca="1" ref="G75" ca="1">IF(CELL("format",PSPOINTS[[#This Row],[RateDateFrom]])="D1",0,1)+IF(CELL("format",PSPOINTS[[#This Row],[RateDateTo]])="D1",0,1)</f>
        <v>0</v>
      </c>
      <c r="H75" s="57">
        <f>IF(OR(PSPOINTS[[#This Row],[Hourly]]=TRUE,PSPOINTS[[#This Row],[Hourly]]=FALSE),IF(OR(PSPOINTS[[#This Row],[PayScalePointEnabled]]=TRUE,PSPOINTS[[#This Row],[PayScalePointEnabled]]=FALSE),0,1),1)</f>
        <v>0</v>
      </c>
      <c r="I75" s="57">
        <f>IF(LEN(PSPOINTS[[#This Row],[PayScalePointCode]])&lt;100,0,1)</f>
        <v>0</v>
      </c>
      <c r="J75" s="57">
        <f>IF(LEN(PSPOINTS[[#This Row],[PayScalePointTitle]])&lt;100,0,1)</f>
        <v>0</v>
      </c>
      <c r="K75" s="57">
        <f>(COUNTBLANK(PSPOINTS[[#This Row],[PayScalePointCode]:[RateDateFrom]])+COUNTBLANK(PSPOINTS[[#This Row],[PayScaleRate]]))</f>
        <v>0</v>
      </c>
      <c r="L75" s="112">
        <f>IF(SUBSTITUTE(TEXT(PSPOINTS[[#This Row],[PayScaleCode]],10)," ","")=TEXT(PSPOINTS[[#This Row],[PayScaleCode]],10),0,1)+IF(SUBSTITUTE(TEXT(PSPOINTS[[#This Row],[PayScalePointCode]],10)," ","")=TEXT(PSPOINTS[[#This Row],[PayScalePointCode]],10),0,1)</f>
        <v>0</v>
      </c>
      <c r="M75" s="57">
        <f ca="1">SUM(PSPOINTS[[#This Row],[Scale Point Issue]:[Space in Code]])</f>
        <v>0</v>
      </c>
      <c r="N75" s="57" t="s">
        <v>897</v>
      </c>
      <c r="P75" s="12" t="s">
        <v>3107</v>
      </c>
      <c r="Q75" s="57" t="str">
        <f>_xlfn.XLOOKUP(PSPOINTS[[#This Row],[PayScaleCode]],PayScales!N:N,PayScales!O:O)</f>
        <v>NJC - Cheshire East</v>
      </c>
      <c r="R75" s="12">
        <v>11</v>
      </c>
      <c r="S75" s="12">
        <v>11</v>
      </c>
      <c r="T75" s="12">
        <v>11</v>
      </c>
      <c r="U75" t="b">
        <v>0</v>
      </c>
      <c r="V75" s="5" t="b">
        <v>1</v>
      </c>
      <c r="W75" s="20">
        <v>45748</v>
      </c>
      <c r="Y75" s="14">
        <v>28142</v>
      </c>
    </row>
    <row r="76" spans="1:25" x14ac:dyDescent="0.3">
      <c r="A76" s="140" t="str">
        <f>PSPOINTS[[#This Row],[PayScaleCode]]&amp;PSPOINTS[[#This Row],[RateDateFrom]]</f>
        <v>NJC_CHE45748</v>
      </c>
      <c r="B76" s="57">
        <f t="shared" si="1"/>
        <v>0</v>
      </c>
      <c r="C76" s="57" t="str">
        <f>PSPOINTS[[#This Row],[PayScaleCode]]&amp;PSPOINTS[[#This Row],[PayScalePointCode]]&amp;PSPOINTS[[#This Row],[RateDateFrom]]</f>
        <v>NJC_CHE1245748</v>
      </c>
      <c r="D76" s="57">
        <f>COUNTIF(PSPOINTS[Pay Scale String Duplicates],PSPOINTS[[#This Row],[Pay Scale String Duplicates]])-1</f>
        <v>0</v>
      </c>
      <c r="E76" s="57">
        <f>IF((MONTH(_xlfn.XLOOKUP(PSPOINTS[[#This Row],[PayScaleCode]],PayScales!N:N,PayScales!R:R)))=MONTH(PSPOINTS[[#This Row],[RateDateFrom]]),0,1)</f>
        <v>0</v>
      </c>
      <c r="F76" s="57">
        <f>IF(ISBLANK(PSPOINTS[[#This Row],[RateDateTo]]),0,IF(PSPOINTS[[#This Row],[RateDateFrom]]&lt;PSPOINTS[[#This Row],[RateDateTo]],0,1))</f>
        <v>0</v>
      </c>
      <c r="G76" s="57" cm="1">
        <f t="array" aca="1" ref="G76" ca="1">IF(CELL("format",PSPOINTS[[#This Row],[RateDateFrom]])="D1",0,1)+IF(CELL("format",PSPOINTS[[#This Row],[RateDateTo]])="D1",0,1)</f>
        <v>0</v>
      </c>
      <c r="H76" s="57">
        <f>IF(OR(PSPOINTS[[#This Row],[Hourly]]=TRUE,PSPOINTS[[#This Row],[Hourly]]=FALSE),IF(OR(PSPOINTS[[#This Row],[PayScalePointEnabled]]=TRUE,PSPOINTS[[#This Row],[PayScalePointEnabled]]=FALSE),0,1),1)</f>
        <v>0</v>
      </c>
      <c r="I76" s="57">
        <f>IF(LEN(PSPOINTS[[#This Row],[PayScalePointCode]])&lt;100,0,1)</f>
        <v>0</v>
      </c>
      <c r="J76" s="57">
        <f>IF(LEN(PSPOINTS[[#This Row],[PayScalePointTitle]])&lt;100,0,1)</f>
        <v>0</v>
      </c>
      <c r="K76" s="57">
        <f>(COUNTBLANK(PSPOINTS[[#This Row],[PayScalePointCode]:[RateDateFrom]])+COUNTBLANK(PSPOINTS[[#This Row],[PayScaleRate]]))</f>
        <v>0</v>
      </c>
      <c r="L76" s="112">
        <f>IF(SUBSTITUTE(TEXT(PSPOINTS[[#This Row],[PayScaleCode]],10)," ","")=TEXT(PSPOINTS[[#This Row],[PayScaleCode]],10),0,1)+IF(SUBSTITUTE(TEXT(PSPOINTS[[#This Row],[PayScalePointCode]],10)," ","")=TEXT(PSPOINTS[[#This Row],[PayScalePointCode]],10),0,1)</f>
        <v>0</v>
      </c>
      <c r="M76" s="57">
        <f ca="1">SUM(PSPOINTS[[#This Row],[Scale Point Issue]:[Space in Code]])</f>
        <v>0</v>
      </c>
      <c r="N76" s="57" t="s">
        <v>897</v>
      </c>
      <c r="P76" s="12" t="s">
        <v>3107</v>
      </c>
      <c r="Q76" s="57" t="str">
        <f>_xlfn.XLOOKUP(PSPOINTS[[#This Row],[PayScaleCode]],PayScales!N:N,PayScales!O:O)</f>
        <v>NJC - Cheshire East</v>
      </c>
      <c r="R76" s="12">
        <v>12</v>
      </c>
      <c r="S76" s="12">
        <v>12</v>
      </c>
      <c r="T76" s="12">
        <v>12</v>
      </c>
      <c r="U76" t="b">
        <v>0</v>
      </c>
      <c r="V76" s="5" t="b">
        <v>1</v>
      </c>
      <c r="W76" s="20">
        <v>45748</v>
      </c>
      <c r="Y76" s="14">
        <v>28598</v>
      </c>
    </row>
    <row r="77" spans="1:25" x14ac:dyDescent="0.3">
      <c r="A77" s="140" t="str">
        <f>PSPOINTS[[#This Row],[PayScaleCode]]&amp;PSPOINTS[[#This Row],[RateDateFrom]]</f>
        <v>NJC_CHE45748</v>
      </c>
      <c r="B77" s="57">
        <f t="shared" si="1"/>
        <v>0</v>
      </c>
      <c r="C77" s="57" t="str">
        <f>PSPOINTS[[#This Row],[PayScaleCode]]&amp;PSPOINTS[[#This Row],[PayScalePointCode]]&amp;PSPOINTS[[#This Row],[RateDateFrom]]</f>
        <v>NJC_CHE1345748</v>
      </c>
      <c r="D77" s="57">
        <f>COUNTIF(PSPOINTS[Pay Scale String Duplicates],PSPOINTS[[#This Row],[Pay Scale String Duplicates]])-1</f>
        <v>0</v>
      </c>
      <c r="E77" s="57">
        <f>IF((MONTH(_xlfn.XLOOKUP(PSPOINTS[[#This Row],[PayScaleCode]],PayScales!N:N,PayScales!R:R)))=MONTH(PSPOINTS[[#This Row],[RateDateFrom]]),0,1)</f>
        <v>0</v>
      </c>
      <c r="F77" s="57">
        <f>IF(ISBLANK(PSPOINTS[[#This Row],[RateDateTo]]),0,IF(PSPOINTS[[#This Row],[RateDateFrom]]&lt;PSPOINTS[[#This Row],[RateDateTo]],0,1))</f>
        <v>0</v>
      </c>
      <c r="G77" s="57" cm="1">
        <f t="array" aca="1" ref="G77" ca="1">IF(CELL("format",PSPOINTS[[#This Row],[RateDateFrom]])="D1",0,1)+IF(CELL("format",PSPOINTS[[#This Row],[RateDateTo]])="D1",0,1)</f>
        <v>0</v>
      </c>
      <c r="H77" s="57">
        <f>IF(OR(PSPOINTS[[#This Row],[Hourly]]=TRUE,PSPOINTS[[#This Row],[Hourly]]=FALSE),IF(OR(PSPOINTS[[#This Row],[PayScalePointEnabled]]=TRUE,PSPOINTS[[#This Row],[PayScalePointEnabled]]=FALSE),0,1),1)</f>
        <v>0</v>
      </c>
      <c r="I77" s="57">
        <f>IF(LEN(PSPOINTS[[#This Row],[PayScalePointCode]])&lt;100,0,1)</f>
        <v>0</v>
      </c>
      <c r="J77" s="57">
        <f>IF(LEN(PSPOINTS[[#This Row],[PayScalePointTitle]])&lt;100,0,1)</f>
        <v>0</v>
      </c>
      <c r="K77" s="57">
        <f>(COUNTBLANK(PSPOINTS[[#This Row],[PayScalePointCode]:[RateDateFrom]])+COUNTBLANK(PSPOINTS[[#This Row],[PayScaleRate]]))</f>
        <v>0</v>
      </c>
      <c r="L77" s="112">
        <f>IF(SUBSTITUTE(TEXT(PSPOINTS[[#This Row],[PayScaleCode]],10)," ","")=TEXT(PSPOINTS[[#This Row],[PayScaleCode]],10),0,1)+IF(SUBSTITUTE(TEXT(PSPOINTS[[#This Row],[PayScalePointCode]],10)," ","")=TEXT(PSPOINTS[[#This Row],[PayScalePointCode]],10),0,1)</f>
        <v>0</v>
      </c>
      <c r="M77" s="57">
        <f ca="1">SUM(PSPOINTS[[#This Row],[Scale Point Issue]:[Space in Code]])</f>
        <v>0</v>
      </c>
      <c r="N77" s="57" t="s">
        <v>897</v>
      </c>
      <c r="P77" s="12" t="s">
        <v>3107</v>
      </c>
      <c r="Q77" s="57" t="str">
        <f>_xlfn.XLOOKUP(PSPOINTS[[#This Row],[PayScaleCode]],PayScales!N:N,PayScales!O:O)</f>
        <v>NJC - Cheshire East</v>
      </c>
      <c r="R77" s="12">
        <v>13</v>
      </c>
      <c r="S77" s="12">
        <v>13</v>
      </c>
      <c r="T77" s="12">
        <v>13</v>
      </c>
      <c r="U77" t="b">
        <v>0</v>
      </c>
      <c r="V77" s="5" t="b">
        <v>1</v>
      </c>
      <c r="W77" s="20">
        <v>45748</v>
      </c>
      <c r="Y77" s="14">
        <v>29064</v>
      </c>
    </row>
    <row r="78" spans="1:25" x14ac:dyDescent="0.3">
      <c r="A78" s="140" t="str">
        <f>PSPOINTS[[#This Row],[PayScaleCode]]&amp;PSPOINTS[[#This Row],[RateDateFrom]]</f>
        <v>NJC_CHE45748</v>
      </c>
      <c r="B78" s="57">
        <f t="shared" si="1"/>
        <v>0</v>
      </c>
      <c r="C78" s="57" t="str">
        <f>PSPOINTS[[#This Row],[PayScaleCode]]&amp;PSPOINTS[[#This Row],[PayScalePointCode]]&amp;PSPOINTS[[#This Row],[RateDateFrom]]</f>
        <v>NJC_CHE1445748</v>
      </c>
      <c r="D78" s="57">
        <f>COUNTIF(PSPOINTS[Pay Scale String Duplicates],PSPOINTS[[#This Row],[Pay Scale String Duplicates]])-1</f>
        <v>0</v>
      </c>
      <c r="E78" s="57">
        <f>IF((MONTH(_xlfn.XLOOKUP(PSPOINTS[[#This Row],[PayScaleCode]],PayScales!N:N,PayScales!R:R)))=MONTH(PSPOINTS[[#This Row],[RateDateFrom]]),0,1)</f>
        <v>0</v>
      </c>
      <c r="F78" s="57">
        <f>IF(ISBLANK(PSPOINTS[[#This Row],[RateDateTo]]),0,IF(PSPOINTS[[#This Row],[RateDateFrom]]&lt;PSPOINTS[[#This Row],[RateDateTo]],0,1))</f>
        <v>0</v>
      </c>
      <c r="G78" s="57" cm="1">
        <f t="array" aca="1" ref="G78" ca="1">IF(CELL("format",PSPOINTS[[#This Row],[RateDateFrom]])="D1",0,1)+IF(CELL("format",PSPOINTS[[#This Row],[RateDateTo]])="D1",0,1)</f>
        <v>0</v>
      </c>
      <c r="H78" s="57">
        <f>IF(OR(PSPOINTS[[#This Row],[Hourly]]=TRUE,PSPOINTS[[#This Row],[Hourly]]=FALSE),IF(OR(PSPOINTS[[#This Row],[PayScalePointEnabled]]=TRUE,PSPOINTS[[#This Row],[PayScalePointEnabled]]=FALSE),0,1),1)</f>
        <v>0</v>
      </c>
      <c r="I78" s="57">
        <f>IF(LEN(PSPOINTS[[#This Row],[PayScalePointCode]])&lt;100,0,1)</f>
        <v>0</v>
      </c>
      <c r="J78" s="57">
        <f>IF(LEN(PSPOINTS[[#This Row],[PayScalePointTitle]])&lt;100,0,1)</f>
        <v>0</v>
      </c>
      <c r="K78" s="57">
        <f>(COUNTBLANK(PSPOINTS[[#This Row],[PayScalePointCode]:[RateDateFrom]])+COUNTBLANK(PSPOINTS[[#This Row],[PayScaleRate]]))</f>
        <v>0</v>
      </c>
      <c r="L78" s="112">
        <f>IF(SUBSTITUTE(TEXT(PSPOINTS[[#This Row],[PayScaleCode]],10)," ","")=TEXT(PSPOINTS[[#This Row],[PayScaleCode]],10),0,1)+IF(SUBSTITUTE(TEXT(PSPOINTS[[#This Row],[PayScalePointCode]],10)," ","")=TEXT(PSPOINTS[[#This Row],[PayScalePointCode]],10),0,1)</f>
        <v>0</v>
      </c>
      <c r="M78" s="57">
        <f ca="1">SUM(PSPOINTS[[#This Row],[Scale Point Issue]:[Space in Code]])</f>
        <v>0</v>
      </c>
      <c r="N78" s="57" t="s">
        <v>897</v>
      </c>
      <c r="P78" s="12" t="s">
        <v>3107</v>
      </c>
      <c r="Q78" s="57" t="str">
        <f>_xlfn.XLOOKUP(PSPOINTS[[#This Row],[PayScaleCode]],PayScales!N:N,PayScales!O:O)</f>
        <v>NJC - Cheshire East</v>
      </c>
      <c r="R78" s="12">
        <v>14</v>
      </c>
      <c r="S78" s="12">
        <v>14</v>
      </c>
      <c r="T78" s="12">
        <v>14</v>
      </c>
      <c r="U78" t="b">
        <v>0</v>
      </c>
      <c r="V78" s="5" t="b">
        <v>1</v>
      </c>
      <c r="W78" s="20">
        <v>45748</v>
      </c>
      <c r="Y78" s="14">
        <v>29540</v>
      </c>
    </row>
    <row r="79" spans="1:25" x14ac:dyDescent="0.3">
      <c r="A79" s="140" t="str">
        <f>PSPOINTS[[#This Row],[PayScaleCode]]&amp;PSPOINTS[[#This Row],[RateDateFrom]]</f>
        <v>NJC_CHE45748</v>
      </c>
      <c r="B79" s="57">
        <f t="shared" si="1"/>
        <v>0</v>
      </c>
      <c r="C79" s="57" t="str">
        <f>PSPOINTS[[#This Row],[PayScaleCode]]&amp;PSPOINTS[[#This Row],[PayScalePointCode]]&amp;PSPOINTS[[#This Row],[RateDateFrom]]</f>
        <v>NJC_CHE1545748</v>
      </c>
      <c r="D79" s="57">
        <f>COUNTIF(PSPOINTS[Pay Scale String Duplicates],PSPOINTS[[#This Row],[Pay Scale String Duplicates]])-1</f>
        <v>0</v>
      </c>
      <c r="E79" s="57">
        <f>IF((MONTH(_xlfn.XLOOKUP(PSPOINTS[[#This Row],[PayScaleCode]],PayScales!N:N,PayScales!R:R)))=MONTH(PSPOINTS[[#This Row],[RateDateFrom]]),0,1)</f>
        <v>0</v>
      </c>
      <c r="F79" s="57">
        <f>IF(ISBLANK(PSPOINTS[[#This Row],[RateDateTo]]),0,IF(PSPOINTS[[#This Row],[RateDateFrom]]&lt;PSPOINTS[[#This Row],[RateDateTo]],0,1))</f>
        <v>0</v>
      </c>
      <c r="G79" s="57" cm="1">
        <f t="array" aca="1" ref="G79" ca="1">IF(CELL("format",PSPOINTS[[#This Row],[RateDateFrom]])="D1",0,1)+IF(CELL("format",PSPOINTS[[#This Row],[RateDateTo]])="D1",0,1)</f>
        <v>0</v>
      </c>
      <c r="H79" s="57">
        <f>IF(OR(PSPOINTS[[#This Row],[Hourly]]=TRUE,PSPOINTS[[#This Row],[Hourly]]=FALSE),IF(OR(PSPOINTS[[#This Row],[PayScalePointEnabled]]=TRUE,PSPOINTS[[#This Row],[PayScalePointEnabled]]=FALSE),0,1),1)</f>
        <v>0</v>
      </c>
      <c r="I79" s="57">
        <f>IF(LEN(PSPOINTS[[#This Row],[PayScalePointCode]])&lt;100,0,1)</f>
        <v>0</v>
      </c>
      <c r="J79" s="57">
        <f>IF(LEN(PSPOINTS[[#This Row],[PayScalePointTitle]])&lt;100,0,1)</f>
        <v>0</v>
      </c>
      <c r="K79" s="57">
        <f>(COUNTBLANK(PSPOINTS[[#This Row],[PayScalePointCode]:[RateDateFrom]])+COUNTBLANK(PSPOINTS[[#This Row],[PayScaleRate]]))</f>
        <v>0</v>
      </c>
      <c r="L79" s="112">
        <f>IF(SUBSTITUTE(TEXT(PSPOINTS[[#This Row],[PayScaleCode]],10)," ","")=TEXT(PSPOINTS[[#This Row],[PayScaleCode]],10),0,1)+IF(SUBSTITUTE(TEXT(PSPOINTS[[#This Row],[PayScalePointCode]],10)," ","")=TEXT(PSPOINTS[[#This Row],[PayScalePointCode]],10),0,1)</f>
        <v>0</v>
      </c>
      <c r="M79" s="57">
        <f ca="1">SUM(PSPOINTS[[#This Row],[Scale Point Issue]:[Space in Code]])</f>
        <v>0</v>
      </c>
      <c r="N79" s="57" t="s">
        <v>897</v>
      </c>
      <c r="P79" s="12" t="s">
        <v>3107</v>
      </c>
      <c r="Q79" s="57" t="str">
        <f>_xlfn.XLOOKUP(PSPOINTS[[#This Row],[PayScaleCode]],PayScales!N:N,PayScales!O:O)</f>
        <v>NJC - Cheshire East</v>
      </c>
      <c r="R79" s="12">
        <v>15</v>
      </c>
      <c r="S79" s="12">
        <v>15</v>
      </c>
      <c r="T79" s="12">
        <v>15</v>
      </c>
      <c r="U79" t="b">
        <v>0</v>
      </c>
      <c r="V79" s="5" t="b">
        <v>1</v>
      </c>
      <c r="W79" s="20">
        <v>45748</v>
      </c>
      <c r="Y79" s="14">
        <v>30024</v>
      </c>
    </row>
    <row r="80" spans="1:25" x14ac:dyDescent="0.3">
      <c r="A80" s="140" t="str">
        <f>PSPOINTS[[#This Row],[PayScaleCode]]&amp;PSPOINTS[[#This Row],[RateDateFrom]]</f>
        <v>NJC_CHE45748</v>
      </c>
      <c r="B80" s="57">
        <f t="shared" si="1"/>
        <v>0</v>
      </c>
      <c r="C80" s="57" t="str">
        <f>PSPOINTS[[#This Row],[PayScaleCode]]&amp;PSPOINTS[[#This Row],[PayScalePointCode]]&amp;PSPOINTS[[#This Row],[RateDateFrom]]</f>
        <v>NJC_CHE1645748</v>
      </c>
      <c r="D80" s="57">
        <f>COUNTIF(PSPOINTS[Pay Scale String Duplicates],PSPOINTS[[#This Row],[Pay Scale String Duplicates]])-1</f>
        <v>0</v>
      </c>
      <c r="E80" s="57">
        <f>IF((MONTH(_xlfn.XLOOKUP(PSPOINTS[[#This Row],[PayScaleCode]],PayScales!N:N,PayScales!R:R)))=MONTH(PSPOINTS[[#This Row],[RateDateFrom]]),0,1)</f>
        <v>0</v>
      </c>
      <c r="F80" s="57">
        <f>IF(ISBLANK(PSPOINTS[[#This Row],[RateDateTo]]),0,IF(PSPOINTS[[#This Row],[RateDateFrom]]&lt;PSPOINTS[[#This Row],[RateDateTo]],0,1))</f>
        <v>0</v>
      </c>
      <c r="G80" s="57" cm="1">
        <f t="array" aca="1" ref="G80" ca="1">IF(CELL("format",PSPOINTS[[#This Row],[RateDateFrom]])="D1",0,1)+IF(CELL("format",PSPOINTS[[#This Row],[RateDateTo]])="D1",0,1)</f>
        <v>0</v>
      </c>
      <c r="H80" s="57">
        <f>IF(OR(PSPOINTS[[#This Row],[Hourly]]=TRUE,PSPOINTS[[#This Row],[Hourly]]=FALSE),IF(OR(PSPOINTS[[#This Row],[PayScalePointEnabled]]=TRUE,PSPOINTS[[#This Row],[PayScalePointEnabled]]=FALSE),0,1),1)</f>
        <v>0</v>
      </c>
      <c r="I80" s="57">
        <f>IF(LEN(PSPOINTS[[#This Row],[PayScalePointCode]])&lt;100,0,1)</f>
        <v>0</v>
      </c>
      <c r="J80" s="57">
        <f>IF(LEN(PSPOINTS[[#This Row],[PayScalePointTitle]])&lt;100,0,1)</f>
        <v>0</v>
      </c>
      <c r="K80" s="57">
        <f>(COUNTBLANK(PSPOINTS[[#This Row],[PayScalePointCode]:[RateDateFrom]])+COUNTBLANK(PSPOINTS[[#This Row],[PayScaleRate]]))</f>
        <v>0</v>
      </c>
      <c r="L80" s="112">
        <f>IF(SUBSTITUTE(TEXT(PSPOINTS[[#This Row],[PayScaleCode]],10)," ","")=TEXT(PSPOINTS[[#This Row],[PayScaleCode]],10),0,1)+IF(SUBSTITUTE(TEXT(PSPOINTS[[#This Row],[PayScalePointCode]],10)," ","")=TEXT(PSPOINTS[[#This Row],[PayScalePointCode]],10),0,1)</f>
        <v>0</v>
      </c>
      <c r="M80" s="57">
        <f ca="1">SUM(PSPOINTS[[#This Row],[Scale Point Issue]:[Space in Code]])</f>
        <v>0</v>
      </c>
      <c r="N80" s="57" t="s">
        <v>897</v>
      </c>
      <c r="P80" s="12" t="s">
        <v>3107</v>
      </c>
      <c r="Q80" s="57" t="str">
        <f>_xlfn.XLOOKUP(PSPOINTS[[#This Row],[PayScaleCode]],PayScales!N:N,PayScales!O:O)</f>
        <v>NJC - Cheshire East</v>
      </c>
      <c r="R80" s="12">
        <v>16</v>
      </c>
      <c r="S80" s="12">
        <v>16</v>
      </c>
      <c r="T80" s="12">
        <v>16</v>
      </c>
      <c r="U80" t="b">
        <v>0</v>
      </c>
      <c r="V80" s="5" t="b">
        <v>1</v>
      </c>
      <c r="W80" s="20">
        <v>45748</v>
      </c>
      <c r="Y80" s="14">
        <v>30518</v>
      </c>
    </row>
    <row r="81" spans="1:25" x14ac:dyDescent="0.3">
      <c r="A81" s="140" t="str">
        <f>PSPOINTS[[#This Row],[PayScaleCode]]&amp;PSPOINTS[[#This Row],[RateDateFrom]]</f>
        <v>NJC_CHE45748</v>
      </c>
      <c r="B81" s="57">
        <f t="shared" si="1"/>
        <v>0</v>
      </c>
      <c r="C81" s="57" t="str">
        <f>PSPOINTS[[#This Row],[PayScaleCode]]&amp;PSPOINTS[[#This Row],[PayScalePointCode]]&amp;PSPOINTS[[#This Row],[RateDateFrom]]</f>
        <v>NJC_CHE1745748</v>
      </c>
      <c r="D81" s="57">
        <f>COUNTIF(PSPOINTS[Pay Scale String Duplicates],PSPOINTS[[#This Row],[Pay Scale String Duplicates]])-1</f>
        <v>0</v>
      </c>
      <c r="E81" s="57">
        <f>IF((MONTH(_xlfn.XLOOKUP(PSPOINTS[[#This Row],[PayScaleCode]],PayScales!N:N,PayScales!R:R)))=MONTH(PSPOINTS[[#This Row],[RateDateFrom]]),0,1)</f>
        <v>0</v>
      </c>
      <c r="F81" s="57">
        <f>IF(ISBLANK(PSPOINTS[[#This Row],[RateDateTo]]),0,IF(PSPOINTS[[#This Row],[RateDateFrom]]&lt;PSPOINTS[[#This Row],[RateDateTo]],0,1))</f>
        <v>0</v>
      </c>
      <c r="G81" s="57" cm="1">
        <f t="array" aca="1" ref="G81" ca="1">IF(CELL("format",PSPOINTS[[#This Row],[RateDateFrom]])="D1",0,1)+IF(CELL("format",PSPOINTS[[#This Row],[RateDateTo]])="D1",0,1)</f>
        <v>0</v>
      </c>
      <c r="H81" s="57">
        <f>IF(OR(PSPOINTS[[#This Row],[Hourly]]=TRUE,PSPOINTS[[#This Row],[Hourly]]=FALSE),IF(OR(PSPOINTS[[#This Row],[PayScalePointEnabled]]=TRUE,PSPOINTS[[#This Row],[PayScalePointEnabled]]=FALSE),0,1),1)</f>
        <v>0</v>
      </c>
      <c r="I81" s="57">
        <f>IF(LEN(PSPOINTS[[#This Row],[PayScalePointCode]])&lt;100,0,1)</f>
        <v>0</v>
      </c>
      <c r="J81" s="57">
        <f>IF(LEN(PSPOINTS[[#This Row],[PayScalePointTitle]])&lt;100,0,1)</f>
        <v>0</v>
      </c>
      <c r="K81" s="57">
        <f>(COUNTBLANK(PSPOINTS[[#This Row],[PayScalePointCode]:[RateDateFrom]])+COUNTBLANK(PSPOINTS[[#This Row],[PayScaleRate]]))</f>
        <v>0</v>
      </c>
      <c r="L81" s="112">
        <f>IF(SUBSTITUTE(TEXT(PSPOINTS[[#This Row],[PayScaleCode]],10)," ","")=TEXT(PSPOINTS[[#This Row],[PayScaleCode]],10),0,1)+IF(SUBSTITUTE(TEXT(PSPOINTS[[#This Row],[PayScalePointCode]],10)," ","")=TEXT(PSPOINTS[[#This Row],[PayScalePointCode]],10),0,1)</f>
        <v>0</v>
      </c>
      <c r="M81" s="57">
        <f ca="1">SUM(PSPOINTS[[#This Row],[Scale Point Issue]:[Space in Code]])</f>
        <v>0</v>
      </c>
      <c r="N81" s="57" t="s">
        <v>897</v>
      </c>
      <c r="P81" s="12" t="s">
        <v>3107</v>
      </c>
      <c r="Q81" s="57" t="str">
        <f>_xlfn.XLOOKUP(PSPOINTS[[#This Row],[PayScaleCode]],PayScales!N:N,PayScales!O:O)</f>
        <v>NJC - Cheshire East</v>
      </c>
      <c r="R81" s="12">
        <v>17</v>
      </c>
      <c r="S81" s="12">
        <v>17</v>
      </c>
      <c r="T81" s="12">
        <v>17</v>
      </c>
      <c r="U81" t="b">
        <v>0</v>
      </c>
      <c r="V81" s="5" t="b">
        <v>1</v>
      </c>
      <c r="W81" s="20">
        <v>45748</v>
      </c>
      <c r="Y81" s="14">
        <v>31022</v>
      </c>
    </row>
    <row r="82" spans="1:25" x14ac:dyDescent="0.3">
      <c r="A82" s="140" t="str">
        <f>PSPOINTS[[#This Row],[PayScaleCode]]&amp;PSPOINTS[[#This Row],[RateDateFrom]]</f>
        <v>NJC_CHE45748</v>
      </c>
      <c r="B82" s="57">
        <f t="shared" si="1"/>
        <v>0</v>
      </c>
      <c r="C82" s="57" t="str">
        <f>PSPOINTS[[#This Row],[PayScaleCode]]&amp;PSPOINTS[[#This Row],[PayScalePointCode]]&amp;PSPOINTS[[#This Row],[RateDateFrom]]</f>
        <v>NJC_CHE1845748</v>
      </c>
      <c r="D82" s="57">
        <f>COUNTIF(PSPOINTS[Pay Scale String Duplicates],PSPOINTS[[#This Row],[Pay Scale String Duplicates]])-1</f>
        <v>0</v>
      </c>
      <c r="E82" s="57">
        <f>IF((MONTH(_xlfn.XLOOKUP(PSPOINTS[[#This Row],[PayScaleCode]],PayScales!N:N,PayScales!R:R)))=MONTH(PSPOINTS[[#This Row],[RateDateFrom]]),0,1)</f>
        <v>0</v>
      </c>
      <c r="F82" s="57">
        <f>IF(ISBLANK(PSPOINTS[[#This Row],[RateDateTo]]),0,IF(PSPOINTS[[#This Row],[RateDateFrom]]&lt;PSPOINTS[[#This Row],[RateDateTo]],0,1))</f>
        <v>0</v>
      </c>
      <c r="G82" s="57" cm="1">
        <f t="array" aca="1" ref="G82" ca="1">IF(CELL("format",PSPOINTS[[#This Row],[RateDateFrom]])="D1",0,1)+IF(CELL("format",PSPOINTS[[#This Row],[RateDateTo]])="D1",0,1)</f>
        <v>0</v>
      </c>
      <c r="H82" s="57">
        <f>IF(OR(PSPOINTS[[#This Row],[Hourly]]=TRUE,PSPOINTS[[#This Row],[Hourly]]=FALSE),IF(OR(PSPOINTS[[#This Row],[PayScalePointEnabled]]=TRUE,PSPOINTS[[#This Row],[PayScalePointEnabled]]=FALSE),0,1),1)</f>
        <v>0</v>
      </c>
      <c r="I82" s="57">
        <f>IF(LEN(PSPOINTS[[#This Row],[PayScalePointCode]])&lt;100,0,1)</f>
        <v>0</v>
      </c>
      <c r="J82" s="57">
        <f>IF(LEN(PSPOINTS[[#This Row],[PayScalePointTitle]])&lt;100,0,1)</f>
        <v>0</v>
      </c>
      <c r="K82" s="57">
        <f>(COUNTBLANK(PSPOINTS[[#This Row],[PayScalePointCode]:[RateDateFrom]])+COUNTBLANK(PSPOINTS[[#This Row],[PayScaleRate]]))</f>
        <v>0</v>
      </c>
      <c r="L82" s="112">
        <f>IF(SUBSTITUTE(TEXT(PSPOINTS[[#This Row],[PayScaleCode]],10)," ","")=TEXT(PSPOINTS[[#This Row],[PayScaleCode]],10),0,1)+IF(SUBSTITUTE(TEXT(PSPOINTS[[#This Row],[PayScalePointCode]],10)," ","")=TEXT(PSPOINTS[[#This Row],[PayScalePointCode]],10),0,1)</f>
        <v>0</v>
      </c>
      <c r="M82" s="57">
        <f ca="1">SUM(PSPOINTS[[#This Row],[Scale Point Issue]:[Space in Code]])</f>
        <v>0</v>
      </c>
      <c r="N82" s="57" t="s">
        <v>897</v>
      </c>
      <c r="P82" s="12" t="s">
        <v>3107</v>
      </c>
      <c r="Q82" s="57" t="str">
        <f>_xlfn.XLOOKUP(PSPOINTS[[#This Row],[PayScaleCode]],PayScales!N:N,PayScales!O:O)</f>
        <v>NJC - Cheshire East</v>
      </c>
      <c r="R82" s="12">
        <v>18</v>
      </c>
      <c r="S82" s="12">
        <v>18</v>
      </c>
      <c r="T82" s="12">
        <v>18</v>
      </c>
      <c r="U82" t="b">
        <v>0</v>
      </c>
      <c r="V82" s="5" t="b">
        <v>1</v>
      </c>
      <c r="W82" s="20">
        <v>45748</v>
      </c>
      <c r="Y82" s="14">
        <v>31537</v>
      </c>
    </row>
    <row r="83" spans="1:25" x14ac:dyDescent="0.3">
      <c r="A83" s="140" t="str">
        <f>PSPOINTS[[#This Row],[PayScaleCode]]&amp;PSPOINTS[[#This Row],[RateDateFrom]]</f>
        <v>NJC_CHE45748</v>
      </c>
      <c r="B83" s="57">
        <f t="shared" si="1"/>
        <v>0</v>
      </c>
      <c r="C83" s="57" t="str">
        <f>PSPOINTS[[#This Row],[PayScaleCode]]&amp;PSPOINTS[[#This Row],[PayScalePointCode]]&amp;PSPOINTS[[#This Row],[RateDateFrom]]</f>
        <v>NJC_CHE1945748</v>
      </c>
      <c r="D83" s="57">
        <f>COUNTIF(PSPOINTS[Pay Scale String Duplicates],PSPOINTS[[#This Row],[Pay Scale String Duplicates]])-1</f>
        <v>0</v>
      </c>
      <c r="E83" s="57">
        <f>IF((MONTH(_xlfn.XLOOKUP(PSPOINTS[[#This Row],[PayScaleCode]],PayScales!N:N,PayScales!R:R)))=MONTH(PSPOINTS[[#This Row],[RateDateFrom]]),0,1)</f>
        <v>0</v>
      </c>
      <c r="F83" s="57">
        <f>IF(ISBLANK(PSPOINTS[[#This Row],[RateDateTo]]),0,IF(PSPOINTS[[#This Row],[RateDateFrom]]&lt;PSPOINTS[[#This Row],[RateDateTo]],0,1))</f>
        <v>0</v>
      </c>
      <c r="G83" s="57" cm="1">
        <f t="array" aca="1" ref="G83" ca="1">IF(CELL("format",PSPOINTS[[#This Row],[RateDateFrom]])="D1",0,1)+IF(CELL("format",PSPOINTS[[#This Row],[RateDateTo]])="D1",0,1)</f>
        <v>0</v>
      </c>
      <c r="H83" s="57">
        <f>IF(OR(PSPOINTS[[#This Row],[Hourly]]=TRUE,PSPOINTS[[#This Row],[Hourly]]=FALSE),IF(OR(PSPOINTS[[#This Row],[PayScalePointEnabled]]=TRUE,PSPOINTS[[#This Row],[PayScalePointEnabled]]=FALSE),0,1),1)</f>
        <v>0</v>
      </c>
      <c r="I83" s="57">
        <f>IF(LEN(PSPOINTS[[#This Row],[PayScalePointCode]])&lt;100,0,1)</f>
        <v>0</v>
      </c>
      <c r="J83" s="57">
        <f>IF(LEN(PSPOINTS[[#This Row],[PayScalePointTitle]])&lt;100,0,1)</f>
        <v>0</v>
      </c>
      <c r="K83" s="57">
        <f>(COUNTBLANK(PSPOINTS[[#This Row],[PayScalePointCode]:[RateDateFrom]])+COUNTBLANK(PSPOINTS[[#This Row],[PayScaleRate]]))</f>
        <v>0</v>
      </c>
      <c r="L83" s="112">
        <f>IF(SUBSTITUTE(TEXT(PSPOINTS[[#This Row],[PayScaleCode]],10)," ","")=TEXT(PSPOINTS[[#This Row],[PayScaleCode]],10),0,1)+IF(SUBSTITUTE(TEXT(PSPOINTS[[#This Row],[PayScalePointCode]],10)," ","")=TEXT(PSPOINTS[[#This Row],[PayScalePointCode]],10),0,1)</f>
        <v>0</v>
      </c>
      <c r="M83" s="57">
        <f ca="1">SUM(PSPOINTS[[#This Row],[Scale Point Issue]:[Space in Code]])</f>
        <v>0</v>
      </c>
      <c r="N83" s="57" t="s">
        <v>897</v>
      </c>
      <c r="P83" s="12" t="s">
        <v>3107</v>
      </c>
      <c r="Q83" s="57" t="str">
        <f>_xlfn.XLOOKUP(PSPOINTS[[#This Row],[PayScaleCode]],PayScales!N:N,PayScales!O:O)</f>
        <v>NJC - Cheshire East</v>
      </c>
      <c r="R83" s="12">
        <v>19</v>
      </c>
      <c r="S83" s="12">
        <v>19</v>
      </c>
      <c r="T83" s="12">
        <v>19</v>
      </c>
      <c r="U83" t="b">
        <v>0</v>
      </c>
      <c r="V83" s="5" t="b">
        <v>1</v>
      </c>
      <c r="W83" s="20">
        <v>45748</v>
      </c>
      <c r="Y83" s="14">
        <v>32061</v>
      </c>
    </row>
    <row r="84" spans="1:25" x14ac:dyDescent="0.3">
      <c r="A84" s="140" t="str">
        <f>PSPOINTS[[#This Row],[PayScaleCode]]&amp;PSPOINTS[[#This Row],[RateDateFrom]]</f>
        <v>NJC_CHE45748</v>
      </c>
      <c r="B84" s="57">
        <f t="shared" si="1"/>
        <v>0</v>
      </c>
      <c r="C84" s="57" t="str">
        <f>PSPOINTS[[#This Row],[PayScaleCode]]&amp;PSPOINTS[[#This Row],[PayScalePointCode]]&amp;PSPOINTS[[#This Row],[RateDateFrom]]</f>
        <v>NJC_CHE2045748</v>
      </c>
      <c r="D84" s="57">
        <f>COUNTIF(PSPOINTS[Pay Scale String Duplicates],PSPOINTS[[#This Row],[Pay Scale String Duplicates]])-1</f>
        <v>0</v>
      </c>
      <c r="E84" s="57">
        <f>IF((MONTH(_xlfn.XLOOKUP(PSPOINTS[[#This Row],[PayScaleCode]],PayScales!N:N,PayScales!R:R)))=MONTH(PSPOINTS[[#This Row],[RateDateFrom]]),0,1)</f>
        <v>0</v>
      </c>
      <c r="F84" s="57">
        <f>IF(ISBLANK(PSPOINTS[[#This Row],[RateDateTo]]),0,IF(PSPOINTS[[#This Row],[RateDateFrom]]&lt;PSPOINTS[[#This Row],[RateDateTo]],0,1))</f>
        <v>0</v>
      </c>
      <c r="G84" s="57" cm="1">
        <f t="array" aca="1" ref="G84" ca="1">IF(CELL("format",PSPOINTS[[#This Row],[RateDateFrom]])="D1",0,1)+IF(CELL("format",PSPOINTS[[#This Row],[RateDateTo]])="D1",0,1)</f>
        <v>0</v>
      </c>
      <c r="H84" s="57">
        <f>IF(OR(PSPOINTS[[#This Row],[Hourly]]=TRUE,PSPOINTS[[#This Row],[Hourly]]=FALSE),IF(OR(PSPOINTS[[#This Row],[PayScalePointEnabled]]=TRUE,PSPOINTS[[#This Row],[PayScalePointEnabled]]=FALSE),0,1),1)</f>
        <v>0</v>
      </c>
      <c r="I84" s="57">
        <f>IF(LEN(PSPOINTS[[#This Row],[PayScalePointCode]])&lt;100,0,1)</f>
        <v>0</v>
      </c>
      <c r="J84" s="57">
        <f>IF(LEN(PSPOINTS[[#This Row],[PayScalePointTitle]])&lt;100,0,1)</f>
        <v>0</v>
      </c>
      <c r="K84" s="57">
        <f>(COUNTBLANK(PSPOINTS[[#This Row],[PayScalePointCode]:[RateDateFrom]])+COUNTBLANK(PSPOINTS[[#This Row],[PayScaleRate]]))</f>
        <v>0</v>
      </c>
      <c r="L84" s="112">
        <f>IF(SUBSTITUTE(TEXT(PSPOINTS[[#This Row],[PayScaleCode]],10)," ","")=TEXT(PSPOINTS[[#This Row],[PayScaleCode]],10),0,1)+IF(SUBSTITUTE(TEXT(PSPOINTS[[#This Row],[PayScalePointCode]],10)," ","")=TEXT(PSPOINTS[[#This Row],[PayScalePointCode]],10),0,1)</f>
        <v>0</v>
      </c>
      <c r="M84" s="57">
        <f ca="1">SUM(PSPOINTS[[#This Row],[Scale Point Issue]:[Space in Code]])</f>
        <v>0</v>
      </c>
      <c r="N84" s="57" t="s">
        <v>897</v>
      </c>
      <c r="P84" s="12" t="s">
        <v>3107</v>
      </c>
      <c r="Q84" s="57" t="str">
        <f>_xlfn.XLOOKUP(PSPOINTS[[#This Row],[PayScaleCode]],PayScales!N:N,PayScales!O:O)</f>
        <v>NJC - Cheshire East</v>
      </c>
      <c r="R84" s="12">
        <v>20</v>
      </c>
      <c r="S84" s="12">
        <v>20</v>
      </c>
      <c r="T84" s="12">
        <v>20</v>
      </c>
      <c r="U84" t="b">
        <v>0</v>
      </c>
      <c r="V84" s="5" t="b">
        <v>1</v>
      </c>
      <c r="W84" s="20">
        <v>45748</v>
      </c>
      <c r="Y84" s="14">
        <v>32597</v>
      </c>
    </row>
    <row r="85" spans="1:25" x14ac:dyDescent="0.3">
      <c r="A85" s="140" t="str">
        <f>PSPOINTS[[#This Row],[PayScaleCode]]&amp;PSPOINTS[[#This Row],[RateDateFrom]]</f>
        <v>NJC_CHE45748</v>
      </c>
      <c r="B85" s="57">
        <f t="shared" si="1"/>
        <v>0</v>
      </c>
      <c r="C85" s="57" t="str">
        <f>PSPOINTS[[#This Row],[PayScaleCode]]&amp;PSPOINTS[[#This Row],[PayScalePointCode]]&amp;PSPOINTS[[#This Row],[RateDateFrom]]</f>
        <v>NJC_CHE2145748</v>
      </c>
      <c r="D85" s="57">
        <f>COUNTIF(PSPOINTS[Pay Scale String Duplicates],PSPOINTS[[#This Row],[Pay Scale String Duplicates]])-1</f>
        <v>0</v>
      </c>
      <c r="E85" s="57">
        <f>IF((MONTH(_xlfn.XLOOKUP(PSPOINTS[[#This Row],[PayScaleCode]],PayScales!N:N,PayScales!R:R)))=MONTH(PSPOINTS[[#This Row],[RateDateFrom]]),0,1)</f>
        <v>0</v>
      </c>
      <c r="F85" s="57">
        <f>IF(ISBLANK(PSPOINTS[[#This Row],[RateDateTo]]),0,IF(PSPOINTS[[#This Row],[RateDateFrom]]&lt;PSPOINTS[[#This Row],[RateDateTo]],0,1))</f>
        <v>0</v>
      </c>
      <c r="G85" s="57" cm="1">
        <f t="array" aca="1" ref="G85" ca="1">IF(CELL("format",PSPOINTS[[#This Row],[RateDateFrom]])="D1",0,1)+IF(CELL("format",PSPOINTS[[#This Row],[RateDateTo]])="D1",0,1)</f>
        <v>0</v>
      </c>
      <c r="H85" s="57">
        <f>IF(OR(PSPOINTS[[#This Row],[Hourly]]=TRUE,PSPOINTS[[#This Row],[Hourly]]=FALSE),IF(OR(PSPOINTS[[#This Row],[PayScalePointEnabled]]=TRUE,PSPOINTS[[#This Row],[PayScalePointEnabled]]=FALSE),0,1),1)</f>
        <v>0</v>
      </c>
      <c r="I85" s="57">
        <f>IF(LEN(PSPOINTS[[#This Row],[PayScalePointCode]])&lt;100,0,1)</f>
        <v>0</v>
      </c>
      <c r="J85" s="57">
        <f>IF(LEN(PSPOINTS[[#This Row],[PayScalePointTitle]])&lt;100,0,1)</f>
        <v>0</v>
      </c>
      <c r="K85" s="57">
        <f>(COUNTBLANK(PSPOINTS[[#This Row],[PayScalePointCode]:[RateDateFrom]])+COUNTBLANK(PSPOINTS[[#This Row],[PayScaleRate]]))</f>
        <v>0</v>
      </c>
      <c r="L85" s="112">
        <f>IF(SUBSTITUTE(TEXT(PSPOINTS[[#This Row],[PayScaleCode]],10)," ","")=TEXT(PSPOINTS[[#This Row],[PayScaleCode]],10),0,1)+IF(SUBSTITUTE(TEXT(PSPOINTS[[#This Row],[PayScalePointCode]],10)," ","")=TEXT(PSPOINTS[[#This Row],[PayScalePointCode]],10),0,1)</f>
        <v>0</v>
      </c>
      <c r="M85" s="57">
        <f ca="1">SUM(PSPOINTS[[#This Row],[Scale Point Issue]:[Space in Code]])</f>
        <v>0</v>
      </c>
      <c r="N85" s="57" t="s">
        <v>897</v>
      </c>
      <c r="P85" s="12" t="s">
        <v>3107</v>
      </c>
      <c r="Q85" s="57" t="str">
        <f>_xlfn.XLOOKUP(PSPOINTS[[#This Row],[PayScaleCode]],PayScales!N:N,PayScales!O:O)</f>
        <v>NJC - Cheshire East</v>
      </c>
      <c r="R85" s="12">
        <v>21</v>
      </c>
      <c r="S85" s="12">
        <v>21</v>
      </c>
      <c r="T85" s="12">
        <v>21</v>
      </c>
      <c r="U85" t="b">
        <v>0</v>
      </c>
      <c r="V85" s="5" t="b">
        <v>1</v>
      </c>
      <c r="W85" s="20">
        <v>45748</v>
      </c>
      <c r="Y85" s="14">
        <v>33143</v>
      </c>
    </row>
    <row r="86" spans="1:25" x14ac:dyDescent="0.3">
      <c r="A86" s="140" t="str">
        <f>PSPOINTS[[#This Row],[PayScaleCode]]&amp;PSPOINTS[[#This Row],[RateDateFrom]]</f>
        <v>NJC_CHE45748</v>
      </c>
      <c r="B86" s="57">
        <f t="shared" si="1"/>
        <v>0</v>
      </c>
      <c r="C86" s="57" t="str">
        <f>PSPOINTS[[#This Row],[PayScaleCode]]&amp;PSPOINTS[[#This Row],[PayScalePointCode]]&amp;PSPOINTS[[#This Row],[RateDateFrom]]</f>
        <v>NJC_CHE2245748</v>
      </c>
      <c r="D86" s="57">
        <f>COUNTIF(PSPOINTS[Pay Scale String Duplicates],PSPOINTS[[#This Row],[Pay Scale String Duplicates]])-1</f>
        <v>0</v>
      </c>
      <c r="E86" s="57">
        <f>IF((MONTH(_xlfn.XLOOKUP(PSPOINTS[[#This Row],[PayScaleCode]],PayScales!N:N,PayScales!R:R)))=MONTH(PSPOINTS[[#This Row],[RateDateFrom]]),0,1)</f>
        <v>0</v>
      </c>
      <c r="F86" s="57">
        <f>IF(ISBLANK(PSPOINTS[[#This Row],[RateDateTo]]),0,IF(PSPOINTS[[#This Row],[RateDateFrom]]&lt;PSPOINTS[[#This Row],[RateDateTo]],0,1))</f>
        <v>0</v>
      </c>
      <c r="G86" s="57" cm="1">
        <f t="array" aca="1" ref="G86" ca="1">IF(CELL("format",PSPOINTS[[#This Row],[RateDateFrom]])="D1",0,1)+IF(CELL("format",PSPOINTS[[#This Row],[RateDateTo]])="D1",0,1)</f>
        <v>0</v>
      </c>
      <c r="H86" s="57">
        <f>IF(OR(PSPOINTS[[#This Row],[Hourly]]=TRUE,PSPOINTS[[#This Row],[Hourly]]=FALSE),IF(OR(PSPOINTS[[#This Row],[PayScalePointEnabled]]=TRUE,PSPOINTS[[#This Row],[PayScalePointEnabled]]=FALSE),0,1),1)</f>
        <v>0</v>
      </c>
      <c r="I86" s="57">
        <f>IF(LEN(PSPOINTS[[#This Row],[PayScalePointCode]])&lt;100,0,1)</f>
        <v>0</v>
      </c>
      <c r="J86" s="57">
        <f>IF(LEN(PSPOINTS[[#This Row],[PayScalePointTitle]])&lt;100,0,1)</f>
        <v>0</v>
      </c>
      <c r="K86" s="57">
        <f>(COUNTBLANK(PSPOINTS[[#This Row],[PayScalePointCode]:[RateDateFrom]])+COUNTBLANK(PSPOINTS[[#This Row],[PayScaleRate]]))</f>
        <v>0</v>
      </c>
      <c r="L86" s="112">
        <f>IF(SUBSTITUTE(TEXT(PSPOINTS[[#This Row],[PayScaleCode]],10)," ","")=TEXT(PSPOINTS[[#This Row],[PayScaleCode]],10),0,1)+IF(SUBSTITUTE(TEXT(PSPOINTS[[#This Row],[PayScalePointCode]],10)," ","")=TEXT(PSPOINTS[[#This Row],[PayScalePointCode]],10),0,1)</f>
        <v>0</v>
      </c>
      <c r="M86" s="57">
        <f ca="1">SUM(PSPOINTS[[#This Row],[Scale Point Issue]:[Space in Code]])</f>
        <v>0</v>
      </c>
      <c r="N86" s="57" t="s">
        <v>897</v>
      </c>
      <c r="P86" s="12" t="s">
        <v>3107</v>
      </c>
      <c r="Q86" s="57" t="str">
        <f>_xlfn.XLOOKUP(PSPOINTS[[#This Row],[PayScaleCode]],PayScales!N:N,PayScales!O:O)</f>
        <v>NJC - Cheshire East</v>
      </c>
      <c r="R86" s="12">
        <v>22</v>
      </c>
      <c r="S86" s="12">
        <v>22</v>
      </c>
      <c r="T86" s="12">
        <v>22</v>
      </c>
      <c r="U86" t="b">
        <v>0</v>
      </c>
      <c r="V86" s="5" t="b">
        <v>1</v>
      </c>
      <c r="W86" s="20">
        <v>45748</v>
      </c>
      <c r="Y86" s="14">
        <v>33699</v>
      </c>
    </row>
    <row r="87" spans="1:25" x14ac:dyDescent="0.3">
      <c r="A87" s="140" t="str">
        <f>PSPOINTS[[#This Row],[PayScaleCode]]&amp;PSPOINTS[[#This Row],[RateDateFrom]]</f>
        <v>NJC_CHE45748</v>
      </c>
      <c r="B87" s="57">
        <f t="shared" si="1"/>
        <v>0</v>
      </c>
      <c r="C87" s="57" t="str">
        <f>PSPOINTS[[#This Row],[PayScaleCode]]&amp;PSPOINTS[[#This Row],[PayScalePointCode]]&amp;PSPOINTS[[#This Row],[RateDateFrom]]</f>
        <v>NJC_CHE2345748</v>
      </c>
      <c r="D87" s="57">
        <f>COUNTIF(PSPOINTS[Pay Scale String Duplicates],PSPOINTS[[#This Row],[Pay Scale String Duplicates]])-1</f>
        <v>0</v>
      </c>
      <c r="E87" s="57">
        <f>IF((MONTH(_xlfn.XLOOKUP(PSPOINTS[[#This Row],[PayScaleCode]],PayScales!N:N,PayScales!R:R)))=MONTH(PSPOINTS[[#This Row],[RateDateFrom]]),0,1)</f>
        <v>0</v>
      </c>
      <c r="F87" s="57">
        <f>IF(ISBLANK(PSPOINTS[[#This Row],[RateDateTo]]),0,IF(PSPOINTS[[#This Row],[RateDateFrom]]&lt;PSPOINTS[[#This Row],[RateDateTo]],0,1))</f>
        <v>0</v>
      </c>
      <c r="G87" s="57" cm="1">
        <f t="array" aca="1" ref="G87" ca="1">IF(CELL("format",PSPOINTS[[#This Row],[RateDateFrom]])="D1",0,1)+IF(CELL("format",PSPOINTS[[#This Row],[RateDateTo]])="D1",0,1)</f>
        <v>0</v>
      </c>
      <c r="H87" s="57">
        <f>IF(OR(PSPOINTS[[#This Row],[Hourly]]=TRUE,PSPOINTS[[#This Row],[Hourly]]=FALSE),IF(OR(PSPOINTS[[#This Row],[PayScalePointEnabled]]=TRUE,PSPOINTS[[#This Row],[PayScalePointEnabled]]=FALSE),0,1),1)</f>
        <v>0</v>
      </c>
      <c r="I87" s="57">
        <f>IF(LEN(PSPOINTS[[#This Row],[PayScalePointCode]])&lt;100,0,1)</f>
        <v>0</v>
      </c>
      <c r="J87" s="57">
        <f>IF(LEN(PSPOINTS[[#This Row],[PayScalePointTitle]])&lt;100,0,1)</f>
        <v>0</v>
      </c>
      <c r="K87" s="57">
        <f>(COUNTBLANK(PSPOINTS[[#This Row],[PayScalePointCode]:[RateDateFrom]])+COUNTBLANK(PSPOINTS[[#This Row],[PayScaleRate]]))</f>
        <v>0</v>
      </c>
      <c r="L87" s="112">
        <f>IF(SUBSTITUTE(TEXT(PSPOINTS[[#This Row],[PayScaleCode]],10)," ","")=TEXT(PSPOINTS[[#This Row],[PayScaleCode]],10),0,1)+IF(SUBSTITUTE(TEXT(PSPOINTS[[#This Row],[PayScalePointCode]],10)," ","")=TEXT(PSPOINTS[[#This Row],[PayScalePointCode]],10),0,1)</f>
        <v>0</v>
      </c>
      <c r="M87" s="57">
        <f ca="1">SUM(PSPOINTS[[#This Row],[Scale Point Issue]:[Space in Code]])</f>
        <v>0</v>
      </c>
      <c r="N87" s="57" t="s">
        <v>897</v>
      </c>
      <c r="P87" s="12" t="s">
        <v>3107</v>
      </c>
      <c r="Q87" s="57" t="str">
        <f>_xlfn.XLOOKUP(PSPOINTS[[#This Row],[PayScaleCode]],PayScales!N:N,PayScales!O:O)</f>
        <v>NJC - Cheshire East</v>
      </c>
      <c r="R87" s="12">
        <v>23</v>
      </c>
      <c r="S87" s="12">
        <v>23</v>
      </c>
      <c r="T87" s="12">
        <v>23</v>
      </c>
      <c r="U87" t="b">
        <v>0</v>
      </c>
      <c r="V87" s="5" t="b">
        <v>1</v>
      </c>
      <c r="W87" s="20">
        <v>45748</v>
      </c>
      <c r="Y87" s="14">
        <v>34434</v>
      </c>
    </row>
    <row r="88" spans="1:25" x14ac:dyDescent="0.3">
      <c r="A88" s="140" t="str">
        <f>PSPOINTS[[#This Row],[PayScaleCode]]&amp;PSPOINTS[[#This Row],[RateDateFrom]]</f>
        <v>NJC_CHE45748</v>
      </c>
      <c r="B88" s="57">
        <f t="shared" si="1"/>
        <v>0</v>
      </c>
      <c r="C88" s="57" t="str">
        <f>PSPOINTS[[#This Row],[PayScaleCode]]&amp;PSPOINTS[[#This Row],[PayScalePointCode]]&amp;PSPOINTS[[#This Row],[RateDateFrom]]</f>
        <v>NJC_CHE2445748</v>
      </c>
      <c r="D88" s="57">
        <f>COUNTIF(PSPOINTS[Pay Scale String Duplicates],PSPOINTS[[#This Row],[Pay Scale String Duplicates]])-1</f>
        <v>0</v>
      </c>
      <c r="E88" s="57">
        <f>IF((MONTH(_xlfn.XLOOKUP(PSPOINTS[[#This Row],[PayScaleCode]],PayScales!N:N,PayScales!R:R)))=MONTH(PSPOINTS[[#This Row],[RateDateFrom]]),0,1)</f>
        <v>0</v>
      </c>
      <c r="F88" s="57">
        <f>IF(ISBLANK(PSPOINTS[[#This Row],[RateDateTo]]),0,IF(PSPOINTS[[#This Row],[RateDateFrom]]&lt;PSPOINTS[[#This Row],[RateDateTo]],0,1))</f>
        <v>0</v>
      </c>
      <c r="G88" s="57" cm="1">
        <f t="array" aca="1" ref="G88" ca="1">IF(CELL("format",PSPOINTS[[#This Row],[RateDateFrom]])="D1",0,1)+IF(CELL("format",PSPOINTS[[#This Row],[RateDateTo]])="D1",0,1)</f>
        <v>0</v>
      </c>
      <c r="H88" s="57">
        <f>IF(OR(PSPOINTS[[#This Row],[Hourly]]=TRUE,PSPOINTS[[#This Row],[Hourly]]=FALSE),IF(OR(PSPOINTS[[#This Row],[PayScalePointEnabled]]=TRUE,PSPOINTS[[#This Row],[PayScalePointEnabled]]=FALSE),0,1),1)</f>
        <v>0</v>
      </c>
      <c r="I88" s="57">
        <f>IF(LEN(PSPOINTS[[#This Row],[PayScalePointCode]])&lt;100,0,1)</f>
        <v>0</v>
      </c>
      <c r="J88" s="57">
        <f>IF(LEN(PSPOINTS[[#This Row],[PayScalePointTitle]])&lt;100,0,1)</f>
        <v>0</v>
      </c>
      <c r="K88" s="57">
        <f>(COUNTBLANK(PSPOINTS[[#This Row],[PayScalePointCode]:[RateDateFrom]])+COUNTBLANK(PSPOINTS[[#This Row],[PayScaleRate]]))</f>
        <v>0</v>
      </c>
      <c r="L88" s="112">
        <f>IF(SUBSTITUTE(TEXT(PSPOINTS[[#This Row],[PayScaleCode]],10)," ","")=TEXT(PSPOINTS[[#This Row],[PayScaleCode]],10),0,1)+IF(SUBSTITUTE(TEXT(PSPOINTS[[#This Row],[PayScalePointCode]],10)," ","")=TEXT(PSPOINTS[[#This Row],[PayScalePointCode]],10),0,1)</f>
        <v>0</v>
      </c>
      <c r="M88" s="57">
        <f ca="1">SUM(PSPOINTS[[#This Row],[Scale Point Issue]:[Space in Code]])</f>
        <v>0</v>
      </c>
      <c r="N88" s="57" t="s">
        <v>897</v>
      </c>
      <c r="P88" s="12" t="s">
        <v>3107</v>
      </c>
      <c r="Q88" s="57" t="str">
        <f>_xlfn.XLOOKUP(PSPOINTS[[#This Row],[PayScaleCode]],PayScales!N:N,PayScales!O:O)</f>
        <v>NJC - Cheshire East</v>
      </c>
      <c r="R88" s="12">
        <v>24</v>
      </c>
      <c r="S88" s="12">
        <v>24</v>
      </c>
      <c r="T88" s="12">
        <v>24</v>
      </c>
      <c r="U88" t="b">
        <v>0</v>
      </c>
      <c r="V88" s="5" t="b">
        <v>1</v>
      </c>
      <c r="W88" s="20">
        <v>45748</v>
      </c>
      <c r="Y88" s="14">
        <v>35412</v>
      </c>
    </row>
    <row r="89" spans="1:25" x14ac:dyDescent="0.3">
      <c r="A89" s="140" t="str">
        <f>PSPOINTS[[#This Row],[PayScaleCode]]&amp;PSPOINTS[[#This Row],[RateDateFrom]]</f>
        <v>NJC_CHE45748</v>
      </c>
      <c r="B89" s="57">
        <f t="shared" si="1"/>
        <v>0</v>
      </c>
      <c r="C89" s="57" t="str">
        <f>PSPOINTS[[#This Row],[PayScaleCode]]&amp;PSPOINTS[[#This Row],[PayScalePointCode]]&amp;PSPOINTS[[#This Row],[RateDateFrom]]</f>
        <v>NJC_CHE2545748</v>
      </c>
      <c r="D89" s="57">
        <f>COUNTIF(PSPOINTS[Pay Scale String Duplicates],PSPOINTS[[#This Row],[Pay Scale String Duplicates]])-1</f>
        <v>0</v>
      </c>
      <c r="E89" s="57">
        <f>IF((MONTH(_xlfn.XLOOKUP(PSPOINTS[[#This Row],[PayScaleCode]],PayScales!N:N,PayScales!R:R)))=MONTH(PSPOINTS[[#This Row],[RateDateFrom]]),0,1)</f>
        <v>0</v>
      </c>
      <c r="F89" s="57">
        <f>IF(ISBLANK(PSPOINTS[[#This Row],[RateDateTo]]),0,IF(PSPOINTS[[#This Row],[RateDateFrom]]&lt;PSPOINTS[[#This Row],[RateDateTo]],0,1))</f>
        <v>0</v>
      </c>
      <c r="G89" s="57" cm="1">
        <f t="array" aca="1" ref="G89" ca="1">IF(CELL("format",PSPOINTS[[#This Row],[RateDateFrom]])="D1",0,1)+IF(CELL("format",PSPOINTS[[#This Row],[RateDateTo]])="D1",0,1)</f>
        <v>0</v>
      </c>
      <c r="H89" s="57">
        <f>IF(OR(PSPOINTS[[#This Row],[Hourly]]=TRUE,PSPOINTS[[#This Row],[Hourly]]=FALSE),IF(OR(PSPOINTS[[#This Row],[PayScalePointEnabled]]=TRUE,PSPOINTS[[#This Row],[PayScalePointEnabled]]=FALSE),0,1),1)</f>
        <v>0</v>
      </c>
      <c r="I89" s="57">
        <f>IF(LEN(PSPOINTS[[#This Row],[PayScalePointCode]])&lt;100,0,1)</f>
        <v>0</v>
      </c>
      <c r="J89" s="57">
        <f>IF(LEN(PSPOINTS[[#This Row],[PayScalePointTitle]])&lt;100,0,1)</f>
        <v>0</v>
      </c>
      <c r="K89" s="57">
        <f>(COUNTBLANK(PSPOINTS[[#This Row],[PayScalePointCode]:[RateDateFrom]])+COUNTBLANK(PSPOINTS[[#This Row],[PayScaleRate]]))</f>
        <v>0</v>
      </c>
      <c r="L89" s="112">
        <f>IF(SUBSTITUTE(TEXT(PSPOINTS[[#This Row],[PayScaleCode]],10)," ","")=TEXT(PSPOINTS[[#This Row],[PayScaleCode]],10),0,1)+IF(SUBSTITUTE(TEXT(PSPOINTS[[#This Row],[PayScalePointCode]],10)," ","")=TEXT(PSPOINTS[[#This Row],[PayScalePointCode]],10),0,1)</f>
        <v>0</v>
      </c>
      <c r="M89" s="57">
        <f ca="1">SUM(PSPOINTS[[#This Row],[Scale Point Issue]:[Space in Code]])</f>
        <v>0</v>
      </c>
      <c r="N89" s="57" t="s">
        <v>897</v>
      </c>
      <c r="P89" s="12" t="s">
        <v>3107</v>
      </c>
      <c r="Q89" s="57" t="str">
        <f>_xlfn.XLOOKUP(PSPOINTS[[#This Row],[PayScaleCode]],PayScales!N:N,PayScales!O:O)</f>
        <v>NJC - Cheshire East</v>
      </c>
      <c r="R89" s="12">
        <v>25</v>
      </c>
      <c r="S89" s="12">
        <v>25</v>
      </c>
      <c r="T89" s="12">
        <v>25</v>
      </c>
      <c r="U89" t="b">
        <v>0</v>
      </c>
      <c r="V89" s="5" t="b">
        <v>1</v>
      </c>
      <c r="W89" s="20">
        <v>45748</v>
      </c>
      <c r="Y89" s="14">
        <v>36363</v>
      </c>
    </row>
    <row r="90" spans="1:25" x14ac:dyDescent="0.3">
      <c r="A90" s="140" t="str">
        <f>PSPOINTS[[#This Row],[PayScaleCode]]&amp;PSPOINTS[[#This Row],[RateDateFrom]]</f>
        <v>NJC_CHE45748</v>
      </c>
      <c r="B90" s="57">
        <f t="shared" si="1"/>
        <v>0</v>
      </c>
      <c r="C90" s="57" t="str">
        <f>PSPOINTS[[#This Row],[PayScaleCode]]&amp;PSPOINTS[[#This Row],[PayScalePointCode]]&amp;PSPOINTS[[#This Row],[RateDateFrom]]</f>
        <v>NJC_CHE2645748</v>
      </c>
      <c r="D90" s="57">
        <f>COUNTIF(PSPOINTS[Pay Scale String Duplicates],PSPOINTS[[#This Row],[Pay Scale String Duplicates]])-1</f>
        <v>0</v>
      </c>
      <c r="E90" s="57">
        <f>IF((MONTH(_xlfn.XLOOKUP(PSPOINTS[[#This Row],[PayScaleCode]],PayScales!N:N,PayScales!R:R)))=MONTH(PSPOINTS[[#This Row],[RateDateFrom]]),0,1)</f>
        <v>0</v>
      </c>
      <c r="F90" s="57">
        <f>IF(ISBLANK(PSPOINTS[[#This Row],[RateDateTo]]),0,IF(PSPOINTS[[#This Row],[RateDateFrom]]&lt;PSPOINTS[[#This Row],[RateDateTo]],0,1))</f>
        <v>0</v>
      </c>
      <c r="G90" s="57" cm="1">
        <f t="array" aca="1" ref="G90" ca="1">IF(CELL("format",PSPOINTS[[#This Row],[RateDateFrom]])="D1",0,1)+IF(CELL("format",PSPOINTS[[#This Row],[RateDateTo]])="D1",0,1)</f>
        <v>0</v>
      </c>
      <c r="H90" s="57">
        <f>IF(OR(PSPOINTS[[#This Row],[Hourly]]=TRUE,PSPOINTS[[#This Row],[Hourly]]=FALSE),IF(OR(PSPOINTS[[#This Row],[PayScalePointEnabled]]=TRUE,PSPOINTS[[#This Row],[PayScalePointEnabled]]=FALSE),0,1),1)</f>
        <v>0</v>
      </c>
      <c r="I90" s="57">
        <f>IF(LEN(PSPOINTS[[#This Row],[PayScalePointCode]])&lt;100,0,1)</f>
        <v>0</v>
      </c>
      <c r="J90" s="57">
        <f>IF(LEN(PSPOINTS[[#This Row],[PayScalePointTitle]])&lt;100,0,1)</f>
        <v>0</v>
      </c>
      <c r="K90" s="57">
        <f>(COUNTBLANK(PSPOINTS[[#This Row],[PayScalePointCode]:[RateDateFrom]])+COUNTBLANK(PSPOINTS[[#This Row],[PayScaleRate]]))</f>
        <v>0</v>
      </c>
      <c r="L90" s="112">
        <f>IF(SUBSTITUTE(TEXT(PSPOINTS[[#This Row],[PayScaleCode]],10)," ","")=TEXT(PSPOINTS[[#This Row],[PayScaleCode]],10),0,1)+IF(SUBSTITUTE(TEXT(PSPOINTS[[#This Row],[PayScalePointCode]],10)," ","")=TEXT(PSPOINTS[[#This Row],[PayScalePointCode]],10),0,1)</f>
        <v>0</v>
      </c>
      <c r="M90" s="57">
        <f ca="1">SUM(PSPOINTS[[#This Row],[Scale Point Issue]:[Space in Code]])</f>
        <v>0</v>
      </c>
      <c r="N90" s="57" t="s">
        <v>897</v>
      </c>
      <c r="P90" s="12" t="s">
        <v>3107</v>
      </c>
      <c r="Q90" s="57" t="str">
        <f>_xlfn.XLOOKUP(PSPOINTS[[#This Row],[PayScaleCode]],PayScales!N:N,PayScales!O:O)</f>
        <v>NJC - Cheshire East</v>
      </c>
      <c r="R90" s="12">
        <v>26</v>
      </c>
      <c r="S90" s="12">
        <v>26</v>
      </c>
      <c r="T90" s="12">
        <v>26</v>
      </c>
      <c r="U90" t="b">
        <v>0</v>
      </c>
      <c r="V90" s="5" t="b">
        <v>1</v>
      </c>
      <c r="W90" s="20">
        <v>45748</v>
      </c>
      <c r="Y90" s="14">
        <v>37280</v>
      </c>
    </row>
    <row r="91" spans="1:25" x14ac:dyDescent="0.3">
      <c r="A91" s="140" t="str">
        <f>PSPOINTS[[#This Row],[PayScaleCode]]&amp;PSPOINTS[[#This Row],[RateDateFrom]]</f>
        <v>NJC_CHE45748</v>
      </c>
      <c r="B91" s="57">
        <f t="shared" si="1"/>
        <v>0</v>
      </c>
      <c r="C91" s="57" t="str">
        <f>PSPOINTS[[#This Row],[PayScaleCode]]&amp;PSPOINTS[[#This Row],[PayScalePointCode]]&amp;PSPOINTS[[#This Row],[RateDateFrom]]</f>
        <v>NJC_CHE2745748</v>
      </c>
      <c r="D91" s="57">
        <f>COUNTIF(PSPOINTS[Pay Scale String Duplicates],PSPOINTS[[#This Row],[Pay Scale String Duplicates]])-1</f>
        <v>0</v>
      </c>
      <c r="E91" s="57">
        <f>IF((MONTH(_xlfn.XLOOKUP(PSPOINTS[[#This Row],[PayScaleCode]],PayScales!N:N,PayScales!R:R)))=MONTH(PSPOINTS[[#This Row],[RateDateFrom]]),0,1)</f>
        <v>0</v>
      </c>
      <c r="F91" s="57">
        <f>IF(ISBLANK(PSPOINTS[[#This Row],[RateDateTo]]),0,IF(PSPOINTS[[#This Row],[RateDateFrom]]&lt;PSPOINTS[[#This Row],[RateDateTo]],0,1))</f>
        <v>0</v>
      </c>
      <c r="G91" s="57" cm="1">
        <f t="array" aca="1" ref="G91" ca="1">IF(CELL("format",PSPOINTS[[#This Row],[RateDateFrom]])="D1",0,1)+IF(CELL("format",PSPOINTS[[#This Row],[RateDateTo]])="D1",0,1)</f>
        <v>0</v>
      </c>
      <c r="H91" s="57">
        <f>IF(OR(PSPOINTS[[#This Row],[Hourly]]=TRUE,PSPOINTS[[#This Row],[Hourly]]=FALSE),IF(OR(PSPOINTS[[#This Row],[PayScalePointEnabled]]=TRUE,PSPOINTS[[#This Row],[PayScalePointEnabled]]=FALSE),0,1),1)</f>
        <v>0</v>
      </c>
      <c r="I91" s="57">
        <f>IF(LEN(PSPOINTS[[#This Row],[PayScalePointCode]])&lt;100,0,1)</f>
        <v>0</v>
      </c>
      <c r="J91" s="57">
        <f>IF(LEN(PSPOINTS[[#This Row],[PayScalePointTitle]])&lt;100,0,1)</f>
        <v>0</v>
      </c>
      <c r="K91" s="57">
        <f>(COUNTBLANK(PSPOINTS[[#This Row],[PayScalePointCode]:[RateDateFrom]])+COUNTBLANK(PSPOINTS[[#This Row],[PayScaleRate]]))</f>
        <v>0</v>
      </c>
      <c r="L91" s="112">
        <f>IF(SUBSTITUTE(TEXT(PSPOINTS[[#This Row],[PayScaleCode]],10)," ","")=TEXT(PSPOINTS[[#This Row],[PayScaleCode]],10),0,1)+IF(SUBSTITUTE(TEXT(PSPOINTS[[#This Row],[PayScalePointCode]],10)," ","")=TEXT(PSPOINTS[[#This Row],[PayScalePointCode]],10),0,1)</f>
        <v>0</v>
      </c>
      <c r="M91" s="57">
        <f ca="1">SUM(PSPOINTS[[#This Row],[Scale Point Issue]:[Space in Code]])</f>
        <v>0</v>
      </c>
      <c r="N91" s="57" t="s">
        <v>897</v>
      </c>
      <c r="P91" s="12" t="s">
        <v>3107</v>
      </c>
      <c r="Q91" s="57" t="str">
        <f>_xlfn.XLOOKUP(PSPOINTS[[#This Row],[PayScaleCode]],PayScales!N:N,PayScales!O:O)</f>
        <v>NJC - Cheshire East</v>
      </c>
      <c r="R91" s="12">
        <v>27</v>
      </c>
      <c r="S91" s="12">
        <v>27</v>
      </c>
      <c r="T91" s="12">
        <v>27</v>
      </c>
      <c r="U91" t="b">
        <v>0</v>
      </c>
      <c r="V91" s="5" t="b">
        <v>1</v>
      </c>
      <c r="W91" s="20">
        <v>45748</v>
      </c>
      <c r="Y91" s="14">
        <v>38220</v>
      </c>
    </row>
    <row r="92" spans="1:25" x14ac:dyDescent="0.3">
      <c r="A92" s="140" t="str">
        <f>PSPOINTS[[#This Row],[PayScaleCode]]&amp;PSPOINTS[[#This Row],[RateDateFrom]]</f>
        <v>NJC_CHE45748</v>
      </c>
      <c r="B92" s="57">
        <f t="shared" si="1"/>
        <v>0</v>
      </c>
      <c r="C92" s="57" t="str">
        <f>PSPOINTS[[#This Row],[PayScaleCode]]&amp;PSPOINTS[[#This Row],[PayScalePointCode]]&amp;PSPOINTS[[#This Row],[RateDateFrom]]</f>
        <v>NJC_CHE2845748</v>
      </c>
      <c r="D92" s="57">
        <f>COUNTIF(PSPOINTS[Pay Scale String Duplicates],PSPOINTS[[#This Row],[Pay Scale String Duplicates]])-1</f>
        <v>0</v>
      </c>
      <c r="E92" s="57">
        <f>IF((MONTH(_xlfn.XLOOKUP(PSPOINTS[[#This Row],[PayScaleCode]],PayScales!N:N,PayScales!R:R)))=MONTH(PSPOINTS[[#This Row],[RateDateFrom]]),0,1)</f>
        <v>0</v>
      </c>
      <c r="F92" s="57">
        <f>IF(ISBLANK(PSPOINTS[[#This Row],[RateDateTo]]),0,IF(PSPOINTS[[#This Row],[RateDateFrom]]&lt;PSPOINTS[[#This Row],[RateDateTo]],0,1))</f>
        <v>0</v>
      </c>
      <c r="G92" s="57" cm="1">
        <f t="array" aca="1" ref="G92" ca="1">IF(CELL("format",PSPOINTS[[#This Row],[RateDateFrom]])="D1",0,1)+IF(CELL("format",PSPOINTS[[#This Row],[RateDateTo]])="D1",0,1)</f>
        <v>0</v>
      </c>
      <c r="H92" s="57">
        <f>IF(OR(PSPOINTS[[#This Row],[Hourly]]=TRUE,PSPOINTS[[#This Row],[Hourly]]=FALSE),IF(OR(PSPOINTS[[#This Row],[PayScalePointEnabled]]=TRUE,PSPOINTS[[#This Row],[PayScalePointEnabled]]=FALSE),0,1),1)</f>
        <v>0</v>
      </c>
      <c r="I92" s="57">
        <f>IF(LEN(PSPOINTS[[#This Row],[PayScalePointCode]])&lt;100,0,1)</f>
        <v>0</v>
      </c>
      <c r="J92" s="57">
        <f>IF(LEN(PSPOINTS[[#This Row],[PayScalePointTitle]])&lt;100,0,1)</f>
        <v>0</v>
      </c>
      <c r="K92" s="57">
        <f>(COUNTBLANK(PSPOINTS[[#This Row],[PayScalePointCode]:[RateDateFrom]])+COUNTBLANK(PSPOINTS[[#This Row],[PayScaleRate]]))</f>
        <v>0</v>
      </c>
      <c r="L92" s="112">
        <f>IF(SUBSTITUTE(TEXT(PSPOINTS[[#This Row],[PayScaleCode]],10)," ","")=TEXT(PSPOINTS[[#This Row],[PayScaleCode]],10),0,1)+IF(SUBSTITUTE(TEXT(PSPOINTS[[#This Row],[PayScalePointCode]],10)," ","")=TEXT(PSPOINTS[[#This Row],[PayScalePointCode]],10),0,1)</f>
        <v>0</v>
      </c>
      <c r="M92" s="57">
        <f ca="1">SUM(PSPOINTS[[#This Row],[Scale Point Issue]:[Space in Code]])</f>
        <v>0</v>
      </c>
      <c r="N92" s="57" t="s">
        <v>897</v>
      </c>
      <c r="P92" s="12" t="s">
        <v>3107</v>
      </c>
      <c r="Q92" s="57" t="str">
        <f>_xlfn.XLOOKUP(PSPOINTS[[#This Row],[PayScaleCode]],PayScales!N:N,PayScales!O:O)</f>
        <v>NJC - Cheshire East</v>
      </c>
      <c r="R92" s="12">
        <v>28</v>
      </c>
      <c r="S92" s="12">
        <v>28</v>
      </c>
      <c r="T92" s="12">
        <v>28</v>
      </c>
      <c r="U92" t="b">
        <v>0</v>
      </c>
      <c r="V92" s="5" t="b">
        <v>1</v>
      </c>
      <c r="W92" s="20">
        <v>45748</v>
      </c>
      <c r="Y92" s="14">
        <v>39152</v>
      </c>
    </row>
    <row r="93" spans="1:25" x14ac:dyDescent="0.3">
      <c r="A93" s="140" t="str">
        <f>PSPOINTS[[#This Row],[PayScaleCode]]&amp;PSPOINTS[[#This Row],[RateDateFrom]]</f>
        <v>NJC_CHE45748</v>
      </c>
      <c r="B93" s="57">
        <f t="shared" si="1"/>
        <v>0</v>
      </c>
      <c r="C93" s="57" t="str">
        <f>PSPOINTS[[#This Row],[PayScaleCode]]&amp;PSPOINTS[[#This Row],[PayScalePointCode]]&amp;PSPOINTS[[#This Row],[RateDateFrom]]</f>
        <v>NJC_CHE2945748</v>
      </c>
      <c r="D93" s="57">
        <f>COUNTIF(PSPOINTS[Pay Scale String Duplicates],PSPOINTS[[#This Row],[Pay Scale String Duplicates]])-1</f>
        <v>0</v>
      </c>
      <c r="E93" s="57">
        <f>IF((MONTH(_xlfn.XLOOKUP(PSPOINTS[[#This Row],[PayScaleCode]],PayScales!N:N,PayScales!R:R)))=MONTH(PSPOINTS[[#This Row],[RateDateFrom]]),0,1)</f>
        <v>0</v>
      </c>
      <c r="F93" s="57">
        <f>IF(ISBLANK(PSPOINTS[[#This Row],[RateDateTo]]),0,IF(PSPOINTS[[#This Row],[RateDateFrom]]&lt;PSPOINTS[[#This Row],[RateDateTo]],0,1))</f>
        <v>0</v>
      </c>
      <c r="G93" s="57" cm="1">
        <f t="array" aca="1" ref="G93" ca="1">IF(CELL("format",PSPOINTS[[#This Row],[RateDateFrom]])="D1",0,1)+IF(CELL("format",PSPOINTS[[#This Row],[RateDateTo]])="D1",0,1)</f>
        <v>0</v>
      </c>
      <c r="H93" s="57">
        <f>IF(OR(PSPOINTS[[#This Row],[Hourly]]=TRUE,PSPOINTS[[#This Row],[Hourly]]=FALSE),IF(OR(PSPOINTS[[#This Row],[PayScalePointEnabled]]=TRUE,PSPOINTS[[#This Row],[PayScalePointEnabled]]=FALSE),0,1),1)</f>
        <v>0</v>
      </c>
      <c r="I93" s="57">
        <f>IF(LEN(PSPOINTS[[#This Row],[PayScalePointCode]])&lt;100,0,1)</f>
        <v>0</v>
      </c>
      <c r="J93" s="57">
        <f>IF(LEN(PSPOINTS[[#This Row],[PayScalePointTitle]])&lt;100,0,1)</f>
        <v>0</v>
      </c>
      <c r="K93" s="57">
        <f>(COUNTBLANK(PSPOINTS[[#This Row],[PayScalePointCode]:[RateDateFrom]])+COUNTBLANK(PSPOINTS[[#This Row],[PayScaleRate]]))</f>
        <v>0</v>
      </c>
      <c r="L93" s="112">
        <f>IF(SUBSTITUTE(TEXT(PSPOINTS[[#This Row],[PayScaleCode]],10)," ","")=TEXT(PSPOINTS[[#This Row],[PayScaleCode]],10),0,1)+IF(SUBSTITUTE(TEXT(PSPOINTS[[#This Row],[PayScalePointCode]],10)," ","")=TEXT(PSPOINTS[[#This Row],[PayScalePointCode]],10),0,1)</f>
        <v>0</v>
      </c>
      <c r="M93" s="57">
        <f ca="1">SUM(PSPOINTS[[#This Row],[Scale Point Issue]:[Space in Code]])</f>
        <v>0</v>
      </c>
      <c r="N93" s="57" t="s">
        <v>897</v>
      </c>
      <c r="P93" s="12" t="s">
        <v>3107</v>
      </c>
      <c r="Q93" s="57" t="str">
        <f>_xlfn.XLOOKUP(PSPOINTS[[#This Row],[PayScaleCode]],PayScales!N:N,PayScales!O:O)</f>
        <v>NJC - Cheshire East</v>
      </c>
      <c r="R93" s="12">
        <v>29</v>
      </c>
      <c r="S93" s="12">
        <v>29</v>
      </c>
      <c r="T93" s="12">
        <v>29</v>
      </c>
      <c r="U93" t="b">
        <v>0</v>
      </c>
      <c r="V93" s="5" t="b">
        <v>1</v>
      </c>
      <c r="W93" s="20">
        <v>45748</v>
      </c>
      <c r="Y93" s="14">
        <v>39862</v>
      </c>
    </row>
    <row r="94" spans="1:25" x14ac:dyDescent="0.3">
      <c r="A94" s="140" t="str">
        <f>PSPOINTS[[#This Row],[PayScaleCode]]&amp;PSPOINTS[[#This Row],[RateDateFrom]]</f>
        <v>NJC_CHE45748</v>
      </c>
      <c r="B94" s="57">
        <f t="shared" si="1"/>
        <v>0</v>
      </c>
      <c r="C94" s="57" t="str">
        <f>PSPOINTS[[#This Row],[PayScaleCode]]&amp;PSPOINTS[[#This Row],[PayScalePointCode]]&amp;PSPOINTS[[#This Row],[RateDateFrom]]</f>
        <v>NJC_CHE3045748</v>
      </c>
      <c r="D94" s="57">
        <f>COUNTIF(PSPOINTS[Pay Scale String Duplicates],PSPOINTS[[#This Row],[Pay Scale String Duplicates]])-1</f>
        <v>0</v>
      </c>
      <c r="E94" s="57">
        <f>IF((MONTH(_xlfn.XLOOKUP(PSPOINTS[[#This Row],[PayScaleCode]],PayScales!N:N,PayScales!R:R)))=MONTH(PSPOINTS[[#This Row],[RateDateFrom]]),0,1)</f>
        <v>0</v>
      </c>
      <c r="F94" s="57">
        <f>IF(ISBLANK(PSPOINTS[[#This Row],[RateDateTo]]),0,IF(PSPOINTS[[#This Row],[RateDateFrom]]&lt;PSPOINTS[[#This Row],[RateDateTo]],0,1))</f>
        <v>0</v>
      </c>
      <c r="G94" s="57" cm="1">
        <f t="array" aca="1" ref="G94" ca="1">IF(CELL("format",PSPOINTS[[#This Row],[RateDateFrom]])="D1",0,1)+IF(CELL("format",PSPOINTS[[#This Row],[RateDateTo]])="D1",0,1)</f>
        <v>0</v>
      </c>
      <c r="H94" s="57">
        <f>IF(OR(PSPOINTS[[#This Row],[Hourly]]=TRUE,PSPOINTS[[#This Row],[Hourly]]=FALSE),IF(OR(PSPOINTS[[#This Row],[PayScalePointEnabled]]=TRUE,PSPOINTS[[#This Row],[PayScalePointEnabled]]=FALSE),0,1),1)</f>
        <v>0</v>
      </c>
      <c r="I94" s="57">
        <f>IF(LEN(PSPOINTS[[#This Row],[PayScalePointCode]])&lt;100,0,1)</f>
        <v>0</v>
      </c>
      <c r="J94" s="57">
        <f>IF(LEN(PSPOINTS[[#This Row],[PayScalePointTitle]])&lt;100,0,1)</f>
        <v>0</v>
      </c>
      <c r="K94" s="57">
        <f>(COUNTBLANK(PSPOINTS[[#This Row],[PayScalePointCode]:[RateDateFrom]])+COUNTBLANK(PSPOINTS[[#This Row],[PayScaleRate]]))</f>
        <v>0</v>
      </c>
      <c r="L94" s="112">
        <f>IF(SUBSTITUTE(TEXT(PSPOINTS[[#This Row],[PayScaleCode]],10)," ","")=TEXT(PSPOINTS[[#This Row],[PayScaleCode]],10),0,1)+IF(SUBSTITUTE(TEXT(PSPOINTS[[#This Row],[PayScalePointCode]],10)," ","")=TEXT(PSPOINTS[[#This Row],[PayScalePointCode]],10),0,1)</f>
        <v>0</v>
      </c>
      <c r="M94" s="57">
        <f ca="1">SUM(PSPOINTS[[#This Row],[Scale Point Issue]:[Space in Code]])</f>
        <v>0</v>
      </c>
      <c r="N94" s="57" t="s">
        <v>897</v>
      </c>
      <c r="P94" s="12" t="s">
        <v>3107</v>
      </c>
      <c r="Q94" s="57" t="str">
        <f>_xlfn.XLOOKUP(PSPOINTS[[#This Row],[PayScaleCode]],PayScales!N:N,PayScales!O:O)</f>
        <v>NJC - Cheshire East</v>
      </c>
      <c r="R94" s="12">
        <v>30</v>
      </c>
      <c r="S94" s="12">
        <v>30</v>
      </c>
      <c r="T94" s="12">
        <v>30</v>
      </c>
      <c r="U94" t="b">
        <v>0</v>
      </c>
      <c r="V94" s="5" t="b">
        <v>1</v>
      </c>
      <c r="W94" s="20">
        <v>45748</v>
      </c>
      <c r="Y94" s="14">
        <v>40777</v>
      </c>
    </row>
    <row r="95" spans="1:25" x14ac:dyDescent="0.3">
      <c r="A95" s="140" t="str">
        <f>PSPOINTS[[#This Row],[PayScaleCode]]&amp;PSPOINTS[[#This Row],[RateDateFrom]]</f>
        <v>NJC_CHE45748</v>
      </c>
      <c r="B95" s="57">
        <f t="shared" si="1"/>
        <v>0</v>
      </c>
      <c r="C95" s="57" t="str">
        <f>PSPOINTS[[#This Row],[PayScaleCode]]&amp;PSPOINTS[[#This Row],[PayScalePointCode]]&amp;PSPOINTS[[#This Row],[RateDateFrom]]</f>
        <v>NJC_CHE3145748</v>
      </c>
      <c r="D95" s="57">
        <f>COUNTIF(PSPOINTS[Pay Scale String Duplicates],PSPOINTS[[#This Row],[Pay Scale String Duplicates]])-1</f>
        <v>0</v>
      </c>
      <c r="E95" s="57">
        <f>IF((MONTH(_xlfn.XLOOKUP(PSPOINTS[[#This Row],[PayScaleCode]],PayScales!N:N,PayScales!R:R)))=MONTH(PSPOINTS[[#This Row],[RateDateFrom]]),0,1)</f>
        <v>0</v>
      </c>
      <c r="F95" s="57">
        <f>IF(ISBLANK(PSPOINTS[[#This Row],[RateDateTo]]),0,IF(PSPOINTS[[#This Row],[RateDateFrom]]&lt;PSPOINTS[[#This Row],[RateDateTo]],0,1))</f>
        <v>0</v>
      </c>
      <c r="G95" s="57" cm="1">
        <f t="array" aca="1" ref="G95" ca="1">IF(CELL("format",PSPOINTS[[#This Row],[RateDateFrom]])="D1",0,1)+IF(CELL("format",PSPOINTS[[#This Row],[RateDateTo]])="D1",0,1)</f>
        <v>0</v>
      </c>
      <c r="H95" s="57">
        <f>IF(OR(PSPOINTS[[#This Row],[Hourly]]=TRUE,PSPOINTS[[#This Row],[Hourly]]=FALSE),IF(OR(PSPOINTS[[#This Row],[PayScalePointEnabled]]=TRUE,PSPOINTS[[#This Row],[PayScalePointEnabled]]=FALSE),0,1),1)</f>
        <v>0</v>
      </c>
      <c r="I95" s="57">
        <f>IF(LEN(PSPOINTS[[#This Row],[PayScalePointCode]])&lt;100,0,1)</f>
        <v>0</v>
      </c>
      <c r="J95" s="57">
        <f>IF(LEN(PSPOINTS[[#This Row],[PayScalePointTitle]])&lt;100,0,1)</f>
        <v>0</v>
      </c>
      <c r="K95" s="57">
        <f>(COUNTBLANK(PSPOINTS[[#This Row],[PayScalePointCode]:[RateDateFrom]])+COUNTBLANK(PSPOINTS[[#This Row],[PayScaleRate]]))</f>
        <v>0</v>
      </c>
      <c r="L95" s="112">
        <f>IF(SUBSTITUTE(TEXT(PSPOINTS[[#This Row],[PayScaleCode]],10)," ","")=TEXT(PSPOINTS[[#This Row],[PayScaleCode]],10),0,1)+IF(SUBSTITUTE(TEXT(PSPOINTS[[#This Row],[PayScalePointCode]],10)," ","")=TEXT(PSPOINTS[[#This Row],[PayScalePointCode]],10),0,1)</f>
        <v>0</v>
      </c>
      <c r="M95" s="57">
        <f ca="1">SUM(PSPOINTS[[#This Row],[Scale Point Issue]:[Space in Code]])</f>
        <v>0</v>
      </c>
      <c r="N95" s="57" t="s">
        <v>897</v>
      </c>
      <c r="P95" s="12" t="s">
        <v>3107</v>
      </c>
      <c r="Q95" s="57" t="str">
        <f>_xlfn.XLOOKUP(PSPOINTS[[#This Row],[PayScaleCode]],PayScales!N:N,PayScales!O:O)</f>
        <v>NJC - Cheshire East</v>
      </c>
      <c r="R95" s="12">
        <v>31</v>
      </c>
      <c r="S95" s="12">
        <v>31</v>
      </c>
      <c r="T95" s="12">
        <v>31</v>
      </c>
      <c r="U95" t="b">
        <v>0</v>
      </c>
      <c r="V95" s="5" t="b">
        <v>1</v>
      </c>
      <c r="W95" s="20">
        <v>45748</v>
      </c>
      <c r="Y95" s="14">
        <v>41771</v>
      </c>
    </row>
    <row r="96" spans="1:25" x14ac:dyDescent="0.3">
      <c r="A96" s="140" t="str">
        <f>PSPOINTS[[#This Row],[PayScaleCode]]&amp;PSPOINTS[[#This Row],[RateDateFrom]]</f>
        <v>NJC_CHE45748</v>
      </c>
      <c r="B96" s="57">
        <f t="shared" si="1"/>
        <v>0</v>
      </c>
      <c r="C96" s="57" t="str">
        <f>PSPOINTS[[#This Row],[PayScaleCode]]&amp;PSPOINTS[[#This Row],[PayScalePointCode]]&amp;PSPOINTS[[#This Row],[RateDateFrom]]</f>
        <v>NJC_CHE3245748</v>
      </c>
      <c r="D96" s="57">
        <f>COUNTIF(PSPOINTS[Pay Scale String Duplicates],PSPOINTS[[#This Row],[Pay Scale String Duplicates]])-1</f>
        <v>0</v>
      </c>
      <c r="E96" s="57">
        <f>IF((MONTH(_xlfn.XLOOKUP(PSPOINTS[[#This Row],[PayScaleCode]],PayScales!N:N,PayScales!R:R)))=MONTH(PSPOINTS[[#This Row],[RateDateFrom]]),0,1)</f>
        <v>0</v>
      </c>
      <c r="F96" s="57">
        <f>IF(ISBLANK(PSPOINTS[[#This Row],[RateDateTo]]),0,IF(PSPOINTS[[#This Row],[RateDateFrom]]&lt;PSPOINTS[[#This Row],[RateDateTo]],0,1))</f>
        <v>0</v>
      </c>
      <c r="G96" s="57" cm="1">
        <f t="array" aca="1" ref="G96" ca="1">IF(CELL("format",PSPOINTS[[#This Row],[RateDateFrom]])="D1",0,1)+IF(CELL("format",PSPOINTS[[#This Row],[RateDateTo]])="D1",0,1)</f>
        <v>0</v>
      </c>
      <c r="H96" s="57">
        <f>IF(OR(PSPOINTS[[#This Row],[Hourly]]=TRUE,PSPOINTS[[#This Row],[Hourly]]=FALSE),IF(OR(PSPOINTS[[#This Row],[PayScalePointEnabled]]=TRUE,PSPOINTS[[#This Row],[PayScalePointEnabled]]=FALSE),0,1),1)</f>
        <v>0</v>
      </c>
      <c r="I96" s="57">
        <f>IF(LEN(PSPOINTS[[#This Row],[PayScalePointCode]])&lt;100,0,1)</f>
        <v>0</v>
      </c>
      <c r="J96" s="57">
        <f>IF(LEN(PSPOINTS[[#This Row],[PayScalePointTitle]])&lt;100,0,1)</f>
        <v>0</v>
      </c>
      <c r="K96" s="57">
        <f>(COUNTBLANK(PSPOINTS[[#This Row],[PayScalePointCode]:[RateDateFrom]])+COUNTBLANK(PSPOINTS[[#This Row],[PayScaleRate]]))</f>
        <v>0</v>
      </c>
      <c r="L96" s="112">
        <f>IF(SUBSTITUTE(TEXT(PSPOINTS[[#This Row],[PayScaleCode]],10)," ","")=TEXT(PSPOINTS[[#This Row],[PayScaleCode]],10),0,1)+IF(SUBSTITUTE(TEXT(PSPOINTS[[#This Row],[PayScalePointCode]],10)," ","")=TEXT(PSPOINTS[[#This Row],[PayScalePointCode]],10),0,1)</f>
        <v>0</v>
      </c>
      <c r="M96" s="57">
        <f ca="1">SUM(PSPOINTS[[#This Row],[Scale Point Issue]:[Space in Code]])</f>
        <v>0</v>
      </c>
      <c r="N96" s="57" t="s">
        <v>897</v>
      </c>
      <c r="P96" s="12" t="s">
        <v>3107</v>
      </c>
      <c r="Q96" s="57" t="str">
        <f>_xlfn.XLOOKUP(PSPOINTS[[#This Row],[PayScaleCode]],PayScales!N:N,PayScales!O:O)</f>
        <v>NJC - Cheshire East</v>
      </c>
      <c r="R96" s="12">
        <v>32</v>
      </c>
      <c r="S96" s="12">
        <v>32</v>
      </c>
      <c r="T96" s="12">
        <v>32</v>
      </c>
      <c r="U96" t="b">
        <v>0</v>
      </c>
      <c r="V96" s="5" t="b">
        <v>1</v>
      </c>
      <c r="W96" s="20">
        <v>45748</v>
      </c>
      <c r="Y96" s="14">
        <v>43142</v>
      </c>
    </row>
    <row r="97" spans="1:27" x14ac:dyDescent="0.3">
      <c r="A97" s="140" t="str">
        <f>PSPOINTS[[#This Row],[PayScaleCode]]&amp;PSPOINTS[[#This Row],[RateDateFrom]]</f>
        <v>NJC_CHE45748</v>
      </c>
      <c r="B97" s="57">
        <f t="shared" si="1"/>
        <v>0</v>
      </c>
      <c r="C97" s="57" t="str">
        <f>PSPOINTS[[#This Row],[PayScaleCode]]&amp;PSPOINTS[[#This Row],[PayScalePointCode]]&amp;PSPOINTS[[#This Row],[RateDateFrom]]</f>
        <v>NJC_CHE3345748</v>
      </c>
      <c r="D97" s="57">
        <f>COUNTIF(PSPOINTS[Pay Scale String Duplicates],PSPOINTS[[#This Row],[Pay Scale String Duplicates]])-1</f>
        <v>0</v>
      </c>
      <c r="E97" s="57">
        <f>IF((MONTH(_xlfn.XLOOKUP(PSPOINTS[[#This Row],[PayScaleCode]],PayScales!N:N,PayScales!R:R)))=MONTH(PSPOINTS[[#This Row],[RateDateFrom]]),0,1)</f>
        <v>0</v>
      </c>
      <c r="F97" s="57">
        <f>IF(ISBLANK(PSPOINTS[[#This Row],[RateDateTo]]),0,IF(PSPOINTS[[#This Row],[RateDateFrom]]&lt;PSPOINTS[[#This Row],[RateDateTo]],0,1))</f>
        <v>0</v>
      </c>
      <c r="G97" s="57" cm="1">
        <f t="array" aca="1" ref="G97" ca="1">IF(CELL("format",PSPOINTS[[#This Row],[RateDateFrom]])="D1",0,1)+IF(CELL("format",PSPOINTS[[#This Row],[RateDateTo]])="D1",0,1)</f>
        <v>0</v>
      </c>
      <c r="H97" s="57">
        <f>IF(OR(PSPOINTS[[#This Row],[Hourly]]=TRUE,PSPOINTS[[#This Row],[Hourly]]=FALSE),IF(OR(PSPOINTS[[#This Row],[PayScalePointEnabled]]=TRUE,PSPOINTS[[#This Row],[PayScalePointEnabled]]=FALSE),0,1),1)</f>
        <v>0</v>
      </c>
      <c r="I97" s="57">
        <f>IF(LEN(PSPOINTS[[#This Row],[PayScalePointCode]])&lt;100,0,1)</f>
        <v>0</v>
      </c>
      <c r="J97" s="57">
        <f>IF(LEN(PSPOINTS[[#This Row],[PayScalePointTitle]])&lt;100,0,1)</f>
        <v>0</v>
      </c>
      <c r="K97" s="57">
        <f>(COUNTBLANK(PSPOINTS[[#This Row],[PayScalePointCode]:[RateDateFrom]])+COUNTBLANK(PSPOINTS[[#This Row],[PayScaleRate]]))</f>
        <v>0</v>
      </c>
      <c r="L97" s="112">
        <f>IF(SUBSTITUTE(TEXT(PSPOINTS[[#This Row],[PayScaleCode]],10)," ","")=TEXT(PSPOINTS[[#This Row],[PayScaleCode]],10),0,1)+IF(SUBSTITUTE(TEXT(PSPOINTS[[#This Row],[PayScalePointCode]],10)," ","")=TEXT(PSPOINTS[[#This Row],[PayScalePointCode]],10),0,1)</f>
        <v>0</v>
      </c>
      <c r="M97" s="57">
        <f ca="1">SUM(PSPOINTS[[#This Row],[Scale Point Issue]:[Space in Code]])</f>
        <v>0</v>
      </c>
      <c r="N97" s="57" t="s">
        <v>897</v>
      </c>
      <c r="P97" s="12" t="s">
        <v>3107</v>
      </c>
      <c r="Q97" s="57" t="str">
        <f>_xlfn.XLOOKUP(PSPOINTS[[#This Row],[PayScaleCode]],PayScales!N:N,PayScales!O:O)</f>
        <v>NJC - Cheshire East</v>
      </c>
      <c r="R97" s="12">
        <v>33</v>
      </c>
      <c r="S97" s="12">
        <v>33</v>
      </c>
      <c r="T97" s="12">
        <v>33</v>
      </c>
      <c r="U97" t="b">
        <v>0</v>
      </c>
      <c r="V97" s="5" t="b">
        <v>1</v>
      </c>
      <c r="W97" s="20">
        <v>45748</v>
      </c>
      <c r="Y97" s="14">
        <v>44506</v>
      </c>
    </row>
    <row r="98" spans="1:27" x14ac:dyDescent="0.3">
      <c r="A98" s="140" t="str">
        <f>PSPOINTS[[#This Row],[PayScaleCode]]&amp;PSPOINTS[[#This Row],[RateDateFrom]]</f>
        <v>NJC_CHE45748</v>
      </c>
      <c r="B98" s="57">
        <f t="shared" si="1"/>
        <v>0</v>
      </c>
      <c r="C98" s="57" t="str">
        <f>PSPOINTS[[#This Row],[PayScaleCode]]&amp;PSPOINTS[[#This Row],[PayScalePointCode]]&amp;PSPOINTS[[#This Row],[RateDateFrom]]</f>
        <v>NJC_CHE3445748</v>
      </c>
      <c r="D98" s="57">
        <f>COUNTIF(PSPOINTS[Pay Scale String Duplicates],PSPOINTS[[#This Row],[Pay Scale String Duplicates]])-1</f>
        <v>0</v>
      </c>
      <c r="E98" s="57">
        <f>IF((MONTH(_xlfn.XLOOKUP(PSPOINTS[[#This Row],[PayScaleCode]],PayScales!N:N,PayScales!R:R)))=MONTH(PSPOINTS[[#This Row],[RateDateFrom]]),0,1)</f>
        <v>0</v>
      </c>
      <c r="F98" s="57">
        <f>IF(ISBLANK(PSPOINTS[[#This Row],[RateDateTo]]),0,IF(PSPOINTS[[#This Row],[RateDateFrom]]&lt;PSPOINTS[[#This Row],[RateDateTo]],0,1))</f>
        <v>0</v>
      </c>
      <c r="G98" s="57" cm="1">
        <f t="array" aca="1" ref="G98" ca="1">IF(CELL("format",PSPOINTS[[#This Row],[RateDateFrom]])="D1",0,1)+IF(CELL("format",PSPOINTS[[#This Row],[RateDateTo]])="D1",0,1)</f>
        <v>0</v>
      </c>
      <c r="H98" s="57">
        <f>IF(OR(PSPOINTS[[#This Row],[Hourly]]=TRUE,PSPOINTS[[#This Row],[Hourly]]=FALSE),IF(OR(PSPOINTS[[#This Row],[PayScalePointEnabled]]=TRUE,PSPOINTS[[#This Row],[PayScalePointEnabled]]=FALSE),0,1),1)</f>
        <v>0</v>
      </c>
      <c r="I98" s="57">
        <f>IF(LEN(PSPOINTS[[#This Row],[PayScalePointCode]])&lt;100,0,1)</f>
        <v>0</v>
      </c>
      <c r="J98" s="57">
        <f>IF(LEN(PSPOINTS[[#This Row],[PayScalePointTitle]])&lt;100,0,1)</f>
        <v>0</v>
      </c>
      <c r="K98" s="57">
        <f>(COUNTBLANK(PSPOINTS[[#This Row],[PayScalePointCode]:[RateDateFrom]])+COUNTBLANK(PSPOINTS[[#This Row],[PayScaleRate]]))</f>
        <v>0</v>
      </c>
      <c r="L98" s="112">
        <f>IF(SUBSTITUTE(TEXT(PSPOINTS[[#This Row],[PayScaleCode]],10)," ","")=TEXT(PSPOINTS[[#This Row],[PayScaleCode]],10),0,1)+IF(SUBSTITUTE(TEXT(PSPOINTS[[#This Row],[PayScalePointCode]],10)," ","")=TEXT(PSPOINTS[[#This Row],[PayScalePointCode]],10),0,1)</f>
        <v>0</v>
      </c>
      <c r="M98" s="57">
        <f ca="1">SUM(PSPOINTS[[#This Row],[Scale Point Issue]:[Space in Code]])</f>
        <v>0</v>
      </c>
      <c r="N98" s="57" t="s">
        <v>897</v>
      </c>
      <c r="P98" s="12" t="s">
        <v>3107</v>
      </c>
      <c r="Q98" s="57" t="str">
        <f>_xlfn.XLOOKUP(PSPOINTS[[#This Row],[PayScaleCode]],PayScales!N:N,PayScales!O:O)</f>
        <v>NJC - Cheshire East</v>
      </c>
      <c r="R98" s="12">
        <v>34</v>
      </c>
      <c r="S98" s="12">
        <v>34</v>
      </c>
      <c r="T98" s="12">
        <v>34</v>
      </c>
      <c r="U98" t="b">
        <v>0</v>
      </c>
      <c r="V98" s="5" t="b">
        <v>1</v>
      </c>
      <c r="W98" s="20">
        <v>45748</v>
      </c>
      <c r="Y98" s="14">
        <v>46085</v>
      </c>
    </row>
    <row r="99" spans="1:27" x14ac:dyDescent="0.3">
      <c r="A99" s="140" t="str">
        <f>PSPOINTS[[#This Row],[PayScaleCode]]&amp;PSPOINTS[[#This Row],[RateDateFrom]]</f>
        <v>NJC_CHE45748</v>
      </c>
      <c r="B99" s="57">
        <f t="shared" si="1"/>
        <v>0</v>
      </c>
      <c r="C99" s="57" t="str">
        <f>PSPOINTS[[#This Row],[PayScaleCode]]&amp;PSPOINTS[[#This Row],[PayScalePointCode]]&amp;PSPOINTS[[#This Row],[RateDateFrom]]</f>
        <v>NJC_CHE3545748</v>
      </c>
      <c r="D99" s="57">
        <f>COUNTIF(PSPOINTS[Pay Scale String Duplicates],PSPOINTS[[#This Row],[Pay Scale String Duplicates]])-1</f>
        <v>0</v>
      </c>
      <c r="E99" s="57">
        <f>IF((MONTH(_xlfn.XLOOKUP(PSPOINTS[[#This Row],[PayScaleCode]],PayScales!N:N,PayScales!R:R)))=MONTH(PSPOINTS[[#This Row],[RateDateFrom]]),0,1)</f>
        <v>0</v>
      </c>
      <c r="F99" s="57">
        <f>IF(ISBLANK(PSPOINTS[[#This Row],[RateDateTo]]),0,IF(PSPOINTS[[#This Row],[RateDateFrom]]&lt;PSPOINTS[[#This Row],[RateDateTo]],0,1))</f>
        <v>0</v>
      </c>
      <c r="G99" s="57" cm="1">
        <f t="array" aca="1" ref="G99" ca="1">IF(CELL("format",PSPOINTS[[#This Row],[RateDateFrom]])="D1",0,1)+IF(CELL("format",PSPOINTS[[#This Row],[RateDateTo]])="D1",0,1)</f>
        <v>0</v>
      </c>
      <c r="H99" s="57">
        <f>IF(OR(PSPOINTS[[#This Row],[Hourly]]=TRUE,PSPOINTS[[#This Row],[Hourly]]=FALSE),IF(OR(PSPOINTS[[#This Row],[PayScalePointEnabled]]=TRUE,PSPOINTS[[#This Row],[PayScalePointEnabled]]=FALSE),0,1),1)</f>
        <v>0</v>
      </c>
      <c r="I99" s="57">
        <f>IF(LEN(PSPOINTS[[#This Row],[PayScalePointCode]])&lt;100,0,1)</f>
        <v>0</v>
      </c>
      <c r="J99" s="57">
        <f>IF(LEN(PSPOINTS[[#This Row],[PayScalePointTitle]])&lt;100,0,1)</f>
        <v>0</v>
      </c>
      <c r="K99" s="57">
        <f>(COUNTBLANK(PSPOINTS[[#This Row],[PayScalePointCode]:[RateDateFrom]])+COUNTBLANK(PSPOINTS[[#This Row],[PayScaleRate]]))</f>
        <v>0</v>
      </c>
      <c r="L99" s="112">
        <f>IF(SUBSTITUTE(TEXT(PSPOINTS[[#This Row],[PayScaleCode]],10)," ","")=TEXT(PSPOINTS[[#This Row],[PayScaleCode]],10),0,1)+IF(SUBSTITUTE(TEXT(PSPOINTS[[#This Row],[PayScalePointCode]],10)," ","")=TEXT(PSPOINTS[[#This Row],[PayScalePointCode]],10),0,1)</f>
        <v>0</v>
      </c>
      <c r="M99" s="57">
        <f ca="1">SUM(PSPOINTS[[#This Row],[Scale Point Issue]:[Space in Code]])</f>
        <v>0</v>
      </c>
      <c r="N99" s="57" t="s">
        <v>897</v>
      </c>
      <c r="P99" s="12" t="s">
        <v>3107</v>
      </c>
      <c r="Q99" s="57" t="str">
        <f>_xlfn.XLOOKUP(PSPOINTS[[#This Row],[PayScaleCode]],PayScales!N:N,PayScales!O:O)</f>
        <v>NJC - Cheshire East</v>
      </c>
      <c r="R99" s="12">
        <v>35</v>
      </c>
      <c r="S99" s="12">
        <v>35</v>
      </c>
      <c r="T99" s="12">
        <v>35</v>
      </c>
      <c r="U99" t="b">
        <v>0</v>
      </c>
      <c r="V99" s="5" t="b">
        <v>1</v>
      </c>
      <c r="W99" s="20">
        <v>45748</v>
      </c>
      <c r="Y99" s="14">
        <v>48218</v>
      </c>
    </row>
    <row r="100" spans="1:27" x14ac:dyDescent="0.3">
      <c r="A100" s="140" t="str">
        <f>PSPOINTS[[#This Row],[PayScaleCode]]&amp;PSPOINTS[[#This Row],[RateDateFrom]]</f>
        <v>NJC_CHE45748</v>
      </c>
      <c r="B100" s="57">
        <f t="shared" si="1"/>
        <v>0</v>
      </c>
      <c r="C100" s="57" t="str">
        <f>PSPOINTS[[#This Row],[PayScaleCode]]&amp;PSPOINTS[[#This Row],[PayScalePointCode]]&amp;PSPOINTS[[#This Row],[RateDateFrom]]</f>
        <v>NJC_CHE3645748</v>
      </c>
      <c r="D100" s="57">
        <f>COUNTIF(PSPOINTS[Pay Scale String Duplicates],PSPOINTS[[#This Row],[Pay Scale String Duplicates]])-1</f>
        <v>0</v>
      </c>
      <c r="E100" s="57">
        <f>IF((MONTH(_xlfn.XLOOKUP(PSPOINTS[[#This Row],[PayScaleCode]],PayScales!N:N,PayScales!R:R)))=MONTH(PSPOINTS[[#This Row],[RateDateFrom]]),0,1)</f>
        <v>0</v>
      </c>
      <c r="F100" s="57">
        <f>IF(ISBLANK(PSPOINTS[[#This Row],[RateDateTo]]),0,IF(PSPOINTS[[#This Row],[RateDateFrom]]&lt;PSPOINTS[[#This Row],[RateDateTo]],0,1))</f>
        <v>0</v>
      </c>
      <c r="G100" s="57" cm="1">
        <f t="array" aca="1" ref="G100" ca="1">IF(CELL("format",PSPOINTS[[#This Row],[RateDateFrom]])="D1",0,1)+IF(CELL("format",PSPOINTS[[#This Row],[RateDateTo]])="D1",0,1)</f>
        <v>0</v>
      </c>
      <c r="H100" s="57">
        <f>IF(OR(PSPOINTS[[#This Row],[Hourly]]=TRUE,PSPOINTS[[#This Row],[Hourly]]=FALSE),IF(OR(PSPOINTS[[#This Row],[PayScalePointEnabled]]=TRUE,PSPOINTS[[#This Row],[PayScalePointEnabled]]=FALSE),0,1),1)</f>
        <v>0</v>
      </c>
      <c r="I100" s="57">
        <f>IF(LEN(PSPOINTS[[#This Row],[PayScalePointCode]])&lt;100,0,1)</f>
        <v>0</v>
      </c>
      <c r="J100" s="57">
        <f>IF(LEN(PSPOINTS[[#This Row],[PayScalePointTitle]])&lt;100,0,1)</f>
        <v>0</v>
      </c>
      <c r="K100" s="57">
        <f>(COUNTBLANK(PSPOINTS[[#This Row],[PayScalePointCode]:[RateDateFrom]])+COUNTBLANK(PSPOINTS[[#This Row],[PayScaleRate]]))</f>
        <v>0</v>
      </c>
      <c r="L100" s="112">
        <f>IF(SUBSTITUTE(TEXT(PSPOINTS[[#This Row],[PayScaleCode]],10)," ","")=TEXT(PSPOINTS[[#This Row],[PayScaleCode]],10),0,1)+IF(SUBSTITUTE(TEXT(PSPOINTS[[#This Row],[PayScalePointCode]],10)," ","")=TEXT(PSPOINTS[[#This Row],[PayScalePointCode]],10),0,1)</f>
        <v>0</v>
      </c>
      <c r="M100" s="57">
        <f ca="1">SUM(PSPOINTS[[#This Row],[Scale Point Issue]:[Space in Code]])</f>
        <v>0</v>
      </c>
      <c r="N100" s="57" t="s">
        <v>897</v>
      </c>
      <c r="P100" s="12" t="s">
        <v>3107</v>
      </c>
      <c r="Q100" s="57" t="str">
        <f>_xlfn.XLOOKUP(PSPOINTS[[#This Row],[PayScaleCode]],PayScales!N:N,PayScales!O:O)</f>
        <v>NJC - Cheshire East</v>
      </c>
      <c r="R100" s="12">
        <v>36</v>
      </c>
      <c r="S100" s="12">
        <v>36</v>
      </c>
      <c r="T100" s="12">
        <v>36</v>
      </c>
      <c r="U100" t="b">
        <v>0</v>
      </c>
      <c r="V100" s="5" t="b">
        <v>1</v>
      </c>
      <c r="W100" s="20">
        <v>45748</v>
      </c>
      <c r="Y100" s="14">
        <v>49560</v>
      </c>
    </row>
    <row r="101" spans="1:27" x14ac:dyDescent="0.3">
      <c r="A101" s="140" t="str">
        <f>PSPOINTS[[#This Row],[PayScaleCode]]&amp;PSPOINTS[[#This Row],[RateDateFrom]]</f>
        <v>NJC_CHE45748</v>
      </c>
      <c r="B101" s="57">
        <f t="shared" si="1"/>
        <v>0</v>
      </c>
      <c r="C101" s="57" t="str">
        <f>PSPOINTS[[#This Row],[PayScaleCode]]&amp;PSPOINTS[[#This Row],[PayScalePointCode]]&amp;PSPOINTS[[#This Row],[RateDateFrom]]</f>
        <v>NJC_CHE3745748</v>
      </c>
      <c r="D101" s="57">
        <f>COUNTIF(PSPOINTS[Pay Scale String Duplicates],PSPOINTS[[#This Row],[Pay Scale String Duplicates]])-1</f>
        <v>0</v>
      </c>
      <c r="E101" s="57">
        <f>IF((MONTH(_xlfn.XLOOKUP(PSPOINTS[[#This Row],[PayScaleCode]],PayScales!N:N,PayScales!R:R)))=MONTH(PSPOINTS[[#This Row],[RateDateFrom]]),0,1)</f>
        <v>0</v>
      </c>
      <c r="F101" s="57">
        <f>IF(ISBLANK(PSPOINTS[[#This Row],[RateDateTo]]),0,IF(PSPOINTS[[#This Row],[RateDateFrom]]&lt;PSPOINTS[[#This Row],[RateDateTo]],0,1))</f>
        <v>0</v>
      </c>
      <c r="G101" s="57" cm="1">
        <f t="array" aca="1" ref="G101" ca="1">IF(CELL("format",PSPOINTS[[#This Row],[RateDateFrom]])="D1",0,1)+IF(CELL("format",PSPOINTS[[#This Row],[RateDateTo]])="D1",0,1)</f>
        <v>0</v>
      </c>
      <c r="H101" s="57">
        <f>IF(OR(PSPOINTS[[#This Row],[Hourly]]=TRUE,PSPOINTS[[#This Row],[Hourly]]=FALSE),IF(OR(PSPOINTS[[#This Row],[PayScalePointEnabled]]=TRUE,PSPOINTS[[#This Row],[PayScalePointEnabled]]=FALSE),0,1),1)</f>
        <v>0</v>
      </c>
      <c r="I101" s="57">
        <f>IF(LEN(PSPOINTS[[#This Row],[PayScalePointCode]])&lt;100,0,1)</f>
        <v>0</v>
      </c>
      <c r="J101" s="57">
        <f>IF(LEN(PSPOINTS[[#This Row],[PayScalePointTitle]])&lt;100,0,1)</f>
        <v>0</v>
      </c>
      <c r="K101" s="57">
        <f>(COUNTBLANK(PSPOINTS[[#This Row],[PayScalePointCode]:[RateDateFrom]])+COUNTBLANK(PSPOINTS[[#This Row],[PayScaleRate]]))</f>
        <v>0</v>
      </c>
      <c r="L101" s="112">
        <f>IF(SUBSTITUTE(TEXT(PSPOINTS[[#This Row],[PayScaleCode]],10)," ","")=TEXT(PSPOINTS[[#This Row],[PayScaleCode]],10),0,1)+IF(SUBSTITUTE(TEXT(PSPOINTS[[#This Row],[PayScalePointCode]],10)," ","")=TEXT(PSPOINTS[[#This Row],[PayScalePointCode]],10),0,1)</f>
        <v>0</v>
      </c>
      <c r="M101" s="57">
        <f ca="1">SUM(PSPOINTS[[#This Row],[Scale Point Issue]:[Space in Code]])</f>
        <v>0</v>
      </c>
      <c r="N101" s="57" t="s">
        <v>897</v>
      </c>
      <c r="P101" s="12" t="s">
        <v>3107</v>
      </c>
      <c r="Q101" s="57" t="str">
        <f>_xlfn.XLOOKUP(PSPOINTS[[#This Row],[PayScaleCode]],PayScales!N:N,PayScales!O:O)</f>
        <v>NJC - Cheshire East</v>
      </c>
      <c r="R101" s="12">
        <v>37</v>
      </c>
      <c r="S101" s="12">
        <v>37</v>
      </c>
      <c r="T101" s="12">
        <v>37</v>
      </c>
      <c r="U101" t="b">
        <v>0</v>
      </c>
      <c r="V101" s="5" t="b">
        <v>1</v>
      </c>
      <c r="W101" s="20">
        <v>45748</v>
      </c>
      <c r="Y101" s="14">
        <v>50897</v>
      </c>
    </row>
    <row r="102" spans="1:27" x14ac:dyDescent="0.3">
      <c r="A102" s="140" t="str">
        <f>PSPOINTS[[#This Row],[PayScaleCode]]&amp;PSPOINTS[[#This Row],[RateDateFrom]]</f>
        <v>NJC_CHE45748</v>
      </c>
      <c r="B102" s="57">
        <f t="shared" si="1"/>
        <v>0</v>
      </c>
      <c r="C102" s="57" t="str">
        <f>PSPOINTS[[#This Row],[PayScaleCode]]&amp;PSPOINTS[[#This Row],[PayScalePointCode]]&amp;PSPOINTS[[#This Row],[RateDateFrom]]</f>
        <v>NJC_CHE3845748</v>
      </c>
      <c r="D102" s="57">
        <f>COUNTIF(PSPOINTS[Pay Scale String Duplicates],PSPOINTS[[#This Row],[Pay Scale String Duplicates]])-1</f>
        <v>0</v>
      </c>
      <c r="E102" s="57">
        <f>IF((MONTH(_xlfn.XLOOKUP(PSPOINTS[[#This Row],[PayScaleCode]],PayScales!N:N,PayScales!R:R)))=MONTH(PSPOINTS[[#This Row],[RateDateFrom]]),0,1)</f>
        <v>0</v>
      </c>
      <c r="F102" s="57">
        <f>IF(ISBLANK(PSPOINTS[[#This Row],[RateDateTo]]),0,IF(PSPOINTS[[#This Row],[RateDateFrom]]&lt;PSPOINTS[[#This Row],[RateDateTo]],0,1))</f>
        <v>0</v>
      </c>
      <c r="G102" s="57" cm="1">
        <f t="array" aca="1" ref="G102" ca="1">IF(CELL("format",PSPOINTS[[#This Row],[RateDateFrom]])="D1",0,1)+IF(CELL("format",PSPOINTS[[#This Row],[RateDateTo]])="D1",0,1)</f>
        <v>0</v>
      </c>
      <c r="H102" s="57">
        <f>IF(OR(PSPOINTS[[#This Row],[Hourly]]=TRUE,PSPOINTS[[#This Row],[Hourly]]=FALSE),IF(OR(PSPOINTS[[#This Row],[PayScalePointEnabled]]=TRUE,PSPOINTS[[#This Row],[PayScalePointEnabled]]=FALSE),0,1),1)</f>
        <v>0</v>
      </c>
      <c r="I102" s="57">
        <f>IF(LEN(PSPOINTS[[#This Row],[PayScalePointCode]])&lt;100,0,1)</f>
        <v>0</v>
      </c>
      <c r="J102" s="57">
        <f>IF(LEN(PSPOINTS[[#This Row],[PayScalePointTitle]])&lt;100,0,1)</f>
        <v>0</v>
      </c>
      <c r="K102" s="57">
        <f>(COUNTBLANK(PSPOINTS[[#This Row],[PayScalePointCode]:[RateDateFrom]])+COUNTBLANK(PSPOINTS[[#This Row],[PayScaleRate]]))</f>
        <v>0</v>
      </c>
      <c r="L102" s="112">
        <f>IF(SUBSTITUTE(TEXT(PSPOINTS[[#This Row],[PayScaleCode]],10)," ","")=TEXT(PSPOINTS[[#This Row],[PayScaleCode]],10),0,1)+IF(SUBSTITUTE(TEXT(PSPOINTS[[#This Row],[PayScalePointCode]],10)," ","")=TEXT(PSPOINTS[[#This Row],[PayScalePointCode]],10),0,1)</f>
        <v>0</v>
      </c>
      <c r="M102" s="57">
        <f ca="1">SUM(PSPOINTS[[#This Row],[Scale Point Issue]:[Space in Code]])</f>
        <v>0</v>
      </c>
      <c r="N102" s="57" t="s">
        <v>897</v>
      </c>
      <c r="P102" s="12" t="s">
        <v>3107</v>
      </c>
      <c r="Q102" s="57" t="str">
        <f>_xlfn.XLOOKUP(PSPOINTS[[#This Row],[PayScaleCode]],PayScales!N:N,PayScales!O:O)</f>
        <v>NJC - Cheshire East</v>
      </c>
      <c r="R102" s="12">
        <v>38</v>
      </c>
      <c r="S102" s="12">
        <v>38</v>
      </c>
      <c r="T102" s="12">
        <v>38</v>
      </c>
      <c r="U102" t="b">
        <v>0</v>
      </c>
      <c r="V102" s="5" t="b">
        <v>1</v>
      </c>
      <c r="W102" s="20">
        <v>45748</v>
      </c>
      <c r="Y102" s="14">
        <v>52389</v>
      </c>
    </row>
    <row r="103" spans="1:27" x14ac:dyDescent="0.3">
      <c r="A103" s="140" t="str">
        <f>PSPOINTS[[#This Row],[PayScaleCode]]&amp;PSPOINTS[[#This Row],[RateDateFrom]]</f>
        <v>NJC_CHE45748</v>
      </c>
      <c r="B103" s="57">
        <f t="shared" si="1"/>
        <v>0</v>
      </c>
      <c r="C103" s="57" t="str">
        <f>PSPOINTS[[#This Row],[PayScaleCode]]&amp;PSPOINTS[[#This Row],[PayScalePointCode]]&amp;PSPOINTS[[#This Row],[RateDateFrom]]</f>
        <v>NJC_CHE3945748</v>
      </c>
      <c r="D103" s="57">
        <f>COUNTIF(PSPOINTS[Pay Scale String Duplicates],PSPOINTS[[#This Row],[Pay Scale String Duplicates]])-1</f>
        <v>0</v>
      </c>
      <c r="E103" s="57">
        <f>IF((MONTH(_xlfn.XLOOKUP(PSPOINTS[[#This Row],[PayScaleCode]],PayScales!N:N,PayScales!R:R)))=MONTH(PSPOINTS[[#This Row],[RateDateFrom]]),0,1)</f>
        <v>0</v>
      </c>
      <c r="F103" s="57">
        <f>IF(ISBLANK(PSPOINTS[[#This Row],[RateDateTo]]),0,IF(PSPOINTS[[#This Row],[RateDateFrom]]&lt;PSPOINTS[[#This Row],[RateDateTo]],0,1))</f>
        <v>0</v>
      </c>
      <c r="G103" s="57" cm="1">
        <f t="array" aca="1" ref="G103" ca="1">IF(CELL("format",PSPOINTS[[#This Row],[RateDateFrom]])="D1",0,1)+IF(CELL("format",PSPOINTS[[#This Row],[RateDateTo]])="D1",0,1)</f>
        <v>0</v>
      </c>
      <c r="H103" s="57">
        <f>IF(OR(PSPOINTS[[#This Row],[Hourly]]=TRUE,PSPOINTS[[#This Row],[Hourly]]=FALSE),IF(OR(PSPOINTS[[#This Row],[PayScalePointEnabled]]=TRUE,PSPOINTS[[#This Row],[PayScalePointEnabled]]=FALSE),0,1),1)</f>
        <v>0</v>
      </c>
      <c r="I103" s="57">
        <f>IF(LEN(PSPOINTS[[#This Row],[PayScalePointCode]])&lt;100,0,1)</f>
        <v>0</v>
      </c>
      <c r="J103" s="57">
        <f>IF(LEN(PSPOINTS[[#This Row],[PayScalePointTitle]])&lt;100,0,1)</f>
        <v>0</v>
      </c>
      <c r="K103" s="57">
        <f>(COUNTBLANK(PSPOINTS[[#This Row],[PayScalePointCode]:[RateDateFrom]])+COUNTBLANK(PSPOINTS[[#This Row],[PayScaleRate]]))</f>
        <v>0</v>
      </c>
      <c r="L103" s="112">
        <f>IF(SUBSTITUTE(TEXT(PSPOINTS[[#This Row],[PayScaleCode]],10)," ","")=TEXT(PSPOINTS[[#This Row],[PayScaleCode]],10),0,1)+IF(SUBSTITUTE(TEXT(PSPOINTS[[#This Row],[PayScalePointCode]],10)," ","")=TEXT(PSPOINTS[[#This Row],[PayScalePointCode]],10),0,1)</f>
        <v>0</v>
      </c>
      <c r="M103" s="57">
        <f ca="1">SUM(PSPOINTS[[#This Row],[Scale Point Issue]:[Space in Code]])</f>
        <v>0</v>
      </c>
      <c r="N103" s="57" t="s">
        <v>897</v>
      </c>
      <c r="P103" s="12" t="s">
        <v>3107</v>
      </c>
      <c r="Q103" s="57" t="str">
        <f>_xlfn.XLOOKUP(PSPOINTS[[#This Row],[PayScaleCode]],PayScales!N:N,PayScales!O:O)</f>
        <v>NJC - Cheshire East</v>
      </c>
      <c r="R103" s="12">
        <v>39</v>
      </c>
      <c r="S103" s="12">
        <v>39</v>
      </c>
      <c r="T103" s="12">
        <v>39</v>
      </c>
      <c r="U103" t="b">
        <v>0</v>
      </c>
      <c r="V103" s="5" t="b">
        <v>1</v>
      </c>
      <c r="W103" s="20">
        <v>45748</v>
      </c>
      <c r="Y103" s="14">
        <v>53875</v>
      </c>
    </row>
    <row r="104" spans="1:27" x14ac:dyDescent="0.3">
      <c r="A104" s="140" t="str">
        <f>PSPOINTS[[#This Row],[PayScaleCode]]&amp;PSPOINTS[[#This Row],[RateDateFrom]]</f>
        <v>NJC_CHE45748</v>
      </c>
      <c r="B104" s="57">
        <f t="shared" si="1"/>
        <v>0</v>
      </c>
      <c r="C104" s="57" t="str">
        <f>PSPOINTS[[#This Row],[PayScaleCode]]&amp;PSPOINTS[[#This Row],[PayScalePointCode]]&amp;PSPOINTS[[#This Row],[RateDateFrom]]</f>
        <v>NJC_CHE4045748</v>
      </c>
      <c r="D104" s="57">
        <f>COUNTIF(PSPOINTS[Pay Scale String Duplicates],PSPOINTS[[#This Row],[Pay Scale String Duplicates]])-1</f>
        <v>0</v>
      </c>
      <c r="E104" s="57">
        <f>IF((MONTH(_xlfn.XLOOKUP(PSPOINTS[[#This Row],[PayScaleCode]],PayScales!N:N,PayScales!R:R)))=MONTH(PSPOINTS[[#This Row],[RateDateFrom]]),0,1)</f>
        <v>0</v>
      </c>
      <c r="F104" s="57">
        <f>IF(ISBLANK(PSPOINTS[[#This Row],[RateDateTo]]),0,IF(PSPOINTS[[#This Row],[RateDateFrom]]&lt;PSPOINTS[[#This Row],[RateDateTo]],0,1))</f>
        <v>0</v>
      </c>
      <c r="G104" s="57" cm="1">
        <f t="array" aca="1" ref="G104" ca="1">IF(CELL("format",PSPOINTS[[#This Row],[RateDateFrom]])="D1",0,1)+IF(CELL("format",PSPOINTS[[#This Row],[RateDateTo]])="D1",0,1)</f>
        <v>0</v>
      </c>
      <c r="H104" s="57">
        <f>IF(OR(PSPOINTS[[#This Row],[Hourly]]=TRUE,PSPOINTS[[#This Row],[Hourly]]=FALSE),IF(OR(PSPOINTS[[#This Row],[PayScalePointEnabled]]=TRUE,PSPOINTS[[#This Row],[PayScalePointEnabled]]=FALSE),0,1),1)</f>
        <v>0</v>
      </c>
      <c r="I104" s="57">
        <f>IF(LEN(PSPOINTS[[#This Row],[PayScalePointCode]])&lt;100,0,1)</f>
        <v>0</v>
      </c>
      <c r="J104" s="57">
        <f>IF(LEN(PSPOINTS[[#This Row],[PayScalePointTitle]])&lt;100,0,1)</f>
        <v>0</v>
      </c>
      <c r="K104" s="57">
        <f>(COUNTBLANK(PSPOINTS[[#This Row],[PayScalePointCode]:[RateDateFrom]])+COUNTBLANK(PSPOINTS[[#This Row],[PayScaleRate]]))</f>
        <v>0</v>
      </c>
      <c r="L104" s="112">
        <f>IF(SUBSTITUTE(TEXT(PSPOINTS[[#This Row],[PayScaleCode]],10)," ","")=TEXT(PSPOINTS[[#This Row],[PayScaleCode]],10),0,1)+IF(SUBSTITUTE(TEXT(PSPOINTS[[#This Row],[PayScalePointCode]],10)," ","")=TEXT(PSPOINTS[[#This Row],[PayScalePointCode]],10),0,1)</f>
        <v>0</v>
      </c>
      <c r="M104" s="57">
        <f ca="1">SUM(PSPOINTS[[#This Row],[Scale Point Issue]:[Space in Code]])</f>
        <v>0</v>
      </c>
      <c r="N104" s="57" t="s">
        <v>897</v>
      </c>
      <c r="P104" s="12" t="s">
        <v>3107</v>
      </c>
      <c r="Q104" s="57" t="str">
        <f>_xlfn.XLOOKUP(PSPOINTS[[#This Row],[PayScaleCode]],PayScales!N:N,PayScales!O:O)</f>
        <v>NJC - Cheshire East</v>
      </c>
      <c r="R104" s="12">
        <v>40</v>
      </c>
      <c r="S104" s="12">
        <v>40</v>
      </c>
      <c r="T104" s="12">
        <v>40</v>
      </c>
      <c r="U104" t="b">
        <v>0</v>
      </c>
      <c r="V104" s="5" t="b">
        <v>1</v>
      </c>
      <c r="W104" s="20">
        <v>45748</v>
      </c>
      <c r="Y104" s="14">
        <v>55458</v>
      </c>
    </row>
    <row r="105" spans="1:27" x14ac:dyDescent="0.3">
      <c r="A105" s="140" t="str">
        <f>PSPOINTS[[#This Row],[PayScaleCode]]&amp;PSPOINTS[[#This Row],[RateDateFrom]]</f>
        <v>NJC_CHE45748</v>
      </c>
      <c r="B105" s="57">
        <f t="shared" si="1"/>
        <v>0</v>
      </c>
      <c r="C105" s="57" t="str">
        <f>PSPOINTS[[#This Row],[PayScaleCode]]&amp;PSPOINTS[[#This Row],[PayScalePointCode]]&amp;PSPOINTS[[#This Row],[RateDateFrom]]</f>
        <v>NJC_CHE4145748</v>
      </c>
      <c r="D105" s="57">
        <f>COUNTIF(PSPOINTS[Pay Scale String Duplicates],PSPOINTS[[#This Row],[Pay Scale String Duplicates]])-1</f>
        <v>0</v>
      </c>
      <c r="E105" s="57">
        <f>IF((MONTH(_xlfn.XLOOKUP(PSPOINTS[[#This Row],[PayScaleCode]],PayScales!N:N,PayScales!R:R)))=MONTH(PSPOINTS[[#This Row],[RateDateFrom]]),0,1)</f>
        <v>0</v>
      </c>
      <c r="F105" s="57">
        <f>IF(ISBLANK(PSPOINTS[[#This Row],[RateDateTo]]),0,IF(PSPOINTS[[#This Row],[RateDateFrom]]&lt;PSPOINTS[[#This Row],[RateDateTo]],0,1))</f>
        <v>0</v>
      </c>
      <c r="G105" s="57" cm="1">
        <f t="array" aca="1" ref="G105" ca="1">IF(CELL("format",PSPOINTS[[#This Row],[RateDateFrom]])="D1",0,1)+IF(CELL("format",PSPOINTS[[#This Row],[RateDateTo]])="D1",0,1)</f>
        <v>0</v>
      </c>
      <c r="H105" s="57">
        <f>IF(OR(PSPOINTS[[#This Row],[Hourly]]=TRUE,PSPOINTS[[#This Row],[Hourly]]=FALSE),IF(OR(PSPOINTS[[#This Row],[PayScalePointEnabled]]=TRUE,PSPOINTS[[#This Row],[PayScalePointEnabled]]=FALSE),0,1),1)</f>
        <v>0</v>
      </c>
      <c r="I105" s="57">
        <f>IF(LEN(PSPOINTS[[#This Row],[PayScalePointCode]])&lt;100,0,1)</f>
        <v>0</v>
      </c>
      <c r="J105" s="57">
        <f>IF(LEN(PSPOINTS[[#This Row],[PayScalePointTitle]])&lt;100,0,1)</f>
        <v>0</v>
      </c>
      <c r="K105" s="57">
        <f>(COUNTBLANK(PSPOINTS[[#This Row],[PayScalePointCode]:[RateDateFrom]])+COUNTBLANK(PSPOINTS[[#This Row],[PayScaleRate]]))</f>
        <v>0</v>
      </c>
      <c r="L105" s="112">
        <f>IF(SUBSTITUTE(TEXT(PSPOINTS[[#This Row],[PayScaleCode]],10)," ","")=TEXT(PSPOINTS[[#This Row],[PayScaleCode]],10),0,1)+IF(SUBSTITUTE(TEXT(PSPOINTS[[#This Row],[PayScalePointCode]],10)," ","")=TEXT(PSPOINTS[[#This Row],[PayScalePointCode]],10),0,1)</f>
        <v>0</v>
      </c>
      <c r="M105" s="57">
        <f ca="1">SUM(PSPOINTS[[#This Row],[Scale Point Issue]:[Space in Code]])</f>
        <v>0</v>
      </c>
      <c r="N105" s="57" t="s">
        <v>897</v>
      </c>
      <c r="P105" s="12" t="s">
        <v>3107</v>
      </c>
      <c r="Q105" s="57" t="str">
        <f>_xlfn.XLOOKUP(PSPOINTS[[#This Row],[PayScaleCode]],PayScales!N:N,PayScales!O:O)</f>
        <v>NJC - Cheshire East</v>
      </c>
      <c r="R105" s="12">
        <v>41</v>
      </c>
      <c r="S105" s="12">
        <v>41</v>
      </c>
      <c r="T105" s="12">
        <v>41</v>
      </c>
      <c r="U105" t="b">
        <v>0</v>
      </c>
      <c r="V105" s="5" t="b">
        <v>1</v>
      </c>
      <c r="W105" s="20">
        <v>45748</v>
      </c>
      <c r="Y105" s="14">
        <v>57044</v>
      </c>
    </row>
    <row r="106" spans="1:27" x14ac:dyDescent="0.3">
      <c r="A106" s="140" t="str">
        <f>PSPOINTS[[#This Row],[PayScaleCode]]&amp;PSPOINTS[[#This Row],[RateDateFrom]]</f>
        <v>NJC_CHE45748</v>
      </c>
      <c r="B106" s="57">
        <f t="shared" si="1"/>
        <v>0</v>
      </c>
      <c r="C106" s="57" t="str">
        <f>PSPOINTS[[#This Row],[PayScaleCode]]&amp;PSPOINTS[[#This Row],[PayScalePointCode]]&amp;PSPOINTS[[#This Row],[RateDateFrom]]</f>
        <v>NJC_CHE4245748</v>
      </c>
      <c r="D106" s="57">
        <f>COUNTIF(PSPOINTS[Pay Scale String Duplicates],PSPOINTS[[#This Row],[Pay Scale String Duplicates]])-1</f>
        <v>0</v>
      </c>
      <c r="E106" s="57">
        <f>IF((MONTH(_xlfn.XLOOKUP(PSPOINTS[[#This Row],[PayScaleCode]],PayScales!N:N,PayScales!R:R)))=MONTH(PSPOINTS[[#This Row],[RateDateFrom]]),0,1)</f>
        <v>0</v>
      </c>
      <c r="F106" s="57">
        <f>IF(ISBLANK(PSPOINTS[[#This Row],[RateDateTo]]),0,IF(PSPOINTS[[#This Row],[RateDateFrom]]&lt;PSPOINTS[[#This Row],[RateDateTo]],0,1))</f>
        <v>0</v>
      </c>
      <c r="G106" s="57" cm="1">
        <f t="array" aca="1" ref="G106" ca="1">IF(CELL("format",PSPOINTS[[#This Row],[RateDateFrom]])="D1",0,1)+IF(CELL("format",PSPOINTS[[#This Row],[RateDateTo]])="D1",0,1)</f>
        <v>0</v>
      </c>
      <c r="H106" s="57">
        <f>IF(OR(PSPOINTS[[#This Row],[Hourly]]=TRUE,PSPOINTS[[#This Row],[Hourly]]=FALSE),IF(OR(PSPOINTS[[#This Row],[PayScalePointEnabled]]=TRUE,PSPOINTS[[#This Row],[PayScalePointEnabled]]=FALSE),0,1),1)</f>
        <v>0</v>
      </c>
      <c r="I106" s="57">
        <f>IF(LEN(PSPOINTS[[#This Row],[PayScalePointCode]])&lt;100,0,1)</f>
        <v>0</v>
      </c>
      <c r="J106" s="57">
        <f>IF(LEN(PSPOINTS[[#This Row],[PayScalePointTitle]])&lt;100,0,1)</f>
        <v>0</v>
      </c>
      <c r="K106" s="57">
        <f>(COUNTBLANK(PSPOINTS[[#This Row],[PayScalePointCode]:[RateDateFrom]])+COUNTBLANK(PSPOINTS[[#This Row],[PayScaleRate]]))</f>
        <v>0</v>
      </c>
      <c r="L106" s="112">
        <f>IF(SUBSTITUTE(TEXT(PSPOINTS[[#This Row],[PayScaleCode]],10)," ","")=TEXT(PSPOINTS[[#This Row],[PayScaleCode]],10),0,1)+IF(SUBSTITUTE(TEXT(PSPOINTS[[#This Row],[PayScalePointCode]],10)," ","")=TEXT(PSPOINTS[[#This Row],[PayScalePointCode]],10),0,1)</f>
        <v>0</v>
      </c>
      <c r="M106" s="57">
        <f ca="1">SUM(PSPOINTS[[#This Row],[Scale Point Issue]:[Space in Code]])</f>
        <v>0</v>
      </c>
      <c r="N106" s="57" t="s">
        <v>897</v>
      </c>
      <c r="P106" s="12" t="s">
        <v>3107</v>
      </c>
      <c r="Q106" s="57" t="str">
        <f>_xlfn.XLOOKUP(PSPOINTS[[#This Row],[PayScaleCode]],PayScales!N:N,PayScales!O:O)</f>
        <v>NJC - Cheshire East</v>
      </c>
      <c r="R106" s="12">
        <v>42</v>
      </c>
      <c r="S106" s="12">
        <v>42</v>
      </c>
      <c r="T106" s="12">
        <v>42</v>
      </c>
      <c r="U106" t="b">
        <v>0</v>
      </c>
      <c r="V106" s="5" t="b">
        <v>1</v>
      </c>
      <c r="W106" s="20">
        <v>45748</v>
      </c>
      <c r="Y106" s="14">
        <v>58879</v>
      </c>
    </row>
    <row r="107" spans="1:27" x14ac:dyDescent="0.3">
      <c r="A107" s="140" t="str">
        <f>PSPOINTS[[#This Row],[PayScaleCode]]&amp;PSPOINTS[[#This Row],[RateDateFrom]]</f>
        <v>NJC_CHE45748</v>
      </c>
      <c r="B107" s="57">
        <f t="shared" si="1"/>
        <v>0</v>
      </c>
      <c r="C107" s="57" t="str">
        <f>PSPOINTS[[#This Row],[PayScaleCode]]&amp;PSPOINTS[[#This Row],[PayScalePointCode]]&amp;PSPOINTS[[#This Row],[RateDateFrom]]</f>
        <v>NJC_CHE4345748</v>
      </c>
      <c r="D107" s="57">
        <f>COUNTIF(PSPOINTS[Pay Scale String Duplicates],PSPOINTS[[#This Row],[Pay Scale String Duplicates]])-1</f>
        <v>0</v>
      </c>
      <c r="E107" s="57">
        <f>IF((MONTH(_xlfn.XLOOKUP(PSPOINTS[[#This Row],[PayScaleCode]],PayScales!N:N,PayScales!R:R)))=MONTH(PSPOINTS[[#This Row],[RateDateFrom]]),0,1)</f>
        <v>0</v>
      </c>
      <c r="F107" s="57">
        <f>IF(ISBLANK(PSPOINTS[[#This Row],[RateDateTo]]),0,IF(PSPOINTS[[#This Row],[RateDateFrom]]&lt;PSPOINTS[[#This Row],[RateDateTo]],0,1))</f>
        <v>0</v>
      </c>
      <c r="G107" s="57" cm="1">
        <f t="array" aca="1" ref="G107" ca="1">IF(CELL("format",PSPOINTS[[#This Row],[RateDateFrom]])="D1",0,1)+IF(CELL("format",PSPOINTS[[#This Row],[RateDateTo]])="D1",0,1)</f>
        <v>0</v>
      </c>
      <c r="H107" s="57">
        <f>IF(OR(PSPOINTS[[#This Row],[Hourly]]=TRUE,PSPOINTS[[#This Row],[Hourly]]=FALSE),IF(OR(PSPOINTS[[#This Row],[PayScalePointEnabled]]=TRUE,PSPOINTS[[#This Row],[PayScalePointEnabled]]=FALSE),0,1),1)</f>
        <v>0</v>
      </c>
      <c r="I107" s="57">
        <f>IF(LEN(PSPOINTS[[#This Row],[PayScalePointCode]])&lt;100,0,1)</f>
        <v>0</v>
      </c>
      <c r="J107" s="57">
        <f>IF(LEN(PSPOINTS[[#This Row],[PayScalePointTitle]])&lt;100,0,1)</f>
        <v>0</v>
      </c>
      <c r="K107" s="57">
        <f>(COUNTBLANK(PSPOINTS[[#This Row],[PayScalePointCode]:[RateDateFrom]])+COUNTBLANK(PSPOINTS[[#This Row],[PayScaleRate]]))</f>
        <v>0</v>
      </c>
      <c r="L107" s="112">
        <f>IF(SUBSTITUTE(TEXT(PSPOINTS[[#This Row],[PayScaleCode]],10)," ","")=TEXT(PSPOINTS[[#This Row],[PayScaleCode]],10),0,1)+IF(SUBSTITUTE(TEXT(PSPOINTS[[#This Row],[PayScalePointCode]],10)," ","")=TEXT(PSPOINTS[[#This Row],[PayScalePointCode]],10),0,1)</f>
        <v>0</v>
      </c>
      <c r="M107" s="57">
        <f ca="1">SUM(PSPOINTS[[#This Row],[Scale Point Issue]:[Space in Code]])</f>
        <v>0</v>
      </c>
      <c r="N107" s="57" t="s">
        <v>897</v>
      </c>
      <c r="P107" s="12" t="s">
        <v>3107</v>
      </c>
      <c r="Q107" s="57" t="str">
        <f>_xlfn.XLOOKUP(PSPOINTS[[#This Row],[PayScaleCode]],PayScales!N:N,PayScales!O:O)</f>
        <v>NJC - Cheshire East</v>
      </c>
      <c r="R107" s="12">
        <v>43</v>
      </c>
      <c r="S107" s="12">
        <v>43</v>
      </c>
      <c r="T107" s="12">
        <v>43</v>
      </c>
      <c r="U107" t="b">
        <v>0</v>
      </c>
      <c r="V107" s="5" t="b">
        <v>1</v>
      </c>
      <c r="W107" s="20">
        <v>45748</v>
      </c>
      <c r="Y107" s="14">
        <v>60715</v>
      </c>
    </row>
    <row r="108" spans="1:27" x14ac:dyDescent="0.3">
      <c r="A108" s="140" t="str">
        <f>PSPOINTS[[#This Row],[PayScaleCode]]&amp;PSPOINTS[[#This Row],[RateDateFrom]]</f>
        <v>NJC_CHE45748</v>
      </c>
      <c r="B108" s="57">
        <f>IF(A108=A107,SUM(T108-T107)-1,T108-1)</f>
        <v>0</v>
      </c>
      <c r="C108" s="57" t="str">
        <f>PSPOINTS[[#This Row],[PayScaleCode]]&amp;PSPOINTS[[#This Row],[PayScalePointCode]]&amp;PSPOINTS[[#This Row],[RateDateFrom]]</f>
        <v>NJC_CHE4445748</v>
      </c>
      <c r="D108" s="57">
        <f>COUNTIF(PSPOINTS[Pay Scale String Duplicates],PSPOINTS[[#This Row],[Pay Scale String Duplicates]])-1</f>
        <v>0</v>
      </c>
      <c r="E108" s="57">
        <f>IF((MONTH(_xlfn.XLOOKUP(PSPOINTS[[#This Row],[PayScaleCode]],PayScales!N:N,PayScales!R:R)))=MONTH(PSPOINTS[[#This Row],[RateDateFrom]]),0,1)</f>
        <v>0</v>
      </c>
      <c r="F108" s="57">
        <f>IF(ISBLANK(PSPOINTS[[#This Row],[RateDateTo]]),0,IF(PSPOINTS[[#This Row],[RateDateFrom]]&lt;PSPOINTS[[#This Row],[RateDateTo]],0,1))</f>
        <v>0</v>
      </c>
      <c r="G108" s="57" cm="1">
        <f t="array" aca="1" ref="G108" ca="1">IF(CELL("format",PSPOINTS[[#This Row],[RateDateFrom]])="D1",0,1)+IF(CELL("format",PSPOINTS[[#This Row],[RateDateTo]])="D1",0,1)</f>
        <v>0</v>
      </c>
      <c r="H108" s="57">
        <f>IF(OR(PSPOINTS[[#This Row],[Hourly]]=TRUE,PSPOINTS[[#This Row],[Hourly]]=FALSE),IF(OR(PSPOINTS[[#This Row],[PayScalePointEnabled]]=TRUE,PSPOINTS[[#This Row],[PayScalePointEnabled]]=FALSE),0,1),1)</f>
        <v>0</v>
      </c>
      <c r="I108" s="57">
        <f>IF(LEN(PSPOINTS[[#This Row],[PayScalePointCode]])&lt;100,0,1)</f>
        <v>0</v>
      </c>
      <c r="J108" s="57">
        <f>IF(LEN(PSPOINTS[[#This Row],[PayScalePointTitle]])&lt;100,0,1)</f>
        <v>0</v>
      </c>
      <c r="K108" s="57">
        <f>(COUNTBLANK(PSPOINTS[[#This Row],[PayScalePointCode]:[RateDateFrom]])+COUNTBLANK(PSPOINTS[[#This Row],[PayScaleRate]]))</f>
        <v>0</v>
      </c>
      <c r="L108" s="112">
        <f>IF(SUBSTITUTE(TEXT(PSPOINTS[[#This Row],[PayScaleCode]],10)," ","")=TEXT(PSPOINTS[[#This Row],[PayScaleCode]],10),0,1)+IF(SUBSTITUTE(TEXT(PSPOINTS[[#This Row],[PayScalePointCode]],10)," ","")=TEXT(PSPOINTS[[#This Row],[PayScalePointCode]],10),0,1)</f>
        <v>0</v>
      </c>
      <c r="M108" s="57">
        <f ca="1">SUM(PSPOINTS[[#This Row],[Scale Point Issue]:[Space in Code]])</f>
        <v>0</v>
      </c>
      <c r="N108" s="57" t="s">
        <v>897</v>
      </c>
      <c r="P108" s="12" t="s">
        <v>3107</v>
      </c>
      <c r="Q108" s="57" t="str">
        <f>_xlfn.XLOOKUP(PSPOINTS[[#This Row],[PayScaleCode]],PayScales!N:N,PayScales!O:O)</f>
        <v>NJC - Cheshire East</v>
      </c>
      <c r="R108" s="12">
        <v>44</v>
      </c>
      <c r="S108" s="12">
        <v>44</v>
      </c>
      <c r="T108" s="12">
        <v>44</v>
      </c>
      <c r="U108" t="b">
        <v>0</v>
      </c>
      <c r="V108" s="5" t="b">
        <v>1</v>
      </c>
      <c r="W108" s="20">
        <v>45748</v>
      </c>
      <c r="Y108" s="14">
        <v>62401</v>
      </c>
    </row>
    <row r="109" spans="1:27" x14ac:dyDescent="0.3">
      <c r="A109" s="140" t="str">
        <f>PSPOINTS[[#This Row],[PayScaleCode]]&amp;PSPOINTS[[#This Row],[RateDateFrom]]</f>
        <v>NJC_CHE45748</v>
      </c>
      <c r="B109" s="57">
        <f t="shared" ref="B109:B113" si="2">IF(A109=A108,SUM(T109-T108)-1,T109-1)</f>
        <v>0</v>
      </c>
      <c r="C109" s="57" t="str">
        <f>PSPOINTS[[#This Row],[PayScaleCode]]&amp;PSPOINTS[[#This Row],[PayScalePointCode]]&amp;PSPOINTS[[#This Row],[RateDateFrom]]</f>
        <v>NJC_CHE4545748</v>
      </c>
      <c r="D109" s="57">
        <f>COUNTIF(PSPOINTS[Pay Scale String Duplicates],PSPOINTS[[#This Row],[Pay Scale String Duplicates]])-1</f>
        <v>0</v>
      </c>
      <c r="E109" s="57">
        <f>IF((MONTH(_xlfn.XLOOKUP(PSPOINTS[[#This Row],[PayScaleCode]],PayScales!N:N,PayScales!R:R)))=MONTH(PSPOINTS[[#This Row],[RateDateFrom]]),0,1)</f>
        <v>0</v>
      </c>
      <c r="F109" s="57">
        <f>IF(ISBLANK(PSPOINTS[[#This Row],[RateDateTo]]),0,IF(PSPOINTS[[#This Row],[RateDateFrom]]&lt;PSPOINTS[[#This Row],[RateDateTo]],0,1))</f>
        <v>0</v>
      </c>
      <c r="G109" s="57" cm="1">
        <f t="array" aca="1" ref="G109" ca="1">IF(CELL("format",PSPOINTS[[#This Row],[RateDateFrom]])="D1",0,1)+IF(CELL("format",PSPOINTS[[#This Row],[RateDateTo]])="D1",0,1)</f>
        <v>0</v>
      </c>
      <c r="H109" s="57">
        <f>IF(OR(PSPOINTS[[#This Row],[Hourly]]=TRUE,PSPOINTS[[#This Row],[Hourly]]=FALSE),IF(OR(PSPOINTS[[#This Row],[PayScalePointEnabled]]=TRUE,PSPOINTS[[#This Row],[PayScalePointEnabled]]=FALSE),0,1),1)</f>
        <v>0</v>
      </c>
      <c r="I109" s="57">
        <f>IF(LEN(PSPOINTS[[#This Row],[PayScalePointCode]])&lt;100,0,1)</f>
        <v>0</v>
      </c>
      <c r="J109" s="57">
        <f>IF(LEN(PSPOINTS[[#This Row],[PayScalePointTitle]])&lt;100,0,1)</f>
        <v>0</v>
      </c>
      <c r="K109" s="57">
        <f>(COUNTBLANK(PSPOINTS[[#This Row],[PayScalePointCode]:[RateDateFrom]])+COUNTBLANK(PSPOINTS[[#This Row],[PayScaleRate]]))</f>
        <v>0</v>
      </c>
      <c r="L109" s="112">
        <f>IF(SUBSTITUTE(TEXT(PSPOINTS[[#This Row],[PayScaleCode]],10)," ","")=TEXT(PSPOINTS[[#This Row],[PayScaleCode]],10),0,1)+IF(SUBSTITUTE(TEXT(PSPOINTS[[#This Row],[PayScalePointCode]],10)," ","")=TEXT(PSPOINTS[[#This Row],[PayScalePointCode]],10),0,1)</f>
        <v>0</v>
      </c>
      <c r="M109" s="57">
        <f ca="1">SUM(PSPOINTS[[#This Row],[Scale Point Issue]:[Space in Code]])</f>
        <v>0</v>
      </c>
      <c r="N109" s="57" t="s">
        <v>897</v>
      </c>
      <c r="P109" s="12" t="s">
        <v>3107</v>
      </c>
      <c r="Q109" s="57" t="str">
        <f>_xlfn.XLOOKUP(PSPOINTS[[#This Row],[PayScaleCode]],PayScales!N:N,PayScales!O:O)</f>
        <v>NJC - Cheshire East</v>
      </c>
      <c r="R109" s="12">
        <v>45</v>
      </c>
      <c r="S109" s="12">
        <v>45</v>
      </c>
      <c r="T109" s="12">
        <v>45</v>
      </c>
      <c r="U109" t="b">
        <v>0</v>
      </c>
      <c r="V109" s="5" t="b">
        <v>1</v>
      </c>
      <c r="W109" s="20">
        <v>45748</v>
      </c>
      <c r="Y109" s="14">
        <v>63688</v>
      </c>
    </row>
    <row r="110" spans="1:27" x14ac:dyDescent="0.3">
      <c r="A110" s="140" t="str">
        <f>PSPOINTS[[#This Row],[PayScaleCode]]&amp;PSPOINTS[[#This Row],[RateDateFrom]]</f>
        <v>APP_NMW45748</v>
      </c>
      <c r="B110" s="57">
        <f t="shared" si="2"/>
        <v>0</v>
      </c>
      <c r="C110" s="57" t="str">
        <f>PSPOINTS[[#This Row],[PayScaleCode]]&amp;PSPOINTS[[#This Row],[PayScalePointCode]]&amp;PSPOINTS[[#This Row],[RateDateFrom]]</f>
        <v>APP_NMWY145748</v>
      </c>
      <c r="D110" s="57">
        <f>COUNTIF(PSPOINTS[Pay Scale String Duplicates],PSPOINTS[[#This Row],[Pay Scale String Duplicates]])-1</f>
        <v>0</v>
      </c>
      <c r="E110" s="57">
        <f>IF((MONTH(_xlfn.XLOOKUP(PSPOINTS[[#This Row],[PayScaleCode]],PayScales!N:N,PayScales!R:R)))=MONTH(PSPOINTS[[#This Row],[RateDateFrom]]),0,1)</f>
        <v>0</v>
      </c>
      <c r="F110" s="57">
        <f>IF(ISBLANK(PSPOINTS[[#This Row],[RateDateTo]]),0,IF(PSPOINTS[[#This Row],[RateDateFrom]]&lt;PSPOINTS[[#This Row],[RateDateTo]],0,1))</f>
        <v>0</v>
      </c>
      <c r="G110" s="57" cm="1">
        <f t="array" aca="1" ref="G110" ca="1">IF(CELL("format",PSPOINTS[[#This Row],[RateDateFrom]])="D1",0,1)+IF(CELL("format",PSPOINTS[[#This Row],[RateDateTo]])="D1",0,1)</f>
        <v>0</v>
      </c>
      <c r="H110" s="57">
        <f>IF(OR(PSPOINTS[[#This Row],[Hourly]]=TRUE,PSPOINTS[[#This Row],[Hourly]]=FALSE),IF(OR(PSPOINTS[[#This Row],[PayScalePointEnabled]]=TRUE,PSPOINTS[[#This Row],[PayScalePointEnabled]]=FALSE),0,1),1)</f>
        <v>0</v>
      </c>
      <c r="I110" s="57">
        <f>IF(LEN(PSPOINTS[[#This Row],[PayScalePointCode]])&lt;100,0,1)</f>
        <v>0</v>
      </c>
      <c r="J110" s="57">
        <f>IF(LEN(PSPOINTS[[#This Row],[PayScalePointTitle]])&lt;100,0,1)</f>
        <v>0</v>
      </c>
      <c r="K110" s="57">
        <f>(COUNTBLANK(PSPOINTS[[#This Row],[PayScalePointCode]:[RateDateFrom]])+COUNTBLANK(PSPOINTS[[#This Row],[PayScaleRate]]))</f>
        <v>0</v>
      </c>
      <c r="L110" s="112">
        <f>IF(SUBSTITUTE(TEXT(PSPOINTS[[#This Row],[PayScaleCode]],10)," ","")=TEXT(PSPOINTS[[#This Row],[PayScaleCode]],10),0,1)+IF(SUBSTITUTE(TEXT(PSPOINTS[[#This Row],[PayScalePointCode]],10)," ","")=TEXT(PSPOINTS[[#This Row],[PayScalePointCode]],10),0,1)</f>
        <v>0</v>
      </c>
      <c r="M110" s="57">
        <f ca="1">SUM(PSPOINTS[[#This Row],[Scale Point Issue]:[Space in Code]])</f>
        <v>0</v>
      </c>
      <c r="N110" s="57" t="s">
        <v>897</v>
      </c>
      <c r="P110" s="12" t="s">
        <v>1744</v>
      </c>
      <c r="Q110" s="57" t="str">
        <f>_xlfn.XLOOKUP(PSPOINTS[[#This Row],[PayScaleCode]],PayScales!N:N,PayScales!O:O)</f>
        <v>Apprentice / NMW Scale</v>
      </c>
      <c r="R110" s="12" t="s">
        <v>1603</v>
      </c>
      <c r="S110" s="12" t="s">
        <v>1603</v>
      </c>
      <c r="T110" s="12">
        <v>1</v>
      </c>
      <c r="U110" t="b">
        <v>0</v>
      </c>
      <c r="V110" s="5" t="b">
        <v>1</v>
      </c>
      <c r="W110" s="20">
        <v>45748</v>
      </c>
      <c r="Y110" s="14">
        <v>14566</v>
      </c>
      <c r="AA110" s="12" t="s">
        <v>1746</v>
      </c>
    </row>
    <row r="111" spans="1:27" x14ac:dyDescent="0.3">
      <c r="A111" s="140" t="str">
        <f>PSPOINTS[[#This Row],[PayScaleCode]]&amp;PSPOINTS[[#This Row],[RateDateFrom]]</f>
        <v>APP_NMW45748</v>
      </c>
      <c r="B111" s="57">
        <f t="shared" si="2"/>
        <v>0</v>
      </c>
      <c r="C111" s="57" t="str">
        <f>PSPOINTS[[#This Row],[PayScaleCode]]&amp;PSPOINTS[[#This Row],[PayScalePointCode]]&amp;PSPOINTS[[#This Row],[RateDateFrom]]</f>
        <v>APP_NMW&lt;1845748</v>
      </c>
      <c r="D111" s="57">
        <f>COUNTIF(PSPOINTS[Pay Scale String Duplicates],PSPOINTS[[#This Row],[Pay Scale String Duplicates]])-1</f>
        <v>0</v>
      </c>
      <c r="E111" s="57">
        <f>IF((MONTH(_xlfn.XLOOKUP(PSPOINTS[[#This Row],[PayScaleCode]],PayScales!N:N,PayScales!R:R)))=MONTH(PSPOINTS[[#This Row],[RateDateFrom]]),0,1)</f>
        <v>0</v>
      </c>
      <c r="F111" s="57">
        <f>IF(ISBLANK(PSPOINTS[[#This Row],[RateDateTo]]),0,IF(PSPOINTS[[#This Row],[RateDateFrom]]&lt;PSPOINTS[[#This Row],[RateDateTo]],0,1))</f>
        <v>0</v>
      </c>
      <c r="G111" s="57" cm="1">
        <f t="array" aca="1" ref="G111" ca="1">IF(CELL("format",PSPOINTS[[#This Row],[RateDateFrom]])="D1",0,1)+IF(CELL("format",PSPOINTS[[#This Row],[RateDateTo]])="D1",0,1)</f>
        <v>0</v>
      </c>
      <c r="H111" s="57">
        <f>IF(OR(PSPOINTS[[#This Row],[Hourly]]=TRUE,PSPOINTS[[#This Row],[Hourly]]=FALSE),IF(OR(PSPOINTS[[#This Row],[PayScalePointEnabled]]=TRUE,PSPOINTS[[#This Row],[PayScalePointEnabled]]=FALSE),0,1),1)</f>
        <v>0</v>
      </c>
      <c r="I111" s="57">
        <f>IF(LEN(PSPOINTS[[#This Row],[PayScalePointCode]])&lt;100,0,1)</f>
        <v>0</v>
      </c>
      <c r="J111" s="57">
        <f>IF(LEN(PSPOINTS[[#This Row],[PayScalePointTitle]])&lt;100,0,1)</f>
        <v>0</v>
      </c>
      <c r="K111" s="57">
        <f>(COUNTBLANK(PSPOINTS[[#This Row],[PayScalePointCode]:[RateDateFrom]])+COUNTBLANK(PSPOINTS[[#This Row],[PayScaleRate]]))</f>
        <v>0</v>
      </c>
      <c r="L111" s="112">
        <f>IF(SUBSTITUTE(TEXT(PSPOINTS[[#This Row],[PayScaleCode]],10)," ","")=TEXT(PSPOINTS[[#This Row],[PayScaleCode]],10),0,1)+IF(SUBSTITUTE(TEXT(PSPOINTS[[#This Row],[PayScalePointCode]],10)," ","")=TEXT(PSPOINTS[[#This Row],[PayScalePointCode]],10),0,1)</f>
        <v>0</v>
      </c>
      <c r="M111" s="57">
        <f ca="1">SUM(PSPOINTS[[#This Row],[Scale Point Issue]:[Space in Code]])</f>
        <v>0</v>
      </c>
      <c r="N111" s="57" t="s">
        <v>897</v>
      </c>
      <c r="P111" s="12" t="s">
        <v>1744</v>
      </c>
      <c r="Q111" s="57" t="str">
        <f>_xlfn.XLOOKUP(PSPOINTS[[#This Row],[PayScaleCode]],PayScales!N:N,PayScales!O:O)</f>
        <v>Apprentice / NMW Scale</v>
      </c>
      <c r="R111" s="12" t="s">
        <v>1604</v>
      </c>
      <c r="S111" s="12" t="s">
        <v>1604</v>
      </c>
      <c r="T111" s="12">
        <v>2</v>
      </c>
      <c r="U111" t="b">
        <v>0</v>
      </c>
      <c r="V111" s="5" t="b">
        <v>1</v>
      </c>
      <c r="W111" s="20">
        <v>45748</v>
      </c>
      <c r="Y111" s="14">
        <v>14566</v>
      </c>
      <c r="AA111" s="12" t="s">
        <v>1746</v>
      </c>
    </row>
    <row r="112" spans="1:27" x14ac:dyDescent="0.3">
      <c r="A112" s="140" t="str">
        <f>PSPOINTS[[#This Row],[PayScaleCode]]&amp;PSPOINTS[[#This Row],[RateDateFrom]]</f>
        <v>APP_NMW45748</v>
      </c>
      <c r="B112" s="57">
        <f t="shared" si="2"/>
        <v>0</v>
      </c>
      <c r="C112" s="57" t="str">
        <f>PSPOINTS[[#This Row],[PayScaleCode]]&amp;PSPOINTS[[#This Row],[PayScalePointCode]]&amp;PSPOINTS[[#This Row],[RateDateFrom]]</f>
        <v>APP_NMW18-2045748</v>
      </c>
      <c r="D112" s="57">
        <f>COUNTIF(PSPOINTS[Pay Scale String Duplicates],PSPOINTS[[#This Row],[Pay Scale String Duplicates]])-1</f>
        <v>0</v>
      </c>
      <c r="E112" s="57">
        <f>IF((MONTH(_xlfn.XLOOKUP(PSPOINTS[[#This Row],[PayScaleCode]],PayScales!N:N,PayScales!R:R)))=MONTH(PSPOINTS[[#This Row],[RateDateFrom]]),0,1)</f>
        <v>0</v>
      </c>
      <c r="F112" s="57">
        <f>IF(ISBLANK(PSPOINTS[[#This Row],[RateDateTo]]),0,IF(PSPOINTS[[#This Row],[RateDateFrom]]&lt;PSPOINTS[[#This Row],[RateDateTo]],0,1))</f>
        <v>0</v>
      </c>
      <c r="G112" s="57" cm="1">
        <f t="array" aca="1" ref="G112" ca="1">IF(CELL("format",PSPOINTS[[#This Row],[RateDateFrom]])="D1",0,1)+IF(CELL("format",PSPOINTS[[#This Row],[RateDateTo]])="D1",0,1)</f>
        <v>0</v>
      </c>
      <c r="H112" s="57">
        <f>IF(OR(PSPOINTS[[#This Row],[Hourly]]=TRUE,PSPOINTS[[#This Row],[Hourly]]=FALSE),IF(OR(PSPOINTS[[#This Row],[PayScalePointEnabled]]=TRUE,PSPOINTS[[#This Row],[PayScalePointEnabled]]=FALSE),0,1),1)</f>
        <v>0</v>
      </c>
      <c r="I112" s="57">
        <f>IF(LEN(PSPOINTS[[#This Row],[PayScalePointCode]])&lt;100,0,1)</f>
        <v>0</v>
      </c>
      <c r="J112" s="57">
        <f>IF(LEN(PSPOINTS[[#This Row],[PayScalePointTitle]])&lt;100,0,1)</f>
        <v>0</v>
      </c>
      <c r="K112" s="57">
        <f>(COUNTBLANK(PSPOINTS[[#This Row],[PayScalePointCode]:[RateDateFrom]])+COUNTBLANK(PSPOINTS[[#This Row],[PayScaleRate]]))</f>
        <v>0</v>
      </c>
      <c r="L112" s="112">
        <f>IF(SUBSTITUTE(TEXT(PSPOINTS[[#This Row],[PayScaleCode]],10)," ","")=TEXT(PSPOINTS[[#This Row],[PayScaleCode]],10),0,1)+IF(SUBSTITUTE(TEXT(PSPOINTS[[#This Row],[PayScalePointCode]],10)," ","")=TEXT(PSPOINTS[[#This Row],[PayScalePointCode]],10),0,1)</f>
        <v>0</v>
      </c>
      <c r="M112" s="57">
        <f ca="1">SUM(PSPOINTS[[#This Row],[Scale Point Issue]:[Space in Code]])</f>
        <v>0</v>
      </c>
      <c r="N112" s="57" t="s">
        <v>897</v>
      </c>
      <c r="P112" s="12" t="s">
        <v>1744</v>
      </c>
      <c r="Q112" s="57" t="str">
        <f>_xlfn.XLOOKUP(PSPOINTS[[#This Row],[PayScaleCode]],PayScales!N:N,PayScales!O:O)</f>
        <v>Apprentice / NMW Scale</v>
      </c>
      <c r="R112" s="12" t="s">
        <v>1605</v>
      </c>
      <c r="S112" s="12" t="s">
        <v>1605</v>
      </c>
      <c r="T112" s="12">
        <v>3</v>
      </c>
      <c r="U112" t="b">
        <v>0</v>
      </c>
      <c r="V112" s="5" t="b">
        <v>1</v>
      </c>
      <c r="W112" s="20">
        <v>45748</v>
      </c>
      <c r="Y112" s="14">
        <v>19293</v>
      </c>
      <c r="AA112" s="12" t="s">
        <v>1747</v>
      </c>
    </row>
    <row r="113" spans="1:27" x14ac:dyDescent="0.3">
      <c r="A113" s="140" t="str">
        <f>PSPOINTS[[#This Row],[PayScaleCode]]&amp;PSPOINTS[[#This Row],[RateDateFrom]]</f>
        <v>APP_NMW45748</v>
      </c>
      <c r="B113" s="57">
        <f t="shared" si="2"/>
        <v>0</v>
      </c>
      <c r="C113" s="57" t="str">
        <f>PSPOINTS[[#This Row],[PayScaleCode]]&amp;PSPOINTS[[#This Row],[PayScalePointCode]]&amp;PSPOINTS[[#This Row],[RateDateFrom]]</f>
        <v>APP_NMW&gt;2145748</v>
      </c>
      <c r="D113" s="57">
        <f>COUNTIF(PSPOINTS[Pay Scale String Duplicates],PSPOINTS[[#This Row],[Pay Scale String Duplicates]])-1</f>
        <v>0</v>
      </c>
      <c r="E113" s="57">
        <f>IF((MONTH(_xlfn.XLOOKUP(PSPOINTS[[#This Row],[PayScaleCode]],PayScales!N:N,PayScales!R:R)))=MONTH(PSPOINTS[[#This Row],[RateDateFrom]]),0,1)</f>
        <v>0</v>
      </c>
      <c r="F113" s="57">
        <f>IF(ISBLANK(PSPOINTS[[#This Row],[RateDateTo]]),0,IF(PSPOINTS[[#This Row],[RateDateFrom]]&lt;PSPOINTS[[#This Row],[RateDateTo]],0,1))</f>
        <v>0</v>
      </c>
      <c r="G113" s="57" cm="1">
        <f t="array" aca="1" ref="G113" ca="1">IF(CELL("format",PSPOINTS[[#This Row],[RateDateFrom]])="D1",0,1)+IF(CELL("format",PSPOINTS[[#This Row],[RateDateTo]])="D1",0,1)</f>
        <v>0</v>
      </c>
      <c r="H113" s="57">
        <f>IF(OR(PSPOINTS[[#This Row],[Hourly]]=TRUE,PSPOINTS[[#This Row],[Hourly]]=FALSE),IF(OR(PSPOINTS[[#This Row],[PayScalePointEnabled]]=TRUE,PSPOINTS[[#This Row],[PayScalePointEnabled]]=FALSE),0,1),1)</f>
        <v>0</v>
      </c>
      <c r="I113" s="57">
        <f>IF(LEN(PSPOINTS[[#This Row],[PayScalePointCode]])&lt;100,0,1)</f>
        <v>0</v>
      </c>
      <c r="J113" s="57">
        <f>IF(LEN(PSPOINTS[[#This Row],[PayScalePointTitle]])&lt;100,0,1)</f>
        <v>0</v>
      </c>
      <c r="K113" s="57">
        <f>(COUNTBLANK(PSPOINTS[[#This Row],[PayScalePointCode]:[RateDateFrom]])+COUNTBLANK(PSPOINTS[[#This Row],[PayScaleRate]]))</f>
        <v>0</v>
      </c>
      <c r="L113" s="112">
        <f>IF(SUBSTITUTE(TEXT(PSPOINTS[[#This Row],[PayScaleCode]],10)," ","")=TEXT(PSPOINTS[[#This Row],[PayScaleCode]],10),0,1)+IF(SUBSTITUTE(TEXT(PSPOINTS[[#This Row],[PayScalePointCode]],10)," ","")=TEXT(PSPOINTS[[#This Row],[PayScalePointCode]],10),0,1)</f>
        <v>0</v>
      </c>
      <c r="M113" s="57">
        <f ca="1">SUM(PSPOINTS[[#This Row],[Scale Point Issue]:[Space in Code]])</f>
        <v>0</v>
      </c>
      <c r="N113" s="57" t="s">
        <v>897</v>
      </c>
      <c r="P113" s="12" t="s">
        <v>1744</v>
      </c>
      <c r="Q113" s="57" t="str">
        <f>_xlfn.XLOOKUP(PSPOINTS[[#This Row],[PayScaleCode]],PayScales!N:N,PayScales!O:O)</f>
        <v>Apprentice / NMW Scale</v>
      </c>
      <c r="R113" s="12" t="s">
        <v>1620</v>
      </c>
      <c r="S113" s="12" t="s">
        <v>1620</v>
      </c>
      <c r="T113" s="12">
        <v>4</v>
      </c>
      <c r="U113" t="b">
        <v>0</v>
      </c>
      <c r="V113" s="5" t="b">
        <v>1</v>
      </c>
      <c r="W113" s="20">
        <v>45748</v>
      </c>
      <c r="Y113" s="14">
        <v>23557</v>
      </c>
      <c r="AA113" s="12" t="s">
        <v>1748</v>
      </c>
    </row>
  </sheetData>
  <phoneticPr fontId="2" type="noConversion"/>
  <conditionalFormatting sqref="Y2:Y10">
    <cfRule type="duplicateValues" dxfId="23" priority="37"/>
    <cfRule type="duplicateValues" dxfId="22" priority="38"/>
    <cfRule type="duplicateValues" dxfId="21" priority="39"/>
  </conditionalFormatting>
  <conditionalFormatting sqref="Y11:Y17">
    <cfRule type="duplicateValues" dxfId="20" priority="40"/>
    <cfRule type="duplicateValues" dxfId="19" priority="41"/>
    <cfRule type="duplicateValues" dxfId="18" priority="42"/>
  </conditionalFormatting>
  <conditionalFormatting sqref="Y18:Y33">
    <cfRule type="duplicateValues" dxfId="17" priority="16"/>
    <cfRule type="duplicateValues" dxfId="16" priority="17"/>
    <cfRule type="duplicateValues" dxfId="15" priority="18"/>
  </conditionalFormatting>
  <conditionalFormatting sqref="Y34:Y41">
    <cfRule type="duplicateValues" dxfId="14" priority="13"/>
    <cfRule type="duplicateValues" dxfId="13" priority="14"/>
    <cfRule type="duplicateValues" dxfId="12" priority="15"/>
  </conditionalFormatting>
  <conditionalFormatting sqref="Y42">
    <cfRule type="duplicateValues" dxfId="11" priority="1"/>
    <cfRule type="duplicateValues" dxfId="10" priority="2"/>
    <cfRule type="duplicateValues" dxfId="9" priority="3"/>
  </conditionalFormatting>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D704A5C2-BA6A-490A-BFA1-4E99A51EF740}">
          <x14:formula1>
            <xm:f>Validation!$G$2:$G$3</xm:f>
          </x14:formula1>
          <xm:sqref>U3:V109</xm:sqref>
        </x14:dataValidation>
        <x14:dataValidation type="list" allowBlank="1" showInputMessage="1" showErrorMessage="1" xr:uid="{DBA7C9BE-0BCF-4BA8-B36C-0F50702EA0AD}">
          <x14:formula1>
            <xm:f>Validation!$A$10:$A$13</xm:f>
          </x14:formula1>
          <xm:sqref>N2:N113</xm:sqref>
        </x14:dataValidation>
        <x14:dataValidation type="list" allowBlank="1" showInputMessage="1" showErrorMessage="1" xr:uid="{64A77E23-6D4F-46C5-B737-A298DCB1F5A7}">
          <x14:formula1>
            <xm:f>PayScales!$N:$N</xm:f>
          </x14:formula1>
          <xm:sqref>P2:P113</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D8CCC-E49B-45E2-AFB5-87643D74F4D5}">
  <sheetPr codeName="Sheet161">
    <tabColor theme="9" tint="0.39997558519241921"/>
  </sheetPr>
  <dimension ref="A1:AD40"/>
  <sheetViews>
    <sheetView topLeftCell="K1" zoomScale="90" zoomScaleNormal="90" workbookViewId="0">
      <pane ySplit="1" topLeftCell="A2" activePane="bottomLeft" state="frozen"/>
      <selection activeCell="D2" sqref="D2"/>
      <selection pane="bottomLeft" activeCell="Z5" sqref="Z5"/>
    </sheetView>
  </sheetViews>
  <sheetFormatPr defaultColWidth="9.33203125" defaultRowHeight="14.4" outlineLevelCol="1" x14ac:dyDescent="0.3"/>
  <cols>
    <col min="1" max="2" width="9.33203125" style="12" hidden="1" customWidth="1" outlineLevel="1"/>
    <col min="3" max="4" width="10.109375" style="12" hidden="1" customWidth="1" outlineLevel="1"/>
    <col min="5" max="5" width="13.6640625" style="12" hidden="1" customWidth="1" outlineLevel="1"/>
    <col min="6" max="6" width="9.109375" style="12" hidden="1" customWidth="1" outlineLevel="1"/>
    <col min="7" max="9" width="10" style="12" hidden="1" customWidth="1" outlineLevel="1"/>
    <col min="10" max="10" width="8" style="12" hidden="1" customWidth="1" outlineLevel="1"/>
    <col min="11" max="11" width="10.44140625" style="12" customWidth="1" collapsed="1"/>
    <col min="12" max="12" width="18.33203125" style="12" customWidth="1"/>
    <col min="13" max="13" width="14.33203125" style="12" customWidth="1"/>
    <col min="14" max="14" width="20" style="12" customWidth="1"/>
    <col min="15" max="15" width="30.6640625" style="12" bestFit="1" customWidth="1"/>
    <col min="16" max="16" width="14.33203125" style="12" customWidth="1"/>
    <col min="17" max="17" width="11.88671875" style="12" customWidth="1"/>
    <col min="19" max="19" width="12.33203125" style="12" customWidth="1"/>
    <col min="20" max="20" width="12.5546875" style="12" customWidth="1"/>
    <col min="21" max="21" width="10.44140625" style="12" customWidth="1"/>
    <col min="22" max="22" width="13.5546875" style="12" bestFit="1" customWidth="1"/>
    <col min="23" max="23" width="13.33203125" style="12" customWidth="1"/>
    <col min="24" max="24" width="9.33203125" style="12" customWidth="1"/>
    <col min="25" max="16384" width="9.33203125" style="12"/>
  </cols>
  <sheetData>
    <row r="1" spans="1:30" s="24" customFormat="1" ht="72" x14ac:dyDescent="0.3">
      <c r="A1" s="59" t="s">
        <v>1634</v>
      </c>
      <c r="B1" s="53" t="s">
        <v>1623</v>
      </c>
      <c r="C1" s="53" t="s">
        <v>1631</v>
      </c>
      <c r="D1" s="130" t="s">
        <v>1701</v>
      </c>
      <c r="E1" s="145" t="s">
        <v>1753</v>
      </c>
      <c r="F1" s="59" t="s">
        <v>1659</v>
      </c>
      <c r="G1" s="53" t="s">
        <v>1661</v>
      </c>
      <c r="H1" s="53" t="s">
        <v>1639</v>
      </c>
      <c r="I1" s="53" t="s">
        <v>1638</v>
      </c>
      <c r="J1" s="122" t="s">
        <v>1660</v>
      </c>
      <c r="K1" s="59" t="s">
        <v>886</v>
      </c>
      <c r="L1" s="54" t="s">
        <v>911</v>
      </c>
      <c r="M1" s="60" t="s">
        <v>1049</v>
      </c>
      <c r="N1" s="60" t="s">
        <v>1120</v>
      </c>
      <c r="O1" s="60" t="s">
        <v>62</v>
      </c>
      <c r="P1" s="60" t="s">
        <v>1050</v>
      </c>
      <c r="Q1" s="60" t="s">
        <v>1121</v>
      </c>
      <c r="R1" s="60" t="s">
        <v>1122</v>
      </c>
      <c r="S1" s="59" t="s">
        <v>1123</v>
      </c>
      <c r="T1" s="59" t="s">
        <v>1124</v>
      </c>
      <c r="U1" s="60" t="s">
        <v>904</v>
      </c>
      <c r="V1" s="60" t="s">
        <v>905</v>
      </c>
      <c r="W1" s="60" t="s">
        <v>1125</v>
      </c>
    </row>
    <row r="2" spans="1:30" x14ac:dyDescent="0.3">
      <c r="A2" s="57" t="str">
        <f>IF(COUNTIF(PayScales!N:N,PayScaleGrades!P2)&gt;0,"0","1")</f>
        <v>0</v>
      </c>
      <c r="B2" s="57">
        <f>COUNTIF(GRADES[PayScaleGradeCode],GRADES[[#This Row],[PayScaleGradeCode]])-1</f>
        <v>0</v>
      </c>
      <c r="C2" s="57" cm="1">
        <f t="array" ref="C2">IF(GRADES[[#This Row],[AvailableToAllSchools]]=FALSE,IF(ISBLANK(GRADES[[#This Row],[SchoolCodes]]),1,IF(AND(COUNTIF(SCHOOLS[SchoolCode],_xlfn.TEXTSPLIT(GRADES[[#This Row],[SchoolCodes]],","))),0,1)),IF(GRADES[[#This Row],[AvailableToAllSchools]]=TRUE,IF(ISBLANK(GRADES[[#This Row],[SchoolCodes]]),0,1)))</f>
        <v>0</v>
      </c>
      <c r="D2" s="57"/>
      <c r="E2" s="57" cm="1">
        <f t="array" ref="E2">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 s="57">
        <f>IF(OR(GRADES[[#This Row],[AvailableToAllSchools]]=TRUE,GRADES[[#This Row],[AvailableToAllSchools]]=FALSE),IF(OR(GRADES[[#This Row],[PayScaleGradeEnabled]]=TRUE,GRADES[[#This Row],[PayScaleGradeEnabled]]=FALSE),0,1),1)</f>
        <v>0</v>
      </c>
      <c r="G2" s="57">
        <f>(COUNTBLANK(GRADES[[#This Row],[PayScaleGradeCode]:[AvailableToAllSchools]])+COUNTBLANK(GRADES[[#This Row],[PayScaleGradeEnabled]]))</f>
        <v>0</v>
      </c>
      <c r="H2" s="57">
        <f>IF(LEN(GRADES[[#This Row],[PayScaleGradeCode]])&lt;100,0,1)</f>
        <v>0</v>
      </c>
      <c r="I2" s="57">
        <f>IF(LEN(GRADES[[#This Row],[Title]])&lt;100,0,1)</f>
        <v>0</v>
      </c>
      <c r="J2" s="57">
        <f>IF(SUBSTITUTE(TEXT(GRADES[[#This Row],[PayScaleGradeCode]],10)," ","")=TEXT(GRADES[[#This Row],[PayScaleGradeCode]],10),0,1)</f>
        <v>0</v>
      </c>
      <c r="K2" s="57">
        <f>SUM(GRADES[[#This Row],[Pay Scale issue]:[Schools Check]],GRADES[[#This Row],[TRUE /FALSE Typo]:[Space in Code]])</f>
        <v>0</v>
      </c>
      <c r="L2" s="57" t="str">
        <f>_xlfn.XLOOKUP(GRADES[[#This Row],[PayScaleCode]],PAYSCALES[PayScaleCode],PAYSCALES[London Weighting])</f>
        <v>England &amp; Wales</v>
      </c>
      <c r="N2" s="12" t="s">
        <v>1126</v>
      </c>
      <c r="O2" s="12" t="s">
        <v>1366</v>
      </c>
      <c r="P2" s="12" t="s">
        <v>1127</v>
      </c>
      <c r="Q2" s="12" t="s">
        <v>1064</v>
      </c>
      <c r="R2" s="12" t="s">
        <v>1745</v>
      </c>
      <c r="S2" s="57" cm="1">
        <f t="array" ref="S2">LOOKUP(2,1/(PSPOINTS[PayScaleCode]=GRADES[[#This Row],[PayScaleCode]])/(PSPOINTS[PayScalePointCode]=GRADES[[#This Row],[Point From (Check)]]),(PSPOINTS[ScalePointNumber]))</f>
        <v>1</v>
      </c>
      <c r="T2" s="57" cm="1">
        <f t="array" ref="T2">LOOKUP(2,1/(PSPOINTS[PayScaleCode]=GRADES[[#This Row],[PayScaleCode]])/(PSPOINTS[PayScalePointCode]=GRADES[[#This Row],[Point To (Check)]]),(PSPOINTS[ScalePointNumber]))</f>
        <v>9</v>
      </c>
      <c r="U2" t="b">
        <v>1</v>
      </c>
      <c r="V2"/>
      <c r="W2" t="b">
        <v>1</v>
      </c>
      <c r="Z2" s="151"/>
      <c r="AA2" s="151"/>
      <c r="AB2" s="151"/>
      <c r="AC2" s="151"/>
      <c r="AD2" s="151"/>
    </row>
    <row r="3" spans="1:30" x14ac:dyDescent="0.3">
      <c r="A3" s="57" t="str">
        <f>IF(COUNTIF(PayScales!N:N,PayScaleGrades!P3)&gt;0,"0","1")</f>
        <v>0</v>
      </c>
      <c r="B3" s="57">
        <f>COUNTIF(GRADES[PayScaleGradeCode],GRADES[[#This Row],[PayScaleGradeCode]])-1</f>
        <v>0</v>
      </c>
      <c r="C3" s="57" cm="1">
        <f t="array" ref="C3">IF(GRADES[[#This Row],[AvailableToAllSchools]]=FALSE,IF(ISBLANK(GRADES[[#This Row],[SchoolCodes]]),1,IF(AND(COUNTIF(SCHOOLS[SchoolCode],_xlfn.TEXTSPLIT(GRADES[[#This Row],[SchoolCodes]],","))),0,1)),IF(GRADES[[#This Row],[AvailableToAllSchools]]=TRUE,IF(ISBLANK(GRADES[[#This Row],[SchoolCodes]]),0,1)))</f>
        <v>0</v>
      </c>
      <c r="D3" s="57"/>
      <c r="E3" s="57" cm="1">
        <f t="array" ref="E3">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3" s="57">
        <f>IF(OR(GRADES[[#This Row],[AvailableToAllSchools]]=TRUE,GRADES[[#This Row],[AvailableToAllSchools]]=FALSE),IF(OR(GRADES[[#This Row],[PayScaleGradeEnabled]]=TRUE,GRADES[[#This Row],[PayScaleGradeEnabled]]=FALSE),0,1),1)</f>
        <v>0</v>
      </c>
      <c r="G3" s="57">
        <f>(COUNTBLANK(GRADES[[#This Row],[PayScaleGradeCode]:[AvailableToAllSchools]])+COUNTBLANK(GRADES[[#This Row],[PayScaleGradeEnabled]]))</f>
        <v>0</v>
      </c>
      <c r="H3" s="57">
        <f>IF(LEN(GRADES[[#This Row],[PayScaleGradeCode]])&lt;100,0,1)</f>
        <v>0</v>
      </c>
      <c r="I3" s="57">
        <f>IF(LEN(GRADES[[#This Row],[Title]])&lt;100,0,1)</f>
        <v>0</v>
      </c>
      <c r="J3" s="57">
        <f>IF(SUBSTITUTE(TEXT(GRADES[[#This Row],[PayScaleGradeCode]],10)," ","")=TEXT(GRADES[[#This Row],[PayScaleGradeCode]],10),0,1)</f>
        <v>0</v>
      </c>
      <c r="K3" s="57">
        <f>SUM(GRADES[[#This Row],[Pay Scale issue]:[Schools Check]],GRADES[[#This Row],[TRUE /FALSE Typo]:[Space in Code]])</f>
        <v>0</v>
      </c>
      <c r="L3" s="57" t="str">
        <f>_xlfn.XLOOKUP(GRADES[[#This Row],[PayScaleCode]],PAYSCALES[PayScaleCode],PAYSCALES[London Weighting])</f>
        <v>England &amp; Wales</v>
      </c>
      <c r="N3" s="12" t="s">
        <v>1127</v>
      </c>
      <c r="O3" s="12" t="s">
        <v>1547</v>
      </c>
      <c r="P3" s="12" t="s">
        <v>1127</v>
      </c>
      <c r="Q3" s="12" t="s">
        <v>1064</v>
      </c>
      <c r="R3" s="12" t="s">
        <v>1546</v>
      </c>
      <c r="S3" s="57" cm="1">
        <f t="array" ref="S3">LOOKUP(2,1/(PSPOINTS[PayScaleCode]=GRADES[[#This Row],[PayScaleCode]])/(PSPOINTS[PayScalePointCode]=GRADES[[#This Row],[Point From (Check)]]),(PSPOINTS[ScalePointNumber]))</f>
        <v>1</v>
      </c>
      <c r="T3" s="57" cm="1">
        <f t="array" ref="T3">LOOKUP(2,1/(PSPOINTS[PayScaleCode]=GRADES[[#This Row],[PayScaleCode]])/(PSPOINTS[PayScalePointCode]=GRADES[[#This Row],[Point To (Check)]]),(PSPOINTS[ScalePointNumber]))</f>
        <v>6</v>
      </c>
      <c r="U3" t="b">
        <v>1</v>
      </c>
      <c r="V3" s="10"/>
      <c r="W3" t="b">
        <v>1</v>
      </c>
    </row>
    <row r="4" spans="1:30" x14ac:dyDescent="0.3">
      <c r="A4" s="57" t="str">
        <f>IF(COUNTIF(PayScales!N:N,PayScaleGrades!P4)&gt;0,"0","1")</f>
        <v>0</v>
      </c>
      <c r="B4" s="57">
        <f>COUNTIF(GRADES[PayScaleGradeCode],GRADES[[#This Row],[PayScaleGradeCode]])-1</f>
        <v>0</v>
      </c>
      <c r="C4" s="57" cm="1">
        <f t="array" ref="C4">IF(GRADES[[#This Row],[AvailableToAllSchools]]=FALSE,IF(ISBLANK(GRADES[[#This Row],[SchoolCodes]]),1,IF(AND(COUNTIF(SCHOOLS[SchoolCode],_xlfn.TEXTSPLIT(GRADES[[#This Row],[SchoolCodes]],","))),0,1)),IF(GRADES[[#This Row],[AvailableToAllSchools]]=TRUE,IF(ISBLANK(GRADES[[#This Row],[SchoolCodes]]),0,1)))</f>
        <v>0</v>
      </c>
      <c r="D4" s="57"/>
      <c r="E4" s="57" cm="1">
        <f t="array" ref="E4">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4" s="57">
        <f>IF(OR(GRADES[[#This Row],[AvailableToAllSchools]]=TRUE,GRADES[[#This Row],[AvailableToAllSchools]]=FALSE),IF(OR(GRADES[[#This Row],[PayScaleGradeEnabled]]=TRUE,GRADES[[#This Row],[PayScaleGradeEnabled]]=FALSE),0,1),1)</f>
        <v>0</v>
      </c>
      <c r="G4" s="57">
        <f>(COUNTBLANK(GRADES[[#This Row],[PayScaleGradeCode]:[AvailableToAllSchools]])+COUNTBLANK(GRADES[[#This Row],[PayScaleGradeEnabled]]))</f>
        <v>0</v>
      </c>
      <c r="H4" s="57">
        <f>IF(LEN(GRADES[[#This Row],[PayScaleGradeCode]])&lt;100,0,1)</f>
        <v>0</v>
      </c>
      <c r="I4" s="57">
        <f>IF(LEN(GRADES[[#This Row],[Title]])&lt;100,0,1)</f>
        <v>0</v>
      </c>
      <c r="J4" s="57">
        <f>IF(SUBSTITUTE(TEXT(GRADES[[#This Row],[PayScaleGradeCode]],10)," ","")=TEXT(GRADES[[#This Row],[PayScaleGradeCode]],10),0,1)</f>
        <v>0</v>
      </c>
      <c r="K4" s="57">
        <f>SUM(GRADES[[#This Row],[Pay Scale issue]:[Schools Check]],GRADES[[#This Row],[TRUE /FALSE Typo]:[Space in Code]])</f>
        <v>0</v>
      </c>
      <c r="L4" s="57" t="str">
        <f>_xlfn.XLOOKUP(GRADES[[#This Row],[PayScaleCode]],PAYSCALES[PayScaleCode],PAYSCALES[London Weighting])</f>
        <v>England &amp; Wales</v>
      </c>
      <c r="N4" s="12" t="s">
        <v>1597</v>
      </c>
      <c r="O4" s="12" t="s">
        <v>1598</v>
      </c>
      <c r="P4" s="12" t="s">
        <v>1127</v>
      </c>
      <c r="Q4" s="12" t="s">
        <v>3073</v>
      </c>
      <c r="R4" s="12" t="s">
        <v>1745</v>
      </c>
      <c r="S4" s="57" cm="1">
        <f t="array" ref="S4">LOOKUP(2,1/(PSPOINTS[PayScaleCode]=GRADES[[#This Row],[PayScaleCode]])/(PSPOINTS[PayScalePointCode]=GRADES[[#This Row],[Point From (Check)]]),(PSPOINTS[ScalePointNumber]))</f>
        <v>7</v>
      </c>
      <c r="T4" s="57" cm="1">
        <f t="array" ref="T4">LOOKUP(2,1/(PSPOINTS[PayScaleCode]=GRADES[[#This Row],[PayScaleCode]])/(PSPOINTS[PayScalePointCode]=GRADES[[#This Row],[Point To (Check)]]),(PSPOINTS[ScalePointNumber]))</f>
        <v>9</v>
      </c>
      <c r="U4" t="b">
        <v>1</v>
      </c>
      <c r="V4"/>
      <c r="W4" t="b">
        <v>1</v>
      </c>
    </row>
    <row r="5" spans="1:30" x14ac:dyDescent="0.3">
      <c r="A5" s="57" t="str">
        <f>IF(COUNTIF(PayScales!N:N,PayScaleGrades!P5)&gt;0,"0","1")</f>
        <v>0</v>
      </c>
      <c r="B5" s="57">
        <f>COUNTIF(GRADES[PayScaleGradeCode],GRADES[[#This Row],[PayScaleGradeCode]])-1</f>
        <v>0</v>
      </c>
      <c r="C5" s="57" cm="1">
        <f t="array" ref="C5">IF(GRADES[[#This Row],[AvailableToAllSchools]]=FALSE,IF(ISBLANK(GRADES[[#This Row],[SchoolCodes]]),1,IF(AND(COUNTIF(SCHOOLS[SchoolCode],_xlfn.TEXTSPLIT(GRADES[[#This Row],[SchoolCodes]],","))),0,1)),IF(GRADES[[#This Row],[AvailableToAllSchools]]=TRUE,IF(ISBLANK(GRADES[[#This Row],[SchoolCodes]]),0,1)))</f>
        <v>0</v>
      </c>
      <c r="D5" s="57"/>
      <c r="E5" s="57" cm="1">
        <f t="array" ref="E5">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5" s="57">
        <f>IF(OR(GRADES[[#This Row],[AvailableToAllSchools]]=TRUE,GRADES[[#This Row],[AvailableToAllSchools]]=FALSE),IF(OR(GRADES[[#This Row],[PayScaleGradeEnabled]]=TRUE,GRADES[[#This Row],[PayScaleGradeEnabled]]=FALSE),0,1),1)</f>
        <v>0</v>
      </c>
      <c r="G5" s="57">
        <f>(COUNTBLANK(GRADES[[#This Row],[PayScaleGradeCode]:[AvailableToAllSchools]])+COUNTBLANK(GRADES[[#This Row],[PayScaleGradeEnabled]]))</f>
        <v>0</v>
      </c>
      <c r="H5" s="57">
        <f>IF(LEN(GRADES[[#This Row],[PayScaleGradeCode]])&lt;100,0,1)</f>
        <v>0</v>
      </c>
      <c r="I5" s="57">
        <f>IF(LEN(GRADES[[#This Row],[Title]])&lt;100,0,1)</f>
        <v>0</v>
      </c>
      <c r="J5" s="57">
        <f>IF(SUBSTITUTE(TEXT(GRADES[[#This Row],[PayScaleGradeCode]],10)," ","")=TEXT(GRADES[[#This Row],[PayScaleGradeCode]],10),0,1)</f>
        <v>0</v>
      </c>
      <c r="K5" s="57">
        <f>SUM(GRADES[[#This Row],[Pay Scale issue]:[Schools Check]],GRADES[[#This Row],[TRUE /FALSE Typo]:[Space in Code]])</f>
        <v>0</v>
      </c>
      <c r="L5" s="57" t="str">
        <f>_xlfn.XLOOKUP(GRADES[[#This Row],[PayScaleCode]],PAYSCALES[PayScaleCode],PAYSCALES[London Weighting])</f>
        <v>England &amp; Wales</v>
      </c>
      <c r="N5" s="12" t="s">
        <v>1749</v>
      </c>
      <c r="O5" s="12" t="s">
        <v>1128</v>
      </c>
      <c r="P5" s="12" t="s">
        <v>1749</v>
      </c>
      <c r="Q5" s="12" t="s">
        <v>1069</v>
      </c>
      <c r="R5" s="12" t="s">
        <v>1074</v>
      </c>
      <c r="S5" s="57" cm="1">
        <f t="array" ref="S5">LOOKUP(2,1/(PSPOINTS[PayScaleCode]=GRADES[[#This Row],[PayScaleCode]])/(PSPOINTS[PayScalePointCode]=GRADES[[#This Row],[Point From (Check)]]),(PSPOINTS[ScalePointNumber]))</f>
        <v>1</v>
      </c>
      <c r="T5" s="57" cm="1">
        <f t="array" ref="T5">LOOKUP(2,1/(PSPOINTS[PayScaleCode]=GRADES[[#This Row],[PayScaleCode]])/(PSPOINTS[PayScalePointCode]=GRADES[[#This Row],[Point To (Check)]]),(PSPOINTS[ScalePointNumber]))</f>
        <v>6</v>
      </c>
      <c r="U5" t="b">
        <v>1</v>
      </c>
      <c r="V5"/>
      <c r="W5" t="b">
        <v>1</v>
      </c>
    </row>
    <row r="6" spans="1:30" x14ac:dyDescent="0.3">
      <c r="A6" s="57" t="str">
        <f>IF(COUNTIF(PayScales!N:N,PayScaleGrades!P6)&gt;0,"0","1")</f>
        <v>0</v>
      </c>
      <c r="B6" s="57">
        <f>COUNTIF(GRADES[PayScaleGradeCode],GRADES[[#This Row],[PayScaleGradeCode]])-1</f>
        <v>0</v>
      </c>
      <c r="C6" s="57" cm="1">
        <f t="array" ref="C6">IF(GRADES[[#This Row],[AvailableToAllSchools]]=FALSE,IF(ISBLANK(GRADES[[#This Row],[SchoolCodes]]),1,IF(AND(COUNTIF(SCHOOLS[SchoolCode],_xlfn.TEXTSPLIT(GRADES[[#This Row],[SchoolCodes]],","))),0,1)),IF(GRADES[[#This Row],[AvailableToAllSchools]]=TRUE,IF(ISBLANK(GRADES[[#This Row],[SchoolCodes]]),0,1)))</f>
        <v>0</v>
      </c>
      <c r="D6" s="57"/>
      <c r="E6" s="57" cm="1">
        <f t="array" ref="E6">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6" s="57">
        <f>IF(OR(GRADES[[#This Row],[AvailableToAllSchools]]=TRUE,GRADES[[#This Row],[AvailableToAllSchools]]=FALSE),IF(OR(GRADES[[#This Row],[PayScaleGradeEnabled]]=TRUE,GRADES[[#This Row],[PayScaleGradeEnabled]]=FALSE),0,1),1)</f>
        <v>0</v>
      </c>
      <c r="G6" s="57">
        <f>(COUNTBLANK(GRADES[[#This Row],[PayScaleGradeCode]:[AvailableToAllSchools]])+COUNTBLANK(GRADES[[#This Row],[PayScaleGradeEnabled]]))</f>
        <v>0</v>
      </c>
      <c r="H6" s="57">
        <f>IF(LEN(GRADES[[#This Row],[PayScaleGradeCode]])&lt;100,0,1)</f>
        <v>0</v>
      </c>
      <c r="I6" s="57">
        <f>IF(LEN(GRADES[[#This Row],[Title]])&lt;100,0,1)</f>
        <v>0</v>
      </c>
      <c r="J6" s="57">
        <f>IF(SUBSTITUTE(TEXT(GRADES[[#This Row],[PayScaleGradeCode]],10)," ","")=TEXT(GRADES[[#This Row],[PayScaleGradeCode]],10),0,1)</f>
        <v>0</v>
      </c>
      <c r="K6" s="57">
        <f>SUM(GRADES[[#This Row],[Pay Scale issue]:[Schools Check]],GRADES[[#This Row],[TRUE /FALSE Typo]:[Space in Code]])</f>
        <v>0</v>
      </c>
      <c r="L6" s="57" t="str">
        <f>_xlfn.XLOOKUP(GRADES[[#This Row],[PayScaleCode]],PAYSCALES[PayScaleCode],PAYSCALES[London Weighting])</f>
        <v>England &amp; Wales</v>
      </c>
      <c r="N6" s="12" t="s">
        <v>3093</v>
      </c>
      <c r="O6" s="12" t="s">
        <v>3094</v>
      </c>
      <c r="P6" s="12" t="s">
        <v>1750</v>
      </c>
      <c r="Q6" s="12" t="s">
        <v>1075</v>
      </c>
      <c r="R6" s="12" t="s">
        <v>1117</v>
      </c>
      <c r="S6" s="57" cm="1">
        <f t="array" ref="S6">LOOKUP(2,1/(PSPOINTS[PayScaleCode]=GRADES[[#This Row],[PayScaleCode]])/(PSPOINTS[PayScalePointCode]=GRADES[[#This Row],[Point From (Check)]]),(PSPOINTS[ScalePointNumber]))</f>
        <v>1</v>
      </c>
      <c r="T6" s="57" cm="1">
        <f t="array" ref="T6">LOOKUP(2,1/(PSPOINTS[PayScaleCode]=GRADES[[#This Row],[PayScaleCode]])/(PSPOINTS[PayScalePointCode]=GRADES[[#This Row],[Point To (Check)]]),(PSPOINTS[ScalePointNumber]))</f>
        <v>43</v>
      </c>
      <c r="U6" t="b">
        <v>1</v>
      </c>
      <c r="V6"/>
      <c r="W6" t="b">
        <v>1</v>
      </c>
    </row>
    <row r="7" spans="1:30" x14ac:dyDescent="0.3">
      <c r="A7" s="57" t="str">
        <f>IF(COUNTIF(PayScales!N:N,PayScaleGrades!P23)&gt;0,"0","1")</f>
        <v>0</v>
      </c>
      <c r="B7" s="57">
        <f>COUNTIF(GRADES[PayScaleGradeCode],GRADES[[#This Row],[PayScaleGradeCode]])-1</f>
        <v>0</v>
      </c>
      <c r="C7" s="57" cm="1">
        <f t="array" ref="C7">IF(GRADES[[#This Row],[AvailableToAllSchools]]=FALSE,IF(ISBLANK(GRADES[[#This Row],[SchoolCodes]]),1,IF(AND(COUNTIF(SCHOOLS[SchoolCode],_xlfn.TEXTSPLIT(GRADES[[#This Row],[SchoolCodes]],","))),0,1)),IF(GRADES[[#This Row],[AvailableToAllSchools]]=TRUE,IF(ISBLANK(GRADES[[#This Row],[SchoolCodes]]),0,1)))</f>
        <v>0</v>
      </c>
      <c r="D7" s="57"/>
      <c r="E7" s="57" cm="1">
        <f t="array" ref="E7">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7" s="57">
        <f>IF(OR(GRADES[[#This Row],[AvailableToAllSchools]]=TRUE,GRADES[[#This Row],[AvailableToAllSchools]]=FALSE),IF(OR(GRADES[[#This Row],[PayScaleGradeEnabled]]=TRUE,GRADES[[#This Row],[PayScaleGradeEnabled]]=FALSE),0,1),1)</f>
        <v>0</v>
      </c>
      <c r="G7" s="57">
        <f>(COUNTBLANK(GRADES[[#This Row],[PayScaleGradeCode]:[AvailableToAllSchools]])+COUNTBLANK(GRADES[[#This Row],[PayScaleGradeEnabled]]))</f>
        <v>0</v>
      </c>
      <c r="H7" s="57">
        <f>IF(LEN(GRADES[[#This Row],[PayScaleGradeCode]])&lt;100,0,1)</f>
        <v>0</v>
      </c>
      <c r="I7" s="57">
        <f>IF(LEN(GRADES[[#This Row],[Title]])&lt;100,0,1)</f>
        <v>0</v>
      </c>
      <c r="J7" s="57">
        <f>IF(SUBSTITUTE(TEXT(GRADES[[#This Row],[PayScaleGradeCode]],10)," ","")=TEXT(GRADES[[#This Row],[PayScaleGradeCode]],10),0,1)</f>
        <v>0</v>
      </c>
      <c r="K7" s="57">
        <f>SUM(GRADES[[#This Row],[Pay Scale issue]:[Schools Check]],GRADES[[#This Row],[TRUE /FALSE Typo]:[Space in Code]])</f>
        <v>0</v>
      </c>
      <c r="L7" s="57" t="str">
        <f>_xlfn.XLOOKUP(GRADES[[#This Row],[PayScaleCode]],PAYSCALES[PayScaleCode],PAYSCALES[London Weighting])</f>
        <v>England &amp; Wales</v>
      </c>
      <c r="N7" s="12" t="s">
        <v>3090</v>
      </c>
      <c r="O7" s="12" t="s">
        <v>3095</v>
      </c>
      <c r="P7" s="12" t="s">
        <v>1750</v>
      </c>
      <c r="Q7" s="12" t="s">
        <v>1076</v>
      </c>
      <c r="R7" s="12" t="s">
        <v>1080</v>
      </c>
      <c r="S7" s="57" cm="1">
        <f t="array" ref="S7">LOOKUP(2,1/(PSPOINTS[PayScaleCode]=GRADES[[#This Row],[PayScaleCode]])/(PSPOINTS[PayScalePointCode]=GRADES[[#This Row],[Point From (Check)]]),(PSPOINTS[ScalePointNumber]))</f>
        <v>2</v>
      </c>
      <c r="T7" s="57" cm="1">
        <f t="array" ref="T7">LOOKUP(2,1/(PSPOINTS[PayScaleCode]=GRADES[[#This Row],[PayScaleCode]])/(PSPOINTS[PayScalePointCode]=GRADES[[#This Row],[Point To (Check)]]),(PSPOINTS[ScalePointNumber]))</f>
        <v>6</v>
      </c>
      <c r="U7" t="b">
        <v>1</v>
      </c>
      <c r="V7"/>
      <c r="W7" t="b">
        <v>1</v>
      </c>
    </row>
    <row r="8" spans="1:30" x14ac:dyDescent="0.3">
      <c r="A8" s="57" t="str">
        <f>IF(COUNTIF(PayScales!N:N,PayScaleGrades!P34)&gt;0,"0","1")</f>
        <v>0</v>
      </c>
      <c r="B8" s="57">
        <f>COUNTIF(GRADES[PayScaleGradeCode],GRADES[[#This Row],[PayScaleGradeCode]])-1</f>
        <v>0</v>
      </c>
      <c r="C8" s="57" cm="1">
        <f t="array" ref="C8">IF(GRADES[[#This Row],[AvailableToAllSchools]]=FALSE,IF(ISBLANK(GRADES[[#This Row],[SchoolCodes]]),1,IF(AND(COUNTIF(SCHOOLS[SchoolCode],_xlfn.TEXTSPLIT(GRADES[[#This Row],[SchoolCodes]],","))),0,1)),IF(GRADES[[#This Row],[AvailableToAllSchools]]=TRUE,IF(ISBLANK(GRADES[[#This Row],[SchoolCodes]]),0,1)))</f>
        <v>0</v>
      </c>
      <c r="D8" s="57"/>
      <c r="E8" s="57" cm="1">
        <f t="array" ref="E8">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8" s="57">
        <f>IF(OR(GRADES[[#This Row],[AvailableToAllSchools]]=TRUE,GRADES[[#This Row],[AvailableToAllSchools]]=FALSE),IF(OR(GRADES[[#This Row],[PayScaleGradeEnabled]]=TRUE,GRADES[[#This Row],[PayScaleGradeEnabled]]=FALSE),0,1),1)</f>
        <v>0</v>
      </c>
      <c r="G8" s="57">
        <f>(COUNTBLANK(GRADES[[#This Row],[PayScaleGradeCode]:[AvailableToAllSchools]])+COUNTBLANK(GRADES[[#This Row],[PayScaleGradeEnabled]]))</f>
        <v>0</v>
      </c>
      <c r="H8" s="57">
        <f>IF(LEN(GRADES[[#This Row],[PayScaleGradeCode]])&lt;100,0,1)</f>
        <v>0</v>
      </c>
      <c r="I8" s="57">
        <f>IF(LEN(GRADES[[#This Row],[Title]])&lt;100,0,1)</f>
        <v>0</v>
      </c>
      <c r="J8" s="57">
        <f>IF(SUBSTITUTE(TEXT(GRADES[[#This Row],[PayScaleGradeCode]],10)," ","")=TEXT(GRADES[[#This Row],[PayScaleGradeCode]],10),0,1)</f>
        <v>0</v>
      </c>
      <c r="K8" s="57">
        <f>SUM(GRADES[[#This Row],[Pay Scale issue]:[Schools Check]],GRADES[[#This Row],[TRUE /FALSE Typo]:[Space in Code]])</f>
        <v>0</v>
      </c>
      <c r="L8" s="57" t="str">
        <f>_xlfn.XLOOKUP(GRADES[[#This Row],[PayScaleCode]],PAYSCALES[PayScaleCode],PAYSCALES[London Weighting])</f>
        <v>England &amp; Wales</v>
      </c>
      <c r="N8" s="12" t="s">
        <v>3091</v>
      </c>
      <c r="O8" s="12" t="s">
        <v>3096</v>
      </c>
      <c r="P8" s="12" t="s">
        <v>1750</v>
      </c>
      <c r="Q8" s="12" t="s">
        <v>1077</v>
      </c>
      <c r="R8" s="12" t="s">
        <v>1081</v>
      </c>
      <c r="S8" s="57" cm="1">
        <f t="array" ref="S8">LOOKUP(2,1/(PSPOINTS[PayScaleCode]=GRADES[[#This Row],[PayScaleCode]])/(PSPOINTS[PayScalePointCode]=GRADES[[#This Row],[Point From (Check)]]),(PSPOINTS[ScalePointNumber]))</f>
        <v>3</v>
      </c>
      <c r="T8" s="57" cm="1">
        <f t="array" ref="T8">LOOKUP(2,1/(PSPOINTS[PayScaleCode]=GRADES[[#This Row],[PayScaleCode]])/(PSPOINTS[PayScalePointCode]=GRADES[[#This Row],[Point To (Check)]]),(PSPOINTS[ScalePointNumber]))</f>
        <v>7</v>
      </c>
      <c r="U8" t="b">
        <v>1</v>
      </c>
      <c r="V8"/>
      <c r="W8" t="b">
        <v>1</v>
      </c>
    </row>
    <row r="9" spans="1:30" x14ac:dyDescent="0.3">
      <c r="A9" s="57" t="str">
        <f>IF(COUNTIF(PayScales!N:N,PayScaleGrades!P35)&gt;0,"0","1")</f>
        <v>0</v>
      </c>
      <c r="B9" s="57">
        <f>COUNTIF(GRADES[PayScaleGradeCode],GRADES[[#This Row],[PayScaleGradeCode]])-1</f>
        <v>0</v>
      </c>
      <c r="C9" s="57" cm="1">
        <f t="array" ref="C9">IF(GRADES[[#This Row],[AvailableToAllSchools]]=FALSE,IF(ISBLANK(GRADES[[#This Row],[SchoolCodes]]),1,IF(AND(COUNTIF(SCHOOLS[SchoolCode],_xlfn.TEXTSPLIT(GRADES[[#This Row],[SchoolCodes]],","))),0,1)),IF(GRADES[[#This Row],[AvailableToAllSchools]]=TRUE,IF(ISBLANK(GRADES[[#This Row],[SchoolCodes]]),0,1)))</f>
        <v>0</v>
      </c>
      <c r="D9" s="57"/>
      <c r="E9" s="57" cm="1">
        <f t="array" ref="E9">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9" s="57">
        <f>IF(OR(GRADES[[#This Row],[AvailableToAllSchools]]=TRUE,GRADES[[#This Row],[AvailableToAllSchools]]=FALSE),IF(OR(GRADES[[#This Row],[PayScaleGradeEnabled]]=TRUE,GRADES[[#This Row],[PayScaleGradeEnabled]]=FALSE),0,1),1)</f>
        <v>0</v>
      </c>
      <c r="G9" s="57">
        <f>(COUNTBLANK(GRADES[[#This Row],[PayScaleGradeCode]:[AvailableToAllSchools]])+COUNTBLANK(GRADES[[#This Row],[PayScaleGradeEnabled]]))</f>
        <v>0</v>
      </c>
      <c r="H9" s="57">
        <f>IF(LEN(GRADES[[#This Row],[PayScaleGradeCode]])&lt;100,0,1)</f>
        <v>0</v>
      </c>
      <c r="I9" s="57">
        <f>IF(LEN(GRADES[[#This Row],[Title]])&lt;100,0,1)</f>
        <v>0</v>
      </c>
      <c r="J9" s="57">
        <f>IF(SUBSTITUTE(TEXT(GRADES[[#This Row],[PayScaleGradeCode]],10)," ","")=TEXT(GRADES[[#This Row],[PayScaleGradeCode]],10),0,1)</f>
        <v>0</v>
      </c>
      <c r="K9" s="57">
        <f>SUM(GRADES[[#This Row],[Pay Scale issue]:[Schools Check]],GRADES[[#This Row],[TRUE /FALSE Typo]:[Space in Code]])</f>
        <v>0</v>
      </c>
      <c r="L9" s="57" t="str">
        <f>_xlfn.XLOOKUP(GRADES[[#This Row],[PayScaleCode]],PAYSCALES[PayScaleCode],PAYSCALES[London Weighting])</f>
        <v>England &amp; Wales</v>
      </c>
      <c r="N9" s="12" t="s">
        <v>3092</v>
      </c>
      <c r="O9" s="12" t="s">
        <v>3097</v>
      </c>
      <c r="P9" s="12" t="s">
        <v>1750</v>
      </c>
      <c r="Q9" s="12" t="s">
        <v>1078</v>
      </c>
      <c r="R9" s="12" t="s">
        <v>1082</v>
      </c>
      <c r="S9" s="57" cm="1">
        <f t="array" ref="S9">LOOKUP(2,1/(PSPOINTS[PayScaleCode]=GRADES[[#This Row],[PayScaleCode]])/(PSPOINTS[PayScalePointCode]=GRADES[[#This Row],[Point From (Check)]]),(PSPOINTS[ScalePointNumber]))</f>
        <v>4</v>
      </c>
      <c r="T9" s="57" cm="1">
        <f t="array" ref="T9">LOOKUP(2,1/(PSPOINTS[PayScaleCode]=GRADES[[#This Row],[PayScaleCode]])/(PSPOINTS[PayScalePointCode]=GRADES[[#This Row],[Point To (Check)]]),(PSPOINTS[ScalePointNumber]))</f>
        <v>8</v>
      </c>
      <c r="U9" t="b">
        <v>1</v>
      </c>
      <c r="V9"/>
      <c r="W9" t="b">
        <v>1</v>
      </c>
    </row>
    <row r="10" spans="1:30" x14ac:dyDescent="0.3">
      <c r="A10" s="57" t="str">
        <f>IF(COUNTIF(PayScales!N:N,PayScaleGrades!P36)&gt;0,"0","1")</f>
        <v>0</v>
      </c>
      <c r="B10" s="57">
        <f>COUNTIF(GRADES[PayScaleGradeCode],GRADES[[#This Row],[PayScaleGradeCode]])-1</f>
        <v>0</v>
      </c>
      <c r="C10" s="57" cm="1">
        <f t="array" ref="C10">IF(GRADES[[#This Row],[AvailableToAllSchools]]=FALSE,IF(ISBLANK(GRADES[[#This Row],[SchoolCodes]]),1,IF(AND(COUNTIF(SCHOOLS[SchoolCode],_xlfn.TEXTSPLIT(GRADES[[#This Row],[SchoolCodes]],","))),0,1)),IF(GRADES[[#This Row],[AvailableToAllSchools]]=TRUE,IF(ISBLANK(GRADES[[#This Row],[SchoolCodes]]),0,1)))</f>
        <v>0</v>
      </c>
      <c r="D10" s="57"/>
      <c r="E10" s="57" cm="1">
        <f t="array" ref="E10">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0" s="57">
        <f>IF(OR(GRADES[[#This Row],[AvailableToAllSchools]]=TRUE,GRADES[[#This Row],[AvailableToAllSchools]]=FALSE),IF(OR(GRADES[[#This Row],[PayScaleGradeEnabled]]=TRUE,GRADES[[#This Row],[PayScaleGradeEnabled]]=FALSE),0,1),1)</f>
        <v>0</v>
      </c>
      <c r="G10" s="57">
        <f>(COUNTBLANK(GRADES[[#This Row],[PayScaleGradeCode]:[AvailableToAllSchools]])+COUNTBLANK(GRADES[[#This Row],[PayScaleGradeEnabled]]))</f>
        <v>0</v>
      </c>
      <c r="H10" s="57">
        <f>IF(LEN(GRADES[[#This Row],[PayScaleGradeCode]])&lt;100,0,1)</f>
        <v>0</v>
      </c>
      <c r="I10" s="57">
        <f>IF(LEN(GRADES[[#This Row],[Title]])&lt;100,0,1)</f>
        <v>0</v>
      </c>
      <c r="J10" s="57">
        <f>IF(SUBSTITUTE(TEXT(GRADES[[#This Row],[PayScaleGradeCode]],10)," ","")=TEXT(GRADES[[#This Row],[PayScaleGradeCode]],10),0,1)</f>
        <v>0</v>
      </c>
      <c r="K10" s="57">
        <f>SUM(GRADES[[#This Row],[Pay Scale issue]:[Schools Check]],GRADES[[#This Row],[TRUE /FALSE Typo]:[Space in Code]])</f>
        <v>0</v>
      </c>
      <c r="L10" s="57" t="str">
        <f>_xlfn.XLOOKUP(GRADES[[#This Row],[PayScaleCode]],PAYSCALES[PayScaleCode],PAYSCALES[London Weighting])</f>
        <v>England &amp; Wales</v>
      </c>
      <c r="N10" s="12" t="s">
        <v>3088</v>
      </c>
      <c r="O10" s="12" t="s">
        <v>3098</v>
      </c>
      <c r="P10" s="12" t="s">
        <v>1750</v>
      </c>
      <c r="Q10" s="12" t="s">
        <v>1079</v>
      </c>
      <c r="R10" s="12" t="s">
        <v>1083</v>
      </c>
      <c r="S10" s="57" cm="1">
        <f t="array" ref="S10">LOOKUP(2,1/(PSPOINTS[PayScaleCode]=GRADES[[#This Row],[PayScaleCode]])/(PSPOINTS[PayScalePointCode]=GRADES[[#This Row],[Point From (Check)]]),(PSPOINTS[ScalePointNumber]))</f>
        <v>5</v>
      </c>
      <c r="T10" s="57" cm="1">
        <f t="array" ref="T10">LOOKUP(2,1/(PSPOINTS[PayScaleCode]=GRADES[[#This Row],[PayScaleCode]])/(PSPOINTS[PayScalePointCode]=GRADES[[#This Row],[Point To (Check)]]),(PSPOINTS[ScalePointNumber]))</f>
        <v>9</v>
      </c>
      <c r="U10" t="b">
        <v>1</v>
      </c>
      <c r="V10"/>
      <c r="W10" t="b">
        <v>1</v>
      </c>
    </row>
    <row r="11" spans="1:30" x14ac:dyDescent="0.3">
      <c r="A11" s="57" t="str">
        <f>IF(COUNTIF(PayScales!N:N,PayScaleGrades!P37)&gt;0,"0","1")</f>
        <v>0</v>
      </c>
      <c r="B11" s="57">
        <f>COUNTIF(GRADES[PayScaleGradeCode],GRADES[[#This Row],[PayScaleGradeCode]])-1</f>
        <v>0</v>
      </c>
      <c r="C11" s="57" cm="1">
        <f t="array" ref="C11">IF(GRADES[[#This Row],[AvailableToAllSchools]]=FALSE,IF(ISBLANK(GRADES[[#This Row],[SchoolCodes]]),1,IF(AND(COUNTIF(SCHOOLS[SchoolCode],_xlfn.TEXTSPLIT(GRADES[[#This Row],[SchoolCodes]],","))),0,1)),IF(GRADES[[#This Row],[AvailableToAllSchools]]=TRUE,IF(ISBLANK(GRADES[[#This Row],[SchoolCodes]]),0,1)))</f>
        <v>0</v>
      </c>
      <c r="D11" s="57"/>
      <c r="E11" s="57" cm="1">
        <f t="array" ref="E11">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1" s="57">
        <f>IF(OR(GRADES[[#This Row],[AvailableToAllSchools]]=TRUE,GRADES[[#This Row],[AvailableToAllSchools]]=FALSE),IF(OR(GRADES[[#This Row],[PayScaleGradeEnabled]]=TRUE,GRADES[[#This Row],[PayScaleGradeEnabled]]=FALSE),0,1),1)</f>
        <v>0</v>
      </c>
      <c r="G11" s="57">
        <f>(COUNTBLANK(GRADES[[#This Row],[PayScaleGradeCode]:[AvailableToAllSchools]])+COUNTBLANK(GRADES[[#This Row],[PayScaleGradeEnabled]]))</f>
        <v>0</v>
      </c>
      <c r="H11" s="57">
        <f>IF(LEN(GRADES[[#This Row],[PayScaleGradeCode]])&lt;100,0,1)</f>
        <v>0</v>
      </c>
      <c r="I11" s="57">
        <f>IF(LEN(GRADES[[#This Row],[Title]])&lt;100,0,1)</f>
        <v>0</v>
      </c>
      <c r="J11" s="57">
        <f>IF(SUBSTITUTE(TEXT(GRADES[[#This Row],[PayScaleGradeCode]],10)," ","")=TEXT(GRADES[[#This Row],[PayScaleGradeCode]],10),0,1)</f>
        <v>0</v>
      </c>
      <c r="K11" s="57">
        <f>SUM(GRADES[[#This Row],[Pay Scale issue]:[Schools Check]],GRADES[[#This Row],[TRUE /FALSE Typo]:[Space in Code]])</f>
        <v>0</v>
      </c>
      <c r="L11" s="57" t="str">
        <f>_xlfn.XLOOKUP(GRADES[[#This Row],[PayScaleCode]],PAYSCALES[PayScaleCode],PAYSCALES[London Weighting])</f>
        <v>England &amp; Wales</v>
      </c>
      <c r="N11" s="12" t="s">
        <v>3087</v>
      </c>
      <c r="O11" s="12" t="s">
        <v>3099</v>
      </c>
      <c r="P11" s="12" t="s">
        <v>1750</v>
      </c>
      <c r="Q11" s="12" t="s">
        <v>1080</v>
      </c>
      <c r="R11" s="12" t="s">
        <v>1084</v>
      </c>
      <c r="S11" s="57" cm="1">
        <f t="array" ref="S11">LOOKUP(2,1/(PSPOINTS[PayScaleCode]=GRADES[[#This Row],[PayScaleCode]])/(PSPOINTS[PayScalePointCode]=GRADES[[#This Row],[Point From (Check)]]),(PSPOINTS[ScalePointNumber]))</f>
        <v>6</v>
      </c>
      <c r="T11" s="57" cm="1">
        <f t="array" ref="T11">LOOKUP(2,1/(PSPOINTS[PayScaleCode]=GRADES[[#This Row],[PayScaleCode]])/(PSPOINTS[PayScalePointCode]=GRADES[[#This Row],[Point To (Check)]]),(PSPOINTS[ScalePointNumber]))</f>
        <v>10</v>
      </c>
      <c r="U11" t="b">
        <v>1</v>
      </c>
      <c r="V11"/>
      <c r="W11" t="b">
        <v>1</v>
      </c>
    </row>
    <row r="12" spans="1:30" x14ac:dyDescent="0.3">
      <c r="A12" s="57" t="str">
        <f>IF(COUNTIF(PayScales!N:N,PayScaleGrades!P12)&gt;0,"0","1")</f>
        <v>0</v>
      </c>
      <c r="B12" s="57">
        <f>COUNTIF(GRADES[PayScaleGradeCode],GRADES[[#This Row],[PayScaleGradeCode]])-1</f>
        <v>0</v>
      </c>
      <c r="C12" s="57" cm="1">
        <f t="array" ref="C12">IF(GRADES[[#This Row],[AvailableToAllSchools]]=FALSE,IF(ISBLANK(GRADES[[#This Row],[SchoolCodes]]),1,IF(AND(COUNTIF(SCHOOLS[SchoolCode],_xlfn.TEXTSPLIT(GRADES[[#This Row],[SchoolCodes]],","))),0,1)),IF(GRADES[[#This Row],[AvailableToAllSchools]]=TRUE,IF(ISBLANK(GRADES[[#This Row],[SchoolCodes]]),0,1)))</f>
        <v>0</v>
      </c>
      <c r="D12" s="57"/>
      <c r="E12" s="57" cm="1">
        <f t="array" ref="E12">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2" s="57">
        <f>IF(OR(GRADES[[#This Row],[AvailableToAllSchools]]=TRUE,GRADES[[#This Row],[AvailableToAllSchools]]=FALSE),IF(OR(GRADES[[#This Row],[PayScaleGradeEnabled]]=TRUE,GRADES[[#This Row],[PayScaleGradeEnabled]]=FALSE),0,1),1)</f>
        <v>0</v>
      </c>
      <c r="G12" s="57">
        <f>(COUNTBLANK(GRADES[[#This Row],[PayScaleGradeCode]:[AvailableToAllSchools]])+COUNTBLANK(GRADES[[#This Row],[PayScaleGradeEnabled]]))</f>
        <v>0</v>
      </c>
      <c r="H12" s="57">
        <f>IF(LEN(GRADES[[#This Row],[PayScaleGradeCode]])&lt;100,0,1)</f>
        <v>0</v>
      </c>
      <c r="I12" s="57">
        <f>IF(LEN(GRADES[[#This Row],[Title]])&lt;100,0,1)</f>
        <v>0</v>
      </c>
      <c r="J12" s="57">
        <f>IF(SUBSTITUTE(TEXT(GRADES[[#This Row],[PayScaleGradeCode]],10)," ","")=TEXT(GRADES[[#This Row],[PayScaleGradeCode]],10),0,1)</f>
        <v>0</v>
      </c>
      <c r="K12" s="57">
        <f>SUM(GRADES[[#This Row],[Pay Scale issue]:[Schools Check]],GRADES[[#This Row],[TRUE /FALSE Typo]:[Space in Code]])</f>
        <v>0</v>
      </c>
      <c r="L12" s="57" t="str">
        <f>_xlfn.XLOOKUP(GRADES[[#This Row],[PayScaleCode]],PAYSCALES[PayScaleCode],PAYSCALES[London Weighting])</f>
        <v>England &amp; Wales</v>
      </c>
      <c r="N12" s="12" t="s">
        <v>3089</v>
      </c>
      <c r="O12" s="12" t="s">
        <v>3100</v>
      </c>
      <c r="P12" s="12" t="s">
        <v>1750</v>
      </c>
      <c r="Q12" s="12" t="s">
        <v>1085</v>
      </c>
      <c r="R12" s="12" t="s">
        <v>1092</v>
      </c>
      <c r="S12" s="57" cm="1">
        <f t="array" ref="S12">LOOKUP(2,1/(PSPOINTS[PayScaleCode]=GRADES[[#This Row],[PayScaleCode]])/(PSPOINTS[PayScalePointCode]=GRADES[[#This Row],[Point From (Check)]]),(PSPOINTS[ScalePointNumber]))</f>
        <v>11</v>
      </c>
      <c r="T12" s="57" cm="1">
        <f t="array" ref="T12">LOOKUP(2,1/(PSPOINTS[PayScaleCode]=GRADES[[#This Row],[PayScaleCode]])/(PSPOINTS[PayScalePointCode]=GRADES[[#This Row],[Point To (Check)]]),(PSPOINTS[ScalePointNumber]))</f>
        <v>18</v>
      </c>
      <c r="U12" t="b">
        <v>1</v>
      </c>
      <c r="V12"/>
      <c r="W12" t="b">
        <v>1</v>
      </c>
    </row>
    <row r="13" spans="1:30" x14ac:dyDescent="0.3">
      <c r="A13" s="57" t="str">
        <f>IF(COUNTIF(PayScales!N:N,PayScaleGrades!P13)&gt;0,"0","1")</f>
        <v>0</v>
      </c>
      <c r="B13" s="57">
        <f>COUNTIF(GRADES[PayScaleGradeCode],GRADES[[#This Row],[PayScaleGradeCode]])-1</f>
        <v>0</v>
      </c>
      <c r="C13" s="57" cm="1">
        <f t="array" ref="C13">IF(GRADES[[#This Row],[AvailableToAllSchools]]=FALSE,IF(ISBLANK(GRADES[[#This Row],[SchoolCodes]]),1,IF(AND(COUNTIF(SCHOOLS[SchoolCode],_xlfn.TEXTSPLIT(GRADES[[#This Row],[SchoolCodes]],","))),0,1)),IF(GRADES[[#This Row],[AvailableToAllSchools]]=TRUE,IF(ISBLANK(GRADES[[#This Row],[SchoolCodes]]),0,1)))</f>
        <v>0</v>
      </c>
      <c r="D13" s="57"/>
      <c r="E13" s="57" cm="1">
        <f t="array" ref="E13">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3" s="57">
        <f>IF(OR(GRADES[[#This Row],[AvailableToAllSchools]]=TRUE,GRADES[[#This Row],[AvailableToAllSchools]]=FALSE),IF(OR(GRADES[[#This Row],[PayScaleGradeEnabled]]=TRUE,GRADES[[#This Row],[PayScaleGradeEnabled]]=FALSE),0,1),1)</f>
        <v>0</v>
      </c>
      <c r="G13" s="57">
        <f>(COUNTBLANK(GRADES[[#This Row],[PayScaleGradeCode]:[AvailableToAllSchools]])+COUNTBLANK(GRADES[[#This Row],[PayScaleGradeEnabled]]))</f>
        <v>0</v>
      </c>
      <c r="H13" s="57">
        <f>IF(LEN(GRADES[[#This Row],[PayScaleGradeCode]])&lt;100,0,1)</f>
        <v>0</v>
      </c>
      <c r="I13" s="57">
        <f>IF(LEN(GRADES[[#This Row],[Title]])&lt;100,0,1)</f>
        <v>0</v>
      </c>
      <c r="J13" s="57">
        <f>IF(SUBSTITUTE(TEXT(GRADES[[#This Row],[PayScaleGradeCode]],10)," ","")=TEXT(GRADES[[#This Row],[PayScaleGradeCode]],10),0,1)</f>
        <v>0</v>
      </c>
      <c r="K13" s="57">
        <f>SUM(GRADES[[#This Row],[Pay Scale issue]:[Schools Check]],GRADES[[#This Row],[TRUE /FALSE Typo]:[Space in Code]])</f>
        <v>0</v>
      </c>
      <c r="L13" s="57" t="str">
        <f>_xlfn.XLOOKUP(GRADES[[#This Row],[PayScaleCode]],PAYSCALES[PayScaleCode],PAYSCALES[London Weighting])</f>
        <v>England &amp; Wales</v>
      </c>
      <c r="N13" s="12" t="s">
        <v>3082</v>
      </c>
      <c r="O13" s="12" t="s">
        <v>3101</v>
      </c>
      <c r="P13" s="12" t="s">
        <v>1750</v>
      </c>
      <c r="Q13" s="12" t="s">
        <v>1086</v>
      </c>
      <c r="R13" s="12" t="s">
        <v>1090</v>
      </c>
      <c r="S13" s="57" cm="1">
        <f t="array" ref="S13">LOOKUP(2,1/(PSPOINTS[PayScaleCode]=GRADES[[#This Row],[PayScaleCode]])/(PSPOINTS[PayScalePointCode]=GRADES[[#This Row],[Point From (Check)]]),(PSPOINTS[ScalePointNumber]))</f>
        <v>12</v>
      </c>
      <c r="T13" s="57" cm="1">
        <f t="array" ref="T13">LOOKUP(2,1/(PSPOINTS[PayScaleCode]=GRADES[[#This Row],[PayScaleCode]])/(PSPOINTS[PayScalePointCode]=GRADES[[#This Row],[Point To (Check)]]),(PSPOINTS[ScalePointNumber]))</f>
        <v>16</v>
      </c>
      <c r="U13" t="b">
        <v>1</v>
      </c>
      <c r="V13"/>
      <c r="W13" t="b">
        <v>1</v>
      </c>
    </row>
    <row r="14" spans="1:30" x14ac:dyDescent="0.3">
      <c r="A14" s="57" t="str">
        <f>IF(COUNTIF(PayScales!N:N,PayScaleGrades!P14)&gt;0,"0","1")</f>
        <v>0</v>
      </c>
      <c r="B14" s="57">
        <f>COUNTIF(GRADES[PayScaleGradeCode],GRADES[[#This Row],[PayScaleGradeCode]])-1</f>
        <v>0</v>
      </c>
      <c r="C14" s="57" cm="1">
        <f t="array" ref="C14">IF(GRADES[[#This Row],[AvailableToAllSchools]]=FALSE,IF(ISBLANK(GRADES[[#This Row],[SchoolCodes]]),1,IF(AND(COUNTIF(SCHOOLS[SchoolCode],_xlfn.TEXTSPLIT(GRADES[[#This Row],[SchoolCodes]],","))),0,1)),IF(GRADES[[#This Row],[AvailableToAllSchools]]=TRUE,IF(ISBLANK(GRADES[[#This Row],[SchoolCodes]]),0,1)))</f>
        <v>0</v>
      </c>
      <c r="D14" s="57"/>
      <c r="E14" s="57" cm="1">
        <f t="array" ref="E14">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4" s="57">
        <f>IF(OR(GRADES[[#This Row],[AvailableToAllSchools]]=TRUE,GRADES[[#This Row],[AvailableToAllSchools]]=FALSE),IF(OR(GRADES[[#This Row],[PayScaleGradeEnabled]]=TRUE,GRADES[[#This Row],[PayScaleGradeEnabled]]=FALSE),0,1),1)</f>
        <v>0</v>
      </c>
      <c r="G14" s="57">
        <f>(COUNTBLANK(GRADES[[#This Row],[PayScaleGradeCode]:[AvailableToAllSchools]])+COUNTBLANK(GRADES[[#This Row],[PayScaleGradeEnabled]]))</f>
        <v>0</v>
      </c>
      <c r="H14" s="57">
        <f>IF(LEN(GRADES[[#This Row],[PayScaleGradeCode]])&lt;100,0,1)</f>
        <v>0</v>
      </c>
      <c r="I14" s="57">
        <f>IF(LEN(GRADES[[#This Row],[Title]])&lt;100,0,1)</f>
        <v>0</v>
      </c>
      <c r="J14" s="57">
        <f>IF(SUBSTITUTE(TEXT(GRADES[[#This Row],[PayScaleGradeCode]],10)," ","")=TEXT(GRADES[[#This Row],[PayScaleGradeCode]],10),0,1)</f>
        <v>0</v>
      </c>
      <c r="K14" s="57">
        <f>SUM(GRADES[[#This Row],[Pay Scale issue]:[Schools Check]],GRADES[[#This Row],[TRUE /FALSE Typo]:[Space in Code]])</f>
        <v>0</v>
      </c>
      <c r="L14" s="57" t="str">
        <f>_xlfn.XLOOKUP(GRADES[[#This Row],[PayScaleCode]],PAYSCALES[PayScaleCode],PAYSCALES[London Weighting])</f>
        <v>England &amp; Wales</v>
      </c>
      <c r="N14" s="12" t="s">
        <v>3085</v>
      </c>
      <c r="O14" s="12" t="s">
        <v>3102</v>
      </c>
      <c r="P14" s="12" t="s">
        <v>1750</v>
      </c>
      <c r="Q14" s="12" t="s">
        <v>1087</v>
      </c>
      <c r="R14" s="12" t="s">
        <v>1091</v>
      </c>
      <c r="S14" s="57" cm="1">
        <f t="array" ref="S14">LOOKUP(2,1/(PSPOINTS[PayScaleCode]=GRADES[[#This Row],[PayScaleCode]])/(PSPOINTS[PayScalePointCode]=GRADES[[#This Row],[Point From (Check)]]),(PSPOINTS[ScalePointNumber]))</f>
        <v>13</v>
      </c>
      <c r="T14" s="57" cm="1">
        <f t="array" ref="T14">LOOKUP(2,1/(PSPOINTS[PayScaleCode]=GRADES[[#This Row],[PayScaleCode]])/(PSPOINTS[PayScalePointCode]=GRADES[[#This Row],[Point To (Check)]]),(PSPOINTS[ScalePointNumber]))</f>
        <v>17</v>
      </c>
      <c r="U14" t="b">
        <v>1</v>
      </c>
      <c r="V14"/>
      <c r="W14" t="b">
        <v>1</v>
      </c>
    </row>
    <row r="15" spans="1:30" x14ac:dyDescent="0.3">
      <c r="A15" s="57" t="str">
        <f>IF(COUNTIF(PayScales!N:N,PayScaleGrades!P15)&gt;0,"0","1")</f>
        <v>0</v>
      </c>
      <c r="B15" s="57">
        <f>COUNTIF(GRADES[PayScaleGradeCode],GRADES[[#This Row],[PayScaleGradeCode]])-1</f>
        <v>0</v>
      </c>
      <c r="C15" s="57" cm="1">
        <f t="array" ref="C15">IF(GRADES[[#This Row],[AvailableToAllSchools]]=FALSE,IF(ISBLANK(GRADES[[#This Row],[SchoolCodes]]),1,IF(AND(COUNTIF(SCHOOLS[SchoolCode],_xlfn.TEXTSPLIT(GRADES[[#This Row],[SchoolCodes]],","))),0,1)),IF(GRADES[[#This Row],[AvailableToAllSchools]]=TRUE,IF(ISBLANK(GRADES[[#This Row],[SchoolCodes]]),0,1)))</f>
        <v>0</v>
      </c>
      <c r="D15" s="57"/>
      <c r="E15" s="57" cm="1">
        <f t="array" ref="E15">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5" s="57">
        <f>IF(OR(GRADES[[#This Row],[AvailableToAllSchools]]=TRUE,GRADES[[#This Row],[AvailableToAllSchools]]=FALSE),IF(OR(GRADES[[#This Row],[PayScaleGradeEnabled]]=TRUE,GRADES[[#This Row],[PayScaleGradeEnabled]]=FALSE),0,1),1)</f>
        <v>0</v>
      </c>
      <c r="G15" s="57">
        <f>(COUNTBLANK(GRADES[[#This Row],[PayScaleGradeCode]:[AvailableToAllSchools]])+COUNTBLANK(GRADES[[#This Row],[PayScaleGradeEnabled]]))</f>
        <v>0</v>
      </c>
      <c r="H15" s="57">
        <f>IF(LEN(GRADES[[#This Row],[PayScaleGradeCode]])&lt;100,0,1)</f>
        <v>0</v>
      </c>
      <c r="I15" s="57">
        <f>IF(LEN(GRADES[[#This Row],[Title]])&lt;100,0,1)</f>
        <v>0</v>
      </c>
      <c r="J15" s="57">
        <f>IF(SUBSTITUTE(TEXT(GRADES[[#This Row],[PayScaleGradeCode]],10)," ","")=TEXT(GRADES[[#This Row],[PayScaleGradeCode]],10),0,1)</f>
        <v>0</v>
      </c>
      <c r="K15" s="57">
        <f>SUM(GRADES[[#This Row],[Pay Scale issue]:[Schools Check]],GRADES[[#This Row],[TRUE /FALSE Typo]:[Space in Code]])</f>
        <v>0</v>
      </c>
      <c r="L15" s="57" t="str">
        <f>_xlfn.XLOOKUP(GRADES[[#This Row],[PayScaleCode]],PAYSCALES[PayScaleCode],PAYSCALES[London Weighting])</f>
        <v>England &amp; Wales</v>
      </c>
      <c r="N15" s="12" t="s">
        <v>4157</v>
      </c>
      <c r="O15" s="12" t="s">
        <v>4156</v>
      </c>
      <c r="P15" s="12" t="s">
        <v>1750</v>
      </c>
      <c r="Q15" s="12" t="s">
        <v>1087</v>
      </c>
      <c r="R15" s="12" t="s">
        <v>1092</v>
      </c>
      <c r="S15" s="57" cm="1">
        <f t="array" ref="S15">LOOKUP(2,1/(PSPOINTS[PayScaleCode]=GRADES[[#This Row],[PayScaleCode]])/(PSPOINTS[PayScalePointCode]=GRADES[[#This Row],[Point From (Check)]]),(PSPOINTS[ScalePointNumber]))</f>
        <v>13</v>
      </c>
      <c r="T15" s="57" cm="1">
        <f t="array" ref="T15">LOOKUP(2,1/(PSPOINTS[PayScaleCode]=GRADES[[#This Row],[PayScaleCode]])/(PSPOINTS[PayScalePointCode]=GRADES[[#This Row],[Point To (Check)]]),(PSPOINTS[ScalePointNumber]))</f>
        <v>18</v>
      </c>
      <c r="U15" t="b">
        <v>1</v>
      </c>
      <c r="V15"/>
      <c r="W15" t="b">
        <v>1</v>
      </c>
    </row>
    <row r="16" spans="1:30" x14ac:dyDescent="0.3">
      <c r="A16" s="57" t="str">
        <f>IF(COUNTIF(PayScales!N:N,PayScaleGrades!P16)&gt;0,"0","1")</f>
        <v>0</v>
      </c>
      <c r="B16" s="57">
        <f>COUNTIF(GRADES[PayScaleGradeCode],GRADES[[#This Row],[PayScaleGradeCode]])-1</f>
        <v>0</v>
      </c>
      <c r="C16" s="57" cm="1">
        <f t="array" ref="C16">IF(GRADES[[#This Row],[AvailableToAllSchools]]=FALSE,IF(ISBLANK(GRADES[[#This Row],[SchoolCodes]]),1,IF(AND(COUNTIF(SCHOOLS[SchoolCode],_xlfn.TEXTSPLIT(GRADES[[#This Row],[SchoolCodes]],","))),0,1)),IF(GRADES[[#This Row],[AvailableToAllSchools]]=TRUE,IF(ISBLANK(GRADES[[#This Row],[SchoolCodes]]),0,1)))</f>
        <v>0</v>
      </c>
      <c r="D16" s="57"/>
      <c r="E16" s="57" cm="1">
        <f t="array" ref="E16">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6" s="57">
        <f>IF(OR(GRADES[[#This Row],[AvailableToAllSchools]]=TRUE,GRADES[[#This Row],[AvailableToAllSchools]]=FALSE),IF(OR(GRADES[[#This Row],[PayScaleGradeEnabled]]=TRUE,GRADES[[#This Row],[PayScaleGradeEnabled]]=FALSE),0,1),1)</f>
        <v>0</v>
      </c>
      <c r="G16" s="57">
        <f>(COUNTBLANK(GRADES[[#This Row],[PayScaleGradeCode]:[AvailableToAllSchools]])+COUNTBLANK(GRADES[[#This Row],[PayScaleGradeEnabled]]))</f>
        <v>0</v>
      </c>
      <c r="H16" s="57">
        <f>IF(LEN(GRADES[[#This Row],[PayScaleGradeCode]])&lt;100,0,1)</f>
        <v>0</v>
      </c>
      <c r="I16" s="57">
        <f>IF(LEN(GRADES[[#This Row],[Title]])&lt;100,0,1)</f>
        <v>0</v>
      </c>
      <c r="J16" s="57">
        <f>IF(SUBSTITUTE(TEXT(GRADES[[#This Row],[PayScaleGradeCode]],10)," ","")=TEXT(GRADES[[#This Row],[PayScaleGradeCode]],10),0,1)</f>
        <v>0</v>
      </c>
      <c r="K16" s="57">
        <f>SUM(GRADES[[#This Row],[Pay Scale issue]:[Schools Check]],GRADES[[#This Row],[TRUE /FALSE Typo]:[Space in Code]])</f>
        <v>0</v>
      </c>
      <c r="L16" s="57" t="str">
        <f>_xlfn.XLOOKUP(GRADES[[#This Row],[PayScaleCode]],PAYSCALES[PayScaleCode],PAYSCALES[London Weighting])</f>
        <v>England &amp; Wales</v>
      </c>
      <c r="N16" s="12" t="s">
        <v>3084</v>
      </c>
      <c r="O16" s="12" t="s">
        <v>3103</v>
      </c>
      <c r="P16" s="12" t="s">
        <v>1750</v>
      </c>
      <c r="Q16" s="12" t="s">
        <v>1087</v>
      </c>
      <c r="R16" s="12" t="s">
        <v>1093</v>
      </c>
      <c r="S16" s="57" cm="1">
        <f t="array" ref="S16">LOOKUP(2,1/(PSPOINTS[PayScaleCode]=GRADES[[#This Row],[PayScaleCode]])/(PSPOINTS[PayScalePointCode]=GRADES[[#This Row],[Point From (Check)]]),(PSPOINTS[ScalePointNumber]))</f>
        <v>13</v>
      </c>
      <c r="T16" s="57" cm="1">
        <f t="array" ref="T16">LOOKUP(2,1/(PSPOINTS[PayScaleCode]=GRADES[[#This Row],[PayScaleCode]])/(PSPOINTS[PayScalePointCode]=GRADES[[#This Row],[Point To (Check)]]),(PSPOINTS[ScalePointNumber]))</f>
        <v>19</v>
      </c>
      <c r="U16" t="b">
        <v>1</v>
      </c>
      <c r="V16"/>
      <c r="W16" t="b">
        <v>1</v>
      </c>
    </row>
    <row r="17" spans="1:23" x14ac:dyDescent="0.3">
      <c r="A17" s="57" t="str">
        <f>IF(COUNTIF(PayScales!N:N,PayScaleGrades!P17)&gt;0,"0","1")</f>
        <v>0</v>
      </c>
      <c r="B17" s="57">
        <f>COUNTIF(GRADES[PayScaleGradeCode],GRADES[[#This Row],[PayScaleGradeCode]])-1</f>
        <v>0</v>
      </c>
      <c r="C17" s="57" cm="1">
        <f t="array" ref="C17">IF(GRADES[[#This Row],[AvailableToAllSchools]]=FALSE,IF(ISBLANK(GRADES[[#This Row],[SchoolCodes]]),1,IF(AND(COUNTIF(SCHOOLS[SchoolCode],_xlfn.TEXTSPLIT(GRADES[[#This Row],[SchoolCodes]],","))),0,1)),IF(GRADES[[#This Row],[AvailableToAllSchools]]=TRUE,IF(ISBLANK(GRADES[[#This Row],[SchoolCodes]]),0,1)))</f>
        <v>0</v>
      </c>
      <c r="D17" s="57"/>
      <c r="E17" s="57" cm="1">
        <f t="array" ref="E17">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7" s="57">
        <f>IF(OR(GRADES[[#This Row],[AvailableToAllSchools]]=TRUE,GRADES[[#This Row],[AvailableToAllSchools]]=FALSE),IF(OR(GRADES[[#This Row],[PayScaleGradeEnabled]]=TRUE,GRADES[[#This Row],[PayScaleGradeEnabled]]=FALSE),0,1),1)</f>
        <v>0</v>
      </c>
      <c r="G17" s="57">
        <f>(COUNTBLANK(GRADES[[#This Row],[PayScaleGradeCode]:[AvailableToAllSchools]])+COUNTBLANK(GRADES[[#This Row],[PayScaleGradeEnabled]]))</f>
        <v>0</v>
      </c>
      <c r="H17" s="57">
        <f>IF(LEN(GRADES[[#This Row],[PayScaleGradeCode]])&lt;100,0,1)</f>
        <v>0</v>
      </c>
      <c r="I17" s="57">
        <f>IF(LEN(GRADES[[#This Row],[Title]])&lt;100,0,1)</f>
        <v>0</v>
      </c>
      <c r="J17" s="57">
        <f>IF(SUBSTITUTE(TEXT(GRADES[[#This Row],[PayScaleGradeCode]],10)," ","")=TEXT(GRADES[[#This Row],[PayScaleGradeCode]],10),0,1)</f>
        <v>0</v>
      </c>
      <c r="K17" s="57">
        <f>SUM(GRADES[[#This Row],[Pay Scale issue]:[Schools Check]],GRADES[[#This Row],[TRUE /FALSE Typo]:[Space in Code]])</f>
        <v>0</v>
      </c>
      <c r="L17" s="57" t="str">
        <f>_xlfn.XLOOKUP(GRADES[[#This Row],[PayScaleCode]],PAYSCALES[PayScaleCode],PAYSCALES[London Weighting])</f>
        <v>England &amp; Wales</v>
      </c>
      <c r="N17" s="12" t="s">
        <v>3083</v>
      </c>
      <c r="O17" s="12" t="s">
        <v>3104</v>
      </c>
      <c r="P17" s="12" t="s">
        <v>1750</v>
      </c>
      <c r="Q17" s="12" t="s">
        <v>1089</v>
      </c>
      <c r="R17" s="12" t="s">
        <v>1093</v>
      </c>
      <c r="S17" s="57" cm="1">
        <f t="array" ref="S17">LOOKUP(2,1/(PSPOINTS[PayScaleCode]=GRADES[[#This Row],[PayScaleCode]])/(PSPOINTS[PayScalePointCode]=GRADES[[#This Row],[Point From (Check)]]),(PSPOINTS[ScalePointNumber]))</f>
        <v>15</v>
      </c>
      <c r="T17" s="57" cm="1">
        <f t="array" ref="T17">LOOKUP(2,1/(PSPOINTS[PayScaleCode]=GRADES[[#This Row],[PayScaleCode]])/(PSPOINTS[PayScalePointCode]=GRADES[[#This Row],[Point To (Check)]]),(PSPOINTS[ScalePointNumber]))</f>
        <v>19</v>
      </c>
      <c r="U17" t="b">
        <v>1</v>
      </c>
      <c r="V17"/>
      <c r="W17" t="b">
        <v>1</v>
      </c>
    </row>
    <row r="18" spans="1:23" x14ac:dyDescent="0.3">
      <c r="A18" s="57" t="str">
        <f>IF(COUNTIF(PayScales!N:N,PayScaleGrades!P18)&gt;0,"0","1")</f>
        <v>0</v>
      </c>
      <c r="B18" s="57">
        <f>COUNTIF(GRADES[PayScaleGradeCode],GRADES[[#This Row],[PayScaleGradeCode]])-1</f>
        <v>0</v>
      </c>
      <c r="C18" s="57" cm="1">
        <f t="array" ref="C18">IF(GRADES[[#This Row],[AvailableToAllSchools]]=FALSE,IF(ISBLANK(GRADES[[#This Row],[SchoolCodes]]),1,IF(AND(COUNTIF(SCHOOLS[SchoolCode],_xlfn.TEXTSPLIT(GRADES[[#This Row],[SchoolCodes]],","))),0,1)),IF(GRADES[[#This Row],[AvailableToAllSchools]]=TRUE,IF(ISBLANK(GRADES[[#This Row],[SchoolCodes]]),0,1)))</f>
        <v>0</v>
      </c>
      <c r="D18" s="57"/>
      <c r="E18" s="57" cm="1">
        <f t="array" ref="E18">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8" s="57">
        <f>IF(OR(GRADES[[#This Row],[AvailableToAllSchools]]=TRUE,GRADES[[#This Row],[AvailableToAllSchools]]=FALSE),IF(OR(GRADES[[#This Row],[PayScaleGradeEnabled]]=TRUE,GRADES[[#This Row],[PayScaleGradeEnabled]]=FALSE),0,1),1)</f>
        <v>0</v>
      </c>
      <c r="G18" s="57">
        <f>(COUNTBLANK(GRADES[[#This Row],[PayScaleGradeCode]:[AvailableToAllSchools]])+COUNTBLANK(GRADES[[#This Row],[PayScaleGradeEnabled]]))</f>
        <v>0</v>
      </c>
      <c r="H18" s="57">
        <f>IF(LEN(GRADES[[#This Row],[PayScaleGradeCode]])&lt;100,0,1)</f>
        <v>0</v>
      </c>
      <c r="I18" s="57">
        <f>IF(LEN(GRADES[[#This Row],[Title]])&lt;100,0,1)</f>
        <v>0</v>
      </c>
      <c r="J18" s="57">
        <f>IF(SUBSTITUTE(TEXT(GRADES[[#This Row],[PayScaleGradeCode]],10)," ","")=TEXT(GRADES[[#This Row],[PayScaleGradeCode]],10),0,1)</f>
        <v>0</v>
      </c>
      <c r="K18" s="57">
        <f>SUM(GRADES[[#This Row],[Pay Scale issue]:[Schools Check]],GRADES[[#This Row],[TRUE /FALSE Typo]:[Space in Code]])</f>
        <v>0</v>
      </c>
      <c r="L18" s="57" t="str">
        <f>_xlfn.XLOOKUP(GRADES[[#This Row],[PayScaleCode]],PAYSCALES[PayScaleCode],PAYSCALES[London Weighting])</f>
        <v>England &amp; Wales</v>
      </c>
      <c r="N18" s="12" t="s">
        <v>3086</v>
      </c>
      <c r="O18" s="12" t="s">
        <v>3105</v>
      </c>
      <c r="P18" s="12" t="s">
        <v>1750</v>
      </c>
      <c r="Q18" s="12" t="s">
        <v>1092</v>
      </c>
      <c r="R18" s="12" t="s">
        <v>1096</v>
      </c>
      <c r="S18" s="57" cm="1">
        <f t="array" ref="S18">LOOKUP(2,1/(PSPOINTS[PayScaleCode]=GRADES[[#This Row],[PayScaleCode]])/(PSPOINTS[PayScalePointCode]=GRADES[[#This Row],[Point From (Check)]]),(PSPOINTS[ScalePointNumber]))</f>
        <v>18</v>
      </c>
      <c r="T18" s="57" cm="1">
        <f t="array" ref="T18">LOOKUP(2,1/(PSPOINTS[PayScaleCode]=GRADES[[#This Row],[PayScaleCode]])/(PSPOINTS[PayScalePointCode]=GRADES[[#This Row],[Point To (Check)]]),(PSPOINTS[ScalePointNumber]))</f>
        <v>22</v>
      </c>
      <c r="U18" t="b">
        <v>1</v>
      </c>
      <c r="V18"/>
      <c r="W18" t="b">
        <v>1</v>
      </c>
    </row>
    <row r="19" spans="1:23" x14ac:dyDescent="0.3">
      <c r="A19" s="57" t="str">
        <f>IF(COUNTIF(PayScales!N:N,PayScaleGrades!P19)&gt;0,"0","1")</f>
        <v>0</v>
      </c>
      <c r="B19" s="57">
        <f>COUNTIF(GRADES[PayScaleGradeCode],GRADES[[#This Row],[PayScaleGradeCode]])-1</f>
        <v>0</v>
      </c>
      <c r="C19" s="57" cm="1">
        <f t="array" ref="C19">IF(GRADES[[#This Row],[AvailableToAllSchools]]=FALSE,IF(ISBLANK(GRADES[[#This Row],[SchoolCodes]]),1,IF(AND(COUNTIF(SCHOOLS[SchoolCode],_xlfn.TEXTSPLIT(GRADES[[#This Row],[SchoolCodes]],","))),0,1)),IF(GRADES[[#This Row],[AvailableToAllSchools]]=TRUE,IF(ISBLANK(GRADES[[#This Row],[SchoolCodes]]),0,1)))</f>
        <v>0</v>
      </c>
      <c r="D19" s="57"/>
      <c r="E19" s="57" cm="1">
        <f t="array" ref="E19">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9" s="57">
        <f>IF(OR(GRADES[[#This Row],[AvailableToAllSchools]]=TRUE,GRADES[[#This Row],[AvailableToAllSchools]]=FALSE),IF(OR(GRADES[[#This Row],[PayScaleGradeEnabled]]=TRUE,GRADES[[#This Row],[PayScaleGradeEnabled]]=FALSE),0,1),1)</f>
        <v>0</v>
      </c>
      <c r="G19" s="57">
        <f>(COUNTBLANK(GRADES[[#This Row],[PayScaleGradeCode]:[AvailableToAllSchools]])+COUNTBLANK(GRADES[[#This Row],[PayScaleGradeEnabled]]))</f>
        <v>0</v>
      </c>
      <c r="H19" s="57">
        <f>IF(LEN(GRADES[[#This Row],[PayScaleGradeCode]])&lt;100,0,1)</f>
        <v>0</v>
      </c>
      <c r="I19" s="57">
        <f>IF(LEN(GRADES[[#This Row],[Title]])&lt;100,0,1)</f>
        <v>0</v>
      </c>
      <c r="J19" s="57">
        <f>IF(SUBSTITUTE(TEXT(GRADES[[#This Row],[PayScaleGradeCode]],10)," ","")=TEXT(GRADES[[#This Row],[PayScaleGradeCode]],10),0,1)</f>
        <v>0</v>
      </c>
      <c r="K19" s="57">
        <f>SUM(GRADES[[#This Row],[Pay Scale issue]:[Schools Check]],GRADES[[#This Row],[TRUE /FALSE Typo]:[Space in Code]])</f>
        <v>0</v>
      </c>
      <c r="L19" s="57" t="str">
        <f>_xlfn.XLOOKUP(GRADES[[#This Row],[PayScaleCode]],PAYSCALES[PayScaleCode],PAYSCALES[London Weighting])</f>
        <v>England &amp; Wales</v>
      </c>
      <c r="N19" s="12" t="s">
        <v>4158</v>
      </c>
      <c r="O19" s="12" t="s">
        <v>4160</v>
      </c>
      <c r="P19" s="12" t="s">
        <v>1750</v>
      </c>
      <c r="Q19" s="12" t="s">
        <v>1095</v>
      </c>
      <c r="R19" s="12" t="s">
        <v>1099</v>
      </c>
      <c r="S19" s="57" cm="1">
        <f t="array" ref="S19">LOOKUP(2,1/(PSPOINTS[PayScaleCode]=GRADES[[#This Row],[PayScaleCode]])/(PSPOINTS[PayScalePointCode]=GRADES[[#This Row],[Point From (Check)]]),(PSPOINTS[ScalePointNumber]))</f>
        <v>21</v>
      </c>
      <c r="T19" s="57" cm="1">
        <f t="array" ref="T19">LOOKUP(2,1/(PSPOINTS[PayScaleCode]=GRADES[[#This Row],[PayScaleCode]])/(PSPOINTS[PayScalePointCode]=GRADES[[#This Row],[Point To (Check)]]),(PSPOINTS[ScalePointNumber]))</f>
        <v>25</v>
      </c>
      <c r="U19" t="b">
        <v>1</v>
      </c>
      <c r="V19"/>
      <c r="W19" t="b">
        <v>1</v>
      </c>
    </row>
    <row r="20" spans="1:23" x14ac:dyDescent="0.3">
      <c r="A20" s="57" t="str">
        <f>IF(COUNTIF(PayScales!N:N,PayScaleGrades!P20)&gt;0,"0","1")</f>
        <v>0</v>
      </c>
      <c r="B20" s="57">
        <f>COUNTIF(GRADES[PayScaleGradeCode],GRADES[[#This Row],[PayScaleGradeCode]])-1</f>
        <v>0</v>
      </c>
      <c r="C20" s="57" cm="1">
        <f t="array" ref="C20">IF(GRADES[[#This Row],[AvailableToAllSchools]]=FALSE,IF(ISBLANK(GRADES[[#This Row],[SchoolCodes]]),1,IF(AND(COUNTIF(SCHOOLS[SchoolCode],_xlfn.TEXTSPLIT(GRADES[[#This Row],[SchoolCodes]],","))),0,1)),IF(GRADES[[#This Row],[AvailableToAllSchools]]=TRUE,IF(ISBLANK(GRADES[[#This Row],[SchoolCodes]]),0,1)))</f>
        <v>0</v>
      </c>
      <c r="D20" s="57"/>
      <c r="E20" s="57" cm="1">
        <f t="array" ref="E20">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0" s="57">
        <f>IF(OR(GRADES[[#This Row],[AvailableToAllSchools]]=TRUE,GRADES[[#This Row],[AvailableToAllSchools]]=FALSE),IF(OR(GRADES[[#This Row],[PayScaleGradeEnabled]]=TRUE,GRADES[[#This Row],[PayScaleGradeEnabled]]=FALSE),0,1),1)</f>
        <v>0</v>
      </c>
      <c r="G20" s="57">
        <f>(COUNTBLANK(GRADES[[#This Row],[PayScaleGradeCode]:[AvailableToAllSchools]])+COUNTBLANK(GRADES[[#This Row],[PayScaleGradeEnabled]]))</f>
        <v>0</v>
      </c>
      <c r="H20" s="57">
        <f>IF(LEN(GRADES[[#This Row],[PayScaleGradeCode]])&lt;100,0,1)</f>
        <v>0</v>
      </c>
      <c r="I20" s="57">
        <f>IF(LEN(GRADES[[#This Row],[Title]])&lt;100,0,1)</f>
        <v>0</v>
      </c>
      <c r="J20" s="57">
        <f>IF(SUBSTITUTE(TEXT(GRADES[[#This Row],[PayScaleGradeCode]],10)," ","")=TEXT(GRADES[[#This Row],[PayScaleGradeCode]],10),0,1)</f>
        <v>0</v>
      </c>
      <c r="K20" s="57">
        <f>SUM(GRADES[[#This Row],[Pay Scale issue]:[Schools Check]],GRADES[[#This Row],[TRUE /FALSE Typo]:[Space in Code]])</f>
        <v>0</v>
      </c>
      <c r="L20" s="57" t="str">
        <f>_xlfn.XLOOKUP(GRADES[[#This Row],[PayScaleCode]],PAYSCALES[PayScaleCode],PAYSCALES[London Weighting])</f>
        <v>England &amp; Wales</v>
      </c>
      <c r="N20" s="12" t="s">
        <v>3081</v>
      </c>
      <c r="O20" s="12" t="s">
        <v>3106</v>
      </c>
      <c r="P20" s="12" t="s">
        <v>1750</v>
      </c>
      <c r="Q20" s="12" t="s">
        <v>1106</v>
      </c>
      <c r="R20" s="12" t="s">
        <v>1110</v>
      </c>
      <c r="S20" s="57" cm="1">
        <f t="array" ref="S20">LOOKUP(2,1/(PSPOINTS[PayScaleCode]=GRADES[[#This Row],[PayScaleCode]])/(PSPOINTS[PayScalePointCode]=GRADES[[#This Row],[Point From (Check)]]),(PSPOINTS[ScalePointNumber]))</f>
        <v>32</v>
      </c>
      <c r="T20" s="57" cm="1">
        <f t="array" ref="T20">LOOKUP(2,1/(PSPOINTS[PayScaleCode]=GRADES[[#This Row],[PayScaleCode]])/(PSPOINTS[PayScalePointCode]=GRADES[[#This Row],[Point To (Check)]]),(PSPOINTS[ScalePointNumber]))</f>
        <v>36</v>
      </c>
      <c r="U20" t="b">
        <v>1</v>
      </c>
      <c r="V20"/>
      <c r="W20" t="b">
        <v>1</v>
      </c>
    </row>
    <row r="21" spans="1:23" x14ac:dyDescent="0.3">
      <c r="A21" s="57" t="str">
        <f>IF(COUNTIF(PayScales!N:N,PayScaleGrades!P21)&gt;0,"0","1")</f>
        <v>0</v>
      </c>
      <c r="B21" s="57">
        <f>COUNTIF(GRADES[PayScaleGradeCode],GRADES[[#This Row],[PayScaleGradeCode]])-1</f>
        <v>0</v>
      </c>
      <c r="C21" s="57" cm="1">
        <f t="array" ref="C21">IF(GRADES[[#This Row],[AvailableToAllSchools]]=FALSE,IF(ISBLANK(GRADES[[#This Row],[SchoolCodes]]),1,IF(AND(COUNTIF(SCHOOLS[SchoolCode],_xlfn.TEXTSPLIT(GRADES[[#This Row],[SchoolCodes]],","))),0,1)),IF(GRADES[[#This Row],[AvailableToAllSchools]]=TRUE,IF(ISBLANK(GRADES[[#This Row],[SchoolCodes]]),0,1)))</f>
        <v>0</v>
      </c>
      <c r="D21" s="57"/>
      <c r="E21" s="57" cm="1">
        <f t="array" ref="E21">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1" s="57">
        <f>IF(OR(GRADES[[#This Row],[AvailableToAllSchools]]=TRUE,GRADES[[#This Row],[AvailableToAllSchools]]=FALSE),IF(OR(GRADES[[#This Row],[PayScaleGradeEnabled]]=TRUE,GRADES[[#This Row],[PayScaleGradeEnabled]]=FALSE),0,1),1)</f>
        <v>0</v>
      </c>
      <c r="G21" s="57">
        <f>(COUNTBLANK(GRADES[[#This Row],[PayScaleGradeCode]:[AvailableToAllSchools]])+COUNTBLANK(GRADES[[#This Row],[PayScaleGradeEnabled]]))</f>
        <v>0</v>
      </c>
      <c r="H21" s="57">
        <f>IF(LEN(GRADES[[#This Row],[PayScaleGradeCode]])&lt;100,0,1)</f>
        <v>0</v>
      </c>
      <c r="I21" s="57">
        <f>IF(LEN(GRADES[[#This Row],[Title]])&lt;100,0,1)</f>
        <v>0</v>
      </c>
      <c r="J21" s="57">
        <f>IF(SUBSTITUTE(TEXT(GRADES[[#This Row],[PayScaleGradeCode]],10)," ","")=TEXT(GRADES[[#This Row],[PayScaleGradeCode]],10),0,1)</f>
        <v>0</v>
      </c>
      <c r="K21" s="57">
        <f>SUM(GRADES[[#This Row],[Pay Scale issue]:[Schools Check]],GRADES[[#This Row],[TRUE /FALSE Typo]:[Space in Code]])</f>
        <v>0</v>
      </c>
      <c r="L21" s="57" t="str">
        <f>_xlfn.XLOOKUP(GRADES[[#This Row],[PayScaleCode]],PAYSCALES[PayScaleCode],PAYSCALES[London Weighting])</f>
        <v>England &amp; Wales</v>
      </c>
      <c r="N21" s="12" t="s">
        <v>4159</v>
      </c>
      <c r="O21" s="12" t="s">
        <v>4161</v>
      </c>
      <c r="P21" s="12" t="s">
        <v>1750</v>
      </c>
      <c r="Q21" s="12" t="s">
        <v>1108</v>
      </c>
      <c r="R21" s="12" t="s">
        <v>1113</v>
      </c>
      <c r="S21" s="57" cm="1">
        <f t="array" ref="S21">LOOKUP(2,1/(PSPOINTS[PayScaleCode]=GRADES[[#This Row],[PayScaleCode]])/(PSPOINTS[PayScalePointCode]=GRADES[[#This Row],[Point From (Check)]]),(PSPOINTS[ScalePointNumber]))</f>
        <v>34</v>
      </c>
      <c r="T21" s="57" cm="1">
        <f t="array" ref="T21">LOOKUP(2,1/(PSPOINTS[PayScaleCode]=GRADES[[#This Row],[PayScaleCode]])/(PSPOINTS[PayScalePointCode]=GRADES[[#This Row],[Point To (Check)]]),(PSPOINTS[ScalePointNumber]))</f>
        <v>39</v>
      </c>
      <c r="U21" t="b">
        <v>1</v>
      </c>
      <c r="V21"/>
      <c r="W21" t="b">
        <v>1</v>
      </c>
    </row>
    <row r="22" spans="1:23" x14ac:dyDescent="0.3">
      <c r="A22" s="57" t="str">
        <f>IF(COUNTIF(PayScales!N:N,PayScaleGrades!P22)&gt;0,"0","1")</f>
        <v>0</v>
      </c>
      <c r="B22" s="57">
        <f>COUNTIF(GRADES[PayScaleGradeCode],GRADES[[#This Row],[PayScaleGradeCode]])-1</f>
        <v>0</v>
      </c>
      <c r="C22" s="57" cm="1">
        <f t="array" ref="C22">IF(GRADES[[#This Row],[AvailableToAllSchools]]=FALSE,IF(ISBLANK(GRADES[[#This Row],[SchoolCodes]]),1,IF(AND(COUNTIF(SCHOOLS[SchoolCode],_xlfn.TEXTSPLIT(GRADES[[#This Row],[SchoolCodes]],","))),0,1)),IF(GRADES[[#This Row],[AvailableToAllSchools]]=TRUE,IF(ISBLANK(GRADES[[#This Row],[SchoolCodes]]),0,1)))</f>
        <v>0</v>
      </c>
      <c r="D22" s="57"/>
      <c r="E22" s="57" cm="1">
        <f t="array" ref="E22">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2" s="57">
        <f>IF(OR(GRADES[[#This Row],[AvailableToAllSchools]]=TRUE,GRADES[[#This Row],[AvailableToAllSchools]]=FALSE),IF(OR(GRADES[[#This Row],[PayScaleGradeEnabled]]=TRUE,GRADES[[#This Row],[PayScaleGradeEnabled]]=FALSE),0,1),1)</f>
        <v>0</v>
      </c>
      <c r="G22" s="57">
        <f>(COUNTBLANK(GRADES[[#This Row],[PayScaleGradeCode]:[AvailableToAllSchools]])+COUNTBLANK(GRADES[[#This Row],[PayScaleGradeEnabled]]))</f>
        <v>0</v>
      </c>
      <c r="H22" s="57">
        <f>IF(LEN(GRADES[[#This Row],[PayScaleGradeCode]])&lt;100,0,1)</f>
        <v>0</v>
      </c>
      <c r="I22" s="57">
        <f>IF(LEN(GRADES[[#This Row],[Title]])&lt;100,0,1)</f>
        <v>0</v>
      </c>
      <c r="J22" s="57">
        <f>IF(SUBSTITUTE(TEXT(GRADES[[#This Row],[PayScaleGradeCode]],10)," ","")=TEXT(GRADES[[#This Row],[PayScaleGradeCode]],10),0,1)</f>
        <v>0</v>
      </c>
      <c r="K22" s="57">
        <f>SUM(GRADES[[#This Row],[Pay Scale issue]:[Schools Check]],GRADES[[#This Row],[TRUE /FALSE Typo]:[Space in Code]])</f>
        <v>0</v>
      </c>
      <c r="L22" s="57" t="str">
        <f>_xlfn.XLOOKUP(GRADES[[#This Row],[PayScaleCode]],PAYSCALES[PayScaleCode],PAYSCALES[London Weighting])</f>
        <v>England &amp; Wales</v>
      </c>
      <c r="N22" s="12" t="s">
        <v>1220</v>
      </c>
      <c r="O22" s="12" t="s">
        <v>3075</v>
      </c>
      <c r="P22" s="12" t="s">
        <v>1220</v>
      </c>
      <c r="Q22" s="12" t="s">
        <v>1075</v>
      </c>
      <c r="R22" s="12" t="s">
        <v>1079</v>
      </c>
      <c r="S22" s="57" cm="1">
        <f t="array" ref="S22">LOOKUP(2,1/(PSPOINTS[PayScaleCode]=GRADES[[#This Row],[PayScaleCode]])/(PSPOINTS[PayScalePointCode]=GRADES[[#This Row],[Point From (Check)]]),(PSPOINTS[ScalePointNumber]))</f>
        <v>1</v>
      </c>
      <c r="T22" s="57" cm="1">
        <f t="array" ref="T22">LOOKUP(2,1/(PSPOINTS[PayScaleCode]=GRADES[[#This Row],[PayScaleCode]])/(PSPOINTS[PayScalePointCode]=GRADES[[#This Row],[Point To (Check)]]),(PSPOINTS[ScalePointNumber]))</f>
        <v>5</v>
      </c>
      <c r="U22" t="b">
        <v>0</v>
      </c>
      <c r="V22" t="s">
        <v>51</v>
      </c>
      <c r="W22" t="b">
        <v>1</v>
      </c>
    </row>
    <row r="23" spans="1:23" x14ac:dyDescent="0.3">
      <c r="A23" s="57" t="str">
        <f>IF(COUNTIF(PayScales!N:N,PayScaleGrades!#REF!)&gt;0,"0","1")</f>
        <v>1</v>
      </c>
      <c r="B23" s="57">
        <f>COUNTIF(GRADES[PayScaleGradeCode],GRADES[[#This Row],[PayScaleGradeCode]])-1</f>
        <v>0</v>
      </c>
      <c r="C23" s="57" cm="1">
        <f t="array" ref="C23">IF(GRADES[[#This Row],[AvailableToAllSchools]]=FALSE,IF(ISBLANK(GRADES[[#This Row],[SchoolCodes]]),1,IF(AND(COUNTIF(SCHOOLS[SchoolCode],_xlfn.TEXTSPLIT(GRADES[[#This Row],[SchoolCodes]],","))),0,1)),IF(GRADES[[#This Row],[AvailableToAllSchools]]=TRUE,IF(ISBLANK(GRADES[[#This Row],[SchoolCodes]]),0,1)))</f>
        <v>0</v>
      </c>
      <c r="D23" s="57"/>
      <c r="E23" s="57" cm="1">
        <f t="array" ref="E23">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3" s="57">
        <f>IF(OR(GRADES[[#This Row],[AvailableToAllSchools]]=TRUE,GRADES[[#This Row],[AvailableToAllSchools]]=FALSE),IF(OR(GRADES[[#This Row],[PayScaleGradeEnabled]]=TRUE,GRADES[[#This Row],[PayScaleGradeEnabled]]=FALSE),0,1),1)</f>
        <v>0</v>
      </c>
      <c r="G23" s="57">
        <f>(COUNTBLANK(GRADES[[#This Row],[PayScaleGradeCode]:[AvailableToAllSchools]])+COUNTBLANK(GRADES[[#This Row],[PayScaleGradeEnabled]]))</f>
        <v>0</v>
      </c>
      <c r="H23" s="57">
        <f>IF(LEN(GRADES[[#This Row],[PayScaleGradeCode]])&lt;100,0,1)</f>
        <v>0</v>
      </c>
      <c r="I23" s="57">
        <f>IF(LEN(GRADES[[#This Row],[Title]])&lt;100,0,1)</f>
        <v>0</v>
      </c>
      <c r="J23" s="57">
        <f>IF(SUBSTITUTE(TEXT(GRADES[[#This Row],[PayScaleGradeCode]],10)," ","")=TEXT(GRADES[[#This Row],[PayScaleGradeCode]],10),0,1)</f>
        <v>0</v>
      </c>
      <c r="K23" s="57">
        <f>SUM(GRADES[[#This Row],[Pay Scale issue]:[Schools Check]],GRADES[[#This Row],[TRUE /FALSE Typo]:[Space in Code]])</f>
        <v>0</v>
      </c>
      <c r="L23" s="57" t="str">
        <f>_xlfn.XLOOKUP(GRADES[[#This Row],[PayScaleCode]],PAYSCALES[PayScaleCode],PAYSCALES[London Weighting])</f>
        <v>England &amp; Wales</v>
      </c>
      <c r="N23" s="152" t="s">
        <v>3120</v>
      </c>
      <c r="O23" s="152" t="s">
        <v>3109</v>
      </c>
      <c r="P23" s="152" t="s">
        <v>3107</v>
      </c>
      <c r="Q23" s="152">
        <v>2</v>
      </c>
      <c r="R23" s="152">
        <v>2</v>
      </c>
      <c r="S23" s="57" cm="1">
        <f t="array" ref="S23">LOOKUP(2,1/(PSPOINTS[PayScaleCode]=GRADES[[#This Row],[PayScaleCode]])/(PSPOINTS[PayScalePointCode]=GRADES[[#This Row],[Point From (Check)]]),(PSPOINTS[ScalePointNumber]))</f>
        <v>2</v>
      </c>
      <c r="T23" s="57" cm="1">
        <f t="array" ref="T23">LOOKUP(2,1/(PSPOINTS[PayScaleCode]=GRADES[[#This Row],[PayScaleCode]])/(PSPOINTS[PayScalePointCode]=GRADES[[#This Row],[Point To (Check)]]),(PSPOINTS[ScalePointNumber]))</f>
        <v>2</v>
      </c>
      <c r="U23" t="b">
        <v>1</v>
      </c>
      <c r="V23"/>
      <c r="W23" t="b">
        <v>1</v>
      </c>
    </row>
    <row r="24" spans="1:23" x14ac:dyDescent="0.3">
      <c r="A24" s="57" t="str">
        <f>IF(COUNTIF(PayScales!N:N,PayScaleGrades!#REF!)&gt;0,"0","1")</f>
        <v>1</v>
      </c>
      <c r="B24" s="57">
        <f>COUNTIF(GRADES[PayScaleGradeCode],GRADES[[#This Row],[PayScaleGradeCode]])-1</f>
        <v>0</v>
      </c>
      <c r="C24" s="57" cm="1">
        <f t="array" ref="C24">IF(GRADES[[#This Row],[AvailableToAllSchools]]=FALSE,IF(ISBLANK(GRADES[[#This Row],[SchoolCodes]]),1,IF(AND(COUNTIF(SCHOOLS[SchoolCode],_xlfn.TEXTSPLIT(GRADES[[#This Row],[SchoolCodes]],","))),0,1)),IF(GRADES[[#This Row],[AvailableToAllSchools]]=TRUE,IF(ISBLANK(GRADES[[#This Row],[SchoolCodes]]),0,1)))</f>
        <v>0</v>
      </c>
      <c r="D24" s="57"/>
      <c r="E24" s="57" cm="1">
        <f t="array" ref="E24">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4" s="57">
        <f>IF(OR(GRADES[[#This Row],[AvailableToAllSchools]]=TRUE,GRADES[[#This Row],[AvailableToAllSchools]]=FALSE),IF(OR(GRADES[[#This Row],[PayScaleGradeEnabled]]=TRUE,GRADES[[#This Row],[PayScaleGradeEnabled]]=FALSE),0,1),1)</f>
        <v>0</v>
      </c>
      <c r="G24" s="57">
        <f>(COUNTBLANK(GRADES[[#This Row],[PayScaleGradeCode]:[AvailableToAllSchools]])+COUNTBLANK(GRADES[[#This Row],[PayScaleGradeEnabled]]))</f>
        <v>0</v>
      </c>
      <c r="H24" s="57">
        <f>IF(LEN(GRADES[[#This Row],[PayScaleGradeCode]])&lt;100,0,1)</f>
        <v>0</v>
      </c>
      <c r="I24" s="57">
        <f>IF(LEN(GRADES[[#This Row],[Title]])&lt;100,0,1)</f>
        <v>0</v>
      </c>
      <c r="J24" s="57">
        <f>IF(SUBSTITUTE(TEXT(GRADES[[#This Row],[PayScaleGradeCode]],10)," ","")=TEXT(GRADES[[#This Row],[PayScaleGradeCode]],10),0,1)</f>
        <v>0</v>
      </c>
      <c r="K24" s="57">
        <f>SUM(GRADES[[#This Row],[Pay Scale issue]:[Schools Check]],GRADES[[#This Row],[TRUE /FALSE Typo]:[Space in Code]])</f>
        <v>0</v>
      </c>
      <c r="L24" s="57" t="str">
        <f>_xlfn.XLOOKUP(GRADES[[#This Row],[PayScaleCode]],PAYSCALES[PayScaleCode],PAYSCALES[London Weighting])</f>
        <v>England &amp; Wales</v>
      </c>
      <c r="N24" s="152" t="s">
        <v>3121</v>
      </c>
      <c r="O24" s="152" t="s">
        <v>3110</v>
      </c>
      <c r="P24" s="152" t="s">
        <v>3107</v>
      </c>
      <c r="Q24" s="12">
        <v>3</v>
      </c>
      <c r="R24" s="12">
        <v>4</v>
      </c>
      <c r="S24" s="57" cm="1">
        <f t="array" ref="S24">LOOKUP(2,1/(PSPOINTS[PayScaleCode]=GRADES[[#This Row],[PayScaleCode]])/(PSPOINTS[PayScalePointCode]=GRADES[[#This Row],[Point From (Check)]]),(PSPOINTS[ScalePointNumber]))</f>
        <v>3</v>
      </c>
      <c r="T24" s="57" cm="1">
        <f t="array" ref="T24">LOOKUP(2,1/(PSPOINTS[PayScaleCode]=GRADES[[#This Row],[PayScaleCode]])/(PSPOINTS[PayScalePointCode]=GRADES[[#This Row],[Point To (Check)]]),(PSPOINTS[ScalePointNumber]))</f>
        <v>4</v>
      </c>
      <c r="U24" t="b">
        <v>1</v>
      </c>
      <c r="V24"/>
      <c r="W24" t="b">
        <v>1</v>
      </c>
    </row>
    <row r="25" spans="1:23" x14ac:dyDescent="0.3">
      <c r="A25" s="57" t="str">
        <f>IF(COUNTIF(PayScales!N:N,PayScaleGrades!#REF!)&gt;0,"0","1")</f>
        <v>1</v>
      </c>
      <c r="B25" s="57">
        <f>COUNTIF(GRADES[PayScaleGradeCode],GRADES[[#This Row],[PayScaleGradeCode]])-1</f>
        <v>0</v>
      </c>
      <c r="C25" s="57" cm="1">
        <f t="array" ref="C25">IF(GRADES[[#This Row],[AvailableToAllSchools]]=FALSE,IF(ISBLANK(GRADES[[#This Row],[SchoolCodes]]),1,IF(AND(COUNTIF(SCHOOLS[SchoolCode],_xlfn.TEXTSPLIT(GRADES[[#This Row],[SchoolCodes]],","))),0,1)),IF(GRADES[[#This Row],[AvailableToAllSchools]]=TRUE,IF(ISBLANK(GRADES[[#This Row],[SchoolCodes]]),0,1)))</f>
        <v>0</v>
      </c>
      <c r="D25" s="57"/>
      <c r="E25" s="57" cm="1">
        <f t="array" ref="E25">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5" s="57">
        <f>IF(OR(GRADES[[#This Row],[AvailableToAllSchools]]=TRUE,GRADES[[#This Row],[AvailableToAllSchools]]=FALSE),IF(OR(GRADES[[#This Row],[PayScaleGradeEnabled]]=TRUE,GRADES[[#This Row],[PayScaleGradeEnabled]]=FALSE),0,1),1)</f>
        <v>0</v>
      </c>
      <c r="G25" s="57">
        <f>(COUNTBLANK(GRADES[[#This Row],[PayScaleGradeCode]:[AvailableToAllSchools]])+COUNTBLANK(GRADES[[#This Row],[PayScaleGradeEnabled]]))</f>
        <v>0</v>
      </c>
      <c r="H25" s="57">
        <f>IF(LEN(GRADES[[#This Row],[PayScaleGradeCode]])&lt;100,0,1)</f>
        <v>0</v>
      </c>
      <c r="I25" s="57">
        <f>IF(LEN(GRADES[[#This Row],[Title]])&lt;100,0,1)</f>
        <v>0</v>
      </c>
      <c r="J25" s="57">
        <f>IF(SUBSTITUTE(TEXT(GRADES[[#This Row],[PayScaleGradeCode]],10)," ","")=TEXT(GRADES[[#This Row],[PayScaleGradeCode]],10),0,1)</f>
        <v>0</v>
      </c>
      <c r="K25" s="57">
        <f>SUM(GRADES[[#This Row],[Pay Scale issue]:[Schools Check]],GRADES[[#This Row],[TRUE /FALSE Typo]:[Space in Code]])</f>
        <v>0</v>
      </c>
      <c r="L25" s="57" t="str">
        <f>_xlfn.XLOOKUP(GRADES[[#This Row],[PayScaleCode]],PAYSCALES[PayScaleCode],PAYSCALES[London Weighting])</f>
        <v>England &amp; Wales</v>
      </c>
      <c r="N25" s="152" t="s">
        <v>3122</v>
      </c>
      <c r="O25" s="152" t="s">
        <v>3111</v>
      </c>
      <c r="P25" s="152" t="s">
        <v>3107</v>
      </c>
      <c r="Q25" s="12">
        <v>5</v>
      </c>
      <c r="R25" s="12">
        <v>6</v>
      </c>
      <c r="S25" s="57" cm="1">
        <f t="array" ref="S25">LOOKUP(2,1/(PSPOINTS[PayScaleCode]=GRADES[[#This Row],[PayScaleCode]])/(PSPOINTS[PayScalePointCode]=GRADES[[#This Row],[Point From (Check)]]),(PSPOINTS[ScalePointNumber]))</f>
        <v>5</v>
      </c>
      <c r="T25" s="57" cm="1">
        <f t="array" ref="T25">LOOKUP(2,1/(PSPOINTS[PayScaleCode]=GRADES[[#This Row],[PayScaleCode]])/(PSPOINTS[PayScalePointCode]=GRADES[[#This Row],[Point To (Check)]]),(PSPOINTS[ScalePointNumber]))</f>
        <v>6</v>
      </c>
      <c r="U25" t="b">
        <v>1</v>
      </c>
      <c r="V25"/>
      <c r="W25" t="b">
        <v>1</v>
      </c>
    </row>
    <row r="26" spans="1:23" x14ac:dyDescent="0.3">
      <c r="A26" s="57" t="str">
        <f>IF(COUNTIF(PayScales!N:N,PayScaleGrades!#REF!)&gt;0,"0","1")</f>
        <v>1</v>
      </c>
      <c r="B26" s="57">
        <f>COUNTIF(GRADES[PayScaleGradeCode],GRADES[[#This Row],[PayScaleGradeCode]])-1</f>
        <v>0</v>
      </c>
      <c r="C26" s="57" cm="1">
        <f t="array" ref="C26">IF(GRADES[[#This Row],[AvailableToAllSchools]]=FALSE,IF(ISBLANK(GRADES[[#This Row],[SchoolCodes]]),1,IF(AND(COUNTIF(SCHOOLS[SchoolCode],_xlfn.TEXTSPLIT(GRADES[[#This Row],[SchoolCodes]],","))),0,1)),IF(GRADES[[#This Row],[AvailableToAllSchools]]=TRUE,IF(ISBLANK(GRADES[[#This Row],[SchoolCodes]]),0,1)))</f>
        <v>0</v>
      </c>
      <c r="D26" s="57"/>
      <c r="E26" s="57" cm="1">
        <f t="array" ref="E26">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6" s="57">
        <f>IF(OR(GRADES[[#This Row],[AvailableToAllSchools]]=TRUE,GRADES[[#This Row],[AvailableToAllSchools]]=FALSE),IF(OR(GRADES[[#This Row],[PayScaleGradeEnabled]]=TRUE,GRADES[[#This Row],[PayScaleGradeEnabled]]=FALSE),0,1),1)</f>
        <v>0</v>
      </c>
      <c r="G26" s="57">
        <f>(COUNTBLANK(GRADES[[#This Row],[PayScaleGradeCode]:[AvailableToAllSchools]])+COUNTBLANK(GRADES[[#This Row],[PayScaleGradeEnabled]]))</f>
        <v>0</v>
      </c>
      <c r="H26" s="57">
        <f>IF(LEN(GRADES[[#This Row],[PayScaleGradeCode]])&lt;100,0,1)</f>
        <v>0</v>
      </c>
      <c r="I26" s="57">
        <f>IF(LEN(GRADES[[#This Row],[Title]])&lt;100,0,1)</f>
        <v>0</v>
      </c>
      <c r="J26" s="57">
        <f>IF(SUBSTITUTE(TEXT(GRADES[[#This Row],[PayScaleGradeCode]],10)," ","")=TEXT(GRADES[[#This Row],[PayScaleGradeCode]],10),0,1)</f>
        <v>0</v>
      </c>
      <c r="K26" s="57">
        <f>SUM(GRADES[[#This Row],[Pay Scale issue]:[Schools Check]],GRADES[[#This Row],[TRUE /FALSE Typo]:[Space in Code]])</f>
        <v>0</v>
      </c>
      <c r="L26" s="57" t="str">
        <f>_xlfn.XLOOKUP(GRADES[[#This Row],[PayScaleCode]],PAYSCALES[PayScaleCode],PAYSCALES[London Weighting])</f>
        <v>England &amp; Wales</v>
      </c>
      <c r="N26" s="152" t="s">
        <v>3123</v>
      </c>
      <c r="O26" s="152" t="s">
        <v>3112</v>
      </c>
      <c r="P26" s="152" t="s">
        <v>3107</v>
      </c>
      <c r="Q26" s="12">
        <v>7</v>
      </c>
      <c r="R26" s="12">
        <v>11</v>
      </c>
      <c r="S26" s="57" cm="1">
        <f t="array" ref="S26">LOOKUP(2,1/(PSPOINTS[PayScaleCode]=GRADES[[#This Row],[PayScaleCode]])/(PSPOINTS[PayScalePointCode]=GRADES[[#This Row],[Point From (Check)]]),(PSPOINTS[ScalePointNumber]))</f>
        <v>7</v>
      </c>
      <c r="T26" s="57" cm="1">
        <f t="array" ref="T26">LOOKUP(2,1/(PSPOINTS[PayScaleCode]=GRADES[[#This Row],[PayScaleCode]])/(PSPOINTS[PayScalePointCode]=GRADES[[#This Row],[Point To (Check)]]),(PSPOINTS[ScalePointNumber]))</f>
        <v>11</v>
      </c>
      <c r="U26" t="b">
        <v>1</v>
      </c>
      <c r="V26"/>
      <c r="W26" t="b">
        <v>1</v>
      </c>
    </row>
    <row r="27" spans="1:23" x14ac:dyDescent="0.3">
      <c r="A27" s="57" t="str">
        <f>IF(COUNTIF(PayScales!N:N,PayScaleGrades!#REF!)&gt;0,"0","1")</f>
        <v>1</v>
      </c>
      <c r="B27" s="57">
        <f>COUNTIF(GRADES[PayScaleGradeCode],GRADES[[#This Row],[PayScaleGradeCode]])-1</f>
        <v>0</v>
      </c>
      <c r="C27" s="57" cm="1">
        <f t="array" ref="C27">IF(GRADES[[#This Row],[AvailableToAllSchools]]=FALSE,IF(ISBLANK(GRADES[[#This Row],[SchoolCodes]]),1,IF(AND(COUNTIF(SCHOOLS[SchoolCode],_xlfn.TEXTSPLIT(GRADES[[#This Row],[SchoolCodes]],","))),0,1)),IF(GRADES[[#This Row],[AvailableToAllSchools]]=TRUE,IF(ISBLANK(GRADES[[#This Row],[SchoolCodes]]),0,1)))</f>
        <v>0</v>
      </c>
      <c r="D27" s="57"/>
      <c r="E27" s="57" cm="1">
        <f t="array" ref="E27">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7" s="57">
        <f>IF(OR(GRADES[[#This Row],[AvailableToAllSchools]]=TRUE,GRADES[[#This Row],[AvailableToAllSchools]]=FALSE),IF(OR(GRADES[[#This Row],[PayScaleGradeEnabled]]=TRUE,GRADES[[#This Row],[PayScaleGradeEnabled]]=FALSE),0,1),1)</f>
        <v>0</v>
      </c>
      <c r="G27" s="57">
        <f>(COUNTBLANK(GRADES[[#This Row],[PayScaleGradeCode]:[AvailableToAllSchools]])+COUNTBLANK(GRADES[[#This Row],[PayScaleGradeEnabled]]))</f>
        <v>0</v>
      </c>
      <c r="H27" s="57">
        <f>IF(LEN(GRADES[[#This Row],[PayScaleGradeCode]])&lt;100,0,1)</f>
        <v>0</v>
      </c>
      <c r="I27" s="57">
        <f>IF(LEN(GRADES[[#This Row],[Title]])&lt;100,0,1)</f>
        <v>0</v>
      </c>
      <c r="J27" s="57">
        <f>IF(SUBSTITUTE(TEXT(GRADES[[#This Row],[PayScaleGradeCode]],10)," ","")=TEXT(GRADES[[#This Row],[PayScaleGradeCode]],10),0,1)</f>
        <v>0</v>
      </c>
      <c r="K27" s="57">
        <f>SUM(GRADES[[#This Row],[Pay Scale issue]:[Schools Check]],GRADES[[#This Row],[TRUE /FALSE Typo]:[Space in Code]])</f>
        <v>0</v>
      </c>
      <c r="L27" s="57" t="str">
        <f>_xlfn.XLOOKUP(GRADES[[#This Row],[PayScaleCode]],PAYSCALES[PayScaleCode],PAYSCALES[London Weighting])</f>
        <v>England &amp; Wales</v>
      </c>
      <c r="N27" s="152" t="s">
        <v>3124</v>
      </c>
      <c r="O27" s="152" t="s">
        <v>3113</v>
      </c>
      <c r="P27" s="152" t="s">
        <v>3107</v>
      </c>
      <c r="Q27" s="12">
        <v>12</v>
      </c>
      <c r="R27" s="12">
        <v>17</v>
      </c>
      <c r="S27" s="57" cm="1">
        <f t="array" ref="S27">LOOKUP(2,1/(PSPOINTS[PayScaleCode]=GRADES[[#This Row],[PayScaleCode]])/(PSPOINTS[PayScalePointCode]=GRADES[[#This Row],[Point From (Check)]]),(PSPOINTS[ScalePointNumber]))</f>
        <v>12</v>
      </c>
      <c r="T27" s="57" cm="1">
        <f t="array" ref="T27">LOOKUP(2,1/(PSPOINTS[PayScaleCode]=GRADES[[#This Row],[PayScaleCode]])/(PSPOINTS[PayScalePointCode]=GRADES[[#This Row],[Point To (Check)]]),(PSPOINTS[ScalePointNumber]))</f>
        <v>17</v>
      </c>
      <c r="U27" t="b">
        <v>1</v>
      </c>
      <c r="V27"/>
      <c r="W27" t="b">
        <v>1</v>
      </c>
    </row>
    <row r="28" spans="1:23" x14ac:dyDescent="0.3">
      <c r="A28" s="57" t="str">
        <f>IF(COUNTIF(PayScales!N:N,PayScaleGrades!P28)&gt;0,"0","1")</f>
        <v>0</v>
      </c>
      <c r="B28" s="57">
        <f>COUNTIF(GRADES[PayScaleGradeCode],GRADES[[#This Row],[PayScaleGradeCode]])-1</f>
        <v>0</v>
      </c>
      <c r="C28" s="57" cm="1">
        <f t="array" ref="C28">IF(GRADES[[#This Row],[AvailableToAllSchools]]=FALSE,IF(ISBLANK(GRADES[[#This Row],[SchoolCodes]]),1,IF(AND(COUNTIF(SCHOOLS[SchoolCode],_xlfn.TEXTSPLIT(GRADES[[#This Row],[SchoolCodes]],","))),0,1)),IF(GRADES[[#This Row],[AvailableToAllSchools]]=TRUE,IF(ISBLANK(GRADES[[#This Row],[SchoolCodes]]),0,1)))</f>
        <v>0</v>
      </c>
      <c r="D28" s="57"/>
      <c r="E28" s="57" cm="1">
        <f t="array" ref="E28">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8" s="57">
        <f>IF(OR(GRADES[[#This Row],[AvailableToAllSchools]]=TRUE,GRADES[[#This Row],[AvailableToAllSchools]]=FALSE),IF(OR(GRADES[[#This Row],[PayScaleGradeEnabled]]=TRUE,GRADES[[#This Row],[PayScaleGradeEnabled]]=FALSE),0,1),1)</f>
        <v>0</v>
      </c>
      <c r="G28" s="57">
        <f>(COUNTBLANK(GRADES[[#This Row],[PayScaleGradeCode]:[AvailableToAllSchools]])+COUNTBLANK(GRADES[[#This Row],[PayScaleGradeEnabled]]))</f>
        <v>0</v>
      </c>
      <c r="H28" s="57">
        <f>IF(LEN(GRADES[[#This Row],[PayScaleGradeCode]])&lt;100,0,1)</f>
        <v>0</v>
      </c>
      <c r="I28" s="57">
        <f>IF(LEN(GRADES[[#This Row],[Title]])&lt;100,0,1)</f>
        <v>0</v>
      </c>
      <c r="J28" s="57">
        <f>IF(SUBSTITUTE(TEXT(GRADES[[#This Row],[PayScaleGradeCode]],10)," ","")=TEXT(GRADES[[#This Row],[PayScaleGradeCode]],10),0,1)</f>
        <v>0</v>
      </c>
      <c r="K28" s="57">
        <f>SUM(GRADES[[#This Row],[Pay Scale issue]:[Schools Check]],GRADES[[#This Row],[TRUE /FALSE Typo]:[Space in Code]])</f>
        <v>0</v>
      </c>
      <c r="L28" s="57" t="str">
        <f>_xlfn.XLOOKUP(GRADES[[#This Row],[PayScaleCode]],PAYSCALES[PayScaleCode],PAYSCALES[London Weighting])</f>
        <v>England &amp; Wales</v>
      </c>
      <c r="N28" s="152" t="s">
        <v>3125</v>
      </c>
      <c r="O28" s="152" t="s">
        <v>3114</v>
      </c>
      <c r="P28" s="152" t="s">
        <v>3107</v>
      </c>
      <c r="Q28" s="12">
        <v>18</v>
      </c>
      <c r="R28" s="12">
        <v>23</v>
      </c>
      <c r="S28" s="57" cm="1">
        <f t="array" ref="S28">LOOKUP(2,1/(PSPOINTS[PayScaleCode]=GRADES[[#This Row],[PayScaleCode]])/(PSPOINTS[PayScalePointCode]=GRADES[[#This Row],[Point From (Check)]]),(PSPOINTS[ScalePointNumber]))</f>
        <v>18</v>
      </c>
      <c r="T28" s="57" cm="1">
        <f t="array" ref="T28">LOOKUP(2,1/(PSPOINTS[PayScaleCode]=GRADES[[#This Row],[PayScaleCode]])/(PSPOINTS[PayScalePointCode]=GRADES[[#This Row],[Point To (Check)]]),(PSPOINTS[ScalePointNumber]))</f>
        <v>23</v>
      </c>
      <c r="U28" t="b">
        <v>1</v>
      </c>
      <c r="V28"/>
      <c r="W28" t="b">
        <v>1</v>
      </c>
    </row>
    <row r="29" spans="1:23" x14ac:dyDescent="0.3">
      <c r="A29" s="57" t="str">
        <f>IF(COUNTIF(PayScales!N:N,PayScaleGrades!P29)&gt;0,"0","1")</f>
        <v>0</v>
      </c>
      <c r="B29" s="57">
        <f>COUNTIF(GRADES[PayScaleGradeCode],GRADES[[#This Row],[PayScaleGradeCode]])-1</f>
        <v>0</v>
      </c>
      <c r="C29" s="57" cm="1">
        <f t="array" ref="C29">IF(GRADES[[#This Row],[AvailableToAllSchools]]=FALSE,IF(ISBLANK(GRADES[[#This Row],[SchoolCodes]]),1,IF(AND(COUNTIF(SCHOOLS[SchoolCode],_xlfn.TEXTSPLIT(GRADES[[#This Row],[SchoolCodes]],","))),0,1)),IF(GRADES[[#This Row],[AvailableToAllSchools]]=TRUE,IF(ISBLANK(GRADES[[#This Row],[SchoolCodes]]),0,1)))</f>
        <v>0</v>
      </c>
      <c r="D29" s="57"/>
      <c r="E29" s="57" cm="1">
        <f t="array" ref="E29">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9" s="57">
        <f>IF(OR(GRADES[[#This Row],[AvailableToAllSchools]]=TRUE,GRADES[[#This Row],[AvailableToAllSchools]]=FALSE),IF(OR(GRADES[[#This Row],[PayScaleGradeEnabled]]=TRUE,GRADES[[#This Row],[PayScaleGradeEnabled]]=FALSE),0,1),1)</f>
        <v>0</v>
      </c>
      <c r="G29" s="57">
        <f>(COUNTBLANK(GRADES[[#This Row],[PayScaleGradeCode]:[AvailableToAllSchools]])+COUNTBLANK(GRADES[[#This Row],[PayScaleGradeEnabled]]))</f>
        <v>0</v>
      </c>
      <c r="H29" s="57">
        <f>IF(LEN(GRADES[[#This Row],[PayScaleGradeCode]])&lt;100,0,1)</f>
        <v>0</v>
      </c>
      <c r="I29" s="57">
        <f>IF(LEN(GRADES[[#This Row],[Title]])&lt;100,0,1)</f>
        <v>0</v>
      </c>
      <c r="J29" s="57">
        <f>IF(SUBSTITUTE(TEXT(GRADES[[#This Row],[PayScaleGradeCode]],10)," ","")=TEXT(GRADES[[#This Row],[PayScaleGradeCode]],10),0,1)</f>
        <v>0</v>
      </c>
      <c r="K29" s="57">
        <f>SUM(GRADES[[#This Row],[Pay Scale issue]:[Schools Check]],GRADES[[#This Row],[TRUE /FALSE Typo]:[Space in Code]])</f>
        <v>0</v>
      </c>
      <c r="L29" s="57" t="str">
        <f>_xlfn.XLOOKUP(GRADES[[#This Row],[PayScaleCode]],PAYSCALES[PayScaleCode],PAYSCALES[London Weighting])</f>
        <v>England &amp; Wales</v>
      </c>
      <c r="N29" s="152" t="s">
        <v>3126</v>
      </c>
      <c r="O29" s="152" t="s">
        <v>3115</v>
      </c>
      <c r="P29" s="152" t="s">
        <v>3107</v>
      </c>
      <c r="Q29" s="12">
        <v>24</v>
      </c>
      <c r="R29" s="12">
        <v>28</v>
      </c>
      <c r="S29" s="57" cm="1">
        <f t="array" ref="S29">LOOKUP(2,1/(PSPOINTS[PayScaleCode]=GRADES[[#This Row],[PayScaleCode]])/(PSPOINTS[PayScalePointCode]=GRADES[[#This Row],[Point From (Check)]]),(PSPOINTS[ScalePointNumber]))</f>
        <v>24</v>
      </c>
      <c r="T29" s="57" cm="1">
        <f t="array" ref="T29">LOOKUP(2,1/(PSPOINTS[PayScaleCode]=GRADES[[#This Row],[PayScaleCode]])/(PSPOINTS[PayScalePointCode]=GRADES[[#This Row],[Point To (Check)]]),(PSPOINTS[ScalePointNumber]))</f>
        <v>28</v>
      </c>
      <c r="U29" t="b">
        <v>1</v>
      </c>
      <c r="V29"/>
      <c r="W29" t="b">
        <v>1</v>
      </c>
    </row>
    <row r="30" spans="1:23" x14ac:dyDescent="0.3">
      <c r="A30" s="57" t="str">
        <f>IF(COUNTIF(PayScales!N:N,PayScaleGrades!P30)&gt;0,"0","1")</f>
        <v>0</v>
      </c>
      <c r="B30" s="57">
        <f>COUNTIF(GRADES[PayScaleGradeCode],GRADES[[#This Row],[PayScaleGradeCode]])-1</f>
        <v>0</v>
      </c>
      <c r="C30" s="57" cm="1">
        <f t="array" ref="C30">IF(GRADES[[#This Row],[AvailableToAllSchools]]=FALSE,IF(ISBLANK(GRADES[[#This Row],[SchoolCodes]]),1,IF(AND(COUNTIF(SCHOOLS[SchoolCode],_xlfn.TEXTSPLIT(GRADES[[#This Row],[SchoolCodes]],","))),0,1)),IF(GRADES[[#This Row],[AvailableToAllSchools]]=TRUE,IF(ISBLANK(GRADES[[#This Row],[SchoolCodes]]),0,1)))</f>
        <v>0</v>
      </c>
      <c r="D30" s="57"/>
      <c r="E30" s="57" cm="1">
        <f t="array" ref="E30">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30" s="57">
        <f>IF(OR(GRADES[[#This Row],[AvailableToAllSchools]]=TRUE,GRADES[[#This Row],[AvailableToAllSchools]]=FALSE),IF(OR(GRADES[[#This Row],[PayScaleGradeEnabled]]=TRUE,GRADES[[#This Row],[PayScaleGradeEnabled]]=FALSE),0,1),1)</f>
        <v>0</v>
      </c>
      <c r="G30" s="57">
        <f>(COUNTBLANK(GRADES[[#This Row],[PayScaleGradeCode]:[AvailableToAllSchools]])+COUNTBLANK(GRADES[[#This Row],[PayScaleGradeEnabled]]))</f>
        <v>0</v>
      </c>
      <c r="H30" s="57">
        <f>IF(LEN(GRADES[[#This Row],[PayScaleGradeCode]])&lt;100,0,1)</f>
        <v>0</v>
      </c>
      <c r="I30" s="57">
        <f>IF(LEN(GRADES[[#This Row],[Title]])&lt;100,0,1)</f>
        <v>0</v>
      </c>
      <c r="J30" s="57">
        <f>IF(SUBSTITUTE(TEXT(GRADES[[#This Row],[PayScaleGradeCode]],10)," ","")=TEXT(GRADES[[#This Row],[PayScaleGradeCode]],10),0,1)</f>
        <v>0</v>
      </c>
      <c r="K30" s="57">
        <f>SUM(GRADES[[#This Row],[Pay Scale issue]:[Schools Check]],GRADES[[#This Row],[TRUE /FALSE Typo]:[Space in Code]])</f>
        <v>0</v>
      </c>
      <c r="L30" s="57" t="str">
        <f>_xlfn.XLOOKUP(GRADES[[#This Row],[PayScaleCode]],PAYSCALES[PayScaleCode],PAYSCALES[London Weighting])</f>
        <v>England &amp; Wales</v>
      </c>
      <c r="N30" s="152" t="s">
        <v>3127</v>
      </c>
      <c r="O30" s="152" t="s">
        <v>3116</v>
      </c>
      <c r="P30" s="152" t="s">
        <v>3107</v>
      </c>
      <c r="Q30" s="12">
        <v>28</v>
      </c>
      <c r="R30" s="12">
        <v>31</v>
      </c>
      <c r="S30" s="57" cm="1">
        <f t="array" ref="S30">LOOKUP(2,1/(PSPOINTS[PayScaleCode]=GRADES[[#This Row],[PayScaleCode]])/(PSPOINTS[PayScalePointCode]=GRADES[[#This Row],[Point From (Check)]]),(PSPOINTS[ScalePointNumber]))</f>
        <v>28</v>
      </c>
      <c r="T30" s="57" cm="1">
        <f t="array" ref="T30">LOOKUP(2,1/(PSPOINTS[PayScaleCode]=GRADES[[#This Row],[PayScaleCode]])/(PSPOINTS[PayScalePointCode]=GRADES[[#This Row],[Point To (Check)]]),(PSPOINTS[ScalePointNumber]))</f>
        <v>31</v>
      </c>
      <c r="U30" t="b">
        <v>1</v>
      </c>
      <c r="V30"/>
      <c r="W30" t="b">
        <v>1</v>
      </c>
    </row>
    <row r="31" spans="1:23" x14ac:dyDescent="0.3">
      <c r="A31" s="57" t="str">
        <f>IF(COUNTIF(PayScales!N:N,PayScaleGrades!P31)&gt;0,"0","1")</f>
        <v>0</v>
      </c>
      <c r="B31" s="57">
        <f>COUNTIF(GRADES[PayScaleGradeCode],GRADES[[#This Row],[PayScaleGradeCode]])-1</f>
        <v>0</v>
      </c>
      <c r="C31" s="57" cm="1">
        <f t="array" ref="C31">IF(GRADES[[#This Row],[AvailableToAllSchools]]=FALSE,IF(ISBLANK(GRADES[[#This Row],[SchoolCodes]]),1,IF(AND(COUNTIF(SCHOOLS[SchoolCode],_xlfn.TEXTSPLIT(GRADES[[#This Row],[SchoolCodes]],","))),0,1)),IF(GRADES[[#This Row],[AvailableToAllSchools]]=TRUE,IF(ISBLANK(GRADES[[#This Row],[SchoolCodes]]),0,1)))</f>
        <v>0</v>
      </c>
      <c r="D31" s="57"/>
      <c r="E31" s="57" cm="1">
        <f t="array" ref="E31">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31" s="57">
        <f>IF(OR(GRADES[[#This Row],[AvailableToAllSchools]]=TRUE,GRADES[[#This Row],[AvailableToAllSchools]]=FALSE),IF(OR(GRADES[[#This Row],[PayScaleGradeEnabled]]=TRUE,GRADES[[#This Row],[PayScaleGradeEnabled]]=FALSE),0,1),1)</f>
        <v>0</v>
      </c>
      <c r="G31" s="57">
        <f>(COUNTBLANK(GRADES[[#This Row],[PayScaleGradeCode]:[AvailableToAllSchools]])+COUNTBLANK(GRADES[[#This Row],[PayScaleGradeEnabled]]))</f>
        <v>0</v>
      </c>
      <c r="H31" s="57">
        <f>IF(LEN(GRADES[[#This Row],[PayScaleGradeCode]])&lt;100,0,1)</f>
        <v>0</v>
      </c>
      <c r="I31" s="57">
        <f>IF(LEN(GRADES[[#This Row],[Title]])&lt;100,0,1)</f>
        <v>0</v>
      </c>
      <c r="J31" s="57">
        <f>IF(SUBSTITUTE(TEXT(GRADES[[#This Row],[PayScaleGradeCode]],10)," ","")=TEXT(GRADES[[#This Row],[PayScaleGradeCode]],10),0,1)</f>
        <v>0</v>
      </c>
      <c r="K31" s="57">
        <f>SUM(GRADES[[#This Row],[Pay Scale issue]:[Schools Check]],GRADES[[#This Row],[TRUE /FALSE Typo]:[Space in Code]])</f>
        <v>0</v>
      </c>
      <c r="L31" s="57" t="str">
        <f>_xlfn.XLOOKUP(GRADES[[#This Row],[PayScaleCode]],PAYSCALES[PayScaleCode],PAYSCALES[London Weighting])</f>
        <v>England &amp; Wales</v>
      </c>
      <c r="N31" s="152" t="s">
        <v>3128</v>
      </c>
      <c r="O31" s="152" t="s">
        <v>3117</v>
      </c>
      <c r="P31" s="152" t="s">
        <v>3107</v>
      </c>
      <c r="Q31" s="12">
        <v>32</v>
      </c>
      <c r="R31" s="12">
        <v>35</v>
      </c>
      <c r="S31" s="57" cm="1">
        <f t="array" ref="S31">LOOKUP(2,1/(PSPOINTS[PayScaleCode]=GRADES[[#This Row],[PayScaleCode]])/(PSPOINTS[PayScalePointCode]=GRADES[[#This Row],[Point From (Check)]]),(PSPOINTS[ScalePointNumber]))</f>
        <v>32</v>
      </c>
      <c r="T31" s="57" cm="1">
        <f t="array" ref="T31">LOOKUP(2,1/(PSPOINTS[PayScaleCode]=GRADES[[#This Row],[PayScaleCode]])/(PSPOINTS[PayScalePointCode]=GRADES[[#This Row],[Point To (Check)]]),(PSPOINTS[ScalePointNumber]))</f>
        <v>35</v>
      </c>
      <c r="U31" t="b">
        <v>1</v>
      </c>
      <c r="V31"/>
      <c r="W31" t="b">
        <v>1</v>
      </c>
    </row>
    <row r="32" spans="1:23" x14ac:dyDescent="0.3">
      <c r="A32" s="57" t="str">
        <f>IF(COUNTIF(PayScales!N:N,PayScaleGrades!P32)&gt;0,"0","1")</f>
        <v>0</v>
      </c>
      <c r="B32" s="57">
        <f>COUNTIF(GRADES[PayScaleGradeCode],GRADES[[#This Row],[PayScaleGradeCode]])-1</f>
        <v>0</v>
      </c>
      <c r="C32" s="57" cm="1">
        <f t="array" ref="C32">IF(GRADES[[#This Row],[AvailableToAllSchools]]=FALSE,IF(ISBLANK(GRADES[[#This Row],[SchoolCodes]]),1,IF(AND(COUNTIF(SCHOOLS[SchoolCode],_xlfn.TEXTSPLIT(GRADES[[#This Row],[SchoolCodes]],","))),0,1)),IF(GRADES[[#This Row],[AvailableToAllSchools]]=TRUE,IF(ISBLANK(GRADES[[#This Row],[SchoolCodes]]),0,1)))</f>
        <v>0</v>
      </c>
      <c r="D32" s="57"/>
      <c r="E32" s="57" cm="1">
        <f t="array" ref="E32">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32" s="57">
        <f>IF(OR(GRADES[[#This Row],[AvailableToAllSchools]]=TRUE,GRADES[[#This Row],[AvailableToAllSchools]]=FALSE),IF(OR(GRADES[[#This Row],[PayScaleGradeEnabled]]=TRUE,GRADES[[#This Row],[PayScaleGradeEnabled]]=FALSE),0,1),1)</f>
        <v>0</v>
      </c>
      <c r="G32" s="57">
        <f>(COUNTBLANK(GRADES[[#This Row],[PayScaleGradeCode]:[AvailableToAllSchools]])+COUNTBLANK(GRADES[[#This Row],[PayScaleGradeEnabled]]))</f>
        <v>0</v>
      </c>
      <c r="H32" s="57">
        <f>IF(LEN(GRADES[[#This Row],[PayScaleGradeCode]])&lt;100,0,1)</f>
        <v>0</v>
      </c>
      <c r="I32" s="57">
        <f>IF(LEN(GRADES[[#This Row],[Title]])&lt;100,0,1)</f>
        <v>0</v>
      </c>
      <c r="J32" s="57">
        <f>IF(SUBSTITUTE(TEXT(GRADES[[#This Row],[PayScaleGradeCode]],10)," ","")=TEXT(GRADES[[#This Row],[PayScaleGradeCode]],10),0,1)</f>
        <v>0</v>
      </c>
      <c r="K32" s="57">
        <f>SUM(GRADES[[#This Row],[Pay Scale issue]:[Schools Check]],GRADES[[#This Row],[TRUE /FALSE Typo]:[Space in Code]])</f>
        <v>0</v>
      </c>
      <c r="L32" s="57" t="str">
        <f>_xlfn.XLOOKUP(GRADES[[#This Row],[PayScaleCode]],PAYSCALES[PayScaleCode],PAYSCALES[London Weighting])</f>
        <v>England &amp; Wales</v>
      </c>
      <c r="N32" s="152" t="s">
        <v>3129</v>
      </c>
      <c r="O32" s="152" t="s">
        <v>3118</v>
      </c>
      <c r="P32" s="152" t="s">
        <v>3107</v>
      </c>
      <c r="Q32" s="12">
        <v>36</v>
      </c>
      <c r="R32" s="12">
        <v>40</v>
      </c>
      <c r="S32" s="57" cm="1">
        <f t="array" ref="S32">LOOKUP(2,1/(PSPOINTS[PayScaleCode]=GRADES[[#This Row],[PayScaleCode]])/(PSPOINTS[PayScalePointCode]=GRADES[[#This Row],[Point From (Check)]]),(PSPOINTS[ScalePointNumber]))</f>
        <v>36</v>
      </c>
      <c r="T32" s="57" cm="1">
        <f t="array" ref="T32">LOOKUP(2,1/(PSPOINTS[PayScaleCode]=GRADES[[#This Row],[PayScaleCode]])/(PSPOINTS[PayScalePointCode]=GRADES[[#This Row],[Point To (Check)]]),(PSPOINTS[ScalePointNumber]))</f>
        <v>40</v>
      </c>
      <c r="U32" t="b">
        <v>1</v>
      </c>
      <c r="V32"/>
      <c r="W32" t="b">
        <v>1</v>
      </c>
    </row>
    <row r="33" spans="1:25" x14ac:dyDescent="0.3">
      <c r="A33" s="57" t="str">
        <f>IF(COUNTIF(PayScales!N:N,PayScaleGrades!P33)&gt;0,"0","1")</f>
        <v>0</v>
      </c>
      <c r="B33" s="57">
        <f>COUNTIF(GRADES[PayScaleGradeCode],GRADES[[#This Row],[PayScaleGradeCode]])-1</f>
        <v>0</v>
      </c>
      <c r="C33" s="57" cm="1">
        <f t="array" ref="C33">IF(GRADES[[#This Row],[AvailableToAllSchools]]=FALSE,IF(ISBLANK(GRADES[[#This Row],[SchoolCodes]]),1,IF(AND(COUNTIF(SCHOOLS[SchoolCode],_xlfn.TEXTSPLIT(GRADES[[#This Row],[SchoolCodes]],","))),0,1)),IF(GRADES[[#This Row],[AvailableToAllSchools]]=TRUE,IF(ISBLANK(GRADES[[#This Row],[SchoolCodes]]),0,1)))</f>
        <v>0</v>
      </c>
      <c r="D33" s="57"/>
      <c r="E33" s="57" cm="1">
        <f t="array" ref="E33">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33" s="57">
        <f>IF(OR(GRADES[[#This Row],[AvailableToAllSchools]]=TRUE,GRADES[[#This Row],[AvailableToAllSchools]]=FALSE),IF(OR(GRADES[[#This Row],[PayScaleGradeEnabled]]=TRUE,GRADES[[#This Row],[PayScaleGradeEnabled]]=FALSE),0,1),1)</f>
        <v>0</v>
      </c>
      <c r="G33" s="57">
        <f>(COUNTBLANK(GRADES[[#This Row],[PayScaleGradeCode]:[AvailableToAllSchools]])+COUNTBLANK(GRADES[[#This Row],[PayScaleGradeEnabled]]))</f>
        <v>0</v>
      </c>
      <c r="H33" s="57">
        <f>IF(LEN(GRADES[[#This Row],[PayScaleGradeCode]])&lt;100,0,1)</f>
        <v>0</v>
      </c>
      <c r="I33" s="57">
        <f>IF(LEN(GRADES[[#This Row],[Title]])&lt;100,0,1)</f>
        <v>0</v>
      </c>
      <c r="J33" s="57">
        <f>IF(SUBSTITUTE(TEXT(GRADES[[#This Row],[PayScaleGradeCode]],10)," ","")=TEXT(GRADES[[#This Row],[PayScaleGradeCode]],10),0,1)</f>
        <v>0</v>
      </c>
      <c r="K33" s="57">
        <f>SUM(GRADES[[#This Row],[Pay Scale issue]:[Schools Check]],GRADES[[#This Row],[TRUE /FALSE Typo]:[Space in Code]])</f>
        <v>0</v>
      </c>
      <c r="L33" s="57" t="str">
        <f>_xlfn.XLOOKUP(GRADES[[#This Row],[PayScaleCode]],PAYSCALES[PayScaleCode],PAYSCALES[London Weighting])</f>
        <v>England &amp; Wales</v>
      </c>
      <c r="N33" s="152" t="s">
        <v>3130</v>
      </c>
      <c r="O33" s="152" t="s">
        <v>3119</v>
      </c>
      <c r="P33" s="152" t="s">
        <v>3107</v>
      </c>
      <c r="Q33" s="12">
        <v>41</v>
      </c>
      <c r="R33" s="12">
        <v>45</v>
      </c>
      <c r="S33" s="57" cm="1">
        <f t="array" ref="S33">LOOKUP(2,1/(PSPOINTS[PayScaleCode]=GRADES[[#This Row],[PayScaleCode]])/(PSPOINTS[PayScalePointCode]=GRADES[[#This Row],[Point From (Check)]]),(PSPOINTS[ScalePointNumber]))</f>
        <v>41</v>
      </c>
      <c r="T33" s="57" cm="1">
        <f t="array" ref="T33">LOOKUP(2,1/(PSPOINTS[PayScaleCode]=GRADES[[#This Row],[PayScaleCode]])/(PSPOINTS[PayScalePointCode]=GRADES[[#This Row],[Point To (Check)]]),(PSPOINTS[ScalePointNumber]))</f>
        <v>45</v>
      </c>
      <c r="U33" t="b">
        <v>1</v>
      </c>
      <c r="V33"/>
      <c r="W33" t="b">
        <v>1</v>
      </c>
    </row>
    <row r="34" spans="1:25" x14ac:dyDescent="0.3">
      <c r="A34" s="57" t="str">
        <f>IF(COUNTIF(PayScales!N:N,PayScaleGrades!#REF!)&gt;0,"0","1")</f>
        <v>1</v>
      </c>
      <c r="B34" s="57">
        <f>COUNTIF(GRADES[PayScaleGradeCode],GRADES[[#This Row],[PayScaleGradeCode]])-1</f>
        <v>0</v>
      </c>
      <c r="C34" s="57" cm="1">
        <f t="array" ref="C34">IF(GRADES[[#This Row],[AvailableToAllSchools]]=FALSE,IF(ISBLANK(GRADES[[#This Row],[SchoolCodes]]),1,IF(AND(COUNTIF(SCHOOLS[SchoolCode],_xlfn.TEXTSPLIT(GRADES[[#This Row],[SchoolCodes]],","))),0,1)),IF(GRADES[[#This Row],[AvailableToAllSchools]]=TRUE,IF(ISBLANK(GRADES[[#This Row],[SchoolCodes]]),0,1)))</f>
        <v>0</v>
      </c>
      <c r="D34" s="57"/>
      <c r="E34" s="57" cm="1">
        <f t="array" ref="E34">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34" s="57">
        <f>IF(OR(GRADES[[#This Row],[AvailableToAllSchools]]=TRUE,GRADES[[#This Row],[AvailableToAllSchools]]=FALSE),IF(OR(GRADES[[#This Row],[PayScaleGradeEnabled]]=TRUE,GRADES[[#This Row],[PayScaleGradeEnabled]]=FALSE),0,1),1)</f>
        <v>0</v>
      </c>
      <c r="G34" s="57">
        <f>(COUNTBLANK(GRADES[[#This Row],[PayScaleGradeCode]:[AvailableToAllSchools]])+COUNTBLANK(GRADES[[#This Row],[PayScaleGradeEnabled]]))</f>
        <v>0</v>
      </c>
      <c r="H34" s="57">
        <f>IF(LEN(GRADES[[#This Row],[PayScaleGradeCode]])&lt;100,0,1)</f>
        <v>0</v>
      </c>
      <c r="I34" s="57">
        <f>IF(LEN(GRADES[[#This Row],[Title]])&lt;100,0,1)</f>
        <v>0</v>
      </c>
      <c r="J34" s="57">
        <f>IF(SUBSTITUTE(TEXT(GRADES[[#This Row],[PayScaleGradeCode]],10)," ","")=TEXT(GRADES[[#This Row],[PayScaleGradeCode]],10),0,1)</f>
        <v>0</v>
      </c>
      <c r="K34" s="57">
        <f>SUM(GRADES[[#This Row],[Pay Scale issue]:[Schools Check]],GRADES[[#This Row],[TRUE /FALSE Typo]:[Space in Code]])</f>
        <v>0</v>
      </c>
      <c r="L34" s="57" t="str">
        <f>_xlfn.XLOOKUP(GRADES[[#This Row],[PayScaleCode]],PAYSCALES[PayScaleCode],PAYSCALES[London Weighting])</f>
        <v>England &amp; Wales</v>
      </c>
      <c r="N34" s="152" t="s">
        <v>1599</v>
      </c>
      <c r="O34" s="152" t="s">
        <v>1606</v>
      </c>
      <c r="P34" s="152" t="s">
        <v>1744</v>
      </c>
      <c r="Q34" s="152" t="s">
        <v>1603</v>
      </c>
      <c r="R34" s="152" t="s">
        <v>1603</v>
      </c>
      <c r="S34" s="57" cm="1">
        <f t="array" ref="S34">LOOKUP(2,1/(PSPOINTS[PayScaleCode]=GRADES[[#This Row],[PayScaleCode]])/(PSPOINTS[PayScalePointCode]=GRADES[[#This Row],[Point From (Check)]]),(PSPOINTS[ScalePointNumber]))</f>
        <v>1</v>
      </c>
      <c r="T34" s="57" cm="1">
        <f t="array" ref="T34">LOOKUP(2,1/(PSPOINTS[PayScaleCode]=GRADES[[#This Row],[PayScaleCode]])/(PSPOINTS[PayScalePointCode]=GRADES[[#This Row],[Point To (Check)]]),(PSPOINTS[ScalePointNumber]))</f>
        <v>1</v>
      </c>
      <c r="U34" t="b">
        <v>1</v>
      </c>
      <c r="V34"/>
      <c r="W34" t="b">
        <v>1</v>
      </c>
    </row>
    <row r="35" spans="1:25" x14ac:dyDescent="0.3">
      <c r="A35" s="57" t="str">
        <f>IF(COUNTIF(PayScales!N:N,PayScaleGrades!#REF!)&gt;0,"0","1")</f>
        <v>1</v>
      </c>
      <c r="B35" s="57">
        <f>COUNTIF(GRADES[PayScaleGradeCode],GRADES[[#This Row],[PayScaleGradeCode]])-1</f>
        <v>0</v>
      </c>
      <c r="C35" s="57" cm="1">
        <f t="array" ref="C35">IF(GRADES[[#This Row],[AvailableToAllSchools]]=FALSE,IF(ISBLANK(GRADES[[#This Row],[SchoolCodes]]),1,IF(AND(COUNTIF(SCHOOLS[SchoolCode],_xlfn.TEXTSPLIT(GRADES[[#This Row],[SchoolCodes]],","))),0,1)),IF(GRADES[[#This Row],[AvailableToAllSchools]]=TRUE,IF(ISBLANK(GRADES[[#This Row],[SchoolCodes]]),0,1)))</f>
        <v>0</v>
      </c>
      <c r="D35" s="57"/>
      <c r="E35" s="57" cm="1">
        <f t="array" ref="E35">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35" s="57">
        <f>IF(OR(GRADES[[#This Row],[AvailableToAllSchools]]=TRUE,GRADES[[#This Row],[AvailableToAllSchools]]=FALSE),IF(OR(GRADES[[#This Row],[PayScaleGradeEnabled]]=TRUE,GRADES[[#This Row],[PayScaleGradeEnabled]]=FALSE),0,1),1)</f>
        <v>0</v>
      </c>
      <c r="G35" s="57">
        <f>(COUNTBLANK(GRADES[[#This Row],[PayScaleGradeCode]:[AvailableToAllSchools]])+COUNTBLANK(GRADES[[#This Row],[PayScaleGradeEnabled]]))</f>
        <v>0</v>
      </c>
      <c r="H35" s="57">
        <f>IF(LEN(GRADES[[#This Row],[PayScaleGradeCode]])&lt;100,0,1)</f>
        <v>0</v>
      </c>
      <c r="I35" s="57">
        <f>IF(LEN(GRADES[[#This Row],[Title]])&lt;100,0,1)</f>
        <v>0</v>
      </c>
      <c r="J35" s="57">
        <f>IF(SUBSTITUTE(TEXT(GRADES[[#This Row],[PayScaleGradeCode]],10)," ","")=TEXT(GRADES[[#This Row],[PayScaleGradeCode]],10),0,1)</f>
        <v>0</v>
      </c>
      <c r="K35" s="57">
        <f>SUM(GRADES[[#This Row],[Pay Scale issue]:[Schools Check]],GRADES[[#This Row],[TRUE /FALSE Typo]:[Space in Code]])</f>
        <v>0</v>
      </c>
      <c r="L35" s="57" t="str">
        <f>_xlfn.XLOOKUP(GRADES[[#This Row],[PayScaleCode]],PAYSCALES[PayScaleCode],PAYSCALES[London Weighting])</f>
        <v>England &amp; Wales</v>
      </c>
      <c r="N35" s="152" t="s">
        <v>1600</v>
      </c>
      <c r="O35" s="152" t="s">
        <v>1129</v>
      </c>
      <c r="P35" s="152" t="s">
        <v>1744</v>
      </c>
      <c r="Q35" s="152" t="s">
        <v>1604</v>
      </c>
      <c r="R35" s="152" t="s">
        <v>1604</v>
      </c>
      <c r="S35" s="57" cm="1">
        <f t="array" ref="S35">LOOKUP(2,1/(PSPOINTS[PayScaleCode]=GRADES[[#This Row],[PayScaleCode]])/(PSPOINTS[PayScalePointCode]=GRADES[[#This Row],[Point From (Check)]]),(PSPOINTS[ScalePointNumber]))</f>
        <v>2</v>
      </c>
      <c r="T35" s="57" cm="1">
        <f t="array" ref="T35">LOOKUP(2,1/(PSPOINTS[PayScaleCode]=GRADES[[#This Row],[PayScaleCode]])/(PSPOINTS[PayScalePointCode]=GRADES[[#This Row],[Point To (Check)]]),(PSPOINTS[ScalePointNumber]))</f>
        <v>2</v>
      </c>
      <c r="U35" t="b">
        <v>1</v>
      </c>
      <c r="V35"/>
      <c r="W35" t="b">
        <v>1</v>
      </c>
    </row>
    <row r="36" spans="1:25" x14ac:dyDescent="0.3">
      <c r="A36" s="57" t="str">
        <f>IF(COUNTIF(PayScales!N:N,PayScaleGrades!#REF!)&gt;0,"0","1")</f>
        <v>1</v>
      </c>
      <c r="B36" s="57">
        <f>COUNTIF(GRADES[PayScaleGradeCode],GRADES[[#This Row],[PayScaleGradeCode]])-1</f>
        <v>0</v>
      </c>
      <c r="C36" s="57" cm="1">
        <f t="array" ref="C36">IF(GRADES[[#This Row],[AvailableToAllSchools]]=FALSE,IF(ISBLANK(GRADES[[#This Row],[SchoolCodes]]),1,IF(AND(COUNTIF(SCHOOLS[SchoolCode],_xlfn.TEXTSPLIT(GRADES[[#This Row],[SchoolCodes]],","))),0,1)),IF(GRADES[[#This Row],[AvailableToAllSchools]]=TRUE,IF(ISBLANK(GRADES[[#This Row],[SchoolCodes]]),0,1)))</f>
        <v>0</v>
      </c>
      <c r="D36" s="57"/>
      <c r="E36" s="57" cm="1">
        <f t="array" ref="E36">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36" s="57">
        <f>IF(OR(GRADES[[#This Row],[AvailableToAllSchools]]=TRUE,GRADES[[#This Row],[AvailableToAllSchools]]=FALSE),IF(OR(GRADES[[#This Row],[PayScaleGradeEnabled]]=TRUE,GRADES[[#This Row],[PayScaleGradeEnabled]]=FALSE),0,1),1)</f>
        <v>0</v>
      </c>
      <c r="G36" s="57">
        <f>(COUNTBLANK(GRADES[[#This Row],[PayScaleGradeCode]:[AvailableToAllSchools]])+COUNTBLANK(GRADES[[#This Row],[PayScaleGradeEnabled]]))</f>
        <v>0</v>
      </c>
      <c r="H36" s="57">
        <f>IF(LEN(GRADES[[#This Row],[PayScaleGradeCode]])&lt;100,0,1)</f>
        <v>0</v>
      </c>
      <c r="I36" s="57">
        <f>IF(LEN(GRADES[[#This Row],[Title]])&lt;100,0,1)</f>
        <v>0</v>
      </c>
      <c r="J36" s="57">
        <f>IF(SUBSTITUTE(TEXT(GRADES[[#This Row],[PayScaleGradeCode]],10)," ","")=TEXT(GRADES[[#This Row],[PayScaleGradeCode]],10),0,1)</f>
        <v>0</v>
      </c>
      <c r="K36" s="57">
        <f>SUM(GRADES[[#This Row],[Pay Scale issue]:[Schools Check]],GRADES[[#This Row],[TRUE /FALSE Typo]:[Space in Code]])</f>
        <v>0</v>
      </c>
      <c r="L36" s="57" t="str">
        <f>_xlfn.XLOOKUP(GRADES[[#This Row],[PayScaleCode]],PAYSCALES[PayScaleCode],PAYSCALES[London Weighting])</f>
        <v>England &amp; Wales</v>
      </c>
      <c r="N36" s="152" t="s">
        <v>1601</v>
      </c>
      <c r="O36" s="152" t="s">
        <v>1130</v>
      </c>
      <c r="P36" s="152" t="s">
        <v>1744</v>
      </c>
      <c r="Q36" s="152" t="s">
        <v>1605</v>
      </c>
      <c r="R36" s="152" t="s">
        <v>1605</v>
      </c>
      <c r="S36" s="57" cm="1">
        <f t="array" ref="S36">LOOKUP(2,1/(PSPOINTS[PayScaleCode]=GRADES[[#This Row],[PayScaleCode]])/(PSPOINTS[PayScalePointCode]=GRADES[[#This Row],[Point From (Check)]]),(PSPOINTS[ScalePointNumber]))</f>
        <v>3</v>
      </c>
      <c r="T36" s="57" cm="1">
        <f t="array" ref="T36">LOOKUP(2,1/(PSPOINTS[PayScaleCode]=GRADES[[#This Row],[PayScaleCode]])/(PSPOINTS[PayScalePointCode]=GRADES[[#This Row],[Point To (Check)]]),(PSPOINTS[ScalePointNumber]))</f>
        <v>3</v>
      </c>
      <c r="U36" t="b">
        <v>1</v>
      </c>
      <c r="V36"/>
      <c r="W36" t="b">
        <v>1</v>
      </c>
    </row>
    <row r="37" spans="1:25" x14ac:dyDescent="0.3">
      <c r="A37" s="57" t="str">
        <f>IF(COUNTIF(PayScales!N:N,PayScaleGrades!#REF!)&gt;0,"0","1")</f>
        <v>1</v>
      </c>
      <c r="B37" s="57">
        <f>COUNTIF(GRADES[PayScaleGradeCode],GRADES[[#This Row],[PayScaleGradeCode]])-1</f>
        <v>0</v>
      </c>
      <c r="C37" s="57" cm="1">
        <f t="array" ref="C37">IF(GRADES[[#This Row],[AvailableToAllSchools]]=FALSE,IF(ISBLANK(GRADES[[#This Row],[SchoolCodes]]),1,IF(AND(COUNTIF(SCHOOLS[SchoolCode],_xlfn.TEXTSPLIT(GRADES[[#This Row],[SchoolCodes]],","))),0,1)),IF(GRADES[[#This Row],[AvailableToAllSchools]]=TRUE,IF(ISBLANK(GRADES[[#This Row],[SchoolCodes]]),0,1)))</f>
        <v>0</v>
      </c>
      <c r="D37" s="57"/>
      <c r="E37" s="57" cm="1">
        <f t="array" ref="E37">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37" s="57">
        <f>IF(OR(GRADES[[#This Row],[AvailableToAllSchools]]=TRUE,GRADES[[#This Row],[AvailableToAllSchools]]=FALSE),IF(OR(GRADES[[#This Row],[PayScaleGradeEnabled]]=TRUE,GRADES[[#This Row],[PayScaleGradeEnabled]]=FALSE),0,1),1)</f>
        <v>0</v>
      </c>
      <c r="G37" s="57">
        <f>(COUNTBLANK(GRADES[[#This Row],[PayScaleGradeCode]:[AvailableToAllSchools]])+COUNTBLANK(GRADES[[#This Row],[PayScaleGradeEnabled]]))</f>
        <v>0</v>
      </c>
      <c r="H37" s="57">
        <f>IF(LEN(GRADES[[#This Row],[PayScaleGradeCode]])&lt;100,0,1)</f>
        <v>0</v>
      </c>
      <c r="I37" s="57">
        <f>IF(LEN(GRADES[[#This Row],[Title]])&lt;100,0,1)</f>
        <v>0</v>
      </c>
      <c r="J37" s="57">
        <f>IF(SUBSTITUTE(TEXT(GRADES[[#This Row],[PayScaleGradeCode]],10)," ","")=TEXT(GRADES[[#This Row],[PayScaleGradeCode]],10),0,1)</f>
        <v>0</v>
      </c>
      <c r="K37" s="57">
        <f>SUM(GRADES[[#This Row],[Pay Scale issue]:[Schools Check]],GRADES[[#This Row],[TRUE /FALSE Typo]:[Space in Code]])</f>
        <v>0</v>
      </c>
      <c r="L37" s="57" t="str">
        <f>_xlfn.XLOOKUP(GRADES[[#This Row],[PayScaleCode]],PAYSCALES[PayScaleCode],PAYSCALES[London Weighting])</f>
        <v>England &amp; Wales</v>
      </c>
      <c r="N37" s="153" t="s">
        <v>1621</v>
      </c>
      <c r="O37" s="153" t="s">
        <v>1622</v>
      </c>
      <c r="P37" s="153" t="s">
        <v>1744</v>
      </c>
      <c r="Q37" s="153" t="s">
        <v>1620</v>
      </c>
      <c r="R37" s="153" t="s">
        <v>1620</v>
      </c>
      <c r="S37" s="57" cm="1">
        <f t="array" ref="S37">LOOKUP(2,1/(PSPOINTS[PayScaleCode]=GRADES[[#This Row],[PayScaleCode]])/(PSPOINTS[PayScalePointCode]=GRADES[[#This Row],[Point From (Check)]]),(PSPOINTS[ScalePointNumber]))</f>
        <v>4</v>
      </c>
      <c r="T37" s="57" cm="1">
        <f t="array" ref="T37">LOOKUP(2,1/(PSPOINTS[PayScaleCode]=GRADES[[#This Row],[PayScaleCode]])/(PSPOINTS[PayScalePointCode]=GRADES[[#This Row],[Point To (Check)]]),(PSPOINTS[ScalePointNumber]))</f>
        <v>4</v>
      </c>
      <c r="U37" t="b">
        <v>1</v>
      </c>
      <c r="V37"/>
      <c r="W37" t="b">
        <v>1</v>
      </c>
      <c r="Y37"/>
    </row>
    <row r="38" spans="1:25" x14ac:dyDescent="0.3">
      <c r="Y38"/>
    </row>
    <row r="39" spans="1:25" x14ac:dyDescent="0.3">
      <c r="Y39"/>
    </row>
    <row r="40" spans="1:25" x14ac:dyDescent="0.3">
      <c r="Y40"/>
    </row>
  </sheetData>
  <sortState xmlns:xlrd2="http://schemas.microsoft.com/office/spreadsheetml/2017/richdata2" ref="Y25:Y36">
    <sortCondition ref="Y25:Y36"/>
  </sortState>
  <phoneticPr fontId="2" type="noConversion"/>
  <pageMargins left="0.7" right="0.7" top="0.75" bottom="0.75" header="0.3" footer="0.3"/>
  <ignoredErrors>
    <ignoredError sqref="T2" calculatedColumn="1"/>
  </ignoredErrors>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4B52D0C5-2C19-456A-AB6C-A6D93A53526D}">
          <x14:formula1>
            <xm:f>PayScales!$N:$N</xm:f>
          </x14:formula1>
          <xm:sqref>P34:P37</xm:sqref>
        </x14:dataValidation>
        <x14:dataValidation type="list" allowBlank="1" showInputMessage="1" showErrorMessage="1" xr:uid="{09D6DB38-ED38-4228-916E-C0962A1C1DCF}">
          <x14:formula1>
            <xm:f>Validation!$G$2:$G$3</xm:f>
          </x14:formula1>
          <xm:sqref>W2:W7 U2:U7</xm:sqref>
        </x14:dataValidation>
        <x14:dataValidation type="list" allowBlank="1" showInputMessage="1" showErrorMessage="1" xr:uid="{C8428D2F-BBBB-437B-859A-8C0AAE4F8B8E}">
          <x14:formula1>
            <xm:f>Validation!$A$10:$A$14</xm:f>
          </x14:formula1>
          <xm:sqref>L2:L37</xm:sqref>
        </x14:dataValidation>
      </x14:dataValidation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5010F-DE03-4E95-B8E3-378F58351006}">
  <sheetPr codeName="Sheet54">
    <tabColor theme="9" tint="0.39997558519241921"/>
  </sheetPr>
  <dimension ref="A1:H7"/>
  <sheetViews>
    <sheetView zoomScale="90" zoomScaleNormal="90" workbookViewId="0">
      <pane ySplit="1" topLeftCell="A2" activePane="bottomLeft" state="frozen"/>
      <selection activeCell="D2" sqref="D2"/>
      <selection pane="bottomLeft" activeCell="F13" sqref="F13"/>
    </sheetView>
  </sheetViews>
  <sheetFormatPr defaultColWidth="9.33203125" defaultRowHeight="14.4" outlineLevelCol="1" x14ac:dyDescent="0.3"/>
  <cols>
    <col min="1" max="1" width="9.33203125" hidden="1" customWidth="1" outlineLevel="1"/>
    <col min="2" max="3" width="8.88671875" hidden="1" customWidth="1" outlineLevel="1"/>
    <col min="4" max="4" width="10.5546875" customWidth="1" collapsed="1"/>
    <col min="5" max="6" width="14.33203125" customWidth="1"/>
    <col min="7" max="7" width="12.5546875" customWidth="1"/>
    <col min="8" max="8" width="11.6640625" customWidth="1"/>
  </cols>
  <sheetData>
    <row r="1" spans="1:8" s="28" customFormat="1" ht="43.2" x14ac:dyDescent="0.3">
      <c r="A1" s="59" t="s">
        <v>1630</v>
      </c>
      <c r="B1" s="53" t="s">
        <v>1661</v>
      </c>
      <c r="C1" s="122" t="s">
        <v>1660</v>
      </c>
      <c r="D1" s="59" t="s">
        <v>886</v>
      </c>
      <c r="E1" s="69" t="s">
        <v>1049</v>
      </c>
      <c r="F1" s="69" t="s">
        <v>1050</v>
      </c>
      <c r="G1" s="69" t="s">
        <v>1118</v>
      </c>
      <c r="H1" s="69" t="s">
        <v>1053</v>
      </c>
    </row>
    <row r="2" spans="1:8" x14ac:dyDescent="0.3">
      <c r="A2" s="57">
        <f>IF(COUNTIF(PayScales!N:N,F2)&gt;0,0,1)</f>
        <v>0</v>
      </c>
      <c r="B2" s="57">
        <f>COUNTBLANK(PS_INCPERC[[#This Row],[PayScaleCode]:[IncreasePercentage]])</f>
        <v>0</v>
      </c>
      <c r="C2" s="57">
        <f>IF(SUBSTITUTE(TEXT(PS_INCPERC[[#This Row],[PayScaleCode]],10)," ","")=TEXT(PS_INCPERC[[#This Row],[PayScaleCode]],10),0,1)</f>
        <v>0</v>
      </c>
      <c r="D2" s="57">
        <f>SUM(PS_INCPERC[[#This Row],[Pay Scale Code Issue]:[Space in Code]])</f>
        <v>0</v>
      </c>
      <c r="F2" s="12" t="s">
        <v>1127</v>
      </c>
      <c r="G2" s="19" t="s">
        <v>1319</v>
      </c>
      <c r="H2" s="19">
        <v>2</v>
      </c>
    </row>
    <row r="3" spans="1:8" x14ac:dyDescent="0.3">
      <c r="A3" s="57">
        <f>IF(COUNTIF(PayScales!N:N,F3)&gt;0,0,1)</f>
        <v>0</v>
      </c>
      <c r="B3" s="57">
        <f>COUNTBLANK(PS_INCPERC[[#This Row],[PayScaleCode]:[IncreasePercentage]])</f>
        <v>0</v>
      </c>
      <c r="C3" s="57">
        <f>IF(SUBSTITUTE(TEXT(PS_INCPERC[[#This Row],[PayScaleCode]],10)," ","")=TEXT(PS_INCPERC[[#This Row],[PayScaleCode]],10),0,1)</f>
        <v>0</v>
      </c>
      <c r="D3" s="57">
        <f>SUM(PS_INCPERC[[#This Row],[Pay Scale Code Issue]:[Space in Code]])</f>
        <v>0</v>
      </c>
      <c r="F3" s="12" t="s">
        <v>1749</v>
      </c>
      <c r="G3" s="19" t="s">
        <v>1319</v>
      </c>
      <c r="H3" s="19">
        <v>2</v>
      </c>
    </row>
    <row r="4" spans="1:8" x14ac:dyDescent="0.3">
      <c r="A4" s="57">
        <f>IF(COUNTIF(PayScales!N:N,F4)&gt;0,0,1)</f>
        <v>0</v>
      </c>
      <c r="B4" s="57">
        <f>COUNTBLANK(PS_INCPERC[[#This Row],[PayScaleCode]:[IncreasePercentage]])</f>
        <v>0</v>
      </c>
      <c r="C4" s="57">
        <f>IF(SUBSTITUTE(TEXT(PS_INCPERC[[#This Row],[PayScaleCode]],10)," ","")=TEXT(PS_INCPERC[[#This Row],[PayScaleCode]],10),0,1)</f>
        <v>0</v>
      </c>
      <c r="D4" s="57">
        <f>SUM(PS_INCPERC[[#This Row],[Pay Scale Code Issue]:[Space in Code]])</f>
        <v>0</v>
      </c>
      <c r="F4" s="12" t="s">
        <v>1750</v>
      </c>
      <c r="G4" s="19" t="s">
        <v>1319</v>
      </c>
      <c r="H4" s="19">
        <v>2</v>
      </c>
    </row>
    <row r="5" spans="1:8" x14ac:dyDescent="0.3">
      <c r="A5" s="57">
        <f>IF(COUNTIF(PayScales!N:N,F5)&gt;0,0,1)</f>
        <v>0</v>
      </c>
      <c r="B5" s="57">
        <f>COUNTBLANK(PS_INCPERC[[#This Row],[PayScaleCode]:[IncreasePercentage]])</f>
        <v>0</v>
      </c>
      <c r="C5" s="57">
        <f>IF(SUBSTITUTE(TEXT(PS_INCPERC[[#This Row],[PayScaleCode]],10)," ","")=TEXT(PS_INCPERC[[#This Row],[PayScaleCode]],10),0,1)</f>
        <v>0</v>
      </c>
      <c r="D5" s="57">
        <f>SUM(PS_INCPERC[[#This Row],[Pay Scale Code Issue]:[Space in Code]])</f>
        <v>0</v>
      </c>
      <c r="F5" s="12" t="s">
        <v>1220</v>
      </c>
      <c r="G5" s="19" t="s">
        <v>1319</v>
      </c>
      <c r="H5" s="19">
        <v>2</v>
      </c>
    </row>
    <row r="6" spans="1:8" x14ac:dyDescent="0.3">
      <c r="A6" s="57">
        <f>IF(COUNTIF(PayScales!N:N,F6)&gt;0,0,1)</f>
        <v>0</v>
      </c>
      <c r="B6" s="57">
        <f>COUNTBLANK(PS_INCPERC[[#This Row],[PayScaleCode]:[IncreasePercentage]])</f>
        <v>0</v>
      </c>
      <c r="C6" s="57">
        <f>IF(SUBSTITUTE(TEXT(PS_INCPERC[[#This Row],[PayScaleCode]],10)," ","")=TEXT(PS_INCPERC[[#This Row],[PayScaleCode]],10),0,1)</f>
        <v>0</v>
      </c>
      <c r="D6" s="57">
        <f>SUM(PS_INCPERC[[#This Row],[Pay Scale Code Issue]:[Space in Code]])</f>
        <v>0</v>
      </c>
      <c r="F6" s="12" t="s">
        <v>3107</v>
      </c>
      <c r="G6" s="27" t="s">
        <v>1317</v>
      </c>
      <c r="H6" s="149">
        <v>2</v>
      </c>
    </row>
    <row r="7" spans="1:8" x14ac:dyDescent="0.3">
      <c r="H7" s="1"/>
    </row>
  </sheetData>
  <phoneticPr fontId="2" type="noConversion"/>
  <pageMargins left="0.7" right="0.7" top="0.75" bottom="0.75" header="0.3" footer="0.3"/>
  <legacyDrawing r:id="rId1"/>
  <tableParts count="1">
    <tablePart r:id="rId2"/>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C577E-9ADB-457F-9DFE-E6B3837D348A}">
  <sheetPr codeName="Sheet411">
    <tabColor theme="9" tint="0.39997558519241921"/>
  </sheetPr>
  <dimension ref="A1:Q3"/>
  <sheetViews>
    <sheetView zoomScale="90" zoomScaleNormal="90" workbookViewId="0">
      <pane ySplit="1" topLeftCell="A2" activePane="bottomLeft" state="frozen"/>
      <selection activeCell="D2" sqref="D2"/>
      <selection pane="bottomLeft" activeCell="O9" sqref="O9"/>
    </sheetView>
  </sheetViews>
  <sheetFormatPr defaultColWidth="9.33203125" defaultRowHeight="14.4" outlineLevelCol="1" x14ac:dyDescent="0.3"/>
  <cols>
    <col min="1" max="6" width="9.88671875" hidden="1" customWidth="1" outlineLevel="1"/>
    <col min="7" max="7" width="8" customWidth="1" collapsed="1"/>
    <col min="8" max="8" width="13.33203125" customWidth="1"/>
    <col min="9" max="9" width="13.5546875" customWidth="1"/>
    <col min="10" max="10" width="36.33203125" style="21" customWidth="1"/>
    <col min="11" max="11" width="14.109375" bestFit="1" customWidth="1"/>
    <col min="12" max="12" width="10" customWidth="1"/>
    <col min="13" max="13" width="11" customWidth="1"/>
    <col min="14" max="14" width="14.109375" bestFit="1" customWidth="1"/>
    <col min="15" max="15" width="16.88671875" bestFit="1" customWidth="1"/>
    <col min="16" max="16" width="11.5546875" bestFit="1" customWidth="1"/>
    <col min="17" max="17" width="14.109375" customWidth="1"/>
  </cols>
  <sheetData>
    <row r="1" spans="1:17" s="25" customFormat="1" ht="43.2" x14ac:dyDescent="0.3">
      <c r="A1" s="53" t="s">
        <v>1631</v>
      </c>
      <c r="B1" s="53" t="s">
        <v>1659</v>
      </c>
      <c r="C1" s="53" t="s">
        <v>1639</v>
      </c>
      <c r="D1" s="53" t="s">
        <v>1638</v>
      </c>
      <c r="E1" s="53" t="s">
        <v>1661</v>
      </c>
      <c r="F1" s="122" t="s">
        <v>1660</v>
      </c>
      <c r="G1" s="53" t="s">
        <v>886</v>
      </c>
      <c r="H1" s="25" t="s">
        <v>1049</v>
      </c>
      <c r="I1" s="25" t="s">
        <v>1131</v>
      </c>
      <c r="J1" s="25" t="s">
        <v>1132</v>
      </c>
      <c r="K1" s="61" t="s">
        <v>1048</v>
      </c>
      <c r="L1" s="49" t="s">
        <v>1053</v>
      </c>
      <c r="M1" s="25" t="s">
        <v>904</v>
      </c>
      <c r="N1" s="25" t="s">
        <v>905</v>
      </c>
      <c r="O1" s="50" t="s">
        <v>1133</v>
      </c>
      <c r="P1" s="50" t="s">
        <v>1134</v>
      </c>
      <c r="Q1" s="50" t="s">
        <v>1135</v>
      </c>
    </row>
    <row r="2" spans="1:17" s="12" customFormat="1" x14ac:dyDescent="0.3">
      <c r="A2" s="57">
        <f>IF(ALLWCTYPE[[#This Row],[AvailableToAllSchools]]=FALSE,IF(ISBLANK(ALLWCTYPE[[#This Row],[SchoolCodes]]),1,0),IF(ALLWCTYPE[[#This Row],[AvailableToAllSchools]]=TRUE,IF(ISBLANK(ALLWCTYPE[[#This Row],[SchoolCodes]]),0,1)))</f>
        <v>0</v>
      </c>
      <c r="B2" s="57">
        <f>IF(OR(ALLWCTYPE[[#This Row],[ExcludePension]]=TRUE,ALLWCTYPE[[#This Row],[ExcludePension]]=FALSE),IF(OR(ALLWCTYPE[[#This Row],[AvailableToAllSchools]]=TRUE,ALLWCTYPE[[#This Row],[AvailableToAllSchools]]=FALSE),IF(OR(ALLWCTYPE[[#This Row],[ExcludeNI]]=TRUE,ALLWCTYPE[[#This Row],[ExcludeNI]]=FALSE),IF(OR(ALLWCTYPE[[#This Row],[AllowanceTypeEnabled]]=TRUE,ALLWCTYPE[[#This Row],[AllowanceTypeEnabled]]=FALSE),0,1),1),1),1)</f>
        <v>0</v>
      </c>
      <c r="C2" s="57">
        <f>IF(LEN(ALLWCTYPE[[#This Row],[AllowanceTypeCode]])&lt;100,0,1)</f>
        <v>0</v>
      </c>
      <c r="D2" s="57">
        <f>IF(LEN(ALLWCTYPE[[#This Row],[AllowanceTypeTitle]])&lt;100,0,1)</f>
        <v>0</v>
      </c>
      <c r="E2" s="57">
        <f>COUNTBLANK(ALLWCTYPE[[#This Row],[AllowanceTypeCode]:[AvailableToAllSchools]])+COUNTBLANK(ALLWCTYPE[[#This Row],[ExcludePension]]:ALLWCTYPE[[#This Row],[ExcludeNI]]:ALLWCTYPE[[#This Row],[AllowanceTypeEnabled]])</f>
        <v>0</v>
      </c>
      <c r="F2" s="57">
        <f>IF(SUBSTITUTE(TEXT(ALLWCTYPE[[#This Row],[AllowanceTypeCode]],10)," ","")=TEXT(ALLWCTYPE[[#This Row],[AllowanceTypeCode]],10),0,1)</f>
        <v>0</v>
      </c>
      <c r="G2" s="57">
        <f>SUM(ALLWCTYPE[[#This Row],[Schools Check]:[Blank in column]])</f>
        <v>0</v>
      </c>
      <c r="I2" s="12" t="s">
        <v>1136</v>
      </c>
      <c r="J2" s="12" t="s">
        <v>1137</v>
      </c>
      <c r="K2" s="51">
        <v>44440</v>
      </c>
      <c r="L2" s="12">
        <v>2</v>
      </c>
      <c r="M2" t="b">
        <v>1</v>
      </c>
      <c r="N2"/>
      <c r="O2" t="b">
        <v>0</v>
      </c>
      <c r="P2" t="b">
        <v>0</v>
      </c>
      <c r="Q2" t="b">
        <v>1</v>
      </c>
    </row>
    <row r="3" spans="1:17" x14ac:dyDescent="0.3">
      <c r="A3" s="57">
        <f>IF(ALLWCTYPE[[#This Row],[AvailableToAllSchools]]=FALSE,IF(ISBLANK(ALLWCTYPE[[#This Row],[SchoolCodes]]),1,0),IF(ALLWCTYPE[[#This Row],[AvailableToAllSchools]]=TRUE,IF(ISBLANK(ALLWCTYPE[[#This Row],[SchoolCodes]]),0,1)))</f>
        <v>0</v>
      </c>
      <c r="B3" s="57">
        <f>IF(OR(ALLWCTYPE[[#This Row],[ExcludePension]]=TRUE,ALLWCTYPE[[#This Row],[ExcludePension]]=FALSE),IF(OR(ALLWCTYPE[[#This Row],[AvailableToAllSchools]]=TRUE,ALLWCTYPE[[#This Row],[AvailableToAllSchools]]=FALSE),IF(OR(ALLWCTYPE[[#This Row],[ExcludeNI]]=TRUE,ALLWCTYPE[[#This Row],[ExcludeNI]]=FALSE),IF(OR(ALLWCTYPE[[#This Row],[AllowanceTypeEnabled]]=TRUE,ALLWCTYPE[[#This Row],[AllowanceTypeEnabled]]=FALSE),0,1),1),1),1)</f>
        <v>0</v>
      </c>
      <c r="C3" s="57">
        <f>IF(LEN(ALLWCTYPE[[#This Row],[AllowanceTypeCode]])&lt;100,0,1)</f>
        <v>0</v>
      </c>
      <c r="D3" s="57">
        <f>IF(LEN(ALLWCTYPE[[#This Row],[AllowanceTypeTitle]])&lt;100,0,1)</f>
        <v>0</v>
      </c>
      <c r="E3" s="57">
        <f>COUNTBLANK(ALLWCTYPE[[#This Row],[AllowanceTypeCode]:[AvailableToAllSchools]])+COUNTBLANK(ALLWCTYPE[[#This Row],[ExcludePension]]:ALLWCTYPE[[#This Row],[ExcludeNI]]:ALLWCTYPE[[#This Row],[AllowanceTypeEnabled]])</f>
        <v>0</v>
      </c>
      <c r="F3" s="57">
        <f>IF(SUBSTITUTE(TEXT(ALLWCTYPE[[#This Row],[AllowanceTypeCode]],10)," ","")=TEXT(ALLWCTYPE[[#This Row],[AllowanceTypeCode]],10),0,1)</f>
        <v>0</v>
      </c>
      <c r="G3" s="57">
        <f>SUM(ALLWCTYPE[[#This Row],[Schools Check]:[Blank in column]])</f>
        <v>0</v>
      </c>
      <c r="H3" s="12"/>
      <c r="I3" s="12" t="s">
        <v>1138</v>
      </c>
      <c r="J3" s="20" t="s">
        <v>1139</v>
      </c>
      <c r="K3" s="51">
        <v>44440</v>
      </c>
      <c r="L3" s="12">
        <v>2</v>
      </c>
      <c r="M3" t="b">
        <v>1</v>
      </c>
      <c r="O3" t="b">
        <v>0</v>
      </c>
      <c r="P3" t="b">
        <v>0</v>
      </c>
      <c r="Q3" t="b">
        <v>1</v>
      </c>
    </row>
  </sheetData>
  <phoneticPr fontId="2" type="noConversion"/>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4ECF5548-49CD-4D1A-9292-C43331B798AD}">
          <x14:formula1>
            <xm:f>Validation!$G$2:$G$3</xm:f>
          </x14:formula1>
          <xm:sqref>O2:Q3</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E52FA-A0B7-4457-B20D-E25E647F2A33}">
  <sheetPr codeName="Sheet18">
    <tabColor theme="9" tint="0.39997558519241921"/>
  </sheetPr>
  <dimension ref="A1:AF14"/>
  <sheetViews>
    <sheetView topLeftCell="L1" zoomScale="90" zoomScaleNormal="90" workbookViewId="0">
      <pane ySplit="1" topLeftCell="A2" activePane="bottomLeft" state="frozen"/>
      <selection activeCell="D2" sqref="D2"/>
      <selection pane="bottomLeft" activeCell="V7" sqref="V7"/>
    </sheetView>
  </sheetViews>
  <sheetFormatPr defaultColWidth="9.33203125" defaultRowHeight="14.4" outlineLevelCol="1" x14ac:dyDescent="0.3"/>
  <cols>
    <col min="1" max="2" width="11" hidden="1" customWidth="1" outlineLevel="1"/>
    <col min="3" max="5" width="9.6640625" hidden="1" customWidth="1" outlineLevel="1"/>
    <col min="6" max="6" width="14" hidden="1" customWidth="1" outlineLevel="1"/>
    <col min="7" max="11" width="9.6640625" hidden="1" customWidth="1" outlineLevel="1"/>
    <col min="12" max="12" width="10.33203125" customWidth="1" collapsed="1"/>
    <col min="13" max="13" width="13.33203125" customWidth="1"/>
    <col min="14" max="14" width="14.33203125" customWidth="1"/>
    <col min="15" max="15" width="35.88671875" style="21" customWidth="1"/>
    <col min="16" max="16" width="14.33203125" customWidth="1"/>
    <col min="17" max="17" width="14.44140625" customWidth="1"/>
    <col min="18" max="18" width="11.33203125" customWidth="1"/>
    <col min="19" max="19" width="12.33203125" customWidth="1"/>
    <col min="20" max="20" width="13.33203125" style="21" customWidth="1"/>
    <col min="21" max="21" width="13.88671875" style="138" bestFit="1" customWidth="1"/>
    <col min="22" max="22" width="13" bestFit="1" customWidth="1"/>
    <col min="23" max="23" width="11.5546875" customWidth="1"/>
    <col min="24" max="24" width="14.33203125" customWidth="1"/>
    <col min="27" max="27" width="15.33203125" bestFit="1" customWidth="1"/>
    <col min="28" max="28" width="12.88671875" bestFit="1" customWidth="1"/>
    <col min="29" max="29" width="12.88671875" customWidth="1"/>
  </cols>
  <sheetData>
    <row r="1" spans="1:32" s="25" customFormat="1" ht="43.2" x14ac:dyDescent="0.3">
      <c r="A1" s="65" t="s">
        <v>1642</v>
      </c>
      <c r="B1" s="53" t="s">
        <v>1700</v>
      </c>
      <c r="C1" s="53" t="s">
        <v>1631</v>
      </c>
      <c r="D1" s="65" t="s">
        <v>1641</v>
      </c>
      <c r="E1" s="65" t="s">
        <v>1726</v>
      </c>
      <c r="F1" s="145" t="s">
        <v>1755</v>
      </c>
      <c r="G1" s="53" t="s">
        <v>1659</v>
      </c>
      <c r="H1" s="53" t="s">
        <v>1639</v>
      </c>
      <c r="I1" s="53" t="s">
        <v>1638</v>
      </c>
      <c r="J1" s="53" t="s">
        <v>1661</v>
      </c>
      <c r="K1" s="122" t="s">
        <v>1660</v>
      </c>
      <c r="L1" s="113" t="s">
        <v>1047</v>
      </c>
      <c r="M1" s="25" t="s">
        <v>1049</v>
      </c>
      <c r="N1" s="25" t="s">
        <v>1131</v>
      </c>
      <c r="O1" s="59" t="s">
        <v>1132</v>
      </c>
      <c r="P1" s="25" t="s">
        <v>1140</v>
      </c>
      <c r="Q1" s="25" t="s">
        <v>1141</v>
      </c>
      <c r="R1" s="25" t="s">
        <v>904</v>
      </c>
      <c r="S1" s="25" t="s">
        <v>905</v>
      </c>
      <c r="T1" s="58" t="s">
        <v>1061</v>
      </c>
      <c r="U1" s="67" t="s">
        <v>1062</v>
      </c>
      <c r="V1" s="49" t="s">
        <v>1142</v>
      </c>
      <c r="W1" s="50" t="s">
        <v>1143</v>
      </c>
    </row>
    <row r="2" spans="1:32" s="12" customFormat="1" x14ac:dyDescent="0.3">
      <c r="A2" s="57">
        <f>IF(COUNTIF(ALLWCTYPE[AllowanceTypeCode],ALLWCPTS[[#This Row],[AllowanceTypeCode]])&gt;0,0,1)</f>
        <v>0</v>
      </c>
      <c r="B2" s="57">
        <f>COUNTIF(ALLWCPTS[AllowancePointCode],ALLWCPTS[[#This Row],[AllowancePointCode]])-1</f>
        <v>0</v>
      </c>
      <c r="C2" s="57">
        <f>IF(ALLWCPTS[[#This Row],[AvailableToAllSchools]]=FALSE,IF(ISBLANK(ALLWCPTS[[#This Row],[SchoolCodes]]),1,0),IF(ALLWCPTS[[#This Row],[AvailableToAllSchools]]=TRUE,IF(ISBLANK(ALLWCPTS[[#This Row],[SchoolCodes]]),0,1)))</f>
        <v>0</v>
      </c>
      <c r="D2" s="57">
        <f>IF(ISBLANK(ALLWCPTS[[#This Row],[RateDateTo]]),0,IF(ALLWCPTS[[#This Row],[RateDateFrom]]&lt;ALLWCPTS[[#This Row],[RateDateTo]],0,1))</f>
        <v>0</v>
      </c>
      <c r="E2" s="57" cm="1">
        <f t="array" aca="1" ref="E2" ca="1">IF(CELL("format",ALLWCPTS[[#This Row],[RateDateFrom]])="D1",0,1)+IF(CELL("format",ALLWCPTS[[#This Row],[RateDateTo]])="D1",0,1)</f>
        <v>0</v>
      </c>
      <c r="F2" s="57" cm="1">
        <f t="array" ref="F2">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2" s="57">
        <f>IF(OR(ALLWCPTS[[#This Row],[AllowancePointEnabled]]=TRUE,ALLWCPTS[[#This Row],[AllowancePointEnabled]]=FALSE),IF(OR(ALLWCPTS[[#This Row],[AvailableToAllSchools]]=TRUE,ALLWCPTS[[#This Row],[AvailableToAllSchools]]=FALSE),0,1),1)</f>
        <v>0</v>
      </c>
      <c r="H2" s="57">
        <f>IF(LEN(ALLWCPTS[[#This Row],[AllowancePointCode]])&lt;100,0,1)</f>
        <v>0</v>
      </c>
      <c r="I2" s="57">
        <f>IF(LEN(ALLWCPTS[[#This Row],[AllowancePointTitle]])&lt;100,0,1)</f>
        <v>0</v>
      </c>
      <c r="J2" s="57">
        <f>COUNTBLANK(ALLWCPTS[[#This Row],[AllowanceTypeCode]:[AvailableToAllSchools]])+COUNTBLANK(ALLWCPTS[[#This Row],[AnnualRate]]:ALLWCPTS[[#This Row],[AllowancePointEnabled]])</f>
        <v>0</v>
      </c>
      <c r="K2" s="57">
        <f>IF(SUBSTITUTE(TEXT(ALLWCPTS[[#This Row],[AllowancePointCode]],10)," ","")=TEXT(ALLWCPTS[[#This Row],[AllowancePointCode]],10),0,1)</f>
        <v>0</v>
      </c>
      <c r="L2" s="57">
        <f ca="1">SUM(ALLWCPTS[[#This Row],[Allowance Type Issue]:[Space in Code]])</f>
        <v>0</v>
      </c>
      <c r="N2" s="12" t="s">
        <v>1136</v>
      </c>
      <c r="O2" s="57" t="str">
        <f>_xlfn.XLOOKUP(ALLWCPTS[[#This Row],[AllowanceTypeCode]],ALLWCTYPE[AllowanceTypeCode],ALLWCTYPE[AllowanceTypeTitle])</f>
        <v>Teaching and Learning Responsibilities</v>
      </c>
      <c r="P2" s="12" t="s">
        <v>1360</v>
      </c>
      <c r="Q2" s="12" t="s">
        <v>1360</v>
      </c>
      <c r="R2" t="b">
        <v>1</v>
      </c>
      <c r="T2" s="20">
        <v>45901</v>
      </c>
      <c r="U2" s="13"/>
      <c r="V2" s="12">
        <v>11894</v>
      </c>
      <c r="W2" t="b">
        <v>1</v>
      </c>
      <c r="Y2"/>
      <c r="Z2"/>
      <c r="AA2"/>
      <c r="AB2"/>
      <c r="AC2"/>
      <c r="AD2"/>
      <c r="AE2"/>
      <c r="AF2"/>
    </row>
    <row r="3" spans="1:32" x14ac:dyDescent="0.3">
      <c r="A3" s="57">
        <f>IF(COUNTIF(ALLWCTYPE[AllowanceTypeCode],ALLWCPTS[[#This Row],[AllowanceTypeCode]])&gt;0,0,1)</f>
        <v>0</v>
      </c>
      <c r="B3" s="57">
        <f>COUNTIF(ALLWCPTS[AllowancePointCode],ALLWCPTS[[#This Row],[AllowancePointCode]])-1</f>
        <v>0</v>
      </c>
      <c r="C3" s="57">
        <f>IF(ALLWCPTS[[#This Row],[AvailableToAllSchools]]=FALSE,IF(ISBLANK(ALLWCPTS[[#This Row],[SchoolCodes]]),1,0),IF(ALLWCPTS[[#This Row],[AvailableToAllSchools]]=TRUE,IF(ISBLANK(ALLWCPTS[[#This Row],[SchoolCodes]]),0,1)))</f>
        <v>0</v>
      </c>
      <c r="D3" s="57">
        <f>IF(ISBLANK(ALLWCPTS[[#This Row],[RateDateTo]]),0,IF(ALLWCPTS[[#This Row],[RateDateFrom]]&lt;ALLWCPTS[[#This Row],[RateDateTo]],0,1))</f>
        <v>0</v>
      </c>
      <c r="E3" s="57" cm="1">
        <f t="array" aca="1" ref="E3" ca="1">IF(CELL("format",ALLWCPTS[[#This Row],[RateDateFrom]])="D1",0,1)+IF(CELL("format",ALLWCPTS[[#This Row],[RateDateTo]])="D1",0,1)</f>
        <v>0</v>
      </c>
      <c r="F3" s="57" cm="1">
        <f t="array" ref="F3">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3" s="57">
        <f>IF(OR(ALLWCPTS[[#This Row],[AllowancePointEnabled]]=TRUE,ALLWCPTS[[#This Row],[AllowancePointEnabled]]=FALSE),IF(OR(ALLWCPTS[[#This Row],[AvailableToAllSchools]]=TRUE,ALLWCPTS[[#This Row],[AvailableToAllSchools]]=FALSE),0,1),1)</f>
        <v>0</v>
      </c>
      <c r="H3" s="57">
        <f>IF(LEN(ALLWCPTS[[#This Row],[AllowancePointCode]])&lt;100,0,1)</f>
        <v>0</v>
      </c>
      <c r="I3" s="57">
        <f>IF(LEN(ALLWCPTS[[#This Row],[AllowancePointTitle]])&lt;100,0,1)</f>
        <v>0</v>
      </c>
      <c r="J3" s="57">
        <f>COUNTBLANK(ALLWCPTS[[#This Row],[AllowanceTypeCode]:[AvailableToAllSchools]])+COUNTBLANK(ALLWCPTS[[#This Row],[AnnualRate]]:ALLWCPTS[[#This Row],[AllowancePointEnabled]])</f>
        <v>0</v>
      </c>
      <c r="K3" s="57">
        <f>IF(SUBSTITUTE(TEXT(ALLWCPTS[[#This Row],[AllowancePointCode]],10)," ","")=TEXT(ALLWCPTS[[#This Row],[AllowancePointCode]],10),0,1)</f>
        <v>0</v>
      </c>
      <c r="L3" s="57">
        <f ca="1">SUM(ALLWCPTS[[#This Row],[Allowance Type Issue]:[Space in Code]])</f>
        <v>0</v>
      </c>
      <c r="M3" s="12"/>
      <c r="N3" s="12" t="s">
        <v>1136</v>
      </c>
      <c r="O3" s="57" t="str">
        <f>_xlfn.XLOOKUP(ALLWCPTS[[#This Row],[AllowanceTypeCode]],ALLWCTYPE[AllowanceTypeCode],ALLWCTYPE[AllowanceTypeTitle])</f>
        <v>Teaching and Learning Responsibilities</v>
      </c>
      <c r="P3" s="12" t="s">
        <v>1361</v>
      </c>
      <c r="Q3" s="12" t="s">
        <v>1361</v>
      </c>
      <c r="R3" t="b">
        <v>1</v>
      </c>
      <c r="S3" s="12"/>
      <c r="T3" s="20">
        <v>45901</v>
      </c>
      <c r="U3" s="13"/>
      <c r="V3" s="12">
        <v>12391</v>
      </c>
      <c r="W3" t="b">
        <v>1</v>
      </c>
    </row>
    <row r="4" spans="1:32" x14ac:dyDescent="0.3">
      <c r="A4" s="57">
        <f>IF(COUNTIF(ALLWCTYPE[AllowanceTypeCode],ALLWCPTS[[#This Row],[AllowanceTypeCode]])&gt;0,0,1)</f>
        <v>0</v>
      </c>
      <c r="B4" s="57">
        <f>COUNTIF(ALLWCPTS[AllowancePointCode],ALLWCPTS[[#This Row],[AllowancePointCode]])-1</f>
        <v>0</v>
      </c>
      <c r="C4" s="57">
        <f>IF(ALLWCPTS[[#This Row],[AvailableToAllSchools]]=FALSE,IF(ISBLANK(ALLWCPTS[[#This Row],[SchoolCodes]]),1,0),IF(ALLWCPTS[[#This Row],[AvailableToAllSchools]]=TRUE,IF(ISBLANK(ALLWCPTS[[#This Row],[SchoolCodes]]),0,1)))</f>
        <v>0</v>
      </c>
      <c r="D4" s="57">
        <f>IF(ISBLANK(ALLWCPTS[[#This Row],[RateDateTo]]),0,IF(ALLWCPTS[[#This Row],[RateDateFrom]]&lt;ALLWCPTS[[#This Row],[RateDateTo]],0,1))</f>
        <v>0</v>
      </c>
      <c r="E4" s="57" cm="1">
        <f t="array" aca="1" ref="E4" ca="1">IF(CELL("format",ALLWCPTS[[#This Row],[RateDateFrom]])="D1",0,1)+IF(CELL("format",ALLWCPTS[[#This Row],[RateDateTo]])="D1",0,1)</f>
        <v>0</v>
      </c>
      <c r="F4" s="57" cm="1">
        <f t="array" ref="F4">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4" s="57">
        <f>IF(OR(ALLWCPTS[[#This Row],[AllowancePointEnabled]]=TRUE,ALLWCPTS[[#This Row],[AllowancePointEnabled]]=FALSE),IF(OR(ALLWCPTS[[#This Row],[AvailableToAllSchools]]=TRUE,ALLWCPTS[[#This Row],[AvailableToAllSchools]]=FALSE),0,1),1)</f>
        <v>0</v>
      </c>
      <c r="H4" s="57">
        <f>IF(LEN(ALLWCPTS[[#This Row],[AllowancePointCode]])&lt;100,0,1)</f>
        <v>0</v>
      </c>
      <c r="I4" s="57">
        <f>IF(LEN(ALLWCPTS[[#This Row],[AllowancePointTitle]])&lt;100,0,1)</f>
        <v>0</v>
      </c>
      <c r="J4" s="57">
        <f>COUNTBLANK(ALLWCPTS[[#This Row],[AllowanceTypeCode]:[AvailableToAllSchools]])+COUNTBLANK(ALLWCPTS[[#This Row],[AnnualRate]]:ALLWCPTS[[#This Row],[AllowancePointEnabled]])</f>
        <v>0</v>
      </c>
      <c r="K4" s="57">
        <f>IF(SUBSTITUTE(TEXT(ALLWCPTS[[#This Row],[AllowancePointCode]],10)," ","")=TEXT(ALLWCPTS[[#This Row],[AllowancePointCode]],10),0,1)</f>
        <v>0</v>
      </c>
      <c r="L4" s="57">
        <f ca="1">SUM(ALLWCPTS[[#This Row],[Allowance Type Issue]:[Space in Code]])</f>
        <v>0</v>
      </c>
      <c r="M4" s="12"/>
      <c r="N4" s="12" t="s">
        <v>1136</v>
      </c>
      <c r="O4" s="57" t="str">
        <f>_xlfn.XLOOKUP(ALLWCPTS[[#This Row],[AllowanceTypeCode]],ALLWCTYPE[AllowanceTypeCode],ALLWCTYPE[AllowanceTypeTitle])</f>
        <v>Teaching and Learning Responsibilities</v>
      </c>
      <c r="P4" s="12" t="s">
        <v>1362</v>
      </c>
      <c r="Q4" s="12" t="s">
        <v>1362</v>
      </c>
      <c r="R4" t="b">
        <v>1</v>
      </c>
      <c r="S4" s="12"/>
      <c r="T4" s="20">
        <v>45901</v>
      </c>
      <c r="U4" s="13"/>
      <c r="V4" s="12">
        <v>13497</v>
      </c>
      <c r="W4" t="b">
        <v>1</v>
      </c>
    </row>
    <row r="5" spans="1:32" x14ac:dyDescent="0.3">
      <c r="A5" s="57">
        <f>IF(COUNTIF(ALLWCTYPE[AllowanceTypeCode],ALLWCPTS[[#This Row],[AllowanceTypeCode]])&gt;0,0,1)</f>
        <v>0</v>
      </c>
      <c r="B5" s="57">
        <f>COUNTIF(ALLWCPTS[AllowancePointCode],ALLWCPTS[[#This Row],[AllowancePointCode]])-1</f>
        <v>0</v>
      </c>
      <c r="C5" s="57">
        <f>IF(ALLWCPTS[[#This Row],[AvailableToAllSchools]]=FALSE,IF(ISBLANK(ALLWCPTS[[#This Row],[SchoolCodes]]),1,0),IF(ALLWCPTS[[#This Row],[AvailableToAllSchools]]=TRUE,IF(ISBLANK(ALLWCPTS[[#This Row],[SchoolCodes]]),0,1)))</f>
        <v>0</v>
      </c>
      <c r="D5" s="57">
        <f>IF(ISBLANK(ALLWCPTS[[#This Row],[RateDateTo]]),0,IF(ALLWCPTS[[#This Row],[RateDateFrom]]&lt;ALLWCPTS[[#This Row],[RateDateTo]],0,1))</f>
        <v>0</v>
      </c>
      <c r="E5" s="57" cm="1">
        <f t="array" aca="1" ref="E5" ca="1">IF(CELL("format",ALLWCPTS[[#This Row],[RateDateFrom]])="D1",0,1)+IF(CELL("format",ALLWCPTS[[#This Row],[RateDateTo]])="D1",0,1)</f>
        <v>0</v>
      </c>
      <c r="F5" s="57" cm="1">
        <f t="array" ref="F5">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5" s="57">
        <f>IF(OR(ALLWCPTS[[#This Row],[AllowancePointEnabled]]=TRUE,ALLWCPTS[[#This Row],[AllowancePointEnabled]]=FALSE),IF(OR(ALLWCPTS[[#This Row],[AvailableToAllSchools]]=TRUE,ALLWCPTS[[#This Row],[AvailableToAllSchools]]=FALSE),0,1),1)</f>
        <v>0</v>
      </c>
      <c r="H5" s="57">
        <f>IF(LEN(ALLWCPTS[[#This Row],[AllowancePointCode]])&lt;100,0,1)</f>
        <v>0</v>
      </c>
      <c r="I5" s="57">
        <f>IF(LEN(ALLWCPTS[[#This Row],[AllowancePointTitle]])&lt;100,0,1)</f>
        <v>0</v>
      </c>
      <c r="J5" s="57">
        <f>COUNTBLANK(ALLWCPTS[[#This Row],[AllowanceTypeCode]:[AvailableToAllSchools]])+COUNTBLANK(ALLWCPTS[[#This Row],[AnnualRate]]:ALLWCPTS[[#This Row],[AllowancePointEnabled]])</f>
        <v>0</v>
      </c>
      <c r="K5" s="57">
        <f>IF(SUBSTITUTE(TEXT(ALLWCPTS[[#This Row],[AllowancePointCode]],10)," ","")=TEXT(ALLWCPTS[[#This Row],[AllowancePointCode]],10),0,1)</f>
        <v>0</v>
      </c>
      <c r="L5" s="57">
        <f ca="1">SUM(ALLWCPTS[[#This Row],[Allowance Type Issue]:[Space in Code]])</f>
        <v>0</v>
      </c>
      <c r="M5" s="12"/>
      <c r="N5" s="12" t="s">
        <v>1136</v>
      </c>
      <c r="O5" s="150" t="str">
        <f>_xlfn.XLOOKUP(ALLWCPTS[[#This Row],[AllowanceTypeCode]],ALLWCTYPE[AllowanceTypeCode],ALLWCTYPE[AllowanceTypeTitle])</f>
        <v>Teaching and Learning Responsibilities</v>
      </c>
      <c r="P5" s="12" t="s">
        <v>3076</v>
      </c>
      <c r="Q5" s="12" t="s">
        <v>3076</v>
      </c>
      <c r="R5" t="b">
        <v>1</v>
      </c>
      <c r="S5" s="12"/>
      <c r="T5" s="20">
        <v>45901</v>
      </c>
      <c r="U5" s="13"/>
      <c r="V5" s="12">
        <v>14722</v>
      </c>
      <c r="W5" t="b">
        <v>1</v>
      </c>
    </row>
    <row r="6" spans="1:32" x14ac:dyDescent="0.3">
      <c r="A6" s="57">
        <f>IF(COUNTIF(ALLWCTYPE[AllowanceTypeCode],ALLWCPTS[[#This Row],[AllowanceTypeCode]])&gt;0,0,1)</f>
        <v>0</v>
      </c>
      <c r="B6" s="57">
        <f>COUNTIF(ALLWCPTS[AllowancePointCode],ALLWCPTS[[#This Row],[AllowancePointCode]])-1</f>
        <v>0</v>
      </c>
      <c r="C6" s="57">
        <f>IF(ALLWCPTS[[#This Row],[AvailableToAllSchools]]=FALSE,IF(ISBLANK(ALLWCPTS[[#This Row],[SchoolCodes]]),1,0),IF(ALLWCPTS[[#This Row],[AvailableToAllSchools]]=TRUE,IF(ISBLANK(ALLWCPTS[[#This Row],[SchoolCodes]]),0,1)))</f>
        <v>0</v>
      </c>
      <c r="D6" s="57">
        <f>IF(ISBLANK(ALLWCPTS[[#This Row],[RateDateTo]]),0,IF(ALLWCPTS[[#This Row],[RateDateFrom]]&lt;ALLWCPTS[[#This Row],[RateDateTo]],0,1))</f>
        <v>0</v>
      </c>
      <c r="E6" s="57" cm="1">
        <f t="array" aca="1" ref="E6" ca="1">IF(CELL("format",ALLWCPTS[[#This Row],[RateDateFrom]])="D1",0,1)+IF(CELL("format",ALLWCPTS[[#This Row],[RateDateTo]])="D1",0,1)</f>
        <v>0</v>
      </c>
      <c r="F6" s="57" cm="1">
        <f t="array" ref="F6">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6" s="57">
        <f>IF(OR(ALLWCPTS[[#This Row],[AllowancePointEnabled]]=TRUE,ALLWCPTS[[#This Row],[AllowancePointEnabled]]=FALSE),IF(OR(ALLWCPTS[[#This Row],[AvailableToAllSchools]]=TRUE,ALLWCPTS[[#This Row],[AvailableToAllSchools]]=FALSE),0,1),1)</f>
        <v>0</v>
      </c>
      <c r="H6" s="57">
        <f>IF(LEN(ALLWCPTS[[#This Row],[AllowancePointCode]])&lt;100,0,1)</f>
        <v>0</v>
      </c>
      <c r="I6" s="57">
        <f>IF(LEN(ALLWCPTS[[#This Row],[AllowancePointTitle]])&lt;100,0,1)</f>
        <v>0</v>
      </c>
      <c r="J6" s="57">
        <f>COUNTBLANK(ALLWCPTS[[#This Row],[AllowanceTypeCode]:[AvailableToAllSchools]])+COUNTBLANK(ALLWCPTS[[#This Row],[AnnualRate]]:ALLWCPTS[[#This Row],[AllowancePointEnabled]])</f>
        <v>0</v>
      </c>
      <c r="K6" s="57">
        <f>IF(SUBSTITUTE(TEXT(ALLWCPTS[[#This Row],[AllowancePointCode]],10)," ","")=TEXT(ALLWCPTS[[#This Row],[AllowancePointCode]],10),0,1)</f>
        <v>0</v>
      </c>
      <c r="L6" s="57">
        <f ca="1">SUM(ALLWCPTS[[#This Row],[Allowance Type Issue]:[Space in Code]])</f>
        <v>0</v>
      </c>
      <c r="M6" s="12"/>
      <c r="N6" s="12" t="s">
        <v>1136</v>
      </c>
      <c r="O6" s="57" t="str">
        <f>_xlfn.XLOOKUP(ALLWCPTS[[#This Row],[AllowanceTypeCode]],ALLWCTYPE[AllowanceTypeCode],ALLWCTYPE[AllowanceTypeTitle])</f>
        <v>Teaching and Learning Responsibilities</v>
      </c>
      <c r="P6" s="12" t="s">
        <v>1363</v>
      </c>
      <c r="Q6" s="12" t="s">
        <v>1363</v>
      </c>
      <c r="R6" t="b">
        <v>1</v>
      </c>
      <c r="S6" s="12"/>
      <c r="T6" s="20">
        <v>45901</v>
      </c>
      <c r="U6" s="13"/>
      <c r="V6" s="12">
        <v>3527</v>
      </c>
      <c r="W6" t="b">
        <v>1</v>
      </c>
    </row>
    <row r="7" spans="1:32" x14ac:dyDescent="0.3">
      <c r="A7" s="57">
        <f>IF(COUNTIF(ALLWCTYPE[AllowanceTypeCode],ALLWCPTS[[#This Row],[AllowanceTypeCode]])&gt;0,0,1)</f>
        <v>0</v>
      </c>
      <c r="B7" s="57">
        <f>COUNTIF(ALLWCPTS[AllowancePointCode],ALLWCPTS[[#This Row],[AllowancePointCode]])-1</f>
        <v>0</v>
      </c>
      <c r="C7" s="57">
        <f>IF(ALLWCPTS[[#This Row],[AvailableToAllSchools]]=FALSE,IF(ISBLANK(ALLWCPTS[[#This Row],[SchoolCodes]]),1,0),IF(ALLWCPTS[[#This Row],[AvailableToAllSchools]]=TRUE,IF(ISBLANK(ALLWCPTS[[#This Row],[SchoolCodes]]),0,1)))</f>
        <v>0</v>
      </c>
      <c r="D7" s="57">
        <f>IF(ISBLANK(ALLWCPTS[[#This Row],[RateDateTo]]),0,IF(ALLWCPTS[[#This Row],[RateDateFrom]]&lt;ALLWCPTS[[#This Row],[RateDateTo]],0,1))</f>
        <v>0</v>
      </c>
      <c r="E7" s="57" cm="1">
        <f t="array" aca="1" ref="E7" ca="1">IF(CELL("format",ALLWCPTS[[#This Row],[RateDateFrom]])="D1",0,1)+IF(CELL("format",ALLWCPTS[[#This Row],[RateDateTo]])="D1",0,1)</f>
        <v>0</v>
      </c>
      <c r="F7" s="57" cm="1">
        <f t="array" ref="F7">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7" s="57">
        <f>IF(OR(ALLWCPTS[[#This Row],[AllowancePointEnabled]]=TRUE,ALLWCPTS[[#This Row],[AllowancePointEnabled]]=FALSE),IF(OR(ALLWCPTS[[#This Row],[AvailableToAllSchools]]=TRUE,ALLWCPTS[[#This Row],[AvailableToAllSchools]]=FALSE),0,1),1)</f>
        <v>0</v>
      </c>
      <c r="H7" s="57">
        <f>IF(LEN(ALLWCPTS[[#This Row],[AllowancePointCode]])&lt;100,0,1)</f>
        <v>0</v>
      </c>
      <c r="I7" s="57">
        <f>IF(LEN(ALLWCPTS[[#This Row],[AllowancePointTitle]])&lt;100,0,1)</f>
        <v>0</v>
      </c>
      <c r="J7" s="57">
        <f>COUNTBLANK(ALLWCPTS[[#This Row],[AllowanceTypeCode]:[AvailableToAllSchools]])+COUNTBLANK(ALLWCPTS[[#This Row],[AnnualRate]]:ALLWCPTS[[#This Row],[AllowancePointEnabled]])</f>
        <v>0</v>
      </c>
      <c r="K7" s="57">
        <f>IF(SUBSTITUTE(TEXT(ALLWCPTS[[#This Row],[AllowancePointCode]],10)," ","")=TEXT(ALLWCPTS[[#This Row],[AllowancePointCode]],10),0,1)</f>
        <v>0</v>
      </c>
      <c r="L7" s="57">
        <f ca="1">SUM(ALLWCPTS[[#This Row],[Allowance Type Issue]:[Space in Code]])</f>
        <v>0</v>
      </c>
      <c r="M7" s="12"/>
      <c r="N7" s="12" t="s">
        <v>1136</v>
      </c>
      <c r="O7" s="57" t="str">
        <f>_xlfn.XLOOKUP(ALLWCPTS[[#This Row],[AllowanceTypeCode]],ALLWCTYPE[AllowanceTypeCode],ALLWCTYPE[AllowanceTypeTitle])</f>
        <v>Teaching and Learning Responsibilities</v>
      </c>
      <c r="P7" s="12" t="s">
        <v>1364</v>
      </c>
      <c r="Q7" s="12" t="s">
        <v>1364</v>
      </c>
      <c r="R7" t="b">
        <v>1</v>
      </c>
      <c r="S7" s="12"/>
      <c r="T7" s="20">
        <v>45901</v>
      </c>
      <c r="U7" s="13"/>
      <c r="V7" s="12">
        <v>5806</v>
      </c>
      <c r="W7" t="b">
        <v>1</v>
      </c>
    </row>
    <row r="8" spans="1:32" x14ac:dyDescent="0.3">
      <c r="A8" s="57">
        <f>IF(COUNTIF(ALLWCTYPE[AllowanceTypeCode],ALLWCPTS[[#This Row],[AllowanceTypeCode]])&gt;0,0,1)</f>
        <v>0</v>
      </c>
      <c r="B8" s="57">
        <f>COUNTIF(ALLWCPTS[AllowancePointCode],ALLWCPTS[[#This Row],[AllowancePointCode]])-1</f>
        <v>0</v>
      </c>
      <c r="C8" s="57">
        <f>IF(ALLWCPTS[[#This Row],[AvailableToAllSchools]]=FALSE,IF(ISBLANK(ALLWCPTS[[#This Row],[SchoolCodes]]),1,0),IF(ALLWCPTS[[#This Row],[AvailableToAllSchools]]=TRUE,IF(ISBLANK(ALLWCPTS[[#This Row],[SchoolCodes]]),0,1)))</f>
        <v>0</v>
      </c>
      <c r="D8" s="57">
        <f>IF(ISBLANK(ALLWCPTS[[#This Row],[RateDateTo]]),0,IF(ALLWCPTS[[#This Row],[RateDateFrom]]&lt;ALLWCPTS[[#This Row],[RateDateTo]],0,1))</f>
        <v>0</v>
      </c>
      <c r="E8" s="57" cm="1">
        <f t="array" aca="1" ref="E8" ca="1">IF(CELL("format",ALLWCPTS[[#This Row],[RateDateFrom]])="D1",0,1)+IF(CELL("format",ALLWCPTS[[#This Row],[RateDateTo]])="D1",0,1)</f>
        <v>0</v>
      </c>
      <c r="F8" s="57" cm="1">
        <f t="array" ref="F8">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8" s="57">
        <f>IF(OR(ALLWCPTS[[#This Row],[AllowancePointEnabled]]=TRUE,ALLWCPTS[[#This Row],[AllowancePointEnabled]]=FALSE),IF(OR(ALLWCPTS[[#This Row],[AvailableToAllSchools]]=TRUE,ALLWCPTS[[#This Row],[AvailableToAllSchools]]=FALSE),0,1),1)</f>
        <v>0</v>
      </c>
      <c r="H8" s="57">
        <f>IF(LEN(ALLWCPTS[[#This Row],[AllowancePointCode]])&lt;100,0,1)</f>
        <v>0</v>
      </c>
      <c r="I8" s="57">
        <f>IF(LEN(ALLWCPTS[[#This Row],[AllowancePointTitle]])&lt;100,0,1)</f>
        <v>0</v>
      </c>
      <c r="J8" s="57">
        <f>COUNTBLANK(ALLWCPTS[[#This Row],[AllowanceTypeCode]:[AvailableToAllSchools]])+COUNTBLANK(ALLWCPTS[[#This Row],[AnnualRate]]:ALLWCPTS[[#This Row],[AllowancePointEnabled]])</f>
        <v>0</v>
      </c>
      <c r="K8" s="57">
        <f>IF(SUBSTITUTE(TEXT(ALLWCPTS[[#This Row],[AllowancePointCode]],10)," ","")=TEXT(ALLWCPTS[[#This Row],[AllowancePointCode]],10),0,1)</f>
        <v>0</v>
      </c>
      <c r="L8" s="57">
        <f ca="1">SUM(ALLWCPTS[[#This Row],[Allowance Type Issue]:[Space in Code]])</f>
        <v>0</v>
      </c>
      <c r="M8" s="12"/>
      <c r="N8" s="12" t="s">
        <v>1136</v>
      </c>
      <c r="O8" s="57" t="str">
        <f>_xlfn.XLOOKUP(ALLWCPTS[[#This Row],[AllowanceTypeCode]],ALLWCTYPE[AllowanceTypeCode],ALLWCTYPE[AllowanceTypeTitle])</f>
        <v>Teaching and Learning Responsibilities</v>
      </c>
      <c r="P8" s="12" t="s">
        <v>1365</v>
      </c>
      <c r="Q8" s="12" t="s">
        <v>1365</v>
      </c>
      <c r="R8" t="b">
        <v>1</v>
      </c>
      <c r="S8" s="12"/>
      <c r="T8" s="20">
        <v>45901</v>
      </c>
      <c r="U8" s="13"/>
      <c r="V8" s="12">
        <v>8610</v>
      </c>
      <c r="W8" t="b">
        <v>1</v>
      </c>
    </row>
    <row r="9" spans="1:32" x14ac:dyDescent="0.3">
      <c r="A9" s="57">
        <f>IF(COUNTIF(ALLWCTYPE[AllowanceTypeCode],ALLWCPTS[[#This Row],[AllowanceTypeCode]])&gt;0,0,1)</f>
        <v>0</v>
      </c>
      <c r="B9" s="57">
        <f>COUNTIF(ALLWCPTS[AllowancePointCode],ALLWCPTS[[#This Row],[AllowancePointCode]])-1</f>
        <v>0</v>
      </c>
      <c r="C9" s="57">
        <f>IF(ALLWCPTS[[#This Row],[AvailableToAllSchools]]=FALSE,IF(ISBLANK(ALLWCPTS[[#This Row],[SchoolCodes]]),1,0),IF(ALLWCPTS[[#This Row],[AvailableToAllSchools]]=TRUE,IF(ISBLANK(ALLWCPTS[[#This Row],[SchoolCodes]]),0,1)))</f>
        <v>0</v>
      </c>
      <c r="D9" s="57">
        <f>IF(ISBLANK(ALLWCPTS[[#This Row],[RateDateTo]]),0,IF(ALLWCPTS[[#This Row],[RateDateFrom]]&lt;ALLWCPTS[[#This Row],[RateDateTo]],0,1))</f>
        <v>0</v>
      </c>
      <c r="E9" s="57" cm="1">
        <f t="array" aca="1" ref="E9" ca="1">IF(CELL("format",ALLWCPTS[[#This Row],[RateDateFrom]])="D1",0,1)+IF(CELL("format",ALLWCPTS[[#This Row],[RateDateTo]])="D1",0,1)</f>
        <v>0</v>
      </c>
      <c r="F9" s="57" cm="1">
        <f t="array" ref="F9">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9" s="57">
        <f>IF(OR(ALLWCPTS[[#This Row],[AllowancePointEnabled]]=TRUE,ALLWCPTS[[#This Row],[AllowancePointEnabled]]=FALSE),IF(OR(ALLWCPTS[[#This Row],[AvailableToAllSchools]]=TRUE,ALLWCPTS[[#This Row],[AvailableToAllSchools]]=FALSE),0,1),1)</f>
        <v>0</v>
      </c>
      <c r="H9" s="57">
        <f>IF(LEN(ALLWCPTS[[#This Row],[AllowancePointCode]])&lt;100,0,1)</f>
        <v>0</v>
      </c>
      <c r="I9" s="57">
        <f>IF(LEN(ALLWCPTS[[#This Row],[AllowancePointTitle]])&lt;100,0,1)</f>
        <v>0</v>
      </c>
      <c r="J9" s="57">
        <f>COUNTBLANK(ALLWCPTS[[#This Row],[AllowanceTypeCode]:[AvailableToAllSchools]])+COUNTBLANK(ALLWCPTS[[#This Row],[AnnualRate]]:ALLWCPTS[[#This Row],[AllowancePointEnabled]])</f>
        <v>0</v>
      </c>
      <c r="K9" s="57">
        <f>IF(SUBSTITUTE(TEXT(ALLWCPTS[[#This Row],[AllowancePointCode]],10)," ","")=TEXT(ALLWCPTS[[#This Row],[AllowancePointCode]],10),0,1)</f>
        <v>0</v>
      </c>
      <c r="L9" s="57">
        <f ca="1">SUM(ALLWCPTS[[#This Row],[Allowance Type Issue]:[Space in Code]])</f>
        <v>0</v>
      </c>
      <c r="M9" s="12"/>
      <c r="N9" s="12" t="s">
        <v>1136</v>
      </c>
      <c r="O9" s="57" t="str">
        <f>_xlfn.XLOOKUP(ALLWCPTS[[#This Row],[AllowanceTypeCode]],ALLWCTYPE[AllowanceTypeCode],ALLWCTYPE[AllowanceTypeTitle])</f>
        <v>Teaching and Learning Responsibilities</v>
      </c>
      <c r="P9" s="12" t="s">
        <v>3077</v>
      </c>
      <c r="Q9" s="12" t="s">
        <v>3077</v>
      </c>
      <c r="R9" t="b">
        <v>1</v>
      </c>
      <c r="S9" s="12"/>
      <c r="T9" s="20">
        <v>45901</v>
      </c>
      <c r="U9" s="13"/>
      <c r="V9" s="12">
        <v>702</v>
      </c>
      <c r="W9" t="b">
        <v>1</v>
      </c>
    </row>
    <row r="10" spans="1:32" x14ac:dyDescent="0.3">
      <c r="A10" s="57">
        <f>IF(COUNTIF(ALLWCTYPE[AllowanceTypeCode],ALLWCPTS[[#This Row],[AllowanceTypeCode]])&gt;0,0,1)</f>
        <v>0</v>
      </c>
      <c r="B10" s="57">
        <f>COUNTIF(ALLWCPTS[AllowancePointCode],ALLWCPTS[[#This Row],[AllowancePointCode]])-1</f>
        <v>0</v>
      </c>
      <c r="C10" s="57">
        <f>IF(ALLWCPTS[[#This Row],[AvailableToAllSchools]]=FALSE,IF(ISBLANK(ALLWCPTS[[#This Row],[SchoolCodes]]),1,0),IF(ALLWCPTS[[#This Row],[AvailableToAllSchools]]=TRUE,IF(ISBLANK(ALLWCPTS[[#This Row],[SchoolCodes]]),0,1)))</f>
        <v>0</v>
      </c>
      <c r="D10" s="57">
        <f>IF(ISBLANK(ALLWCPTS[[#This Row],[RateDateTo]]),0,IF(ALLWCPTS[[#This Row],[RateDateFrom]]&lt;ALLWCPTS[[#This Row],[RateDateTo]],0,1))</f>
        <v>0</v>
      </c>
      <c r="E10" s="57" cm="1">
        <f t="array" aca="1" ref="E10" ca="1">IF(CELL("format",ALLWCPTS[[#This Row],[RateDateFrom]])="D1",0,1)+IF(CELL("format",ALLWCPTS[[#This Row],[RateDateTo]])="D1",0,1)</f>
        <v>0</v>
      </c>
      <c r="F10" s="57" cm="1">
        <f t="array" ref="F10">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10" s="57">
        <f>IF(OR(ALLWCPTS[[#This Row],[AllowancePointEnabled]]=TRUE,ALLWCPTS[[#This Row],[AllowancePointEnabled]]=FALSE),IF(OR(ALLWCPTS[[#This Row],[AvailableToAllSchools]]=TRUE,ALLWCPTS[[#This Row],[AvailableToAllSchools]]=FALSE),0,1),1)</f>
        <v>0</v>
      </c>
      <c r="H10" s="57">
        <f>IF(LEN(ALLWCPTS[[#This Row],[AllowancePointCode]])&lt;100,0,1)</f>
        <v>0</v>
      </c>
      <c r="I10" s="57">
        <f>IF(LEN(ALLWCPTS[[#This Row],[AllowancePointTitle]])&lt;100,0,1)</f>
        <v>0</v>
      </c>
      <c r="J10" s="57">
        <f>COUNTBLANK(ALLWCPTS[[#This Row],[AllowanceTypeCode]:[AvailableToAllSchools]])+COUNTBLANK(ALLWCPTS[[#This Row],[AnnualRate]]:ALLWCPTS[[#This Row],[AllowancePointEnabled]])</f>
        <v>0</v>
      </c>
      <c r="K10" s="57">
        <f>IF(SUBSTITUTE(TEXT(ALLWCPTS[[#This Row],[AllowancePointCode]],10)," ","")=TEXT(ALLWCPTS[[#This Row],[AllowancePointCode]],10),0,1)</f>
        <v>0</v>
      </c>
      <c r="L10" s="57">
        <f ca="1">SUM(ALLWCPTS[[#This Row],[Allowance Type Issue]:[Space in Code]])</f>
        <v>0</v>
      </c>
      <c r="M10" s="12"/>
      <c r="N10" s="12" t="s">
        <v>1136</v>
      </c>
      <c r="O10" s="57" t="str">
        <f>_xlfn.XLOOKUP(ALLWCPTS[[#This Row],[AllowanceTypeCode]],ALLWCTYPE[AllowanceTypeCode],ALLWCTYPE[AllowanceTypeTitle])</f>
        <v>Teaching and Learning Responsibilities</v>
      </c>
      <c r="P10" s="12" t="s">
        <v>3078</v>
      </c>
      <c r="Q10" s="12" t="s">
        <v>3078</v>
      </c>
      <c r="R10" t="b">
        <v>1</v>
      </c>
      <c r="S10" s="12"/>
      <c r="T10" s="20">
        <v>45901</v>
      </c>
      <c r="U10" s="13"/>
      <c r="V10" s="12">
        <v>1001</v>
      </c>
      <c r="W10" t="b">
        <v>1</v>
      </c>
    </row>
    <row r="11" spans="1:32" x14ac:dyDescent="0.3">
      <c r="A11" s="57">
        <f>IF(COUNTIF(ALLWCTYPE[AllowanceTypeCode],ALLWCPTS[[#This Row],[AllowanceTypeCode]])&gt;0,0,1)</f>
        <v>0</v>
      </c>
      <c r="B11" s="57">
        <f>COUNTIF(ALLWCPTS[AllowancePointCode],ALLWCPTS[[#This Row],[AllowancePointCode]])-1</f>
        <v>0</v>
      </c>
      <c r="C11" s="57">
        <f>IF(ALLWCPTS[[#This Row],[AvailableToAllSchools]]=FALSE,IF(ISBLANK(ALLWCPTS[[#This Row],[SchoolCodes]]),1,0),IF(ALLWCPTS[[#This Row],[AvailableToAllSchools]]=TRUE,IF(ISBLANK(ALLWCPTS[[#This Row],[SchoolCodes]]),0,1)))</f>
        <v>0</v>
      </c>
      <c r="D11" s="57">
        <f>IF(ISBLANK(ALLWCPTS[[#This Row],[RateDateTo]]),0,IF(ALLWCPTS[[#This Row],[RateDateFrom]]&lt;ALLWCPTS[[#This Row],[RateDateTo]],0,1))</f>
        <v>0</v>
      </c>
      <c r="E11" s="57" cm="1">
        <f t="array" aca="1" ref="E11" ca="1">IF(CELL("format",ALLWCPTS[[#This Row],[RateDateFrom]])="D1",0,1)+IF(CELL("format",ALLWCPTS[[#This Row],[RateDateTo]])="D1",0,1)</f>
        <v>0</v>
      </c>
      <c r="F11" s="57" cm="1">
        <f t="array" ref="F11">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11" s="57">
        <f>IF(OR(ALLWCPTS[[#This Row],[AllowancePointEnabled]]=TRUE,ALLWCPTS[[#This Row],[AllowancePointEnabled]]=FALSE),IF(OR(ALLWCPTS[[#This Row],[AvailableToAllSchools]]=TRUE,ALLWCPTS[[#This Row],[AvailableToAllSchools]]=FALSE),0,1),1)</f>
        <v>0</v>
      </c>
      <c r="H11" s="57">
        <f>IF(LEN(ALLWCPTS[[#This Row],[AllowancePointCode]])&lt;100,0,1)</f>
        <v>0</v>
      </c>
      <c r="I11" s="57">
        <f>IF(LEN(ALLWCPTS[[#This Row],[AllowancePointTitle]])&lt;100,0,1)</f>
        <v>0</v>
      </c>
      <c r="J11" s="57">
        <f>COUNTBLANK(ALLWCPTS[[#This Row],[AllowanceTypeCode]:[AvailableToAllSchools]])+COUNTBLANK(ALLWCPTS[[#This Row],[AnnualRate]]:ALLWCPTS[[#This Row],[AllowancePointEnabled]])</f>
        <v>0</v>
      </c>
      <c r="K11" s="57">
        <f>IF(SUBSTITUTE(TEXT(ALLWCPTS[[#This Row],[AllowancePointCode]],10)," ","")=TEXT(ALLWCPTS[[#This Row],[AllowancePointCode]],10),0,1)</f>
        <v>0</v>
      </c>
      <c r="L11" s="57">
        <f ca="1">SUM(ALLWCPTS[[#This Row],[Allowance Type Issue]:[Space in Code]])</f>
        <v>0</v>
      </c>
      <c r="M11" s="12"/>
      <c r="N11" s="12" t="s">
        <v>1136</v>
      </c>
      <c r="O11" s="150" t="str">
        <f>_xlfn.XLOOKUP(ALLWCPTS[[#This Row],[AllowanceTypeCode]],ALLWCTYPE[AllowanceTypeCode],ALLWCTYPE[AllowanceTypeTitle])</f>
        <v>Teaching and Learning Responsibilities</v>
      </c>
      <c r="P11" s="12" t="s">
        <v>3079</v>
      </c>
      <c r="Q11" s="12" t="s">
        <v>3079</v>
      </c>
      <c r="R11" t="b">
        <v>1</v>
      </c>
      <c r="S11" s="12"/>
      <c r="T11" s="20">
        <v>45901</v>
      </c>
      <c r="U11" s="13"/>
      <c r="V11" s="12">
        <v>1762</v>
      </c>
      <c r="W11" t="b">
        <v>1</v>
      </c>
    </row>
    <row r="12" spans="1:32" x14ac:dyDescent="0.3">
      <c r="A12" s="57">
        <f>IF(COUNTIF(ALLWCTYPE[AllowanceTypeCode],ALLWCPTS[[#This Row],[AllowanceTypeCode]])&gt;0,0,1)</f>
        <v>0</v>
      </c>
      <c r="B12" s="57">
        <f>COUNTIF(ALLWCPTS[AllowancePointCode],ALLWCPTS[[#This Row],[AllowancePointCode]])-1</f>
        <v>0</v>
      </c>
      <c r="C12" s="57">
        <f>IF(ALLWCPTS[[#This Row],[AvailableToAllSchools]]=FALSE,IF(ISBLANK(ALLWCPTS[[#This Row],[SchoolCodes]]),1,0),IF(ALLWCPTS[[#This Row],[AvailableToAllSchools]]=TRUE,IF(ISBLANK(ALLWCPTS[[#This Row],[SchoolCodes]]),0,1)))</f>
        <v>0</v>
      </c>
      <c r="D12" s="57">
        <f>IF(ISBLANK(ALLWCPTS[[#This Row],[RateDateTo]]),0,IF(ALLWCPTS[[#This Row],[RateDateFrom]]&lt;ALLWCPTS[[#This Row],[RateDateTo]],0,1))</f>
        <v>0</v>
      </c>
      <c r="E12" s="57" cm="1">
        <f t="array" aca="1" ref="E12" ca="1">IF(CELL("format",ALLWCPTS[[#This Row],[RateDateFrom]])="D1",0,1)+IF(CELL("format",ALLWCPTS[[#This Row],[RateDateTo]])="D1",0,1)</f>
        <v>0</v>
      </c>
      <c r="F12" s="57" cm="1">
        <f t="array" ref="F12">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12" s="57">
        <f>IF(OR(ALLWCPTS[[#This Row],[AllowancePointEnabled]]=TRUE,ALLWCPTS[[#This Row],[AllowancePointEnabled]]=FALSE),IF(OR(ALLWCPTS[[#This Row],[AvailableToAllSchools]]=TRUE,ALLWCPTS[[#This Row],[AvailableToAllSchools]]=FALSE),0,1),1)</f>
        <v>0</v>
      </c>
      <c r="H12" s="57">
        <f>IF(LEN(ALLWCPTS[[#This Row],[AllowancePointCode]])&lt;100,0,1)</f>
        <v>0</v>
      </c>
      <c r="I12" s="57">
        <f>IF(LEN(ALLWCPTS[[#This Row],[AllowancePointTitle]])&lt;100,0,1)</f>
        <v>0</v>
      </c>
      <c r="J12" s="57">
        <f>COUNTBLANK(ALLWCPTS[[#This Row],[AllowanceTypeCode]:[AvailableToAllSchools]])+COUNTBLANK(ALLWCPTS[[#This Row],[AnnualRate]]:ALLWCPTS[[#This Row],[AllowancePointEnabled]])</f>
        <v>0</v>
      </c>
      <c r="K12" s="57">
        <f>IF(SUBSTITUTE(TEXT(ALLWCPTS[[#This Row],[AllowancePointCode]],10)," ","")=TEXT(ALLWCPTS[[#This Row],[AllowancePointCode]],10),0,1)</f>
        <v>0</v>
      </c>
      <c r="L12" s="57">
        <f ca="1">SUM(ALLWCPTS[[#This Row],[Allowance Type Issue]:[Space in Code]])</f>
        <v>0</v>
      </c>
      <c r="M12" s="12"/>
      <c r="N12" s="12" t="s">
        <v>1136</v>
      </c>
      <c r="O12" s="150" t="str">
        <f>_xlfn.XLOOKUP(ALLWCPTS[[#This Row],[AllowanceTypeCode]],ALLWCTYPE[AllowanceTypeCode],ALLWCTYPE[AllowanceTypeTitle])</f>
        <v>Teaching and Learning Responsibilities</v>
      </c>
      <c r="P12" s="12" t="s">
        <v>3080</v>
      </c>
      <c r="Q12" s="12" t="s">
        <v>3080</v>
      </c>
      <c r="R12" t="b">
        <v>1</v>
      </c>
      <c r="S12" s="12"/>
      <c r="T12" s="20">
        <v>45901</v>
      </c>
      <c r="U12" s="13"/>
      <c r="V12" s="12">
        <v>2023</v>
      </c>
      <c r="W12" t="b">
        <v>1</v>
      </c>
    </row>
    <row r="13" spans="1:32" x14ac:dyDescent="0.3">
      <c r="A13" s="57">
        <f>IF(COUNTIF(ALLWCTYPE[AllowanceTypeCode],ALLWCPTS[[#This Row],[AllowanceTypeCode]])&gt;0,0,1)</f>
        <v>0</v>
      </c>
      <c r="B13" s="57">
        <f>COUNTIF(ALLWCPTS[AllowancePointCode],ALLWCPTS[[#This Row],[AllowancePointCode]])-1</f>
        <v>0</v>
      </c>
      <c r="C13" s="57">
        <f>IF(ALLWCPTS[[#This Row],[AvailableToAllSchools]]=FALSE,IF(ISBLANK(ALLWCPTS[[#This Row],[SchoolCodes]]),1,0),IF(ALLWCPTS[[#This Row],[AvailableToAllSchools]]=TRUE,IF(ISBLANK(ALLWCPTS[[#This Row],[SchoolCodes]]),0,1)))</f>
        <v>0</v>
      </c>
      <c r="D13" s="57">
        <f>IF(ISBLANK(ALLWCPTS[[#This Row],[RateDateTo]]),0,IF(ALLWCPTS[[#This Row],[RateDateFrom]]&lt;ALLWCPTS[[#This Row],[RateDateTo]],0,1))</f>
        <v>0</v>
      </c>
      <c r="E13" s="57" cm="1">
        <f t="array" aca="1" ref="E13" ca="1">IF(CELL("format",ALLWCPTS[[#This Row],[RateDateFrom]])="D1",0,1)+IF(CELL("format",ALLWCPTS[[#This Row],[RateDateTo]])="D1",0,1)</f>
        <v>0</v>
      </c>
      <c r="F13" s="57" cm="1">
        <f t="array" ref="F13">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13" s="57">
        <f>IF(OR(ALLWCPTS[[#This Row],[AllowancePointEnabled]]=TRUE,ALLWCPTS[[#This Row],[AllowancePointEnabled]]=FALSE),IF(OR(ALLWCPTS[[#This Row],[AvailableToAllSchools]]=TRUE,ALLWCPTS[[#This Row],[AvailableToAllSchools]]=FALSE),0,1),1)</f>
        <v>0</v>
      </c>
      <c r="H13" s="57">
        <f>IF(LEN(ALLWCPTS[[#This Row],[AllowancePointCode]])&lt;100,0,1)</f>
        <v>0</v>
      </c>
      <c r="I13" s="57">
        <f>IF(LEN(ALLWCPTS[[#This Row],[AllowancePointTitle]])&lt;100,0,1)</f>
        <v>0</v>
      </c>
      <c r="J13" s="57">
        <f>COUNTBLANK(ALLWCPTS[[#This Row],[AllowanceTypeCode]:[AvailableToAllSchools]])+COUNTBLANK(ALLWCPTS[[#This Row],[AnnualRate]]:ALLWCPTS[[#This Row],[AllowancePointEnabled]])</f>
        <v>0</v>
      </c>
      <c r="K13" s="57">
        <f>IF(SUBSTITUTE(TEXT(ALLWCPTS[[#This Row],[AllowancePointCode]],10)," ","")=TEXT(ALLWCPTS[[#This Row],[AllowancePointCode]],10),0,1)</f>
        <v>0</v>
      </c>
      <c r="L13" s="57">
        <f ca="1">SUM(ALLWCPTS[[#This Row],[Allowance Type Issue]:[Space in Code]])</f>
        <v>0</v>
      </c>
      <c r="M13" s="12"/>
      <c r="N13" s="12" t="s">
        <v>1138</v>
      </c>
      <c r="O13" s="57" t="str">
        <f>_xlfn.XLOOKUP(ALLWCPTS[[#This Row],[AllowanceTypeCode]],ALLWCTYPE[AllowanceTypeCode],ALLWCTYPE[AllowanceTypeTitle])</f>
        <v>Special Educational Needs</v>
      </c>
      <c r="P13" s="12" t="s">
        <v>1324</v>
      </c>
      <c r="Q13" s="12" t="s">
        <v>1326</v>
      </c>
      <c r="R13" t="b">
        <v>1</v>
      </c>
      <c r="S13" s="12"/>
      <c r="T13" s="20">
        <v>45901</v>
      </c>
      <c r="U13" s="13"/>
      <c r="V13" s="12">
        <v>2787</v>
      </c>
      <c r="W13" t="b">
        <v>1</v>
      </c>
    </row>
    <row r="14" spans="1:32" x14ac:dyDescent="0.3">
      <c r="A14" s="57">
        <f>IF(COUNTIF(ALLWCTYPE[AllowanceTypeCode],ALLWCPTS[[#This Row],[AllowanceTypeCode]])&gt;0,0,1)</f>
        <v>0</v>
      </c>
      <c r="B14" s="57">
        <f>COUNTIF(ALLWCPTS[AllowancePointCode],ALLWCPTS[[#This Row],[AllowancePointCode]])-1</f>
        <v>0</v>
      </c>
      <c r="C14" s="57">
        <f>IF(ALLWCPTS[[#This Row],[AvailableToAllSchools]]=FALSE,IF(ISBLANK(ALLWCPTS[[#This Row],[SchoolCodes]]),1,0),IF(ALLWCPTS[[#This Row],[AvailableToAllSchools]]=TRUE,IF(ISBLANK(ALLWCPTS[[#This Row],[SchoolCodes]]),0,1)))</f>
        <v>0</v>
      </c>
      <c r="D14" s="57">
        <f>IF(ISBLANK(ALLWCPTS[[#This Row],[RateDateTo]]),0,IF(ALLWCPTS[[#This Row],[RateDateFrom]]&lt;ALLWCPTS[[#This Row],[RateDateTo]],0,1))</f>
        <v>0</v>
      </c>
      <c r="E14" s="57" cm="1">
        <f t="array" aca="1" ref="E14" ca="1">IF(CELL("format",ALLWCPTS[[#This Row],[RateDateFrom]])="D1",0,1)+IF(CELL("format",ALLWCPTS[[#This Row],[RateDateTo]])="D1",0,1)</f>
        <v>0</v>
      </c>
      <c r="F14" s="57" cm="1">
        <f t="array" ref="F14">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14" s="57">
        <f>IF(OR(ALLWCPTS[[#This Row],[AllowancePointEnabled]]=TRUE,ALLWCPTS[[#This Row],[AllowancePointEnabled]]=FALSE),IF(OR(ALLWCPTS[[#This Row],[AvailableToAllSchools]]=TRUE,ALLWCPTS[[#This Row],[AvailableToAllSchools]]=FALSE),0,1),1)</f>
        <v>0</v>
      </c>
      <c r="H14" s="57">
        <f>IF(LEN(ALLWCPTS[[#This Row],[AllowancePointCode]])&lt;100,0,1)</f>
        <v>0</v>
      </c>
      <c r="I14" s="57">
        <f>IF(LEN(ALLWCPTS[[#This Row],[AllowancePointTitle]])&lt;100,0,1)</f>
        <v>0</v>
      </c>
      <c r="J14" s="57">
        <f>COUNTBLANK(ALLWCPTS[[#This Row],[AllowanceTypeCode]:[AvailableToAllSchools]])+COUNTBLANK(ALLWCPTS[[#This Row],[AnnualRate]]:ALLWCPTS[[#This Row],[AllowancePointEnabled]])</f>
        <v>0</v>
      </c>
      <c r="K14" s="57">
        <f>IF(SUBSTITUTE(TEXT(ALLWCPTS[[#This Row],[AllowancePointCode]],10)," ","")=TEXT(ALLWCPTS[[#This Row],[AllowancePointCode]],10),0,1)</f>
        <v>0</v>
      </c>
      <c r="L14" s="57">
        <f ca="1">SUM(ALLWCPTS[[#This Row],[Allowance Type Issue]:[Space in Code]])</f>
        <v>0</v>
      </c>
      <c r="M14" s="12"/>
      <c r="N14" s="12" t="s">
        <v>1138</v>
      </c>
      <c r="O14" s="57" t="str">
        <f>_xlfn.XLOOKUP(ALLWCPTS[[#This Row],[AllowanceTypeCode]],ALLWCTYPE[AllowanceTypeCode],ALLWCTYPE[AllowanceTypeTitle])</f>
        <v>Special Educational Needs</v>
      </c>
      <c r="P14" s="12" t="s">
        <v>1325</v>
      </c>
      <c r="Q14" s="12" t="s">
        <v>1327</v>
      </c>
      <c r="R14" t="b">
        <v>1</v>
      </c>
      <c r="S14" s="12"/>
      <c r="T14" s="20">
        <v>45901</v>
      </c>
      <c r="U14" s="13"/>
      <c r="V14" s="12">
        <v>5497</v>
      </c>
      <c r="W14" t="b">
        <v>1</v>
      </c>
    </row>
  </sheetData>
  <phoneticPr fontId="2" type="noConversion"/>
  <conditionalFormatting sqref="V2:V14">
    <cfRule type="duplicateValues" dxfId="8" priority="31"/>
    <cfRule type="duplicateValues" dxfId="7" priority="32"/>
    <cfRule type="duplicateValues" dxfId="6" priority="33"/>
  </conditionalFormatting>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8A88EDA-D406-4C1A-809B-358F0E2BC617}">
          <x14:formula1>
            <xm:f>Validation!$G$2:$G$3</xm:f>
          </x14:formula1>
          <xm:sqref>W2:W14</xm:sqref>
        </x14:dataValidation>
      </x14:dataValidation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8F249-0B3A-43CD-B88E-4EE3C2FDB167}">
  <sheetPr codeName="Sheet21">
    <tabColor theme="9" tint="0.39997558519241921"/>
  </sheetPr>
  <dimension ref="A1:H3"/>
  <sheetViews>
    <sheetView zoomScale="90" zoomScaleNormal="90" workbookViewId="0">
      <pane ySplit="1" topLeftCell="A2" activePane="bottomLeft" state="frozen"/>
      <selection activeCell="D2" sqref="D2"/>
      <selection pane="bottomLeft" activeCell="H16" sqref="H16"/>
    </sheetView>
  </sheetViews>
  <sheetFormatPr defaultColWidth="9.33203125" defaultRowHeight="14.4" outlineLevelCol="1" x14ac:dyDescent="0.3"/>
  <cols>
    <col min="1" max="2" width="9.88671875" hidden="1" customWidth="1" outlineLevel="1"/>
    <col min="3" max="3" width="10" hidden="1" customWidth="1" outlineLevel="1"/>
    <col min="4" max="4" width="9.33203125" customWidth="1" collapsed="1"/>
    <col min="5" max="5" width="14.33203125" customWidth="1"/>
    <col min="6" max="6" width="13.6640625" customWidth="1"/>
    <col min="7" max="7" width="12.88671875" customWidth="1"/>
    <col min="8" max="8" width="17.88671875" customWidth="1"/>
  </cols>
  <sheetData>
    <row r="1" spans="1:8" s="28" customFormat="1" ht="43.2" x14ac:dyDescent="0.3">
      <c r="A1" s="65" t="s">
        <v>1643</v>
      </c>
      <c r="B1" s="53" t="s">
        <v>1639</v>
      </c>
      <c r="C1" s="53" t="s">
        <v>1661</v>
      </c>
      <c r="D1" s="59" t="s">
        <v>886</v>
      </c>
      <c r="E1" s="69" t="s">
        <v>1049</v>
      </c>
      <c r="F1" s="69" t="s">
        <v>1131</v>
      </c>
      <c r="G1" s="69" t="s">
        <v>1118</v>
      </c>
      <c r="H1" s="69" t="s">
        <v>1053</v>
      </c>
    </row>
    <row r="2" spans="1:8" x14ac:dyDescent="0.3">
      <c r="A2" s="57">
        <f>IF(COUNTIF(ALLWCTYPE[AllowanceTypeCode],F2)&gt;0,0,1)</f>
        <v>0</v>
      </c>
      <c r="B2" s="57">
        <f>IF(LEN(AL_INCPERC[[#This Row],[AllowanceTypeCode]])&lt;100,0,1)</f>
        <v>0</v>
      </c>
      <c r="C2" s="57">
        <f>COUNTBLANK(AL_INCPERC[[#This Row],[AllowanceTypeCode]:[IncreasePercentage]])</f>
        <v>0</v>
      </c>
      <c r="D2" s="57">
        <f>SUM(AL_INCPERC[[#This Row],[Allowance Issue]:[Blank in column]])</f>
        <v>0</v>
      </c>
      <c r="F2" s="12" t="s">
        <v>1136</v>
      </c>
      <c r="G2" s="19" t="s">
        <v>1317</v>
      </c>
      <c r="H2" s="19">
        <v>2</v>
      </c>
    </row>
    <row r="3" spans="1:8" x14ac:dyDescent="0.3">
      <c r="A3" s="57">
        <f>IF(COUNTIF(ALLWCTYPE[AllowanceTypeCode],F3)&gt;0,0,1)</f>
        <v>0</v>
      </c>
      <c r="B3" s="57">
        <f>IF(LEN(AL_INCPERC[[#This Row],[AllowanceTypeCode]])&lt;100,0,1)</f>
        <v>0</v>
      </c>
      <c r="C3" s="57">
        <f>COUNTBLANK(AL_INCPERC[[#This Row],[AllowanceTypeCode]:[IncreasePercentage]])</f>
        <v>0</v>
      </c>
      <c r="D3" s="57">
        <f>SUM(AL_INCPERC[[#This Row],[Allowance Issue]:[Blank in column]])</f>
        <v>0</v>
      </c>
      <c r="F3" s="12" t="s">
        <v>1138</v>
      </c>
      <c r="G3" s="19" t="s">
        <v>1317</v>
      </c>
      <c r="H3" s="19">
        <v>2</v>
      </c>
    </row>
  </sheetData>
  <pageMargins left="0.7" right="0.7" top="0.75" bottom="0.75" header="0.3" footer="0.3"/>
  <legacyDrawing r:id="rId1"/>
  <tableParts count="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E1798-6526-48A5-96A6-D15ECE2423B3}">
  <sheetPr codeName="Sheet22">
    <tabColor theme="9" tint="0.39997558519241921"/>
  </sheetPr>
  <dimension ref="A1:R9"/>
  <sheetViews>
    <sheetView zoomScale="90" zoomScaleNormal="90" workbookViewId="0">
      <pane ySplit="1" topLeftCell="A2" activePane="bottomLeft" state="frozen"/>
      <selection activeCell="D2" sqref="D2"/>
      <selection pane="bottomLeft" activeCell="K20" sqref="K20"/>
    </sheetView>
  </sheetViews>
  <sheetFormatPr defaultColWidth="9.33203125" defaultRowHeight="14.4" outlineLevelCol="1" x14ac:dyDescent="0.3"/>
  <cols>
    <col min="1" max="7" width="9.6640625" hidden="1" customWidth="1" outlineLevel="1"/>
    <col min="8" max="8" width="9.44140625" customWidth="1" collapsed="1"/>
    <col min="9" max="9" width="13.33203125" customWidth="1"/>
    <col min="10" max="10" width="15.44140625" customWidth="1"/>
    <col min="11" max="11" width="27.6640625" style="21" customWidth="1"/>
    <col min="12" max="12" width="11.5546875" customWidth="1"/>
    <col min="13" max="13" width="10.6640625" customWidth="1"/>
    <col min="14" max="14" width="11" customWidth="1"/>
    <col min="15" max="15" width="13.88671875" bestFit="1" customWidth="1"/>
    <col min="16" max="16" width="15.109375" customWidth="1"/>
    <col min="17" max="17" width="11.5546875" bestFit="1" customWidth="1"/>
    <col min="18" max="18" width="14.88671875" customWidth="1"/>
  </cols>
  <sheetData>
    <row r="1" spans="1:18" s="25" customFormat="1" ht="43.2" x14ac:dyDescent="0.3">
      <c r="A1" s="53" t="s">
        <v>1631</v>
      </c>
      <c r="B1" s="53" t="s">
        <v>1699</v>
      </c>
      <c r="C1" s="53" t="s">
        <v>1659</v>
      </c>
      <c r="D1" s="53" t="s">
        <v>1661</v>
      </c>
      <c r="E1" s="53" t="s">
        <v>1639</v>
      </c>
      <c r="F1" s="53" t="s">
        <v>1638</v>
      </c>
      <c r="G1" s="122" t="s">
        <v>1660</v>
      </c>
      <c r="H1" s="113" t="s">
        <v>1047</v>
      </c>
      <c r="I1" s="25" t="s">
        <v>1049</v>
      </c>
      <c r="J1" s="25" t="s">
        <v>1195</v>
      </c>
      <c r="K1" s="25" t="s">
        <v>62</v>
      </c>
      <c r="L1" s="61" t="s">
        <v>1196</v>
      </c>
      <c r="M1" s="49" t="s">
        <v>1053</v>
      </c>
      <c r="N1" s="25" t="s">
        <v>904</v>
      </c>
      <c r="O1" s="25" t="s">
        <v>905</v>
      </c>
      <c r="P1" s="25" t="s">
        <v>1133</v>
      </c>
      <c r="Q1" s="25" t="s">
        <v>1134</v>
      </c>
      <c r="R1" s="50" t="s">
        <v>1197</v>
      </c>
    </row>
    <row r="2" spans="1:18" s="12" customFormat="1" x14ac:dyDescent="0.3">
      <c r="A2" s="57">
        <f>IF(ADJTYPE[[#This Row],[AvailableToAllSchools]]=FALSE,IF(ISBLANK(ADJTYPE[[#This Row],[SchoolCodes]]),1,0),IF(ADJTYPE[[#This Row],[AvailableToAllSchools]]=TRUE,IF(ISBLANK(ADJTYPE[[#This Row],[SchoolCodes]]),0,1)))</f>
        <v>0</v>
      </c>
      <c r="B2" s="57">
        <f>COUNTIF(ADJTYPE[AdjustmentTypeCode],ADJTYPE[[#This Row],[AdjustmentTypeCode]])-1</f>
        <v>0</v>
      </c>
      <c r="C2" s="57">
        <f>IF(OR(ADJTYPE[[#This Row],[ExcludePension]]=TRUE,ADJTYPE[[#This Row],[ExcludePension]]=FALSE),IF(OR(ADJTYPE[[#This Row],[AvailableToAllSchools]]=TRUE,ADJTYPE[[#This Row],[AvailableToAllSchools]]=FALSE),IF(OR(ADJTYPE[[#This Row],[ExcludeNI]]=TRUE,ADJTYPE[[#This Row],[ExcludeNI]]=FALSE),IF(OR(ADJTYPE[[#This Row],[AdjustmentTypeEnabled]]=TRUE,ADJTYPE[[#This Row],[AdjustmentTypeEnabled]]=FALSE),0,1),1),1),1)</f>
        <v>0</v>
      </c>
      <c r="D2" s="57">
        <f>COUNTBLANK(ADJTYPE[[#This Row],[AdjustmentTypeCode]:[AvailableToAllSchools]])+COUNTBLANK(ADJTYPE[[#This Row],[ExcludePension]]:ADJTYPE[[#This Row],[AdjustmentTypeEnabled]])</f>
        <v>0</v>
      </c>
      <c r="E2" s="57">
        <f>IF(LEN(ADJTYPE[[#This Row],[AdjustmentTypeCode]])&lt;100,0,1)</f>
        <v>0</v>
      </c>
      <c r="F2" s="57">
        <f>IF(LEN(ADJTYPE[[#This Row],[Title]])&lt;100,0,1)</f>
        <v>0</v>
      </c>
      <c r="G2" s="57">
        <f>IF(SUBSTITUTE(TEXT(ADJTYPE[[#This Row],[AdjustmentTypeCode]],10)," ","")=TEXT(ADJTYPE[[#This Row],[AdjustmentTypeCode]],10),0,1)</f>
        <v>0</v>
      </c>
      <c r="H2" s="57">
        <f>SUM(ADJTYPE[[#This Row],[Schools Check]:[Space in Code]])</f>
        <v>0</v>
      </c>
      <c r="J2" s="12" t="s">
        <v>1194</v>
      </c>
      <c r="K2" s="12" t="s">
        <v>881</v>
      </c>
      <c r="L2" s="51">
        <v>44440</v>
      </c>
      <c r="M2" s="12">
        <v>0</v>
      </c>
      <c r="N2" t="b">
        <v>1</v>
      </c>
      <c r="O2"/>
      <c r="P2" t="b">
        <v>0</v>
      </c>
      <c r="Q2" t="b">
        <v>0</v>
      </c>
      <c r="R2" t="b">
        <v>1</v>
      </c>
    </row>
    <row r="3" spans="1:18" x14ac:dyDescent="0.3">
      <c r="A3" s="57">
        <f>IF(ADJTYPE[[#This Row],[AvailableToAllSchools]]=FALSE,IF(ISBLANK(ADJTYPE[[#This Row],[SchoolCodes]]),1,0),IF(ADJTYPE[[#This Row],[AvailableToAllSchools]]=TRUE,IF(ISBLANK(ADJTYPE[[#This Row],[SchoolCodes]]),0,1)))</f>
        <v>0</v>
      </c>
      <c r="B3" s="57">
        <f>COUNTIF(ADJTYPE[AdjustmentTypeCode],ADJTYPE[[#This Row],[AdjustmentTypeCode]])-1</f>
        <v>0</v>
      </c>
      <c r="C3" s="57">
        <f>IF(OR(ADJTYPE[[#This Row],[ExcludePension]]=TRUE,ADJTYPE[[#This Row],[ExcludePension]]=FALSE),IF(OR(ADJTYPE[[#This Row],[AvailableToAllSchools]]=TRUE,ADJTYPE[[#This Row],[AvailableToAllSchools]]=FALSE),IF(OR(ADJTYPE[[#This Row],[ExcludeNI]]=TRUE,ADJTYPE[[#This Row],[ExcludeNI]]=FALSE),IF(OR(ADJTYPE[[#This Row],[AdjustmentTypeEnabled]]=TRUE,ADJTYPE[[#This Row],[AdjustmentTypeEnabled]]=FALSE),0,1),1),1),1)</f>
        <v>0</v>
      </c>
      <c r="D3" s="57">
        <f>COUNTBLANK(ADJTYPE[[#This Row],[AdjustmentTypeCode]:[AvailableToAllSchools]])+COUNTBLANK(ADJTYPE[[#This Row],[ExcludePension]]:ADJTYPE[[#This Row],[AdjustmentTypeEnabled]])</f>
        <v>0</v>
      </c>
      <c r="E3" s="57">
        <f>IF(LEN(ADJTYPE[[#This Row],[AdjustmentTypeCode]])&lt;100,0,1)</f>
        <v>0</v>
      </c>
      <c r="F3" s="57">
        <f>IF(LEN(ADJTYPE[[#This Row],[Title]])&lt;100,0,1)</f>
        <v>0</v>
      </c>
      <c r="G3" s="57">
        <f>IF(SUBSTITUTE(TEXT(ADJTYPE[[#This Row],[AdjustmentTypeCode]],10)," ","")=TEXT(ADJTYPE[[#This Row],[AdjustmentTypeCode]],10),0,1)</f>
        <v>0</v>
      </c>
      <c r="H3" s="57">
        <f>SUM(ADJTYPE[[#This Row],[Schools Check]:[Space in Code]])</f>
        <v>0</v>
      </c>
      <c r="I3" s="12"/>
      <c r="J3" s="12" t="s">
        <v>3148</v>
      </c>
      <c r="K3" s="20" t="s">
        <v>3147</v>
      </c>
      <c r="L3" s="51">
        <v>44440</v>
      </c>
      <c r="M3" s="12">
        <v>0</v>
      </c>
      <c r="N3" t="b">
        <v>1</v>
      </c>
      <c r="P3" t="b">
        <v>0</v>
      </c>
      <c r="Q3" t="b">
        <v>0</v>
      </c>
      <c r="R3" t="b">
        <v>1</v>
      </c>
    </row>
    <row r="4" spans="1:18" x14ac:dyDescent="0.3">
      <c r="A4" s="57">
        <f>IF(ADJTYPE[[#This Row],[AvailableToAllSchools]]=FALSE,IF(ISBLANK(ADJTYPE[[#This Row],[SchoolCodes]]),1,0),IF(ADJTYPE[[#This Row],[AvailableToAllSchools]]=TRUE,IF(ISBLANK(ADJTYPE[[#This Row],[SchoolCodes]]),0,1)))</f>
        <v>0</v>
      </c>
      <c r="B4" s="57">
        <f>COUNTIF(ADJTYPE[AdjustmentTypeCode],ADJTYPE[[#This Row],[AdjustmentTypeCode]])-1</f>
        <v>0</v>
      </c>
      <c r="C4" s="57">
        <f>IF(OR(ADJTYPE[[#This Row],[ExcludePension]]=TRUE,ADJTYPE[[#This Row],[ExcludePension]]=FALSE),IF(OR(ADJTYPE[[#This Row],[AvailableToAllSchools]]=TRUE,ADJTYPE[[#This Row],[AvailableToAllSchools]]=FALSE),IF(OR(ADJTYPE[[#This Row],[ExcludeNI]]=TRUE,ADJTYPE[[#This Row],[ExcludeNI]]=FALSE),IF(OR(ADJTYPE[[#This Row],[AdjustmentTypeEnabled]]=TRUE,ADJTYPE[[#This Row],[AdjustmentTypeEnabled]]=FALSE),0,1),1),1),1)</f>
        <v>0</v>
      </c>
      <c r="D4" s="57">
        <f>COUNTBLANK(ADJTYPE[[#This Row],[AdjustmentTypeCode]:[AvailableToAllSchools]])+COUNTBLANK(ADJTYPE[[#This Row],[ExcludePension]]:ADJTYPE[[#This Row],[AdjustmentTypeEnabled]])</f>
        <v>0</v>
      </c>
      <c r="E4" s="57">
        <f>IF(LEN(ADJTYPE[[#This Row],[AdjustmentTypeCode]])&lt;100,0,1)</f>
        <v>0</v>
      </c>
      <c r="F4" s="57">
        <f>IF(LEN(ADJTYPE[[#This Row],[Title]])&lt;100,0,1)</f>
        <v>0</v>
      </c>
      <c r="G4" s="57">
        <f>IF(SUBSTITUTE(TEXT(ADJTYPE[[#This Row],[AdjustmentTypeCode]],10)," ","")=TEXT(ADJTYPE[[#This Row],[AdjustmentTypeCode]],10),0,1)</f>
        <v>0</v>
      </c>
      <c r="H4" s="57">
        <f>SUM(ADJTYPE[[#This Row],[Schools Check]:[Space in Code]])</f>
        <v>0</v>
      </c>
      <c r="I4" s="12"/>
      <c r="J4" s="12" t="s">
        <v>3149</v>
      </c>
      <c r="K4" s="20" t="s">
        <v>3150</v>
      </c>
      <c r="L4" s="51">
        <v>44440</v>
      </c>
      <c r="M4" s="12">
        <v>0</v>
      </c>
      <c r="N4" t="b">
        <v>1</v>
      </c>
      <c r="P4" t="b">
        <v>0</v>
      </c>
      <c r="Q4" t="b">
        <v>0</v>
      </c>
      <c r="R4" t="b">
        <v>1</v>
      </c>
    </row>
    <row r="5" spans="1:18" x14ac:dyDescent="0.3">
      <c r="A5" s="57">
        <f>IF(ADJTYPE[[#This Row],[AvailableToAllSchools]]=FALSE,IF(ISBLANK(ADJTYPE[[#This Row],[SchoolCodes]]),1,0),IF(ADJTYPE[[#This Row],[AvailableToAllSchools]]=TRUE,IF(ISBLANK(ADJTYPE[[#This Row],[SchoolCodes]]),0,1)))</f>
        <v>0</v>
      </c>
      <c r="B5" s="57">
        <f>COUNTIF(ADJTYPE[AdjustmentTypeCode],ADJTYPE[[#This Row],[AdjustmentTypeCode]])-1</f>
        <v>0</v>
      </c>
      <c r="C5" s="57">
        <f>IF(OR(ADJTYPE[[#This Row],[ExcludePension]]=TRUE,ADJTYPE[[#This Row],[ExcludePension]]=FALSE),IF(OR(ADJTYPE[[#This Row],[AvailableToAllSchools]]=TRUE,ADJTYPE[[#This Row],[AvailableToAllSchools]]=FALSE),IF(OR(ADJTYPE[[#This Row],[ExcludeNI]]=TRUE,ADJTYPE[[#This Row],[ExcludeNI]]=FALSE),IF(OR(ADJTYPE[[#This Row],[AdjustmentTypeEnabled]]=TRUE,ADJTYPE[[#This Row],[AdjustmentTypeEnabled]]=FALSE),0,1),1),1),1)</f>
        <v>0</v>
      </c>
      <c r="D5" s="57">
        <f>COUNTBLANK(ADJTYPE[[#This Row],[AdjustmentTypeCode]:[AvailableToAllSchools]])+COUNTBLANK(ADJTYPE[[#This Row],[ExcludePension]]:ADJTYPE[[#This Row],[AdjustmentTypeEnabled]])</f>
        <v>0</v>
      </c>
      <c r="E5" s="57">
        <f>IF(LEN(ADJTYPE[[#This Row],[AdjustmentTypeCode]])&lt;100,0,1)</f>
        <v>0</v>
      </c>
      <c r="F5" s="57">
        <f>IF(LEN(ADJTYPE[[#This Row],[Title]])&lt;100,0,1)</f>
        <v>0</v>
      </c>
      <c r="G5" s="57">
        <f>IF(SUBSTITUTE(TEXT(ADJTYPE[[#This Row],[AdjustmentTypeCode]],10)," ","")=TEXT(ADJTYPE[[#This Row],[AdjustmentTypeCode]],10),0,1)</f>
        <v>0</v>
      </c>
      <c r="H5" s="57">
        <f>SUM(ADJTYPE[[#This Row],[Schools Check]:[Space in Code]])</f>
        <v>0</v>
      </c>
      <c r="I5" s="12"/>
      <c r="J5" s="12" t="s">
        <v>3151</v>
      </c>
      <c r="K5" s="20" t="s">
        <v>3152</v>
      </c>
      <c r="L5" s="51">
        <v>44440</v>
      </c>
      <c r="M5" s="12">
        <v>0</v>
      </c>
      <c r="N5" t="b">
        <v>1</v>
      </c>
      <c r="P5" t="b">
        <v>0</v>
      </c>
      <c r="Q5" t="b">
        <v>0</v>
      </c>
      <c r="R5" t="b">
        <v>1</v>
      </c>
    </row>
    <row r="6" spans="1:18" x14ac:dyDescent="0.3">
      <c r="A6" s="57">
        <f>IF(ADJTYPE[[#This Row],[AvailableToAllSchools]]=FALSE,IF(ISBLANK(ADJTYPE[[#This Row],[SchoolCodes]]),1,0),IF(ADJTYPE[[#This Row],[AvailableToAllSchools]]=TRUE,IF(ISBLANK(ADJTYPE[[#This Row],[SchoolCodes]]),0,1)))</f>
        <v>0</v>
      </c>
      <c r="B6" s="57">
        <f>COUNTIF(ADJTYPE[AdjustmentTypeCode],ADJTYPE[[#This Row],[AdjustmentTypeCode]])-1</f>
        <v>0</v>
      </c>
      <c r="C6" s="57">
        <f>IF(OR(ADJTYPE[[#This Row],[ExcludePension]]=TRUE,ADJTYPE[[#This Row],[ExcludePension]]=FALSE),IF(OR(ADJTYPE[[#This Row],[AvailableToAllSchools]]=TRUE,ADJTYPE[[#This Row],[AvailableToAllSchools]]=FALSE),IF(OR(ADJTYPE[[#This Row],[ExcludeNI]]=TRUE,ADJTYPE[[#This Row],[ExcludeNI]]=FALSE),IF(OR(ADJTYPE[[#This Row],[AdjustmentTypeEnabled]]=TRUE,ADJTYPE[[#This Row],[AdjustmentTypeEnabled]]=FALSE),0,1),1),1),1)</f>
        <v>0</v>
      </c>
      <c r="D6" s="57">
        <f>COUNTBLANK(ADJTYPE[[#This Row],[AdjustmentTypeCode]:[AvailableToAllSchools]])+COUNTBLANK(ADJTYPE[[#This Row],[ExcludePension]]:ADJTYPE[[#This Row],[AdjustmentTypeEnabled]])</f>
        <v>0</v>
      </c>
      <c r="E6" s="57">
        <f>IF(LEN(ADJTYPE[[#This Row],[AdjustmentTypeCode]])&lt;100,0,1)</f>
        <v>0</v>
      </c>
      <c r="F6" s="57">
        <f>IF(LEN(ADJTYPE[[#This Row],[Title]])&lt;100,0,1)</f>
        <v>0</v>
      </c>
      <c r="G6" s="57">
        <f>IF(SUBSTITUTE(TEXT(ADJTYPE[[#This Row],[AdjustmentTypeCode]],10)," ","")=TEXT(ADJTYPE[[#This Row],[AdjustmentTypeCode]],10),0,1)</f>
        <v>0</v>
      </c>
      <c r="H6" s="57">
        <f>SUM(ADJTYPE[[#This Row],[Schools Check]:[Space in Code]])</f>
        <v>0</v>
      </c>
      <c r="I6" s="12"/>
      <c r="J6" s="12" t="s">
        <v>3153</v>
      </c>
      <c r="K6" s="20" t="s">
        <v>3154</v>
      </c>
      <c r="L6" s="51">
        <v>44440</v>
      </c>
      <c r="M6" s="12">
        <v>0</v>
      </c>
      <c r="N6" t="b">
        <v>1</v>
      </c>
      <c r="P6" t="b">
        <v>0</v>
      </c>
      <c r="Q6" t="b">
        <v>0</v>
      </c>
      <c r="R6" t="b">
        <v>1</v>
      </c>
    </row>
    <row r="7" spans="1:18" x14ac:dyDescent="0.3">
      <c r="A7" s="57">
        <f>IF(ADJTYPE[[#This Row],[AvailableToAllSchools]]=FALSE,IF(ISBLANK(ADJTYPE[[#This Row],[SchoolCodes]]),1,0),IF(ADJTYPE[[#This Row],[AvailableToAllSchools]]=TRUE,IF(ISBLANK(ADJTYPE[[#This Row],[SchoolCodes]]),0,1)))</f>
        <v>0</v>
      </c>
      <c r="B7" s="57">
        <f>COUNTIF(ADJTYPE[AdjustmentTypeCode],ADJTYPE[[#This Row],[AdjustmentTypeCode]])-1</f>
        <v>0</v>
      </c>
      <c r="C7" s="57">
        <f>IF(OR(ADJTYPE[[#This Row],[ExcludePension]]=TRUE,ADJTYPE[[#This Row],[ExcludePension]]=FALSE),IF(OR(ADJTYPE[[#This Row],[AvailableToAllSchools]]=TRUE,ADJTYPE[[#This Row],[AvailableToAllSchools]]=FALSE),IF(OR(ADJTYPE[[#This Row],[ExcludeNI]]=TRUE,ADJTYPE[[#This Row],[ExcludeNI]]=FALSE),IF(OR(ADJTYPE[[#This Row],[AdjustmentTypeEnabled]]=TRUE,ADJTYPE[[#This Row],[AdjustmentTypeEnabled]]=FALSE),0,1),1),1),1)</f>
        <v>0</v>
      </c>
      <c r="D7" s="57">
        <f>COUNTBLANK(ADJTYPE[[#This Row],[AdjustmentTypeCode]:[AvailableToAllSchools]])+COUNTBLANK(ADJTYPE[[#This Row],[ExcludePension]]:ADJTYPE[[#This Row],[AdjustmentTypeEnabled]])</f>
        <v>0</v>
      </c>
      <c r="E7" s="57">
        <f>IF(LEN(ADJTYPE[[#This Row],[AdjustmentTypeCode]])&lt;100,0,1)</f>
        <v>0</v>
      </c>
      <c r="F7" s="57">
        <f>IF(LEN(ADJTYPE[[#This Row],[Title]])&lt;100,0,1)</f>
        <v>0</v>
      </c>
      <c r="G7" s="57">
        <f>IF(SUBSTITUTE(TEXT(ADJTYPE[[#This Row],[AdjustmentTypeCode]],10)," ","")=TEXT(ADJTYPE[[#This Row],[AdjustmentTypeCode]],10),0,1)</f>
        <v>0</v>
      </c>
      <c r="H7" s="57">
        <f>SUM(ADJTYPE[[#This Row],[Schools Check]:[Space in Code]])</f>
        <v>0</v>
      </c>
      <c r="I7" s="12"/>
      <c r="J7" s="12" t="s">
        <v>3156</v>
      </c>
      <c r="K7" s="20" t="s">
        <v>3155</v>
      </c>
      <c r="L7" s="51">
        <v>44440</v>
      </c>
      <c r="M7" s="12">
        <v>0</v>
      </c>
      <c r="N7" t="b">
        <v>1</v>
      </c>
      <c r="P7" t="b">
        <v>0</v>
      </c>
      <c r="Q7" t="b">
        <v>0</v>
      </c>
      <c r="R7" t="b">
        <v>1</v>
      </c>
    </row>
    <row r="8" spans="1:18" x14ac:dyDescent="0.3">
      <c r="A8" s="57">
        <f>IF(ADJTYPE[[#This Row],[AvailableToAllSchools]]=FALSE,IF(ISBLANK(ADJTYPE[[#This Row],[SchoolCodes]]),1,0),IF(ADJTYPE[[#This Row],[AvailableToAllSchools]]=TRUE,IF(ISBLANK(ADJTYPE[[#This Row],[SchoolCodes]]),0,1)))</f>
        <v>0</v>
      </c>
      <c r="B8" s="57">
        <f>COUNTIF(ADJTYPE[AdjustmentTypeCode],ADJTYPE[[#This Row],[AdjustmentTypeCode]])-1</f>
        <v>0</v>
      </c>
      <c r="C8" s="57">
        <f>IF(OR(ADJTYPE[[#This Row],[ExcludePension]]=TRUE,ADJTYPE[[#This Row],[ExcludePension]]=FALSE),IF(OR(ADJTYPE[[#This Row],[AvailableToAllSchools]]=TRUE,ADJTYPE[[#This Row],[AvailableToAllSchools]]=FALSE),IF(OR(ADJTYPE[[#This Row],[ExcludeNI]]=TRUE,ADJTYPE[[#This Row],[ExcludeNI]]=FALSE),IF(OR(ADJTYPE[[#This Row],[AdjustmentTypeEnabled]]=TRUE,ADJTYPE[[#This Row],[AdjustmentTypeEnabled]]=FALSE),0,1),1),1),1)</f>
        <v>0</v>
      </c>
      <c r="D8" s="57">
        <f>COUNTBLANK(ADJTYPE[[#This Row],[AdjustmentTypeCode]:[AvailableToAllSchools]])+COUNTBLANK(ADJTYPE[[#This Row],[ExcludePension]]:ADJTYPE[[#This Row],[AdjustmentTypeEnabled]])</f>
        <v>0</v>
      </c>
      <c r="E8" s="57">
        <f>IF(LEN(ADJTYPE[[#This Row],[AdjustmentTypeCode]])&lt;100,0,1)</f>
        <v>0</v>
      </c>
      <c r="F8" s="57">
        <f>IF(LEN(ADJTYPE[[#This Row],[Title]])&lt;100,0,1)</f>
        <v>0</v>
      </c>
      <c r="G8" s="57">
        <f>IF(SUBSTITUTE(TEXT(ADJTYPE[[#This Row],[AdjustmentTypeCode]],10)," ","")=TEXT(ADJTYPE[[#This Row],[AdjustmentTypeCode]],10),0,1)</f>
        <v>0</v>
      </c>
      <c r="H8" s="57">
        <f>SUM(ADJTYPE[[#This Row],[Schools Check]:[Space in Code]])</f>
        <v>0</v>
      </c>
      <c r="I8" s="12"/>
      <c r="J8" s="12" t="s">
        <v>3157</v>
      </c>
      <c r="K8" s="20" t="s">
        <v>3158</v>
      </c>
      <c r="L8" s="51">
        <v>44440</v>
      </c>
      <c r="M8" s="12">
        <v>0</v>
      </c>
      <c r="N8" t="b">
        <v>1</v>
      </c>
      <c r="P8" t="b">
        <v>0</v>
      </c>
      <c r="Q8" t="b">
        <v>0</v>
      </c>
      <c r="R8" t="b">
        <v>1</v>
      </c>
    </row>
    <row r="9" spans="1:18" x14ac:dyDescent="0.3">
      <c r="A9" s="57">
        <f>IF(ADJTYPE[[#This Row],[AvailableToAllSchools]]=FALSE,IF(ISBLANK(ADJTYPE[[#This Row],[SchoolCodes]]),1,0),IF(ADJTYPE[[#This Row],[AvailableToAllSchools]]=TRUE,IF(ISBLANK(ADJTYPE[[#This Row],[SchoolCodes]]),0,1)))</f>
        <v>0</v>
      </c>
      <c r="B9" s="57">
        <f>COUNTIF(ADJTYPE[AdjustmentTypeCode],ADJTYPE[[#This Row],[AdjustmentTypeCode]])-1</f>
        <v>0</v>
      </c>
      <c r="C9" s="57">
        <f>IF(OR(ADJTYPE[[#This Row],[ExcludePension]]=TRUE,ADJTYPE[[#This Row],[ExcludePension]]=FALSE),IF(OR(ADJTYPE[[#This Row],[AvailableToAllSchools]]=TRUE,ADJTYPE[[#This Row],[AvailableToAllSchools]]=FALSE),IF(OR(ADJTYPE[[#This Row],[ExcludeNI]]=TRUE,ADJTYPE[[#This Row],[ExcludeNI]]=FALSE),IF(OR(ADJTYPE[[#This Row],[AdjustmentTypeEnabled]]=TRUE,ADJTYPE[[#This Row],[AdjustmentTypeEnabled]]=FALSE),0,1),1),1),1)</f>
        <v>0</v>
      </c>
      <c r="D9" s="57">
        <f>COUNTBLANK(ADJTYPE[[#This Row],[AdjustmentTypeCode]:[AvailableToAllSchools]])+COUNTBLANK(ADJTYPE[[#This Row],[ExcludePension]]:ADJTYPE[[#This Row],[AdjustmentTypeEnabled]])</f>
        <v>0</v>
      </c>
      <c r="E9" s="57">
        <f>IF(LEN(ADJTYPE[[#This Row],[AdjustmentTypeCode]])&lt;100,0,1)</f>
        <v>0</v>
      </c>
      <c r="F9" s="57">
        <f>IF(LEN(ADJTYPE[[#This Row],[Title]])&lt;100,0,1)</f>
        <v>0</v>
      </c>
      <c r="G9" s="57">
        <f>IF(SUBSTITUTE(TEXT(ADJTYPE[[#This Row],[AdjustmentTypeCode]],10)," ","")=TEXT(ADJTYPE[[#This Row],[AdjustmentTypeCode]],10),0,1)</f>
        <v>0</v>
      </c>
      <c r="H9" s="57">
        <f>SUM(ADJTYPE[[#This Row],[Schools Check]:[Space in Code]])</f>
        <v>0</v>
      </c>
      <c r="I9" s="12"/>
      <c r="J9" s="12" t="s">
        <v>4324</v>
      </c>
      <c r="K9" s="20" t="s">
        <v>4325</v>
      </c>
      <c r="L9" s="51">
        <v>44440</v>
      </c>
      <c r="M9" s="12">
        <v>0</v>
      </c>
      <c r="N9" t="b">
        <v>1</v>
      </c>
      <c r="P9" t="b">
        <v>0</v>
      </c>
      <c r="Q9" t="b">
        <v>0</v>
      </c>
      <c r="R9" t="b">
        <v>1</v>
      </c>
    </row>
  </sheetData>
  <phoneticPr fontId="2" type="noConversion"/>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4ADAC74-953F-42BB-BA42-3C8115C36C86}">
          <x14:formula1>
            <xm:f>Validation!$G$2:$G$3</xm:f>
          </x14:formula1>
          <xm:sqref>R2:R9</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BAC88-AB1C-46A9-B72D-4D487965D107}">
  <sheetPr codeName="Sheet181">
    <tabColor theme="9" tint="0.39997558519241921"/>
  </sheetPr>
  <dimension ref="A1:R4"/>
  <sheetViews>
    <sheetView zoomScale="90" zoomScaleNormal="90" workbookViewId="0">
      <pane ySplit="1" topLeftCell="A2" activePane="bottomLeft" state="frozen"/>
      <selection activeCell="D2" sqref="D2"/>
      <selection pane="bottomLeft" activeCell="K4" sqref="K4"/>
    </sheetView>
  </sheetViews>
  <sheetFormatPr defaultColWidth="9.33203125" defaultRowHeight="14.4" outlineLevelCol="1" x14ac:dyDescent="0.3"/>
  <cols>
    <col min="1" max="6" width="11.88671875" style="12" hidden="1" customWidth="1" outlineLevel="1"/>
    <col min="7" max="7" width="10" style="12" hidden="1" customWidth="1" outlineLevel="1"/>
    <col min="8" max="8" width="10.33203125" style="12" hidden="1" customWidth="1" outlineLevel="1"/>
    <col min="9" max="9" width="8.6640625" style="12" customWidth="1" collapsed="1"/>
    <col min="10" max="10" width="14.33203125" style="12" customWidth="1"/>
    <col min="11" max="11" width="13.88671875" style="12" customWidth="1"/>
    <col min="12" max="12" width="21.33203125" style="12" bestFit="1" customWidth="1"/>
    <col min="13" max="13" width="13.109375" style="12" customWidth="1"/>
    <col min="14" max="14" width="13.33203125" style="12" customWidth="1"/>
    <col min="15" max="15" width="16.33203125" style="12" customWidth="1"/>
    <col min="16" max="16" width="14.88671875" style="20" customWidth="1"/>
    <col min="17" max="17" width="12.5546875" style="20" customWidth="1"/>
    <col min="18" max="18" width="19" style="12" customWidth="1"/>
    <col min="19" max="16384" width="9.33203125" style="12"/>
  </cols>
  <sheetData>
    <row r="1" spans="1:18" s="24" customFormat="1" ht="43.2" x14ac:dyDescent="0.3">
      <c r="A1" s="53" t="s">
        <v>1631</v>
      </c>
      <c r="B1" s="65" t="s">
        <v>1641</v>
      </c>
      <c r="C1" s="65" t="s">
        <v>1726</v>
      </c>
      <c r="D1" s="59" t="s">
        <v>1659</v>
      </c>
      <c r="E1" s="53" t="s">
        <v>1639</v>
      </c>
      <c r="F1" s="53" t="s">
        <v>1638</v>
      </c>
      <c r="G1" s="53" t="s">
        <v>1661</v>
      </c>
      <c r="H1" s="122" t="s">
        <v>1660</v>
      </c>
      <c r="I1" s="59" t="s">
        <v>1047</v>
      </c>
      <c r="J1" s="60" t="s">
        <v>1049</v>
      </c>
      <c r="K1" s="60" t="s">
        <v>1144</v>
      </c>
      <c r="L1" s="60" t="s">
        <v>62</v>
      </c>
      <c r="M1" s="60" t="s">
        <v>904</v>
      </c>
      <c r="N1" s="60" t="s">
        <v>905</v>
      </c>
      <c r="O1" s="60" t="s">
        <v>1145</v>
      </c>
      <c r="P1" s="62" t="s">
        <v>1061</v>
      </c>
      <c r="Q1" s="62" t="s">
        <v>1062</v>
      </c>
      <c r="R1" s="60" t="s">
        <v>1146</v>
      </c>
    </row>
    <row r="2" spans="1:18" x14ac:dyDescent="0.3">
      <c r="A2" s="52">
        <f>IF(PENS[[#This Row],[AvailableToAllSchools]]=FALSE,IF(ISBLANK(PENS[[#This Row],[SchoolCodes]]),1,0),IF(PENS[[#This Row],[AvailableToAllSchools]]=TRUE,IF(ISBLANK(PENS[[#This Row],[SchoolCodes]]),0,1)))</f>
        <v>0</v>
      </c>
      <c r="B2" s="52">
        <f>IF(ISBLANK(PENS[[#This Row],[RateDateTo]]),0,IF(PENS[[#This Row],[RateDateFrom]]&lt;PENS[[#This Row],[RateDateTo]],0,1))</f>
        <v>0</v>
      </c>
      <c r="C2" s="57" cm="1">
        <f t="array" aca="1" ref="C2" ca="1">IF(CELL("format",PENS[[#This Row],[RateDateFrom]])="D1",0,1)+IF(CELL("format",PENS[[#This Row],[RateDateTo]])="D1",0,1)</f>
        <v>0</v>
      </c>
      <c r="D2" s="52">
        <f>IF(OR(PENS[[#This Row],[PensionEnabled]]=TRUE,PENS[[#This Row],[PensionEnabled]]=FALSE),IF(OR(PENS[[#This Row],[AvailableToAllSchools]]=TRUE,PENS[[#This Row],[AvailableToAllSchools]]=FALSE),0,1),1)</f>
        <v>0</v>
      </c>
      <c r="E2" s="52">
        <f>IF(LEN(PENS[[#This Row],[PensionCode]])&lt;100,0,1)</f>
        <v>0</v>
      </c>
      <c r="F2" s="52">
        <f>IF(LEN(PENS[[#This Row],[Title]])&lt;100,0,1)</f>
        <v>0</v>
      </c>
      <c r="G2" s="52">
        <f>COUNTBLANK(PENS[[#This Row],[PensionPercentage]])+COUNTBLANK(PENS[[#This Row],[PensionEnabled]:[RateDateFrom]])+COUNTBLANK(PENS[[#This Row],[PensionCode]:[AvailableToAllSchools]])</f>
        <v>0</v>
      </c>
      <c r="H2" s="52">
        <f>IF(SUBSTITUTE(TEXT(PENS[[#This Row],[PensionCode]],10)," ","")=TEXT(PENS[[#This Row],[PensionCode]],10),0,1)</f>
        <v>0</v>
      </c>
      <c r="I2" s="52">
        <f ca="1">SUM(PENS[[#This Row],[Schools Check]:[Space in Code]])</f>
        <v>0</v>
      </c>
      <c r="J2" s="20"/>
      <c r="K2" s="12" t="s">
        <v>1147</v>
      </c>
      <c r="L2" s="12" t="s">
        <v>1148</v>
      </c>
      <c r="M2" t="b">
        <v>1</v>
      </c>
      <c r="N2"/>
      <c r="O2" t="b">
        <v>1</v>
      </c>
      <c r="P2" s="20">
        <v>45383</v>
      </c>
      <c r="R2" s="12">
        <v>28.68</v>
      </c>
    </row>
    <row r="3" spans="1:18" x14ac:dyDescent="0.3">
      <c r="A3" s="52">
        <f>IF(PENS[[#This Row],[AvailableToAllSchools]]=FALSE,IF(ISBLANK(PENS[[#This Row],[SchoolCodes]]),1,0),IF(PENS[[#This Row],[AvailableToAllSchools]]=TRUE,IF(ISBLANK(PENS[[#This Row],[SchoolCodes]]),0,1)))</f>
        <v>0</v>
      </c>
      <c r="B3" s="52">
        <f>IF(ISBLANK(PENS[[#This Row],[RateDateTo]]),0,IF(PENS[[#This Row],[RateDateFrom]]&lt;PENS[[#This Row],[RateDateTo]],0,1))</f>
        <v>0</v>
      </c>
      <c r="C3" s="52" cm="1">
        <f t="array" aca="1" ref="C3" ca="1">IF(CELL("format",PENS[[#This Row],[RateDateFrom]])="D1",0,1)+IF(CELL("format",PENS[[#This Row],[RateDateTo]])="D1",0,1)</f>
        <v>0</v>
      </c>
      <c r="D3" s="52">
        <f>IF(OR(PENS[[#This Row],[PensionEnabled]]=TRUE,PENS[[#This Row],[PensionEnabled]]=FALSE),IF(OR(PENS[[#This Row],[AvailableToAllSchools]]=TRUE,PENS[[#This Row],[AvailableToAllSchools]]=FALSE),0,1),1)</f>
        <v>0</v>
      </c>
      <c r="E3" s="52">
        <f>IF(LEN(PENS[[#This Row],[PensionCode]])&lt;100,0,1)</f>
        <v>0</v>
      </c>
      <c r="F3" s="52">
        <f>IF(LEN(PENS[[#This Row],[Title]])&lt;100,0,1)</f>
        <v>0</v>
      </c>
      <c r="G3" s="52">
        <f>COUNTBLANK(PENS[[#This Row],[PensionPercentage]])+COUNTBLANK(PENS[[#This Row],[PensionEnabled]:[RateDateFrom]])+COUNTBLANK(PENS[[#This Row],[PensionCode]:[AvailableToAllSchools]])</f>
        <v>0</v>
      </c>
      <c r="H3" s="52">
        <f>IF(SUBSTITUTE(TEXT(PENS[[#This Row],[PensionCode]],10)," ","")=TEXT(PENS[[#This Row],[PensionCode]],10),0,1)</f>
        <v>0</v>
      </c>
      <c r="I3" s="52">
        <f ca="1">SUM(PENS[[#This Row],[Schools Check]:[Space in Code]])</f>
        <v>0</v>
      </c>
      <c r="K3" s="12" t="s">
        <v>1149</v>
      </c>
      <c r="L3" s="12" t="s">
        <v>1150</v>
      </c>
      <c r="M3" t="b">
        <v>1</v>
      </c>
      <c r="N3"/>
      <c r="O3" t="b">
        <v>1</v>
      </c>
      <c r="P3" s="20">
        <v>45383</v>
      </c>
      <c r="R3" s="12">
        <v>0</v>
      </c>
    </row>
    <row r="4" spans="1:18" x14ac:dyDescent="0.3">
      <c r="A4" s="52">
        <f>IF(PENS[[#This Row],[AvailableToAllSchools]]=FALSE,IF(ISBLANK(PENS[[#This Row],[SchoolCodes]]),1,0),IF(PENS[[#This Row],[AvailableToAllSchools]]=TRUE,IF(ISBLANK(PENS[[#This Row],[SchoolCodes]]),0,1)))</f>
        <v>0</v>
      </c>
      <c r="B4" s="52">
        <f>IF(ISBLANK(PENS[[#This Row],[RateDateTo]]),0,IF(PENS[[#This Row],[RateDateFrom]]&lt;PENS[[#This Row],[RateDateTo]],0,1))</f>
        <v>0</v>
      </c>
      <c r="C4" s="52" cm="1">
        <f t="array" aca="1" ref="C4" ca="1">IF(CELL("format",PENS[[#This Row],[RateDateFrom]])="D1",0,1)+IF(CELL("format",PENS[[#This Row],[RateDateTo]])="D1",0,1)</f>
        <v>0</v>
      </c>
      <c r="D4" s="52">
        <f>IF(OR(PENS[[#This Row],[PensionEnabled]]=TRUE,PENS[[#This Row],[PensionEnabled]]=FALSE),IF(OR(PENS[[#This Row],[AvailableToAllSchools]]=TRUE,PENS[[#This Row],[AvailableToAllSchools]]=FALSE),0,1),1)</f>
        <v>0</v>
      </c>
      <c r="E4" s="52">
        <f>IF(LEN(PENS[[#This Row],[PensionCode]])&lt;100,0,1)</f>
        <v>0</v>
      </c>
      <c r="F4" s="52">
        <f>IF(LEN(PENS[[#This Row],[Title]])&lt;100,0,1)</f>
        <v>0</v>
      </c>
      <c r="G4" s="52">
        <f>COUNTBLANK(PENS[[#This Row],[PensionPercentage]])+COUNTBLANK(PENS[[#This Row],[PensionEnabled]:[RateDateFrom]])+COUNTBLANK(PENS[[#This Row],[PensionCode]:[AvailableToAllSchools]])</f>
        <v>0</v>
      </c>
      <c r="H4" s="52">
        <f>IF(SUBSTITUTE(TEXT(PENS[[#This Row],[PensionCode]],10)," ","")=TEXT(PENS[[#This Row],[PensionCode]],10),0,1)</f>
        <v>0</v>
      </c>
      <c r="I4" s="52">
        <f ca="1">SUM(PENS[[#This Row],[Schools Check]:[Space in Code]])</f>
        <v>0</v>
      </c>
      <c r="J4" s="63"/>
      <c r="K4" s="64" t="s">
        <v>3132</v>
      </c>
      <c r="L4" s="64" t="s">
        <v>3131</v>
      </c>
      <c r="M4" t="b">
        <v>1</v>
      </c>
      <c r="N4"/>
      <c r="O4" t="b">
        <v>1</v>
      </c>
      <c r="P4" s="20">
        <v>45748</v>
      </c>
      <c r="R4" s="12">
        <v>21.9</v>
      </c>
    </row>
  </sheetData>
  <phoneticPr fontId="2" type="noConversion"/>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1833EA1-2E03-4ED1-9972-60718D1A5613}">
          <x14:formula1>
            <xm:f>Validation!$G$2:$G$4</xm:f>
          </x14:formula1>
          <xm:sqref>M12:M62 M2:M4 O2:O97</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839F7-4C21-44BA-B7A0-3AE24EEFD053}">
  <sheetPr codeName="Sheet171">
    <tabColor theme="9" tint="0.39997558519241921"/>
  </sheetPr>
  <dimension ref="A1:R17"/>
  <sheetViews>
    <sheetView zoomScale="90" zoomScaleNormal="90" workbookViewId="0">
      <pane ySplit="1" topLeftCell="A2" activePane="bottomLeft" state="frozen"/>
      <selection activeCell="D2" sqref="D2"/>
      <selection pane="bottomLeft" activeCell="U11" sqref="U11"/>
    </sheetView>
  </sheetViews>
  <sheetFormatPr defaultRowHeight="14.4" outlineLevelCol="1" x14ac:dyDescent="0.3"/>
  <cols>
    <col min="1" max="1" width="9.6640625" hidden="1" customWidth="1" outlineLevel="1"/>
    <col min="2" max="2" width="9.5546875" hidden="1" customWidth="1" outlineLevel="1"/>
    <col min="3" max="6" width="10" hidden="1" customWidth="1" outlineLevel="1"/>
    <col min="7" max="7" width="11.44140625" customWidth="1" collapsed="1"/>
    <col min="8" max="8" width="11.5546875" customWidth="1"/>
    <col min="9" max="9" width="14.33203125" customWidth="1"/>
    <col min="10" max="10" width="13.5546875" customWidth="1"/>
    <col min="11" max="11" width="31.5546875" bestFit="1" customWidth="1"/>
    <col min="12" max="12" width="11" customWidth="1"/>
    <col min="13" max="13" width="14.109375" bestFit="1" customWidth="1"/>
    <col min="14" max="15" width="11.88671875" customWidth="1"/>
    <col min="16" max="16" width="8.88671875" style="11" customWidth="1"/>
    <col min="17" max="17" width="8.6640625" customWidth="1"/>
    <col min="18" max="18" width="15.109375" customWidth="1"/>
  </cols>
  <sheetData>
    <row r="1" spans="1:18" s="23" customFormat="1" ht="43.2" x14ac:dyDescent="0.3">
      <c r="A1" s="53" t="s">
        <v>1631</v>
      </c>
      <c r="B1" s="53" t="s">
        <v>1659</v>
      </c>
      <c r="C1" s="53" t="s">
        <v>1661</v>
      </c>
      <c r="D1" s="53" t="s">
        <v>1639</v>
      </c>
      <c r="E1" s="53" t="s">
        <v>1638</v>
      </c>
      <c r="F1" s="122" t="s">
        <v>1660</v>
      </c>
      <c r="G1" s="59" t="s">
        <v>1047</v>
      </c>
      <c r="H1" s="122" t="s">
        <v>1734</v>
      </c>
      <c r="I1" s="69" t="s">
        <v>1049</v>
      </c>
      <c r="J1" s="69" t="s">
        <v>1151</v>
      </c>
      <c r="K1" s="69" t="s">
        <v>1152</v>
      </c>
      <c r="L1" s="70" t="s">
        <v>904</v>
      </c>
      <c r="M1" s="71" t="s">
        <v>905</v>
      </c>
      <c r="N1" s="69" t="s">
        <v>1153</v>
      </c>
      <c r="O1" s="69" t="s">
        <v>1154</v>
      </c>
      <c r="P1" s="69" t="s">
        <v>1155</v>
      </c>
      <c r="Q1" s="69" t="s">
        <v>1156</v>
      </c>
      <c r="R1" s="69" t="s">
        <v>1157</v>
      </c>
    </row>
    <row r="2" spans="1:18" x14ac:dyDescent="0.3">
      <c r="A2" s="134">
        <f>IF(EQW[[#This Row],[AvailableToAllSchools]]=FALSE,IF(ISBLANK(EQW[[#This Row],[SchoolCodes]]),1,0),IF(EQW[[#This Row],[AvailableToAllSchools]]=TRUE,IF(ISBLANK(EQW[[#This Row],[SchoolCodes]]),0,1)))</f>
        <v>0</v>
      </c>
      <c r="B2" s="57">
        <f>IF(OR(EQW[[#This Row],[EquatedWeekPatternEnabled]]=TRUE,EQW[[#This Row],[EquatedWeekPatternEnabled]]=FALSE),IF(OR(EQW[[#This Row],[AvailableToAllSchools]]=TRUE,EQW[[#This Row],[AvailableToAllSchools]]=FALSE),0,1),1)</f>
        <v>0</v>
      </c>
      <c r="C2" s="134">
        <f>COUNTBLANK(EQW[[#This Row],[EquatedWeekPatternCode]:[AvailableToAllSchools]])+COUNTBLANK(EQW[[#This Row],[ServiceYearsFrom]:[EquatedWeekPatternEnabled]])</f>
        <v>0</v>
      </c>
      <c r="D2" s="57">
        <f>IF(LEN(EQW[[#This Row],[EquatedWeekPatternCode]])&lt;100,0,1)</f>
        <v>0</v>
      </c>
      <c r="E2" s="57">
        <f>IF(LEN(EQW[[#This Row],[EquatedWeekPatternTitle]])&lt;100,0,1)</f>
        <v>0</v>
      </c>
      <c r="F2" s="57">
        <f>IF(SUBSTITUTE(TEXT(EQW[[#This Row],[EquatedWeekPatternCode]],10)," ","")=TEXT(EQW[[#This Row],[EquatedWeekPatternCode]],10),0,1)</f>
        <v>0</v>
      </c>
      <c r="G2" s="134">
        <f>SUM(EQW[[#This Row],[Schools Check]:[Space in Code]])</f>
        <v>0</v>
      </c>
      <c r="H2" s="57">
        <f>IF(EQW[[#This Row],[EquatedWeeks]]&lt;=EQW[[#This Row],[FullTimeWeeks]],0,1)</f>
        <v>0</v>
      </c>
      <c r="J2" t="s">
        <v>1702</v>
      </c>
      <c r="K2" t="s">
        <v>1727</v>
      </c>
      <c r="L2" t="b">
        <v>1</v>
      </c>
      <c r="N2">
        <v>0</v>
      </c>
      <c r="O2">
        <v>99</v>
      </c>
      <c r="P2" s="11">
        <v>52.143000000000001</v>
      </c>
      <c r="Q2">
        <v>52.143000000000001</v>
      </c>
      <c r="R2" t="b">
        <v>1</v>
      </c>
    </row>
    <row r="3" spans="1:18" x14ac:dyDescent="0.3">
      <c r="A3" s="134">
        <f>IF(EQW[[#This Row],[AvailableToAllSchools]]=FALSE,IF(ISBLANK(EQW[[#This Row],[SchoolCodes]]),1,0),IF(EQW[[#This Row],[AvailableToAllSchools]]=TRUE,IF(ISBLANK(EQW[[#This Row],[SchoolCodes]]),0,1)))</f>
        <v>0</v>
      </c>
      <c r="B3" s="57">
        <f>IF(OR(EQW[[#This Row],[EquatedWeekPatternEnabled]]=TRUE,EQW[[#This Row],[EquatedWeekPatternEnabled]]=FALSE),IF(OR(EQW[[#This Row],[AvailableToAllSchools]]=TRUE,EQW[[#This Row],[AvailableToAllSchools]]=FALSE),0,1),1)</f>
        <v>0</v>
      </c>
      <c r="C3" s="134">
        <f>COUNTBLANK(EQW[[#This Row],[EquatedWeekPatternCode]:[AvailableToAllSchools]])+COUNTBLANK(EQW[[#This Row],[ServiceYearsFrom]:[EquatedWeekPatternEnabled]])</f>
        <v>0</v>
      </c>
      <c r="D3" s="57">
        <f>IF(LEN(EQW[[#This Row],[EquatedWeekPatternCode]])&lt;100,0,1)</f>
        <v>0</v>
      </c>
      <c r="E3" s="57">
        <f>IF(LEN(EQW[[#This Row],[EquatedWeekPatternTitle]])&lt;100,0,1)</f>
        <v>0</v>
      </c>
      <c r="F3" s="57">
        <f>IF(SUBSTITUTE(TEXT(EQW[[#This Row],[EquatedWeekPatternCode]],10)," ","")=TEXT(EQW[[#This Row],[EquatedWeekPatternCode]],10),0,1)</f>
        <v>0</v>
      </c>
      <c r="G3" s="134">
        <f>SUM(EQW[[#This Row],[Schools Check]:[Space in Code]])</f>
        <v>0</v>
      </c>
      <c r="H3" s="57">
        <f>IF(EQW[[#This Row],[EquatedWeeks]]&lt;=EQW[[#This Row],[FullTimeWeeks]],0,1)</f>
        <v>0</v>
      </c>
      <c r="J3" t="s">
        <v>3134</v>
      </c>
      <c r="K3" t="s">
        <v>3133</v>
      </c>
      <c r="L3" t="b">
        <v>1</v>
      </c>
      <c r="N3">
        <v>0</v>
      </c>
      <c r="O3">
        <v>4</v>
      </c>
      <c r="P3" s="11">
        <v>43.837000000000003</v>
      </c>
      <c r="Q3">
        <v>52.143000000000001</v>
      </c>
      <c r="R3" t="b">
        <v>1</v>
      </c>
    </row>
    <row r="4" spans="1:18" x14ac:dyDescent="0.3">
      <c r="A4" s="134">
        <f>IF(EQW[[#This Row],[AvailableToAllSchools]]=FALSE,IF(ISBLANK(EQW[[#This Row],[SchoolCodes]]),1,0),IF(EQW[[#This Row],[AvailableToAllSchools]]=TRUE,IF(ISBLANK(EQW[[#This Row],[SchoolCodes]]),0,1)))</f>
        <v>0</v>
      </c>
      <c r="B4" s="57">
        <f>IF(OR(EQW[[#This Row],[EquatedWeekPatternEnabled]]=TRUE,EQW[[#This Row],[EquatedWeekPatternEnabled]]=FALSE),IF(OR(EQW[[#This Row],[AvailableToAllSchools]]=TRUE,EQW[[#This Row],[AvailableToAllSchools]]=FALSE),0,1),1)</f>
        <v>0</v>
      </c>
      <c r="C4" s="134">
        <f>COUNTBLANK(EQW[[#This Row],[EquatedWeekPatternCode]:[AvailableToAllSchools]])+COUNTBLANK(EQW[[#This Row],[ServiceYearsFrom]:[EquatedWeekPatternEnabled]])</f>
        <v>0</v>
      </c>
      <c r="D4" s="57">
        <f>IF(LEN(EQW[[#This Row],[EquatedWeekPatternCode]])&lt;100,0,1)</f>
        <v>0</v>
      </c>
      <c r="E4" s="57">
        <f>IF(LEN(EQW[[#This Row],[EquatedWeekPatternTitle]])&lt;100,0,1)</f>
        <v>0</v>
      </c>
      <c r="F4" s="57">
        <f>IF(SUBSTITUTE(TEXT(EQW[[#This Row],[EquatedWeekPatternCode]],10)," ","")=TEXT(EQW[[#This Row],[EquatedWeekPatternCode]],10),0,1)</f>
        <v>0</v>
      </c>
      <c r="G4" s="134">
        <f>SUM(EQW[[#This Row],[Schools Check]:[Space in Code]])</f>
        <v>0</v>
      </c>
      <c r="H4" s="57">
        <f>IF(EQW[[#This Row],[EquatedWeeks]]&lt;=EQW[[#This Row],[FullTimeWeeks]],0,1)</f>
        <v>0</v>
      </c>
      <c r="J4" t="s">
        <v>3134</v>
      </c>
      <c r="K4" t="s">
        <v>3133</v>
      </c>
      <c r="L4" t="b">
        <v>1</v>
      </c>
      <c r="N4">
        <v>5</v>
      </c>
      <c r="O4">
        <v>99</v>
      </c>
      <c r="P4" s="11">
        <v>44.829000000000001</v>
      </c>
      <c r="Q4">
        <v>52.143000000000001</v>
      </c>
      <c r="R4" t="b">
        <v>1</v>
      </c>
    </row>
    <row r="5" spans="1:18" x14ac:dyDescent="0.3">
      <c r="A5" s="134">
        <f>IF(EQW[[#This Row],[AvailableToAllSchools]]=FALSE,IF(ISBLANK(EQW[[#This Row],[SchoolCodes]]),1,0),IF(EQW[[#This Row],[AvailableToAllSchools]]=TRUE,IF(ISBLANK(EQW[[#This Row],[SchoolCodes]]),0,1)))</f>
        <v>0</v>
      </c>
      <c r="B5" s="57">
        <f>IF(OR(EQW[[#This Row],[EquatedWeekPatternEnabled]]=TRUE,EQW[[#This Row],[EquatedWeekPatternEnabled]]=FALSE),IF(OR(EQW[[#This Row],[AvailableToAllSchools]]=TRUE,EQW[[#This Row],[AvailableToAllSchools]]=FALSE),0,1),1)</f>
        <v>0</v>
      </c>
      <c r="C5" s="134">
        <f>COUNTBLANK(EQW[[#This Row],[EquatedWeekPatternCode]:[AvailableToAllSchools]])+COUNTBLANK(EQW[[#This Row],[ServiceYearsFrom]:[EquatedWeekPatternEnabled]])</f>
        <v>0</v>
      </c>
      <c r="D5" s="57">
        <f>IF(LEN(EQW[[#This Row],[EquatedWeekPatternCode]])&lt;100,0,1)</f>
        <v>0</v>
      </c>
      <c r="E5" s="57">
        <f>IF(LEN(EQW[[#This Row],[EquatedWeekPatternTitle]])&lt;100,0,1)</f>
        <v>0</v>
      </c>
      <c r="F5" s="57">
        <f>IF(SUBSTITUTE(TEXT(EQW[[#This Row],[EquatedWeekPatternCode]],10)," ","")=TEXT(EQW[[#This Row],[EquatedWeekPatternCode]],10),0,1)</f>
        <v>0</v>
      </c>
      <c r="G5" s="134">
        <f>SUM(EQW[[#This Row],[Schools Check]:[Space in Code]])</f>
        <v>0</v>
      </c>
      <c r="H5" s="57">
        <f>IF(EQW[[#This Row],[EquatedWeeks]]&lt;=EQW[[#This Row],[FullTimeWeeks]],0,1)</f>
        <v>0</v>
      </c>
      <c r="J5" t="s">
        <v>3135</v>
      </c>
      <c r="K5" t="s">
        <v>3136</v>
      </c>
      <c r="L5" t="b">
        <v>1</v>
      </c>
      <c r="N5">
        <v>0</v>
      </c>
      <c r="O5">
        <v>4</v>
      </c>
      <c r="P5" s="11">
        <v>44.991</v>
      </c>
      <c r="Q5">
        <v>52.143000000000001</v>
      </c>
      <c r="R5" t="b">
        <v>1</v>
      </c>
    </row>
    <row r="6" spans="1:18" x14ac:dyDescent="0.3">
      <c r="A6" s="134">
        <f>IF(EQW[[#This Row],[AvailableToAllSchools]]=FALSE,IF(ISBLANK(EQW[[#This Row],[SchoolCodes]]),1,0),IF(EQW[[#This Row],[AvailableToAllSchools]]=TRUE,IF(ISBLANK(EQW[[#This Row],[SchoolCodes]]),0,1)))</f>
        <v>0</v>
      </c>
      <c r="B6" s="57">
        <f>IF(OR(EQW[[#This Row],[EquatedWeekPatternEnabled]]=TRUE,EQW[[#This Row],[EquatedWeekPatternEnabled]]=FALSE),IF(OR(EQW[[#This Row],[AvailableToAllSchools]]=TRUE,EQW[[#This Row],[AvailableToAllSchools]]=FALSE),0,1),1)</f>
        <v>0</v>
      </c>
      <c r="C6" s="134">
        <f>COUNTBLANK(EQW[[#This Row],[EquatedWeekPatternCode]:[AvailableToAllSchools]])+COUNTBLANK(EQW[[#This Row],[ServiceYearsFrom]:[EquatedWeekPatternEnabled]])</f>
        <v>0</v>
      </c>
      <c r="D6" s="57">
        <f>IF(LEN(EQW[[#This Row],[EquatedWeekPatternCode]])&lt;100,0,1)</f>
        <v>0</v>
      </c>
      <c r="E6" s="57">
        <f>IF(LEN(EQW[[#This Row],[EquatedWeekPatternTitle]])&lt;100,0,1)</f>
        <v>0</v>
      </c>
      <c r="F6" s="57">
        <f>IF(SUBSTITUTE(TEXT(EQW[[#This Row],[EquatedWeekPatternCode]],10)," ","")=TEXT(EQW[[#This Row],[EquatedWeekPatternCode]],10),0,1)</f>
        <v>0</v>
      </c>
      <c r="G6" s="134">
        <f>SUM(EQW[[#This Row],[Schools Check]:[Space in Code]])</f>
        <v>0</v>
      </c>
      <c r="H6" s="57">
        <f>IF(EQW[[#This Row],[EquatedWeeks]]&lt;=EQW[[#This Row],[FullTimeWeeks]],0,1)</f>
        <v>0</v>
      </c>
      <c r="J6" t="s">
        <v>3135</v>
      </c>
      <c r="K6" t="s">
        <v>3136</v>
      </c>
      <c r="L6" t="b">
        <v>1</v>
      </c>
      <c r="N6">
        <v>5</v>
      </c>
      <c r="O6">
        <v>99</v>
      </c>
      <c r="P6" s="11">
        <v>46.008000000000003</v>
      </c>
      <c r="Q6">
        <v>52.143000000000001</v>
      </c>
      <c r="R6" t="b">
        <v>1</v>
      </c>
    </row>
    <row r="7" spans="1:18" x14ac:dyDescent="0.3">
      <c r="A7" s="134">
        <f>IF(EQW[[#This Row],[AvailableToAllSchools]]=FALSE,IF(ISBLANK(EQW[[#This Row],[SchoolCodes]]),1,0),IF(EQW[[#This Row],[AvailableToAllSchools]]=TRUE,IF(ISBLANK(EQW[[#This Row],[SchoolCodes]]),0,1)))</f>
        <v>0</v>
      </c>
      <c r="B7" s="57">
        <f>IF(OR(EQW[[#This Row],[EquatedWeekPatternEnabled]]=TRUE,EQW[[#This Row],[EquatedWeekPatternEnabled]]=FALSE),IF(OR(EQW[[#This Row],[AvailableToAllSchools]]=TRUE,EQW[[#This Row],[AvailableToAllSchools]]=FALSE),0,1),1)</f>
        <v>0</v>
      </c>
      <c r="C7" s="134">
        <f>COUNTBLANK(EQW[[#This Row],[EquatedWeekPatternCode]:[AvailableToAllSchools]])+COUNTBLANK(EQW[[#This Row],[ServiceYearsFrom]:[EquatedWeekPatternEnabled]])</f>
        <v>0</v>
      </c>
      <c r="D7" s="57">
        <f>IF(LEN(EQW[[#This Row],[EquatedWeekPatternCode]])&lt;100,0,1)</f>
        <v>0</v>
      </c>
      <c r="E7" s="57">
        <f>IF(LEN(EQW[[#This Row],[EquatedWeekPatternTitle]])&lt;100,0,1)</f>
        <v>0</v>
      </c>
      <c r="F7" s="57">
        <f>IF(SUBSTITUTE(TEXT(EQW[[#This Row],[EquatedWeekPatternCode]],10)," ","")=TEXT(EQW[[#This Row],[EquatedWeekPatternCode]],10),0,1)</f>
        <v>0</v>
      </c>
      <c r="G7" s="134">
        <f>SUM(EQW[[#This Row],[Schools Check]:[Space in Code]])</f>
        <v>0</v>
      </c>
      <c r="H7" s="57">
        <f>IF(EQW[[#This Row],[EquatedWeeks]]&lt;=EQW[[#This Row],[FullTimeWeeks]],0,1)</f>
        <v>0</v>
      </c>
      <c r="J7" t="s">
        <v>3137</v>
      </c>
      <c r="K7" t="s">
        <v>3138</v>
      </c>
      <c r="L7" t="b">
        <v>1</v>
      </c>
      <c r="N7">
        <v>0</v>
      </c>
      <c r="O7">
        <v>4</v>
      </c>
      <c r="P7" s="11">
        <v>46.143999999999998</v>
      </c>
      <c r="Q7">
        <v>52.143000000000001</v>
      </c>
      <c r="R7" t="b">
        <v>1</v>
      </c>
    </row>
    <row r="8" spans="1:18" x14ac:dyDescent="0.3">
      <c r="A8" s="134">
        <f>IF(EQW[[#This Row],[AvailableToAllSchools]]=FALSE,IF(ISBLANK(EQW[[#This Row],[SchoolCodes]]),1,0),IF(EQW[[#This Row],[AvailableToAllSchools]]=TRUE,IF(ISBLANK(EQW[[#This Row],[SchoolCodes]]),0,1)))</f>
        <v>0</v>
      </c>
      <c r="B8" s="57">
        <f>IF(OR(EQW[[#This Row],[EquatedWeekPatternEnabled]]=TRUE,EQW[[#This Row],[EquatedWeekPatternEnabled]]=FALSE),IF(OR(EQW[[#This Row],[AvailableToAllSchools]]=TRUE,EQW[[#This Row],[AvailableToAllSchools]]=FALSE),0,1),1)</f>
        <v>0</v>
      </c>
      <c r="C8" s="134">
        <f>COUNTBLANK(EQW[[#This Row],[EquatedWeekPatternCode]:[AvailableToAllSchools]])+COUNTBLANK(EQW[[#This Row],[ServiceYearsFrom]:[EquatedWeekPatternEnabled]])</f>
        <v>0</v>
      </c>
      <c r="D8" s="57">
        <f>IF(LEN(EQW[[#This Row],[EquatedWeekPatternCode]])&lt;100,0,1)</f>
        <v>0</v>
      </c>
      <c r="E8" s="57">
        <f>IF(LEN(EQW[[#This Row],[EquatedWeekPatternTitle]])&lt;100,0,1)</f>
        <v>0</v>
      </c>
      <c r="F8" s="57">
        <f>IF(SUBSTITUTE(TEXT(EQW[[#This Row],[EquatedWeekPatternCode]],10)," ","")=TEXT(EQW[[#This Row],[EquatedWeekPatternCode]],10),0,1)</f>
        <v>0</v>
      </c>
      <c r="G8" s="134">
        <f>SUM(EQW[[#This Row],[Schools Check]:[Space in Code]])</f>
        <v>0</v>
      </c>
      <c r="H8" s="57">
        <f>IF(EQW[[#This Row],[EquatedWeeks]]&lt;=EQW[[#This Row],[FullTimeWeeks]],0,1)</f>
        <v>0</v>
      </c>
      <c r="J8" t="s">
        <v>3137</v>
      </c>
      <c r="K8" t="s">
        <v>3138</v>
      </c>
      <c r="L8" t="b">
        <v>1</v>
      </c>
      <c r="N8">
        <v>5</v>
      </c>
      <c r="O8">
        <v>99</v>
      </c>
      <c r="P8" s="11">
        <v>47.188000000000002</v>
      </c>
      <c r="Q8">
        <v>52.143000000000001</v>
      </c>
      <c r="R8" t="b">
        <v>1</v>
      </c>
    </row>
    <row r="9" spans="1:18" x14ac:dyDescent="0.3">
      <c r="A9" s="134">
        <f>IF(EQW[[#This Row],[AvailableToAllSchools]]=FALSE,IF(ISBLANK(EQW[[#This Row],[SchoolCodes]]),1,0),IF(EQW[[#This Row],[AvailableToAllSchools]]=TRUE,IF(ISBLANK(EQW[[#This Row],[SchoolCodes]]),0,1)))</f>
        <v>0</v>
      </c>
      <c r="B9" s="57">
        <f>IF(OR(EQW[[#This Row],[EquatedWeekPatternEnabled]]=TRUE,EQW[[#This Row],[EquatedWeekPatternEnabled]]=FALSE),IF(OR(EQW[[#This Row],[AvailableToAllSchools]]=TRUE,EQW[[#This Row],[AvailableToAllSchools]]=FALSE),0,1),1)</f>
        <v>0</v>
      </c>
      <c r="C9" s="134">
        <f>COUNTBLANK(EQW[[#This Row],[EquatedWeekPatternCode]:[AvailableToAllSchools]])+COUNTBLANK(EQW[[#This Row],[ServiceYearsFrom]:[EquatedWeekPatternEnabled]])</f>
        <v>0</v>
      </c>
      <c r="D9" s="57">
        <f>IF(LEN(EQW[[#This Row],[EquatedWeekPatternCode]])&lt;100,0,1)</f>
        <v>0</v>
      </c>
      <c r="E9" s="57">
        <f>IF(LEN(EQW[[#This Row],[EquatedWeekPatternTitle]])&lt;100,0,1)</f>
        <v>0</v>
      </c>
      <c r="F9" s="57">
        <f>IF(SUBSTITUTE(TEXT(EQW[[#This Row],[EquatedWeekPatternCode]],10)," ","")=TEXT(EQW[[#This Row],[EquatedWeekPatternCode]],10),0,1)</f>
        <v>0</v>
      </c>
      <c r="G9" s="134">
        <f>SUM(EQW[[#This Row],[Schools Check]:[Space in Code]])</f>
        <v>0</v>
      </c>
      <c r="H9" s="57">
        <f>IF(EQW[[#This Row],[EquatedWeeks]]&lt;=EQW[[#This Row],[FullTimeWeeks]],0,1)</f>
        <v>0</v>
      </c>
      <c r="J9" t="s">
        <v>3139</v>
      </c>
      <c r="K9" t="s">
        <v>3140</v>
      </c>
      <c r="L9" t="b">
        <v>1</v>
      </c>
      <c r="N9">
        <v>0</v>
      </c>
      <c r="O9">
        <v>4</v>
      </c>
      <c r="P9" s="11">
        <v>47.298000000000002</v>
      </c>
      <c r="Q9">
        <v>52.143000000000001</v>
      </c>
      <c r="R9" t="b">
        <v>1</v>
      </c>
    </row>
    <row r="10" spans="1:18" x14ac:dyDescent="0.3">
      <c r="A10" s="134">
        <f>IF(EQW[[#This Row],[AvailableToAllSchools]]=FALSE,IF(ISBLANK(EQW[[#This Row],[SchoolCodes]]),1,0),IF(EQW[[#This Row],[AvailableToAllSchools]]=TRUE,IF(ISBLANK(EQW[[#This Row],[SchoolCodes]]),0,1)))</f>
        <v>0</v>
      </c>
      <c r="B10" s="57">
        <f>IF(OR(EQW[[#This Row],[EquatedWeekPatternEnabled]]=TRUE,EQW[[#This Row],[EquatedWeekPatternEnabled]]=FALSE),IF(OR(EQW[[#This Row],[AvailableToAllSchools]]=TRUE,EQW[[#This Row],[AvailableToAllSchools]]=FALSE),0,1),1)</f>
        <v>0</v>
      </c>
      <c r="C10" s="134">
        <f>COUNTBLANK(EQW[[#This Row],[EquatedWeekPatternCode]:[AvailableToAllSchools]])+COUNTBLANK(EQW[[#This Row],[ServiceYearsFrom]:[EquatedWeekPatternEnabled]])</f>
        <v>0</v>
      </c>
      <c r="D10" s="57">
        <f>IF(LEN(EQW[[#This Row],[EquatedWeekPatternCode]])&lt;100,0,1)</f>
        <v>0</v>
      </c>
      <c r="E10" s="57">
        <f>IF(LEN(EQW[[#This Row],[EquatedWeekPatternTitle]])&lt;100,0,1)</f>
        <v>0</v>
      </c>
      <c r="F10" s="57">
        <f>IF(SUBSTITUTE(TEXT(EQW[[#This Row],[EquatedWeekPatternCode]],10)," ","")=TEXT(EQW[[#This Row],[EquatedWeekPatternCode]],10),0,1)</f>
        <v>0</v>
      </c>
      <c r="G10" s="134">
        <f>SUM(EQW[[#This Row],[Schools Check]:[Space in Code]])</f>
        <v>0</v>
      </c>
      <c r="H10" s="57">
        <f>IF(EQW[[#This Row],[EquatedWeeks]]&lt;=EQW[[#This Row],[FullTimeWeeks]],0,1)</f>
        <v>0</v>
      </c>
      <c r="J10" t="s">
        <v>3139</v>
      </c>
      <c r="K10" t="s">
        <v>3140</v>
      </c>
      <c r="L10" t="b">
        <v>1</v>
      </c>
      <c r="N10">
        <v>5</v>
      </c>
      <c r="O10">
        <v>99</v>
      </c>
      <c r="P10" s="11">
        <v>48.368000000000002</v>
      </c>
      <c r="Q10">
        <v>52.143000000000001</v>
      </c>
      <c r="R10" t="b">
        <v>1</v>
      </c>
    </row>
    <row r="11" spans="1:18" x14ac:dyDescent="0.3">
      <c r="A11" s="134">
        <f>IF(EQW[[#This Row],[AvailableToAllSchools]]=FALSE,IF(ISBLANK(EQW[[#This Row],[SchoolCodes]]),1,0),IF(EQW[[#This Row],[AvailableToAllSchools]]=TRUE,IF(ISBLANK(EQW[[#This Row],[SchoolCodes]]),0,1)))</f>
        <v>0</v>
      </c>
      <c r="B11" s="57">
        <f>IF(OR(EQW[[#This Row],[EquatedWeekPatternEnabled]]=TRUE,EQW[[#This Row],[EquatedWeekPatternEnabled]]=FALSE),IF(OR(EQW[[#This Row],[AvailableToAllSchools]]=TRUE,EQW[[#This Row],[AvailableToAllSchools]]=FALSE),0,1),1)</f>
        <v>0</v>
      </c>
      <c r="C11" s="134">
        <f>COUNTBLANK(EQW[[#This Row],[EquatedWeekPatternCode]:[AvailableToAllSchools]])+COUNTBLANK(EQW[[#This Row],[ServiceYearsFrom]:[EquatedWeekPatternEnabled]])</f>
        <v>0</v>
      </c>
      <c r="D11" s="57">
        <f>IF(LEN(EQW[[#This Row],[EquatedWeekPatternCode]])&lt;100,0,1)</f>
        <v>0</v>
      </c>
      <c r="E11" s="57">
        <f>IF(LEN(EQW[[#This Row],[EquatedWeekPatternTitle]])&lt;100,0,1)</f>
        <v>0</v>
      </c>
      <c r="F11" s="57">
        <f>IF(SUBSTITUTE(TEXT(EQW[[#This Row],[EquatedWeekPatternCode]],10)," ","")=TEXT(EQW[[#This Row],[EquatedWeekPatternCode]],10),0,1)</f>
        <v>0</v>
      </c>
      <c r="G11" s="134">
        <f>SUM(EQW[[#This Row],[Schools Check]:[Space in Code]])</f>
        <v>0</v>
      </c>
      <c r="H11" s="57">
        <f>IF(EQW[[#This Row],[EquatedWeeks]]&lt;=EQW[[#This Row],[FullTimeWeeks]],0,1)</f>
        <v>0</v>
      </c>
      <c r="J11" t="s">
        <v>3141</v>
      </c>
      <c r="K11" t="s">
        <v>3142</v>
      </c>
      <c r="L11" t="b">
        <v>1</v>
      </c>
      <c r="N11">
        <v>0</v>
      </c>
      <c r="O11">
        <v>4</v>
      </c>
      <c r="P11" s="11">
        <v>48.451000000000001</v>
      </c>
      <c r="Q11">
        <v>52.143000000000001</v>
      </c>
      <c r="R11" t="b">
        <v>1</v>
      </c>
    </row>
    <row r="12" spans="1:18" x14ac:dyDescent="0.3">
      <c r="A12" s="134">
        <f>IF(EQW[[#This Row],[AvailableToAllSchools]]=FALSE,IF(ISBLANK(EQW[[#This Row],[SchoolCodes]]),1,0),IF(EQW[[#This Row],[AvailableToAllSchools]]=TRUE,IF(ISBLANK(EQW[[#This Row],[SchoolCodes]]),0,1)))</f>
        <v>0</v>
      </c>
      <c r="B12" s="57">
        <f>IF(OR(EQW[[#This Row],[EquatedWeekPatternEnabled]]=TRUE,EQW[[#This Row],[EquatedWeekPatternEnabled]]=FALSE),IF(OR(EQW[[#This Row],[AvailableToAllSchools]]=TRUE,EQW[[#This Row],[AvailableToAllSchools]]=FALSE),0,1),1)</f>
        <v>0</v>
      </c>
      <c r="C12" s="134">
        <f>COUNTBLANK(EQW[[#This Row],[EquatedWeekPatternCode]:[AvailableToAllSchools]])+COUNTBLANK(EQW[[#This Row],[ServiceYearsFrom]:[EquatedWeekPatternEnabled]])</f>
        <v>0</v>
      </c>
      <c r="D12" s="57">
        <f>IF(LEN(EQW[[#This Row],[EquatedWeekPatternCode]])&lt;100,0,1)</f>
        <v>0</v>
      </c>
      <c r="E12" s="57">
        <f>IF(LEN(EQW[[#This Row],[EquatedWeekPatternTitle]])&lt;100,0,1)</f>
        <v>0</v>
      </c>
      <c r="F12" s="57">
        <f>IF(SUBSTITUTE(TEXT(EQW[[#This Row],[EquatedWeekPatternCode]],10)," ","")=TEXT(EQW[[#This Row],[EquatedWeekPatternCode]],10),0,1)</f>
        <v>0</v>
      </c>
      <c r="G12" s="134">
        <f>SUM(EQW[[#This Row],[Schools Check]:[Space in Code]])</f>
        <v>0</v>
      </c>
      <c r="H12" s="57">
        <f>IF(EQW[[#This Row],[EquatedWeeks]]&lt;=EQW[[#This Row],[FullTimeWeeks]],0,1)</f>
        <v>0</v>
      </c>
      <c r="J12" t="s">
        <v>3141</v>
      </c>
      <c r="K12" t="s">
        <v>3142</v>
      </c>
      <c r="L12" t="b">
        <v>1</v>
      </c>
      <c r="N12">
        <v>5</v>
      </c>
      <c r="O12">
        <v>99</v>
      </c>
      <c r="P12" s="11">
        <v>49.548000000000002</v>
      </c>
      <c r="Q12">
        <v>52.143000000000001</v>
      </c>
      <c r="R12" t="b">
        <v>1</v>
      </c>
    </row>
    <row r="13" spans="1:18" x14ac:dyDescent="0.3">
      <c r="A13" s="134">
        <f>IF(EQW[[#This Row],[AvailableToAllSchools]]=FALSE,IF(ISBLANK(EQW[[#This Row],[SchoolCodes]]),1,0),IF(EQW[[#This Row],[AvailableToAllSchools]]=TRUE,IF(ISBLANK(EQW[[#This Row],[SchoolCodes]]),0,1)))</f>
        <v>0</v>
      </c>
      <c r="B13" s="57">
        <f>IF(OR(EQW[[#This Row],[EquatedWeekPatternEnabled]]=TRUE,EQW[[#This Row],[EquatedWeekPatternEnabled]]=FALSE),IF(OR(EQW[[#This Row],[AvailableToAllSchools]]=TRUE,EQW[[#This Row],[AvailableToAllSchools]]=FALSE),0,1),1)</f>
        <v>0</v>
      </c>
      <c r="C13" s="134">
        <f>COUNTBLANK(EQW[[#This Row],[EquatedWeekPatternCode]:[AvailableToAllSchools]])+COUNTBLANK(EQW[[#This Row],[ServiceYearsFrom]:[EquatedWeekPatternEnabled]])</f>
        <v>0</v>
      </c>
      <c r="D13" s="57">
        <f>IF(LEN(EQW[[#This Row],[EquatedWeekPatternCode]])&lt;100,0,1)</f>
        <v>0</v>
      </c>
      <c r="E13" s="57">
        <f>IF(LEN(EQW[[#This Row],[EquatedWeekPatternTitle]])&lt;100,0,1)</f>
        <v>0</v>
      </c>
      <c r="F13" s="57">
        <f>IF(SUBSTITUTE(TEXT(EQW[[#This Row],[EquatedWeekPatternCode]],10)," ","")=TEXT(EQW[[#This Row],[EquatedWeekPatternCode]],10),0,1)</f>
        <v>0</v>
      </c>
      <c r="G13" s="134">
        <f>SUM(EQW[[#This Row],[Schools Check]:[Space in Code]])</f>
        <v>0</v>
      </c>
      <c r="H13" s="57">
        <f>IF(EQW[[#This Row],[EquatedWeeks]]&lt;=EQW[[#This Row],[FullTimeWeeks]],0,1)</f>
        <v>0</v>
      </c>
      <c r="J13" t="s">
        <v>3143</v>
      </c>
      <c r="K13" t="s">
        <v>3144</v>
      </c>
      <c r="L13" t="b">
        <v>1</v>
      </c>
      <c r="N13">
        <v>0</v>
      </c>
      <c r="O13">
        <v>4</v>
      </c>
      <c r="P13" s="11">
        <v>49.604999999999997</v>
      </c>
      <c r="Q13">
        <v>52.143000000000001</v>
      </c>
      <c r="R13" t="b">
        <v>1</v>
      </c>
    </row>
    <row r="14" spans="1:18" x14ac:dyDescent="0.3">
      <c r="A14" s="134">
        <f>IF(EQW[[#This Row],[AvailableToAllSchools]]=FALSE,IF(ISBLANK(EQW[[#This Row],[SchoolCodes]]),1,0),IF(EQW[[#This Row],[AvailableToAllSchools]]=TRUE,IF(ISBLANK(EQW[[#This Row],[SchoolCodes]]),0,1)))</f>
        <v>0</v>
      </c>
      <c r="B14" s="57">
        <f>IF(OR(EQW[[#This Row],[EquatedWeekPatternEnabled]]=TRUE,EQW[[#This Row],[EquatedWeekPatternEnabled]]=FALSE),IF(OR(EQW[[#This Row],[AvailableToAllSchools]]=TRUE,EQW[[#This Row],[AvailableToAllSchools]]=FALSE),0,1),1)</f>
        <v>0</v>
      </c>
      <c r="C14" s="134">
        <f>COUNTBLANK(EQW[[#This Row],[EquatedWeekPatternCode]:[AvailableToAllSchools]])+COUNTBLANK(EQW[[#This Row],[ServiceYearsFrom]:[EquatedWeekPatternEnabled]])</f>
        <v>0</v>
      </c>
      <c r="D14" s="57">
        <f>IF(LEN(EQW[[#This Row],[EquatedWeekPatternCode]])&lt;100,0,1)</f>
        <v>0</v>
      </c>
      <c r="E14" s="57">
        <f>IF(LEN(EQW[[#This Row],[EquatedWeekPatternTitle]])&lt;100,0,1)</f>
        <v>0</v>
      </c>
      <c r="F14" s="57">
        <f>IF(SUBSTITUTE(TEXT(EQW[[#This Row],[EquatedWeekPatternCode]],10)," ","")=TEXT(EQW[[#This Row],[EquatedWeekPatternCode]],10),0,1)</f>
        <v>0</v>
      </c>
      <c r="G14" s="134">
        <f>SUM(EQW[[#This Row],[Schools Check]:[Space in Code]])</f>
        <v>0</v>
      </c>
      <c r="H14" s="57">
        <f>IF(EQW[[#This Row],[EquatedWeeks]]&lt;=EQW[[#This Row],[FullTimeWeeks]],0,1)</f>
        <v>0</v>
      </c>
      <c r="J14" t="s">
        <v>3143</v>
      </c>
      <c r="K14" t="s">
        <v>3144</v>
      </c>
      <c r="L14" t="b">
        <v>1</v>
      </c>
      <c r="N14">
        <v>5</v>
      </c>
      <c r="O14">
        <v>99</v>
      </c>
      <c r="P14" s="11">
        <v>50.726999999999997</v>
      </c>
      <c r="Q14">
        <v>52.143000000000001</v>
      </c>
      <c r="R14" t="b">
        <v>1</v>
      </c>
    </row>
    <row r="15" spans="1:18" x14ac:dyDescent="0.3">
      <c r="A15" s="134">
        <f>IF(EQW[[#This Row],[AvailableToAllSchools]]=FALSE,IF(ISBLANK(EQW[[#This Row],[SchoolCodes]]),1,0),IF(EQW[[#This Row],[AvailableToAllSchools]]=TRUE,IF(ISBLANK(EQW[[#This Row],[SchoolCodes]]),0,1)))</f>
        <v>0</v>
      </c>
      <c r="B15" s="57">
        <f>IF(OR(EQW[[#This Row],[EquatedWeekPatternEnabled]]=TRUE,EQW[[#This Row],[EquatedWeekPatternEnabled]]=FALSE),IF(OR(EQW[[#This Row],[AvailableToAllSchools]]=TRUE,EQW[[#This Row],[AvailableToAllSchools]]=FALSE),0,1),1)</f>
        <v>0</v>
      </c>
      <c r="C15" s="134">
        <f>COUNTBLANK(EQW[[#This Row],[EquatedWeekPatternCode]:[AvailableToAllSchools]])+COUNTBLANK(EQW[[#This Row],[ServiceYearsFrom]:[EquatedWeekPatternEnabled]])</f>
        <v>0</v>
      </c>
      <c r="D15" s="57">
        <f>IF(LEN(EQW[[#This Row],[EquatedWeekPatternCode]])&lt;100,0,1)</f>
        <v>0</v>
      </c>
      <c r="E15" s="57">
        <f>IF(LEN(EQW[[#This Row],[EquatedWeekPatternTitle]])&lt;100,0,1)</f>
        <v>0</v>
      </c>
      <c r="F15" s="57">
        <f>IF(SUBSTITUTE(TEXT(EQW[[#This Row],[EquatedWeekPatternCode]],10)," ","")=TEXT(EQW[[#This Row],[EquatedWeekPatternCode]],10),0,1)</f>
        <v>0</v>
      </c>
      <c r="G15" s="134">
        <f>SUM(EQW[[#This Row],[Schools Check]:[Space in Code]])</f>
        <v>0</v>
      </c>
      <c r="H15" s="57">
        <f>IF(EQW[[#This Row],[EquatedWeeks]]&lt;=EQW[[#This Row],[FullTimeWeeks]],0,1)</f>
        <v>0</v>
      </c>
      <c r="J15" t="s">
        <v>3145</v>
      </c>
      <c r="K15" t="s">
        <v>3146</v>
      </c>
      <c r="L15" t="b">
        <v>1</v>
      </c>
      <c r="N15">
        <v>0</v>
      </c>
      <c r="O15">
        <v>4</v>
      </c>
      <c r="P15" s="11">
        <v>50.759</v>
      </c>
      <c r="Q15">
        <v>52.143000000000001</v>
      </c>
      <c r="R15" t="b">
        <v>1</v>
      </c>
    </row>
    <row r="16" spans="1:18" x14ac:dyDescent="0.3">
      <c r="A16" s="134">
        <f>IF(EQW[[#This Row],[AvailableToAllSchools]]=FALSE,IF(ISBLANK(EQW[[#This Row],[SchoolCodes]]),1,0),IF(EQW[[#This Row],[AvailableToAllSchools]]=TRUE,IF(ISBLANK(EQW[[#This Row],[SchoolCodes]]),0,1)))</f>
        <v>0</v>
      </c>
      <c r="B16" s="57">
        <f>IF(OR(EQW[[#This Row],[EquatedWeekPatternEnabled]]=TRUE,EQW[[#This Row],[EquatedWeekPatternEnabled]]=FALSE),IF(OR(EQW[[#This Row],[AvailableToAllSchools]]=TRUE,EQW[[#This Row],[AvailableToAllSchools]]=FALSE),0,1),1)</f>
        <v>0</v>
      </c>
      <c r="C16" s="134">
        <f>COUNTBLANK(EQW[[#This Row],[EquatedWeekPatternCode]:[AvailableToAllSchools]])+COUNTBLANK(EQW[[#This Row],[ServiceYearsFrom]:[EquatedWeekPatternEnabled]])</f>
        <v>0</v>
      </c>
      <c r="D16" s="57">
        <f>IF(LEN(EQW[[#This Row],[EquatedWeekPatternCode]])&lt;100,0,1)</f>
        <v>0</v>
      </c>
      <c r="E16" s="57">
        <f>IF(LEN(EQW[[#This Row],[EquatedWeekPatternTitle]])&lt;100,0,1)</f>
        <v>0</v>
      </c>
      <c r="F16" s="57">
        <f>IF(SUBSTITUTE(TEXT(EQW[[#This Row],[EquatedWeekPatternCode]],10)," ","")=TEXT(EQW[[#This Row],[EquatedWeekPatternCode]],10),0,1)</f>
        <v>0</v>
      </c>
      <c r="G16" s="134">
        <f>SUM(EQW[[#This Row],[Schools Check]:[Space in Code]])</f>
        <v>0</v>
      </c>
      <c r="H16" s="57">
        <f>IF(EQW[[#This Row],[EquatedWeeks]]&lt;=EQW[[#This Row],[FullTimeWeeks]],0,1)</f>
        <v>0</v>
      </c>
      <c r="J16" t="s">
        <v>3145</v>
      </c>
      <c r="K16" t="s">
        <v>3146</v>
      </c>
      <c r="L16" t="b">
        <v>1</v>
      </c>
      <c r="N16">
        <v>5</v>
      </c>
      <c r="O16">
        <v>99</v>
      </c>
      <c r="P16" s="11">
        <v>51.906999999999996</v>
      </c>
      <c r="Q16">
        <v>52.143000000000001</v>
      </c>
      <c r="R16" t="b">
        <v>1</v>
      </c>
    </row>
    <row r="17" spans="1:18" x14ac:dyDescent="0.3">
      <c r="A17" s="134">
        <f>IF(EQW[[#This Row],[AvailableToAllSchools]]=FALSE,IF(ISBLANK(EQW[[#This Row],[SchoolCodes]]),1,0),IF(EQW[[#This Row],[AvailableToAllSchools]]=TRUE,IF(ISBLANK(EQW[[#This Row],[SchoolCodes]]),0,1)))</f>
        <v>0</v>
      </c>
      <c r="B17" s="57">
        <f>IF(OR(EQW[[#This Row],[EquatedWeekPatternEnabled]]=TRUE,EQW[[#This Row],[EquatedWeekPatternEnabled]]=FALSE),IF(OR(EQW[[#This Row],[AvailableToAllSchools]]=TRUE,EQW[[#This Row],[AvailableToAllSchools]]=FALSE),0,1),1)</f>
        <v>0</v>
      </c>
      <c r="C17" s="134">
        <f>COUNTBLANK(EQW[[#This Row],[EquatedWeekPatternCode]:[AvailableToAllSchools]])+COUNTBLANK(EQW[[#This Row],[ServiceYearsFrom]:[EquatedWeekPatternEnabled]])</f>
        <v>0</v>
      </c>
      <c r="D17" s="57">
        <f>IF(LEN(EQW[[#This Row],[EquatedWeekPatternCode]])&lt;100,0,1)</f>
        <v>0</v>
      </c>
      <c r="E17" s="57">
        <f>IF(LEN(EQW[[#This Row],[EquatedWeekPatternTitle]])&lt;100,0,1)</f>
        <v>0</v>
      </c>
      <c r="F17" s="57">
        <f>IF(SUBSTITUTE(TEXT(EQW[[#This Row],[EquatedWeekPatternCode]],10)," ","")=TEXT(EQW[[#This Row],[EquatedWeekPatternCode]],10),0,1)</f>
        <v>0</v>
      </c>
      <c r="G17" s="134">
        <f>SUM(EQW[[#This Row],[Schools Check]:[Space in Code]])</f>
        <v>0</v>
      </c>
      <c r="H17" s="57">
        <f>IF(EQW[[#This Row],[EquatedWeeks]]&lt;=EQW[[#This Row],[FullTimeWeeks]],0,1)</f>
        <v>0</v>
      </c>
      <c r="J17" t="s">
        <v>3159</v>
      </c>
      <c r="K17" t="s">
        <v>3160</v>
      </c>
      <c r="L17" t="b">
        <v>0</v>
      </c>
      <c r="M17" t="s">
        <v>2082</v>
      </c>
      <c r="N17">
        <v>0</v>
      </c>
      <c r="O17">
        <v>99</v>
      </c>
      <c r="P17" s="11">
        <v>51.097000000000001</v>
      </c>
      <c r="Q17">
        <v>52.143000000000001</v>
      </c>
      <c r="R17" t="b">
        <v>1</v>
      </c>
    </row>
  </sheetData>
  <sortState xmlns:xlrd2="http://schemas.microsoft.com/office/spreadsheetml/2017/richdata2" ref="A2:R2">
    <sortCondition ref="M2"/>
    <sortCondition ref="N2"/>
    <sortCondition ref="P2"/>
  </sortState>
  <phoneticPr fontId="2" type="noConversion"/>
  <conditionalFormatting sqref="P1:P1048576">
    <cfRule type="duplicateValues" dxfId="5" priority="1"/>
    <cfRule type="duplicateValues" dxfId="4" priority="2"/>
  </conditionalFormatting>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B1F08B52-840E-4398-A14A-91A164735D03}">
          <x14:formula1>
            <xm:f>Validation!$G$2:$G$3</xm:f>
          </x14:formula1>
          <xm:sqref>L2:L17 R2:R17</xm:sqref>
        </x14:dataValidation>
      </x14:dataValidation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BC9C5-C6EC-45E3-97BE-7A834A00B3D5}">
  <sheetPr codeName="Sheet20">
    <tabColor theme="9" tint="0.39997558519241921"/>
  </sheetPr>
  <dimension ref="A1:AT16"/>
  <sheetViews>
    <sheetView topLeftCell="Z1" zoomScale="90" zoomScaleNormal="90" workbookViewId="0">
      <pane ySplit="1" topLeftCell="A2" activePane="bottomLeft" state="frozen"/>
      <selection activeCell="D2" sqref="D2"/>
      <selection pane="bottomLeft" activeCell="AD27" sqref="AD27"/>
    </sheetView>
  </sheetViews>
  <sheetFormatPr defaultColWidth="9.33203125" defaultRowHeight="14.4" outlineLevelCol="1" x14ac:dyDescent="0.3"/>
  <cols>
    <col min="1" max="1" width="9.5546875" style="15" hidden="1" customWidth="1" outlineLevel="1"/>
    <col min="2" max="2" width="9.6640625" style="12" hidden="1" customWidth="1" outlineLevel="1"/>
    <col min="3" max="5" width="8.5546875" style="12" hidden="1" customWidth="1" outlineLevel="1"/>
    <col min="6" max="6" width="9.6640625" style="12" hidden="1" customWidth="1" outlineLevel="1"/>
    <col min="7" max="7" width="9.44140625" style="12" hidden="1" customWidth="1" outlineLevel="1"/>
    <col min="8" max="8" width="8.5546875" style="12" hidden="1" customWidth="1" outlineLevel="1"/>
    <col min="9" max="9" width="10" style="12" hidden="1" customWidth="1" outlineLevel="1"/>
    <col min="10" max="10" width="11.88671875" style="12" hidden="1" customWidth="1" outlineLevel="1"/>
    <col min="11" max="11" width="10.33203125" style="12" hidden="1" customWidth="1" outlineLevel="1"/>
    <col min="12" max="21" width="8.5546875" style="12" hidden="1" customWidth="1" outlineLevel="1"/>
    <col min="22" max="22" width="9.33203125" style="12" hidden="1" customWidth="1" outlineLevel="1"/>
    <col min="23" max="25" width="9" style="12" hidden="1" customWidth="1" outlineLevel="1"/>
    <col min="26" max="26" width="8.5546875" style="12" customWidth="1" collapsed="1"/>
    <col min="27" max="27" width="12.88671875" style="12" customWidth="1"/>
    <col min="28" max="28" width="10.44140625" style="12" customWidth="1"/>
    <col min="29" max="29" width="51.5546875" style="12" bestFit="1" customWidth="1"/>
    <col min="30" max="30" width="9.33203125" style="12" customWidth="1"/>
    <col min="31" max="31" width="9.5546875" style="12" customWidth="1"/>
    <col min="32" max="32" width="10.5546875" style="12" customWidth="1"/>
    <col min="33" max="33" width="9.44140625" style="12" customWidth="1"/>
    <col min="34" max="34" width="11" style="12" customWidth="1"/>
    <col min="35" max="35" width="9.5546875" style="12" customWidth="1"/>
    <col min="36" max="37" width="8.109375" style="12" customWidth="1"/>
    <col min="38" max="38" width="8.88671875" style="12" customWidth="1"/>
    <col min="39" max="39" width="10.5546875" style="12" customWidth="1"/>
    <col min="40" max="40" width="13.88671875" style="12" customWidth="1"/>
    <col min="41" max="41" width="13.33203125" style="12" customWidth="1"/>
    <col min="42" max="42" width="23.109375" style="12" bestFit="1" customWidth="1"/>
    <col min="43" max="43" width="21.44140625" style="12" bestFit="1" customWidth="1"/>
    <col min="44" max="44" width="9.6640625" style="15" customWidth="1"/>
    <col min="45" max="45" width="10.88671875" style="15" customWidth="1"/>
    <col min="46" max="46" width="16.5546875" style="12" customWidth="1"/>
    <col min="47" max="16384" width="9.33203125" style="12"/>
  </cols>
  <sheetData>
    <row r="1" spans="1:46" s="24" customFormat="1" ht="57.6" x14ac:dyDescent="0.3">
      <c r="A1" s="53" t="s">
        <v>1636</v>
      </c>
      <c r="B1" s="53" t="s">
        <v>1608</v>
      </c>
      <c r="C1" s="65" t="s">
        <v>1667</v>
      </c>
      <c r="D1" s="65" t="s">
        <v>1668</v>
      </c>
      <c r="E1" s="65" t="s">
        <v>1669</v>
      </c>
      <c r="F1" s="65" t="s">
        <v>1670</v>
      </c>
      <c r="G1" s="65" t="s">
        <v>1671</v>
      </c>
      <c r="H1" s="65" t="s">
        <v>1672</v>
      </c>
      <c r="I1" s="65" t="s">
        <v>1673</v>
      </c>
      <c r="J1" s="65" t="s">
        <v>1675</v>
      </c>
      <c r="K1" s="65" t="s">
        <v>1674</v>
      </c>
      <c r="L1" s="65" t="s">
        <v>1676</v>
      </c>
      <c r="M1" s="65" t="s">
        <v>1677</v>
      </c>
      <c r="N1" s="65" t="s">
        <v>1678</v>
      </c>
      <c r="O1" s="65" t="s">
        <v>1679</v>
      </c>
      <c r="P1" s="65" t="s">
        <v>1680</v>
      </c>
      <c r="Q1" s="65" t="s">
        <v>1681</v>
      </c>
      <c r="R1" s="113" t="s">
        <v>1682</v>
      </c>
      <c r="S1" s="113" t="s">
        <v>1683</v>
      </c>
      <c r="T1" s="65" t="s">
        <v>1684</v>
      </c>
      <c r="U1" s="65" t="s">
        <v>1685</v>
      </c>
      <c r="V1" s="65" t="s">
        <v>1659</v>
      </c>
      <c r="W1" s="53" t="s">
        <v>1639</v>
      </c>
      <c r="X1" s="53" t="s">
        <v>1638</v>
      </c>
      <c r="Y1" s="122" t="s">
        <v>1660</v>
      </c>
      <c r="Z1" s="59" t="s">
        <v>886</v>
      </c>
      <c r="AA1" s="25" t="s">
        <v>1049</v>
      </c>
      <c r="AB1" s="25" t="s">
        <v>1158</v>
      </c>
      <c r="AC1" s="25" t="s">
        <v>62</v>
      </c>
      <c r="AD1" s="25" t="s">
        <v>1159</v>
      </c>
      <c r="AE1" s="25" t="s">
        <v>1160</v>
      </c>
      <c r="AF1" s="25" t="s">
        <v>1161</v>
      </c>
      <c r="AG1" s="25" t="s">
        <v>1162</v>
      </c>
      <c r="AH1" s="25" t="s">
        <v>1163</v>
      </c>
      <c r="AI1" s="25" t="s">
        <v>1164</v>
      </c>
      <c r="AJ1" s="25" t="s">
        <v>1165</v>
      </c>
      <c r="AK1" s="25" t="s">
        <v>1166</v>
      </c>
      <c r="AL1" s="25" t="s">
        <v>1167</v>
      </c>
      <c r="AM1" s="25" t="s">
        <v>1168</v>
      </c>
      <c r="AN1" s="25" t="s">
        <v>1169</v>
      </c>
      <c r="AO1" s="25" t="s">
        <v>1170</v>
      </c>
      <c r="AP1" s="25" t="s">
        <v>1519</v>
      </c>
      <c r="AQ1" s="25" t="s">
        <v>1520</v>
      </c>
      <c r="AR1" s="25" t="s">
        <v>1171</v>
      </c>
      <c r="AS1" s="25" t="s">
        <v>1172</v>
      </c>
      <c r="AT1" s="50" t="s">
        <v>1173</v>
      </c>
    </row>
    <row r="2" spans="1:46" x14ac:dyDescent="0.3">
      <c r="A2" s="57">
        <f>COUNTIF(SRG[StaffRoleGroupCode],SRG[[#This Row],[StaffRoleGroupCode]])-1</f>
        <v>0</v>
      </c>
      <c r="B2" s="57">
        <f>COUNTIF(SRG[Title],SRG[[#This Row],[Title]])-1</f>
        <v>0</v>
      </c>
      <c r="C2" s="57">
        <f>IFERROR(IF(_xlfn.XLOOKUP(SRG[[#This Row],[MinimumWageTopupFinanceCode]],FC_import[FinanceCode],FC_import[LedgerCode])=_xlfn.XLOOKUP(SRG[[#This Row],[GrossSalaryFinanceCode]],FinanceCodesBudget[FinanceCode],FinanceCodesBudget[LedgerCode]),0,1),1)</f>
        <v>0</v>
      </c>
      <c r="D2" s="57">
        <f>IFERROR(IF(_xlfn.XLOOKUP(SRG[[#This Row],[LivingWageTopupFinanceCode]],FC_import[FinanceCode],FC_import[LedgerCode])=_xlfn.XLOOKUP(SRG[[#This Row],[GrossSalaryFinanceCode]],FinanceCodesBudget[FinanceCode],FinanceCodesBudget[LedgerCode]),0,1),1)</f>
        <v>0</v>
      </c>
      <c r="E2" s="57">
        <f>IFERROR(IF(_xlfn.XLOOKUP(SRG[[#This Row],[OptOutPensionFinanceCode]],FC_import[FinanceCode],FC_import[LedgerCode])=_xlfn.XLOOKUP(SRG[[#This Row],[GrossSalaryFinanceCode]],FinanceCodesBudget[FinanceCode],FinanceCodesBudget[LedgerCode]),0,1),1)</f>
        <v>0</v>
      </c>
      <c r="F2" s="57">
        <f>IF(COUNTIF(FinanceCodesBudget[FinanceCode],SRG[[#This Row],[GrossSalaryFinanceCode]])&gt;0,0,1)</f>
        <v>0</v>
      </c>
      <c r="G2" s="57">
        <f>IF(SRG[[#This Row],[Gross Salary FC Issue]]=0,COUNTIF(FinanceCodesBudget[FinanceCode],SRG[[#This Row],[GrossSalaryFinanceCode]])-1,0)</f>
        <v>0</v>
      </c>
      <c r="H2" s="57">
        <f>IF(COUNTIF(FinanceCodesBudget[FinanceCode],SRG[[#This Row],[LeaveRebateFinanceCode]])&gt;0,0,1)</f>
        <v>0</v>
      </c>
      <c r="I2" s="57">
        <f>IF(SRG[[#This Row],[Leave Rebate FC Issue]]=0,COUNTIF(FinanceCodesBudget[FinanceCode],SRG[[#This Row],[LeaveRebateFinanceCode]])-1,0)</f>
        <v>0</v>
      </c>
      <c r="J2" s="57">
        <f>IF(COUNTIF(FinanceCodesBudget[FinanceCode],SRG[[#This Row],[AllowanceTypesFinanceCode]])&gt;0,0,1)</f>
        <v>0</v>
      </c>
      <c r="K2" s="57">
        <f>IF(SRG[[#This Row],[Allowance FC Issue]]=0,COUNTIF(FinanceCodesBudget[FinanceCode],SRG[[#This Row],[AllowanceTypesFinanceCode]])-1,0)</f>
        <v>0</v>
      </c>
      <c r="L2" s="57">
        <f>IF(COUNTIF(FinanceCodesBudget[FinanceCode],SRG[[#This Row],[AdjustmentsFinanceCode]])&gt;0,0,1)</f>
        <v>0</v>
      </c>
      <c r="M2" s="57">
        <f>IF(SRG[[#This Row],[Adj FC Issue]]=0,COUNTIF(FinanceCodesBudget[FinanceCode],SRG[[#This Row],[AdjustmentsFinanceCode]])-1,0)</f>
        <v>0</v>
      </c>
      <c r="N2" s="57">
        <f>IF(COUNTIF(FinanceCodesBudget[FinanceCode],SRG[[#This Row],[EmployersNiFinanceCode]])&gt;0,0,1)</f>
        <v>0</v>
      </c>
      <c r="O2" s="57">
        <f>IF(SRG[[#This Row],[NI FC Issue]]=0,COUNTIF(FinanceCodesBudget[FinanceCode],SRG[[#This Row],[EmployersNiFinanceCode]])-1,0)</f>
        <v>0</v>
      </c>
      <c r="P2" s="57">
        <f>IF(COUNTIF(FinanceCodesBudget[FinanceCode],SRG[[#This Row],[PensionFinanceCode]])&gt;0,0,1)</f>
        <v>0</v>
      </c>
      <c r="Q2" s="57">
        <f>IF(SRG[[#This Row],[Pension FC Issue]]=0,COUNTIF(FinanceCodesBudget[FinanceCode],SRG[[#This Row],[PensionFinanceCode]])-1,0)</f>
        <v>0</v>
      </c>
      <c r="R2" s="57">
        <f>IFERROR(IF(_xlfn.XLOOKUP(SRG[[#This Row],[WeeklyFteFinanceCode]],FC_import[FinanceCode],FC_import[LedgerCode])=_xlfn.XLOOKUP(SRG[[#This Row],[GrossSalaryFinanceCode]],FinanceCodesBudget[FinanceCode],FinanceCodesBudget[LedgerCode]),0,1),1)</f>
        <v>0</v>
      </c>
      <c r="S2" s="57">
        <f>IFERROR(IF(_xlfn.XLOOKUP(SRG[[#This Row],[AnnualFteFinanceCode]],FC_import[FinanceCode],FC_import[LedgerCode])=_xlfn.XLOOKUP(SRG[[#This Row],[GrossSalaryFinanceCode]],FinanceCodesBudget[FinanceCode],FinanceCodesBudget[LedgerCode]),0,1),1)</f>
        <v>0</v>
      </c>
      <c r="T2" s="57">
        <f>IFERROR(IF(_xlfn.XLOOKUP(SRG[[#This Row],[WeeklyFteLeaveAdjustmentFinanceCode]],FC_import[FinanceCode],FC_import[LedgerCode])=_xlfn.XLOOKUP(SRG[[#This Row],[GrossSalaryFinanceCode]],FinanceCodesBudget[FinanceCode],FinanceCodesBudget[LedgerCode]),0,1),1)</f>
        <v>0</v>
      </c>
      <c r="U2" s="57">
        <f>IFERROR(IF(_xlfn.XLOOKUP(SRG[[#This Row],[AnnualFteLeaveAdjustmentFinanceCode]],FC_import[FinanceCode],FC_import[LedgerCode])=_xlfn.XLOOKUP(SRG[[#This Row],[GrossSalaryFinanceCode]],FinanceCodesBudget[FinanceCode],FinanceCodesBudget[LedgerCode]),0,1),1)</f>
        <v>0</v>
      </c>
      <c r="V2" s="57">
        <f>IF(OR(SRG[[#This Row],[StaffRoleGroupEnabled]]=TRUE,SRG[[#This Row],[StaffRoleGroupEnabled]]=FALSE),IF(OR(SRG[[#This Row],[TeachingRoleGroup]]=TRUE,SRG[[#This Row],[TeachingRoleGroup]]=FALSE),0,1),1)</f>
        <v>0</v>
      </c>
      <c r="W2" s="57">
        <f>IF(LEN(SRG[[#This Row],[StaffRoleGroupCode]])&lt;100,0,1)</f>
        <v>0</v>
      </c>
      <c r="X2" s="57">
        <f>IF(LEN(SRG[[#This Row],[Title]])&lt;100,0,1)</f>
        <v>0</v>
      </c>
      <c r="Y2" s="57">
        <f>IF(SUBSTITUTE(TEXT(SRG[[#This Row],[StaffRoleGroupCode]],10)," ","")=TEXT(SRG[[#This Row],[StaffRoleGroupCode]],10),0,1)</f>
        <v>0</v>
      </c>
      <c r="Z2" s="57">
        <f>SUM(SRG[[#This Row],[Duplicate SRG Code]:[Space in Code]])</f>
        <v>0</v>
      </c>
      <c r="AB2" s="12" t="s">
        <v>1174</v>
      </c>
      <c r="AC2" s="12" t="s">
        <v>1175</v>
      </c>
      <c r="AD2" s="16">
        <v>610100</v>
      </c>
      <c r="AE2" s="104">
        <f>SRG[[#This Row],[GrossSalaryFinanceCode]]</f>
        <v>610100</v>
      </c>
      <c r="AF2" s="104">
        <f>SRG[[#This Row],[GrossSalaryFinanceCode]]</f>
        <v>610100</v>
      </c>
      <c r="AG2" s="104">
        <f>SRG[[#This Row],[GrossSalaryFinanceCode]]</f>
        <v>610100</v>
      </c>
      <c r="AH2" s="12" t="s">
        <v>961</v>
      </c>
      <c r="AI2" s="12" t="s">
        <v>959</v>
      </c>
      <c r="AJ2" s="16">
        <v>610200</v>
      </c>
      <c r="AK2" s="16">
        <v>610300</v>
      </c>
      <c r="AL2" s="12" t="s">
        <v>966</v>
      </c>
      <c r="AM2" s="104">
        <f>SRG[[#This Row],[GrossSalaryFinanceCode]]</f>
        <v>610100</v>
      </c>
      <c r="AN2" s="12" t="s">
        <v>986</v>
      </c>
      <c r="AO2" s="12" t="s">
        <v>940</v>
      </c>
      <c r="AP2" s="12" t="s">
        <v>1500</v>
      </c>
      <c r="AQ2" s="12" t="s">
        <v>1458</v>
      </c>
      <c r="AR2" s="26" t="b">
        <v>1</v>
      </c>
      <c r="AS2" s="12" t="b">
        <v>1</v>
      </c>
      <c r="AT2" s="12">
        <v>1</v>
      </c>
    </row>
    <row r="3" spans="1:46" x14ac:dyDescent="0.3">
      <c r="A3" s="57">
        <f>COUNTIF(SRG[StaffRoleGroupCode],SRG[[#This Row],[StaffRoleGroupCode]])-1</f>
        <v>0</v>
      </c>
      <c r="B3" s="57">
        <f>COUNTIF(SRG[Title],SRG[[#This Row],[Title]])-1</f>
        <v>0</v>
      </c>
      <c r="C3" s="57">
        <f>IFERROR(IF(_xlfn.XLOOKUP(SRG[[#This Row],[MinimumWageTopupFinanceCode]],FC_import[FinanceCode],FC_import[LedgerCode])=_xlfn.XLOOKUP(SRG[[#This Row],[GrossSalaryFinanceCode]],FinanceCodesBudget[FinanceCode],FinanceCodesBudget[LedgerCode]),0,1),1)</f>
        <v>0</v>
      </c>
      <c r="D3" s="57">
        <f>IFERROR(IF(_xlfn.XLOOKUP(SRG[[#This Row],[LivingWageTopupFinanceCode]],FC_import[FinanceCode],FC_import[LedgerCode])=_xlfn.XLOOKUP(SRG[[#This Row],[GrossSalaryFinanceCode]],FinanceCodesBudget[FinanceCode],FinanceCodesBudget[LedgerCode]),0,1),1)</f>
        <v>0</v>
      </c>
      <c r="E3" s="57">
        <f>IFERROR(IF(_xlfn.XLOOKUP(SRG[[#This Row],[OptOutPensionFinanceCode]],FC_import[FinanceCode],FC_import[LedgerCode])=_xlfn.XLOOKUP(SRG[[#This Row],[GrossSalaryFinanceCode]],FinanceCodesBudget[FinanceCode],FinanceCodesBudget[LedgerCode]),0,1),1)</f>
        <v>0</v>
      </c>
      <c r="F3" s="57">
        <f>IF(COUNTIF(FinanceCodesBudget[FinanceCode],SRG[[#This Row],[GrossSalaryFinanceCode]])&gt;0,0,1)</f>
        <v>0</v>
      </c>
      <c r="G3" s="57">
        <f>IF(SRG[[#This Row],[Gross Salary FC Issue]]=0,COUNTIF(FinanceCodesBudget[FinanceCode],SRG[[#This Row],[GrossSalaryFinanceCode]])-1,0)</f>
        <v>0</v>
      </c>
      <c r="H3" s="57">
        <f>IF(COUNTIF(FinanceCodesBudget[FinanceCode],SRG[[#This Row],[LeaveRebateFinanceCode]])&gt;0,0,1)</f>
        <v>0</v>
      </c>
      <c r="I3" s="57">
        <f>IF(SRG[[#This Row],[Leave Rebate FC Issue]]=0,COUNTIF(FinanceCodesBudget[FinanceCode],SRG[[#This Row],[LeaveRebateFinanceCode]])-1,0)</f>
        <v>0</v>
      </c>
      <c r="J3" s="57">
        <f>IF(COUNTIF(FinanceCodesBudget[FinanceCode],SRG[[#This Row],[AllowanceTypesFinanceCode]])&gt;0,0,1)</f>
        <v>0</v>
      </c>
      <c r="K3" s="57">
        <f>IF(SRG[[#This Row],[Allowance FC Issue]]=0,COUNTIF(FinanceCodesBudget[FinanceCode],SRG[[#This Row],[AllowanceTypesFinanceCode]])-1,0)</f>
        <v>0</v>
      </c>
      <c r="L3" s="57">
        <f>IF(COUNTIF(FinanceCodesBudget[FinanceCode],SRG[[#This Row],[AdjustmentsFinanceCode]])&gt;0,0,1)</f>
        <v>0</v>
      </c>
      <c r="M3" s="57">
        <f>IF(SRG[[#This Row],[Adj FC Issue]]=0,COUNTIF(FinanceCodesBudget[FinanceCode],SRG[[#This Row],[AdjustmentsFinanceCode]])-1,0)</f>
        <v>0</v>
      </c>
      <c r="N3" s="57">
        <f>IF(COUNTIF(FinanceCodesBudget[FinanceCode],SRG[[#This Row],[EmployersNiFinanceCode]])&gt;0,0,1)</f>
        <v>0</v>
      </c>
      <c r="O3" s="57">
        <f>IF(SRG[[#This Row],[NI FC Issue]]=0,COUNTIF(FinanceCodesBudget[FinanceCode],SRG[[#This Row],[EmployersNiFinanceCode]])-1,0)</f>
        <v>0</v>
      </c>
      <c r="P3" s="57">
        <f>IF(COUNTIF(FinanceCodesBudget[FinanceCode],SRG[[#This Row],[PensionFinanceCode]])&gt;0,0,1)</f>
        <v>0</v>
      </c>
      <c r="Q3" s="57">
        <f>IF(SRG[[#This Row],[Pension FC Issue]]=0,COUNTIF(FinanceCodesBudget[FinanceCode],SRG[[#This Row],[PensionFinanceCode]])-1,0)</f>
        <v>0</v>
      </c>
      <c r="R3" s="57">
        <f>IFERROR(IF(_xlfn.XLOOKUP(SRG[[#This Row],[WeeklyFteFinanceCode]],FC_import[FinanceCode],FC_import[LedgerCode])=_xlfn.XLOOKUP(SRG[[#This Row],[GrossSalaryFinanceCode]],FinanceCodesBudget[FinanceCode],FinanceCodesBudget[LedgerCode]),0,1),1)</f>
        <v>0</v>
      </c>
      <c r="S3" s="57">
        <f>IFERROR(IF(_xlfn.XLOOKUP(SRG[[#This Row],[AnnualFteFinanceCode]],FC_import[FinanceCode],FC_import[LedgerCode])=_xlfn.XLOOKUP(SRG[[#This Row],[GrossSalaryFinanceCode]],FinanceCodesBudget[FinanceCode],FinanceCodesBudget[LedgerCode]),0,1),1)</f>
        <v>0</v>
      </c>
      <c r="T3" s="57">
        <f>IFERROR(IF(_xlfn.XLOOKUP(SRG[[#This Row],[WeeklyFteLeaveAdjustmentFinanceCode]],FC_import[FinanceCode],FC_import[LedgerCode])=_xlfn.XLOOKUP(SRG[[#This Row],[GrossSalaryFinanceCode]],FinanceCodesBudget[FinanceCode],FinanceCodesBudget[LedgerCode]),0,1),1)</f>
        <v>0</v>
      </c>
      <c r="U3" s="57">
        <f>IFERROR(IF(_xlfn.XLOOKUP(SRG[[#This Row],[AnnualFteLeaveAdjustmentFinanceCode]],FC_import[FinanceCode],FC_import[LedgerCode])=_xlfn.XLOOKUP(SRG[[#This Row],[GrossSalaryFinanceCode]],FinanceCodesBudget[FinanceCode],FinanceCodesBudget[LedgerCode]),0,1),1)</f>
        <v>0</v>
      </c>
      <c r="V3" s="57">
        <f>IF(OR(SRG[[#This Row],[StaffRoleGroupEnabled]]=TRUE,SRG[[#This Row],[StaffRoleGroupEnabled]]=FALSE),IF(OR(SRG[[#This Row],[TeachingRoleGroup]]=TRUE,SRG[[#This Row],[TeachingRoleGroup]]=FALSE),0,1),1)</f>
        <v>0</v>
      </c>
      <c r="W3" s="57">
        <f>IF(LEN(SRG[[#This Row],[StaffRoleGroupCode]])&lt;100,0,1)</f>
        <v>0</v>
      </c>
      <c r="X3" s="57">
        <f>IF(LEN(SRG[[#This Row],[Title]])&lt;100,0,1)</f>
        <v>0</v>
      </c>
      <c r="Y3" s="57">
        <f>IF(SUBSTITUTE(TEXT(SRG[[#This Row],[StaffRoleGroupCode]],10)," ","")=TEXT(SRG[[#This Row],[StaffRoleGroupCode]],10),0,1)</f>
        <v>0</v>
      </c>
      <c r="Z3" s="57">
        <f>SUM(SRG[[#This Row],[Duplicate SRG Code]:[Space in Code]])</f>
        <v>0</v>
      </c>
      <c r="AB3" s="12" t="s">
        <v>1176</v>
      </c>
      <c r="AC3" s="12" t="s">
        <v>1177</v>
      </c>
      <c r="AD3" s="16">
        <v>611100</v>
      </c>
      <c r="AE3" s="104">
        <f>SRG[[#This Row],[GrossSalaryFinanceCode]]</f>
        <v>611100</v>
      </c>
      <c r="AF3" s="104">
        <f>SRG[[#This Row],[GrossSalaryFinanceCode]]</f>
        <v>611100</v>
      </c>
      <c r="AG3" s="104">
        <f>SRG[[#This Row],[GrossSalaryFinanceCode]]</f>
        <v>611100</v>
      </c>
      <c r="AH3" s="12" t="s">
        <v>961</v>
      </c>
      <c r="AI3" s="12" t="s">
        <v>959</v>
      </c>
      <c r="AJ3" s="16">
        <v>611200</v>
      </c>
      <c r="AK3" s="16">
        <v>611300</v>
      </c>
      <c r="AL3" s="12" t="s">
        <v>966</v>
      </c>
      <c r="AM3" s="104">
        <f>SRG[[#This Row],[GrossSalaryFinanceCode]]</f>
        <v>611100</v>
      </c>
      <c r="AN3" s="12" t="s">
        <v>988</v>
      </c>
      <c r="AO3" s="12" t="s">
        <v>942</v>
      </c>
      <c r="AP3" s="12" t="s">
        <v>1498</v>
      </c>
      <c r="AQ3" s="12" t="s">
        <v>1456</v>
      </c>
      <c r="AR3" s="12" t="b">
        <v>0</v>
      </c>
      <c r="AS3" s="12" t="b">
        <v>1</v>
      </c>
      <c r="AT3" s="12">
        <v>1</v>
      </c>
    </row>
    <row r="4" spans="1:46" x14ac:dyDescent="0.3">
      <c r="A4" s="57">
        <f>COUNTIF(SRG[StaffRoleGroupCode],SRG[[#This Row],[StaffRoleGroupCode]])-1</f>
        <v>0</v>
      </c>
      <c r="B4" s="57">
        <f>COUNTIF(SRG[Title],SRG[[#This Row],[Title]])-1</f>
        <v>0</v>
      </c>
      <c r="C4" s="57">
        <f>IFERROR(IF(_xlfn.XLOOKUP(SRG[[#This Row],[MinimumWageTopupFinanceCode]],FC_import[FinanceCode],FC_import[LedgerCode])=_xlfn.XLOOKUP(SRG[[#This Row],[GrossSalaryFinanceCode]],FinanceCodesBudget[FinanceCode],FinanceCodesBudget[LedgerCode]),0,1),1)</f>
        <v>0</v>
      </c>
      <c r="D4" s="57">
        <f>IFERROR(IF(_xlfn.XLOOKUP(SRG[[#This Row],[LivingWageTopupFinanceCode]],FC_import[FinanceCode],FC_import[LedgerCode])=_xlfn.XLOOKUP(SRG[[#This Row],[GrossSalaryFinanceCode]],FinanceCodesBudget[FinanceCode],FinanceCodesBudget[LedgerCode]),0,1),1)</f>
        <v>0</v>
      </c>
      <c r="E4" s="57">
        <f>IFERROR(IF(_xlfn.XLOOKUP(SRG[[#This Row],[OptOutPensionFinanceCode]],FC_import[FinanceCode],FC_import[LedgerCode])=_xlfn.XLOOKUP(SRG[[#This Row],[GrossSalaryFinanceCode]],FinanceCodesBudget[FinanceCode],FinanceCodesBudget[LedgerCode]),0,1),1)</f>
        <v>0</v>
      </c>
      <c r="F4" s="57">
        <f>IF(COUNTIF(FinanceCodesBudget[FinanceCode],SRG[[#This Row],[GrossSalaryFinanceCode]])&gt;0,0,1)</f>
        <v>0</v>
      </c>
      <c r="G4" s="57">
        <f>IF(SRG[[#This Row],[Gross Salary FC Issue]]=0,COUNTIF(FinanceCodesBudget[FinanceCode],SRG[[#This Row],[GrossSalaryFinanceCode]])-1,0)</f>
        <v>0</v>
      </c>
      <c r="H4" s="57">
        <f>IF(COUNTIF(FinanceCodesBudget[FinanceCode],SRG[[#This Row],[LeaveRebateFinanceCode]])&gt;0,0,1)</f>
        <v>0</v>
      </c>
      <c r="I4" s="57">
        <f>IF(SRG[[#This Row],[Leave Rebate FC Issue]]=0,COUNTIF(FinanceCodesBudget[FinanceCode],SRG[[#This Row],[LeaveRebateFinanceCode]])-1,0)</f>
        <v>0</v>
      </c>
      <c r="J4" s="57">
        <f>IF(COUNTIF(FinanceCodesBudget[FinanceCode],SRG[[#This Row],[AllowanceTypesFinanceCode]])&gt;0,0,1)</f>
        <v>0</v>
      </c>
      <c r="K4" s="57">
        <f>IF(SRG[[#This Row],[Allowance FC Issue]]=0,COUNTIF(FinanceCodesBudget[FinanceCode],SRG[[#This Row],[AllowanceTypesFinanceCode]])-1,0)</f>
        <v>0</v>
      </c>
      <c r="L4" s="57">
        <f>IF(COUNTIF(FinanceCodesBudget[FinanceCode],SRG[[#This Row],[AdjustmentsFinanceCode]])&gt;0,0,1)</f>
        <v>0</v>
      </c>
      <c r="M4" s="57">
        <f>IF(SRG[[#This Row],[Adj FC Issue]]=0,COUNTIF(FinanceCodesBudget[FinanceCode],SRG[[#This Row],[AdjustmentsFinanceCode]])-1,0)</f>
        <v>0</v>
      </c>
      <c r="N4" s="57">
        <f>IF(COUNTIF(FinanceCodesBudget[FinanceCode],SRG[[#This Row],[EmployersNiFinanceCode]])&gt;0,0,1)</f>
        <v>0</v>
      </c>
      <c r="O4" s="57">
        <f>IF(SRG[[#This Row],[NI FC Issue]]=0,COUNTIF(FinanceCodesBudget[FinanceCode],SRG[[#This Row],[EmployersNiFinanceCode]])-1,0)</f>
        <v>0</v>
      </c>
      <c r="P4" s="57">
        <f>IF(COUNTIF(FinanceCodesBudget[FinanceCode],SRG[[#This Row],[PensionFinanceCode]])&gt;0,0,1)</f>
        <v>0</v>
      </c>
      <c r="Q4" s="57">
        <f>IF(SRG[[#This Row],[Pension FC Issue]]=0,COUNTIF(FinanceCodesBudget[FinanceCode],SRG[[#This Row],[PensionFinanceCode]])-1,0)</f>
        <v>0</v>
      </c>
      <c r="R4" s="57">
        <f>IFERROR(IF(_xlfn.XLOOKUP(SRG[[#This Row],[WeeklyFteFinanceCode]],FC_import[FinanceCode],FC_import[LedgerCode])=_xlfn.XLOOKUP(SRG[[#This Row],[GrossSalaryFinanceCode]],FinanceCodesBudget[FinanceCode],FinanceCodesBudget[LedgerCode]),0,1),1)</f>
        <v>0</v>
      </c>
      <c r="S4" s="57">
        <f>IFERROR(IF(_xlfn.XLOOKUP(SRG[[#This Row],[AnnualFteFinanceCode]],FC_import[FinanceCode],FC_import[LedgerCode])=_xlfn.XLOOKUP(SRG[[#This Row],[GrossSalaryFinanceCode]],FinanceCodesBudget[FinanceCode],FinanceCodesBudget[LedgerCode]),0,1),1)</f>
        <v>0</v>
      </c>
      <c r="T4" s="57">
        <f>IFERROR(IF(_xlfn.XLOOKUP(SRG[[#This Row],[WeeklyFteLeaveAdjustmentFinanceCode]],FC_import[FinanceCode],FC_import[LedgerCode])=_xlfn.XLOOKUP(SRG[[#This Row],[GrossSalaryFinanceCode]],FinanceCodesBudget[FinanceCode],FinanceCodesBudget[LedgerCode]),0,1),1)</f>
        <v>0</v>
      </c>
      <c r="U4" s="57">
        <f>IFERROR(IF(_xlfn.XLOOKUP(SRG[[#This Row],[AnnualFteLeaveAdjustmentFinanceCode]],FC_import[FinanceCode],FC_import[LedgerCode])=_xlfn.XLOOKUP(SRG[[#This Row],[GrossSalaryFinanceCode]],FinanceCodesBudget[FinanceCode],FinanceCodesBudget[LedgerCode]),0,1),1)</f>
        <v>0</v>
      </c>
      <c r="V4" s="57">
        <f>IF(OR(SRG[[#This Row],[StaffRoleGroupEnabled]]=TRUE,SRG[[#This Row],[StaffRoleGroupEnabled]]=FALSE),IF(OR(SRG[[#This Row],[TeachingRoleGroup]]=TRUE,SRG[[#This Row],[TeachingRoleGroup]]=FALSE),0,1),1)</f>
        <v>0</v>
      </c>
      <c r="W4" s="57">
        <f>IF(LEN(SRG[[#This Row],[StaffRoleGroupCode]])&lt;100,0,1)</f>
        <v>0</v>
      </c>
      <c r="X4" s="57">
        <f>IF(LEN(SRG[[#This Row],[Title]])&lt;100,0,1)</f>
        <v>0</v>
      </c>
      <c r="Y4" s="57">
        <f>IF(SUBSTITUTE(TEXT(SRG[[#This Row],[StaffRoleGroupCode]],10)," ","")=TEXT(SRG[[#This Row],[StaffRoleGroupCode]],10),0,1)</f>
        <v>0</v>
      </c>
      <c r="Z4" s="57">
        <f>SUM(SRG[[#This Row],[Duplicate SRG Code]:[Space in Code]])</f>
        <v>0</v>
      </c>
      <c r="AB4" s="12" t="s">
        <v>1178</v>
      </c>
      <c r="AC4" s="12" t="s">
        <v>1179</v>
      </c>
      <c r="AD4" s="16">
        <v>612100</v>
      </c>
      <c r="AE4" s="104">
        <f>SRG[[#This Row],[GrossSalaryFinanceCode]]</f>
        <v>612100</v>
      </c>
      <c r="AF4" s="104">
        <f>SRG[[#This Row],[GrossSalaryFinanceCode]]</f>
        <v>612100</v>
      </c>
      <c r="AG4" s="104">
        <f>SRG[[#This Row],[GrossSalaryFinanceCode]]</f>
        <v>612100</v>
      </c>
      <c r="AH4" s="12" t="s">
        <v>961</v>
      </c>
      <c r="AI4" s="12" t="s">
        <v>959</v>
      </c>
      <c r="AJ4" s="16">
        <v>612200</v>
      </c>
      <c r="AK4" s="16">
        <v>612300</v>
      </c>
      <c r="AL4" s="12" t="s">
        <v>966</v>
      </c>
      <c r="AM4" s="104">
        <f>SRG[[#This Row],[GrossSalaryFinanceCode]]</f>
        <v>612100</v>
      </c>
      <c r="AN4" s="63" t="s">
        <v>1002</v>
      </c>
      <c r="AO4" s="63" t="s">
        <v>956</v>
      </c>
      <c r="AP4" s="63" t="s">
        <v>1515</v>
      </c>
      <c r="AQ4" s="63" t="s">
        <v>1473</v>
      </c>
      <c r="AR4" s="26" t="b">
        <v>1</v>
      </c>
      <c r="AS4" s="12" t="b">
        <v>1</v>
      </c>
      <c r="AT4" s="12">
        <v>1</v>
      </c>
    </row>
    <row r="5" spans="1:46" x14ac:dyDescent="0.3">
      <c r="A5" s="57">
        <f>COUNTIF(SRG[StaffRoleGroupCode],SRG[[#This Row],[StaffRoleGroupCode]])-1</f>
        <v>0</v>
      </c>
      <c r="B5" s="57">
        <f>COUNTIF(SRG[Title],SRG[[#This Row],[Title]])-1</f>
        <v>0</v>
      </c>
      <c r="C5" s="57">
        <f>IFERROR(IF(_xlfn.XLOOKUP(SRG[[#This Row],[MinimumWageTopupFinanceCode]],FC_import[FinanceCode],FC_import[LedgerCode])=_xlfn.XLOOKUP(SRG[[#This Row],[GrossSalaryFinanceCode]],FinanceCodesBudget[FinanceCode],FinanceCodesBudget[LedgerCode]),0,1),1)</f>
        <v>0</v>
      </c>
      <c r="D5" s="57">
        <f>IFERROR(IF(_xlfn.XLOOKUP(SRG[[#This Row],[LivingWageTopupFinanceCode]],FC_import[FinanceCode],FC_import[LedgerCode])=_xlfn.XLOOKUP(SRG[[#This Row],[GrossSalaryFinanceCode]],FinanceCodesBudget[FinanceCode],FinanceCodesBudget[LedgerCode]),0,1),1)</f>
        <v>0</v>
      </c>
      <c r="E5" s="57">
        <f>IFERROR(IF(_xlfn.XLOOKUP(SRG[[#This Row],[OptOutPensionFinanceCode]],FC_import[FinanceCode],FC_import[LedgerCode])=_xlfn.XLOOKUP(SRG[[#This Row],[GrossSalaryFinanceCode]],FinanceCodesBudget[FinanceCode],FinanceCodesBudget[LedgerCode]),0,1),1)</f>
        <v>0</v>
      </c>
      <c r="F5" s="57">
        <f>IF(COUNTIF(FinanceCodesBudget[FinanceCode],SRG[[#This Row],[GrossSalaryFinanceCode]])&gt;0,0,1)</f>
        <v>0</v>
      </c>
      <c r="G5" s="57">
        <f>IF(SRG[[#This Row],[Gross Salary FC Issue]]=0,COUNTIF(FinanceCodesBudget[FinanceCode],SRG[[#This Row],[GrossSalaryFinanceCode]])-1,0)</f>
        <v>0</v>
      </c>
      <c r="H5" s="57">
        <f>IF(COUNTIF(FinanceCodesBudget[FinanceCode],SRG[[#This Row],[LeaveRebateFinanceCode]])&gt;0,0,1)</f>
        <v>0</v>
      </c>
      <c r="I5" s="57">
        <f>IF(SRG[[#This Row],[Leave Rebate FC Issue]]=0,COUNTIF(FinanceCodesBudget[FinanceCode],SRG[[#This Row],[LeaveRebateFinanceCode]])-1,0)</f>
        <v>0</v>
      </c>
      <c r="J5" s="57">
        <f>IF(COUNTIF(FinanceCodesBudget[FinanceCode],SRG[[#This Row],[AllowanceTypesFinanceCode]])&gt;0,0,1)</f>
        <v>0</v>
      </c>
      <c r="K5" s="57">
        <f>IF(SRG[[#This Row],[Allowance FC Issue]]=0,COUNTIF(FinanceCodesBudget[FinanceCode],SRG[[#This Row],[AllowanceTypesFinanceCode]])-1,0)</f>
        <v>0</v>
      </c>
      <c r="L5" s="57">
        <f>IF(COUNTIF(FinanceCodesBudget[FinanceCode],SRG[[#This Row],[AdjustmentsFinanceCode]])&gt;0,0,1)</f>
        <v>0</v>
      </c>
      <c r="M5" s="57">
        <f>IF(SRG[[#This Row],[Adj FC Issue]]=0,COUNTIF(FinanceCodesBudget[FinanceCode],SRG[[#This Row],[AdjustmentsFinanceCode]])-1,0)</f>
        <v>0</v>
      </c>
      <c r="N5" s="57">
        <f>IF(COUNTIF(FinanceCodesBudget[FinanceCode],SRG[[#This Row],[EmployersNiFinanceCode]])&gt;0,0,1)</f>
        <v>0</v>
      </c>
      <c r="O5" s="57">
        <f>IF(SRG[[#This Row],[NI FC Issue]]=0,COUNTIF(FinanceCodesBudget[FinanceCode],SRG[[#This Row],[EmployersNiFinanceCode]])-1,0)</f>
        <v>0</v>
      </c>
      <c r="P5" s="57">
        <f>IF(COUNTIF(FinanceCodesBudget[FinanceCode],SRG[[#This Row],[PensionFinanceCode]])&gt;0,0,1)</f>
        <v>0</v>
      </c>
      <c r="Q5" s="57">
        <f>IF(SRG[[#This Row],[Pension FC Issue]]=0,COUNTIF(FinanceCodesBudget[FinanceCode],SRG[[#This Row],[PensionFinanceCode]])-1,0)</f>
        <v>0</v>
      </c>
      <c r="R5" s="57">
        <f>IFERROR(IF(_xlfn.XLOOKUP(SRG[[#This Row],[WeeklyFteFinanceCode]],FC_import[FinanceCode],FC_import[LedgerCode])=_xlfn.XLOOKUP(SRG[[#This Row],[GrossSalaryFinanceCode]],FinanceCodesBudget[FinanceCode],FinanceCodesBudget[LedgerCode]),0,1),1)</f>
        <v>0</v>
      </c>
      <c r="S5" s="57">
        <f>IFERROR(IF(_xlfn.XLOOKUP(SRG[[#This Row],[AnnualFteFinanceCode]],FC_import[FinanceCode],FC_import[LedgerCode])=_xlfn.XLOOKUP(SRG[[#This Row],[GrossSalaryFinanceCode]],FinanceCodesBudget[FinanceCode],FinanceCodesBudget[LedgerCode]),0,1),1)</f>
        <v>0</v>
      </c>
      <c r="T5" s="57">
        <f>IFERROR(IF(_xlfn.XLOOKUP(SRG[[#This Row],[WeeklyFteLeaveAdjustmentFinanceCode]],FC_import[FinanceCode],FC_import[LedgerCode])=_xlfn.XLOOKUP(SRG[[#This Row],[GrossSalaryFinanceCode]],FinanceCodesBudget[FinanceCode],FinanceCodesBudget[LedgerCode]),0,1),1)</f>
        <v>0</v>
      </c>
      <c r="U5" s="57">
        <f>IFERROR(IF(_xlfn.XLOOKUP(SRG[[#This Row],[AnnualFteLeaveAdjustmentFinanceCode]],FC_import[FinanceCode],FC_import[LedgerCode])=_xlfn.XLOOKUP(SRG[[#This Row],[GrossSalaryFinanceCode]],FinanceCodesBudget[FinanceCode],FinanceCodesBudget[LedgerCode]),0,1),1)</f>
        <v>0</v>
      </c>
      <c r="V5" s="57">
        <f>IF(OR(SRG[[#This Row],[StaffRoleGroupEnabled]]=TRUE,SRG[[#This Row],[StaffRoleGroupEnabled]]=FALSE),IF(OR(SRG[[#This Row],[TeachingRoleGroup]]=TRUE,SRG[[#This Row],[TeachingRoleGroup]]=FALSE),0,1),1)</f>
        <v>0</v>
      </c>
      <c r="W5" s="57">
        <f>IF(LEN(SRG[[#This Row],[StaffRoleGroupCode]])&lt;100,0,1)</f>
        <v>0</v>
      </c>
      <c r="X5" s="57">
        <f>IF(LEN(SRG[[#This Row],[Title]])&lt;100,0,1)</f>
        <v>0</v>
      </c>
      <c r="Y5" s="57">
        <f>IF(SUBSTITUTE(TEXT(SRG[[#This Row],[StaffRoleGroupCode]],10)," ","")=TEXT(SRG[[#This Row],[StaffRoleGroupCode]],10),0,1)</f>
        <v>0</v>
      </c>
      <c r="Z5" s="57">
        <f>SUM(SRG[[#This Row],[Duplicate SRG Code]:[Space in Code]])</f>
        <v>0</v>
      </c>
      <c r="AB5" s="12" t="s">
        <v>1180</v>
      </c>
      <c r="AC5" s="12" t="s">
        <v>1181</v>
      </c>
      <c r="AD5" s="16">
        <v>615100</v>
      </c>
      <c r="AE5" s="104">
        <f>SRG[[#This Row],[GrossSalaryFinanceCode]]</f>
        <v>615100</v>
      </c>
      <c r="AF5" s="104">
        <f>SRG[[#This Row],[GrossSalaryFinanceCode]]</f>
        <v>615100</v>
      </c>
      <c r="AG5" s="104">
        <f>SRG[[#This Row],[GrossSalaryFinanceCode]]</f>
        <v>615100</v>
      </c>
      <c r="AH5" s="12" t="s">
        <v>961</v>
      </c>
      <c r="AI5" s="12" t="s">
        <v>959</v>
      </c>
      <c r="AJ5" s="16">
        <v>615200</v>
      </c>
      <c r="AK5" s="16">
        <v>615300</v>
      </c>
      <c r="AL5" s="12" t="s">
        <v>966</v>
      </c>
      <c r="AM5" s="104">
        <f>SRG[[#This Row],[GrossSalaryFinanceCode]]</f>
        <v>615100</v>
      </c>
      <c r="AN5" s="63" t="s">
        <v>1000</v>
      </c>
      <c r="AO5" s="63" t="s">
        <v>954</v>
      </c>
      <c r="AP5" s="63" t="s">
        <v>1513</v>
      </c>
      <c r="AQ5" s="63" t="s">
        <v>1471</v>
      </c>
      <c r="AR5" s="12" t="b">
        <v>0</v>
      </c>
      <c r="AS5" s="12" t="b">
        <v>1</v>
      </c>
      <c r="AT5" s="12">
        <v>1</v>
      </c>
    </row>
    <row r="6" spans="1:46" x14ac:dyDescent="0.3">
      <c r="A6" s="57">
        <f>COUNTIF(SRG[StaffRoleGroupCode],SRG[[#This Row],[StaffRoleGroupCode]])-1</f>
        <v>0</v>
      </c>
      <c r="B6" s="57">
        <f>COUNTIF(SRG[Title],SRG[[#This Row],[Title]])-1</f>
        <v>0</v>
      </c>
      <c r="C6" s="57">
        <f>IFERROR(IF(_xlfn.XLOOKUP(SRG[[#This Row],[MinimumWageTopupFinanceCode]],FC_import[FinanceCode],FC_import[LedgerCode])=_xlfn.XLOOKUP(SRG[[#This Row],[GrossSalaryFinanceCode]],FinanceCodesBudget[FinanceCode],FinanceCodesBudget[LedgerCode]),0,1),1)</f>
        <v>0</v>
      </c>
      <c r="D6" s="57">
        <f>IFERROR(IF(_xlfn.XLOOKUP(SRG[[#This Row],[LivingWageTopupFinanceCode]],FC_import[FinanceCode],FC_import[LedgerCode])=_xlfn.XLOOKUP(SRG[[#This Row],[GrossSalaryFinanceCode]],FinanceCodesBudget[FinanceCode],FinanceCodesBudget[LedgerCode]),0,1),1)</f>
        <v>0</v>
      </c>
      <c r="E6" s="57">
        <f>IFERROR(IF(_xlfn.XLOOKUP(SRG[[#This Row],[OptOutPensionFinanceCode]],FC_import[FinanceCode],FC_import[LedgerCode])=_xlfn.XLOOKUP(SRG[[#This Row],[GrossSalaryFinanceCode]],FinanceCodesBudget[FinanceCode],FinanceCodesBudget[LedgerCode]),0,1),1)</f>
        <v>0</v>
      </c>
      <c r="F6" s="57">
        <f>IF(COUNTIF(FinanceCodesBudget[FinanceCode],SRG[[#This Row],[GrossSalaryFinanceCode]])&gt;0,0,1)</f>
        <v>0</v>
      </c>
      <c r="G6" s="57">
        <f>IF(SRG[[#This Row],[Gross Salary FC Issue]]=0,COUNTIF(FinanceCodesBudget[FinanceCode],SRG[[#This Row],[GrossSalaryFinanceCode]])-1,0)</f>
        <v>0</v>
      </c>
      <c r="H6" s="57">
        <f>IF(COUNTIF(FinanceCodesBudget[FinanceCode],SRG[[#This Row],[LeaveRebateFinanceCode]])&gt;0,0,1)</f>
        <v>0</v>
      </c>
      <c r="I6" s="57">
        <f>IF(SRG[[#This Row],[Leave Rebate FC Issue]]=0,COUNTIF(FinanceCodesBudget[FinanceCode],SRG[[#This Row],[LeaveRebateFinanceCode]])-1,0)</f>
        <v>0</v>
      </c>
      <c r="J6" s="57">
        <f>IF(COUNTIF(FinanceCodesBudget[FinanceCode],SRG[[#This Row],[AllowanceTypesFinanceCode]])&gt;0,0,1)</f>
        <v>0</v>
      </c>
      <c r="K6" s="57">
        <f>IF(SRG[[#This Row],[Allowance FC Issue]]=0,COUNTIF(FinanceCodesBudget[FinanceCode],SRG[[#This Row],[AllowanceTypesFinanceCode]])-1,0)</f>
        <v>0</v>
      </c>
      <c r="L6" s="57">
        <f>IF(COUNTIF(FinanceCodesBudget[FinanceCode],SRG[[#This Row],[AdjustmentsFinanceCode]])&gt;0,0,1)</f>
        <v>0</v>
      </c>
      <c r="M6" s="57">
        <f>IF(SRG[[#This Row],[Adj FC Issue]]=0,COUNTIF(FinanceCodesBudget[FinanceCode],SRG[[#This Row],[AdjustmentsFinanceCode]])-1,0)</f>
        <v>0</v>
      </c>
      <c r="N6" s="57">
        <f>IF(COUNTIF(FinanceCodesBudget[FinanceCode],SRG[[#This Row],[EmployersNiFinanceCode]])&gt;0,0,1)</f>
        <v>0</v>
      </c>
      <c r="O6" s="57">
        <f>IF(SRG[[#This Row],[NI FC Issue]]=0,COUNTIF(FinanceCodesBudget[FinanceCode],SRG[[#This Row],[EmployersNiFinanceCode]])-1,0)</f>
        <v>0</v>
      </c>
      <c r="P6" s="57">
        <f>IF(COUNTIF(FinanceCodesBudget[FinanceCode],SRG[[#This Row],[PensionFinanceCode]])&gt;0,0,1)</f>
        <v>0</v>
      </c>
      <c r="Q6" s="57">
        <f>IF(SRG[[#This Row],[Pension FC Issue]]=0,COUNTIF(FinanceCodesBudget[FinanceCode],SRG[[#This Row],[PensionFinanceCode]])-1,0)</f>
        <v>0</v>
      </c>
      <c r="R6" s="57">
        <f>IFERROR(IF(_xlfn.XLOOKUP(SRG[[#This Row],[WeeklyFteFinanceCode]],FC_import[FinanceCode],FC_import[LedgerCode])=_xlfn.XLOOKUP(SRG[[#This Row],[GrossSalaryFinanceCode]],FinanceCodesBudget[FinanceCode],FinanceCodesBudget[LedgerCode]),0,1),1)</f>
        <v>0</v>
      </c>
      <c r="S6" s="57">
        <f>IFERROR(IF(_xlfn.XLOOKUP(SRG[[#This Row],[AnnualFteFinanceCode]],FC_import[FinanceCode],FC_import[LedgerCode])=_xlfn.XLOOKUP(SRG[[#This Row],[GrossSalaryFinanceCode]],FinanceCodesBudget[FinanceCode],FinanceCodesBudget[LedgerCode]),0,1),1)</f>
        <v>0</v>
      </c>
      <c r="T6" s="57">
        <f>IFERROR(IF(_xlfn.XLOOKUP(SRG[[#This Row],[WeeklyFteLeaveAdjustmentFinanceCode]],FC_import[FinanceCode],FC_import[LedgerCode])=_xlfn.XLOOKUP(SRG[[#This Row],[GrossSalaryFinanceCode]],FinanceCodesBudget[FinanceCode],FinanceCodesBudget[LedgerCode]),0,1),1)</f>
        <v>0</v>
      </c>
      <c r="U6" s="57">
        <f>IFERROR(IF(_xlfn.XLOOKUP(SRG[[#This Row],[AnnualFteLeaveAdjustmentFinanceCode]],FC_import[FinanceCode],FC_import[LedgerCode])=_xlfn.XLOOKUP(SRG[[#This Row],[GrossSalaryFinanceCode]],FinanceCodesBudget[FinanceCode],FinanceCodesBudget[LedgerCode]),0,1),1)</f>
        <v>0</v>
      </c>
      <c r="V6" s="57">
        <f>IF(OR(SRG[[#This Row],[StaffRoleGroupEnabled]]=TRUE,SRG[[#This Row],[StaffRoleGroupEnabled]]=FALSE),IF(OR(SRG[[#This Row],[TeachingRoleGroup]]=TRUE,SRG[[#This Row],[TeachingRoleGroup]]=FALSE),0,1),1)</f>
        <v>0</v>
      </c>
      <c r="W6" s="57">
        <f>IF(LEN(SRG[[#This Row],[StaffRoleGroupCode]])&lt;100,0,1)</f>
        <v>0</v>
      </c>
      <c r="X6" s="57">
        <f>IF(LEN(SRG[[#This Row],[Title]])&lt;100,0,1)</f>
        <v>0</v>
      </c>
      <c r="Y6" s="57">
        <f>IF(SUBSTITUTE(TEXT(SRG[[#This Row],[StaffRoleGroupCode]],10)," ","")=TEXT(SRG[[#This Row],[StaffRoleGroupCode]],10),0,1)</f>
        <v>0</v>
      </c>
      <c r="Z6" s="57">
        <f>SUM(SRG[[#This Row],[Duplicate SRG Code]:[Space in Code]])</f>
        <v>0</v>
      </c>
      <c r="AB6" s="12" t="s">
        <v>3161</v>
      </c>
      <c r="AC6" s="12" t="s">
        <v>3162</v>
      </c>
      <c r="AD6" s="16">
        <v>619100</v>
      </c>
      <c r="AE6" s="104">
        <f>SRG[[#This Row],[GrossSalaryFinanceCode]]</f>
        <v>619100</v>
      </c>
      <c r="AF6" s="104">
        <f>SRG[[#This Row],[GrossSalaryFinanceCode]]</f>
        <v>619100</v>
      </c>
      <c r="AG6" s="104">
        <f>SRG[[#This Row],[GrossSalaryFinanceCode]]</f>
        <v>619100</v>
      </c>
      <c r="AH6" s="12" t="s">
        <v>961</v>
      </c>
      <c r="AI6" s="12" t="s">
        <v>959</v>
      </c>
      <c r="AJ6" s="16">
        <v>619200</v>
      </c>
      <c r="AK6" s="16">
        <v>619300</v>
      </c>
      <c r="AL6" s="12" t="s">
        <v>966</v>
      </c>
      <c r="AM6" s="104">
        <f>SRG[[#This Row],[GrossSalaryFinanceCode]]</f>
        <v>619100</v>
      </c>
      <c r="AN6" s="63" t="s">
        <v>1375</v>
      </c>
      <c r="AO6" s="63" t="s">
        <v>1373</v>
      </c>
      <c r="AP6" s="63" t="s">
        <v>1486</v>
      </c>
      <c r="AQ6" s="63" t="s">
        <v>1444</v>
      </c>
      <c r="AR6" s="12" t="b">
        <v>0</v>
      </c>
      <c r="AS6" s="12" t="b">
        <v>1</v>
      </c>
      <c r="AT6" s="12">
        <v>1</v>
      </c>
    </row>
    <row r="7" spans="1:46" x14ac:dyDescent="0.3">
      <c r="A7" s="57">
        <f>COUNTIF(SRG[StaffRoleGroupCode],SRG[[#This Row],[StaffRoleGroupCode]])-1</f>
        <v>0</v>
      </c>
      <c r="B7" s="57">
        <f>COUNTIF(SRG[Title],SRG[[#This Row],[Title]])-1</f>
        <v>0</v>
      </c>
      <c r="C7" s="57">
        <f>IFERROR(IF(_xlfn.XLOOKUP(SRG[[#This Row],[MinimumWageTopupFinanceCode]],FC_import[FinanceCode],FC_import[LedgerCode])=_xlfn.XLOOKUP(SRG[[#This Row],[GrossSalaryFinanceCode]],FinanceCodesBudget[FinanceCode],FinanceCodesBudget[LedgerCode]),0,1),1)</f>
        <v>0</v>
      </c>
      <c r="D7" s="57">
        <f>IFERROR(IF(_xlfn.XLOOKUP(SRG[[#This Row],[LivingWageTopupFinanceCode]],FC_import[FinanceCode],FC_import[LedgerCode])=_xlfn.XLOOKUP(SRG[[#This Row],[GrossSalaryFinanceCode]],FinanceCodesBudget[FinanceCode],FinanceCodesBudget[LedgerCode]),0,1),1)</f>
        <v>0</v>
      </c>
      <c r="E7" s="57">
        <f>IFERROR(IF(_xlfn.XLOOKUP(SRG[[#This Row],[OptOutPensionFinanceCode]],FC_import[FinanceCode],FC_import[LedgerCode])=_xlfn.XLOOKUP(SRG[[#This Row],[GrossSalaryFinanceCode]],FinanceCodesBudget[FinanceCode],FinanceCodesBudget[LedgerCode]),0,1),1)</f>
        <v>0</v>
      </c>
      <c r="F7" s="57">
        <f>IF(COUNTIF(FinanceCodesBudget[FinanceCode],SRG[[#This Row],[GrossSalaryFinanceCode]])&gt;0,0,1)</f>
        <v>0</v>
      </c>
      <c r="G7" s="57">
        <f>IF(SRG[[#This Row],[Gross Salary FC Issue]]=0,COUNTIF(FinanceCodesBudget[FinanceCode],SRG[[#This Row],[GrossSalaryFinanceCode]])-1,0)</f>
        <v>0</v>
      </c>
      <c r="H7" s="57">
        <f>IF(COUNTIF(FinanceCodesBudget[FinanceCode],SRG[[#This Row],[LeaveRebateFinanceCode]])&gt;0,0,1)</f>
        <v>0</v>
      </c>
      <c r="I7" s="57">
        <f>IF(SRG[[#This Row],[Leave Rebate FC Issue]]=0,COUNTIF(FinanceCodesBudget[FinanceCode],SRG[[#This Row],[LeaveRebateFinanceCode]])-1,0)</f>
        <v>0</v>
      </c>
      <c r="J7" s="57">
        <f>IF(COUNTIF(FinanceCodesBudget[FinanceCode],SRG[[#This Row],[AllowanceTypesFinanceCode]])&gt;0,0,1)</f>
        <v>0</v>
      </c>
      <c r="K7" s="57">
        <f>IF(SRG[[#This Row],[Allowance FC Issue]]=0,COUNTIF(FinanceCodesBudget[FinanceCode],SRG[[#This Row],[AllowanceTypesFinanceCode]])-1,0)</f>
        <v>0</v>
      </c>
      <c r="L7" s="57">
        <f>IF(COUNTIF(FinanceCodesBudget[FinanceCode],SRG[[#This Row],[AdjustmentsFinanceCode]])&gt;0,0,1)</f>
        <v>0</v>
      </c>
      <c r="M7" s="57">
        <f>IF(SRG[[#This Row],[Adj FC Issue]]=0,COUNTIF(FinanceCodesBudget[FinanceCode],SRG[[#This Row],[AdjustmentsFinanceCode]])-1,0)</f>
        <v>0</v>
      </c>
      <c r="N7" s="57">
        <f>IF(COUNTIF(FinanceCodesBudget[FinanceCode],SRG[[#This Row],[EmployersNiFinanceCode]])&gt;0,0,1)</f>
        <v>0</v>
      </c>
      <c r="O7" s="57">
        <f>IF(SRG[[#This Row],[NI FC Issue]]=0,COUNTIF(FinanceCodesBudget[FinanceCode],SRG[[#This Row],[EmployersNiFinanceCode]])-1,0)</f>
        <v>0</v>
      </c>
      <c r="P7" s="57">
        <f>IF(COUNTIF(FinanceCodesBudget[FinanceCode],SRG[[#This Row],[PensionFinanceCode]])&gt;0,0,1)</f>
        <v>0</v>
      </c>
      <c r="Q7" s="57">
        <f>IF(SRG[[#This Row],[Pension FC Issue]]=0,COUNTIF(FinanceCodesBudget[FinanceCode],SRG[[#This Row],[PensionFinanceCode]])-1,0)</f>
        <v>0</v>
      </c>
      <c r="R7" s="57">
        <f>IFERROR(IF(_xlfn.XLOOKUP(SRG[[#This Row],[WeeklyFteFinanceCode]],FC_import[FinanceCode],FC_import[LedgerCode])=_xlfn.XLOOKUP(SRG[[#This Row],[GrossSalaryFinanceCode]],FinanceCodesBudget[FinanceCode],FinanceCodesBudget[LedgerCode]),0,1),1)</f>
        <v>0</v>
      </c>
      <c r="S7" s="57">
        <f>IFERROR(IF(_xlfn.XLOOKUP(SRG[[#This Row],[AnnualFteFinanceCode]],FC_import[FinanceCode],FC_import[LedgerCode])=_xlfn.XLOOKUP(SRG[[#This Row],[GrossSalaryFinanceCode]],FinanceCodesBudget[FinanceCode],FinanceCodesBudget[LedgerCode]),0,1),1)</f>
        <v>0</v>
      </c>
      <c r="T7" s="57">
        <f>IFERROR(IF(_xlfn.XLOOKUP(SRG[[#This Row],[WeeklyFteLeaveAdjustmentFinanceCode]],FC_import[FinanceCode],FC_import[LedgerCode])=_xlfn.XLOOKUP(SRG[[#This Row],[GrossSalaryFinanceCode]],FinanceCodesBudget[FinanceCode],FinanceCodesBudget[LedgerCode]),0,1),1)</f>
        <v>0</v>
      </c>
      <c r="U7" s="57">
        <f>IFERROR(IF(_xlfn.XLOOKUP(SRG[[#This Row],[AnnualFteLeaveAdjustmentFinanceCode]],FC_import[FinanceCode],FC_import[LedgerCode])=_xlfn.XLOOKUP(SRG[[#This Row],[GrossSalaryFinanceCode]],FinanceCodesBudget[FinanceCode],FinanceCodesBudget[LedgerCode]),0,1),1)</f>
        <v>0</v>
      </c>
      <c r="V7" s="57">
        <f>IF(OR(SRG[[#This Row],[StaffRoleGroupEnabled]]=TRUE,SRG[[#This Row],[StaffRoleGroupEnabled]]=FALSE),IF(OR(SRG[[#This Row],[TeachingRoleGroup]]=TRUE,SRG[[#This Row],[TeachingRoleGroup]]=FALSE),0,1),1)</f>
        <v>0</v>
      </c>
      <c r="W7" s="57">
        <f>IF(LEN(SRG[[#This Row],[StaffRoleGroupCode]])&lt;100,0,1)</f>
        <v>0</v>
      </c>
      <c r="X7" s="57">
        <f>IF(LEN(SRG[[#This Row],[Title]])&lt;100,0,1)</f>
        <v>0</v>
      </c>
      <c r="Y7" s="57">
        <f>IF(SUBSTITUTE(TEXT(SRG[[#This Row],[StaffRoleGroupCode]],10)," ","")=TEXT(SRG[[#This Row],[StaffRoleGroupCode]],10),0,1)</f>
        <v>0</v>
      </c>
      <c r="Z7" s="57">
        <f>SUM(SRG[[#This Row],[Duplicate SRG Code]:[Space in Code]])</f>
        <v>0</v>
      </c>
      <c r="AB7" s="12" t="s">
        <v>1182</v>
      </c>
      <c r="AC7" s="12" t="s">
        <v>1183</v>
      </c>
      <c r="AD7" s="16">
        <v>620100</v>
      </c>
      <c r="AE7" s="104">
        <f>SRG[[#This Row],[GrossSalaryFinanceCode]]</f>
        <v>620100</v>
      </c>
      <c r="AF7" s="104">
        <f>SRG[[#This Row],[GrossSalaryFinanceCode]]</f>
        <v>620100</v>
      </c>
      <c r="AG7" s="104">
        <f>SRG[[#This Row],[GrossSalaryFinanceCode]]</f>
        <v>620100</v>
      </c>
      <c r="AH7" s="12" t="s">
        <v>961</v>
      </c>
      <c r="AI7" s="12" t="s">
        <v>959</v>
      </c>
      <c r="AJ7" s="16">
        <v>620200</v>
      </c>
      <c r="AK7" s="16">
        <v>620300</v>
      </c>
      <c r="AL7" s="12" t="s">
        <v>966</v>
      </c>
      <c r="AM7" s="104">
        <f>SRG[[#This Row],[GrossSalaryFinanceCode]]</f>
        <v>620100</v>
      </c>
      <c r="AN7" s="12" t="s">
        <v>984</v>
      </c>
      <c r="AO7" s="12" t="s">
        <v>938</v>
      </c>
      <c r="AP7" s="12" t="s">
        <v>1496</v>
      </c>
      <c r="AQ7" s="12" t="s">
        <v>1454</v>
      </c>
      <c r="AR7" s="15" t="b">
        <v>0</v>
      </c>
      <c r="AS7" s="15" t="b">
        <v>1</v>
      </c>
      <c r="AT7" s="12">
        <v>1</v>
      </c>
    </row>
    <row r="8" spans="1:46" x14ac:dyDescent="0.3">
      <c r="A8" s="57">
        <f>COUNTIF(SRG[StaffRoleGroupCode],SRG[[#This Row],[StaffRoleGroupCode]])-1</f>
        <v>0</v>
      </c>
      <c r="B8" s="57">
        <f>COUNTIF(SRG[Title],SRG[[#This Row],[Title]])-1</f>
        <v>0</v>
      </c>
      <c r="C8" s="57">
        <f>IFERROR(IF(_xlfn.XLOOKUP(SRG[[#This Row],[MinimumWageTopupFinanceCode]],FC_import[FinanceCode],FC_import[LedgerCode])=_xlfn.XLOOKUP(SRG[[#This Row],[GrossSalaryFinanceCode]],FinanceCodesBudget[FinanceCode],FinanceCodesBudget[LedgerCode]),0,1),1)</f>
        <v>0</v>
      </c>
      <c r="D8" s="57">
        <f>IFERROR(IF(_xlfn.XLOOKUP(SRG[[#This Row],[LivingWageTopupFinanceCode]],FC_import[FinanceCode],FC_import[LedgerCode])=_xlfn.XLOOKUP(SRG[[#This Row],[GrossSalaryFinanceCode]],FinanceCodesBudget[FinanceCode],FinanceCodesBudget[LedgerCode]),0,1),1)</f>
        <v>0</v>
      </c>
      <c r="E8" s="57">
        <f>IFERROR(IF(_xlfn.XLOOKUP(SRG[[#This Row],[OptOutPensionFinanceCode]],FC_import[FinanceCode],FC_import[LedgerCode])=_xlfn.XLOOKUP(SRG[[#This Row],[GrossSalaryFinanceCode]],FinanceCodesBudget[FinanceCode],FinanceCodesBudget[LedgerCode]),0,1),1)</f>
        <v>0</v>
      </c>
      <c r="F8" s="57">
        <f>IF(COUNTIF(FinanceCodesBudget[FinanceCode],SRG[[#This Row],[GrossSalaryFinanceCode]])&gt;0,0,1)</f>
        <v>0</v>
      </c>
      <c r="G8" s="57">
        <f>IF(SRG[[#This Row],[Gross Salary FC Issue]]=0,COUNTIF(FinanceCodesBudget[FinanceCode],SRG[[#This Row],[GrossSalaryFinanceCode]])-1,0)</f>
        <v>0</v>
      </c>
      <c r="H8" s="57">
        <f>IF(COUNTIF(FinanceCodesBudget[FinanceCode],SRG[[#This Row],[LeaveRebateFinanceCode]])&gt;0,0,1)</f>
        <v>0</v>
      </c>
      <c r="I8" s="57">
        <f>IF(SRG[[#This Row],[Leave Rebate FC Issue]]=0,COUNTIF(FinanceCodesBudget[FinanceCode],SRG[[#This Row],[LeaveRebateFinanceCode]])-1,0)</f>
        <v>0</v>
      </c>
      <c r="J8" s="57">
        <f>IF(COUNTIF(FinanceCodesBudget[FinanceCode],SRG[[#This Row],[AllowanceTypesFinanceCode]])&gt;0,0,1)</f>
        <v>0</v>
      </c>
      <c r="K8" s="57">
        <f>IF(SRG[[#This Row],[Allowance FC Issue]]=0,COUNTIF(FinanceCodesBudget[FinanceCode],SRG[[#This Row],[AllowanceTypesFinanceCode]])-1,0)</f>
        <v>0</v>
      </c>
      <c r="L8" s="57">
        <f>IF(COUNTIF(FinanceCodesBudget[FinanceCode],SRG[[#This Row],[AdjustmentsFinanceCode]])&gt;0,0,1)</f>
        <v>0</v>
      </c>
      <c r="M8" s="57">
        <f>IF(SRG[[#This Row],[Adj FC Issue]]=0,COUNTIF(FinanceCodesBudget[FinanceCode],SRG[[#This Row],[AdjustmentsFinanceCode]])-1,0)</f>
        <v>0</v>
      </c>
      <c r="N8" s="57">
        <f>IF(COUNTIF(FinanceCodesBudget[FinanceCode],SRG[[#This Row],[EmployersNiFinanceCode]])&gt;0,0,1)</f>
        <v>0</v>
      </c>
      <c r="O8" s="57">
        <f>IF(SRG[[#This Row],[NI FC Issue]]=0,COUNTIF(FinanceCodesBudget[FinanceCode],SRG[[#This Row],[EmployersNiFinanceCode]])-1,0)</f>
        <v>0</v>
      </c>
      <c r="P8" s="57">
        <f>IF(COUNTIF(FinanceCodesBudget[FinanceCode],SRG[[#This Row],[PensionFinanceCode]])&gt;0,0,1)</f>
        <v>0</v>
      </c>
      <c r="Q8" s="57">
        <f>IF(SRG[[#This Row],[Pension FC Issue]]=0,COUNTIF(FinanceCodesBudget[FinanceCode],SRG[[#This Row],[PensionFinanceCode]])-1,0)</f>
        <v>0</v>
      </c>
      <c r="R8" s="57">
        <f>IFERROR(IF(_xlfn.XLOOKUP(SRG[[#This Row],[WeeklyFteFinanceCode]],FC_import[FinanceCode],FC_import[LedgerCode])=_xlfn.XLOOKUP(SRG[[#This Row],[GrossSalaryFinanceCode]],FinanceCodesBudget[FinanceCode],FinanceCodesBudget[LedgerCode]),0,1),1)</f>
        <v>0</v>
      </c>
      <c r="S8" s="57">
        <f>IFERROR(IF(_xlfn.XLOOKUP(SRG[[#This Row],[AnnualFteFinanceCode]],FC_import[FinanceCode],FC_import[LedgerCode])=_xlfn.XLOOKUP(SRG[[#This Row],[GrossSalaryFinanceCode]],FinanceCodesBudget[FinanceCode],FinanceCodesBudget[LedgerCode]),0,1),1)</f>
        <v>0</v>
      </c>
      <c r="T8" s="57">
        <f>IFERROR(IF(_xlfn.XLOOKUP(SRG[[#This Row],[WeeklyFteLeaveAdjustmentFinanceCode]],FC_import[FinanceCode],FC_import[LedgerCode])=_xlfn.XLOOKUP(SRG[[#This Row],[GrossSalaryFinanceCode]],FinanceCodesBudget[FinanceCode],FinanceCodesBudget[LedgerCode]),0,1),1)</f>
        <v>0</v>
      </c>
      <c r="U8" s="57">
        <f>IFERROR(IF(_xlfn.XLOOKUP(SRG[[#This Row],[AnnualFteLeaveAdjustmentFinanceCode]],FC_import[FinanceCode],FC_import[LedgerCode])=_xlfn.XLOOKUP(SRG[[#This Row],[GrossSalaryFinanceCode]],FinanceCodesBudget[FinanceCode],FinanceCodesBudget[LedgerCode]),0,1),1)</f>
        <v>0</v>
      </c>
      <c r="V8" s="57">
        <f>IF(OR(SRG[[#This Row],[StaffRoleGroupEnabled]]=TRUE,SRG[[#This Row],[StaffRoleGroupEnabled]]=FALSE),IF(OR(SRG[[#This Row],[TeachingRoleGroup]]=TRUE,SRG[[#This Row],[TeachingRoleGroup]]=FALSE),0,1),1)</f>
        <v>0</v>
      </c>
      <c r="W8" s="57">
        <f>IF(LEN(SRG[[#This Row],[StaffRoleGroupCode]])&lt;100,0,1)</f>
        <v>0</v>
      </c>
      <c r="X8" s="57">
        <f>IF(LEN(SRG[[#This Row],[Title]])&lt;100,0,1)</f>
        <v>0</v>
      </c>
      <c r="Y8" s="57">
        <f>IF(SUBSTITUTE(TEXT(SRG[[#This Row],[StaffRoleGroupCode]],10)," ","")=TEXT(SRG[[#This Row],[StaffRoleGroupCode]],10),0,1)</f>
        <v>0</v>
      </c>
      <c r="Z8" s="57">
        <f>SUM(SRG[[#This Row],[Duplicate SRG Code]:[Space in Code]])</f>
        <v>0</v>
      </c>
      <c r="AB8" s="12" t="s">
        <v>1184</v>
      </c>
      <c r="AC8" s="12" t="s">
        <v>1185</v>
      </c>
      <c r="AD8" s="16">
        <v>622100</v>
      </c>
      <c r="AE8" s="104">
        <f>SRG[[#This Row],[GrossSalaryFinanceCode]]</f>
        <v>622100</v>
      </c>
      <c r="AF8" s="104">
        <f>SRG[[#This Row],[GrossSalaryFinanceCode]]</f>
        <v>622100</v>
      </c>
      <c r="AG8" s="104">
        <f>SRG[[#This Row],[GrossSalaryFinanceCode]]</f>
        <v>622100</v>
      </c>
      <c r="AH8" s="12" t="s">
        <v>961</v>
      </c>
      <c r="AI8" s="12" t="s">
        <v>959</v>
      </c>
      <c r="AJ8" s="16">
        <v>622200</v>
      </c>
      <c r="AK8" s="16">
        <v>622300</v>
      </c>
      <c r="AL8" s="12" t="s">
        <v>966</v>
      </c>
      <c r="AM8" s="104">
        <f>SRG[[#This Row],[GrossSalaryFinanceCode]]</f>
        <v>622100</v>
      </c>
      <c r="AN8" s="12" t="s">
        <v>1003</v>
      </c>
      <c r="AO8" s="12" t="s">
        <v>957</v>
      </c>
      <c r="AP8" s="12" t="s">
        <v>1517</v>
      </c>
      <c r="AQ8" s="12" t="s">
        <v>1475</v>
      </c>
      <c r="AR8" s="15" t="b">
        <v>0</v>
      </c>
      <c r="AS8" s="15" t="b">
        <v>1</v>
      </c>
      <c r="AT8" s="12">
        <v>1</v>
      </c>
    </row>
    <row r="9" spans="1:46" x14ac:dyDescent="0.3">
      <c r="A9" s="57">
        <f>COUNTIF(SRG[StaffRoleGroupCode],SRG[[#This Row],[StaffRoleGroupCode]])-1</f>
        <v>0</v>
      </c>
      <c r="B9" s="57">
        <f>COUNTIF(SRG[Title],SRG[[#This Row],[Title]])-1</f>
        <v>0</v>
      </c>
      <c r="C9" s="57">
        <f>IFERROR(IF(_xlfn.XLOOKUP(SRG[[#This Row],[MinimumWageTopupFinanceCode]],FC_import[FinanceCode],FC_import[LedgerCode])=_xlfn.XLOOKUP(SRG[[#This Row],[GrossSalaryFinanceCode]],FinanceCodesBudget[FinanceCode],FinanceCodesBudget[LedgerCode]),0,1),1)</f>
        <v>0</v>
      </c>
      <c r="D9" s="57">
        <f>IFERROR(IF(_xlfn.XLOOKUP(SRG[[#This Row],[LivingWageTopupFinanceCode]],FC_import[FinanceCode],FC_import[LedgerCode])=_xlfn.XLOOKUP(SRG[[#This Row],[GrossSalaryFinanceCode]],FinanceCodesBudget[FinanceCode],FinanceCodesBudget[LedgerCode]),0,1),1)</f>
        <v>0</v>
      </c>
      <c r="E9" s="57">
        <f>IFERROR(IF(_xlfn.XLOOKUP(SRG[[#This Row],[OptOutPensionFinanceCode]],FC_import[FinanceCode],FC_import[LedgerCode])=_xlfn.XLOOKUP(SRG[[#This Row],[GrossSalaryFinanceCode]],FinanceCodesBudget[FinanceCode],FinanceCodesBudget[LedgerCode]),0,1),1)</f>
        <v>0</v>
      </c>
      <c r="F9" s="57">
        <f>IF(COUNTIF(FinanceCodesBudget[FinanceCode],SRG[[#This Row],[GrossSalaryFinanceCode]])&gt;0,0,1)</f>
        <v>0</v>
      </c>
      <c r="G9" s="57">
        <f>IF(SRG[[#This Row],[Gross Salary FC Issue]]=0,COUNTIF(FinanceCodesBudget[FinanceCode],SRG[[#This Row],[GrossSalaryFinanceCode]])-1,0)</f>
        <v>0</v>
      </c>
      <c r="H9" s="57">
        <f>IF(COUNTIF(FinanceCodesBudget[FinanceCode],SRG[[#This Row],[LeaveRebateFinanceCode]])&gt;0,0,1)</f>
        <v>0</v>
      </c>
      <c r="I9" s="57">
        <f>IF(SRG[[#This Row],[Leave Rebate FC Issue]]=0,COUNTIF(FinanceCodesBudget[FinanceCode],SRG[[#This Row],[LeaveRebateFinanceCode]])-1,0)</f>
        <v>0</v>
      </c>
      <c r="J9" s="57">
        <f>IF(COUNTIF(FinanceCodesBudget[FinanceCode],SRG[[#This Row],[AllowanceTypesFinanceCode]])&gt;0,0,1)</f>
        <v>0</v>
      </c>
      <c r="K9" s="57">
        <f>IF(SRG[[#This Row],[Allowance FC Issue]]=0,COUNTIF(FinanceCodesBudget[FinanceCode],SRG[[#This Row],[AllowanceTypesFinanceCode]])-1,0)</f>
        <v>0</v>
      </c>
      <c r="L9" s="57">
        <f>IF(COUNTIF(FinanceCodesBudget[FinanceCode],SRG[[#This Row],[AdjustmentsFinanceCode]])&gt;0,0,1)</f>
        <v>0</v>
      </c>
      <c r="M9" s="57">
        <f>IF(SRG[[#This Row],[Adj FC Issue]]=0,COUNTIF(FinanceCodesBudget[FinanceCode],SRG[[#This Row],[AdjustmentsFinanceCode]])-1,0)</f>
        <v>0</v>
      </c>
      <c r="N9" s="57">
        <f>IF(COUNTIF(FinanceCodesBudget[FinanceCode],SRG[[#This Row],[EmployersNiFinanceCode]])&gt;0,0,1)</f>
        <v>0</v>
      </c>
      <c r="O9" s="57">
        <f>IF(SRG[[#This Row],[NI FC Issue]]=0,COUNTIF(FinanceCodesBudget[FinanceCode],SRG[[#This Row],[EmployersNiFinanceCode]])-1,0)</f>
        <v>0</v>
      </c>
      <c r="P9" s="57">
        <f>IF(COUNTIF(FinanceCodesBudget[FinanceCode],SRG[[#This Row],[PensionFinanceCode]])&gt;0,0,1)</f>
        <v>0</v>
      </c>
      <c r="Q9" s="57">
        <f>IF(SRG[[#This Row],[Pension FC Issue]]=0,COUNTIF(FinanceCodesBudget[FinanceCode],SRG[[#This Row],[PensionFinanceCode]])-1,0)</f>
        <v>0</v>
      </c>
      <c r="R9" s="57">
        <f>IFERROR(IF(_xlfn.XLOOKUP(SRG[[#This Row],[WeeklyFteFinanceCode]],FC_import[FinanceCode],FC_import[LedgerCode])=_xlfn.XLOOKUP(SRG[[#This Row],[GrossSalaryFinanceCode]],FinanceCodesBudget[FinanceCode],FinanceCodesBudget[LedgerCode]),0,1),1)</f>
        <v>0</v>
      </c>
      <c r="S9" s="57">
        <f>IFERROR(IF(_xlfn.XLOOKUP(SRG[[#This Row],[AnnualFteFinanceCode]],FC_import[FinanceCode],FC_import[LedgerCode])=_xlfn.XLOOKUP(SRG[[#This Row],[GrossSalaryFinanceCode]],FinanceCodesBudget[FinanceCode],FinanceCodesBudget[LedgerCode]),0,1),1)</f>
        <v>0</v>
      </c>
      <c r="T9" s="57">
        <f>IFERROR(IF(_xlfn.XLOOKUP(SRG[[#This Row],[WeeklyFteLeaveAdjustmentFinanceCode]],FC_import[FinanceCode],FC_import[LedgerCode])=_xlfn.XLOOKUP(SRG[[#This Row],[GrossSalaryFinanceCode]],FinanceCodesBudget[FinanceCode],FinanceCodesBudget[LedgerCode]),0,1),1)</f>
        <v>0</v>
      </c>
      <c r="U9" s="57">
        <f>IFERROR(IF(_xlfn.XLOOKUP(SRG[[#This Row],[AnnualFteLeaveAdjustmentFinanceCode]],FC_import[FinanceCode],FC_import[LedgerCode])=_xlfn.XLOOKUP(SRG[[#This Row],[GrossSalaryFinanceCode]],FinanceCodesBudget[FinanceCode],FinanceCodesBudget[LedgerCode]),0,1),1)</f>
        <v>0</v>
      </c>
      <c r="V9" s="57">
        <f>IF(OR(SRG[[#This Row],[StaffRoleGroupEnabled]]=TRUE,SRG[[#This Row],[StaffRoleGroupEnabled]]=FALSE),IF(OR(SRG[[#This Row],[TeachingRoleGroup]]=TRUE,SRG[[#This Row],[TeachingRoleGroup]]=FALSE),0,1),1)</f>
        <v>0</v>
      </c>
      <c r="W9" s="57">
        <f>IF(LEN(SRG[[#This Row],[StaffRoleGroupCode]])&lt;100,0,1)</f>
        <v>0</v>
      </c>
      <c r="X9" s="57">
        <f>IF(LEN(SRG[[#This Row],[Title]])&lt;100,0,1)</f>
        <v>0</v>
      </c>
      <c r="Y9" s="57">
        <f>IF(SUBSTITUTE(TEXT(SRG[[#This Row],[StaffRoleGroupCode]],10)," ","")=TEXT(SRG[[#This Row],[StaffRoleGroupCode]],10),0,1)</f>
        <v>0</v>
      </c>
      <c r="Z9" s="57">
        <f>SUM(SRG[[#This Row],[Duplicate SRG Code]:[Space in Code]])</f>
        <v>0</v>
      </c>
      <c r="AB9" s="12" t="s">
        <v>1186</v>
      </c>
      <c r="AC9" s="12" t="s">
        <v>1187</v>
      </c>
      <c r="AD9" s="16">
        <v>625100</v>
      </c>
      <c r="AE9" s="104">
        <f>SRG[[#This Row],[GrossSalaryFinanceCode]]</f>
        <v>625100</v>
      </c>
      <c r="AF9" s="104">
        <f>SRG[[#This Row],[GrossSalaryFinanceCode]]</f>
        <v>625100</v>
      </c>
      <c r="AG9" s="104">
        <f>SRG[[#This Row],[GrossSalaryFinanceCode]]</f>
        <v>625100</v>
      </c>
      <c r="AH9" s="12" t="s">
        <v>961</v>
      </c>
      <c r="AI9" s="12" t="s">
        <v>959</v>
      </c>
      <c r="AJ9" s="16">
        <v>625200</v>
      </c>
      <c r="AK9" s="16">
        <v>625300</v>
      </c>
      <c r="AL9" s="12" t="s">
        <v>966</v>
      </c>
      <c r="AM9" s="104">
        <f>SRG[[#This Row],[GrossSalaryFinanceCode]]</f>
        <v>625100</v>
      </c>
      <c r="AN9" s="12" t="s">
        <v>968</v>
      </c>
      <c r="AO9" s="12" t="s">
        <v>921</v>
      </c>
      <c r="AP9" s="12" t="s">
        <v>1477</v>
      </c>
      <c r="AQ9" s="12" t="s">
        <v>1435</v>
      </c>
      <c r="AR9" s="15" t="b">
        <v>0</v>
      </c>
      <c r="AS9" s="15" t="b">
        <v>1</v>
      </c>
      <c r="AT9" s="12">
        <v>1</v>
      </c>
    </row>
    <row r="10" spans="1:46" x14ac:dyDescent="0.3">
      <c r="A10" s="57">
        <f>COUNTIF(SRG[StaffRoleGroupCode],SRG[[#This Row],[StaffRoleGroupCode]])-1</f>
        <v>0</v>
      </c>
      <c r="B10" s="57">
        <f>COUNTIF(SRG[Title],SRG[[#This Row],[Title]])-1</f>
        <v>0</v>
      </c>
      <c r="C10" s="57">
        <f>IFERROR(IF(_xlfn.XLOOKUP(SRG[[#This Row],[MinimumWageTopupFinanceCode]],FC_import[FinanceCode],FC_import[LedgerCode])=_xlfn.XLOOKUP(SRG[[#This Row],[GrossSalaryFinanceCode]],FinanceCodesBudget[FinanceCode],FinanceCodesBudget[LedgerCode]),0,1),1)</f>
        <v>0</v>
      </c>
      <c r="D10" s="57">
        <f>IFERROR(IF(_xlfn.XLOOKUP(SRG[[#This Row],[LivingWageTopupFinanceCode]],FC_import[FinanceCode],FC_import[LedgerCode])=_xlfn.XLOOKUP(SRG[[#This Row],[GrossSalaryFinanceCode]],FinanceCodesBudget[FinanceCode],FinanceCodesBudget[LedgerCode]),0,1),1)</f>
        <v>0</v>
      </c>
      <c r="E10" s="57">
        <f>IFERROR(IF(_xlfn.XLOOKUP(SRG[[#This Row],[OptOutPensionFinanceCode]],FC_import[FinanceCode],FC_import[LedgerCode])=_xlfn.XLOOKUP(SRG[[#This Row],[GrossSalaryFinanceCode]],FinanceCodesBudget[FinanceCode],FinanceCodesBudget[LedgerCode]),0,1),1)</f>
        <v>0</v>
      </c>
      <c r="F10" s="57">
        <f>IF(COUNTIF(FinanceCodesBudget[FinanceCode],SRG[[#This Row],[GrossSalaryFinanceCode]])&gt;0,0,1)</f>
        <v>0</v>
      </c>
      <c r="G10" s="57">
        <f>IF(SRG[[#This Row],[Gross Salary FC Issue]]=0,COUNTIF(FinanceCodesBudget[FinanceCode],SRG[[#This Row],[GrossSalaryFinanceCode]])-1,0)</f>
        <v>0</v>
      </c>
      <c r="H10" s="57">
        <f>IF(COUNTIF(FinanceCodesBudget[FinanceCode],SRG[[#This Row],[LeaveRebateFinanceCode]])&gt;0,0,1)</f>
        <v>0</v>
      </c>
      <c r="I10" s="57">
        <f>IF(SRG[[#This Row],[Leave Rebate FC Issue]]=0,COUNTIF(FinanceCodesBudget[FinanceCode],SRG[[#This Row],[LeaveRebateFinanceCode]])-1,0)</f>
        <v>0</v>
      </c>
      <c r="J10" s="57">
        <f>IF(COUNTIF(FinanceCodesBudget[FinanceCode],SRG[[#This Row],[AllowanceTypesFinanceCode]])&gt;0,0,1)</f>
        <v>0</v>
      </c>
      <c r="K10" s="57">
        <f>IF(SRG[[#This Row],[Allowance FC Issue]]=0,COUNTIF(FinanceCodesBudget[FinanceCode],SRG[[#This Row],[AllowanceTypesFinanceCode]])-1,0)</f>
        <v>0</v>
      </c>
      <c r="L10" s="57">
        <f>IF(COUNTIF(FinanceCodesBudget[FinanceCode],SRG[[#This Row],[AdjustmentsFinanceCode]])&gt;0,0,1)</f>
        <v>0</v>
      </c>
      <c r="M10" s="57">
        <f>IF(SRG[[#This Row],[Adj FC Issue]]=0,COUNTIF(FinanceCodesBudget[FinanceCode],SRG[[#This Row],[AdjustmentsFinanceCode]])-1,0)</f>
        <v>0</v>
      </c>
      <c r="N10" s="57">
        <f>IF(COUNTIF(FinanceCodesBudget[FinanceCode],SRG[[#This Row],[EmployersNiFinanceCode]])&gt;0,0,1)</f>
        <v>0</v>
      </c>
      <c r="O10" s="57">
        <f>IF(SRG[[#This Row],[NI FC Issue]]=0,COUNTIF(FinanceCodesBudget[FinanceCode],SRG[[#This Row],[EmployersNiFinanceCode]])-1,0)</f>
        <v>0</v>
      </c>
      <c r="P10" s="57">
        <f>IF(COUNTIF(FinanceCodesBudget[FinanceCode],SRG[[#This Row],[PensionFinanceCode]])&gt;0,0,1)</f>
        <v>0</v>
      </c>
      <c r="Q10" s="57">
        <f>IF(SRG[[#This Row],[Pension FC Issue]]=0,COUNTIF(FinanceCodesBudget[FinanceCode],SRG[[#This Row],[PensionFinanceCode]])-1,0)</f>
        <v>0</v>
      </c>
      <c r="R10" s="57">
        <f>IFERROR(IF(_xlfn.XLOOKUP(SRG[[#This Row],[WeeklyFteFinanceCode]],FC_import[FinanceCode],FC_import[LedgerCode])=_xlfn.XLOOKUP(SRG[[#This Row],[GrossSalaryFinanceCode]],FinanceCodesBudget[FinanceCode],FinanceCodesBudget[LedgerCode]),0,1),1)</f>
        <v>0</v>
      </c>
      <c r="S10" s="57">
        <f>IFERROR(IF(_xlfn.XLOOKUP(SRG[[#This Row],[AnnualFteFinanceCode]],FC_import[FinanceCode],FC_import[LedgerCode])=_xlfn.XLOOKUP(SRG[[#This Row],[GrossSalaryFinanceCode]],FinanceCodesBudget[FinanceCode],FinanceCodesBudget[LedgerCode]),0,1),1)</f>
        <v>0</v>
      </c>
      <c r="T10" s="57">
        <f>IFERROR(IF(_xlfn.XLOOKUP(SRG[[#This Row],[WeeklyFteLeaveAdjustmentFinanceCode]],FC_import[FinanceCode],FC_import[LedgerCode])=_xlfn.XLOOKUP(SRG[[#This Row],[GrossSalaryFinanceCode]],FinanceCodesBudget[FinanceCode],FinanceCodesBudget[LedgerCode]),0,1),1)</f>
        <v>0</v>
      </c>
      <c r="U10" s="57">
        <f>IFERROR(IF(_xlfn.XLOOKUP(SRG[[#This Row],[AnnualFteLeaveAdjustmentFinanceCode]],FC_import[FinanceCode],FC_import[LedgerCode])=_xlfn.XLOOKUP(SRG[[#This Row],[GrossSalaryFinanceCode]],FinanceCodesBudget[FinanceCode],FinanceCodesBudget[LedgerCode]),0,1),1)</f>
        <v>0</v>
      </c>
      <c r="V10" s="57">
        <f>IF(OR(SRG[[#This Row],[StaffRoleGroupEnabled]]=TRUE,SRG[[#This Row],[StaffRoleGroupEnabled]]=FALSE),IF(OR(SRG[[#This Row],[TeachingRoleGroup]]=TRUE,SRG[[#This Row],[TeachingRoleGroup]]=FALSE),0,1),1)</f>
        <v>0</v>
      </c>
      <c r="W10" s="57">
        <f>IF(LEN(SRG[[#This Row],[StaffRoleGroupCode]])&lt;100,0,1)</f>
        <v>0</v>
      </c>
      <c r="X10" s="57">
        <f>IF(LEN(SRG[[#This Row],[Title]])&lt;100,0,1)</f>
        <v>0</v>
      </c>
      <c r="Y10" s="57">
        <f>IF(SUBSTITUTE(TEXT(SRG[[#This Row],[StaffRoleGroupCode]],10)," ","")=TEXT(SRG[[#This Row],[StaffRoleGroupCode]],10),0,1)</f>
        <v>0</v>
      </c>
      <c r="Z10" s="57">
        <f>SUM(SRG[[#This Row],[Duplicate SRG Code]:[Space in Code]])</f>
        <v>0</v>
      </c>
      <c r="AB10" s="12" t="s">
        <v>1188</v>
      </c>
      <c r="AC10" s="12" t="s">
        <v>1189</v>
      </c>
      <c r="AD10" s="16">
        <v>627100</v>
      </c>
      <c r="AE10" s="104">
        <f>SRG[[#This Row],[GrossSalaryFinanceCode]]</f>
        <v>627100</v>
      </c>
      <c r="AF10" s="104">
        <f>SRG[[#This Row],[GrossSalaryFinanceCode]]</f>
        <v>627100</v>
      </c>
      <c r="AG10" s="104">
        <f>SRG[[#This Row],[GrossSalaryFinanceCode]]</f>
        <v>627100</v>
      </c>
      <c r="AH10" s="12" t="s">
        <v>961</v>
      </c>
      <c r="AI10" s="12" t="s">
        <v>959</v>
      </c>
      <c r="AJ10" s="16">
        <v>627200</v>
      </c>
      <c r="AK10" s="16">
        <v>627300</v>
      </c>
      <c r="AL10" s="12" t="s">
        <v>966</v>
      </c>
      <c r="AM10" s="104">
        <f>SRG[[#This Row],[GrossSalaryFinanceCode]]</f>
        <v>627100</v>
      </c>
      <c r="AN10" s="12" t="s">
        <v>998</v>
      </c>
      <c r="AO10" s="12" t="s">
        <v>952</v>
      </c>
      <c r="AP10" s="12" t="s">
        <v>1511</v>
      </c>
      <c r="AQ10" s="12" t="s">
        <v>1469</v>
      </c>
      <c r="AR10" s="15" t="b">
        <v>0</v>
      </c>
      <c r="AS10" s="15" t="b">
        <v>1</v>
      </c>
      <c r="AT10" s="12">
        <v>1</v>
      </c>
    </row>
    <row r="11" spans="1:46" x14ac:dyDescent="0.3">
      <c r="A11" s="57">
        <f>COUNTIF(SRG[StaffRoleGroupCode],SRG[[#This Row],[StaffRoleGroupCode]])-1</f>
        <v>0</v>
      </c>
      <c r="B11" s="57">
        <f>COUNTIF(SRG[Title],SRG[[#This Row],[Title]])-1</f>
        <v>0</v>
      </c>
      <c r="C11" s="57">
        <f>IFERROR(IF(_xlfn.XLOOKUP(SRG[[#This Row],[MinimumWageTopupFinanceCode]],FC_import[FinanceCode],FC_import[LedgerCode])=_xlfn.XLOOKUP(SRG[[#This Row],[GrossSalaryFinanceCode]],FinanceCodesBudget[FinanceCode],FinanceCodesBudget[LedgerCode]),0,1),1)</f>
        <v>0</v>
      </c>
      <c r="D11" s="57">
        <f>IFERROR(IF(_xlfn.XLOOKUP(SRG[[#This Row],[LivingWageTopupFinanceCode]],FC_import[FinanceCode],FC_import[LedgerCode])=_xlfn.XLOOKUP(SRG[[#This Row],[GrossSalaryFinanceCode]],FinanceCodesBudget[FinanceCode],FinanceCodesBudget[LedgerCode]),0,1),1)</f>
        <v>0</v>
      </c>
      <c r="E11" s="57">
        <f>IFERROR(IF(_xlfn.XLOOKUP(SRG[[#This Row],[OptOutPensionFinanceCode]],FC_import[FinanceCode],FC_import[LedgerCode])=_xlfn.XLOOKUP(SRG[[#This Row],[GrossSalaryFinanceCode]],FinanceCodesBudget[FinanceCode],FinanceCodesBudget[LedgerCode]),0,1),1)</f>
        <v>0</v>
      </c>
      <c r="F11" s="57">
        <f>IF(COUNTIF(FinanceCodesBudget[FinanceCode],SRG[[#This Row],[GrossSalaryFinanceCode]])&gt;0,0,1)</f>
        <v>0</v>
      </c>
      <c r="G11" s="57">
        <f>IF(SRG[[#This Row],[Gross Salary FC Issue]]=0,COUNTIF(FinanceCodesBudget[FinanceCode],SRG[[#This Row],[GrossSalaryFinanceCode]])-1,0)</f>
        <v>0</v>
      </c>
      <c r="H11" s="57">
        <f>IF(COUNTIF(FinanceCodesBudget[FinanceCode],SRG[[#This Row],[LeaveRebateFinanceCode]])&gt;0,0,1)</f>
        <v>0</v>
      </c>
      <c r="I11" s="57">
        <f>IF(SRG[[#This Row],[Leave Rebate FC Issue]]=0,COUNTIF(FinanceCodesBudget[FinanceCode],SRG[[#This Row],[LeaveRebateFinanceCode]])-1,0)</f>
        <v>0</v>
      </c>
      <c r="J11" s="57">
        <f>IF(COUNTIF(FinanceCodesBudget[FinanceCode],SRG[[#This Row],[AllowanceTypesFinanceCode]])&gt;0,0,1)</f>
        <v>0</v>
      </c>
      <c r="K11" s="57">
        <f>IF(SRG[[#This Row],[Allowance FC Issue]]=0,COUNTIF(FinanceCodesBudget[FinanceCode],SRG[[#This Row],[AllowanceTypesFinanceCode]])-1,0)</f>
        <v>0</v>
      </c>
      <c r="L11" s="57">
        <f>IF(COUNTIF(FinanceCodesBudget[FinanceCode],SRG[[#This Row],[AdjustmentsFinanceCode]])&gt;0,0,1)</f>
        <v>0</v>
      </c>
      <c r="M11" s="57">
        <f>IF(SRG[[#This Row],[Adj FC Issue]]=0,COUNTIF(FinanceCodesBudget[FinanceCode],SRG[[#This Row],[AdjustmentsFinanceCode]])-1,0)</f>
        <v>0</v>
      </c>
      <c r="N11" s="57">
        <f>IF(COUNTIF(FinanceCodesBudget[FinanceCode],SRG[[#This Row],[EmployersNiFinanceCode]])&gt;0,0,1)</f>
        <v>0</v>
      </c>
      <c r="O11" s="57">
        <f>IF(SRG[[#This Row],[NI FC Issue]]=0,COUNTIF(FinanceCodesBudget[FinanceCode],SRG[[#This Row],[EmployersNiFinanceCode]])-1,0)</f>
        <v>0</v>
      </c>
      <c r="P11" s="57">
        <f>IF(COUNTIF(FinanceCodesBudget[FinanceCode],SRG[[#This Row],[PensionFinanceCode]])&gt;0,0,1)</f>
        <v>0</v>
      </c>
      <c r="Q11" s="57">
        <f>IF(SRG[[#This Row],[Pension FC Issue]]=0,COUNTIF(FinanceCodesBudget[FinanceCode],SRG[[#This Row],[PensionFinanceCode]])-1,0)</f>
        <v>0</v>
      </c>
      <c r="R11" s="57">
        <f>IFERROR(IF(_xlfn.XLOOKUP(SRG[[#This Row],[WeeklyFteFinanceCode]],FC_import[FinanceCode],FC_import[LedgerCode])=_xlfn.XLOOKUP(SRG[[#This Row],[GrossSalaryFinanceCode]],FinanceCodesBudget[FinanceCode],FinanceCodesBudget[LedgerCode]),0,1),1)</f>
        <v>0</v>
      </c>
      <c r="S11" s="57">
        <f>IFERROR(IF(_xlfn.XLOOKUP(SRG[[#This Row],[AnnualFteFinanceCode]],FC_import[FinanceCode],FC_import[LedgerCode])=_xlfn.XLOOKUP(SRG[[#This Row],[GrossSalaryFinanceCode]],FinanceCodesBudget[FinanceCode],FinanceCodesBudget[LedgerCode]),0,1),1)</f>
        <v>0</v>
      </c>
      <c r="T11" s="57">
        <f>IFERROR(IF(_xlfn.XLOOKUP(SRG[[#This Row],[WeeklyFteLeaveAdjustmentFinanceCode]],FC_import[FinanceCode],FC_import[LedgerCode])=_xlfn.XLOOKUP(SRG[[#This Row],[GrossSalaryFinanceCode]],FinanceCodesBudget[FinanceCode],FinanceCodesBudget[LedgerCode]),0,1),1)</f>
        <v>0</v>
      </c>
      <c r="U11" s="57">
        <f>IFERROR(IF(_xlfn.XLOOKUP(SRG[[#This Row],[AnnualFteLeaveAdjustmentFinanceCode]],FC_import[FinanceCode],FC_import[LedgerCode])=_xlfn.XLOOKUP(SRG[[#This Row],[GrossSalaryFinanceCode]],FinanceCodesBudget[FinanceCode],FinanceCodesBudget[LedgerCode]),0,1),1)</f>
        <v>0</v>
      </c>
      <c r="V11" s="57">
        <f>IF(OR(SRG[[#This Row],[StaffRoleGroupEnabled]]=TRUE,SRG[[#This Row],[StaffRoleGroupEnabled]]=FALSE),IF(OR(SRG[[#This Row],[TeachingRoleGroup]]=TRUE,SRG[[#This Row],[TeachingRoleGroup]]=FALSE),0,1),1)</f>
        <v>0</v>
      </c>
      <c r="W11" s="57">
        <f>IF(LEN(SRG[[#This Row],[StaffRoleGroupCode]])&lt;100,0,1)</f>
        <v>0</v>
      </c>
      <c r="X11" s="57">
        <f>IF(LEN(SRG[[#This Row],[Title]])&lt;100,0,1)</f>
        <v>0</v>
      </c>
      <c r="Y11" s="57">
        <f>IF(SUBSTITUTE(TEXT(SRG[[#This Row],[StaffRoleGroupCode]],10)," ","")=TEXT(SRG[[#This Row],[StaffRoleGroupCode]],10),0,1)</f>
        <v>0</v>
      </c>
      <c r="Z11" s="57">
        <f>SUM(SRG[[#This Row],[Duplicate SRG Code]:[Space in Code]])</f>
        <v>0</v>
      </c>
      <c r="AB11" s="12" t="s">
        <v>1190</v>
      </c>
      <c r="AC11" s="12" t="s">
        <v>1191</v>
      </c>
      <c r="AD11" s="16">
        <v>630100</v>
      </c>
      <c r="AE11" s="104">
        <f>SRG[[#This Row],[GrossSalaryFinanceCode]]</f>
        <v>630100</v>
      </c>
      <c r="AF11" s="104">
        <f>SRG[[#This Row],[GrossSalaryFinanceCode]]</f>
        <v>630100</v>
      </c>
      <c r="AG11" s="104">
        <f>SRG[[#This Row],[GrossSalaryFinanceCode]]</f>
        <v>630100</v>
      </c>
      <c r="AH11" s="12" t="s">
        <v>961</v>
      </c>
      <c r="AI11" s="12" t="s">
        <v>959</v>
      </c>
      <c r="AJ11" s="16">
        <v>630200</v>
      </c>
      <c r="AK11" s="16">
        <v>630300</v>
      </c>
      <c r="AL11" s="12" t="s">
        <v>966</v>
      </c>
      <c r="AM11" s="104">
        <f>SRG[[#This Row],[GrossSalaryFinanceCode]]</f>
        <v>630100</v>
      </c>
      <c r="AN11" s="12" t="s">
        <v>972</v>
      </c>
      <c r="AO11" s="12" t="s">
        <v>926</v>
      </c>
      <c r="AP11" s="12" t="s">
        <v>1482</v>
      </c>
      <c r="AQ11" s="12" t="s">
        <v>1440</v>
      </c>
      <c r="AR11" s="15" t="b">
        <v>0</v>
      </c>
      <c r="AS11" s="15" t="b">
        <v>1</v>
      </c>
      <c r="AT11" s="12">
        <v>1</v>
      </c>
    </row>
    <row r="12" spans="1:46" x14ac:dyDescent="0.3">
      <c r="A12" s="57">
        <f>COUNTIF(SRG[StaffRoleGroupCode],SRG[[#This Row],[StaffRoleGroupCode]])-1</f>
        <v>0</v>
      </c>
      <c r="B12" s="57">
        <f>COUNTIF(SRG[Title],SRG[[#This Row],[Title]])-1</f>
        <v>0</v>
      </c>
      <c r="C12" s="57">
        <f>IFERROR(IF(_xlfn.XLOOKUP(SRG[[#This Row],[MinimumWageTopupFinanceCode]],FC_import[FinanceCode],FC_import[LedgerCode])=_xlfn.XLOOKUP(SRG[[#This Row],[GrossSalaryFinanceCode]],FinanceCodesBudget[FinanceCode],FinanceCodesBudget[LedgerCode]),0,1),1)</f>
        <v>0</v>
      </c>
      <c r="D12" s="57">
        <f>IFERROR(IF(_xlfn.XLOOKUP(SRG[[#This Row],[LivingWageTopupFinanceCode]],FC_import[FinanceCode],FC_import[LedgerCode])=_xlfn.XLOOKUP(SRG[[#This Row],[GrossSalaryFinanceCode]],FinanceCodesBudget[FinanceCode],FinanceCodesBudget[LedgerCode]),0,1),1)</f>
        <v>0</v>
      </c>
      <c r="E12" s="57">
        <f>IFERROR(IF(_xlfn.XLOOKUP(SRG[[#This Row],[OptOutPensionFinanceCode]],FC_import[FinanceCode],FC_import[LedgerCode])=_xlfn.XLOOKUP(SRG[[#This Row],[GrossSalaryFinanceCode]],FinanceCodesBudget[FinanceCode],FinanceCodesBudget[LedgerCode]),0,1),1)</f>
        <v>0</v>
      </c>
      <c r="F12" s="57">
        <f>IF(COUNTIF(FinanceCodesBudget[FinanceCode],SRG[[#This Row],[GrossSalaryFinanceCode]])&gt;0,0,1)</f>
        <v>0</v>
      </c>
      <c r="G12" s="57">
        <f>IF(SRG[[#This Row],[Gross Salary FC Issue]]=0,COUNTIF(FinanceCodesBudget[FinanceCode],SRG[[#This Row],[GrossSalaryFinanceCode]])-1,0)</f>
        <v>0</v>
      </c>
      <c r="H12" s="57">
        <f>IF(COUNTIF(FinanceCodesBudget[FinanceCode],SRG[[#This Row],[LeaveRebateFinanceCode]])&gt;0,0,1)</f>
        <v>0</v>
      </c>
      <c r="I12" s="57">
        <f>IF(SRG[[#This Row],[Leave Rebate FC Issue]]=0,COUNTIF(FinanceCodesBudget[FinanceCode],SRG[[#This Row],[LeaveRebateFinanceCode]])-1,0)</f>
        <v>0</v>
      </c>
      <c r="J12" s="57">
        <f>IF(COUNTIF(FinanceCodesBudget[FinanceCode],SRG[[#This Row],[AllowanceTypesFinanceCode]])&gt;0,0,1)</f>
        <v>0</v>
      </c>
      <c r="K12" s="57">
        <f>IF(SRG[[#This Row],[Allowance FC Issue]]=0,COUNTIF(FinanceCodesBudget[FinanceCode],SRG[[#This Row],[AllowanceTypesFinanceCode]])-1,0)</f>
        <v>0</v>
      </c>
      <c r="L12" s="57">
        <f>IF(COUNTIF(FinanceCodesBudget[FinanceCode],SRG[[#This Row],[AdjustmentsFinanceCode]])&gt;0,0,1)</f>
        <v>0</v>
      </c>
      <c r="M12" s="57">
        <f>IF(SRG[[#This Row],[Adj FC Issue]]=0,COUNTIF(FinanceCodesBudget[FinanceCode],SRG[[#This Row],[AdjustmentsFinanceCode]])-1,0)</f>
        <v>0</v>
      </c>
      <c r="N12" s="57">
        <f>IF(COUNTIF(FinanceCodesBudget[FinanceCode],SRG[[#This Row],[EmployersNiFinanceCode]])&gt;0,0,1)</f>
        <v>0</v>
      </c>
      <c r="O12" s="57">
        <f>IF(SRG[[#This Row],[NI FC Issue]]=0,COUNTIF(FinanceCodesBudget[FinanceCode],SRG[[#This Row],[EmployersNiFinanceCode]])-1,0)</f>
        <v>0</v>
      </c>
      <c r="P12" s="57">
        <f>IF(COUNTIF(FinanceCodesBudget[FinanceCode],SRG[[#This Row],[PensionFinanceCode]])&gt;0,0,1)</f>
        <v>0</v>
      </c>
      <c r="Q12" s="57">
        <f>IF(SRG[[#This Row],[Pension FC Issue]]=0,COUNTIF(FinanceCodesBudget[FinanceCode],SRG[[#This Row],[PensionFinanceCode]])-1,0)</f>
        <v>0</v>
      </c>
      <c r="R12" s="57">
        <f>IFERROR(IF(_xlfn.XLOOKUP(SRG[[#This Row],[WeeklyFteFinanceCode]],FC_import[FinanceCode],FC_import[LedgerCode])=_xlfn.XLOOKUP(SRG[[#This Row],[GrossSalaryFinanceCode]],FinanceCodesBudget[FinanceCode],FinanceCodesBudget[LedgerCode]),0,1),1)</f>
        <v>0</v>
      </c>
      <c r="S12" s="57">
        <f>IFERROR(IF(_xlfn.XLOOKUP(SRG[[#This Row],[AnnualFteFinanceCode]],FC_import[FinanceCode],FC_import[LedgerCode])=_xlfn.XLOOKUP(SRG[[#This Row],[GrossSalaryFinanceCode]],FinanceCodesBudget[FinanceCode],FinanceCodesBudget[LedgerCode]),0,1),1)</f>
        <v>0</v>
      </c>
      <c r="T12" s="57">
        <f>IFERROR(IF(_xlfn.XLOOKUP(SRG[[#This Row],[WeeklyFteLeaveAdjustmentFinanceCode]],FC_import[FinanceCode],FC_import[LedgerCode])=_xlfn.XLOOKUP(SRG[[#This Row],[GrossSalaryFinanceCode]],FinanceCodesBudget[FinanceCode],FinanceCodesBudget[LedgerCode]),0,1),1)</f>
        <v>0</v>
      </c>
      <c r="U12" s="57">
        <f>IFERROR(IF(_xlfn.XLOOKUP(SRG[[#This Row],[AnnualFteLeaveAdjustmentFinanceCode]],FC_import[FinanceCode],FC_import[LedgerCode])=_xlfn.XLOOKUP(SRG[[#This Row],[GrossSalaryFinanceCode]],FinanceCodesBudget[FinanceCode],FinanceCodesBudget[LedgerCode]),0,1),1)</f>
        <v>0</v>
      </c>
      <c r="V12" s="57">
        <f>IF(OR(SRG[[#This Row],[StaffRoleGroupEnabled]]=TRUE,SRG[[#This Row],[StaffRoleGroupEnabled]]=FALSE),IF(OR(SRG[[#This Row],[TeachingRoleGroup]]=TRUE,SRG[[#This Row],[TeachingRoleGroup]]=FALSE),0,1),1)</f>
        <v>0</v>
      </c>
      <c r="W12" s="57">
        <f>IF(LEN(SRG[[#This Row],[StaffRoleGroupCode]])&lt;100,0,1)</f>
        <v>0</v>
      </c>
      <c r="X12" s="57">
        <f>IF(LEN(SRG[[#This Row],[Title]])&lt;100,0,1)</f>
        <v>0</v>
      </c>
      <c r="Y12" s="57">
        <f>IF(SUBSTITUTE(TEXT(SRG[[#This Row],[StaffRoleGroupCode]],10)," ","")=TEXT(SRG[[#This Row],[StaffRoleGroupCode]],10),0,1)</f>
        <v>0</v>
      </c>
      <c r="Z12" s="57">
        <f>SUM(SRG[[#This Row],[Duplicate SRG Code]:[Space in Code]])</f>
        <v>0</v>
      </c>
      <c r="AB12" s="12" t="s">
        <v>1192</v>
      </c>
      <c r="AC12" s="12" t="s">
        <v>1193</v>
      </c>
      <c r="AD12" s="16">
        <v>635100</v>
      </c>
      <c r="AE12" s="104">
        <f>SRG[[#This Row],[GrossSalaryFinanceCode]]</f>
        <v>635100</v>
      </c>
      <c r="AF12" s="104">
        <f>SRG[[#This Row],[GrossSalaryFinanceCode]]</f>
        <v>635100</v>
      </c>
      <c r="AG12" s="104">
        <f>SRG[[#This Row],[GrossSalaryFinanceCode]]</f>
        <v>635100</v>
      </c>
      <c r="AH12" s="12" t="s">
        <v>961</v>
      </c>
      <c r="AI12" s="12" t="s">
        <v>959</v>
      </c>
      <c r="AJ12" s="16">
        <v>635200</v>
      </c>
      <c r="AK12" s="16">
        <v>635300</v>
      </c>
      <c r="AL12" s="12" t="s">
        <v>966</v>
      </c>
      <c r="AM12" s="104">
        <f>SRG[[#This Row],[GrossSalaryFinanceCode]]</f>
        <v>635100</v>
      </c>
      <c r="AN12" s="12" t="s">
        <v>990</v>
      </c>
      <c r="AO12" s="12" t="s">
        <v>944</v>
      </c>
      <c r="AP12" s="12" t="s">
        <v>1503</v>
      </c>
      <c r="AQ12" s="12" t="s">
        <v>1461</v>
      </c>
      <c r="AR12" s="15" t="b">
        <v>0</v>
      </c>
      <c r="AS12" s="15" t="b">
        <v>1</v>
      </c>
      <c r="AT12" s="12">
        <v>1</v>
      </c>
    </row>
    <row r="13" spans="1:46" x14ac:dyDescent="0.3">
      <c r="A13" s="57">
        <f>COUNTIF(SRG[StaffRoleGroupCode],SRG[[#This Row],[StaffRoleGroupCode]])-1</f>
        <v>0</v>
      </c>
      <c r="B13" s="57">
        <f>COUNTIF(SRG[Title],SRG[[#This Row],[Title]])-1</f>
        <v>0</v>
      </c>
      <c r="C13" s="57">
        <f>IFERROR(IF(_xlfn.XLOOKUP(SRG[[#This Row],[MinimumWageTopupFinanceCode]],FC_import[FinanceCode],FC_import[LedgerCode])=_xlfn.XLOOKUP(SRG[[#This Row],[GrossSalaryFinanceCode]],FinanceCodesBudget[FinanceCode],FinanceCodesBudget[LedgerCode]),0,1),1)</f>
        <v>0</v>
      </c>
      <c r="D13" s="57">
        <f>IFERROR(IF(_xlfn.XLOOKUP(SRG[[#This Row],[LivingWageTopupFinanceCode]],FC_import[FinanceCode],FC_import[LedgerCode])=_xlfn.XLOOKUP(SRG[[#This Row],[GrossSalaryFinanceCode]],FinanceCodesBudget[FinanceCode],FinanceCodesBudget[LedgerCode]),0,1),1)</f>
        <v>0</v>
      </c>
      <c r="E13" s="57">
        <f>IFERROR(IF(_xlfn.XLOOKUP(SRG[[#This Row],[OptOutPensionFinanceCode]],FC_import[FinanceCode],FC_import[LedgerCode])=_xlfn.XLOOKUP(SRG[[#This Row],[GrossSalaryFinanceCode]],FinanceCodesBudget[FinanceCode],FinanceCodesBudget[LedgerCode]),0,1),1)</f>
        <v>0</v>
      </c>
      <c r="F13" s="57">
        <f>IF(COUNTIF(FinanceCodesBudget[FinanceCode],SRG[[#This Row],[GrossSalaryFinanceCode]])&gt;0,0,1)</f>
        <v>0</v>
      </c>
      <c r="G13" s="57">
        <f>IF(SRG[[#This Row],[Gross Salary FC Issue]]=0,COUNTIF(FinanceCodesBudget[FinanceCode],SRG[[#This Row],[GrossSalaryFinanceCode]])-1,0)</f>
        <v>0</v>
      </c>
      <c r="H13" s="57">
        <f>IF(COUNTIF(FinanceCodesBudget[FinanceCode],SRG[[#This Row],[LeaveRebateFinanceCode]])&gt;0,0,1)</f>
        <v>0</v>
      </c>
      <c r="I13" s="57">
        <f>IF(SRG[[#This Row],[Leave Rebate FC Issue]]=0,COUNTIF(FinanceCodesBudget[FinanceCode],SRG[[#This Row],[LeaveRebateFinanceCode]])-1,0)</f>
        <v>0</v>
      </c>
      <c r="J13" s="57">
        <f>IF(COUNTIF(FinanceCodesBudget[FinanceCode],SRG[[#This Row],[AllowanceTypesFinanceCode]])&gt;0,0,1)</f>
        <v>0</v>
      </c>
      <c r="K13" s="57">
        <f>IF(SRG[[#This Row],[Allowance FC Issue]]=0,COUNTIF(FinanceCodesBudget[FinanceCode],SRG[[#This Row],[AllowanceTypesFinanceCode]])-1,0)</f>
        <v>0</v>
      </c>
      <c r="L13" s="57">
        <f>IF(COUNTIF(FinanceCodesBudget[FinanceCode],SRG[[#This Row],[AdjustmentsFinanceCode]])&gt;0,0,1)</f>
        <v>0</v>
      </c>
      <c r="M13" s="57">
        <f>IF(SRG[[#This Row],[Adj FC Issue]]=0,COUNTIF(FinanceCodesBudget[FinanceCode],SRG[[#This Row],[AdjustmentsFinanceCode]])-1,0)</f>
        <v>0</v>
      </c>
      <c r="N13" s="57">
        <f>IF(COUNTIF(FinanceCodesBudget[FinanceCode],SRG[[#This Row],[EmployersNiFinanceCode]])&gt;0,0,1)</f>
        <v>0</v>
      </c>
      <c r="O13" s="57">
        <f>IF(SRG[[#This Row],[NI FC Issue]]=0,COUNTIF(FinanceCodesBudget[FinanceCode],SRG[[#This Row],[EmployersNiFinanceCode]])-1,0)</f>
        <v>0</v>
      </c>
      <c r="P13" s="57">
        <f>IF(COUNTIF(FinanceCodesBudget[FinanceCode],SRG[[#This Row],[PensionFinanceCode]])&gt;0,0,1)</f>
        <v>0</v>
      </c>
      <c r="Q13" s="57">
        <f>IF(SRG[[#This Row],[Pension FC Issue]]=0,COUNTIF(FinanceCodesBudget[FinanceCode],SRG[[#This Row],[PensionFinanceCode]])-1,0)</f>
        <v>0</v>
      </c>
      <c r="R13" s="57">
        <f>IFERROR(IF(_xlfn.XLOOKUP(SRG[[#This Row],[WeeklyFteFinanceCode]],FC_import[FinanceCode],FC_import[LedgerCode])=_xlfn.XLOOKUP(SRG[[#This Row],[GrossSalaryFinanceCode]],FinanceCodesBudget[FinanceCode],FinanceCodesBudget[LedgerCode]),0,1),1)</f>
        <v>0</v>
      </c>
      <c r="S13" s="57">
        <f>IFERROR(IF(_xlfn.XLOOKUP(SRG[[#This Row],[AnnualFteFinanceCode]],FC_import[FinanceCode],FC_import[LedgerCode])=_xlfn.XLOOKUP(SRG[[#This Row],[GrossSalaryFinanceCode]],FinanceCodesBudget[FinanceCode],FinanceCodesBudget[LedgerCode]),0,1),1)</f>
        <v>0</v>
      </c>
      <c r="T13" s="57">
        <f>IFERROR(IF(_xlfn.XLOOKUP(SRG[[#This Row],[WeeklyFteLeaveAdjustmentFinanceCode]],FC_import[FinanceCode],FC_import[LedgerCode])=_xlfn.XLOOKUP(SRG[[#This Row],[GrossSalaryFinanceCode]],FinanceCodesBudget[FinanceCode],FinanceCodesBudget[LedgerCode]),0,1),1)</f>
        <v>0</v>
      </c>
      <c r="U13" s="57">
        <f>IFERROR(IF(_xlfn.XLOOKUP(SRG[[#This Row],[AnnualFteLeaveAdjustmentFinanceCode]],FC_import[FinanceCode],FC_import[LedgerCode])=_xlfn.XLOOKUP(SRG[[#This Row],[GrossSalaryFinanceCode]],FinanceCodesBudget[FinanceCode],FinanceCodesBudget[LedgerCode]),0,1),1)</f>
        <v>0</v>
      </c>
      <c r="V13" s="57">
        <f>IF(OR(SRG[[#This Row],[StaffRoleGroupEnabled]]=TRUE,SRG[[#This Row],[StaffRoleGroupEnabled]]=FALSE),IF(OR(SRG[[#This Row],[TeachingRoleGroup]]=TRUE,SRG[[#This Row],[TeachingRoleGroup]]=FALSE),0,1),1)</f>
        <v>0</v>
      </c>
      <c r="W13" s="57">
        <f>IF(LEN(SRG[[#This Row],[StaffRoleGroupCode]])&lt;100,0,1)</f>
        <v>0</v>
      </c>
      <c r="X13" s="57">
        <f>IF(LEN(SRG[[#This Row],[Title]])&lt;100,0,1)</f>
        <v>0</v>
      </c>
      <c r="Y13" s="57">
        <f>IF(SUBSTITUTE(TEXT(SRG[[#This Row],[StaffRoleGroupCode]],10)," ","")=TEXT(SRG[[#This Row],[StaffRoleGroupCode]],10),0,1)</f>
        <v>0</v>
      </c>
      <c r="Z13" s="57">
        <f>SUM(SRG[[#This Row],[Duplicate SRG Code]:[Space in Code]])</f>
        <v>0</v>
      </c>
      <c r="AB13" s="12" t="s">
        <v>1548</v>
      </c>
      <c r="AC13" s="12" t="s">
        <v>1549</v>
      </c>
      <c r="AD13" s="16">
        <v>637100</v>
      </c>
      <c r="AE13" s="104">
        <f>SRG[[#This Row],[GrossSalaryFinanceCode]]</f>
        <v>637100</v>
      </c>
      <c r="AF13" s="104">
        <f>SRG[[#This Row],[GrossSalaryFinanceCode]]</f>
        <v>637100</v>
      </c>
      <c r="AG13" s="104">
        <f>SRG[[#This Row],[GrossSalaryFinanceCode]]</f>
        <v>637100</v>
      </c>
      <c r="AH13" s="12" t="s">
        <v>961</v>
      </c>
      <c r="AI13" s="12" t="s">
        <v>959</v>
      </c>
      <c r="AJ13" s="16">
        <v>637200</v>
      </c>
      <c r="AK13" s="16">
        <v>637300</v>
      </c>
      <c r="AL13" s="12" t="s">
        <v>966</v>
      </c>
      <c r="AM13" s="104">
        <f>SRG[[#This Row],[GrossSalaryFinanceCode]]</f>
        <v>637100</v>
      </c>
      <c r="AN13" s="12" t="s">
        <v>992</v>
      </c>
      <c r="AO13" s="12" t="s">
        <v>946</v>
      </c>
      <c r="AP13" s="12" t="s">
        <v>1505</v>
      </c>
      <c r="AQ13" s="12" t="s">
        <v>1463</v>
      </c>
      <c r="AR13" s="15" t="b">
        <v>0</v>
      </c>
      <c r="AS13" s="15" t="b">
        <v>1</v>
      </c>
      <c r="AT13" s="12">
        <v>1</v>
      </c>
    </row>
    <row r="14" spans="1:46" x14ac:dyDescent="0.3">
      <c r="A14" s="57">
        <f>COUNTIF(SRG[StaffRoleGroupCode],SRG[[#This Row],[StaffRoleGroupCode]])-1</f>
        <v>0</v>
      </c>
      <c r="B14" s="57">
        <f>COUNTIF(SRG[Title],SRG[[#This Row],[Title]])-1</f>
        <v>0</v>
      </c>
      <c r="C14" s="57">
        <f>IFERROR(IF(_xlfn.XLOOKUP(SRG[[#This Row],[MinimumWageTopupFinanceCode]],FC_import[FinanceCode],FC_import[LedgerCode])=_xlfn.XLOOKUP(SRG[[#This Row],[GrossSalaryFinanceCode]],FinanceCodesBudget[FinanceCode],FinanceCodesBudget[LedgerCode]),0,1),1)</f>
        <v>0</v>
      </c>
      <c r="D14" s="57">
        <f>IFERROR(IF(_xlfn.XLOOKUP(SRG[[#This Row],[LivingWageTopupFinanceCode]],FC_import[FinanceCode],FC_import[LedgerCode])=_xlfn.XLOOKUP(SRG[[#This Row],[GrossSalaryFinanceCode]],FinanceCodesBudget[FinanceCode],FinanceCodesBudget[LedgerCode]),0,1),1)</f>
        <v>0</v>
      </c>
      <c r="E14" s="57">
        <f>IFERROR(IF(_xlfn.XLOOKUP(SRG[[#This Row],[OptOutPensionFinanceCode]],FC_import[FinanceCode],FC_import[LedgerCode])=_xlfn.XLOOKUP(SRG[[#This Row],[GrossSalaryFinanceCode]],FinanceCodesBudget[FinanceCode],FinanceCodesBudget[LedgerCode]),0,1),1)</f>
        <v>0</v>
      </c>
      <c r="F14" s="57">
        <f>IF(COUNTIF(FinanceCodesBudget[FinanceCode],SRG[[#This Row],[GrossSalaryFinanceCode]])&gt;0,0,1)</f>
        <v>0</v>
      </c>
      <c r="G14" s="57">
        <f>IF(SRG[[#This Row],[Gross Salary FC Issue]]=0,COUNTIF(FinanceCodesBudget[FinanceCode],SRG[[#This Row],[GrossSalaryFinanceCode]])-1,0)</f>
        <v>0</v>
      </c>
      <c r="H14" s="57">
        <f>IF(COUNTIF(FinanceCodesBudget[FinanceCode],SRG[[#This Row],[LeaveRebateFinanceCode]])&gt;0,0,1)</f>
        <v>0</v>
      </c>
      <c r="I14" s="57">
        <f>IF(SRG[[#This Row],[Leave Rebate FC Issue]]=0,COUNTIF(FinanceCodesBudget[FinanceCode],SRG[[#This Row],[LeaveRebateFinanceCode]])-1,0)</f>
        <v>0</v>
      </c>
      <c r="J14" s="57">
        <f>IF(COUNTIF(FinanceCodesBudget[FinanceCode],SRG[[#This Row],[AllowanceTypesFinanceCode]])&gt;0,0,1)</f>
        <v>0</v>
      </c>
      <c r="K14" s="57">
        <f>IF(SRG[[#This Row],[Allowance FC Issue]]=0,COUNTIF(FinanceCodesBudget[FinanceCode],SRG[[#This Row],[AllowanceTypesFinanceCode]])-1,0)</f>
        <v>0</v>
      </c>
      <c r="L14" s="57">
        <f>IF(COUNTIF(FinanceCodesBudget[FinanceCode],SRG[[#This Row],[AdjustmentsFinanceCode]])&gt;0,0,1)</f>
        <v>0</v>
      </c>
      <c r="M14" s="57">
        <f>IF(SRG[[#This Row],[Adj FC Issue]]=0,COUNTIF(FinanceCodesBudget[FinanceCode],SRG[[#This Row],[AdjustmentsFinanceCode]])-1,0)</f>
        <v>0</v>
      </c>
      <c r="N14" s="57">
        <f>IF(COUNTIF(FinanceCodesBudget[FinanceCode],SRG[[#This Row],[EmployersNiFinanceCode]])&gt;0,0,1)</f>
        <v>0</v>
      </c>
      <c r="O14" s="57">
        <f>IF(SRG[[#This Row],[NI FC Issue]]=0,COUNTIF(FinanceCodesBudget[FinanceCode],SRG[[#This Row],[EmployersNiFinanceCode]])-1,0)</f>
        <v>0</v>
      </c>
      <c r="P14" s="57">
        <f>IF(COUNTIF(FinanceCodesBudget[FinanceCode],SRG[[#This Row],[PensionFinanceCode]])&gt;0,0,1)</f>
        <v>0</v>
      </c>
      <c r="Q14" s="57">
        <f>IF(SRG[[#This Row],[Pension FC Issue]]=0,COUNTIF(FinanceCodesBudget[FinanceCode],SRG[[#This Row],[PensionFinanceCode]])-1,0)</f>
        <v>0</v>
      </c>
      <c r="R14" s="57">
        <f>IFERROR(IF(_xlfn.XLOOKUP(SRG[[#This Row],[WeeklyFteFinanceCode]],FC_import[FinanceCode],FC_import[LedgerCode])=_xlfn.XLOOKUP(SRG[[#This Row],[GrossSalaryFinanceCode]],FinanceCodesBudget[FinanceCode],FinanceCodesBudget[LedgerCode]),0,1),1)</f>
        <v>0</v>
      </c>
      <c r="S14" s="57">
        <f>IFERROR(IF(_xlfn.XLOOKUP(SRG[[#This Row],[AnnualFteFinanceCode]],FC_import[FinanceCode],FC_import[LedgerCode])=_xlfn.XLOOKUP(SRG[[#This Row],[GrossSalaryFinanceCode]],FinanceCodesBudget[FinanceCode],FinanceCodesBudget[LedgerCode]),0,1),1)</f>
        <v>0</v>
      </c>
      <c r="T14" s="57">
        <f>IFERROR(IF(_xlfn.XLOOKUP(SRG[[#This Row],[WeeklyFteLeaveAdjustmentFinanceCode]],FC_import[FinanceCode],FC_import[LedgerCode])=_xlfn.XLOOKUP(SRG[[#This Row],[GrossSalaryFinanceCode]],FinanceCodesBudget[FinanceCode],FinanceCodesBudget[LedgerCode]),0,1),1)</f>
        <v>0</v>
      </c>
      <c r="U14" s="57">
        <f>IFERROR(IF(_xlfn.XLOOKUP(SRG[[#This Row],[AnnualFteLeaveAdjustmentFinanceCode]],FC_import[FinanceCode],FC_import[LedgerCode])=_xlfn.XLOOKUP(SRG[[#This Row],[GrossSalaryFinanceCode]],FinanceCodesBudget[FinanceCode],FinanceCodesBudget[LedgerCode]),0,1),1)</f>
        <v>0</v>
      </c>
      <c r="V14" s="57">
        <f>IF(OR(SRG[[#This Row],[StaffRoleGroupEnabled]]=TRUE,SRG[[#This Row],[StaffRoleGroupEnabled]]=FALSE),IF(OR(SRG[[#This Row],[TeachingRoleGroup]]=TRUE,SRG[[#This Row],[TeachingRoleGroup]]=FALSE),0,1),1)</f>
        <v>0</v>
      </c>
      <c r="W14" s="57">
        <f>IF(LEN(SRG[[#This Row],[StaffRoleGroupCode]])&lt;100,0,1)</f>
        <v>0</v>
      </c>
      <c r="X14" s="57">
        <f>IF(LEN(SRG[[#This Row],[Title]])&lt;100,0,1)</f>
        <v>0</v>
      </c>
      <c r="Y14" s="57">
        <f>IF(SUBSTITUTE(TEXT(SRG[[#This Row],[StaffRoleGroupCode]],10)," ","")=TEXT(SRG[[#This Row],[StaffRoleGroupCode]],10),0,1)</f>
        <v>0</v>
      </c>
      <c r="Z14" s="57">
        <f>SUM(SRG[[#This Row],[Duplicate SRG Code]:[Space in Code]])</f>
        <v>0</v>
      </c>
      <c r="AB14" s="12" t="s">
        <v>1550</v>
      </c>
      <c r="AC14" s="12" t="s">
        <v>1551</v>
      </c>
      <c r="AD14" s="16">
        <v>640100</v>
      </c>
      <c r="AE14" s="104">
        <f>SRG[[#This Row],[GrossSalaryFinanceCode]]</f>
        <v>640100</v>
      </c>
      <c r="AF14" s="104">
        <f>SRG[[#This Row],[GrossSalaryFinanceCode]]</f>
        <v>640100</v>
      </c>
      <c r="AG14" s="104">
        <f>SRG[[#This Row],[GrossSalaryFinanceCode]]</f>
        <v>640100</v>
      </c>
      <c r="AH14" s="12" t="s">
        <v>961</v>
      </c>
      <c r="AI14" s="12" t="s">
        <v>959</v>
      </c>
      <c r="AJ14" s="16">
        <v>640200</v>
      </c>
      <c r="AK14" s="16">
        <v>640300</v>
      </c>
      <c r="AL14" s="12" t="s">
        <v>966</v>
      </c>
      <c r="AM14" s="104">
        <f>SRG[[#This Row],[GrossSalaryFinanceCode]]</f>
        <v>640100</v>
      </c>
      <c r="AN14" s="12" t="s">
        <v>980</v>
      </c>
      <c r="AO14" s="12" t="s">
        <v>934</v>
      </c>
      <c r="AP14" s="12" t="s">
        <v>1492</v>
      </c>
      <c r="AQ14" s="12" t="s">
        <v>1450</v>
      </c>
      <c r="AR14" s="15" t="b">
        <v>0</v>
      </c>
      <c r="AS14" s="15" t="b">
        <v>1</v>
      </c>
      <c r="AT14" s="12">
        <v>1</v>
      </c>
    </row>
    <row r="15" spans="1:46" x14ac:dyDescent="0.3">
      <c r="A15" s="57">
        <f>COUNTIF(SRG[StaffRoleGroupCode],SRG[[#This Row],[StaffRoleGroupCode]])-1</f>
        <v>0</v>
      </c>
      <c r="B15" s="57">
        <f>COUNTIF(SRG[Title],SRG[[#This Row],[Title]])-1</f>
        <v>0</v>
      </c>
      <c r="C15" s="57">
        <f>IFERROR(IF(_xlfn.XLOOKUP(SRG[[#This Row],[MinimumWageTopupFinanceCode]],FC_import[FinanceCode],FC_import[LedgerCode])=_xlfn.XLOOKUP(SRG[[#This Row],[GrossSalaryFinanceCode]],FinanceCodesBudget[FinanceCode],FinanceCodesBudget[LedgerCode]),0,1),1)</f>
        <v>0</v>
      </c>
      <c r="D15" s="57">
        <f>IFERROR(IF(_xlfn.XLOOKUP(SRG[[#This Row],[LivingWageTopupFinanceCode]],FC_import[FinanceCode],FC_import[LedgerCode])=_xlfn.XLOOKUP(SRG[[#This Row],[GrossSalaryFinanceCode]],FinanceCodesBudget[FinanceCode],FinanceCodesBudget[LedgerCode]),0,1),1)</f>
        <v>0</v>
      </c>
      <c r="E15" s="57">
        <f>IFERROR(IF(_xlfn.XLOOKUP(SRG[[#This Row],[OptOutPensionFinanceCode]],FC_import[FinanceCode],FC_import[LedgerCode])=_xlfn.XLOOKUP(SRG[[#This Row],[GrossSalaryFinanceCode]],FinanceCodesBudget[FinanceCode],FinanceCodesBudget[LedgerCode]),0,1),1)</f>
        <v>0</v>
      </c>
      <c r="F15" s="57">
        <f>IF(COUNTIF(FinanceCodesBudget[FinanceCode],SRG[[#This Row],[GrossSalaryFinanceCode]])&gt;0,0,1)</f>
        <v>0</v>
      </c>
      <c r="G15" s="57">
        <f>IF(SRG[[#This Row],[Gross Salary FC Issue]]=0,COUNTIF(FinanceCodesBudget[FinanceCode],SRG[[#This Row],[GrossSalaryFinanceCode]])-1,0)</f>
        <v>0</v>
      </c>
      <c r="H15" s="57">
        <f>IF(COUNTIF(FinanceCodesBudget[FinanceCode],SRG[[#This Row],[LeaveRebateFinanceCode]])&gt;0,0,1)</f>
        <v>0</v>
      </c>
      <c r="I15" s="57">
        <f>IF(SRG[[#This Row],[Leave Rebate FC Issue]]=0,COUNTIF(FinanceCodesBudget[FinanceCode],SRG[[#This Row],[LeaveRebateFinanceCode]])-1,0)</f>
        <v>0</v>
      </c>
      <c r="J15" s="57">
        <f>IF(COUNTIF(FinanceCodesBudget[FinanceCode],SRG[[#This Row],[AllowanceTypesFinanceCode]])&gt;0,0,1)</f>
        <v>0</v>
      </c>
      <c r="K15" s="57">
        <f>IF(SRG[[#This Row],[Allowance FC Issue]]=0,COUNTIF(FinanceCodesBudget[FinanceCode],SRG[[#This Row],[AllowanceTypesFinanceCode]])-1,0)</f>
        <v>0</v>
      </c>
      <c r="L15" s="57">
        <f>IF(COUNTIF(FinanceCodesBudget[FinanceCode],SRG[[#This Row],[AdjustmentsFinanceCode]])&gt;0,0,1)</f>
        <v>0</v>
      </c>
      <c r="M15" s="57">
        <f>IF(SRG[[#This Row],[Adj FC Issue]]=0,COUNTIF(FinanceCodesBudget[FinanceCode],SRG[[#This Row],[AdjustmentsFinanceCode]])-1,0)</f>
        <v>0</v>
      </c>
      <c r="N15" s="57">
        <f>IF(COUNTIF(FinanceCodesBudget[FinanceCode],SRG[[#This Row],[EmployersNiFinanceCode]])&gt;0,0,1)</f>
        <v>0</v>
      </c>
      <c r="O15" s="57">
        <f>IF(SRG[[#This Row],[NI FC Issue]]=0,COUNTIF(FinanceCodesBudget[FinanceCode],SRG[[#This Row],[EmployersNiFinanceCode]])-1,0)</f>
        <v>0</v>
      </c>
      <c r="P15" s="57">
        <f>IF(COUNTIF(FinanceCodesBudget[FinanceCode],SRG[[#This Row],[PensionFinanceCode]])&gt;0,0,1)</f>
        <v>0</v>
      </c>
      <c r="Q15" s="57">
        <f>IF(SRG[[#This Row],[Pension FC Issue]]=0,COUNTIF(FinanceCodesBudget[FinanceCode],SRG[[#This Row],[PensionFinanceCode]])-1,0)</f>
        <v>0</v>
      </c>
      <c r="R15" s="57">
        <f>IFERROR(IF(_xlfn.XLOOKUP(SRG[[#This Row],[WeeklyFteFinanceCode]],FC_import[FinanceCode],FC_import[LedgerCode])=_xlfn.XLOOKUP(SRG[[#This Row],[GrossSalaryFinanceCode]],FinanceCodesBudget[FinanceCode],FinanceCodesBudget[LedgerCode]),0,1),1)</f>
        <v>0</v>
      </c>
      <c r="S15" s="57">
        <f>IFERROR(IF(_xlfn.XLOOKUP(SRG[[#This Row],[AnnualFteFinanceCode]],FC_import[FinanceCode],FC_import[LedgerCode])=_xlfn.XLOOKUP(SRG[[#This Row],[GrossSalaryFinanceCode]],FinanceCodesBudget[FinanceCode],FinanceCodesBudget[LedgerCode]),0,1),1)</f>
        <v>0</v>
      </c>
      <c r="T15" s="57">
        <f>IFERROR(IF(_xlfn.XLOOKUP(SRG[[#This Row],[WeeklyFteLeaveAdjustmentFinanceCode]],FC_import[FinanceCode],FC_import[LedgerCode])=_xlfn.XLOOKUP(SRG[[#This Row],[GrossSalaryFinanceCode]],FinanceCodesBudget[FinanceCode],FinanceCodesBudget[LedgerCode]),0,1),1)</f>
        <v>0</v>
      </c>
      <c r="U15" s="57">
        <f>IFERROR(IF(_xlfn.XLOOKUP(SRG[[#This Row],[AnnualFteLeaveAdjustmentFinanceCode]],FC_import[FinanceCode],FC_import[LedgerCode])=_xlfn.XLOOKUP(SRG[[#This Row],[GrossSalaryFinanceCode]],FinanceCodesBudget[FinanceCode],FinanceCodesBudget[LedgerCode]),0,1),1)</f>
        <v>0</v>
      </c>
      <c r="V15" s="57">
        <f>IF(OR(SRG[[#This Row],[StaffRoleGroupEnabled]]=TRUE,SRG[[#This Row],[StaffRoleGroupEnabled]]=FALSE),IF(OR(SRG[[#This Row],[TeachingRoleGroup]]=TRUE,SRG[[#This Row],[TeachingRoleGroup]]=FALSE),0,1),1)</f>
        <v>0</v>
      </c>
      <c r="W15" s="57">
        <f>IF(LEN(SRG[[#This Row],[StaffRoleGroupCode]])&lt;100,0,1)</f>
        <v>0</v>
      </c>
      <c r="X15" s="57">
        <f>IF(LEN(SRG[[#This Row],[Title]])&lt;100,0,1)</f>
        <v>0</v>
      </c>
      <c r="Y15" s="57">
        <f>IF(SUBSTITUTE(TEXT(SRG[[#This Row],[StaffRoleGroupCode]],10)," ","")=TEXT(SRG[[#This Row],[StaffRoleGroupCode]],10),0,1)</f>
        <v>0</v>
      </c>
      <c r="Z15" s="57">
        <f>SUM(SRG[[#This Row],[Duplicate SRG Code]:[Space in Code]])</f>
        <v>0</v>
      </c>
      <c r="AB15" s="12" t="s">
        <v>1194</v>
      </c>
      <c r="AC15" s="12" t="s">
        <v>1552</v>
      </c>
      <c r="AD15" s="16">
        <v>647100</v>
      </c>
      <c r="AE15" s="104">
        <f>SRG[[#This Row],[GrossSalaryFinanceCode]]</f>
        <v>647100</v>
      </c>
      <c r="AF15" s="104">
        <f>SRG[[#This Row],[GrossSalaryFinanceCode]]</f>
        <v>647100</v>
      </c>
      <c r="AG15" s="104">
        <f>SRG[[#This Row],[GrossSalaryFinanceCode]]</f>
        <v>647100</v>
      </c>
      <c r="AH15" s="12" t="s">
        <v>961</v>
      </c>
      <c r="AI15" s="12" t="s">
        <v>959</v>
      </c>
      <c r="AJ15" s="16">
        <v>647200</v>
      </c>
      <c r="AK15" s="16">
        <v>647300</v>
      </c>
      <c r="AL15" s="12" t="s">
        <v>966</v>
      </c>
      <c r="AM15" s="104">
        <f>SRG[[#This Row],[GrossSalaryFinanceCode]]</f>
        <v>647100</v>
      </c>
      <c r="AN15" s="12" t="s">
        <v>994</v>
      </c>
      <c r="AO15" s="12" t="s">
        <v>948</v>
      </c>
      <c r="AP15" s="12" t="s">
        <v>1507</v>
      </c>
      <c r="AQ15" s="12" t="s">
        <v>1465</v>
      </c>
      <c r="AR15" s="15" t="b">
        <v>0</v>
      </c>
      <c r="AS15" s="15" t="b">
        <v>1</v>
      </c>
      <c r="AT15" s="12">
        <v>1</v>
      </c>
    </row>
    <row r="16" spans="1:46" x14ac:dyDescent="0.3">
      <c r="A16" s="57">
        <f>COUNTIF(SRG[StaffRoleGroupCode],SRG[[#This Row],[StaffRoleGroupCode]])-1</f>
        <v>0</v>
      </c>
      <c r="B16" s="57">
        <f>COUNTIF(SRG[Title],SRG[[#This Row],[Title]])-1</f>
        <v>0</v>
      </c>
      <c r="C16" s="57">
        <f>IFERROR(IF(_xlfn.XLOOKUP(SRG[[#This Row],[MinimumWageTopupFinanceCode]],FC_import[FinanceCode],FC_import[LedgerCode])=_xlfn.XLOOKUP(SRG[[#This Row],[GrossSalaryFinanceCode]],FinanceCodesBudget[FinanceCode],FinanceCodesBudget[LedgerCode]),0,1),1)</f>
        <v>0</v>
      </c>
      <c r="D16" s="57">
        <f>IFERROR(IF(_xlfn.XLOOKUP(SRG[[#This Row],[LivingWageTopupFinanceCode]],FC_import[FinanceCode],FC_import[LedgerCode])=_xlfn.XLOOKUP(SRG[[#This Row],[GrossSalaryFinanceCode]],FinanceCodesBudget[FinanceCode],FinanceCodesBudget[LedgerCode]),0,1),1)</f>
        <v>0</v>
      </c>
      <c r="E16" s="57">
        <f>IFERROR(IF(_xlfn.XLOOKUP(SRG[[#This Row],[OptOutPensionFinanceCode]],FC_import[FinanceCode],FC_import[LedgerCode])=_xlfn.XLOOKUP(SRG[[#This Row],[GrossSalaryFinanceCode]],FinanceCodesBudget[FinanceCode],FinanceCodesBudget[LedgerCode]),0,1),1)</f>
        <v>0</v>
      </c>
      <c r="F16" s="57">
        <f>IF(COUNTIF(FinanceCodesBudget[FinanceCode],SRG[[#This Row],[GrossSalaryFinanceCode]])&gt;0,0,1)</f>
        <v>0</v>
      </c>
      <c r="G16" s="57">
        <f>IF(SRG[[#This Row],[Gross Salary FC Issue]]=0,COUNTIF(FinanceCodesBudget[FinanceCode],SRG[[#This Row],[GrossSalaryFinanceCode]])-1,0)</f>
        <v>0</v>
      </c>
      <c r="H16" s="57">
        <f>IF(COUNTIF(FinanceCodesBudget[FinanceCode],SRG[[#This Row],[LeaveRebateFinanceCode]])&gt;0,0,1)</f>
        <v>0</v>
      </c>
      <c r="I16" s="57">
        <f>IF(SRG[[#This Row],[Leave Rebate FC Issue]]=0,COUNTIF(FinanceCodesBudget[FinanceCode],SRG[[#This Row],[LeaveRebateFinanceCode]])-1,0)</f>
        <v>0</v>
      </c>
      <c r="J16" s="57">
        <f>IF(COUNTIF(FinanceCodesBudget[FinanceCode],SRG[[#This Row],[AllowanceTypesFinanceCode]])&gt;0,0,1)</f>
        <v>0</v>
      </c>
      <c r="K16" s="57">
        <f>IF(SRG[[#This Row],[Allowance FC Issue]]=0,COUNTIF(FinanceCodesBudget[FinanceCode],SRG[[#This Row],[AllowanceTypesFinanceCode]])-1,0)</f>
        <v>0</v>
      </c>
      <c r="L16" s="57">
        <f>IF(COUNTIF(FinanceCodesBudget[FinanceCode],SRG[[#This Row],[AdjustmentsFinanceCode]])&gt;0,0,1)</f>
        <v>0</v>
      </c>
      <c r="M16" s="57">
        <f>IF(SRG[[#This Row],[Adj FC Issue]]=0,COUNTIF(FinanceCodesBudget[FinanceCode],SRG[[#This Row],[AdjustmentsFinanceCode]])-1,0)</f>
        <v>0</v>
      </c>
      <c r="N16" s="57">
        <f>IF(COUNTIF(FinanceCodesBudget[FinanceCode],SRG[[#This Row],[EmployersNiFinanceCode]])&gt;0,0,1)</f>
        <v>0</v>
      </c>
      <c r="O16" s="57">
        <f>IF(SRG[[#This Row],[NI FC Issue]]=0,COUNTIF(FinanceCodesBudget[FinanceCode],SRG[[#This Row],[EmployersNiFinanceCode]])-1,0)</f>
        <v>0</v>
      </c>
      <c r="P16" s="57">
        <f>IF(COUNTIF(FinanceCodesBudget[FinanceCode],SRG[[#This Row],[PensionFinanceCode]])&gt;0,0,1)</f>
        <v>0</v>
      </c>
      <c r="Q16" s="57">
        <f>IF(SRG[[#This Row],[Pension FC Issue]]=0,COUNTIF(FinanceCodesBudget[FinanceCode],SRG[[#This Row],[PensionFinanceCode]])-1,0)</f>
        <v>0</v>
      </c>
      <c r="R16" s="57">
        <f>IFERROR(IF(_xlfn.XLOOKUP(SRG[[#This Row],[WeeklyFteFinanceCode]],FC_import[FinanceCode],FC_import[LedgerCode])=_xlfn.XLOOKUP(SRG[[#This Row],[GrossSalaryFinanceCode]],FinanceCodesBudget[FinanceCode],FinanceCodesBudget[LedgerCode]),0,1),1)</f>
        <v>0</v>
      </c>
      <c r="S16" s="57">
        <f>IFERROR(IF(_xlfn.XLOOKUP(SRG[[#This Row],[AnnualFteFinanceCode]],FC_import[FinanceCode],FC_import[LedgerCode])=_xlfn.XLOOKUP(SRG[[#This Row],[GrossSalaryFinanceCode]],FinanceCodesBudget[FinanceCode],FinanceCodesBudget[LedgerCode]),0,1),1)</f>
        <v>0</v>
      </c>
      <c r="T16" s="57">
        <f>IFERROR(IF(_xlfn.XLOOKUP(SRG[[#This Row],[WeeklyFteLeaveAdjustmentFinanceCode]],FC_import[FinanceCode],FC_import[LedgerCode])=_xlfn.XLOOKUP(SRG[[#This Row],[GrossSalaryFinanceCode]],FinanceCodesBudget[FinanceCode],FinanceCodesBudget[LedgerCode]),0,1),1)</f>
        <v>0</v>
      </c>
      <c r="U16" s="57">
        <f>IFERROR(IF(_xlfn.XLOOKUP(SRG[[#This Row],[AnnualFteLeaveAdjustmentFinanceCode]],FC_import[FinanceCode],FC_import[LedgerCode])=_xlfn.XLOOKUP(SRG[[#This Row],[GrossSalaryFinanceCode]],FinanceCodesBudget[FinanceCode],FinanceCodesBudget[LedgerCode]),0,1),1)</f>
        <v>0</v>
      </c>
      <c r="V16" s="57">
        <f>IF(OR(SRG[[#This Row],[StaffRoleGroupEnabled]]=TRUE,SRG[[#This Row],[StaffRoleGroupEnabled]]=FALSE),IF(OR(SRG[[#This Row],[TeachingRoleGroup]]=TRUE,SRG[[#This Row],[TeachingRoleGroup]]=FALSE),0,1),1)</f>
        <v>0</v>
      </c>
      <c r="W16" s="57">
        <f>IF(LEN(SRG[[#This Row],[StaffRoleGroupCode]])&lt;100,0,1)</f>
        <v>0</v>
      </c>
      <c r="X16" s="57">
        <f>IF(LEN(SRG[[#This Row],[Title]])&lt;100,0,1)</f>
        <v>0</v>
      </c>
      <c r="Y16" s="57">
        <f>IF(SUBSTITUTE(TEXT(SRG[[#This Row],[StaffRoleGroupCode]],10)," ","")=TEXT(SRG[[#This Row],[StaffRoleGroupCode]],10),0,1)</f>
        <v>0</v>
      </c>
      <c r="Z16" s="57">
        <f>SUM(SRG[[#This Row],[Duplicate SRG Code]:[Space in Code]])</f>
        <v>0</v>
      </c>
      <c r="AB16" s="12" t="s">
        <v>4911</v>
      </c>
      <c r="AC16" s="12" t="s">
        <v>4912</v>
      </c>
      <c r="AD16" s="16">
        <v>650400</v>
      </c>
      <c r="AE16" s="104">
        <f>SRG[[#This Row],[GrossSalaryFinanceCode]]</f>
        <v>650400</v>
      </c>
      <c r="AF16" s="104">
        <f>SRG[[#This Row],[GrossSalaryFinanceCode]]</f>
        <v>650400</v>
      </c>
      <c r="AG16" s="104">
        <f>SRG[[#This Row],[GrossSalaryFinanceCode]]</f>
        <v>650400</v>
      </c>
      <c r="AH16" s="12" t="s">
        <v>961</v>
      </c>
      <c r="AI16" s="12" t="s">
        <v>959</v>
      </c>
      <c r="AJ16" s="16">
        <v>650410</v>
      </c>
      <c r="AK16" s="16">
        <v>650420</v>
      </c>
      <c r="AL16" s="12" t="s">
        <v>966</v>
      </c>
      <c r="AM16" s="104">
        <f>SRG[[#This Row],[GrossSalaryFinanceCode]]</f>
        <v>650400</v>
      </c>
      <c r="AN16" s="12" t="s">
        <v>4913</v>
      </c>
      <c r="AO16" s="12" t="s">
        <v>4914</v>
      </c>
      <c r="AP16" s="12" t="s">
        <v>4915</v>
      </c>
      <c r="AQ16" s="12" t="s">
        <v>4916</v>
      </c>
      <c r="AR16" s="159" t="b">
        <v>1</v>
      </c>
      <c r="AS16" s="15" t="b">
        <v>1</v>
      </c>
      <c r="AT16" s="12">
        <v>1</v>
      </c>
    </row>
  </sheetData>
  <phoneticPr fontId="2" type="noConversion"/>
  <pageMargins left="0.7" right="0.7" top="0.75" bottom="0.75" header="0.3" footer="0.3"/>
  <legacyDrawing r:id="rId1"/>
  <tableParts count="1">
    <tablePart r:id="rId2"/>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5844-8521-4920-BC60-ECF9A4DC802E}">
  <sheetPr codeName="Sheet211">
    <tabColor theme="9" tint="0.39997558519241921"/>
  </sheetPr>
  <dimension ref="A1:Z102"/>
  <sheetViews>
    <sheetView topLeftCell="N1" zoomScale="90" zoomScaleNormal="90" workbookViewId="0">
      <pane ySplit="1" topLeftCell="A2" activePane="bottomLeft" state="frozen"/>
      <selection activeCell="E2" sqref="E2"/>
      <selection pane="bottomLeft" activeCell="AC10" sqref="AC10"/>
    </sheetView>
  </sheetViews>
  <sheetFormatPr defaultColWidth="17.5546875" defaultRowHeight="15" customHeight="1" outlineLevelCol="1" x14ac:dyDescent="0.3"/>
  <cols>
    <col min="1" max="1" width="8.88671875" style="15" hidden="1" customWidth="1" outlineLevel="1"/>
    <col min="2" max="2" width="8.88671875" style="12" hidden="1" customWidth="1" outlineLevel="1"/>
    <col min="3" max="3" width="9.5546875" style="12" hidden="1" customWidth="1" outlineLevel="1"/>
    <col min="4" max="4" width="9" style="12" hidden="1" customWidth="1" outlineLevel="1"/>
    <col min="5" max="5" width="8.44140625" style="12" hidden="1" customWidth="1" outlineLevel="1"/>
    <col min="6" max="6" width="8.5546875" style="12" hidden="1" customWidth="1" outlineLevel="1"/>
    <col min="7" max="7" width="14" style="12" hidden="1" customWidth="1" outlineLevel="1"/>
    <col min="8" max="8" width="10.6640625" style="12" hidden="1" customWidth="1" outlineLevel="1"/>
    <col min="9" max="9" width="9.109375" style="12" hidden="1" customWidth="1" outlineLevel="1"/>
    <col min="10" max="13" width="9" style="12" hidden="1" customWidth="1" outlineLevel="1"/>
    <col min="14" max="14" width="10.6640625" style="12" customWidth="1" collapsed="1"/>
    <col min="15" max="15" width="14.5546875" style="12" bestFit="1" customWidth="1"/>
    <col min="16" max="16" width="13.5546875" style="12" customWidth="1"/>
    <col min="17" max="17" width="15.33203125" style="12" bestFit="1" customWidth="1"/>
    <col min="18" max="18" width="39.5546875" style="12" bestFit="1" customWidth="1"/>
    <col min="19" max="19" width="15.33203125" style="12" bestFit="1" customWidth="1"/>
    <col min="20" max="20" width="13.109375" style="12" customWidth="1"/>
    <col min="21" max="21" width="10.5546875" style="14" customWidth="1"/>
    <col min="22" max="23" width="12.33203125" style="15" customWidth="1"/>
    <col min="24" max="24" width="10.88671875" style="15" customWidth="1"/>
    <col min="25" max="25" width="10.33203125" style="12" customWidth="1"/>
    <col min="26" max="26" width="9.109375" style="12" customWidth="1"/>
    <col min="27" max="16384" width="17.5546875" style="12"/>
  </cols>
  <sheetData>
    <row r="1" spans="1:26" s="24" customFormat="1" ht="57.6" x14ac:dyDescent="0.3">
      <c r="A1" s="65" t="s">
        <v>1633</v>
      </c>
      <c r="B1" s="65" t="s">
        <v>1608</v>
      </c>
      <c r="C1" s="65" t="s">
        <v>1609</v>
      </c>
      <c r="D1" s="65" t="s">
        <v>1434</v>
      </c>
      <c r="E1" s="65" t="s">
        <v>1610</v>
      </c>
      <c r="F1" s="59" t="s">
        <v>1634</v>
      </c>
      <c r="G1" s="145" t="s">
        <v>1754</v>
      </c>
      <c r="H1" s="53" t="s">
        <v>1631</v>
      </c>
      <c r="I1" s="65" t="s">
        <v>1659</v>
      </c>
      <c r="J1" s="53" t="s">
        <v>1639</v>
      </c>
      <c r="K1" s="53" t="s">
        <v>1638</v>
      </c>
      <c r="L1" s="53" t="s">
        <v>1661</v>
      </c>
      <c r="M1" s="122" t="s">
        <v>1660</v>
      </c>
      <c r="N1" s="59" t="s">
        <v>886</v>
      </c>
      <c r="O1" s="25" t="s">
        <v>1049</v>
      </c>
      <c r="P1" s="25" t="s">
        <v>1158</v>
      </c>
      <c r="Q1" s="25" t="s">
        <v>1208</v>
      </c>
      <c r="R1" s="25" t="s">
        <v>62</v>
      </c>
      <c r="S1" s="25" t="s">
        <v>1050</v>
      </c>
      <c r="T1" s="25" t="s">
        <v>1214</v>
      </c>
      <c r="U1" s="49" t="s">
        <v>904</v>
      </c>
      <c r="V1" s="50" t="s">
        <v>905</v>
      </c>
      <c r="W1" s="50" t="s">
        <v>1215</v>
      </c>
      <c r="X1" s="50" t="s">
        <v>1216</v>
      </c>
      <c r="Y1" s="25" t="s">
        <v>1217</v>
      </c>
      <c r="Z1" s="50" t="s">
        <v>1759</v>
      </c>
    </row>
    <row r="2" spans="1:26" ht="15" customHeight="1" x14ac:dyDescent="0.3">
      <c r="A2" s="57">
        <f>COUNTIF(ROLES[StaffRoleCode],ROLES[[#This Row],[StaffRoleCode]])-1</f>
        <v>0</v>
      </c>
      <c r="B2" s="57">
        <f>COUNTIF(ROLES[Title],ROLES[[#This Row],[Title]])-1</f>
        <v>0</v>
      </c>
      <c r="C2" s="66">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2" s="66">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2" s="66">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2" s="57">
        <f>IF(COUNTIF(PAYSCALES[PayScaleCode],ROLES[[#This Row],[PayScaleCode]])&gt;0,0,1)</f>
        <v>0</v>
      </c>
      <c r="G2" s="66" cm="1">
        <f t="array" ref="G2">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 s="66">
        <f>IF(ROLES[[#This Row],[AvailableToAllSchools]]=FALSE,IF(ISBLANK(ROLES[[#This Row],[SchoolCodes]]),1,0),IF(ROLES[[#This Row],[AvailableToAllSchools]]=TRUE,IF(ISBLANK(ROLES[[#This Row],[SchoolCodes]]),0,)))</f>
        <v>0</v>
      </c>
      <c r="I2" s="66">
        <f>IF(OR(ROLES[[#This Row],[StaffRoleEnabled]]=TRUE,ROLES[[#This Row],[StaffRoleEnabled]]=FALSE),IF(OR(ROLES[[#This Row],[AvailableToAllSchools]]=TRUE,ROLES[[#This Row],[AvailableToAllSchools]]=FALSE),0,1),1)</f>
        <v>0</v>
      </c>
      <c r="J2" s="57">
        <f>IF(LEN(ROLES[[#This Row],[StaffRoleCode]])&lt;100,0,1)</f>
        <v>0</v>
      </c>
      <c r="K2" s="57">
        <f>IF(LEN(ROLES[[#This Row],[Title]])&lt;100,0,1)</f>
        <v>0</v>
      </c>
      <c r="L2" s="66">
        <f>(COUNTBLANK(ROLES[[#This Row],[MonthsServiceBeforeIncrement]:[StaffRoleEnabled]]))+COUNTBLANK(ROLES[[#This Row],[FullTimeHoursPerWeek]])</f>
        <v>0</v>
      </c>
      <c r="M2" s="57">
        <f>IF(SUBSTITUTE(TEXT(ROLES[[#This Row],[StaffRoleCode]],10)," ","")=TEXT(ROLES[[#This Row],[StaffRoleCode]],10),0,1)</f>
        <v>0</v>
      </c>
      <c r="N2" s="57">
        <f>SUM(ROLES[[#This Row],[Duplicate Role Code]:[Space in Code]])</f>
        <v>0</v>
      </c>
      <c r="P2" s="12" t="s">
        <v>1174</v>
      </c>
      <c r="Q2" s="12" t="s">
        <v>1220</v>
      </c>
      <c r="R2" s="12" t="s">
        <v>1555</v>
      </c>
      <c r="S2" s="12" t="s">
        <v>1220</v>
      </c>
      <c r="T2" s="12">
        <v>32.436</v>
      </c>
      <c r="U2" s="155" t="b">
        <f>_xlfn.XLOOKUP(ROLES[[#This Row],[PayScaleCode]],PayScales!N:N,PayScales!T:T)</f>
        <v>0</v>
      </c>
      <c r="V2" s="154" t="str">
        <f>IF(ROLES[[#This Row],[AvailableToAllSchools]]=TRUE,"",_xlfn.XLOOKUP(ROLES[[#This Row],[PayScaleCode]],PayScales!N:N,PayScales!U:U))</f>
        <v>MAT</v>
      </c>
      <c r="W2" s="12">
        <v>0</v>
      </c>
      <c r="X2" s="12">
        <v>0</v>
      </c>
      <c r="Y2" t="b">
        <v>1</v>
      </c>
      <c r="Z2" t="b">
        <v>0</v>
      </c>
    </row>
    <row r="3" spans="1:26" ht="15" customHeight="1" x14ac:dyDescent="0.3">
      <c r="A3" s="57">
        <f>COUNTIF(ROLES[StaffRoleCode],ROLES[[#This Row],[StaffRoleCode]])-1</f>
        <v>0</v>
      </c>
      <c r="B3" s="57">
        <f>COUNTIF(ROLES[Title],ROLES[[#This Row],[Title]])-1</f>
        <v>0</v>
      </c>
      <c r="C3"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3"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3"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3" s="57">
        <f>IF(COUNTIF(PAYSCALES[PayScaleCode],ROLES[[#This Row],[PayScaleCode]])&gt;0,0,1)</f>
        <v>0</v>
      </c>
      <c r="G3" s="57" cm="1">
        <f t="array" ref="G3">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3" s="57">
        <f>IF(ROLES[[#This Row],[AvailableToAllSchools]]=FALSE,IF(ISBLANK(ROLES[[#This Row],[SchoolCodes]]),1,0),IF(ROLES[[#This Row],[AvailableToAllSchools]]=TRUE,IF(ISBLANK(ROLES[[#This Row],[SchoolCodes]]),0,)))</f>
        <v>0</v>
      </c>
      <c r="I3" s="57">
        <f>IF(OR(ROLES[[#This Row],[StaffRoleEnabled]]=TRUE,ROLES[[#This Row],[StaffRoleEnabled]]=FALSE),IF(OR(ROLES[[#This Row],[AvailableToAllSchools]]=TRUE,ROLES[[#This Row],[AvailableToAllSchools]]=FALSE),0,1),1)</f>
        <v>0</v>
      </c>
      <c r="J3" s="57">
        <f>IF(LEN(ROLES[[#This Row],[StaffRoleCode]])&lt;100,0,1)</f>
        <v>0</v>
      </c>
      <c r="K3" s="57">
        <f>IF(LEN(ROLES[[#This Row],[Title]])&lt;100,0,1)</f>
        <v>0</v>
      </c>
      <c r="L3" s="57">
        <f>(COUNTBLANK(ROLES[[#This Row],[MonthsServiceBeforeIncrement]:[StaffRoleEnabled]]))+COUNTBLANK(ROLES[[#This Row],[FullTimeHoursPerWeek]])</f>
        <v>0</v>
      </c>
      <c r="M3" s="57">
        <f>IF(SUBSTITUTE(TEXT(ROLES[[#This Row],[StaffRoleCode]],10)," ","")=TEXT(ROLES[[#This Row],[StaffRoleCode]],10),0,1)</f>
        <v>0</v>
      </c>
      <c r="N3" s="57">
        <f>SUM(ROLES[[#This Row],[Duplicate Role Code]:[Space in Code]])</f>
        <v>0</v>
      </c>
      <c r="P3" s="12" t="s">
        <v>1174</v>
      </c>
      <c r="Q3" s="12" t="s">
        <v>4164</v>
      </c>
      <c r="R3" s="12" t="s">
        <v>4165</v>
      </c>
      <c r="S3" s="12" t="s">
        <v>1750</v>
      </c>
      <c r="T3" s="12">
        <v>32.436</v>
      </c>
      <c r="U3" s="155" t="b">
        <f>_xlfn.XLOOKUP(ROLES[[#This Row],[PayScaleCode]],PayScales!N:N,PayScales!T:T)</f>
        <v>1</v>
      </c>
      <c r="V3" s="154" t="str">
        <f>IF(ROLES[[#This Row],[AvailableToAllSchools]]=TRUE,"",_xlfn.XLOOKUP(ROLES[[#This Row],[PayScaleCode]],PayScales!N:N,PayScales!U:U))</f>
        <v/>
      </c>
      <c r="W3" s="12">
        <v>0</v>
      </c>
      <c r="X3" s="12">
        <v>0</v>
      </c>
      <c r="Y3" t="b">
        <v>1</v>
      </c>
      <c r="Z3" t="b">
        <v>0</v>
      </c>
    </row>
    <row r="4" spans="1:26" ht="15" customHeight="1" x14ac:dyDescent="0.3">
      <c r="A4" s="57">
        <f>COUNTIF(ROLES[StaffRoleCode],ROLES[[#This Row],[StaffRoleCode]])-1</f>
        <v>0</v>
      </c>
      <c r="B4" s="57">
        <f>COUNTIF(ROLES[Title],ROLES[[#This Row],[Title]])-1</f>
        <v>0</v>
      </c>
      <c r="C4"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4"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4"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4" s="57">
        <f>IF(COUNTIF(PAYSCALES[PayScaleCode],ROLES[[#This Row],[PayScaleCode]])&gt;0,0,1)</f>
        <v>0</v>
      </c>
      <c r="G4" s="57" cm="1">
        <f t="array" ref="G4">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4" s="57">
        <f>IF(ROLES[[#This Row],[AvailableToAllSchools]]=FALSE,IF(ISBLANK(ROLES[[#This Row],[SchoolCodes]]),1,0),IF(ROLES[[#This Row],[AvailableToAllSchools]]=TRUE,IF(ISBLANK(ROLES[[#This Row],[SchoolCodes]]),0,)))</f>
        <v>0</v>
      </c>
      <c r="I4" s="57">
        <f>IF(OR(ROLES[[#This Row],[StaffRoleEnabled]]=TRUE,ROLES[[#This Row],[StaffRoleEnabled]]=FALSE),IF(OR(ROLES[[#This Row],[AvailableToAllSchools]]=TRUE,ROLES[[#This Row],[AvailableToAllSchools]]=FALSE),0,1),1)</f>
        <v>0</v>
      </c>
      <c r="J4" s="57">
        <f>IF(LEN(ROLES[[#This Row],[StaffRoleCode]])&lt;100,0,1)</f>
        <v>0</v>
      </c>
      <c r="K4" s="57">
        <f>IF(LEN(ROLES[[#This Row],[Title]])&lt;100,0,1)</f>
        <v>0</v>
      </c>
      <c r="L4" s="57">
        <f>(COUNTBLANK(ROLES[[#This Row],[MonthsServiceBeforeIncrement]:[StaffRoleEnabled]]))+COUNTBLANK(ROLES[[#This Row],[FullTimeHoursPerWeek]])</f>
        <v>0</v>
      </c>
      <c r="M4" s="57">
        <f>IF(SUBSTITUTE(TEXT(ROLES[[#This Row],[StaffRoleCode]],10)," ","")=TEXT(ROLES[[#This Row],[StaffRoleCode]],10),0,1)</f>
        <v>0</v>
      </c>
      <c r="N4" s="57">
        <f>SUM(ROLES[[#This Row],[Duplicate Role Code]:[Space in Code]])</f>
        <v>0</v>
      </c>
      <c r="P4" s="12" t="s">
        <v>1174</v>
      </c>
      <c r="Q4" s="12" t="s">
        <v>1553</v>
      </c>
      <c r="R4" s="12" t="s">
        <v>1554</v>
      </c>
      <c r="S4" s="12" t="s">
        <v>1750</v>
      </c>
      <c r="T4" s="12">
        <v>32.436</v>
      </c>
      <c r="U4" s="155" t="b">
        <f>_xlfn.XLOOKUP(ROLES[[#This Row],[PayScaleCode]],PayScales!N:N,PayScales!T:T)</f>
        <v>1</v>
      </c>
      <c r="V4" s="154" t="str">
        <f>IF(ROLES[[#This Row],[AvailableToAllSchools]]=TRUE,"",_xlfn.XLOOKUP(ROLES[[#This Row],[PayScaleCode]],PayScales!N:N,PayScales!U:U))</f>
        <v/>
      </c>
      <c r="W4" s="12">
        <v>0</v>
      </c>
      <c r="X4" s="12">
        <v>0</v>
      </c>
      <c r="Y4" t="b">
        <v>1</v>
      </c>
      <c r="Z4" t="b">
        <v>0</v>
      </c>
    </row>
    <row r="5" spans="1:26" ht="15" customHeight="1" x14ac:dyDescent="0.3">
      <c r="A5" s="57">
        <f>COUNTIF(ROLES[StaffRoleCode],ROLES[[#This Row],[StaffRoleCode]])-1</f>
        <v>0</v>
      </c>
      <c r="B5" s="57">
        <f>COUNTIF(ROLES[Title],ROLES[[#This Row],[Title]])-1</f>
        <v>0</v>
      </c>
      <c r="C5"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5"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5"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5" s="57">
        <f>IF(COUNTIF(PAYSCALES[PayScaleCode],ROLES[[#This Row],[PayScaleCode]])&gt;0,0,1)</f>
        <v>0</v>
      </c>
      <c r="G5" s="57" cm="1">
        <f t="array" ref="G5">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5" s="57">
        <f>IF(ROLES[[#This Row],[AvailableToAllSchools]]=FALSE,IF(ISBLANK(ROLES[[#This Row],[SchoolCodes]]),1,0),IF(ROLES[[#This Row],[AvailableToAllSchools]]=TRUE,IF(ISBLANK(ROLES[[#This Row],[SchoolCodes]]),0,)))</f>
        <v>0</v>
      </c>
      <c r="I5" s="57">
        <f>IF(OR(ROLES[[#This Row],[StaffRoleEnabled]]=TRUE,ROLES[[#This Row],[StaffRoleEnabled]]=FALSE),IF(OR(ROLES[[#This Row],[AvailableToAllSchools]]=TRUE,ROLES[[#This Row],[AvailableToAllSchools]]=FALSE),0,1),1)</f>
        <v>0</v>
      </c>
      <c r="J5" s="57">
        <f>IF(LEN(ROLES[[#This Row],[StaffRoleCode]])&lt;100,0,1)</f>
        <v>0</v>
      </c>
      <c r="K5" s="57">
        <f>IF(LEN(ROLES[[#This Row],[Title]])&lt;100,0,1)</f>
        <v>0</v>
      </c>
      <c r="L5" s="57">
        <f>(COUNTBLANK(ROLES[[#This Row],[MonthsServiceBeforeIncrement]:[StaffRoleEnabled]]))+COUNTBLANK(ROLES[[#This Row],[FullTimeHoursPerWeek]])</f>
        <v>0</v>
      </c>
      <c r="M5" s="57">
        <f>IF(SUBSTITUTE(TEXT(ROLES[[#This Row],[StaffRoleCode]],10)," ","")=TEXT(ROLES[[#This Row],[StaffRoleCode]],10),0,1)</f>
        <v>0</v>
      </c>
      <c r="N5" s="57">
        <f>SUM(ROLES[[#This Row],[Duplicate Role Code]:[Space in Code]])</f>
        <v>0</v>
      </c>
      <c r="P5" s="12" t="s">
        <v>1174</v>
      </c>
      <c r="Q5" s="12" t="s">
        <v>1612</v>
      </c>
      <c r="R5" s="12" t="s">
        <v>1218</v>
      </c>
      <c r="S5" s="12" t="s">
        <v>1750</v>
      </c>
      <c r="T5" s="12">
        <v>32.436</v>
      </c>
      <c r="U5" s="155" t="b">
        <f>_xlfn.XLOOKUP(ROLES[[#This Row],[PayScaleCode]],PayScales!N:N,PayScales!T:T)</f>
        <v>1</v>
      </c>
      <c r="V5" s="154" t="str">
        <f>IF(ROLES[[#This Row],[AvailableToAllSchools]]=TRUE,"",_xlfn.XLOOKUP(ROLES[[#This Row],[PayScaleCode]],PayScales!N:N,PayScales!U:U))</f>
        <v/>
      </c>
      <c r="W5" s="12">
        <v>0</v>
      </c>
      <c r="X5" s="12">
        <v>0</v>
      </c>
      <c r="Y5" t="b">
        <v>1</v>
      </c>
      <c r="Z5" t="b">
        <v>0</v>
      </c>
    </row>
    <row r="6" spans="1:26" ht="15" customHeight="1" x14ac:dyDescent="0.3">
      <c r="A6" s="57">
        <f>COUNTIF(ROLES[StaffRoleCode],ROLES[[#This Row],[StaffRoleCode]])-1</f>
        <v>0</v>
      </c>
      <c r="B6" s="57">
        <f>COUNTIF(ROLES[Title],ROLES[[#This Row],[Title]])-1</f>
        <v>0</v>
      </c>
      <c r="C6"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6"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6"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6" s="57">
        <f>IF(COUNTIF(PAYSCALES[PayScaleCode],ROLES[[#This Row],[PayScaleCode]])&gt;0,0,1)</f>
        <v>0</v>
      </c>
      <c r="G6" s="57" cm="1">
        <f t="array" ref="G6">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6" s="57">
        <f>IF(ROLES[[#This Row],[AvailableToAllSchools]]=FALSE,IF(ISBLANK(ROLES[[#This Row],[SchoolCodes]]),1,0),IF(ROLES[[#This Row],[AvailableToAllSchools]]=TRUE,IF(ISBLANK(ROLES[[#This Row],[SchoolCodes]]),0,)))</f>
        <v>0</v>
      </c>
      <c r="I6" s="57">
        <f>IF(OR(ROLES[[#This Row],[StaffRoleEnabled]]=TRUE,ROLES[[#This Row],[StaffRoleEnabled]]=FALSE),IF(OR(ROLES[[#This Row],[AvailableToAllSchools]]=TRUE,ROLES[[#This Row],[AvailableToAllSchools]]=FALSE),0,1),1)</f>
        <v>0</v>
      </c>
      <c r="J6" s="57">
        <f>IF(LEN(ROLES[[#This Row],[StaffRoleCode]])&lt;100,0,1)</f>
        <v>0</v>
      </c>
      <c r="K6" s="57">
        <f>IF(LEN(ROLES[[#This Row],[Title]])&lt;100,0,1)</f>
        <v>0</v>
      </c>
      <c r="L6" s="57">
        <f>(COUNTBLANK(ROLES[[#This Row],[MonthsServiceBeforeIncrement]:[StaffRoleEnabled]]))+COUNTBLANK(ROLES[[#This Row],[FullTimeHoursPerWeek]])</f>
        <v>0</v>
      </c>
      <c r="M6" s="57">
        <f>IF(SUBSTITUTE(TEXT(ROLES[[#This Row],[StaffRoleCode]],10)," ","")=TEXT(ROLES[[#This Row],[StaffRoleCode]],10),0,1)</f>
        <v>0</v>
      </c>
      <c r="N6" s="57">
        <f>SUM(ROLES[[#This Row],[Duplicate Role Code]:[Space in Code]])</f>
        <v>0</v>
      </c>
      <c r="P6" s="12" t="s">
        <v>1174</v>
      </c>
      <c r="Q6" s="12" t="s">
        <v>1613</v>
      </c>
      <c r="R6" s="12" t="s">
        <v>1219</v>
      </c>
      <c r="S6" s="12" t="s">
        <v>1750</v>
      </c>
      <c r="T6" s="12">
        <v>32.436</v>
      </c>
      <c r="U6" s="155" t="b">
        <f>_xlfn.XLOOKUP(ROLES[[#This Row],[PayScaleCode]],PayScales!N:N,PayScales!T:T)</f>
        <v>1</v>
      </c>
      <c r="V6" s="154" t="str">
        <f>IF(ROLES[[#This Row],[AvailableToAllSchools]]=TRUE,"",_xlfn.XLOOKUP(ROLES[[#This Row],[PayScaleCode]],PayScales!N:N,PayScales!U:U))</f>
        <v/>
      </c>
      <c r="W6" s="12">
        <v>0</v>
      </c>
      <c r="X6" s="12">
        <v>0</v>
      </c>
      <c r="Y6" t="b">
        <v>1</v>
      </c>
      <c r="Z6" t="b">
        <v>0</v>
      </c>
    </row>
    <row r="7" spans="1:26" ht="15" customHeight="1" x14ac:dyDescent="0.3">
      <c r="A7" s="57">
        <f>COUNTIF(ROLES[StaffRoleCode],ROLES[[#This Row],[StaffRoleCode]])-1</f>
        <v>0</v>
      </c>
      <c r="B7" s="57">
        <f>COUNTIF(ROLES[Title],ROLES[[#This Row],[Title]])-1</f>
        <v>0</v>
      </c>
      <c r="C7"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7"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7"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7" s="57">
        <f>IF(COUNTIF(PAYSCALES[PayScaleCode],ROLES[[#This Row],[PayScaleCode]])&gt;0,0,1)</f>
        <v>0</v>
      </c>
      <c r="G7" s="57" cm="1">
        <f t="array" ref="G7">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7" s="57">
        <f>IF(ROLES[[#This Row],[AvailableToAllSchools]]=FALSE,IF(ISBLANK(ROLES[[#This Row],[SchoolCodes]]),1,0),IF(ROLES[[#This Row],[AvailableToAllSchools]]=TRUE,IF(ISBLANK(ROLES[[#This Row],[SchoolCodes]]),0,)))</f>
        <v>0</v>
      </c>
      <c r="I7" s="57">
        <f>IF(OR(ROLES[[#This Row],[StaffRoleEnabled]]=TRUE,ROLES[[#This Row],[StaffRoleEnabled]]=FALSE),IF(OR(ROLES[[#This Row],[AvailableToAllSchools]]=TRUE,ROLES[[#This Row],[AvailableToAllSchools]]=FALSE),0,1),1)</f>
        <v>0</v>
      </c>
      <c r="J7" s="57">
        <f>IF(LEN(ROLES[[#This Row],[StaffRoleCode]])&lt;100,0,1)</f>
        <v>0</v>
      </c>
      <c r="K7" s="57">
        <f>IF(LEN(ROLES[[#This Row],[Title]])&lt;100,0,1)</f>
        <v>0</v>
      </c>
      <c r="L7" s="57">
        <f>(COUNTBLANK(ROLES[[#This Row],[MonthsServiceBeforeIncrement]:[StaffRoleEnabled]]))+COUNTBLANK(ROLES[[#This Row],[FullTimeHoursPerWeek]])</f>
        <v>0</v>
      </c>
      <c r="M7" s="57">
        <f>IF(SUBSTITUTE(TEXT(ROLES[[#This Row],[StaffRoleCode]],10)," ","")=TEXT(ROLES[[#This Row],[StaffRoleCode]],10),0,1)</f>
        <v>0</v>
      </c>
      <c r="N7" s="57">
        <f>SUM(ROLES[[#This Row],[Duplicate Role Code]:[Space in Code]])</f>
        <v>0</v>
      </c>
      <c r="P7" s="12" t="s">
        <v>1176</v>
      </c>
      <c r="Q7" s="12" t="s">
        <v>1221</v>
      </c>
      <c r="R7" s="12" t="s">
        <v>1556</v>
      </c>
      <c r="S7" s="12" t="s">
        <v>1750</v>
      </c>
      <c r="T7" s="12">
        <v>37</v>
      </c>
      <c r="U7" s="155" t="b">
        <f>_xlfn.XLOOKUP(ROLES[[#This Row],[PayScaleCode]],PayScales!N:N,PayScales!T:T)</f>
        <v>1</v>
      </c>
      <c r="V7" s="154" t="str">
        <f>IF(ROLES[[#This Row],[AvailableToAllSchools]]=TRUE,"",_xlfn.XLOOKUP(ROLES[[#This Row],[PayScaleCode]],PayScales!N:N,PayScales!U:U))</f>
        <v/>
      </c>
      <c r="W7" s="12">
        <v>0</v>
      </c>
      <c r="X7" s="12">
        <v>0</v>
      </c>
      <c r="Y7" t="b">
        <v>1</v>
      </c>
      <c r="Z7" t="b">
        <v>1</v>
      </c>
    </row>
    <row r="8" spans="1:26" ht="15" customHeight="1" x14ac:dyDescent="0.3">
      <c r="A8" s="57">
        <f>COUNTIF(ROLES[StaffRoleCode],ROLES[[#This Row],[StaffRoleCode]])-1</f>
        <v>0</v>
      </c>
      <c r="B8" s="57">
        <f>COUNTIF(ROLES[Title],ROLES[[#This Row],[Title]])-1</f>
        <v>0</v>
      </c>
      <c r="C8"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8"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8"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8" s="57">
        <f>IF(COUNTIF(PAYSCALES[PayScaleCode],ROLES[[#This Row],[PayScaleCode]])&gt;0,0,1)</f>
        <v>0</v>
      </c>
      <c r="G8" s="57" cm="1">
        <f t="array" ref="G8">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8" s="57">
        <f>IF(ROLES[[#This Row],[AvailableToAllSchools]]=FALSE,IF(ISBLANK(ROLES[[#This Row],[SchoolCodes]]),1,0),IF(ROLES[[#This Row],[AvailableToAllSchools]]=TRUE,IF(ISBLANK(ROLES[[#This Row],[SchoolCodes]]),0,)))</f>
        <v>0</v>
      </c>
      <c r="I8" s="57">
        <f>IF(OR(ROLES[[#This Row],[StaffRoleEnabled]]=TRUE,ROLES[[#This Row],[StaffRoleEnabled]]=FALSE),IF(OR(ROLES[[#This Row],[AvailableToAllSchools]]=TRUE,ROLES[[#This Row],[AvailableToAllSchools]]=FALSE),0,1),1)</f>
        <v>0</v>
      </c>
      <c r="J8" s="57">
        <f>IF(LEN(ROLES[[#This Row],[StaffRoleCode]])&lt;100,0,1)</f>
        <v>0</v>
      </c>
      <c r="K8" s="57">
        <f>IF(LEN(ROLES[[#This Row],[Title]])&lt;100,0,1)</f>
        <v>0</v>
      </c>
      <c r="L8" s="57">
        <f>(COUNTBLANK(ROLES[[#This Row],[MonthsServiceBeforeIncrement]:[StaffRoleEnabled]]))+COUNTBLANK(ROLES[[#This Row],[FullTimeHoursPerWeek]])</f>
        <v>0</v>
      </c>
      <c r="M8" s="57">
        <f>IF(SUBSTITUTE(TEXT(ROLES[[#This Row],[StaffRoleCode]],10)," ","")=TEXT(ROLES[[#This Row],[StaffRoleCode]],10),0,1)</f>
        <v>0</v>
      </c>
      <c r="N8" s="57">
        <f>SUM(ROLES[[#This Row],[Duplicate Role Code]:[Space in Code]])</f>
        <v>0</v>
      </c>
      <c r="P8" s="12" t="s">
        <v>1178</v>
      </c>
      <c r="Q8" s="12" t="s">
        <v>1174</v>
      </c>
      <c r="R8" s="12" t="s">
        <v>4166</v>
      </c>
      <c r="S8" s="12" t="s">
        <v>1750</v>
      </c>
      <c r="T8" s="12">
        <v>32.436</v>
      </c>
      <c r="U8" s="155" t="b">
        <f>_xlfn.XLOOKUP(ROLES[[#This Row],[PayScaleCode]],PayScales!N:N,PayScales!T:T)</f>
        <v>1</v>
      </c>
      <c r="V8" s="154" t="str">
        <f>IF(ROLES[[#This Row],[AvailableToAllSchools]]=TRUE,"",_xlfn.XLOOKUP(ROLES[[#This Row],[PayScaleCode]],PayScales!N:N,PayScales!U:U))</f>
        <v/>
      </c>
      <c r="W8" s="12">
        <v>0</v>
      </c>
      <c r="X8" s="12">
        <v>0</v>
      </c>
      <c r="Y8" t="b">
        <v>1</v>
      </c>
      <c r="Z8" t="b">
        <v>0</v>
      </c>
    </row>
    <row r="9" spans="1:26" ht="15" customHeight="1" x14ac:dyDescent="0.3">
      <c r="A9" s="57">
        <f>COUNTIF(ROLES[StaffRoleCode],ROLES[[#This Row],[StaffRoleCode]])-1</f>
        <v>0</v>
      </c>
      <c r="B9" s="57">
        <f>COUNTIF(ROLES[Title],ROLES[[#This Row],[Title]])-1</f>
        <v>0</v>
      </c>
      <c r="C9"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9"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9"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9" s="57">
        <f>IF(COUNTIF(PAYSCALES[PayScaleCode],ROLES[[#This Row],[PayScaleCode]])&gt;0,0,1)</f>
        <v>0</v>
      </c>
      <c r="G9" s="57" cm="1">
        <f t="array" ref="G9">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9" s="57">
        <f>IF(ROLES[[#This Row],[AvailableToAllSchools]]=FALSE,IF(ISBLANK(ROLES[[#This Row],[SchoolCodes]]),1,0),IF(ROLES[[#This Row],[AvailableToAllSchools]]=TRUE,IF(ISBLANK(ROLES[[#This Row],[SchoolCodes]]),0,)))</f>
        <v>0</v>
      </c>
      <c r="I9" s="57">
        <f>IF(OR(ROLES[[#This Row],[StaffRoleEnabled]]=TRUE,ROLES[[#This Row],[StaffRoleEnabled]]=FALSE),IF(OR(ROLES[[#This Row],[AvailableToAllSchools]]=TRUE,ROLES[[#This Row],[AvailableToAllSchools]]=FALSE),0,1),1)</f>
        <v>0</v>
      </c>
      <c r="J9" s="57">
        <f>IF(LEN(ROLES[[#This Row],[StaffRoleCode]])&lt;100,0,1)</f>
        <v>0</v>
      </c>
      <c r="K9" s="57">
        <f>IF(LEN(ROLES[[#This Row],[Title]])&lt;100,0,1)</f>
        <v>0</v>
      </c>
      <c r="L9" s="57">
        <f>(COUNTBLANK(ROLES[[#This Row],[MonthsServiceBeforeIncrement]:[StaffRoleEnabled]]))+COUNTBLANK(ROLES[[#This Row],[FullTimeHoursPerWeek]])</f>
        <v>0</v>
      </c>
      <c r="M9" s="57">
        <f>IF(SUBSTITUTE(TEXT(ROLES[[#This Row],[StaffRoleCode]],10)," ","")=TEXT(ROLES[[#This Row],[StaffRoleCode]],10),0,1)</f>
        <v>0</v>
      </c>
      <c r="N9" s="57">
        <f>SUM(ROLES[[#This Row],[Duplicate Role Code]:[Space in Code]])</f>
        <v>0</v>
      </c>
      <c r="P9" s="12" t="s">
        <v>1178</v>
      </c>
      <c r="Q9" s="12" t="s">
        <v>4167</v>
      </c>
      <c r="R9" s="12" t="s">
        <v>4168</v>
      </c>
      <c r="S9" s="12" t="s">
        <v>1127</v>
      </c>
      <c r="T9" s="12">
        <v>32.436</v>
      </c>
      <c r="U9" s="155" t="b">
        <f>_xlfn.XLOOKUP(ROLES[[#This Row],[PayScaleCode]],PayScales!N:N,PayScales!T:T)</f>
        <v>1</v>
      </c>
      <c r="V9" s="154" t="str">
        <f>IF(ROLES[[#This Row],[AvailableToAllSchools]]=TRUE,"",_xlfn.XLOOKUP(ROLES[[#This Row],[PayScaleCode]],PayScales!N:N,PayScales!U:U))</f>
        <v/>
      </c>
      <c r="W9" s="12">
        <v>0</v>
      </c>
      <c r="X9" s="12">
        <v>0</v>
      </c>
      <c r="Y9" t="b">
        <v>1</v>
      </c>
      <c r="Z9" t="b">
        <v>0</v>
      </c>
    </row>
    <row r="10" spans="1:26" ht="15" customHeight="1" x14ac:dyDescent="0.3">
      <c r="A10" s="57">
        <f>COUNTIF(ROLES[StaffRoleCode],ROLES[[#This Row],[StaffRoleCode]])-1</f>
        <v>0</v>
      </c>
      <c r="B10" s="57">
        <f>COUNTIF(ROLES[Title],ROLES[[#This Row],[Title]])-1</f>
        <v>0</v>
      </c>
      <c r="C10"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10"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10"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10" s="57">
        <f>IF(COUNTIF(PAYSCALES[PayScaleCode],ROLES[[#This Row],[PayScaleCode]])&gt;0,0,1)</f>
        <v>0</v>
      </c>
      <c r="G10" s="57" cm="1">
        <f t="array" ref="G10">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0" s="57">
        <f>IF(ROLES[[#This Row],[AvailableToAllSchools]]=FALSE,IF(ISBLANK(ROLES[[#This Row],[SchoolCodes]]),1,0),IF(ROLES[[#This Row],[AvailableToAllSchools]]=TRUE,IF(ISBLANK(ROLES[[#This Row],[SchoolCodes]]),0,)))</f>
        <v>0</v>
      </c>
      <c r="I10" s="57">
        <f>IF(OR(ROLES[[#This Row],[StaffRoleEnabled]]=TRUE,ROLES[[#This Row],[StaffRoleEnabled]]=FALSE),IF(OR(ROLES[[#This Row],[AvailableToAllSchools]]=TRUE,ROLES[[#This Row],[AvailableToAllSchools]]=FALSE),0,1),1)</f>
        <v>0</v>
      </c>
      <c r="J10" s="57">
        <f>IF(LEN(ROLES[[#This Row],[StaffRoleCode]])&lt;100,0,1)</f>
        <v>0</v>
      </c>
      <c r="K10" s="57">
        <f>IF(LEN(ROLES[[#This Row],[Title]])&lt;100,0,1)</f>
        <v>0</v>
      </c>
      <c r="L10" s="57">
        <f>(COUNTBLANK(ROLES[[#This Row],[MonthsServiceBeforeIncrement]:[StaffRoleEnabled]]))+COUNTBLANK(ROLES[[#This Row],[FullTimeHoursPerWeek]])</f>
        <v>0</v>
      </c>
      <c r="M10" s="57">
        <f>IF(SUBSTITUTE(TEXT(ROLES[[#This Row],[StaffRoleCode]],10)," ","")=TEXT(ROLES[[#This Row],[StaffRoleCode]],10),0,1)</f>
        <v>0</v>
      </c>
      <c r="N10" s="57">
        <f>SUM(ROLES[[#This Row],[Duplicate Role Code]:[Space in Code]])</f>
        <v>0</v>
      </c>
      <c r="P10" s="12" t="s">
        <v>1178</v>
      </c>
      <c r="Q10" s="12" t="s">
        <v>1178</v>
      </c>
      <c r="R10" s="12" t="s">
        <v>1222</v>
      </c>
      <c r="S10" s="12" t="s">
        <v>1127</v>
      </c>
      <c r="T10" s="12">
        <v>32.436</v>
      </c>
      <c r="U10" s="155" t="b">
        <f>_xlfn.XLOOKUP(ROLES[[#This Row],[PayScaleCode]],PayScales!N:N,PayScales!T:T)</f>
        <v>1</v>
      </c>
      <c r="V10" s="154" t="str">
        <f>IF(ROLES[[#This Row],[AvailableToAllSchools]]=TRUE,"",_xlfn.XLOOKUP(ROLES[[#This Row],[PayScaleCode]],PayScales!N:N,PayScales!U:U))</f>
        <v/>
      </c>
      <c r="W10" s="12">
        <v>0</v>
      </c>
      <c r="X10" s="12">
        <v>0</v>
      </c>
      <c r="Y10" t="b">
        <v>1</v>
      </c>
      <c r="Z10" t="b">
        <v>0</v>
      </c>
    </row>
    <row r="11" spans="1:26" ht="15" customHeight="1" x14ac:dyDescent="0.3">
      <c r="A11" s="57">
        <f>COUNTIF(ROLES[StaffRoleCode],ROLES[[#This Row],[StaffRoleCode]])-1</f>
        <v>0</v>
      </c>
      <c r="B11" s="57">
        <f>COUNTIF(ROLES[Title],ROLES[[#This Row],[Title]])-1</f>
        <v>0</v>
      </c>
      <c r="C11"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11"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11"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11" s="57">
        <f>IF(COUNTIF(PAYSCALES[PayScaleCode],ROLES[[#This Row],[PayScaleCode]])&gt;0,0,1)</f>
        <v>0</v>
      </c>
      <c r="G11" s="57" cm="1">
        <f t="array" ref="G11">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1" s="57">
        <f>IF(ROLES[[#This Row],[AvailableToAllSchools]]=FALSE,IF(ISBLANK(ROLES[[#This Row],[SchoolCodes]]),1,0),IF(ROLES[[#This Row],[AvailableToAllSchools]]=TRUE,IF(ISBLANK(ROLES[[#This Row],[SchoolCodes]]),0,)))</f>
        <v>0</v>
      </c>
      <c r="I11" s="57">
        <f>IF(OR(ROLES[[#This Row],[StaffRoleEnabled]]=TRUE,ROLES[[#This Row],[StaffRoleEnabled]]=FALSE),IF(OR(ROLES[[#This Row],[AvailableToAllSchools]]=TRUE,ROLES[[#This Row],[AvailableToAllSchools]]=FALSE),0,1),1)</f>
        <v>0</v>
      </c>
      <c r="J11" s="57">
        <f>IF(LEN(ROLES[[#This Row],[StaffRoleCode]])&lt;100,0,1)</f>
        <v>0</v>
      </c>
      <c r="K11" s="57">
        <f>IF(LEN(ROLES[[#This Row],[Title]])&lt;100,0,1)</f>
        <v>0</v>
      </c>
      <c r="L11" s="57">
        <f>(COUNTBLANK(ROLES[[#This Row],[MonthsServiceBeforeIncrement]:[StaffRoleEnabled]]))+COUNTBLANK(ROLES[[#This Row],[FullTimeHoursPerWeek]])</f>
        <v>0</v>
      </c>
      <c r="M11" s="57">
        <f>IF(SUBSTITUTE(TEXT(ROLES[[#This Row],[StaffRoleCode]],10)," ","")=TEXT(ROLES[[#This Row],[StaffRoleCode]],10),0,1)</f>
        <v>0</v>
      </c>
      <c r="N11" s="57">
        <f>SUM(ROLES[[#This Row],[Duplicate Role Code]:[Space in Code]])</f>
        <v>0</v>
      </c>
      <c r="P11" s="12" t="s">
        <v>1178</v>
      </c>
      <c r="Q11" s="12" t="s">
        <v>1614</v>
      </c>
      <c r="R11" s="12" t="s">
        <v>1557</v>
      </c>
      <c r="S11" s="12" t="s">
        <v>1749</v>
      </c>
      <c r="T11" s="12">
        <v>32.436</v>
      </c>
      <c r="U11" s="155" t="b">
        <f>_xlfn.XLOOKUP(ROLES[[#This Row],[PayScaleCode]],PayScales!N:N,PayScales!T:T)</f>
        <v>1</v>
      </c>
      <c r="V11" s="154" t="str">
        <f>IF(ROLES[[#This Row],[AvailableToAllSchools]]=TRUE,"",_xlfn.XLOOKUP(ROLES[[#This Row],[PayScaleCode]],PayScales!N:N,PayScales!U:U))</f>
        <v/>
      </c>
      <c r="W11" s="12">
        <v>0</v>
      </c>
      <c r="X11" s="12">
        <v>0</v>
      </c>
      <c r="Y11" t="b">
        <v>1</v>
      </c>
      <c r="Z11" t="b">
        <v>0</v>
      </c>
    </row>
    <row r="12" spans="1:26" ht="15" customHeight="1" x14ac:dyDescent="0.3">
      <c r="A12" s="57">
        <f>COUNTIF(ROLES[StaffRoleCode],ROLES[[#This Row],[StaffRoleCode]])-1</f>
        <v>0</v>
      </c>
      <c r="B12" s="57">
        <f>COUNTIF(ROLES[Title],ROLES[[#This Row],[Title]])-1</f>
        <v>0</v>
      </c>
      <c r="C12"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12"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12"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12" s="57">
        <f>IF(COUNTIF(PAYSCALES[PayScaleCode],ROLES[[#This Row],[PayScaleCode]])&gt;0,0,1)</f>
        <v>0</v>
      </c>
      <c r="G12" s="57" cm="1">
        <f t="array" ref="G12">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2" s="57">
        <f>IF(ROLES[[#This Row],[AvailableToAllSchools]]=FALSE,IF(ISBLANK(ROLES[[#This Row],[SchoolCodes]]),1,0),IF(ROLES[[#This Row],[AvailableToAllSchools]]=TRUE,IF(ISBLANK(ROLES[[#This Row],[SchoolCodes]]),0,)))</f>
        <v>0</v>
      </c>
      <c r="I12" s="57">
        <f>IF(OR(ROLES[[#This Row],[StaffRoleEnabled]]=TRUE,ROLES[[#This Row],[StaffRoleEnabled]]=FALSE),IF(OR(ROLES[[#This Row],[AvailableToAllSchools]]=TRUE,ROLES[[#This Row],[AvailableToAllSchools]]=FALSE),0,1),1)</f>
        <v>0</v>
      </c>
      <c r="J12" s="57">
        <f>IF(LEN(ROLES[[#This Row],[StaffRoleCode]])&lt;100,0,1)</f>
        <v>0</v>
      </c>
      <c r="K12" s="57">
        <f>IF(LEN(ROLES[[#This Row],[Title]])&lt;100,0,1)</f>
        <v>0</v>
      </c>
      <c r="L12" s="57">
        <f>(COUNTBLANK(ROLES[[#This Row],[MonthsServiceBeforeIncrement]:[StaffRoleEnabled]]))+COUNTBLANK(ROLES[[#This Row],[FullTimeHoursPerWeek]])</f>
        <v>0</v>
      </c>
      <c r="M12" s="57">
        <f>IF(SUBSTITUTE(TEXT(ROLES[[#This Row],[StaffRoleCode]],10)," ","")=TEXT(ROLES[[#This Row],[StaffRoleCode]],10),0,1)</f>
        <v>0</v>
      </c>
      <c r="N12" s="57">
        <f>SUM(ROLES[[#This Row],[Duplicate Role Code]:[Space in Code]])</f>
        <v>0</v>
      </c>
      <c r="P12" s="12" t="s">
        <v>1180</v>
      </c>
      <c r="Q12" s="12" t="s">
        <v>4169</v>
      </c>
      <c r="R12" s="12" t="s">
        <v>4170</v>
      </c>
      <c r="S12" s="12" t="s">
        <v>3107</v>
      </c>
      <c r="T12" s="12">
        <v>37</v>
      </c>
      <c r="U12" s="155" t="b">
        <f>_xlfn.XLOOKUP(ROLES[[#This Row],[PayScaleCode]],PayScales!N:N,PayScales!T:T)</f>
        <v>1</v>
      </c>
      <c r="V12" s="154" t="str">
        <f>IF(ROLES[[#This Row],[AvailableToAllSchools]]=TRUE,"",_xlfn.XLOOKUP(ROLES[[#This Row],[PayScaleCode]],PayScales!N:N,PayScales!U:U))</f>
        <v/>
      </c>
      <c r="W12" s="12">
        <v>12</v>
      </c>
      <c r="X12" s="12">
        <v>0</v>
      </c>
      <c r="Y12" t="b">
        <v>1</v>
      </c>
      <c r="Z12" t="b">
        <v>0</v>
      </c>
    </row>
    <row r="13" spans="1:26" ht="15" customHeight="1" x14ac:dyDescent="0.3">
      <c r="A13" s="57">
        <f>COUNTIF(ROLES[StaffRoleCode],ROLES[[#This Row],[StaffRoleCode]])-1</f>
        <v>0</v>
      </c>
      <c r="B13" s="57">
        <f>COUNTIF(ROLES[Title],ROLES[[#This Row],[Title]])-1</f>
        <v>0</v>
      </c>
      <c r="C13"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13"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13"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13" s="57">
        <f>IF(COUNTIF(PAYSCALES[PayScaleCode],ROLES[[#This Row],[PayScaleCode]])&gt;0,0,1)</f>
        <v>0</v>
      </c>
      <c r="G13" s="57" cm="1">
        <f t="array" ref="G13">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3" s="57">
        <f>IF(ROLES[[#This Row],[AvailableToAllSchools]]=FALSE,IF(ISBLANK(ROLES[[#This Row],[SchoolCodes]]),1,0),IF(ROLES[[#This Row],[AvailableToAllSchools]]=TRUE,IF(ISBLANK(ROLES[[#This Row],[SchoolCodes]]),0,)))</f>
        <v>0</v>
      </c>
      <c r="I13" s="57">
        <f>IF(OR(ROLES[[#This Row],[StaffRoleEnabled]]=TRUE,ROLES[[#This Row],[StaffRoleEnabled]]=FALSE),IF(OR(ROLES[[#This Row],[AvailableToAllSchools]]=TRUE,ROLES[[#This Row],[AvailableToAllSchools]]=FALSE),0,1),1)</f>
        <v>0</v>
      </c>
      <c r="J13" s="57">
        <f>IF(LEN(ROLES[[#This Row],[StaffRoleCode]])&lt;100,0,1)</f>
        <v>0</v>
      </c>
      <c r="K13" s="57">
        <f>IF(LEN(ROLES[[#This Row],[Title]])&lt;100,0,1)</f>
        <v>0</v>
      </c>
      <c r="L13" s="57">
        <f>(COUNTBLANK(ROLES[[#This Row],[MonthsServiceBeforeIncrement]:[StaffRoleEnabled]]))+COUNTBLANK(ROLES[[#This Row],[FullTimeHoursPerWeek]])</f>
        <v>0</v>
      </c>
      <c r="M13" s="57">
        <f>IF(SUBSTITUTE(TEXT(ROLES[[#This Row],[StaffRoleCode]],10)," ","")=TEXT(ROLES[[#This Row],[StaffRoleCode]],10),0,1)</f>
        <v>0</v>
      </c>
      <c r="N13" s="57">
        <f>SUM(ROLES[[#This Row],[Duplicate Role Code]:[Space in Code]])</f>
        <v>0</v>
      </c>
      <c r="P13" s="12" t="s">
        <v>1180</v>
      </c>
      <c r="Q13" s="12" t="s">
        <v>1224</v>
      </c>
      <c r="R13" s="12" t="s">
        <v>1558</v>
      </c>
      <c r="S13" s="12" t="s">
        <v>3107</v>
      </c>
      <c r="T13" s="12">
        <v>37</v>
      </c>
      <c r="U13" s="155" t="b">
        <f>_xlfn.XLOOKUP(ROLES[[#This Row],[PayScaleCode]],PayScales!N:N,PayScales!T:T)</f>
        <v>1</v>
      </c>
      <c r="V13" s="154" t="str">
        <f>IF(ROLES[[#This Row],[AvailableToAllSchools]]=TRUE,"",_xlfn.XLOOKUP(ROLES[[#This Row],[PayScaleCode]],PayScales!N:N,PayScales!U:U))</f>
        <v/>
      </c>
      <c r="W13" s="12">
        <v>12</v>
      </c>
      <c r="X13" s="12">
        <v>0</v>
      </c>
      <c r="Y13" t="b">
        <v>1</v>
      </c>
      <c r="Z13" t="b">
        <v>0</v>
      </c>
    </row>
    <row r="14" spans="1:26" ht="15" customHeight="1" x14ac:dyDescent="0.3">
      <c r="A14" s="57">
        <f>COUNTIF(ROLES[StaffRoleCode],ROLES[[#This Row],[StaffRoleCode]])-1</f>
        <v>0</v>
      </c>
      <c r="B14" s="57">
        <f>COUNTIF(ROLES[Title],ROLES[[#This Row],[Title]])-1</f>
        <v>0</v>
      </c>
      <c r="C14"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14"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14"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14" s="57">
        <f>IF(COUNTIF(PAYSCALES[PayScaleCode],ROLES[[#This Row],[PayScaleCode]])&gt;0,0,1)</f>
        <v>0</v>
      </c>
      <c r="G14" s="57" cm="1">
        <f t="array" ref="G14">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4" s="57">
        <f>IF(ROLES[[#This Row],[AvailableToAllSchools]]=FALSE,IF(ISBLANK(ROLES[[#This Row],[SchoolCodes]]),1,0),IF(ROLES[[#This Row],[AvailableToAllSchools]]=TRUE,IF(ISBLANK(ROLES[[#This Row],[SchoolCodes]]),0,)))</f>
        <v>0</v>
      </c>
      <c r="I14" s="57">
        <f>IF(OR(ROLES[[#This Row],[StaffRoleEnabled]]=TRUE,ROLES[[#This Row],[StaffRoleEnabled]]=FALSE),IF(OR(ROLES[[#This Row],[AvailableToAllSchools]]=TRUE,ROLES[[#This Row],[AvailableToAllSchools]]=FALSE),0,1),1)</f>
        <v>0</v>
      </c>
      <c r="J14" s="57">
        <f>IF(LEN(ROLES[[#This Row],[StaffRoleCode]])&lt;100,0,1)</f>
        <v>0</v>
      </c>
      <c r="K14" s="57">
        <f>IF(LEN(ROLES[[#This Row],[Title]])&lt;100,0,1)</f>
        <v>0</v>
      </c>
      <c r="L14" s="57">
        <f>(COUNTBLANK(ROLES[[#This Row],[MonthsServiceBeforeIncrement]:[StaffRoleEnabled]]))+COUNTBLANK(ROLES[[#This Row],[FullTimeHoursPerWeek]])</f>
        <v>0</v>
      </c>
      <c r="M14" s="57">
        <f>IF(SUBSTITUTE(TEXT(ROLES[[#This Row],[StaffRoleCode]],10)," ","")=TEXT(ROLES[[#This Row],[StaffRoleCode]],10),0,1)</f>
        <v>0</v>
      </c>
      <c r="N14" s="57">
        <f>SUM(ROLES[[#This Row],[Duplicate Role Code]:[Space in Code]])</f>
        <v>0</v>
      </c>
      <c r="P14" s="12" t="s">
        <v>1180</v>
      </c>
      <c r="Q14" s="12" t="s">
        <v>4171</v>
      </c>
      <c r="R14" s="12" t="s">
        <v>4172</v>
      </c>
      <c r="S14" s="12" t="s">
        <v>3107</v>
      </c>
      <c r="T14" s="12">
        <v>37</v>
      </c>
      <c r="U14" s="155" t="b">
        <f>_xlfn.XLOOKUP(ROLES[[#This Row],[PayScaleCode]],PayScales!N:N,PayScales!T:T)</f>
        <v>1</v>
      </c>
      <c r="V14" s="154" t="str">
        <f>IF(ROLES[[#This Row],[AvailableToAllSchools]]=TRUE,"",_xlfn.XLOOKUP(ROLES[[#This Row],[PayScaleCode]],PayScales!N:N,PayScales!U:U))</f>
        <v/>
      </c>
      <c r="W14" s="12">
        <v>12</v>
      </c>
      <c r="X14" s="12">
        <v>0</v>
      </c>
      <c r="Y14" t="b">
        <v>1</v>
      </c>
      <c r="Z14" t="b">
        <v>0</v>
      </c>
    </row>
    <row r="15" spans="1:26" ht="15" customHeight="1" x14ac:dyDescent="0.3">
      <c r="A15" s="57">
        <f>COUNTIF(ROLES[StaffRoleCode],ROLES[[#This Row],[StaffRoleCode]])-1</f>
        <v>0</v>
      </c>
      <c r="B15" s="57">
        <f>COUNTIF(ROLES[Title],ROLES[[#This Row],[Title]])-1</f>
        <v>0</v>
      </c>
      <c r="C15"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15"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15"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15" s="57">
        <f>IF(COUNTIF(PAYSCALES[PayScaleCode],ROLES[[#This Row],[PayScaleCode]])&gt;0,0,1)</f>
        <v>0</v>
      </c>
      <c r="G15" s="57" cm="1">
        <f t="array" ref="G15">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5" s="57">
        <f>IF(ROLES[[#This Row],[AvailableToAllSchools]]=FALSE,IF(ISBLANK(ROLES[[#This Row],[SchoolCodes]]),1,0),IF(ROLES[[#This Row],[AvailableToAllSchools]]=TRUE,IF(ISBLANK(ROLES[[#This Row],[SchoolCodes]]),0,)))</f>
        <v>0</v>
      </c>
      <c r="I15" s="57">
        <f>IF(OR(ROLES[[#This Row],[StaffRoleEnabled]]=TRUE,ROLES[[#This Row],[StaffRoleEnabled]]=FALSE),IF(OR(ROLES[[#This Row],[AvailableToAllSchools]]=TRUE,ROLES[[#This Row],[AvailableToAllSchools]]=FALSE),0,1),1)</f>
        <v>0</v>
      </c>
      <c r="J15" s="57">
        <f>IF(LEN(ROLES[[#This Row],[StaffRoleCode]])&lt;100,0,1)</f>
        <v>0</v>
      </c>
      <c r="K15" s="57">
        <f>IF(LEN(ROLES[[#This Row],[Title]])&lt;100,0,1)</f>
        <v>0</v>
      </c>
      <c r="L15" s="57">
        <f>(COUNTBLANK(ROLES[[#This Row],[MonthsServiceBeforeIncrement]:[StaffRoleEnabled]]))+COUNTBLANK(ROLES[[#This Row],[FullTimeHoursPerWeek]])</f>
        <v>0</v>
      </c>
      <c r="M15" s="57">
        <f>IF(SUBSTITUTE(TEXT(ROLES[[#This Row],[StaffRoleCode]],10)," ","")=TEXT(ROLES[[#This Row],[StaffRoleCode]],10),0,1)</f>
        <v>0</v>
      </c>
      <c r="N15" s="57">
        <f>SUM(ROLES[[#This Row],[Duplicate Role Code]:[Space in Code]])</f>
        <v>0</v>
      </c>
      <c r="P15" s="12" t="s">
        <v>1180</v>
      </c>
      <c r="Q15" s="12" t="s">
        <v>4173</v>
      </c>
      <c r="R15" s="12" t="s">
        <v>4174</v>
      </c>
      <c r="S15" s="12" t="s">
        <v>3107</v>
      </c>
      <c r="T15" s="12">
        <v>37</v>
      </c>
      <c r="U15" s="155" t="b">
        <f>_xlfn.XLOOKUP(ROLES[[#This Row],[PayScaleCode]],PayScales!N:N,PayScales!T:T)</f>
        <v>1</v>
      </c>
      <c r="V15" s="154" t="str">
        <f>IF(ROLES[[#This Row],[AvailableToAllSchools]]=TRUE,"",_xlfn.XLOOKUP(ROLES[[#This Row],[PayScaleCode]],PayScales!N:N,PayScales!U:U))</f>
        <v/>
      </c>
      <c r="W15" s="12">
        <v>12</v>
      </c>
      <c r="X15" s="12">
        <v>0</v>
      </c>
      <c r="Y15" t="b">
        <v>1</v>
      </c>
      <c r="Z15" t="b">
        <v>0</v>
      </c>
    </row>
    <row r="16" spans="1:26" ht="15" customHeight="1" x14ac:dyDescent="0.3">
      <c r="A16" s="57">
        <f>COUNTIF(ROLES[StaffRoleCode],ROLES[[#This Row],[StaffRoleCode]])-1</f>
        <v>0</v>
      </c>
      <c r="B16" s="57">
        <f>COUNTIF(ROLES[Title],ROLES[[#This Row],[Title]])-1</f>
        <v>0</v>
      </c>
      <c r="C16"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16"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16"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16" s="57">
        <f>IF(COUNTIF(PAYSCALES[PayScaleCode],ROLES[[#This Row],[PayScaleCode]])&gt;0,0,1)</f>
        <v>0</v>
      </c>
      <c r="G16" s="57" cm="1">
        <f t="array" ref="G16">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6" s="57">
        <f>IF(ROLES[[#This Row],[AvailableToAllSchools]]=FALSE,IF(ISBLANK(ROLES[[#This Row],[SchoolCodes]]),1,0),IF(ROLES[[#This Row],[AvailableToAllSchools]]=TRUE,IF(ISBLANK(ROLES[[#This Row],[SchoolCodes]]),0,)))</f>
        <v>0</v>
      </c>
      <c r="I16" s="57">
        <f>IF(OR(ROLES[[#This Row],[StaffRoleEnabled]]=TRUE,ROLES[[#This Row],[StaffRoleEnabled]]=FALSE),IF(OR(ROLES[[#This Row],[AvailableToAllSchools]]=TRUE,ROLES[[#This Row],[AvailableToAllSchools]]=FALSE),0,1),1)</f>
        <v>0</v>
      </c>
      <c r="J16" s="57">
        <f>IF(LEN(ROLES[[#This Row],[StaffRoleCode]])&lt;100,0,1)</f>
        <v>0</v>
      </c>
      <c r="K16" s="57">
        <f>IF(LEN(ROLES[[#This Row],[Title]])&lt;100,0,1)</f>
        <v>0</v>
      </c>
      <c r="L16" s="57">
        <f>(COUNTBLANK(ROLES[[#This Row],[MonthsServiceBeforeIncrement]:[StaffRoleEnabled]]))+COUNTBLANK(ROLES[[#This Row],[FullTimeHoursPerWeek]])</f>
        <v>0</v>
      </c>
      <c r="M16" s="57">
        <f>IF(SUBSTITUTE(TEXT(ROLES[[#This Row],[StaffRoleCode]],10)," ","")=TEXT(ROLES[[#This Row],[StaffRoleCode]],10),0,1)</f>
        <v>0</v>
      </c>
      <c r="N16" s="57">
        <f>SUM(ROLES[[#This Row],[Duplicate Role Code]:[Space in Code]])</f>
        <v>0</v>
      </c>
      <c r="P16" s="12" t="s">
        <v>1180</v>
      </c>
      <c r="Q16" s="12" t="s">
        <v>4175</v>
      </c>
      <c r="R16" s="12" t="s">
        <v>4176</v>
      </c>
      <c r="S16" s="12" t="s">
        <v>3107</v>
      </c>
      <c r="T16" s="12">
        <v>37</v>
      </c>
      <c r="U16" s="155" t="b">
        <f>_xlfn.XLOOKUP(ROLES[[#This Row],[PayScaleCode]],PayScales!N:N,PayScales!T:T)</f>
        <v>1</v>
      </c>
      <c r="V16" s="154" t="str">
        <f>IF(ROLES[[#This Row],[AvailableToAllSchools]]=TRUE,"",_xlfn.XLOOKUP(ROLES[[#This Row],[PayScaleCode]],PayScales!N:N,PayScales!U:U))</f>
        <v/>
      </c>
      <c r="W16" s="12">
        <v>12</v>
      </c>
      <c r="X16" s="12">
        <v>0</v>
      </c>
      <c r="Y16" t="b">
        <v>1</v>
      </c>
      <c r="Z16" t="b">
        <v>0</v>
      </c>
    </row>
    <row r="17" spans="1:26" ht="15" customHeight="1" x14ac:dyDescent="0.3">
      <c r="A17" s="57">
        <f>COUNTIF(ROLES[StaffRoleCode],ROLES[[#This Row],[StaffRoleCode]])-1</f>
        <v>0</v>
      </c>
      <c r="B17" s="57">
        <f>COUNTIF(ROLES[Title],ROLES[[#This Row],[Title]])-1</f>
        <v>0</v>
      </c>
      <c r="C17"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17"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17"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17" s="57">
        <f>IF(COUNTIF(PAYSCALES[PayScaleCode],ROLES[[#This Row],[PayScaleCode]])&gt;0,0,1)</f>
        <v>0</v>
      </c>
      <c r="G17" s="57" cm="1">
        <f t="array" ref="G17">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7" s="57">
        <f>IF(ROLES[[#This Row],[AvailableToAllSchools]]=FALSE,IF(ISBLANK(ROLES[[#This Row],[SchoolCodes]]),1,0),IF(ROLES[[#This Row],[AvailableToAllSchools]]=TRUE,IF(ISBLANK(ROLES[[#This Row],[SchoolCodes]]),0,)))</f>
        <v>0</v>
      </c>
      <c r="I17" s="57">
        <f>IF(OR(ROLES[[#This Row],[StaffRoleEnabled]]=TRUE,ROLES[[#This Row],[StaffRoleEnabled]]=FALSE),IF(OR(ROLES[[#This Row],[AvailableToAllSchools]]=TRUE,ROLES[[#This Row],[AvailableToAllSchools]]=FALSE),0,1),1)</f>
        <v>0</v>
      </c>
      <c r="J17" s="57">
        <f>IF(LEN(ROLES[[#This Row],[StaffRoleCode]])&lt;100,0,1)</f>
        <v>0</v>
      </c>
      <c r="K17" s="57">
        <f>IF(LEN(ROLES[[#This Row],[Title]])&lt;100,0,1)</f>
        <v>0</v>
      </c>
      <c r="L17" s="57">
        <f>(COUNTBLANK(ROLES[[#This Row],[MonthsServiceBeforeIncrement]:[StaffRoleEnabled]]))+COUNTBLANK(ROLES[[#This Row],[FullTimeHoursPerWeek]])</f>
        <v>0</v>
      </c>
      <c r="M17" s="57">
        <f>IF(SUBSTITUTE(TEXT(ROLES[[#This Row],[StaffRoleCode]],10)," ","")=TEXT(ROLES[[#This Row],[StaffRoleCode]],10),0,1)</f>
        <v>0</v>
      </c>
      <c r="N17" s="57">
        <f>SUM(ROLES[[#This Row],[Duplicate Role Code]:[Space in Code]])</f>
        <v>0</v>
      </c>
      <c r="P17" s="12" t="s">
        <v>1180</v>
      </c>
      <c r="Q17" s="12" t="s">
        <v>1180</v>
      </c>
      <c r="R17" s="12" t="s">
        <v>1223</v>
      </c>
      <c r="S17" s="12" t="s">
        <v>3107</v>
      </c>
      <c r="T17" s="12">
        <v>37</v>
      </c>
      <c r="U17" s="155" t="b">
        <f>_xlfn.XLOOKUP(ROLES[[#This Row],[PayScaleCode]],PayScales!N:N,PayScales!T:T)</f>
        <v>1</v>
      </c>
      <c r="V17" s="154" t="str">
        <f>IF(ROLES[[#This Row],[AvailableToAllSchools]]=TRUE,"",_xlfn.XLOOKUP(ROLES[[#This Row],[PayScaleCode]],PayScales!N:N,PayScales!U:U))</f>
        <v/>
      </c>
      <c r="W17" s="12">
        <v>12</v>
      </c>
      <c r="X17" s="12">
        <v>0</v>
      </c>
      <c r="Y17" t="b">
        <v>1</v>
      </c>
      <c r="Z17" t="b">
        <v>0</v>
      </c>
    </row>
    <row r="18" spans="1:26" ht="15" customHeight="1" x14ac:dyDescent="0.3">
      <c r="A18" s="57">
        <f>COUNTIF(ROLES[StaffRoleCode],ROLES[[#This Row],[StaffRoleCode]])-1</f>
        <v>0</v>
      </c>
      <c r="B18" s="57">
        <f>COUNTIF(ROLES[Title],ROLES[[#This Row],[Title]])-1</f>
        <v>0</v>
      </c>
      <c r="C18"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18"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18"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18" s="57">
        <f>IF(COUNTIF(PAYSCALES[PayScaleCode],ROLES[[#This Row],[PayScaleCode]])&gt;0,0,1)</f>
        <v>0</v>
      </c>
      <c r="G18" s="57" cm="1">
        <f t="array" ref="G18">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8" s="57">
        <f>IF(ROLES[[#This Row],[AvailableToAllSchools]]=FALSE,IF(ISBLANK(ROLES[[#This Row],[SchoolCodes]]),1,0),IF(ROLES[[#This Row],[AvailableToAllSchools]]=TRUE,IF(ISBLANK(ROLES[[#This Row],[SchoolCodes]]),0,)))</f>
        <v>0</v>
      </c>
      <c r="I18" s="57">
        <f>IF(OR(ROLES[[#This Row],[StaffRoleEnabled]]=TRUE,ROLES[[#This Row],[StaffRoleEnabled]]=FALSE),IF(OR(ROLES[[#This Row],[AvailableToAllSchools]]=TRUE,ROLES[[#This Row],[AvailableToAllSchools]]=FALSE),0,1),1)</f>
        <v>0</v>
      </c>
      <c r="J18" s="57">
        <f>IF(LEN(ROLES[[#This Row],[StaffRoleCode]])&lt;100,0,1)</f>
        <v>0</v>
      </c>
      <c r="K18" s="57">
        <f>IF(LEN(ROLES[[#This Row],[Title]])&lt;100,0,1)</f>
        <v>0</v>
      </c>
      <c r="L18" s="57">
        <f>(COUNTBLANK(ROLES[[#This Row],[MonthsServiceBeforeIncrement]:[StaffRoleEnabled]]))+COUNTBLANK(ROLES[[#This Row],[FullTimeHoursPerWeek]])</f>
        <v>0</v>
      </c>
      <c r="M18" s="57">
        <f>IF(SUBSTITUTE(TEXT(ROLES[[#This Row],[StaffRoleCode]],10)," ","")=TEXT(ROLES[[#This Row],[StaffRoleCode]],10),0,1)</f>
        <v>0</v>
      </c>
      <c r="N18" s="57">
        <f>SUM(ROLES[[#This Row],[Duplicate Role Code]:[Space in Code]])</f>
        <v>0</v>
      </c>
      <c r="P18" s="12" t="s">
        <v>4911</v>
      </c>
      <c r="Q18" s="12" t="s">
        <v>4921</v>
      </c>
      <c r="R18" s="12" t="s">
        <v>4922</v>
      </c>
      <c r="S18" s="12" t="s">
        <v>1127</v>
      </c>
      <c r="T18" s="12">
        <v>32.436</v>
      </c>
      <c r="U18" s="155" t="b">
        <f>_xlfn.XLOOKUP(ROLES[[#This Row],[PayScaleCode]],PayScales!N:N,PayScales!T:T)</f>
        <v>1</v>
      </c>
      <c r="V18" s="154" t="str">
        <f>IF(ROLES[[#This Row],[AvailableToAllSchools]]=TRUE,"",_xlfn.XLOOKUP(ROLES[[#This Row],[PayScaleCode]],PayScales!N:N,PayScales!U:U))</f>
        <v/>
      </c>
      <c r="W18" s="12">
        <v>0</v>
      </c>
      <c r="X18" s="12">
        <v>0</v>
      </c>
      <c r="Y18" t="b">
        <v>1</v>
      </c>
      <c r="Z18" t="b">
        <v>0</v>
      </c>
    </row>
    <row r="19" spans="1:26" ht="15" customHeight="1" x14ac:dyDescent="0.3">
      <c r="A19" s="57">
        <f>COUNTIF(ROLES[StaffRoleCode],ROLES[[#This Row],[StaffRoleCode]])-1</f>
        <v>0</v>
      </c>
      <c r="B19" s="57">
        <f>COUNTIF(ROLES[Title],ROLES[[#This Row],[Title]])-1</f>
        <v>0</v>
      </c>
      <c r="C19"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19"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19"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19" s="57">
        <f>IF(COUNTIF(PAYSCALES[PayScaleCode],ROLES[[#This Row],[PayScaleCode]])&gt;0,0,1)</f>
        <v>0</v>
      </c>
      <c r="G19" s="57" cm="1">
        <f t="array" ref="G19">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9" s="57">
        <f>IF(ROLES[[#This Row],[AvailableToAllSchools]]=FALSE,IF(ISBLANK(ROLES[[#This Row],[SchoolCodes]]),1,0),IF(ROLES[[#This Row],[AvailableToAllSchools]]=TRUE,IF(ISBLANK(ROLES[[#This Row],[SchoolCodes]]),0,)))</f>
        <v>0</v>
      </c>
      <c r="I19" s="57">
        <f>IF(OR(ROLES[[#This Row],[StaffRoleEnabled]]=TRUE,ROLES[[#This Row],[StaffRoleEnabled]]=FALSE),IF(OR(ROLES[[#This Row],[AvailableToAllSchools]]=TRUE,ROLES[[#This Row],[AvailableToAllSchools]]=FALSE),0,1),1)</f>
        <v>0</v>
      </c>
      <c r="J19" s="57">
        <f>IF(LEN(ROLES[[#This Row],[StaffRoleCode]])&lt;100,0,1)</f>
        <v>0</v>
      </c>
      <c r="K19" s="57">
        <f>IF(LEN(ROLES[[#This Row],[Title]])&lt;100,0,1)</f>
        <v>0</v>
      </c>
      <c r="L19" s="57">
        <f>(COUNTBLANK(ROLES[[#This Row],[MonthsServiceBeforeIncrement]:[StaffRoleEnabled]]))+COUNTBLANK(ROLES[[#This Row],[FullTimeHoursPerWeek]])</f>
        <v>0</v>
      </c>
      <c r="M19" s="57">
        <f>IF(SUBSTITUTE(TEXT(ROLES[[#This Row],[StaffRoleCode]],10)," ","")=TEXT(ROLES[[#This Row],[StaffRoleCode]],10),0,1)</f>
        <v>0</v>
      </c>
      <c r="N19" s="57">
        <f>SUM(ROLES[[#This Row],[Duplicate Role Code]:[Space in Code]])</f>
        <v>0</v>
      </c>
      <c r="P19" s="12" t="s">
        <v>3161</v>
      </c>
      <c r="Q19" s="12" t="s">
        <v>4177</v>
      </c>
      <c r="R19" s="12" t="s">
        <v>4178</v>
      </c>
      <c r="S19" s="12" t="s">
        <v>3107</v>
      </c>
      <c r="T19" s="12">
        <v>37</v>
      </c>
      <c r="U19" s="155" t="b">
        <f>_xlfn.XLOOKUP(ROLES[[#This Row],[PayScaleCode]],PayScales!N:N,PayScales!T:T)</f>
        <v>1</v>
      </c>
      <c r="V19" s="154" t="str">
        <f>IF(ROLES[[#This Row],[AvailableToAllSchools]]=TRUE,"",_xlfn.XLOOKUP(ROLES[[#This Row],[PayScaleCode]],PayScales!N:N,PayScales!U:U))</f>
        <v/>
      </c>
      <c r="W19" s="12">
        <v>12</v>
      </c>
      <c r="X19" s="12">
        <v>0</v>
      </c>
      <c r="Y19" t="b">
        <v>1</v>
      </c>
      <c r="Z19" t="b">
        <v>0</v>
      </c>
    </row>
    <row r="20" spans="1:26" ht="15" customHeight="1" x14ac:dyDescent="0.3">
      <c r="A20" s="57">
        <f>COUNTIF(ROLES[StaffRoleCode],ROLES[[#This Row],[StaffRoleCode]])-1</f>
        <v>0</v>
      </c>
      <c r="B20" s="57">
        <f>COUNTIF(ROLES[Title],ROLES[[#This Row],[Title]])-1</f>
        <v>0</v>
      </c>
      <c r="C20"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20"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20"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20" s="57">
        <f>IF(COUNTIF(PAYSCALES[PayScaleCode],ROLES[[#This Row],[PayScaleCode]])&gt;0,0,1)</f>
        <v>0</v>
      </c>
      <c r="G20" s="57" cm="1">
        <f t="array" ref="G20">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0" s="57">
        <f>IF(ROLES[[#This Row],[AvailableToAllSchools]]=FALSE,IF(ISBLANK(ROLES[[#This Row],[SchoolCodes]]),1,0),IF(ROLES[[#This Row],[AvailableToAllSchools]]=TRUE,IF(ISBLANK(ROLES[[#This Row],[SchoolCodes]]),0,)))</f>
        <v>0</v>
      </c>
      <c r="I20" s="57">
        <f>IF(OR(ROLES[[#This Row],[StaffRoleEnabled]]=TRUE,ROLES[[#This Row],[StaffRoleEnabled]]=FALSE),IF(OR(ROLES[[#This Row],[AvailableToAllSchools]]=TRUE,ROLES[[#This Row],[AvailableToAllSchools]]=FALSE),0,1),1)</f>
        <v>0</v>
      </c>
      <c r="J20" s="57">
        <f>IF(LEN(ROLES[[#This Row],[StaffRoleCode]])&lt;100,0,1)</f>
        <v>0</v>
      </c>
      <c r="K20" s="57">
        <f>IF(LEN(ROLES[[#This Row],[Title]])&lt;100,0,1)</f>
        <v>0</v>
      </c>
      <c r="L20" s="57">
        <f>(COUNTBLANK(ROLES[[#This Row],[MonthsServiceBeforeIncrement]:[StaffRoleEnabled]]))+COUNTBLANK(ROLES[[#This Row],[FullTimeHoursPerWeek]])</f>
        <v>0</v>
      </c>
      <c r="M20" s="57">
        <f>IF(SUBSTITUTE(TEXT(ROLES[[#This Row],[StaffRoleCode]],10)," ","")=TEXT(ROLES[[#This Row],[StaffRoleCode]],10),0,1)</f>
        <v>0</v>
      </c>
      <c r="N20" s="57">
        <f>SUM(ROLES[[#This Row],[Duplicate Role Code]:[Space in Code]])</f>
        <v>0</v>
      </c>
      <c r="P20" s="12" t="s">
        <v>3161</v>
      </c>
      <c r="Q20" s="12" t="s">
        <v>4179</v>
      </c>
      <c r="R20" s="12" t="s">
        <v>4180</v>
      </c>
      <c r="S20" s="12" t="s">
        <v>3107</v>
      </c>
      <c r="T20" s="12">
        <v>37</v>
      </c>
      <c r="U20" s="155" t="b">
        <f>_xlfn.XLOOKUP(ROLES[[#This Row],[PayScaleCode]],PayScales!N:N,PayScales!T:T)</f>
        <v>1</v>
      </c>
      <c r="V20" s="154" t="str">
        <f>IF(ROLES[[#This Row],[AvailableToAllSchools]]=TRUE,"",_xlfn.XLOOKUP(ROLES[[#This Row],[PayScaleCode]],PayScales!N:N,PayScales!U:U))</f>
        <v/>
      </c>
      <c r="W20" s="12">
        <v>12</v>
      </c>
      <c r="X20" s="12">
        <v>0</v>
      </c>
      <c r="Y20" t="b">
        <v>1</v>
      </c>
      <c r="Z20" t="b">
        <v>0</v>
      </c>
    </row>
    <row r="21" spans="1:26" ht="15" customHeight="1" x14ac:dyDescent="0.3">
      <c r="A21" s="57">
        <f>COUNTIF(ROLES[StaffRoleCode],ROLES[[#This Row],[StaffRoleCode]])-1</f>
        <v>0</v>
      </c>
      <c r="B21" s="57">
        <f>COUNTIF(ROLES[Title],ROLES[[#This Row],[Title]])-1</f>
        <v>0</v>
      </c>
      <c r="C21"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21"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21"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21" s="57">
        <f>IF(COUNTIF(PAYSCALES[PayScaleCode],ROLES[[#This Row],[PayScaleCode]])&gt;0,0,1)</f>
        <v>0</v>
      </c>
      <c r="G21" s="57" cm="1">
        <f t="array" ref="G21">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1" s="57">
        <f>IF(ROLES[[#This Row],[AvailableToAllSchools]]=FALSE,IF(ISBLANK(ROLES[[#This Row],[SchoolCodes]]),1,0),IF(ROLES[[#This Row],[AvailableToAllSchools]]=TRUE,IF(ISBLANK(ROLES[[#This Row],[SchoolCodes]]),0,)))</f>
        <v>0</v>
      </c>
      <c r="I21" s="57">
        <f>IF(OR(ROLES[[#This Row],[StaffRoleEnabled]]=TRUE,ROLES[[#This Row],[StaffRoleEnabled]]=FALSE),IF(OR(ROLES[[#This Row],[AvailableToAllSchools]]=TRUE,ROLES[[#This Row],[AvailableToAllSchools]]=FALSE),0,1),1)</f>
        <v>0</v>
      </c>
      <c r="J21" s="57">
        <f>IF(LEN(ROLES[[#This Row],[StaffRoleCode]])&lt;100,0,1)</f>
        <v>0</v>
      </c>
      <c r="K21" s="57">
        <f>IF(LEN(ROLES[[#This Row],[Title]])&lt;100,0,1)</f>
        <v>0</v>
      </c>
      <c r="L21" s="57">
        <f>(COUNTBLANK(ROLES[[#This Row],[MonthsServiceBeforeIncrement]:[StaffRoleEnabled]]))+COUNTBLANK(ROLES[[#This Row],[FullTimeHoursPerWeek]])</f>
        <v>0</v>
      </c>
      <c r="M21" s="57">
        <f>IF(SUBSTITUTE(TEXT(ROLES[[#This Row],[StaffRoleCode]],10)," ","")=TEXT(ROLES[[#This Row],[StaffRoleCode]],10),0,1)</f>
        <v>0</v>
      </c>
      <c r="N21" s="57">
        <f>SUM(ROLES[[#This Row],[Duplicate Role Code]:[Space in Code]])</f>
        <v>0</v>
      </c>
      <c r="P21" s="12" t="s">
        <v>3161</v>
      </c>
      <c r="Q21" s="12" t="s">
        <v>4181</v>
      </c>
      <c r="R21" s="12" t="s">
        <v>4182</v>
      </c>
      <c r="S21" s="12" t="s">
        <v>3107</v>
      </c>
      <c r="T21" s="12">
        <v>37</v>
      </c>
      <c r="U21" s="155" t="b">
        <f>_xlfn.XLOOKUP(ROLES[[#This Row],[PayScaleCode]],PayScales!N:N,PayScales!T:T)</f>
        <v>1</v>
      </c>
      <c r="V21" s="154" t="str">
        <f>IF(ROLES[[#This Row],[AvailableToAllSchools]]=TRUE,"",_xlfn.XLOOKUP(ROLES[[#This Row],[PayScaleCode]],PayScales!N:N,PayScales!U:U))</f>
        <v/>
      </c>
      <c r="W21" s="12">
        <v>12</v>
      </c>
      <c r="X21" s="12">
        <v>0</v>
      </c>
      <c r="Y21" t="b">
        <v>1</v>
      </c>
      <c r="Z21" t="b">
        <v>0</v>
      </c>
    </row>
    <row r="22" spans="1:26" ht="15" customHeight="1" x14ac:dyDescent="0.3">
      <c r="A22" s="57">
        <f>COUNTIF(ROLES[StaffRoleCode],ROLES[[#This Row],[StaffRoleCode]])-1</f>
        <v>0</v>
      </c>
      <c r="B22" s="57">
        <f>COUNTIF(ROLES[Title],ROLES[[#This Row],[Title]])-1</f>
        <v>0</v>
      </c>
      <c r="C22"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22"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22"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22" s="57">
        <f>IF(COUNTIF(PAYSCALES[PayScaleCode],ROLES[[#This Row],[PayScaleCode]])&gt;0,0,1)</f>
        <v>0</v>
      </c>
      <c r="G22" s="57" cm="1">
        <f t="array" ref="G22">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2" s="57">
        <f>IF(ROLES[[#This Row],[AvailableToAllSchools]]=FALSE,IF(ISBLANK(ROLES[[#This Row],[SchoolCodes]]),1,0),IF(ROLES[[#This Row],[AvailableToAllSchools]]=TRUE,IF(ISBLANK(ROLES[[#This Row],[SchoolCodes]]),0,)))</f>
        <v>0</v>
      </c>
      <c r="I22" s="57">
        <f>IF(OR(ROLES[[#This Row],[StaffRoleEnabled]]=TRUE,ROLES[[#This Row],[StaffRoleEnabled]]=FALSE),IF(OR(ROLES[[#This Row],[AvailableToAllSchools]]=TRUE,ROLES[[#This Row],[AvailableToAllSchools]]=FALSE),0,1),1)</f>
        <v>0</v>
      </c>
      <c r="J22" s="57">
        <f>IF(LEN(ROLES[[#This Row],[StaffRoleCode]])&lt;100,0,1)</f>
        <v>0</v>
      </c>
      <c r="K22" s="57">
        <f>IF(LEN(ROLES[[#This Row],[Title]])&lt;100,0,1)</f>
        <v>0</v>
      </c>
      <c r="L22" s="57">
        <f>(COUNTBLANK(ROLES[[#This Row],[MonthsServiceBeforeIncrement]:[StaffRoleEnabled]]))+COUNTBLANK(ROLES[[#This Row],[FullTimeHoursPerWeek]])</f>
        <v>0</v>
      </c>
      <c r="M22" s="57">
        <f>IF(SUBSTITUTE(TEXT(ROLES[[#This Row],[StaffRoleCode]],10)," ","")=TEXT(ROLES[[#This Row],[StaffRoleCode]],10),0,1)</f>
        <v>0</v>
      </c>
      <c r="N22" s="57">
        <f>SUM(ROLES[[#This Row],[Duplicate Role Code]:[Space in Code]])</f>
        <v>0</v>
      </c>
      <c r="P22" s="12" t="s">
        <v>3161</v>
      </c>
      <c r="Q22" s="12" t="s">
        <v>4183</v>
      </c>
      <c r="R22" s="12" t="s">
        <v>4184</v>
      </c>
      <c r="S22" s="12" t="s">
        <v>3107</v>
      </c>
      <c r="T22" s="12">
        <v>37</v>
      </c>
      <c r="U22" s="155" t="b">
        <f>_xlfn.XLOOKUP(ROLES[[#This Row],[PayScaleCode]],PayScales!N:N,PayScales!T:T)</f>
        <v>1</v>
      </c>
      <c r="V22" s="154" t="str">
        <f>IF(ROLES[[#This Row],[AvailableToAllSchools]]=TRUE,"",_xlfn.XLOOKUP(ROLES[[#This Row],[PayScaleCode]],PayScales!N:N,PayScales!U:U))</f>
        <v/>
      </c>
      <c r="W22" s="12">
        <v>12</v>
      </c>
      <c r="X22" s="12">
        <v>0</v>
      </c>
      <c r="Y22" t="b">
        <v>1</v>
      </c>
      <c r="Z22" t="b">
        <v>0</v>
      </c>
    </row>
    <row r="23" spans="1:26" ht="15" customHeight="1" x14ac:dyDescent="0.3">
      <c r="A23" s="57">
        <f>COUNTIF(ROLES[StaffRoleCode],ROLES[[#This Row],[StaffRoleCode]])-1</f>
        <v>0</v>
      </c>
      <c r="B23" s="57">
        <f>COUNTIF(ROLES[Title],ROLES[[#This Row],[Title]])-1</f>
        <v>0</v>
      </c>
      <c r="C23"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23"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23"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23" s="57">
        <f>IF(COUNTIF(PAYSCALES[PayScaleCode],ROLES[[#This Row],[PayScaleCode]])&gt;0,0,1)</f>
        <v>0</v>
      </c>
      <c r="G23" s="57" cm="1">
        <f t="array" ref="G23">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3" s="57">
        <f>IF(ROLES[[#This Row],[AvailableToAllSchools]]=FALSE,IF(ISBLANK(ROLES[[#This Row],[SchoolCodes]]),1,0),IF(ROLES[[#This Row],[AvailableToAllSchools]]=TRUE,IF(ISBLANK(ROLES[[#This Row],[SchoolCodes]]),0,)))</f>
        <v>0</v>
      </c>
      <c r="I23" s="57">
        <f>IF(OR(ROLES[[#This Row],[StaffRoleEnabled]]=TRUE,ROLES[[#This Row],[StaffRoleEnabled]]=FALSE),IF(OR(ROLES[[#This Row],[AvailableToAllSchools]]=TRUE,ROLES[[#This Row],[AvailableToAllSchools]]=FALSE),0,1),1)</f>
        <v>0</v>
      </c>
      <c r="J23" s="57">
        <f>IF(LEN(ROLES[[#This Row],[StaffRoleCode]])&lt;100,0,1)</f>
        <v>0</v>
      </c>
      <c r="K23" s="57">
        <f>IF(LEN(ROLES[[#This Row],[Title]])&lt;100,0,1)</f>
        <v>0</v>
      </c>
      <c r="L23" s="57">
        <f>(COUNTBLANK(ROLES[[#This Row],[MonthsServiceBeforeIncrement]:[StaffRoleEnabled]]))+COUNTBLANK(ROLES[[#This Row],[FullTimeHoursPerWeek]])</f>
        <v>0</v>
      </c>
      <c r="M23" s="57">
        <f>IF(SUBSTITUTE(TEXT(ROLES[[#This Row],[StaffRoleCode]],10)," ","")=TEXT(ROLES[[#This Row],[StaffRoleCode]],10),0,1)</f>
        <v>0</v>
      </c>
      <c r="N23" s="57">
        <f>SUM(ROLES[[#This Row],[Duplicate Role Code]:[Space in Code]])</f>
        <v>0</v>
      </c>
      <c r="P23" s="12" t="s">
        <v>3161</v>
      </c>
      <c r="Q23" s="12" t="s">
        <v>4185</v>
      </c>
      <c r="R23" s="12" t="s">
        <v>4186</v>
      </c>
      <c r="S23" s="12" t="s">
        <v>3107</v>
      </c>
      <c r="T23" s="12">
        <v>37</v>
      </c>
      <c r="U23" s="155" t="b">
        <f>_xlfn.XLOOKUP(ROLES[[#This Row],[PayScaleCode]],PayScales!N:N,PayScales!T:T)</f>
        <v>1</v>
      </c>
      <c r="V23" s="154" t="str">
        <f>IF(ROLES[[#This Row],[AvailableToAllSchools]]=TRUE,"",_xlfn.XLOOKUP(ROLES[[#This Row],[PayScaleCode]],PayScales!N:N,PayScales!U:U))</f>
        <v/>
      </c>
      <c r="W23" s="12">
        <v>12</v>
      </c>
      <c r="X23" s="12">
        <v>0</v>
      </c>
      <c r="Y23" t="b">
        <v>1</v>
      </c>
      <c r="Z23" t="b">
        <v>0</v>
      </c>
    </row>
    <row r="24" spans="1:26" ht="15" customHeight="1" x14ac:dyDescent="0.3">
      <c r="A24" s="57">
        <f>COUNTIF(ROLES[StaffRoleCode],ROLES[[#This Row],[StaffRoleCode]])-1</f>
        <v>0</v>
      </c>
      <c r="B24" s="57">
        <f>COUNTIF(ROLES[Title],ROLES[[#This Row],[Title]])-1</f>
        <v>0</v>
      </c>
      <c r="C24"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24"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24"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24" s="57">
        <f>IF(COUNTIF(PAYSCALES[PayScaleCode],ROLES[[#This Row],[PayScaleCode]])&gt;0,0,1)</f>
        <v>0</v>
      </c>
      <c r="G24" s="57" cm="1">
        <f t="array" ref="G24">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4" s="57">
        <f>IF(ROLES[[#This Row],[AvailableToAllSchools]]=FALSE,IF(ISBLANK(ROLES[[#This Row],[SchoolCodes]]),1,0),IF(ROLES[[#This Row],[AvailableToAllSchools]]=TRUE,IF(ISBLANK(ROLES[[#This Row],[SchoolCodes]]),0,)))</f>
        <v>0</v>
      </c>
      <c r="I24" s="57">
        <f>IF(OR(ROLES[[#This Row],[StaffRoleEnabled]]=TRUE,ROLES[[#This Row],[StaffRoleEnabled]]=FALSE),IF(OR(ROLES[[#This Row],[AvailableToAllSchools]]=TRUE,ROLES[[#This Row],[AvailableToAllSchools]]=FALSE),0,1),1)</f>
        <v>0</v>
      </c>
      <c r="J24" s="57">
        <f>IF(LEN(ROLES[[#This Row],[StaffRoleCode]])&lt;100,0,1)</f>
        <v>0</v>
      </c>
      <c r="K24" s="57">
        <f>IF(LEN(ROLES[[#This Row],[Title]])&lt;100,0,1)</f>
        <v>0</v>
      </c>
      <c r="L24" s="57">
        <f>(COUNTBLANK(ROLES[[#This Row],[MonthsServiceBeforeIncrement]:[StaffRoleEnabled]]))+COUNTBLANK(ROLES[[#This Row],[FullTimeHoursPerWeek]])</f>
        <v>0</v>
      </c>
      <c r="M24" s="57">
        <f>IF(SUBSTITUTE(TEXT(ROLES[[#This Row],[StaffRoleCode]],10)," ","")=TEXT(ROLES[[#This Row],[StaffRoleCode]],10),0,1)</f>
        <v>0</v>
      </c>
      <c r="N24" s="57">
        <f>SUM(ROLES[[#This Row],[Duplicate Role Code]:[Space in Code]])</f>
        <v>0</v>
      </c>
      <c r="P24" s="12" t="s">
        <v>3161</v>
      </c>
      <c r="Q24" s="12" t="s">
        <v>4187</v>
      </c>
      <c r="R24" s="12" t="s">
        <v>4188</v>
      </c>
      <c r="S24" s="12" t="s">
        <v>3107</v>
      </c>
      <c r="T24" s="12">
        <v>37</v>
      </c>
      <c r="U24" s="155" t="b">
        <f>_xlfn.XLOOKUP(ROLES[[#This Row],[PayScaleCode]],PayScales!N:N,PayScales!T:T)</f>
        <v>1</v>
      </c>
      <c r="V24" s="154" t="str">
        <f>IF(ROLES[[#This Row],[AvailableToAllSchools]]=TRUE,"",_xlfn.XLOOKUP(ROLES[[#This Row],[PayScaleCode]],PayScales!N:N,PayScales!U:U))</f>
        <v/>
      </c>
      <c r="W24" s="12">
        <v>12</v>
      </c>
      <c r="X24" s="12">
        <v>0</v>
      </c>
      <c r="Y24" t="b">
        <v>1</v>
      </c>
      <c r="Z24" t="b">
        <v>0</v>
      </c>
    </row>
    <row r="25" spans="1:26" ht="15" customHeight="1" x14ac:dyDescent="0.3">
      <c r="A25" s="57">
        <f>COUNTIF(ROLES[StaffRoleCode],ROLES[[#This Row],[StaffRoleCode]])-1</f>
        <v>0</v>
      </c>
      <c r="B25" s="57">
        <f>COUNTIF(ROLES[Title],ROLES[[#This Row],[Title]])-1</f>
        <v>0</v>
      </c>
      <c r="C25"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25"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25"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25" s="57">
        <f>IF(COUNTIF(PAYSCALES[PayScaleCode],ROLES[[#This Row],[PayScaleCode]])&gt;0,0,1)</f>
        <v>0</v>
      </c>
      <c r="G25" s="57" cm="1">
        <f t="array" ref="G25">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5" s="57">
        <f>IF(ROLES[[#This Row],[AvailableToAllSchools]]=FALSE,IF(ISBLANK(ROLES[[#This Row],[SchoolCodes]]),1,0),IF(ROLES[[#This Row],[AvailableToAllSchools]]=TRUE,IF(ISBLANK(ROLES[[#This Row],[SchoolCodes]]),0,)))</f>
        <v>0</v>
      </c>
      <c r="I25" s="57">
        <f>IF(OR(ROLES[[#This Row],[StaffRoleEnabled]]=TRUE,ROLES[[#This Row],[StaffRoleEnabled]]=FALSE),IF(OR(ROLES[[#This Row],[AvailableToAllSchools]]=TRUE,ROLES[[#This Row],[AvailableToAllSchools]]=FALSE),0,1),1)</f>
        <v>0</v>
      </c>
      <c r="J25" s="57">
        <f>IF(LEN(ROLES[[#This Row],[StaffRoleCode]])&lt;100,0,1)</f>
        <v>0</v>
      </c>
      <c r="K25" s="57">
        <f>IF(LEN(ROLES[[#This Row],[Title]])&lt;100,0,1)</f>
        <v>0</v>
      </c>
      <c r="L25" s="57">
        <f>(COUNTBLANK(ROLES[[#This Row],[MonthsServiceBeforeIncrement]:[StaffRoleEnabled]]))+COUNTBLANK(ROLES[[#This Row],[FullTimeHoursPerWeek]])</f>
        <v>0</v>
      </c>
      <c r="M25" s="57">
        <f>IF(SUBSTITUTE(TEXT(ROLES[[#This Row],[StaffRoleCode]],10)," ","")=TEXT(ROLES[[#This Row],[StaffRoleCode]],10),0,1)</f>
        <v>0</v>
      </c>
      <c r="N25" s="57">
        <f>SUM(ROLES[[#This Row],[Duplicate Role Code]:[Space in Code]])</f>
        <v>0</v>
      </c>
      <c r="P25" s="12" t="s">
        <v>3161</v>
      </c>
      <c r="Q25" s="12" t="s">
        <v>4189</v>
      </c>
      <c r="R25" s="12" t="s">
        <v>4190</v>
      </c>
      <c r="S25" s="12" t="s">
        <v>3107</v>
      </c>
      <c r="T25" s="12">
        <v>37</v>
      </c>
      <c r="U25" s="155" t="b">
        <f>_xlfn.XLOOKUP(ROLES[[#This Row],[PayScaleCode]],PayScales!N:N,PayScales!T:T)</f>
        <v>1</v>
      </c>
      <c r="V25" s="154" t="str">
        <f>IF(ROLES[[#This Row],[AvailableToAllSchools]]=TRUE,"",_xlfn.XLOOKUP(ROLES[[#This Row],[PayScaleCode]],PayScales!N:N,PayScales!U:U))</f>
        <v/>
      </c>
      <c r="W25" s="12">
        <v>12</v>
      </c>
      <c r="X25" s="12">
        <v>0</v>
      </c>
      <c r="Y25" t="b">
        <v>1</v>
      </c>
      <c r="Z25" t="b">
        <v>0</v>
      </c>
    </row>
    <row r="26" spans="1:26" ht="15" customHeight="1" x14ac:dyDescent="0.3">
      <c r="A26" s="57">
        <f>COUNTIF(ROLES[StaffRoleCode],ROLES[[#This Row],[StaffRoleCode]])-1</f>
        <v>0</v>
      </c>
      <c r="B26" s="57">
        <f>COUNTIF(ROLES[Title],ROLES[[#This Row],[Title]])-1</f>
        <v>0</v>
      </c>
      <c r="C26"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26"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26"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26" s="57">
        <f>IF(COUNTIF(PAYSCALES[PayScaleCode],ROLES[[#This Row],[PayScaleCode]])&gt;0,0,1)</f>
        <v>0</v>
      </c>
      <c r="G26" s="57" cm="1">
        <f t="array" ref="G26">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6" s="57">
        <f>IF(ROLES[[#This Row],[AvailableToAllSchools]]=FALSE,IF(ISBLANK(ROLES[[#This Row],[SchoolCodes]]),1,0),IF(ROLES[[#This Row],[AvailableToAllSchools]]=TRUE,IF(ISBLANK(ROLES[[#This Row],[SchoolCodes]]),0,)))</f>
        <v>0</v>
      </c>
      <c r="I26" s="57">
        <f>IF(OR(ROLES[[#This Row],[StaffRoleEnabled]]=TRUE,ROLES[[#This Row],[StaffRoleEnabled]]=FALSE),IF(OR(ROLES[[#This Row],[AvailableToAllSchools]]=TRUE,ROLES[[#This Row],[AvailableToAllSchools]]=FALSE),0,1),1)</f>
        <v>0</v>
      </c>
      <c r="J26" s="57">
        <f>IF(LEN(ROLES[[#This Row],[StaffRoleCode]])&lt;100,0,1)</f>
        <v>0</v>
      </c>
      <c r="K26" s="57">
        <f>IF(LEN(ROLES[[#This Row],[Title]])&lt;100,0,1)</f>
        <v>0</v>
      </c>
      <c r="L26" s="57">
        <f>(COUNTBLANK(ROLES[[#This Row],[MonthsServiceBeforeIncrement]:[StaffRoleEnabled]]))+COUNTBLANK(ROLES[[#This Row],[FullTimeHoursPerWeek]])</f>
        <v>0</v>
      </c>
      <c r="M26" s="57">
        <f>IF(SUBSTITUTE(TEXT(ROLES[[#This Row],[StaffRoleCode]],10)," ","")=TEXT(ROLES[[#This Row],[StaffRoleCode]],10),0,1)</f>
        <v>0</v>
      </c>
      <c r="N26" s="57">
        <f>SUM(ROLES[[#This Row],[Duplicate Role Code]:[Space in Code]])</f>
        <v>0</v>
      </c>
      <c r="P26" s="12" t="s">
        <v>3161</v>
      </c>
      <c r="Q26" s="12" t="s">
        <v>4191</v>
      </c>
      <c r="R26" s="12" t="s">
        <v>4192</v>
      </c>
      <c r="S26" s="12" t="s">
        <v>3107</v>
      </c>
      <c r="T26" s="12">
        <v>37</v>
      </c>
      <c r="U26" s="155" t="b">
        <f>_xlfn.XLOOKUP(ROLES[[#This Row],[PayScaleCode]],PayScales!N:N,PayScales!T:T)</f>
        <v>1</v>
      </c>
      <c r="V26" s="154" t="str">
        <f>IF(ROLES[[#This Row],[AvailableToAllSchools]]=TRUE,"",_xlfn.XLOOKUP(ROLES[[#This Row],[PayScaleCode]],PayScales!N:N,PayScales!U:U))</f>
        <v/>
      </c>
      <c r="W26" s="12">
        <v>12</v>
      </c>
      <c r="X26" s="12">
        <v>0</v>
      </c>
      <c r="Y26" t="b">
        <v>1</v>
      </c>
      <c r="Z26" t="b">
        <v>0</v>
      </c>
    </row>
    <row r="27" spans="1:26" ht="15" customHeight="1" x14ac:dyDescent="0.3">
      <c r="A27" s="57">
        <f>COUNTIF(ROLES[StaffRoleCode],ROLES[[#This Row],[StaffRoleCode]])-1</f>
        <v>0</v>
      </c>
      <c r="B27" s="57">
        <f>COUNTIF(ROLES[Title],ROLES[[#This Row],[Title]])-1</f>
        <v>0</v>
      </c>
      <c r="C27"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27"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27"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27" s="57">
        <f>IF(COUNTIF(PAYSCALES[PayScaleCode],ROLES[[#This Row],[PayScaleCode]])&gt;0,0,1)</f>
        <v>0</v>
      </c>
      <c r="G27" s="57" cm="1">
        <f t="array" ref="G27">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7" s="57">
        <f>IF(ROLES[[#This Row],[AvailableToAllSchools]]=FALSE,IF(ISBLANK(ROLES[[#This Row],[SchoolCodes]]),1,0),IF(ROLES[[#This Row],[AvailableToAllSchools]]=TRUE,IF(ISBLANK(ROLES[[#This Row],[SchoolCodes]]),0,)))</f>
        <v>0</v>
      </c>
      <c r="I27" s="57">
        <f>IF(OR(ROLES[[#This Row],[StaffRoleEnabled]]=TRUE,ROLES[[#This Row],[StaffRoleEnabled]]=FALSE),IF(OR(ROLES[[#This Row],[AvailableToAllSchools]]=TRUE,ROLES[[#This Row],[AvailableToAllSchools]]=FALSE),0,1),1)</f>
        <v>0</v>
      </c>
      <c r="J27" s="57">
        <f>IF(LEN(ROLES[[#This Row],[StaffRoleCode]])&lt;100,0,1)</f>
        <v>0</v>
      </c>
      <c r="K27" s="57">
        <f>IF(LEN(ROLES[[#This Row],[Title]])&lt;100,0,1)</f>
        <v>0</v>
      </c>
      <c r="L27" s="57">
        <f>(COUNTBLANK(ROLES[[#This Row],[MonthsServiceBeforeIncrement]:[StaffRoleEnabled]]))+COUNTBLANK(ROLES[[#This Row],[FullTimeHoursPerWeek]])</f>
        <v>0</v>
      </c>
      <c r="M27" s="57">
        <f>IF(SUBSTITUTE(TEXT(ROLES[[#This Row],[StaffRoleCode]],10)," ","")=TEXT(ROLES[[#This Row],[StaffRoleCode]],10),0,1)</f>
        <v>0</v>
      </c>
      <c r="N27" s="57">
        <f>SUM(ROLES[[#This Row],[Duplicate Role Code]:[Space in Code]])</f>
        <v>0</v>
      </c>
      <c r="P27" s="12" t="s">
        <v>3161</v>
      </c>
      <c r="Q27" s="12" t="s">
        <v>4193</v>
      </c>
      <c r="R27" s="12" t="s">
        <v>4194</v>
      </c>
      <c r="S27" s="12" t="s">
        <v>3107</v>
      </c>
      <c r="T27" s="12">
        <v>37</v>
      </c>
      <c r="U27" s="155" t="b">
        <f>_xlfn.XLOOKUP(ROLES[[#This Row],[PayScaleCode]],PayScales!N:N,PayScales!T:T)</f>
        <v>1</v>
      </c>
      <c r="V27" s="154" t="str">
        <f>IF(ROLES[[#This Row],[AvailableToAllSchools]]=TRUE,"",_xlfn.XLOOKUP(ROLES[[#This Row],[PayScaleCode]],PayScales!N:N,PayScales!U:U))</f>
        <v/>
      </c>
      <c r="W27" s="12">
        <v>12</v>
      </c>
      <c r="X27" s="12">
        <v>0</v>
      </c>
      <c r="Y27" t="b">
        <v>1</v>
      </c>
      <c r="Z27" t="b">
        <v>0</v>
      </c>
    </row>
    <row r="28" spans="1:26" ht="15" customHeight="1" x14ac:dyDescent="0.3">
      <c r="A28" s="57">
        <f>COUNTIF(ROLES[StaffRoleCode],ROLES[[#This Row],[StaffRoleCode]])-1</f>
        <v>0</v>
      </c>
      <c r="B28" s="57">
        <f>COUNTIF(ROLES[Title],ROLES[[#This Row],[Title]])-1</f>
        <v>0</v>
      </c>
      <c r="C28"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28"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28"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28" s="57">
        <f>IF(COUNTIF(PAYSCALES[PayScaleCode],ROLES[[#This Row],[PayScaleCode]])&gt;0,0,1)</f>
        <v>0</v>
      </c>
      <c r="G28" s="57" cm="1">
        <f t="array" ref="G28">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8" s="57">
        <f>IF(ROLES[[#This Row],[AvailableToAllSchools]]=FALSE,IF(ISBLANK(ROLES[[#This Row],[SchoolCodes]]),1,0),IF(ROLES[[#This Row],[AvailableToAllSchools]]=TRUE,IF(ISBLANK(ROLES[[#This Row],[SchoolCodes]]),0,)))</f>
        <v>0</v>
      </c>
      <c r="I28" s="57">
        <f>IF(OR(ROLES[[#This Row],[StaffRoleEnabled]]=TRUE,ROLES[[#This Row],[StaffRoleEnabled]]=FALSE),IF(OR(ROLES[[#This Row],[AvailableToAllSchools]]=TRUE,ROLES[[#This Row],[AvailableToAllSchools]]=FALSE),0,1),1)</f>
        <v>0</v>
      </c>
      <c r="J28" s="57">
        <f>IF(LEN(ROLES[[#This Row],[StaffRoleCode]])&lt;100,0,1)</f>
        <v>0</v>
      </c>
      <c r="K28" s="57">
        <f>IF(LEN(ROLES[[#This Row],[Title]])&lt;100,0,1)</f>
        <v>0</v>
      </c>
      <c r="L28" s="57">
        <f>(COUNTBLANK(ROLES[[#This Row],[MonthsServiceBeforeIncrement]:[StaffRoleEnabled]]))+COUNTBLANK(ROLES[[#This Row],[FullTimeHoursPerWeek]])</f>
        <v>0</v>
      </c>
      <c r="M28" s="57">
        <f>IF(SUBSTITUTE(TEXT(ROLES[[#This Row],[StaffRoleCode]],10)," ","")=TEXT(ROLES[[#This Row],[StaffRoleCode]],10),0,1)</f>
        <v>0</v>
      </c>
      <c r="N28" s="57">
        <f>SUM(ROLES[[#This Row],[Duplicate Role Code]:[Space in Code]])</f>
        <v>0</v>
      </c>
      <c r="P28" s="12" t="s">
        <v>3161</v>
      </c>
      <c r="Q28" s="12" t="s">
        <v>4195</v>
      </c>
      <c r="R28" s="12" t="s">
        <v>4196</v>
      </c>
      <c r="S28" s="12" t="s">
        <v>3107</v>
      </c>
      <c r="T28" s="12">
        <v>37</v>
      </c>
      <c r="U28" s="155" t="b">
        <f>_xlfn.XLOOKUP(ROLES[[#This Row],[PayScaleCode]],PayScales!N:N,PayScales!T:T)</f>
        <v>1</v>
      </c>
      <c r="V28" s="154" t="str">
        <f>IF(ROLES[[#This Row],[AvailableToAllSchools]]=TRUE,"",_xlfn.XLOOKUP(ROLES[[#This Row],[PayScaleCode]],PayScales!N:N,PayScales!U:U))</f>
        <v/>
      </c>
      <c r="W28" s="12">
        <v>12</v>
      </c>
      <c r="X28" s="12">
        <v>0</v>
      </c>
      <c r="Y28" t="b">
        <v>1</v>
      </c>
      <c r="Z28" t="b">
        <v>0</v>
      </c>
    </row>
    <row r="29" spans="1:26" ht="15" customHeight="1" x14ac:dyDescent="0.3">
      <c r="A29" s="57">
        <f>COUNTIF(ROLES[StaffRoleCode],ROLES[[#This Row],[StaffRoleCode]])-1</f>
        <v>0</v>
      </c>
      <c r="B29" s="57">
        <f>COUNTIF(ROLES[Title],ROLES[[#This Row],[Title]])-1</f>
        <v>0</v>
      </c>
      <c r="C29"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29"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29"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29" s="57">
        <f>IF(COUNTIF(PAYSCALES[PayScaleCode],ROLES[[#This Row],[PayScaleCode]])&gt;0,0,1)</f>
        <v>0</v>
      </c>
      <c r="G29" s="57" cm="1">
        <f t="array" ref="G29">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9" s="57">
        <f>IF(ROLES[[#This Row],[AvailableToAllSchools]]=FALSE,IF(ISBLANK(ROLES[[#This Row],[SchoolCodes]]),1,0),IF(ROLES[[#This Row],[AvailableToAllSchools]]=TRUE,IF(ISBLANK(ROLES[[#This Row],[SchoolCodes]]),0,)))</f>
        <v>0</v>
      </c>
      <c r="I29" s="57">
        <f>IF(OR(ROLES[[#This Row],[StaffRoleEnabled]]=TRUE,ROLES[[#This Row],[StaffRoleEnabled]]=FALSE),IF(OR(ROLES[[#This Row],[AvailableToAllSchools]]=TRUE,ROLES[[#This Row],[AvailableToAllSchools]]=FALSE),0,1),1)</f>
        <v>0</v>
      </c>
      <c r="J29" s="57">
        <f>IF(LEN(ROLES[[#This Row],[StaffRoleCode]])&lt;100,0,1)</f>
        <v>0</v>
      </c>
      <c r="K29" s="57">
        <f>IF(LEN(ROLES[[#This Row],[Title]])&lt;100,0,1)</f>
        <v>0</v>
      </c>
      <c r="L29" s="57">
        <f>(COUNTBLANK(ROLES[[#This Row],[MonthsServiceBeforeIncrement]:[StaffRoleEnabled]]))+COUNTBLANK(ROLES[[#This Row],[FullTimeHoursPerWeek]])</f>
        <v>0</v>
      </c>
      <c r="M29" s="57">
        <f>IF(SUBSTITUTE(TEXT(ROLES[[#This Row],[StaffRoleCode]],10)," ","")=TEXT(ROLES[[#This Row],[StaffRoleCode]],10),0,1)</f>
        <v>0</v>
      </c>
      <c r="N29" s="57">
        <f>SUM(ROLES[[#This Row],[Duplicate Role Code]:[Space in Code]])</f>
        <v>0</v>
      </c>
      <c r="P29" s="12" t="s">
        <v>3161</v>
      </c>
      <c r="Q29" s="12" t="s">
        <v>4197</v>
      </c>
      <c r="R29" s="12" t="s">
        <v>4198</v>
      </c>
      <c r="S29" s="12" t="s">
        <v>3107</v>
      </c>
      <c r="T29" s="12">
        <v>37</v>
      </c>
      <c r="U29" s="155" t="b">
        <f>_xlfn.XLOOKUP(ROLES[[#This Row],[PayScaleCode]],PayScales!N:N,PayScales!T:T)</f>
        <v>1</v>
      </c>
      <c r="V29" s="154" t="str">
        <f>IF(ROLES[[#This Row],[AvailableToAllSchools]]=TRUE,"",_xlfn.XLOOKUP(ROLES[[#This Row],[PayScaleCode]],PayScales!N:N,PayScales!U:U))</f>
        <v/>
      </c>
      <c r="W29" s="12">
        <v>12</v>
      </c>
      <c r="X29" s="12">
        <v>0</v>
      </c>
      <c r="Y29" t="b">
        <v>1</v>
      </c>
      <c r="Z29" t="b">
        <v>0</v>
      </c>
    </row>
    <row r="30" spans="1:26" ht="15" customHeight="1" x14ac:dyDescent="0.3">
      <c r="A30" s="57">
        <f>COUNTIF(ROLES[StaffRoleCode],ROLES[[#This Row],[StaffRoleCode]])-1</f>
        <v>0</v>
      </c>
      <c r="B30" s="57">
        <f>COUNTIF(ROLES[Title],ROLES[[#This Row],[Title]])-1</f>
        <v>0</v>
      </c>
      <c r="C30"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30"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30"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30" s="57">
        <f>IF(COUNTIF(PAYSCALES[PayScaleCode],ROLES[[#This Row],[PayScaleCode]])&gt;0,0,1)</f>
        <v>0</v>
      </c>
      <c r="G30" s="57" cm="1">
        <f t="array" ref="G30">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30" s="57">
        <f>IF(ROLES[[#This Row],[AvailableToAllSchools]]=FALSE,IF(ISBLANK(ROLES[[#This Row],[SchoolCodes]]),1,0),IF(ROLES[[#This Row],[AvailableToAllSchools]]=TRUE,IF(ISBLANK(ROLES[[#This Row],[SchoolCodes]]),0,)))</f>
        <v>0</v>
      </c>
      <c r="I30" s="57">
        <f>IF(OR(ROLES[[#This Row],[StaffRoleEnabled]]=TRUE,ROLES[[#This Row],[StaffRoleEnabled]]=FALSE),IF(OR(ROLES[[#This Row],[AvailableToAllSchools]]=TRUE,ROLES[[#This Row],[AvailableToAllSchools]]=FALSE),0,1),1)</f>
        <v>0</v>
      </c>
      <c r="J30" s="57">
        <f>IF(LEN(ROLES[[#This Row],[StaffRoleCode]])&lt;100,0,1)</f>
        <v>0</v>
      </c>
      <c r="K30" s="57">
        <f>IF(LEN(ROLES[[#This Row],[Title]])&lt;100,0,1)</f>
        <v>0</v>
      </c>
      <c r="L30" s="57">
        <f>(COUNTBLANK(ROLES[[#This Row],[MonthsServiceBeforeIncrement]:[StaffRoleEnabled]]))+COUNTBLANK(ROLES[[#This Row],[FullTimeHoursPerWeek]])</f>
        <v>0</v>
      </c>
      <c r="M30" s="57">
        <f>IF(SUBSTITUTE(TEXT(ROLES[[#This Row],[StaffRoleCode]],10)," ","")=TEXT(ROLES[[#This Row],[StaffRoleCode]],10),0,1)</f>
        <v>0</v>
      </c>
      <c r="N30" s="57">
        <f>SUM(ROLES[[#This Row],[Duplicate Role Code]:[Space in Code]])</f>
        <v>0</v>
      </c>
      <c r="P30" s="12" t="s">
        <v>3161</v>
      </c>
      <c r="Q30" s="12" t="s">
        <v>4199</v>
      </c>
      <c r="R30" s="12" t="s">
        <v>4200</v>
      </c>
      <c r="S30" s="12" t="s">
        <v>3107</v>
      </c>
      <c r="T30" s="12">
        <v>37</v>
      </c>
      <c r="U30" s="155" t="b">
        <f>_xlfn.XLOOKUP(ROLES[[#This Row],[PayScaleCode]],PayScales!N:N,PayScales!T:T)</f>
        <v>1</v>
      </c>
      <c r="V30" s="154" t="str">
        <f>IF(ROLES[[#This Row],[AvailableToAllSchools]]=TRUE,"",_xlfn.XLOOKUP(ROLES[[#This Row],[PayScaleCode]],PayScales!N:N,PayScales!U:U))</f>
        <v/>
      </c>
      <c r="W30" s="12">
        <v>12</v>
      </c>
      <c r="X30" s="12">
        <v>0</v>
      </c>
      <c r="Y30" t="b">
        <v>1</v>
      </c>
      <c r="Z30" t="b">
        <v>0</v>
      </c>
    </row>
    <row r="31" spans="1:26" ht="15" customHeight="1" x14ac:dyDescent="0.3">
      <c r="A31" s="57">
        <f>COUNTIF(ROLES[StaffRoleCode],ROLES[[#This Row],[StaffRoleCode]])-1</f>
        <v>0</v>
      </c>
      <c r="B31" s="57">
        <f>COUNTIF(ROLES[Title],ROLES[[#This Row],[Title]])-1</f>
        <v>0</v>
      </c>
      <c r="C31"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31"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31"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31" s="57">
        <f>IF(COUNTIF(PAYSCALES[PayScaleCode],ROLES[[#This Row],[PayScaleCode]])&gt;0,0,1)</f>
        <v>0</v>
      </c>
      <c r="G31" s="57" cm="1">
        <f t="array" ref="G31">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31" s="57">
        <f>IF(ROLES[[#This Row],[AvailableToAllSchools]]=FALSE,IF(ISBLANK(ROLES[[#This Row],[SchoolCodes]]),1,0),IF(ROLES[[#This Row],[AvailableToAllSchools]]=TRUE,IF(ISBLANK(ROLES[[#This Row],[SchoolCodes]]),0,)))</f>
        <v>0</v>
      </c>
      <c r="I31" s="57">
        <f>IF(OR(ROLES[[#This Row],[StaffRoleEnabled]]=TRUE,ROLES[[#This Row],[StaffRoleEnabled]]=FALSE),IF(OR(ROLES[[#This Row],[AvailableToAllSchools]]=TRUE,ROLES[[#This Row],[AvailableToAllSchools]]=FALSE),0,1),1)</f>
        <v>0</v>
      </c>
      <c r="J31" s="57">
        <f>IF(LEN(ROLES[[#This Row],[StaffRoleCode]])&lt;100,0,1)</f>
        <v>0</v>
      </c>
      <c r="K31" s="57">
        <f>IF(LEN(ROLES[[#This Row],[Title]])&lt;100,0,1)</f>
        <v>0</v>
      </c>
      <c r="L31" s="57">
        <f>(COUNTBLANK(ROLES[[#This Row],[MonthsServiceBeforeIncrement]:[StaffRoleEnabled]]))+COUNTBLANK(ROLES[[#This Row],[FullTimeHoursPerWeek]])</f>
        <v>0</v>
      </c>
      <c r="M31" s="57">
        <f>IF(SUBSTITUTE(TEXT(ROLES[[#This Row],[StaffRoleCode]],10)," ","")=TEXT(ROLES[[#This Row],[StaffRoleCode]],10),0,1)</f>
        <v>0</v>
      </c>
      <c r="N31" s="57">
        <f>SUM(ROLES[[#This Row],[Duplicate Role Code]:[Space in Code]])</f>
        <v>0</v>
      </c>
      <c r="P31" s="12" t="s">
        <v>3161</v>
      </c>
      <c r="Q31" s="12" t="s">
        <v>4162</v>
      </c>
      <c r="R31" s="12" t="s">
        <v>4201</v>
      </c>
      <c r="S31" s="12" t="s">
        <v>1744</v>
      </c>
      <c r="T31" s="12">
        <v>37</v>
      </c>
      <c r="U31" s="155" t="b">
        <f>_xlfn.XLOOKUP(ROLES[[#This Row],[PayScaleCode]],PayScales!N:N,PayScales!T:T)</f>
        <v>1</v>
      </c>
      <c r="V31" s="154" t="str">
        <f>IF(ROLES[[#This Row],[AvailableToAllSchools]]=TRUE,"",_xlfn.XLOOKUP(ROLES[[#This Row],[PayScaleCode]],PayScales!N:N,PayScales!U:U))</f>
        <v/>
      </c>
      <c r="W31" s="12">
        <v>12</v>
      </c>
      <c r="X31" s="12">
        <v>0</v>
      </c>
      <c r="Y31" t="b">
        <v>1</v>
      </c>
      <c r="Z31" t="b">
        <v>0</v>
      </c>
    </row>
    <row r="32" spans="1:26" ht="15" customHeight="1" x14ac:dyDescent="0.3">
      <c r="A32" s="57">
        <f>COUNTIF(ROLES[StaffRoleCode],ROLES[[#This Row],[StaffRoleCode]])-1</f>
        <v>0</v>
      </c>
      <c r="B32" s="57">
        <f>COUNTIF(ROLES[Title],ROLES[[#This Row],[Title]])-1</f>
        <v>0</v>
      </c>
      <c r="C32"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32"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32"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32" s="57">
        <f>IF(COUNTIF(PAYSCALES[PayScaleCode],ROLES[[#This Row],[PayScaleCode]])&gt;0,0,1)</f>
        <v>0</v>
      </c>
      <c r="G32" s="57" cm="1">
        <f t="array" ref="G32">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32" s="57">
        <f>IF(ROLES[[#This Row],[AvailableToAllSchools]]=FALSE,IF(ISBLANK(ROLES[[#This Row],[SchoolCodes]]),1,0),IF(ROLES[[#This Row],[AvailableToAllSchools]]=TRUE,IF(ISBLANK(ROLES[[#This Row],[SchoolCodes]]),0,)))</f>
        <v>0</v>
      </c>
      <c r="I32" s="57">
        <f>IF(OR(ROLES[[#This Row],[StaffRoleEnabled]]=TRUE,ROLES[[#This Row],[StaffRoleEnabled]]=FALSE),IF(OR(ROLES[[#This Row],[AvailableToAllSchools]]=TRUE,ROLES[[#This Row],[AvailableToAllSchools]]=FALSE),0,1),1)</f>
        <v>0</v>
      </c>
      <c r="J32" s="57">
        <f>IF(LEN(ROLES[[#This Row],[StaffRoleCode]])&lt;100,0,1)</f>
        <v>0</v>
      </c>
      <c r="K32" s="57">
        <f>IF(LEN(ROLES[[#This Row],[Title]])&lt;100,0,1)</f>
        <v>0</v>
      </c>
      <c r="L32" s="57">
        <f>(COUNTBLANK(ROLES[[#This Row],[MonthsServiceBeforeIncrement]:[StaffRoleEnabled]]))+COUNTBLANK(ROLES[[#This Row],[FullTimeHoursPerWeek]])</f>
        <v>0</v>
      </c>
      <c r="M32" s="57">
        <f>IF(SUBSTITUTE(TEXT(ROLES[[#This Row],[StaffRoleCode]],10)," ","")=TEXT(ROLES[[#This Row],[StaffRoleCode]],10),0,1)</f>
        <v>0</v>
      </c>
      <c r="N32" s="57">
        <f>SUM(ROLES[[#This Row],[Duplicate Role Code]:[Space in Code]])</f>
        <v>0</v>
      </c>
      <c r="P32" s="12" t="s">
        <v>3161</v>
      </c>
      <c r="Q32" s="12" t="s">
        <v>4202</v>
      </c>
      <c r="R32" s="12" t="s">
        <v>4203</v>
      </c>
      <c r="S32" s="12" t="s">
        <v>3107</v>
      </c>
      <c r="T32" s="12">
        <v>37</v>
      </c>
      <c r="U32" s="155" t="b">
        <f>_xlfn.XLOOKUP(ROLES[[#This Row],[PayScaleCode]],PayScales!N:N,PayScales!T:T)</f>
        <v>1</v>
      </c>
      <c r="V32" s="154" t="str">
        <f>IF(ROLES[[#This Row],[AvailableToAllSchools]]=TRUE,"",_xlfn.XLOOKUP(ROLES[[#This Row],[PayScaleCode]],PayScales!N:N,PayScales!U:U))</f>
        <v/>
      </c>
      <c r="W32" s="12">
        <v>12</v>
      </c>
      <c r="X32" s="12">
        <v>0</v>
      </c>
      <c r="Y32" t="b">
        <v>1</v>
      </c>
      <c r="Z32" t="b">
        <v>0</v>
      </c>
    </row>
    <row r="33" spans="1:26" ht="15" customHeight="1" x14ac:dyDescent="0.3">
      <c r="A33" s="57">
        <f>COUNTIF(ROLES[StaffRoleCode],ROLES[[#This Row],[StaffRoleCode]])-1</f>
        <v>0</v>
      </c>
      <c r="B33" s="57">
        <f>COUNTIF(ROLES[Title],ROLES[[#This Row],[Title]])-1</f>
        <v>0</v>
      </c>
      <c r="C33"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33"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33"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33" s="57">
        <f>IF(COUNTIF(PAYSCALES[PayScaleCode],ROLES[[#This Row],[PayScaleCode]])&gt;0,0,1)</f>
        <v>0</v>
      </c>
      <c r="G33" s="57" cm="1">
        <f t="array" ref="G33">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33" s="57">
        <f>IF(ROLES[[#This Row],[AvailableToAllSchools]]=FALSE,IF(ISBLANK(ROLES[[#This Row],[SchoolCodes]]),1,0),IF(ROLES[[#This Row],[AvailableToAllSchools]]=TRUE,IF(ISBLANK(ROLES[[#This Row],[SchoolCodes]]),0,)))</f>
        <v>0</v>
      </c>
      <c r="I33" s="57">
        <f>IF(OR(ROLES[[#This Row],[StaffRoleEnabled]]=TRUE,ROLES[[#This Row],[StaffRoleEnabled]]=FALSE),IF(OR(ROLES[[#This Row],[AvailableToAllSchools]]=TRUE,ROLES[[#This Row],[AvailableToAllSchools]]=FALSE),0,1),1)</f>
        <v>0</v>
      </c>
      <c r="J33" s="57">
        <f>IF(LEN(ROLES[[#This Row],[StaffRoleCode]])&lt;100,0,1)</f>
        <v>0</v>
      </c>
      <c r="K33" s="57">
        <f>IF(LEN(ROLES[[#This Row],[Title]])&lt;100,0,1)</f>
        <v>0</v>
      </c>
      <c r="L33" s="57">
        <f>(COUNTBLANK(ROLES[[#This Row],[MonthsServiceBeforeIncrement]:[StaffRoleEnabled]]))+COUNTBLANK(ROLES[[#This Row],[FullTimeHoursPerWeek]])</f>
        <v>0</v>
      </c>
      <c r="M33" s="57">
        <f>IF(SUBSTITUTE(TEXT(ROLES[[#This Row],[StaffRoleCode]],10)," ","")=TEXT(ROLES[[#This Row],[StaffRoleCode]],10),0,1)</f>
        <v>0</v>
      </c>
      <c r="N33" s="57">
        <f>SUM(ROLES[[#This Row],[Duplicate Role Code]:[Space in Code]])</f>
        <v>0</v>
      </c>
      <c r="P33" s="12" t="s">
        <v>3161</v>
      </c>
      <c r="Q33" s="12" t="s">
        <v>4204</v>
      </c>
      <c r="R33" s="12" t="s">
        <v>4205</v>
      </c>
      <c r="S33" s="12" t="s">
        <v>3107</v>
      </c>
      <c r="T33" s="12">
        <v>37</v>
      </c>
      <c r="U33" s="155" t="b">
        <f>_xlfn.XLOOKUP(ROLES[[#This Row],[PayScaleCode]],PayScales!N:N,PayScales!T:T)</f>
        <v>1</v>
      </c>
      <c r="V33" s="154" t="str">
        <f>IF(ROLES[[#This Row],[AvailableToAllSchools]]=TRUE,"",_xlfn.XLOOKUP(ROLES[[#This Row],[PayScaleCode]],PayScales!N:N,PayScales!U:U))</f>
        <v/>
      </c>
      <c r="W33" s="12">
        <v>12</v>
      </c>
      <c r="X33" s="12">
        <v>0</v>
      </c>
      <c r="Y33" t="b">
        <v>1</v>
      </c>
      <c r="Z33" t="b">
        <v>0</v>
      </c>
    </row>
    <row r="34" spans="1:26" ht="15" customHeight="1" x14ac:dyDescent="0.3">
      <c r="A34" s="57">
        <f>COUNTIF(ROLES[StaffRoleCode],ROLES[[#This Row],[StaffRoleCode]])-1</f>
        <v>0</v>
      </c>
      <c r="B34" s="57">
        <f>COUNTIF(ROLES[Title],ROLES[[#This Row],[Title]])-1</f>
        <v>0</v>
      </c>
      <c r="C34"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34"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34"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34" s="57">
        <f>IF(COUNTIF(PAYSCALES[PayScaleCode],ROLES[[#This Row],[PayScaleCode]])&gt;0,0,1)</f>
        <v>0</v>
      </c>
      <c r="G34" s="57" cm="1">
        <f t="array" ref="G34">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34" s="57">
        <f>IF(ROLES[[#This Row],[AvailableToAllSchools]]=FALSE,IF(ISBLANK(ROLES[[#This Row],[SchoolCodes]]),1,0),IF(ROLES[[#This Row],[AvailableToAllSchools]]=TRUE,IF(ISBLANK(ROLES[[#This Row],[SchoolCodes]]),0,)))</f>
        <v>0</v>
      </c>
      <c r="I34" s="57">
        <f>IF(OR(ROLES[[#This Row],[StaffRoleEnabled]]=TRUE,ROLES[[#This Row],[StaffRoleEnabled]]=FALSE),IF(OR(ROLES[[#This Row],[AvailableToAllSchools]]=TRUE,ROLES[[#This Row],[AvailableToAllSchools]]=FALSE),0,1),1)</f>
        <v>0</v>
      </c>
      <c r="J34" s="57">
        <f>IF(LEN(ROLES[[#This Row],[StaffRoleCode]])&lt;100,0,1)</f>
        <v>0</v>
      </c>
      <c r="K34" s="57">
        <f>IF(LEN(ROLES[[#This Row],[Title]])&lt;100,0,1)</f>
        <v>0</v>
      </c>
      <c r="L34" s="57">
        <f>(COUNTBLANK(ROLES[[#This Row],[MonthsServiceBeforeIncrement]:[StaffRoleEnabled]]))+COUNTBLANK(ROLES[[#This Row],[FullTimeHoursPerWeek]])</f>
        <v>0</v>
      </c>
      <c r="M34" s="57">
        <f>IF(SUBSTITUTE(TEXT(ROLES[[#This Row],[StaffRoleCode]],10)," ","")=TEXT(ROLES[[#This Row],[StaffRoleCode]],10),0,1)</f>
        <v>0</v>
      </c>
      <c r="N34" s="57">
        <f>SUM(ROLES[[#This Row],[Duplicate Role Code]:[Space in Code]])</f>
        <v>0</v>
      </c>
      <c r="P34" s="12" t="s">
        <v>3161</v>
      </c>
      <c r="Q34" s="12" t="s">
        <v>4206</v>
      </c>
      <c r="R34" s="12" t="s">
        <v>4207</v>
      </c>
      <c r="S34" s="12" t="s">
        <v>3107</v>
      </c>
      <c r="T34" s="12">
        <v>37</v>
      </c>
      <c r="U34" s="155" t="b">
        <f>_xlfn.XLOOKUP(ROLES[[#This Row],[PayScaleCode]],PayScales!N:N,PayScales!T:T)</f>
        <v>1</v>
      </c>
      <c r="V34" s="154" t="str">
        <f>IF(ROLES[[#This Row],[AvailableToAllSchools]]=TRUE,"",_xlfn.XLOOKUP(ROLES[[#This Row],[PayScaleCode]],PayScales!N:N,PayScales!U:U))</f>
        <v/>
      </c>
      <c r="W34" s="12">
        <v>12</v>
      </c>
      <c r="X34" s="12">
        <v>0</v>
      </c>
      <c r="Y34" t="b">
        <v>1</v>
      </c>
      <c r="Z34" t="b">
        <v>0</v>
      </c>
    </row>
    <row r="35" spans="1:26" ht="15" customHeight="1" x14ac:dyDescent="0.3">
      <c r="A35" s="57">
        <f>COUNTIF(ROLES[StaffRoleCode],ROLES[[#This Row],[StaffRoleCode]])-1</f>
        <v>0</v>
      </c>
      <c r="B35" s="57">
        <f>COUNTIF(ROLES[Title],ROLES[[#This Row],[Title]])-1</f>
        <v>0</v>
      </c>
      <c r="C35"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35"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35"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35" s="57">
        <f>IF(COUNTIF(PAYSCALES[PayScaleCode],ROLES[[#This Row],[PayScaleCode]])&gt;0,0,1)</f>
        <v>0</v>
      </c>
      <c r="G35" s="57" cm="1">
        <f t="array" ref="G35">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35" s="57">
        <f>IF(ROLES[[#This Row],[AvailableToAllSchools]]=FALSE,IF(ISBLANK(ROLES[[#This Row],[SchoolCodes]]),1,0),IF(ROLES[[#This Row],[AvailableToAllSchools]]=TRUE,IF(ISBLANK(ROLES[[#This Row],[SchoolCodes]]),0,)))</f>
        <v>0</v>
      </c>
      <c r="I35" s="57">
        <f>IF(OR(ROLES[[#This Row],[StaffRoleEnabled]]=TRUE,ROLES[[#This Row],[StaffRoleEnabled]]=FALSE),IF(OR(ROLES[[#This Row],[AvailableToAllSchools]]=TRUE,ROLES[[#This Row],[AvailableToAllSchools]]=FALSE),0,1),1)</f>
        <v>0</v>
      </c>
      <c r="J35" s="57">
        <f>IF(LEN(ROLES[[#This Row],[StaffRoleCode]])&lt;100,0,1)</f>
        <v>0</v>
      </c>
      <c r="K35" s="57">
        <f>IF(LEN(ROLES[[#This Row],[Title]])&lt;100,0,1)</f>
        <v>0</v>
      </c>
      <c r="L35" s="57">
        <f>(COUNTBLANK(ROLES[[#This Row],[MonthsServiceBeforeIncrement]:[StaffRoleEnabled]]))+COUNTBLANK(ROLES[[#This Row],[FullTimeHoursPerWeek]])</f>
        <v>0</v>
      </c>
      <c r="M35" s="57">
        <f>IF(SUBSTITUTE(TEXT(ROLES[[#This Row],[StaffRoleCode]],10)," ","")=TEXT(ROLES[[#This Row],[StaffRoleCode]],10),0,1)</f>
        <v>0</v>
      </c>
      <c r="N35" s="57">
        <f>SUM(ROLES[[#This Row],[Duplicate Role Code]:[Space in Code]])</f>
        <v>0</v>
      </c>
      <c r="P35" s="12" t="s">
        <v>3161</v>
      </c>
      <c r="Q35" s="12" t="s">
        <v>4208</v>
      </c>
      <c r="R35" s="12" t="s">
        <v>4209</v>
      </c>
      <c r="S35" s="12" t="s">
        <v>3107</v>
      </c>
      <c r="T35" s="12">
        <v>37</v>
      </c>
      <c r="U35" s="155" t="b">
        <f>_xlfn.XLOOKUP(ROLES[[#This Row],[PayScaleCode]],PayScales!N:N,PayScales!T:T)</f>
        <v>1</v>
      </c>
      <c r="V35" s="154" t="str">
        <f>IF(ROLES[[#This Row],[AvailableToAllSchools]]=TRUE,"",_xlfn.XLOOKUP(ROLES[[#This Row],[PayScaleCode]],PayScales!N:N,PayScales!U:U))</f>
        <v/>
      </c>
      <c r="W35" s="12">
        <v>12</v>
      </c>
      <c r="X35" s="12">
        <v>0</v>
      </c>
      <c r="Y35" t="b">
        <v>1</v>
      </c>
      <c r="Z35" t="b">
        <v>0</v>
      </c>
    </row>
    <row r="36" spans="1:26" ht="15" customHeight="1" x14ac:dyDescent="0.3">
      <c r="A36" s="57">
        <f>COUNTIF(ROLES[StaffRoleCode],ROLES[[#This Row],[StaffRoleCode]])-1</f>
        <v>0</v>
      </c>
      <c r="B36" s="57">
        <f>COUNTIF(ROLES[Title],ROLES[[#This Row],[Title]])-1</f>
        <v>0</v>
      </c>
      <c r="C36"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36"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36"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36" s="57">
        <f>IF(COUNTIF(PAYSCALES[PayScaleCode],ROLES[[#This Row],[PayScaleCode]])&gt;0,0,1)</f>
        <v>0</v>
      </c>
      <c r="G36" s="57" cm="1">
        <f t="array" ref="G36">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36" s="57">
        <f>IF(ROLES[[#This Row],[AvailableToAllSchools]]=FALSE,IF(ISBLANK(ROLES[[#This Row],[SchoolCodes]]),1,0),IF(ROLES[[#This Row],[AvailableToAllSchools]]=TRUE,IF(ISBLANK(ROLES[[#This Row],[SchoolCodes]]),0,)))</f>
        <v>0</v>
      </c>
      <c r="I36" s="57">
        <f>IF(OR(ROLES[[#This Row],[StaffRoleEnabled]]=TRUE,ROLES[[#This Row],[StaffRoleEnabled]]=FALSE),IF(OR(ROLES[[#This Row],[AvailableToAllSchools]]=TRUE,ROLES[[#This Row],[AvailableToAllSchools]]=FALSE),0,1),1)</f>
        <v>0</v>
      </c>
      <c r="J36" s="57">
        <f>IF(LEN(ROLES[[#This Row],[StaffRoleCode]])&lt;100,0,1)</f>
        <v>0</v>
      </c>
      <c r="K36" s="57">
        <f>IF(LEN(ROLES[[#This Row],[Title]])&lt;100,0,1)</f>
        <v>0</v>
      </c>
      <c r="L36" s="57">
        <f>(COUNTBLANK(ROLES[[#This Row],[MonthsServiceBeforeIncrement]:[StaffRoleEnabled]]))+COUNTBLANK(ROLES[[#This Row],[FullTimeHoursPerWeek]])</f>
        <v>0</v>
      </c>
      <c r="M36" s="57">
        <f>IF(SUBSTITUTE(TEXT(ROLES[[#This Row],[StaffRoleCode]],10)," ","")=TEXT(ROLES[[#This Row],[StaffRoleCode]],10),0,1)</f>
        <v>0</v>
      </c>
      <c r="N36" s="57">
        <f>SUM(ROLES[[#This Row],[Duplicate Role Code]:[Space in Code]])</f>
        <v>0</v>
      </c>
      <c r="P36" s="12" t="s">
        <v>3161</v>
      </c>
      <c r="Q36" s="12" t="s">
        <v>4210</v>
      </c>
      <c r="R36" s="12" t="s">
        <v>4211</v>
      </c>
      <c r="S36" s="12" t="s">
        <v>3107</v>
      </c>
      <c r="T36" s="12">
        <v>37</v>
      </c>
      <c r="U36" s="155" t="b">
        <f>_xlfn.XLOOKUP(ROLES[[#This Row],[PayScaleCode]],PayScales!N:N,PayScales!T:T)</f>
        <v>1</v>
      </c>
      <c r="V36" s="154" t="str">
        <f>IF(ROLES[[#This Row],[AvailableToAllSchools]]=TRUE,"",_xlfn.XLOOKUP(ROLES[[#This Row],[PayScaleCode]],PayScales!N:N,PayScales!U:U))</f>
        <v/>
      </c>
      <c r="W36" s="12">
        <v>12</v>
      </c>
      <c r="X36" s="12">
        <v>0</v>
      </c>
      <c r="Y36" t="b">
        <v>1</v>
      </c>
      <c r="Z36" t="b">
        <v>0</v>
      </c>
    </row>
    <row r="37" spans="1:26" ht="15" customHeight="1" x14ac:dyDescent="0.3">
      <c r="A37" s="57">
        <f>COUNTIF(ROLES[StaffRoleCode],ROLES[[#This Row],[StaffRoleCode]])-1</f>
        <v>0</v>
      </c>
      <c r="B37" s="57">
        <f>COUNTIF(ROLES[Title],ROLES[[#This Row],[Title]])-1</f>
        <v>0</v>
      </c>
      <c r="C37"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37"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37"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37" s="57">
        <f>IF(COUNTIF(PAYSCALES[PayScaleCode],ROLES[[#This Row],[PayScaleCode]])&gt;0,0,1)</f>
        <v>0</v>
      </c>
      <c r="G37" s="57" cm="1">
        <f t="array" ref="G37">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37" s="57">
        <f>IF(ROLES[[#This Row],[AvailableToAllSchools]]=FALSE,IF(ISBLANK(ROLES[[#This Row],[SchoolCodes]]),1,0),IF(ROLES[[#This Row],[AvailableToAllSchools]]=TRUE,IF(ISBLANK(ROLES[[#This Row],[SchoolCodes]]),0,)))</f>
        <v>0</v>
      </c>
      <c r="I37" s="57">
        <f>IF(OR(ROLES[[#This Row],[StaffRoleEnabled]]=TRUE,ROLES[[#This Row],[StaffRoleEnabled]]=FALSE),IF(OR(ROLES[[#This Row],[AvailableToAllSchools]]=TRUE,ROLES[[#This Row],[AvailableToAllSchools]]=FALSE),0,1),1)</f>
        <v>0</v>
      </c>
      <c r="J37" s="57">
        <f>IF(LEN(ROLES[[#This Row],[StaffRoleCode]])&lt;100,0,1)</f>
        <v>0</v>
      </c>
      <c r="K37" s="57">
        <f>IF(LEN(ROLES[[#This Row],[Title]])&lt;100,0,1)</f>
        <v>0</v>
      </c>
      <c r="L37" s="57">
        <f>(COUNTBLANK(ROLES[[#This Row],[MonthsServiceBeforeIncrement]:[StaffRoleEnabled]]))+COUNTBLANK(ROLES[[#This Row],[FullTimeHoursPerWeek]])</f>
        <v>0</v>
      </c>
      <c r="M37" s="57">
        <f>IF(SUBSTITUTE(TEXT(ROLES[[#This Row],[StaffRoleCode]],10)," ","")=TEXT(ROLES[[#This Row],[StaffRoleCode]],10),0,1)</f>
        <v>0</v>
      </c>
      <c r="N37" s="57">
        <f>SUM(ROLES[[#This Row],[Duplicate Role Code]:[Space in Code]])</f>
        <v>0</v>
      </c>
      <c r="P37" s="12" t="s">
        <v>1550</v>
      </c>
      <c r="Q37" s="12" t="s">
        <v>4212</v>
      </c>
      <c r="R37" s="12" t="s">
        <v>4213</v>
      </c>
      <c r="S37" s="12" t="s">
        <v>3107</v>
      </c>
      <c r="T37" s="12">
        <v>37</v>
      </c>
      <c r="U37" s="155" t="b">
        <f>_xlfn.XLOOKUP(ROLES[[#This Row],[PayScaleCode]],PayScales!N:N,PayScales!T:T)</f>
        <v>1</v>
      </c>
      <c r="V37" s="154" t="str">
        <f>IF(ROLES[[#This Row],[AvailableToAllSchools]]=TRUE,"",_xlfn.XLOOKUP(ROLES[[#This Row],[PayScaleCode]],PayScales!N:N,PayScales!U:U))</f>
        <v/>
      </c>
      <c r="W37" s="12">
        <v>12</v>
      </c>
      <c r="X37" s="12">
        <v>0</v>
      </c>
      <c r="Y37" t="b">
        <v>1</v>
      </c>
      <c r="Z37" t="b">
        <v>0</v>
      </c>
    </row>
    <row r="38" spans="1:26" ht="15" customHeight="1" x14ac:dyDescent="0.3">
      <c r="A38" s="57">
        <f>COUNTIF(ROLES[StaffRoleCode],ROLES[[#This Row],[StaffRoleCode]])-1</f>
        <v>0</v>
      </c>
      <c r="B38" s="57">
        <f>COUNTIF(ROLES[Title],ROLES[[#This Row],[Title]])-1</f>
        <v>0</v>
      </c>
      <c r="C38"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38"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38"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38" s="57">
        <f>IF(COUNTIF(PAYSCALES[PayScaleCode],ROLES[[#This Row],[PayScaleCode]])&gt;0,0,1)</f>
        <v>0</v>
      </c>
      <c r="G38" s="57" cm="1">
        <f t="array" ref="G38">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38" s="57">
        <f>IF(ROLES[[#This Row],[AvailableToAllSchools]]=FALSE,IF(ISBLANK(ROLES[[#This Row],[SchoolCodes]]),1,0),IF(ROLES[[#This Row],[AvailableToAllSchools]]=TRUE,IF(ISBLANK(ROLES[[#This Row],[SchoolCodes]]),0,)))</f>
        <v>0</v>
      </c>
      <c r="I38" s="57">
        <f>IF(OR(ROLES[[#This Row],[StaffRoleEnabled]]=TRUE,ROLES[[#This Row],[StaffRoleEnabled]]=FALSE),IF(OR(ROLES[[#This Row],[AvailableToAllSchools]]=TRUE,ROLES[[#This Row],[AvailableToAllSchools]]=FALSE),0,1),1)</f>
        <v>0</v>
      </c>
      <c r="J38" s="57">
        <f>IF(LEN(ROLES[[#This Row],[StaffRoleCode]])&lt;100,0,1)</f>
        <v>0</v>
      </c>
      <c r="K38" s="57">
        <f>IF(LEN(ROLES[[#This Row],[Title]])&lt;100,0,1)</f>
        <v>0</v>
      </c>
      <c r="L38" s="57">
        <f>(COUNTBLANK(ROLES[[#This Row],[MonthsServiceBeforeIncrement]:[StaffRoleEnabled]]))+COUNTBLANK(ROLES[[#This Row],[FullTimeHoursPerWeek]])</f>
        <v>0</v>
      </c>
      <c r="M38" s="57">
        <f>IF(SUBSTITUTE(TEXT(ROLES[[#This Row],[StaffRoleCode]],10)," ","")=TEXT(ROLES[[#This Row],[StaffRoleCode]],10),0,1)</f>
        <v>0</v>
      </c>
      <c r="N38" s="57">
        <f>SUM(ROLES[[#This Row],[Duplicate Role Code]:[Space in Code]])</f>
        <v>0</v>
      </c>
      <c r="P38" s="12" t="s">
        <v>1186</v>
      </c>
      <c r="Q38" s="12" t="s">
        <v>1617</v>
      </c>
      <c r="R38" s="12" t="s">
        <v>1562</v>
      </c>
      <c r="S38" s="12" t="s">
        <v>3107</v>
      </c>
      <c r="T38" s="12">
        <v>37</v>
      </c>
      <c r="U38" s="155" t="b">
        <f>_xlfn.XLOOKUP(ROLES[[#This Row],[PayScaleCode]],PayScales!N:N,PayScales!T:T)</f>
        <v>1</v>
      </c>
      <c r="V38" s="154" t="str">
        <f>IF(ROLES[[#This Row],[AvailableToAllSchools]]=TRUE,"",_xlfn.XLOOKUP(ROLES[[#This Row],[PayScaleCode]],PayScales!N:N,PayScales!U:U))</f>
        <v/>
      </c>
      <c r="W38" s="12">
        <v>12</v>
      </c>
      <c r="X38" s="12">
        <v>0</v>
      </c>
      <c r="Y38" t="b">
        <v>1</v>
      </c>
      <c r="Z38" t="b">
        <v>0</v>
      </c>
    </row>
    <row r="39" spans="1:26" ht="15" customHeight="1" x14ac:dyDescent="0.3">
      <c r="A39" s="57">
        <f>COUNTIF(ROLES[StaffRoleCode],ROLES[[#This Row],[StaffRoleCode]])-1</f>
        <v>0</v>
      </c>
      <c r="B39" s="57">
        <f>COUNTIF(ROLES[Title],ROLES[[#This Row],[Title]])-1</f>
        <v>0</v>
      </c>
      <c r="C39"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39"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39"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39" s="57">
        <f>IF(COUNTIF(PAYSCALES[PayScaleCode],ROLES[[#This Row],[PayScaleCode]])&gt;0,0,1)</f>
        <v>0</v>
      </c>
      <c r="G39" s="57" cm="1">
        <f t="array" ref="G39">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39" s="57">
        <f>IF(ROLES[[#This Row],[AvailableToAllSchools]]=FALSE,IF(ISBLANK(ROLES[[#This Row],[SchoolCodes]]),1,0),IF(ROLES[[#This Row],[AvailableToAllSchools]]=TRUE,IF(ISBLANK(ROLES[[#This Row],[SchoolCodes]]),0,)))</f>
        <v>0</v>
      </c>
      <c r="I39" s="57">
        <f>IF(OR(ROLES[[#This Row],[StaffRoleEnabled]]=TRUE,ROLES[[#This Row],[StaffRoleEnabled]]=FALSE),IF(OR(ROLES[[#This Row],[AvailableToAllSchools]]=TRUE,ROLES[[#This Row],[AvailableToAllSchools]]=FALSE),0,1),1)</f>
        <v>0</v>
      </c>
      <c r="J39" s="57">
        <f>IF(LEN(ROLES[[#This Row],[StaffRoleCode]])&lt;100,0,1)</f>
        <v>0</v>
      </c>
      <c r="K39" s="57">
        <f>IF(LEN(ROLES[[#This Row],[Title]])&lt;100,0,1)</f>
        <v>0</v>
      </c>
      <c r="L39" s="57">
        <f>(COUNTBLANK(ROLES[[#This Row],[MonthsServiceBeforeIncrement]:[StaffRoleEnabled]]))+COUNTBLANK(ROLES[[#This Row],[FullTimeHoursPerWeek]])</f>
        <v>0</v>
      </c>
      <c r="M39" s="57">
        <f>IF(SUBSTITUTE(TEXT(ROLES[[#This Row],[StaffRoleCode]],10)," ","")=TEXT(ROLES[[#This Row],[StaffRoleCode]],10),0,1)</f>
        <v>0</v>
      </c>
      <c r="N39" s="57">
        <f>SUM(ROLES[[#This Row],[Duplicate Role Code]:[Space in Code]])</f>
        <v>0</v>
      </c>
      <c r="P39" s="12" t="s">
        <v>1186</v>
      </c>
      <c r="Q39" s="12" t="s">
        <v>4214</v>
      </c>
      <c r="R39" s="12" t="s">
        <v>4215</v>
      </c>
      <c r="S39" s="12" t="s">
        <v>3107</v>
      </c>
      <c r="T39" s="12">
        <v>37</v>
      </c>
      <c r="U39" s="155" t="b">
        <f>_xlfn.XLOOKUP(ROLES[[#This Row],[PayScaleCode]],PayScales!N:N,PayScales!T:T)</f>
        <v>1</v>
      </c>
      <c r="V39" s="154" t="str">
        <f>IF(ROLES[[#This Row],[AvailableToAllSchools]]=TRUE,"",_xlfn.XLOOKUP(ROLES[[#This Row],[PayScaleCode]],PayScales!N:N,PayScales!U:U))</f>
        <v/>
      </c>
      <c r="W39" s="12">
        <v>12</v>
      </c>
      <c r="X39" s="12">
        <v>0</v>
      </c>
      <c r="Y39" t="b">
        <v>1</v>
      </c>
      <c r="Z39" t="b">
        <v>0</v>
      </c>
    </row>
    <row r="40" spans="1:26" ht="15" customHeight="1" x14ac:dyDescent="0.3">
      <c r="A40" s="57">
        <f>COUNTIF(ROLES[StaffRoleCode],ROLES[[#This Row],[StaffRoleCode]])-1</f>
        <v>0</v>
      </c>
      <c r="B40" s="57">
        <f>COUNTIF(ROLES[Title],ROLES[[#This Row],[Title]])-1</f>
        <v>0</v>
      </c>
      <c r="C40"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40"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40"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40" s="57">
        <f>IF(COUNTIF(PAYSCALES[PayScaleCode],ROLES[[#This Row],[PayScaleCode]])&gt;0,0,1)</f>
        <v>0</v>
      </c>
      <c r="G40" s="57" cm="1">
        <f t="array" ref="G40">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40" s="57">
        <f>IF(ROLES[[#This Row],[AvailableToAllSchools]]=FALSE,IF(ISBLANK(ROLES[[#This Row],[SchoolCodes]]),1,0),IF(ROLES[[#This Row],[AvailableToAllSchools]]=TRUE,IF(ISBLANK(ROLES[[#This Row],[SchoolCodes]]),0,)))</f>
        <v>0</v>
      </c>
      <c r="I40" s="57">
        <f>IF(OR(ROLES[[#This Row],[StaffRoleEnabled]]=TRUE,ROLES[[#This Row],[StaffRoleEnabled]]=FALSE),IF(OR(ROLES[[#This Row],[AvailableToAllSchools]]=TRUE,ROLES[[#This Row],[AvailableToAllSchools]]=FALSE),0,1),1)</f>
        <v>0</v>
      </c>
      <c r="J40" s="57">
        <f>IF(LEN(ROLES[[#This Row],[StaffRoleCode]])&lt;100,0,1)</f>
        <v>0</v>
      </c>
      <c r="K40" s="57">
        <f>IF(LEN(ROLES[[#This Row],[Title]])&lt;100,0,1)</f>
        <v>0</v>
      </c>
      <c r="L40" s="57">
        <f>(COUNTBLANK(ROLES[[#This Row],[MonthsServiceBeforeIncrement]:[StaffRoleEnabled]]))+COUNTBLANK(ROLES[[#This Row],[FullTimeHoursPerWeek]])</f>
        <v>0</v>
      </c>
      <c r="M40" s="57">
        <f>IF(SUBSTITUTE(TEXT(ROLES[[#This Row],[StaffRoleCode]],10)," ","")=TEXT(ROLES[[#This Row],[StaffRoleCode]],10),0,1)</f>
        <v>0</v>
      </c>
      <c r="N40" s="57">
        <f>SUM(ROLES[[#This Row],[Duplicate Role Code]:[Space in Code]])</f>
        <v>0</v>
      </c>
      <c r="P40" s="12" t="s">
        <v>1186</v>
      </c>
      <c r="Q40" s="12" t="s">
        <v>4216</v>
      </c>
      <c r="R40" s="12" t="s">
        <v>4217</v>
      </c>
      <c r="S40" s="12" t="s">
        <v>3107</v>
      </c>
      <c r="T40" s="12">
        <v>37</v>
      </c>
      <c r="U40" s="155" t="b">
        <f>_xlfn.XLOOKUP(ROLES[[#This Row],[PayScaleCode]],PayScales!N:N,PayScales!T:T)</f>
        <v>1</v>
      </c>
      <c r="V40" s="154" t="str">
        <f>IF(ROLES[[#This Row],[AvailableToAllSchools]]=TRUE,"",_xlfn.XLOOKUP(ROLES[[#This Row],[PayScaleCode]],PayScales!N:N,PayScales!U:U))</f>
        <v/>
      </c>
      <c r="W40" s="12">
        <v>12</v>
      </c>
      <c r="X40" s="12">
        <v>0</v>
      </c>
      <c r="Y40" t="b">
        <v>1</v>
      </c>
      <c r="Z40" t="b">
        <v>0</v>
      </c>
    </row>
    <row r="41" spans="1:26" ht="15" customHeight="1" x14ac:dyDescent="0.3">
      <c r="A41" s="57">
        <f>COUNTIF(ROLES[StaffRoleCode],ROLES[[#This Row],[StaffRoleCode]])-1</f>
        <v>0</v>
      </c>
      <c r="B41" s="57">
        <f>COUNTIF(ROLES[Title],ROLES[[#This Row],[Title]])-1</f>
        <v>0</v>
      </c>
      <c r="C41"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41"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41"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41" s="57">
        <f>IF(COUNTIF(PAYSCALES[PayScaleCode],ROLES[[#This Row],[PayScaleCode]])&gt;0,0,1)</f>
        <v>0</v>
      </c>
      <c r="G41" s="57" cm="1">
        <f t="array" ref="G41">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41" s="57">
        <f>IF(ROLES[[#This Row],[AvailableToAllSchools]]=FALSE,IF(ISBLANK(ROLES[[#This Row],[SchoolCodes]]),1,0),IF(ROLES[[#This Row],[AvailableToAllSchools]]=TRUE,IF(ISBLANK(ROLES[[#This Row],[SchoolCodes]]),0,)))</f>
        <v>0</v>
      </c>
      <c r="I41" s="57">
        <f>IF(OR(ROLES[[#This Row],[StaffRoleEnabled]]=TRUE,ROLES[[#This Row],[StaffRoleEnabled]]=FALSE),IF(OR(ROLES[[#This Row],[AvailableToAllSchools]]=TRUE,ROLES[[#This Row],[AvailableToAllSchools]]=FALSE),0,1),1)</f>
        <v>0</v>
      </c>
      <c r="J41" s="57">
        <f>IF(LEN(ROLES[[#This Row],[StaffRoleCode]])&lt;100,0,1)</f>
        <v>0</v>
      </c>
      <c r="K41" s="57">
        <f>IF(LEN(ROLES[[#This Row],[Title]])&lt;100,0,1)</f>
        <v>0</v>
      </c>
      <c r="L41" s="57">
        <f>(COUNTBLANK(ROLES[[#This Row],[MonthsServiceBeforeIncrement]:[StaffRoleEnabled]]))+COUNTBLANK(ROLES[[#This Row],[FullTimeHoursPerWeek]])</f>
        <v>0</v>
      </c>
      <c r="M41" s="57">
        <f>IF(SUBSTITUTE(TEXT(ROLES[[#This Row],[StaffRoleCode]],10)," ","")=TEXT(ROLES[[#This Row],[StaffRoleCode]],10),0,1)</f>
        <v>0</v>
      </c>
      <c r="N41" s="57">
        <f>SUM(ROLES[[#This Row],[Duplicate Role Code]:[Space in Code]])</f>
        <v>0</v>
      </c>
      <c r="P41" s="12" t="s">
        <v>1186</v>
      </c>
      <c r="Q41" s="12" t="s">
        <v>1186</v>
      </c>
      <c r="R41" s="12" t="s">
        <v>4218</v>
      </c>
      <c r="S41" s="12" t="s">
        <v>3107</v>
      </c>
      <c r="T41" s="12">
        <v>37</v>
      </c>
      <c r="U41" s="155" t="b">
        <f>_xlfn.XLOOKUP(ROLES[[#This Row],[PayScaleCode]],PayScales!N:N,PayScales!T:T)</f>
        <v>1</v>
      </c>
      <c r="V41" s="154" t="str">
        <f>IF(ROLES[[#This Row],[AvailableToAllSchools]]=TRUE,"",_xlfn.XLOOKUP(ROLES[[#This Row],[PayScaleCode]],PayScales!N:N,PayScales!U:U))</f>
        <v/>
      </c>
      <c r="W41" s="12">
        <v>12</v>
      </c>
      <c r="X41" s="12">
        <v>0</v>
      </c>
      <c r="Y41" t="b">
        <v>1</v>
      </c>
      <c r="Z41" t="b">
        <v>0</v>
      </c>
    </row>
    <row r="42" spans="1:26" ht="15" customHeight="1" x14ac:dyDescent="0.3">
      <c r="A42" s="57">
        <f>COUNTIF(ROLES[StaffRoleCode],ROLES[[#This Row],[StaffRoleCode]])-1</f>
        <v>0</v>
      </c>
      <c r="B42" s="57">
        <f>COUNTIF(ROLES[Title],ROLES[[#This Row],[Title]])-1</f>
        <v>0</v>
      </c>
      <c r="C42"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42"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42"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42" s="57">
        <f>IF(COUNTIF(PAYSCALES[PayScaleCode],ROLES[[#This Row],[PayScaleCode]])&gt;0,0,1)</f>
        <v>0</v>
      </c>
      <c r="G42" s="57" cm="1">
        <f t="array" ref="G42">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42" s="57">
        <f>IF(ROLES[[#This Row],[AvailableToAllSchools]]=FALSE,IF(ISBLANK(ROLES[[#This Row],[SchoolCodes]]),1,0),IF(ROLES[[#This Row],[AvailableToAllSchools]]=TRUE,IF(ISBLANK(ROLES[[#This Row],[SchoolCodes]]),0,)))</f>
        <v>0</v>
      </c>
      <c r="I42" s="57">
        <f>IF(OR(ROLES[[#This Row],[StaffRoleEnabled]]=TRUE,ROLES[[#This Row],[StaffRoleEnabled]]=FALSE),IF(OR(ROLES[[#This Row],[AvailableToAllSchools]]=TRUE,ROLES[[#This Row],[AvailableToAllSchools]]=FALSE),0,1),1)</f>
        <v>0</v>
      </c>
      <c r="J42" s="57">
        <f>IF(LEN(ROLES[[#This Row],[StaffRoleCode]])&lt;100,0,1)</f>
        <v>0</v>
      </c>
      <c r="K42" s="57">
        <f>IF(LEN(ROLES[[#This Row],[Title]])&lt;100,0,1)</f>
        <v>0</v>
      </c>
      <c r="L42" s="57">
        <f>(COUNTBLANK(ROLES[[#This Row],[MonthsServiceBeforeIncrement]:[StaffRoleEnabled]]))+COUNTBLANK(ROLES[[#This Row],[FullTimeHoursPerWeek]])</f>
        <v>0</v>
      </c>
      <c r="M42" s="57">
        <f>IF(SUBSTITUTE(TEXT(ROLES[[#This Row],[StaffRoleCode]],10)," ","")=TEXT(ROLES[[#This Row],[StaffRoleCode]],10),0,1)</f>
        <v>0</v>
      </c>
      <c r="N42" s="57">
        <f>SUM(ROLES[[#This Row],[Duplicate Role Code]:[Space in Code]])</f>
        <v>0</v>
      </c>
      <c r="P42" s="12" t="s">
        <v>1186</v>
      </c>
      <c r="Q42" s="12" t="s">
        <v>4219</v>
      </c>
      <c r="R42" s="12" t="s">
        <v>4220</v>
      </c>
      <c r="S42" s="12" t="s">
        <v>3107</v>
      </c>
      <c r="T42" s="12">
        <v>37</v>
      </c>
      <c r="U42" s="155" t="b">
        <f>_xlfn.XLOOKUP(ROLES[[#This Row],[PayScaleCode]],PayScales!N:N,PayScales!T:T)</f>
        <v>1</v>
      </c>
      <c r="V42" s="154" t="str">
        <f>IF(ROLES[[#This Row],[AvailableToAllSchools]]=TRUE,"",_xlfn.XLOOKUP(ROLES[[#This Row],[PayScaleCode]],PayScales!N:N,PayScales!U:U))</f>
        <v/>
      </c>
      <c r="W42" s="12">
        <v>12</v>
      </c>
      <c r="X42" s="12">
        <v>0</v>
      </c>
      <c r="Y42" t="b">
        <v>1</v>
      </c>
      <c r="Z42" t="b">
        <v>0</v>
      </c>
    </row>
    <row r="43" spans="1:26" ht="15" customHeight="1" x14ac:dyDescent="0.3">
      <c r="A43" s="57">
        <f>COUNTIF(ROLES[StaffRoleCode],ROLES[[#This Row],[StaffRoleCode]])-1</f>
        <v>0</v>
      </c>
      <c r="B43" s="57">
        <f>COUNTIF(ROLES[Title],ROLES[[#This Row],[Title]])-1</f>
        <v>0</v>
      </c>
      <c r="C43"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43"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43"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43" s="57">
        <f>IF(COUNTIF(PAYSCALES[PayScaleCode],ROLES[[#This Row],[PayScaleCode]])&gt;0,0,1)</f>
        <v>0</v>
      </c>
      <c r="G43" s="57" cm="1">
        <f t="array" ref="G43">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43" s="57">
        <f>IF(ROLES[[#This Row],[AvailableToAllSchools]]=FALSE,IF(ISBLANK(ROLES[[#This Row],[SchoolCodes]]),1,0),IF(ROLES[[#This Row],[AvailableToAllSchools]]=TRUE,IF(ISBLANK(ROLES[[#This Row],[SchoolCodes]]),0,)))</f>
        <v>0</v>
      </c>
      <c r="I43" s="57">
        <f>IF(OR(ROLES[[#This Row],[StaffRoleEnabled]]=TRUE,ROLES[[#This Row],[StaffRoleEnabled]]=FALSE),IF(OR(ROLES[[#This Row],[AvailableToAllSchools]]=TRUE,ROLES[[#This Row],[AvailableToAllSchools]]=FALSE),0,1),1)</f>
        <v>0</v>
      </c>
      <c r="J43" s="57">
        <f>IF(LEN(ROLES[[#This Row],[StaffRoleCode]])&lt;100,0,1)</f>
        <v>0</v>
      </c>
      <c r="K43" s="57">
        <f>IF(LEN(ROLES[[#This Row],[Title]])&lt;100,0,1)</f>
        <v>0</v>
      </c>
      <c r="L43" s="57">
        <f>(COUNTBLANK(ROLES[[#This Row],[MonthsServiceBeforeIncrement]:[StaffRoleEnabled]]))+COUNTBLANK(ROLES[[#This Row],[FullTimeHoursPerWeek]])</f>
        <v>0</v>
      </c>
      <c r="M43" s="57">
        <f>IF(SUBSTITUTE(TEXT(ROLES[[#This Row],[StaffRoleCode]],10)," ","")=TEXT(ROLES[[#This Row],[StaffRoleCode]],10),0,1)</f>
        <v>0</v>
      </c>
      <c r="N43" s="57">
        <f>SUM(ROLES[[#This Row],[Duplicate Role Code]:[Space in Code]])</f>
        <v>0</v>
      </c>
      <c r="P43" s="12" t="s">
        <v>1186</v>
      </c>
      <c r="Q43" s="12" t="s">
        <v>4221</v>
      </c>
      <c r="R43" s="12" t="s">
        <v>4222</v>
      </c>
      <c r="S43" s="12" t="s">
        <v>3107</v>
      </c>
      <c r="T43" s="12">
        <v>37</v>
      </c>
      <c r="U43" s="155" t="b">
        <f>_xlfn.XLOOKUP(ROLES[[#This Row],[PayScaleCode]],PayScales!N:N,PayScales!T:T)</f>
        <v>1</v>
      </c>
      <c r="V43" s="154" t="str">
        <f>IF(ROLES[[#This Row],[AvailableToAllSchools]]=TRUE,"",_xlfn.XLOOKUP(ROLES[[#This Row],[PayScaleCode]],PayScales!N:N,PayScales!U:U))</f>
        <v/>
      </c>
      <c r="W43" s="12">
        <v>12</v>
      </c>
      <c r="X43" s="12">
        <v>0</v>
      </c>
      <c r="Y43" t="b">
        <v>1</v>
      </c>
      <c r="Z43" t="b">
        <v>0</v>
      </c>
    </row>
    <row r="44" spans="1:26" ht="15" customHeight="1" x14ac:dyDescent="0.3">
      <c r="A44" s="57">
        <f>COUNTIF(ROLES[StaffRoleCode],ROLES[[#This Row],[StaffRoleCode]])-1</f>
        <v>0</v>
      </c>
      <c r="B44" s="57">
        <f>COUNTIF(ROLES[Title],ROLES[[#This Row],[Title]])-1</f>
        <v>0</v>
      </c>
      <c r="C44"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44"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44"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44" s="57">
        <f>IF(COUNTIF(PAYSCALES[PayScaleCode],ROLES[[#This Row],[PayScaleCode]])&gt;0,0,1)</f>
        <v>0</v>
      </c>
      <c r="G44" s="57" cm="1">
        <f t="array" ref="G44">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44" s="57">
        <f>IF(ROLES[[#This Row],[AvailableToAllSchools]]=FALSE,IF(ISBLANK(ROLES[[#This Row],[SchoolCodes]]),1,0),IF(ROLES[[#This Row],[AvailableToAllSchools]]=TRUE,IF(ISBLANK(ROLES[[#This Row],[SchoolCodes]]),0,)))</f>
        <v>0</v>
      </c>
      <c r="I44" s="57">
        <f>IF(OR(ROLES[[#This Row],[StaffRoleEnabled]]=TRUE,ROLES[[#This Row],[StaffRoleEnabled]]=FALSE),IF(OR(ROLES[[#This Row],[AvailableToAllSchools]]=TRUE,ROLES[[#This Row],[AvailableToAllSchools]]=FALSE),0,1),1)</f>
        <v>0</v>
      </c>
      <c r="J44" s="57">
        <f>IF(LEN(ROLES[[#This Row],[StaffRoleCode]])&lt;100,0,1)</f>
        <v>0</v>
      </c>
      <c r="K44" s="57">
        <f>IF(LEN(ROLES[[#This Row],[Title]])&lt;100,0,1)</f>
        <v>0</v>
      </c>
      <c r="L44" s="57">
        <f>(COUNTBLANK(ROLES[[#This Row],[MonthsServiceBeforeIncrement]:[StaffRoleEnabled]]))+COUNTBLANK(ROLES[[#This Row],[FullTimeHoursPerWeek]])</f>
        <v>0</v>
      </c>
      <c r="M44" s="57">
        <f>IF(SUBSTITUTE(TEXT(ROLES[[#This Row],[StaffRoleCode]],10)," ","")=TEXT(ROLES[[#This Row],[StaffRoleCode]],10),0,1)</f>
        <v>0</v>
      </c>
      <c r="N44" s="57">
        <f>SUM(ROLES[[#This Row],[Duplicate Role Code]:[Space in Code]])</f>
        <v>0</v>
      </c>
      <c r="P44" s="12" t="s">
        <v>1186</v>
      </c>
      <c r="Q44" s="12" t="s">
        <v>4223</v>
      </c>
      <c r="R44" s="12" t="s">
        <v>4224</v>
      </c>
      <c r="S44" s="12" t="s">
        <v>3107</v>
      </c>
      <c r="T44" s="12">
        <v>37</v>
      </c>
      <c r="U44" s="155" t="b">
        <f>_xlfn.XLOOKUP(ROLES[[#This Row],[PayScaleCode]],PayScales!N:N,PayScales!T:T)</f>
        <v>1</v>
      </c>
      <c r="V44" s="154" t="str">
        <f>IF(ROLES[[#This Row],[AvailableToAllSchools]]=TRUE,"",_xlfn.XLOOKUP(ROLES[[#This Row],[PayScaleCode]],PayScales!N:N,PayScales!U:U))</f>
        <v/>
      </c>
      <c r="W44" s="12">
        <v>12</v>
      </c>
      <c r="X44" s="12">
        <v>0</v>
      </c>
      <c r="Y44" t="b">
        <v>1</v>
      </c>
      <c r="Z44" t="b">
        <v>0</v>
      </c>
    </row>
    <row r="45" spans="1:26" ht="15" customHeight="1" x14ac:dyDescent="0.3">
      <c r="A45" s="57">
        <f>COUNTIF(ROLES[StaffRoleCode],ROLES[[#This Row],[StaffRoleCode]])-1</f>
        <v>0</v>
      </c>
      <c r="B45" s="57">
        <f>COUNTIF(ROLES[Title],ROLES[[#This Row],[Title]])-1</f>
        <v>0</v>
      </c>
      <c r="C45"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45"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45"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45" s="57">
        <f>IF(COUNTIF(PAYSCALES[PayScaleCode],ROLES[[#This Row],[PayScaleCode]])&gt;0,0,1)</f>
        <v>0</v>
      </c>
      <c r="G45" s="57" cm="1">
        <f t="array" ref="G45">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45" s="57">
        <f>IF(ROLES[[#This Row],[AvailableToAllSchools]]=FALSE,IF(ISBLANK(ROLES[[#This Row],[SchoolCodes]]),1,0),IF(ROLES[[#This Row],[AvailableToAllSchools]]=TRUE,IF(ISBLANK(ROLES[[#This Row],[SchoolCodes]]),0,)))</f>
        <v>0</v>
      </c>
      <c r="I45" s="57">
        <f>IF(OR(ROLES[[#This Row],[StaffRoleEnabled]]=TRUE,ROLES[[#This Row],[StaffRoleEnabled]]=FALSE),IF(OR(ROLES[[#This Row],[AvailableToAllSchools]]=TRUE,ROLES[[#This Row],[AvailableToAllSchools]]=FALSE),0,1),1)</f>
        <v>0</v>
      </c>
      <c r="J45" s="57">
        <f>IF(LEN(ROLES[[#This Row],[StaffRoleCode]])&lt;100,0,1)</f>
        <v>0</v>
      </c>
      <c r="K45" s="57">
        <f>IF(LEN(ROLES[[#This Row],[Title]])&lt;100,0,1)</f>
        <v>0</v>
      </c>
      <c r="L45" s="57">
        <f>(COUNTBLANK(ROLES[[#This Row],[MonthsServiceBeforeIncrement]:[StaffRoleEnabled]]))+COUNTBLANK(ROLES[[#This Row],[FullTimeHoursPerWeek]])</f>
        <v>0</v>
      </c>
      <c r="M45" s="57">
        <f>IF(SUBSTITUTE(TEXT(ROLES[[#This Row],[StaffRoleCode]],10)," ","")=TEXT(ROLES[[#This Row],[StaffRoleCode]],10),0,1)</f>
        <v>0</v>
      </c>
      <c r="N45" s="57">
        <f>SUM(ROLES[[#This Row],[Duplicate Role Code]:[Space in Code]])</f>
        <v>0</v>
      </c>
      <c r="P45" s="12" t="s">
        <v>1186</v>
      </c>
      <c r="Q45" s="12" t="s">
        <v>4225</v>
      </c>
      <c r="R45" s="12" t="s">
        <v>4226</v>
      </c>
      <c r="S45" s="12" t="s">
        <v>3107</v>
      </c>
      <c r="T45" s="12">
        <v>37</v>
      </c>
      <c r="U45" s="155" t="b">
        <f>_xlfn.XLOOKUP(ROLES[[#This Row],[PayScaleCode]],PayScales!N:N,PayScales!T:T)</f>
        <v>1</v>
      </c>
      <c r="V45" s="154" t="str">
        <f>IF(ROLES[[#This Row],[AvailableToAllSchools]]=TRUE,"",_xlfn.XLOOKUP(ROLES[[#This Row],[PayScaleCode]],PayScales!N:N,PayScales!U:U))</f>
        <v/>
      </c>
      <c r="W45" s="12">
        <v>12</v>
      </c>
      <c r="X45" s="12">
        <v>0</v>
      </c>
      <c r="Y45" t="b">
        <v>1</v>
      </c>
      <c r="Z45" t="b">
        <v>1</v>
      </c>
    </row>
    <row r="46" spans="1:26" ht="15" customHeight="1" x14ac:dyDescent="0.3">
      <c r="A46" s="57">
        <f>COUNTIF(ROLES[StaffRoleCode],ROLES[[#This Row],[StaffRoleCode]])-1</f>
        <v>0</v>
      </c>
      <c r="B46" s="57">
        <f>COUNTIF(ROLES[Title],ROLES[[#This Row],[Title]])-1</f>
        <v>0</v>
      </c>
      <c r="C46"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46"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46"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46" s="57">
        <f>IF(COUNTIF(PAYSCALES[PayScaleCode],ROLES[[#This Row],[PayScaleCode]])&gt;0,0,1)</f>
        <v>0</v>
      </c>
      <c r="G46" s="57" cm="1">
        <f t="array" ref="G46">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46" s="57">
        <f>IF(ROLES[[#This Row],[AvailableToAllSchools]]=FALSE,IF(ISBLANK(ROLES[[#This Row],[SchoolCodes]]),1,0),IF(ROLES[[#This Row],[AvailableToAllSchools]]=TRUE,IF(ISBLANK(ROLES[[#This Row],[SchoolCodes]]),0,)))</f>
        <v>0</v>
      </c>
      <c r="I46" s="57">
        <f>IF(OR(ROLES[[#This Row],[StaffRoleEnabled]]=TRUE,ROLES[[#This Row],[StaffRoleEnabled]]=FALSE),IF(OR(ROLES[[#This Row],[AvailableToAllSchools]]=TRUE,ROLES[[#This Row],[AvailableToAllSchools]]=FALSE),0,1),1)</f>
        <v>0</v>
      </c>
      <c r="J46" s="57">
        <f>IF(LEN(ROLES[[#This Row],[StaffRoleCode]])&lt;100,0,1)</f>
        <v>0</v>
      </c>
      <c r="K46" s="57">
        <f>IF(LEN(ROLES[[#This Row],[Title]])&lt;100,0,1)</f>
        <v>0</v>
      </c>
      <c r="L46" s="57">
        <f>(COUNTBLANK(ROLES[[#This Row],[MonthsServiceBeforeIncrement]:[StaffRoleEnabled]]))+COUNTBLANK(ROLES[[#This Row],[FullTimeHoursPerWeek]])</f>
        <v>0</v>
      </c>
      <c r="M46" s="57">
        <f>IF(SUBSTITUTE(TEXT(ROLES[[#This Row],[StaffRoleCode]],10)," ","")=TEXT(ROLES[[#This Row],[StaffRoleCode]],10),0,1)</f>
        <v>0</v>
      </c>
      <c r="N46" s="57">
        <f>SUM(ROLES[[#This Row],[Duplicate Role Code]:[Space in Code]])</f>
        <v>0</v>
      </c>
      <c r="P46" s="12" t="s">
        <v>1186</v>
      </c>
      <c r="Q46" s="12" t="s">
        <v>4227</v>
      </c>
      <c r="R46" s="12" t="s">
        <v>4228</v>
      </c>
      <c r="S46" s="12" t="s">
        <v>3107</v>
      </c>
      <c r="T46" s="12">
        <v>37</v>
      </c>
      <c r="U46" s="155" t="b">
        <f>_xlfn.XLOOKUP(ROLES[[#This Row],[PayScaleCode]],PayScales!N:N,PayScales!T:T)</f>
        <v>1</v>
      </c>
      <c r="V46" s="154" t="str">
        <f>IF(ROLES[[#This Row],[AvailableToAllSchools]]=TRUE,"",_xlfn.XLOOKUP(ROLES[[#This Row],[PayScaleCode]],PayScales!N:N,PayScales!U:U))</f>
        <v/>
      </c>
      <c r="W46" s="12">
        <v>12</v>
      </c>
      <c r="X46" s="12">
        <v>0</v>
      </c>
      <c r="Y46" t="b">
        <v>1</v>
      </c>
      <c r="Z46" t="b">
        <v>1</v>
      </c>
    </row>
    <row r="47" spans="1:26" ht="15" customHeight="1" x14ac:dyDescent="0.3">
      <c r="A47" s="57">
        <f>COUNTIF(ROLES[StaffRoleCode],ROLES[[#This Row],[StaffRoleCode]])-1</f>
        <v>0</v>
      </c>
      <c r="B47" s="57">
        <f>COUNTIF(ROLES[Title],ROLES[[#This Row],[Title]])-1</f>
        <v>0</v>
      </c>
      <c r="C47"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47"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47"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47" s="57">
        <f>IF(COUNTIF(PAYSCALES[PayScaleCode],ROLES[[#This Row],[PayScaleCode]])&gt;0,0,1)</f>
        <v>0</v>
      </c>
      <c r="G47" s="57" cm="1">
        <f t="array" ref="G47">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47" s="57">
        <f>IF(ROLES[[#This Row],[AvailableToAllSchools]]=FALSE,IF(ISBLANK(ROLES[[#This Row],[SchoolCodes]]),1,0),IF(ROLES[[#This Row],[AvailableToAllSchools]]=TRUE,IF(ISBLANK(ROLES[[#This Row],[SchoolCodes]]),0,)))</f>
        <v>0</v>
      </c>
      <c r="I47" s="57">
        <f>IF(OR(ROLES[[#This Row],[StaffRoleEnabled]]=TRUE,ROLES[[#This Row],[StaffRoleEnabled]]=FALSE),IF(OR(ROLES[[#This Row],[AvailableToAllSchools]]=TRUE,ROLES[[#This Row],[AvailableToAllSchools]]=FALSE),0,1),1)</f>
        <v>0</v>
      </c>
      <c r="J47" s="57">
        <f>IF(LEN(ROLES[[#This Row],[StaffRoleCode]])&lt;100,0,1)</f>
        <v>0</v>
      </c>
      <c r="K47" s="57">
        <f>IF(LEN(ROLES[[#This Row],[Title]])&lt;100,0,1)</f>
        <v>0</v>
      </c>
      <c r="L47" s="57">
        <f>(COUNTBLANK(ROLES[[#This Row],[MonthsServiceBeforeIncrement]:[StaffRoleEnabled]]))+COUNTBLANK(ROLES[[#This Row],[FullTimeHoursPerWeek]])</f>
        <v>0</v>
      </c>
      <c r="M47" s="57">
        <f>IF(SUBSTITUTE(TEXT(ROLES[[#This Row],[StaffRoleCode]],10)," ","")=TEXT(ROLES[[#This Row],[StaffRoleCode]],10),0,1)</f>
        <v>0</v>
      </c>
      <c r="N47" s="57">
        <f>SUM(ROLES[[#This Row],[Duplicate Role Code]:[Space in Code]])</f>
        <v>0</v>
      </c>
      <c r="P47" s="12" t="s">
        <v>1186</v>
      </c>
      <c r="Q47" s="12" t="s">
        <v>4229</v>
      </c>
      <c r="R47" s="12" t="s">
        <v>4230</v>
      </c>
      <c r="S47" s="12" t="s">
        <v>3107</v>
      </c>
      <c r="T47" s="12">
        <v>37</v>
      </c>
      <c r="U47" s="155" t="b">
        <f>_xlfn.XLOOKUP(ROLES[[#This Row],[PayScaleCode]],PayScales!N:N,PayScales!T:T)</f>
        <v>1</v>
      </c>
      <c r="V47" s="154" t="str">
        <f>IF(ROLES[[#This Row],[AvailableToAllSchools]]=TRUE,"",_xlfn.XLOOKUP(ROLES[[#This Row],[PayScaleCode]],PayScales!N:N,PayScales!U:U))</f>
        <v/>
      </c>
      <c r="W47" s="12">
        <v>12</v>
      </c>
      <c r="X47" s="12">
        <v>0</v>
      </c>
      <c r="Y47" t="b">
        <v>1</v>
      </c>
      <c r="Z47" t="b">
        <v>0</v>
      </c>
    </row>
    <row r="48" spans="1:26" ht="15" customHeight="1" x14ac:dyDescent="0.3">
      <c r="A48" s="57">
        <f>COUNTIF(ROLES[StaffRoleCode],ROLES[[#This Row],[StaffRoleCode]])-1</f>
        <v>0</v>
      </c>
      <c r="B48" s="57">
        <f>COUNTIF(ROLES[Title],ROLES[[#This Row],[Title]])-1</f>
        <v>0</v>
      </c>
      <c r="C48"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48"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48"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48" s="57">
        <f>IF(COUNTIF(PAYSCALES[PayScaleCode],ROLES[[#This Row],[PayScaleCode]])&gt;0,0,1)</f>
        <v>0</v>
      </c>
      <c r="G48" s="57" cm="1">
        <f t="array" ref="G48">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48" s="57">
        <f>IF(ROLES[[#This Row],[AvailableToAllSchools]]=FALSE,IF(ISBLANK(ROLES[[#This Row],[SchoolCodes]]),1,0),IF(ROLES[[#This Row],[AvailableToAllSchools]]=TRUE,IF(ISBLANK(ROLES[[#This Row],[SchoolCodes]]),0,)))</f>
        <v>0</v>
      </c>
      <c r="I48" s="57">
        <f>IF(OR(ROLES[[#This Row],[StaffRoleEnabled]]=TRUE,ROLES[[#This Row],[StaffRoleEnabled]]=FALSE),IF(OR(ROLES[[#This Row],[AvailableToAllSchools]]=TRUE,ROLES[[#This Row],[AvailableToAllSchools]]=FALSE),0,1),1)</f>
        <v>0</v>
      </c>
      <c r="J48" s="57">
        <f>IF(LEN(ROLES[[#This Row],[StaffRoleCode]])&lt;100,0,1)</f>
        <v>0</v>
      </c>
      <c r="K48" s="57">
        <f>IF(LEN(ROLES[[#This Row],[Title]])&lt;100,0,1)</f>
        <v>0</v>
      </c>
      <c r="L48" s="57">
        <f>(COUNTBLANK(ROLES[[#This Row],[MonthsServiceBeforeIncrement]:[StaffRoleEnabled]]))+COUNTBLANK(ROLES[[#This Row],[FullTimeHoursPerWeek]])</f>
        <v>0</v>
      </c>
      <c r="M48" s="57">
        <f>IF(SUBSTITUTE(TEXT(ROLES[[#This Row],[StaffRoleCode]],10)," ","")=TEXT(ROLES[[#This Row],[StaffRoleCode]],10),0,1)</f>
        <v>0</v>
      </c>
      <c r="N48" s="57">
        <f>SUM(ROLES[[#This Row],[Duplicate Role Code]:[Space in Code]])</f>
        <v>0</v>
      </c>
      <c r="P48" s="12" t="s">
        <v>1186</v>
      </c>
      <c r="Q48" s="12" t="s">
        <v>4231</v>
      </c>
      <c r="R48" s="12" t="s">
        <v>4232</v>
      </c>
      <c r="S48" s="12" t="s">
        <v>3107</v>
      </c>
      <c r="T48" s="12">
        <v>37</v>
      </c>
      <c r="U48" s="155" t="b">
        <f>_xlfn.XLOOKUP(ROLES[[#This Row],[PayScaleCode]],PayScales!N:N,PayScales!T:T)</f>
        <v>1</v>
      </c>
      <c r="V48" s="154" t="str">
        <f>IF(ROLES[[#This Row],[AvailableToAllSchools]]=TRUE,"",_xlfn.XLOOKUP(ROLES[[#This Row],[PayScaleCode]],PayScales!N:N,PayScales!U:U))</f>
        <v/>
      </c>
      <c r="W48" s="12">
        <v>12</v>
      </c>
      <c r="X48" s="12">
        <v>0</v>
      </c>
      <c r="Y48" t="b">
        <v>1</v>
      </c>
      <c r="Z48" t="b">
        <v>0</v>
      </c>
    </row>
    <row r="49" spans="1:26" ht="15" customHeight="1" x14ac:dyDescent="0.3">
      <c r="A49" s="57">
        <f>COUNTIF(ROLES[StaffRoleCode],ROLES[[#This Row],[StaffRoleCode]])-1</f>
        <v>0</v>
      </c>
      <c r="B49" s="57">
        <f>COUNTIF(ROLES[Title],ROLES[[#This Row],[Title]])-1</f>
        <v>0</v>
      </c>
      <c r="C49"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49"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49"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49" s="57">
        <f>IF(COUNTIF(PAYSCALES[PayScaleCode],ROLES[[#This Row],[PayScaleCode]])&gt;0,0,1)</f>
        <v>0</v>
      </c>
      <c r="G49" s="57" cm="1">
        <f t="array" ref="G49">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49" s="57">
        <f>IF(ROLES[[#This Row],[AvailableToAllSchools]]=FALSE,IF(ISBLANK(ROLES[[#This Row],[SchoolCodes]]),1,0),IF(ROLES[[#This Row],[AvailableToAllSchools]]=TRUE,IF(ISBLANK(ROLES[[#This Row],[SchoolCodes]]),0,)))</f>
        <v>0</v>
      </c>
      <c r="I49" s="57">
        <f>IF(OR(ROLES[[#This Row],[StaffRoleEnabled]]=TRUE,ROLES[[#This Row],[StaffRoleEnabled]]=FALSE),IF(OR(ROLES[[#This Row],[AvailableToAllSchools]]=TRUE,ROLES[[#This Row],[AvailableToAllSchools]]=FALSE),0,1),1)</f>
        <v>0</v>
      </c>
      <c r="J49" s="57">
        <f>IF(LEN(ROLES[[#This Row],[StaffRoleCode]])&lt;100,0,1)</f>
        <v>0</v>
      </c>
      <c r="K49" s="57">
        <f>IF(LEN(ROLES[[#This Row],[Title]])&lt;100,0,1)</f>
        <v>0</v>
      </c>
      <c r="L49" s="57">
        <f>(COUNTBLANK(ROLES[[#This Row],[MonthsServiceBeforeIncrement]:[StaffRoleEnabled]]))+COUNTBLANK(ROLES[[#This Row],[FullTimeHoursPerWeek]])</f>
        <v>0</v>
      </c>
      <c r="M49" s="57">
        <f>IF(SUBSTITUTE(TEXT(ROLES[[#This Row],[StaffRoleCode]],10)," ","")=TEXT(ROLES[[#This Row],[StaffRoleCode]],10),0,1)</f>
        <v>0</v>
      </c>
      <c r="N49" s="57">
        <f>SUM(ROLES[[#This Row],[Duplicate Role Code]:[Space in Code]])</f>
        <v>0</v>
      </c>
      <c r="P49" s="12" t="s">
        <v>1186</v>
      </c>
      <c r="Q49" s="12" t="s">
        <v>4233</v>
      </c>
      <c r="R49" s="12" t="s">
        <v>4234</v>
      </c>
      <c r="S49" s="12" t="s">
        <v>3107</v>
      </c>
      <c r="T49" s="12">
        <v>37</v>
      </c>
      <c r="U49" s="155" t="b">
        <f>_xlfn.XLOOKUP(ROLES[[#This Row],[PayScaleCode]],PayScales!N:N,PayScales!T:T)</f>
        <v>1</v>
      </c>
      <c r="V49" s="154" t="str">
        <f>IF(ROLES[[#This Row],[AvailableToAllSchools]]=TRUE,"",_xlfn.XLOOKUP(ROLES[[#This Row],[PayScaleCode]],PayScales!N:N,PayScales!U:U))</f>
        <v/>
      </c>
      <c r="W49" s="12">
        <v>12</v>
      </c>
      <c r="X49" s="12">
        <v>0</v>
      </c>
      <c r="Y49" t="b">
        <v>1</v>
      </c>
      <c r="Z49" t="b">
        <v>0</v>
      </c>
    </row>
    <row r="50" spans="1:26" ht="15" customHeight="1" x14ac:dyDescent="0.3">
      <c r="A50" s="57">
        <f>COUNTIF(ROLES[StaffRoleCode],ROLES[[#This Row],[StaffRoleCode]])-1</f>
        <v>0</v>
      </c>
      <c r="B50" s="57">
        <f>COUNTIF(ROLES[Title],ROLES[[#This Row],[Title]])-1</f>
        <v>0</v>
      </c>
      <c r="C50"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50"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50"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50" s="57">
        <f>IF(COUNTIF(PAYSCALES[PayScaleCode],ROLES[[#This Row],[PayScaleCode]])&gt;0,0,1)</f>
        <v>0</v>
      </c>
      <c r="G50" s="57" cm="1">
        <f t="array" ref="G50">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50" s="57">
        <f>IF(ROLES[[#This Row],[AvailableToAllSchools]]=FALSE,IF(ISBLANK(ROLES[[#This Row],[SchoolCodes]]),1,0),IF(ROLES[[#This Row],[AvailableToAllSchools]]=TRUE,IF(ISBLANK(ROLES[[#This Row],[SchoolCodes]]),0,)))</f>
        <v>0</v>
      </c>
      <c r="I50" s="57">
        <f>IF(OR(ROLES[[#This Row],[StaffRoleEnabled]]=TRUE,ROLES[[#This Row],[StaffRoleEnabled]]=FALSE),IF(OR(ROLES[[#This Row],[AvailableToAllSchools]]=TRUE,ROLES[[#This Row],[AvailableToAllSchools]]=FALSE),0,1),1)</f>
        <v>0</v>
      </c>
      <c r="J50" s="57">
        <f>IF(LEN(ROLES[[#This Row],[StaffRoleCode]])&lt;100,0,1)</f>
        <v>0</v>
      </c>
      <c r="K50" s="57">
        <f>IF(LEN(ROLES[[#This Row],[Title]])&lt;100,0,1)</f>
        <v>0</v>
      </c>
      <c r="L50" s="57">
        <f>(COUNTBLANK(ROLES[[#This Row],[MonthsServiceBeforeIncrement]:[StaffRoleEnabled]]))+COUNTBLANK(ROLES[[#This Row],[FullTimeHoursPerWeek]])</f>
        <v>0</v>
      </c>
      <c r="M50" s="57">
        <f>IF(SUBSTITUTE(TEXT(ROLES[[#This Row],[StaffRoleCode]],10)," ","")=TEXT(ROLES[[#This Row],[StaffRoleCode]],10),0,1)</f>
        <v>0</v>
      </c>
      <c r="N50" s="57">
        <f>SUM(ROLES[[#This Row],[Duplicate Role Code]:[Space in Code]])</f>
        <v>0</v>
      </c>
      <c r="P50" s="12" t="s">
        <v>1186</v>
      </c>
      <c r="Q50" s="12" t="s">
        <v>4235</v>
      </c>
      <c r="R50" s="12" t="s">
        <v>4236</v>
      </c>
      <c r="S50" s="12" t="s">
        <v>3107</v>
      </c>
      <c r="T50" s="12">
        <v>37</v>
      </c>
      <c r="U50" s="155" t="b">
        <f>_xlfn.XLOOKUP(ROLES[[#This Row],[PayScaleCode]],PayScales!N:N,PayScales!T:T)</f>
        <v>1</v>
      </c>
      <c r="V50" s="154" t="str">
        <f>IF(ROLES[[#This Row],[AvailableToAllSchools]]=TRUE,"",_xlfn.XLOOKUP(ROLES[[#This Row],[PayScaleCode]],PayScales!N:N,PayScales!U:U))</f>
        <v/>
      </c>
      <c r="W50" s="12">
        <v>12</v>
      </c>
      <c r="X50" s="12">
        <v>0</v>
      </c>
      <c r="Y50" t="b">
        <v>1</v>
      </c>
      <c r="Z50" t="b">
        <v>0</v>
      </c>
    </row>
    <row r="51" spans="1:26" ht="15" customHeight="1" x14ac:dyDescent="0.3">
      <c r="A51" s="57">
        <f>COUNTIF(ROLES[StaffRoleCode],ROLES[[#This Row],[StaffRoleCode]])-1</f>
        <v>0</v>
      </c>
      <c r="B51" s="57">
        <f>COUNTIF(ROLES[Title],ROLES[[#This Row],[Title]])-1</f>
        <v>0</v>
      </c>
      <c r="C51"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51"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51"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51" s="57">
        <f>IF(COUNTIF(PAYSCALES[PayScaleCode],ROLES[[#This Row],[PayScaleCode]])&gt;0,0,1)</f>
        <v>0</v>
      </c>
      <c r="G51" s="57" cm="1">
        <f t="array" ref="G51">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51" s="57">
        <f>IF(ROLES[[#This Row],[AvailableToAllSchools]]=FALSE,IF(ISBLANK(ROLES[[#This Row],[SchoolCodes]]),1,0),IF(ROLES[[#This Row],[AvailableToAllSchools]]=TRUE,IF(ISBLANK(ROLES[[#This Row],[SchoolCodes]]),0,)))</f>
        <v>0</v>
      </c>
      <c r="I51" s="57">
        <f>IF(OR(ROLES[[#This Row],[StaffRoleEnabled]]=TRUE,ROLES[[#This Row],[StaffRoleEnabled]]=FALSE),IF(OR(ROLES[[#This Row],[AvailableToAllSchools]]=TRUE,ROLES[[#This Row],[AvailableToAllSchools]]=FALSE),0,1),1)</f>
        <v>0</v>
      </c>
      <c r="J51" s="57">
        <f>IF(LEN(ROLES[[#This Row],[StaffRoleCode]])&lt;100,0,1)</f>
        <v>0</v>
      </c>
      <c r="K51" s="57">
        <f>IF(LEN(ROLES[[#This Row],[Title]])&lt;100,0,1)</f>
        <v>0</v>
      </c>
      <c r="L51" s="57">
        <f>(COUNTBLANK(ROLES[[#This Row],[MonthsServiceBeforeIncrement]:[StaffRoleEnabled]]))+COUNTBLANK(ROLES[[#This Row],[FullTimeHoursPerWeek]])</f>
        <v>0</v>
      </c>
      <c r="M51" s="57">
        <f>IF(SUBSTITUTE(TEXT(ROLES[[#This Row],[StaffRoleCode]],10)," ","")=TEXT(ROLES[[#This Row],[StaffRoleCode]],10),0,1)</f>
        <v>0</v>
      </c>
      <c r="N51" s="57">
        <f>SUM(ROLES[[#This Row],[Duplicate Role Code]:[Space in Code]])</f>
        <v>0</v>
      </c>
      <c r="P51" s="12" t="s">
        <v>1186</v>
      </c>
      <c r="Q51" s="12" t="s">
        <v>4237</v>
      </c>
      <c r="R51" s="12" t="s">
        <v>4238</v>
      </c>
      <c r="S51" s="12" t="s">
        <v>3107</v>
      </c>
      <c r="T51" s="12">
        <v>37</v>
      </c>
      <c r="U51" s="155" t="b">
        <f>_xlfn.XLOOKUP(ROLES[[#This Row],[PayScaleCode]],PayScales!N:N,PayScales!T:T)</f>
        <v>1</v>
      </c>
      <c r="V51" s="154" t="str">
        <f>IF(ROLES[[#This Row],[AvailableToAllSchools]]=TRUE,"",_xlfn.XLOOKUP(ROLES[[#This Row],[PayScaleCode]],PayScales!N:N,PayScales!U:U))</f>
        <v/>
      </c>
      <c r="W51" s="12">
        <v>12</v>
      </c>
      <c r="X51" s="12">
        <v>0</v>
      </c>
      <c r="Y51" t="b">
        <v>1</v>
      </c>
      <c r="Z51" t="b">
        <v>0</v>
      </c>
    </row>
    <row r="52" spans="1:26" ht="15" customHeight="1" x14ac:dyDescent="0.3">
      <c r="A52" s="57">
        <f>COUNTIF(ROLES[StaffRoleCode],ROLES[[#This Row],[StaffRoleCode]])-1</f>
        <v>0</v>
      </c>
      <c r="B52" s="57">
        <f>COUNTIF(ROLES[Title],ROLES[[#This Row],[Title]])-1</f>
        <v>0</v>
      </c>
      <c r="C52"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52"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52"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52" s="57">
        <f>IF(COUNTIF(PAYSCALES[PayScaleCode],ROLES[[#This Row],[PayScaleCode]])&gt;0,0,1)</f>
        <v>0</v>
      </c>
      <c r="G52" s="57" cm="1">
        <f t="array" ref="G52">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52" s="57">
        <f>IF(ROLES[[#This Row],[AvailableToAllSchools]]=FALSE,IF(ISBLANK(ROLES[[#This Row],[SchoolCodes]]),1,0),IF(ROLES[[#This Row],[AvailableToAllSchools]]=TRUE,IF(ISBLANK(ROLES[[#This Row],[SchoolCodes]]),0,)))</f>
        <v>0</v>
      </c>
      <c r="I52" s="57">
        <f>IF(OR(ROLES[[#This Row],[StaffRoleEnabled]]=TRUE,ROLES[[#This Row],[StaffRoleEnabled]]=FALSE),IF(OR(ROLES[[#This Row],[AvailableToAllSchools]]=TRUE,ROLES[[#This Row],[AvailableToAllSchools]]=FALSE),0,1),1)</f>
        <v>0</v>
      </c>
      <c r="J52" s="57">
        <f>IF(LEN(ROLES[[#This Row],[StaffRoleCode]])&lt;100,0,1)</f>
        <v>0</v>
      </c>
      <c r="K52" s="57">
        <f>IF(LEN(ROLES[[#This Row],[Title]])&lt;100,0,1)</f>
        <v>0</v>
      </c>
      <c r="L52" s="57">
        <f>(COUNTBLANK(ROLES[[#This Row],[MonthsServiceBeforeIncrement]:[StaffRoleEnabled]]))+COUNTBLANK(ROLES[[#This Row],[FullTimeHoursPerWeek]])</f>
        <v>0</v>
      </c>
      <c r="M52" s="57">
        <f>IF(SUBSTITUTE(TEXT(ROLES[[#This Row],[StaffRoleCode]],10)," ","")=TEXT(ROLES[[#This Row],[StaffRoleCode]],10),0,1)</f>
        <v>0</v>
      </c>
      <c r="N52" s="57">
        <f>SUM(ROLES[[#This Row],[Duplicate Role Code]:[Space in Code]])</f>
        <v>0</v>
      </c>
      <c r="P52" s="12" t="s">
        <v>1186</v>
      </c>
      <c r="Q52" s="12" t="s">
        <v>4239</v>
      </c>
      <c r="R52" s="12" t="s">
        <v>4240</v>
      </c>
      <c r="S52" s="12" t="s">
        <v>3107</v>
      </c>
      <c r="T52" s="12">
        <v>37</v>
      </c>
      <c r="U52" s="155" t="b">
        <f>_xlfn.XLOOKUP(ROLES[[#This Row],[PayScaleCode]],PayScales!N:N,PayScales!T:T)</f>
        <v>1</v>
      </c>
      <c r="V52" s="154" t="str">
        <f>IF(ROLES[[#This Row],[AvailableToAllSchools]]=TRUE,"",_xlfn.XLOOKUP(ROLES[[#This Row],[PayScaleCode]],PayScales!N:N,PayScales!U:U))</f>
        <v/>
      </c>
      <c r="W52" s="12">
        <v>12</v>
      </c>
      <c r="X52" s="12">
        <v>0</v>
      </c>
      <c r="Y52" t="b">
        <v>1</v>
      </c>
      <c r="Z52" t="b">
        <v>0</v>
      </c>
    </row>
    <row r="53" spans="1:26" ht="15" customHeight="1" x14ac:dyDescent="0.3">
      <c r="A53" s="57">
        <f>COUNTIF(ROLES[StaffRoleCode],ROLES[[#This Row],[StaffRoleCode]])-1</f>
        <v>0</v>
      </c>
      <c r="B53" s="57">
        <f>COUNTIF(ROLES[Title],ROLES[[#This Row],[Title]])-1</f>
        <v>0</v>
      </c>
      <c r="C53"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53"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53"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53" s="57">
        <f>IF(COUNTIF(PAYSCALES[PayScaleCode],ROLES[[#This Row],[PayScaleCode]])&gt;0,0,1)</f>
        <v>0</v>
      </c>
      <c r="G53" s="57" cm="1">
        <f t="array" ref="G53">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53" s="57">
        <f>IF(ROLES[[#This Row],[AvailableToAllSchools]]=FALSE,IF(ISBLANK(ROLES[[#This Row],[SchoolCodes]]),1,0),IF(ROLES[[#This Row],[AvailableToAllSchools]]=TRUE,IF(ISBLANK(ROLES[[#This Row],[SchoolCodes]]),0,)))</f>
        <v>0</v>
      </c>
      <c r="I53" s="57">
        <f>IF(OR(ROLES[[#This Row],[StaffRoleEnabled]]=TRUE,ROLES[[#This Row],[StaffRoleEnabled]]=FALSE),IF(OR(ROLES[[#This Row],[AvailableToAllSchools]]=TRUE,ROLES[[#This Row],[AvailableToAllSchools]]=FALSE),0,1),1)</f>
        <v>0</v>
      </c>
      <c r="J53" s="57">
        <f>IF(LEN(ROLES[[#This Row],[StaffRoleCode]])&lt;100,0,1)</f>
        <v>0</v>
      </c>
      <c r="K53" s="57">
        <f>IF(LEN(ROLES[[#This Row],[Title]])&lt;100,0,1)</f>
        <v>0</v>
      </c>
      <c r="L53" s="57">
        <f>(COUNTBLANK(ROLES[[#This Row],[MonthsServiceBeforeIncrement]:[StaffRoleEnabled]]))+COUNTBLANK(ROLES[[#This Row],[FullTimeHoursPerWeek]])</f>
        <v>0</v>
      </c>
      <c r="M53" s="57">
        <f>IF(SUBSTITUTE(TEXT(ROLES[[#This Row],[StaffRoleCode]],10)," ","")=TEXT(ROLES[[#This Row],[StaffRoleCode]],10),0,1)</f>
        <v>0</v>
      </c>
      <c r="N53" s="57">
        <f>SUM(ROLES[[#This Row],[Duplicate Role Code]:[Space in Code]])</f>
        <v>0</v>
      </c>
      <c r="P53" s="12" t="s">
        <v>1186</v>
      </c>
      <c r="Q53" s="12" t="s">
        <v>4241</v>
      </c>
      <c r="R53" s="12" t="s">
        <v>4242</v>
      </c>
      <c r="S53" s="12" t="s">
        <v>3107</v>
      </c>
      <c r="T53" s="12">
        <v>37</v>
      </c>
      <c r="U53" s="155" t="b">
        <f>_xlfn.XLOOKUP(ROLES[[#This Row],[PayScaleCode]],PayScales!N:N,PayScales!T:T)</f>
        <v>1</v>
      </c>
      <c r="V53" s="154" t="str">
        <f>IF(ROLES[[#This Row],[AvailableToAllSchools]]=TRUE,"",_xlfn.XLOOKUP(ROLES[[#This Row],[PayScaleCode]],PayScales!N:N,PayScales!U:U))</f>
        <v/>
      </c>
      <c r="W53" s="12">
        <v>12</v>
      </c>
      <c r="X53" s="12">
        <v>0</v>
      </c>
      <c r="Y53" t="b">
        <v>1</v>
      </c>
      <c r="Z53" t="b">
        <v>1</v>
      </c>
    </row>
    <row r="54" spans="1:26" ht="15" customHeight="1" x14ac:dyDescent="0.3">
      <c r="A54" s="57">
        <f>COUNTIF(ROLES[StaffRoleCode],ROLES[[#This Row],[StaffRoleCode]])-1</f>
        <v>0</v>
      </c>
      <c r="B54" s="57">
        <f>COUNTIF(ROLES[Title],ROLES[[#This Row],[Title]])-1</f>
        <v>0</v>
      </c>
      <c r="C54"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54"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54"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54" s="57">
        <f>IF(COUNTIF(PAYSCALES[PayScaleCode],ROLES[[#This Row],[PayScaleCode]])&gt;0,0,1)</f>
        <v>0</v>
      </c>
      <c r="G54" s="57" cm="1">
        <f t="array" ref="G54">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54" s="57">
        <f>IF(ROLES[[#This Row],[AvailableToAllSchools]]=FALSE,IF(ISBLANK(ROLES[[#This Row],[SchoolCodes]]),1,0),IF(ROLES[[#This Row],[AvailableToAllSchools]]=TRUE,IF(ISBLANK(ROLES[[#This Row],[SchoolCodes]]),0,)))</f>
        <v>0</v>
      </c>
      <c r="I54" s="57">
        <f>IF(OR(ROLES[[#This Row],[StaffRoleEnabled]]=TRUE,ROLES[[#This Row],[StaffRoleEnabled]]=FALSE),IF(OR(ROLES[[#This Row],[AvailableToAllSchools]]=TRUE,ROLES[[#This Row],[AvailableToAllSchools]]=FALSE),0,1),1)</f>
        <v>0</v>
      </c>
      <c r="J54" s="57">
        <f>IF(LEN(ROLES[[#This Row],[StaffRoleCode]])&lt;100,0,1)</f>
        <v>0</v>
      </c>
      <c r="K54" s="57">
        <f>IF(LEN(ROLES[[#This Row],[Title]])&lt;100,0,1)</f>
        <v>0</v>
      </c>
      <c r="L54" s="57">
        <f>(COUNTBLANK(ROLES[[#This Row],[MonthsServiceBeforeIncrement]:[StaffRoleEnabled]]))+COUNTBLANK(ROLES[[#This Row],[FullTimeHoursPerWeek]])</f>
        <v>0</v>
      </c>
      <c r="M54" s="57">
        <f>IF(SUBSTITUTE(TEXT(ROLES[[#This Row],[StaffRoleCode]],10)," ","")=TEXT(ROLES[[#This Row],[StaffRoleCode]],10),0,1)</f>
        <v>0</v>
      </c>
      <c r="N54" s="57">
        <f>SUM(ROLES[[#This Row],[Duplicate Role Code]:[Space in Code]])</f>
        <v>0</v>
      </c>
      <c r="P54" s="12" t="s">
        <v>1186</v>
      </c>
      <c r="Q54" s="12" t="s">
        <v>1615</v>
      </c>
      <c r="R54" s="12" t="s">
        <v>1433</v>
      </c>
      <c r="S54" s="12" t="s">
        <v>3107</v>
      </c>
      <c r="T54" s="12">
        <v>37</v>
      </c>
      <c r="U54" s="155" t="b">
        <f>_xlfn.XLOOKUP(ROLES[[#This Row],[PayScaleCode]],PayScales!N:N,PayScales!T:T)</f>
        <v>1</v>
      </c>
      <c r="V54" s="154" t="str">
        <f>IF(ROLES[[#This Row],[AvailableToAllSchools]]=TRUE,"",_xlfn.XLOOKUP(ROLES[[#This Row],[PayScaleCode]],PayScales!N:N,PayScales!U:U))</f>
        <v/>
      </c>
      <c r="W54" s="12">
        <v>12</v>
      </c>
      <c r="X54" s="12">
        <v>0</v>
      </c>
      <c r="Y54" t="b">
        <v>1</v>
      </c>
      <c r="Z54" t="b">
        <v>1</v>
      </c>
    </row>
    <row r="55" spans="1:26" ht="15" customHeight="1" x14ac:dyDescent="0.3">
      <c r="A55" s="57">
        <f>COUNTIF(ROLES[StaffRoleCode],ROLES[[#This Row],[StaffRoleCode]])-1</f>
        <v>0</v>
      </c>
      <c r="B55" s="57">
        <f>COUNTIF(ROLES[Title],ROLES[[#This Row],[Title]])-1</f>
        <v>0</v>
      </c>
      <c r="C55"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55"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55"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55" s="57">
        <f>IF(COUNTIF(PAYSCALES[PayScaleCode],ROLES[[#This Row],[PayScaleCode]])&gt;0,0,1)</f>
        <v>0</v>
      </c>
      <c r="G55" s="57" cm="1">
        <f t="array" ref="G55">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55" s="57">
        <f>IF(ROLES[[#This Row],[AvailableToAllSchools]]=FALSE,IF(ISBLANK(ROLES[[#This Row],[SchoolCodes]]),1,0),IF(ROLES[[#This Row],[AvailableToAllSchools]]=TRUE,IF(ISBLANK(ROLES[[#This Row],[SchoolCodes]]),0,)))</f>
        <v>0</v>
      </c>
      <c r="I55" s="57">
        <f>IF(OR(ROLES[[#This Row],[StaffRoleEnabled]]=TRUE,ROLES[[#This Row],[StaffRoleEnabled]]=FALSE),IF(OR(ROLES[[#This Row],[AvailableToAllSchools]]=TRUE,ROLES[[#This Row],[AvailableToAllSchools]]=FALSE),0,1),1)</f>
        <v>0</v>
      </c>
      <c r="J55" s="57">
        <f>IF(LEN(ROLES[[#This Row],[StaffRoleCode]])&lt;100,0,1)</f>
        <v>0</v>
      </c>
      <c r="K55" s="57">
        <f>IF(LEN(ROLES[[#This Row],[Title]])&lt;100,0,1)</f>
        <v>0</v>
      </c>
      <c r="L55" s="57">
        <f>(COUNTBLANK(ROLES[[#This Row],[MonthsServiceBeforeIncrement]:[StaffRoleEnabled]]))+COUNTBLANK(ROLES[[#This Row],[FullTimeHoursPerWeek]])</f>
        <v>0</v>
      </c>
      <c r="M55" s="57">
        <f>IF(SUBSTITUTE(TEXT(ROLES[[#This Row],[StaffRoleCode]],10)," ","")=TEXT(ROLES[[#This Row],[StaffRoleCode]],10),0,1)</f>
        <v>0</v>
      </c>
      <c r="N55" s="57">
        <f>SUM(ROLES[[#This Row],[Duplicate Role Code]:[Space in Code]])</f>
        <v>0</v>
      </c>
      <c r="P55" s="12" t="s">
        <v>1186</v>
      </c>
      <c r="Q55" s="12" t="s">
        <v>4243</v>
      </c>
      <c r="R55" s="12" t="s">
        <v>4244</v>
      </c>
      <c r="S55" s="12" t="s">
        <v>3107</v>
      </c>
      <c r="T55" s="12">
        <v>37</v>
      </c>
      <c r="U55" s="155" t="b">
        <f>_xlfn.XLOOKUP(ROLES[[#This Row],[PayScaleCode]],PayScales!N:N,PayScales!T:T)</f>
        <v>1</v>
      </c>
      <c r="V55" s="154" t="str">
        <f>IF(ROLES[[#This Row],[AvailableToAllSchools]]=TRUE,"",_xlfn.XLOOKUP(ROLES[[#This Row],[PayScaleCode]],PayScales!N:N,PayScales!U:U))</f>
        <v/>
      </c>
      <c r="W55" s="12">
        <v>12</v>
      </c>
      <c r="X55" s="12">
        <v>0</v>
      </c>
      <c r="Y55" t="b">
        <v>1</v>
      </c>
      <c r="Z55" t="b">
        <v>1</v>
      </c>
    </row>
    <row r="56" spans="1:26" ht="15" customHeight="1" x14ac:dyDescent="0.3">
      <c r="A56" s="57">
        <f>COUNTIF(ROLES[StaffRoleCode],ROLES[[#This Row],[StaffRoleCode]])-1</f>
        <v>0</v>
      </c>
      <c r="B56" s="57">
        <f>COUNTIF(ROLES[Title],ROLES[[#This Row],[Title]])-1</f>
        <v>0</v>
      </c>
      <c r="C56"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56"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56"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56" s="57">
        <f>IF(COUNTIF(PAYSCALES[PayScaleCode],ROLES[[#This Row],[PayScaleCode]])&gt;0,0,1)</f>
        <v>0</v>
      </c>
      <c r="G56" s="57" cm="1">
        <f t="array" ref="G56">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56" s="57">
        <f>IF(ROLES[[#This Row],[AvailableToAllSchools]]=FALSE,IF(ISBLANK(ROLES[[#This Row],[SchoolCodes]]),1,0),IF(ROLES[[#This Row],[AvailableToAllSchools]]=TRUE,IF(ISBLANK(ROLES[[#This Row],[SchoolCodes]]),0,)))</f>
        <v>0</v>
      </c>
      <c r="I56" s="57">
        <f>IF(OR(ROLES[[#This Row],[StaffRoleEnabled]]=TRUE,ROLES[[#This Row],[StaffRoleEnabled]]=FALSE),IF(OR(ROLES[[#This Row],[AvailableToAllSchools]]=TRUE,ROLES[[#This Row],[AvailableToAllSchools]]=FALSE),0,1),1)</f>
        <v>0</v>
      </c>
      <c r="J56" s="57">
        <f>IF(LEN(ROLES[[#This Row],[StaffRoleCode]])&lt;100,0,1)</f>
        <v>0</v>
      </c>
      <c r="K56" s="57">
        <f>IF(LEN(ROLES[[#This Row],[Title]])&lt;100,0,1)</f>
        <v>0</v>
      </c>
      <c r="L56" s="57">
        <f>(COUNTBLANK(ROLES[[#This Row],[MonthsServiceBeforeIncrement]:[StaffRoleEnabled]]))+COUNTBLANK(ROLES[[#This Row],[FullTimeHoursPerWeek]])</f>
        <v>0</v>
      </c>
      <c r="M56" s="57">
        <f>IF(SUBSTITUTE(TEXT(ROLES[[#This Row],[StaffRoleCode]],10)," ","")=TEXT(ROLES[[#This Row],[StaffRoleCode]],10),0,1)</f>
        <v>0</v>
      </c>
      <c r="N56" s="57">
        <f>SUM(ROLES[[#This Row],[Duplicate Role Code]:[Space in Code]])</f>
        <v>0</v>
      </c>
      <c r="P56" s="12" t="s">
        <v>1186</v>
      </c>
      <c r="Q56" s="12" t="s">
        <v>4245</v>
      </c>
      <c r="R56" s="12" t="s">
        <v>4246</v>
      </c>
      <c r="S56" s="12" t="s">
        <v>3107</v>
      </c>
      <c r="T56" s="12">
        <v>37</v>
      </c>
      <c r="U56" s="155" t="b">
        <f>_xlfn.XLOOKUP(ROLES[[#This Row],[PayScaleCode]],PayScales!N:N,PayScales!T:T)</f>
        <v>1</v>
      </c>
      <c r="V56" s="154" t="str">
        <f>IF(ROLES[[#This Row],[AvailableToAllSchools]]=TRUE,"",_xlfn.XLOOKUP(ROLES[[#This Row],[PayScaleCode]],PayScales!N:N,PayScales!U:U))</f>
        <v/>
      </c>
      <c r="W56" s="12">
        <v>12</v>
      </c>
      <c r="X56" s="12">
        <v>0</v>
      </c>
      <c r="Y56" t="b">
        <v>1</v>
      </c>
      <c r="Z56" t="b">
        <v>1</v>
      </c>
    </row>
    <row r="57" spans="1:26" ht="15" customHeight="1" x14ac:dyDescent="0.3">
      <c r="A57" s="57">
        <f>COUNTIF(ROLES[StaffRoleCode],ROLES[[#This Row],[StaffRoleCode]])-1</f>
        <v>0</v>
      </c>
      <c r="B57" s="57">
        <f>COUNTIF(ROLES[Title],ROLES[[#This Row],[Title]])-1</f>
        <v>0</v>
      </c>
      <c r="C57"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57"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57"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57" s="57">
        <f>IF(COUNTIF(PAYSCALES[PayScaleCode],ROLES[[#This Row],[PayScaleCode]])&gt;0,0,1)</f>
        <v>0</v>
      </c>
      <c r="G57" s="57" cm="1">
        <f t="array" ref="G57">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57" s="57">
        <f>IF(ROLES[[#This Row],[AvailableToAllSchools]]=FALSE,IF(ISBLANK(ROLES[[#This Row],[SchoolCodes]]),1,0),IF(ROLES[[#This Row],[AvailableToAllSchools]]=TRUE,IF(ISBLANK(ROLES[[#This Row],[SchoolCodes]]),0,)))</f>
        <v>0</v>
      </c>
      <c r="I57" s="57">
        <f>IF(OR(ROLES[[#This Row],[StaffRoleEnabled]]=TRUE,ROLES[[#This Row],[StaffRoleEnabled]]=FALSE),IF(OR(ROLES[[#This Row],[AvailableToAllSchools]]=TRUE,ROLES[[#This Row],[AvailableToAllSchools]]=FALSE),0,1),1)</f>
        <v>0</v>
      </c>
      <c r="J57" s="57">
        <f>IF(LEN(ROLES[[#This Row],[StaffRoleCode]])&lt;100,0,1)</f>
        <v>0</v>
      </c>
      <c r="K57" s="57">
        <f>IF(LEN(ROLES[[#This Row],[Title]])&lt;100,0,1)</f>
        <v>0</v>
      </c>
      <c r="L57" s="57">
        <f>(COUNTBLANK(ROLES[[#This Row],[MonthsServiceBeforeIncrement]:[StaffRoleEnabled]]))+COUNTBLANK(ROLES[[#This Row],[FullTimeHoursPerWeek]])</f>
        <v>0</v>
      </c>
      <c r="M57" s="57">
        <f>IF(SUBSTITUTE(TEXT(ROLES[[#This Row],[StaffRoleCode]],10)," ","")=TEXT(ROLES[[#This Row],[StaffRoleCode]],10),0,1)</f>
        <v>0</v>
      </c>
      <c r="N57" s="57">
        <f>SUM(ROLES[[#This Row],[Duplicate Role Code]:[Space in Code]])</f>
        <v>0</v>
      </c>
      <c r="P57" s="12" t="s">
        <v>1186</v>
      </c>
      <c r="Q57" s="12" t="s">
        <v>4247</v>
      </c>
      <c r="R57" s="12" t="s">
        <v>4248</v>
      </c>
      <c r="S57" s="12" t="s">
        <v>3107</v>
      </c>
      <c r="T57" s="12">
        <v>37</v>
      </c>
      <c r="U57" s="155" t="b">
        <f>_xlfn.XLOOKUP(ROLES[[#This Row],[PayScaleCode]],PayScales!N:N,PayScales!T:T)</f>
        <v>1</v>
      </c>
      <c r="V57" s="154" t="str">
        <f>IF(ROLES[[#This Row],[AvailableToAllSchools]]=TRUE,"",_xlfn.XLOOKUP(ROLES[[#This Row],[PayScaleCode]],PayScales!N:N,PayScales!U:U))</f>
        <v/>
      </c>
      <c r="W57" s="12">
        <v>12</v>
      </c>
      <c r="X57" s="12">
        <v>0</v>
      </c>
      <c r="Y57" t="b">
        <v>1</v>
      </c>
      <c r="Z57" t="b">
        <v>0</v>
      </c>
    </row>
    <row r="58" spans="1:26" ht="15" customHeight="1" x14ac:dyDescent="0.3">
      <c r="A58" s="57">
        <f>COUNTIF(ROLES[StaffRoleCode],ROLES[[#This Row],[StaffRoleCode]])-1</f>
        <v>0</v>
      </c>
      <c r="B58" s="57">
        <f>COUNTIF(ROLES[Title],ROLES[[#This Row],[Title]])-1</f>
        <v>0</v>
      </c>
      <c r="C58"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58"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58"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58" s="57">
        <f>IF(COUNTIF(PAYSCALES[PayScaleCode],ROLES[[#This Row],[PayScaleCode]])&gt;0,0,1)</f>
        <v>0</v>
      </c>
      <c r="G58" s="57" cm="1">
        <f t="array" ref="G58">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58" s="57">
        <f>IF(ROLES[[#This Row],[AvailableToAllSchools]]=FALSE,IF(ISBLANK(ROLES[[#This Row],[SchoolCodes]]),1,0),IF(ROLES[[#This Row],[AvailableToAllSchools]]=TRUE,IF(ISBLANK(ROLES[[#This Row],[SchoolCodes]]),0,)))</f>
        <v>0</v>
      </c>
      <c r="I58" s="57">
        <f>IF(OR(ROLES[[#This Row],[StaffRoleEnabled]]=TRUE,ROLES[[#This Row],[StaffRoleEnabled]]=FALSE),IF(OR(ROLES[[#This Row],[AvailableToAllSchools]]=TRUE,ROLES[[#This Row],[AvailableToAllSchools]]=FALSE),0,1),1)</f>
        <v>0</v>
      </c>
      <c r="J58" s="57">
        <f>IF(LEN(ROLES[[#This Row],[StaffRoleCode]])&lt;100,0,1)</f>
        <v>0</v>
      </c>
      <c r="K58" s="57">
        <f>IF(LEN(ROLES[[#This Row],[Title]])&lt;100,0,1)</f>
        <v>0</v>
      </c>
      <c r="L58" s="57">
        <f>(COUNTBLANK(ROLES[[#This Row],[MonthsServiceBeforeIncrement]:[StaffRoleEnabled]]))+COUNTBLANK(ROLES[[#This Row],[FullTimeHoursPerWeek]])</f>
        <v>0</v>
      </c>
      <c r="M58" s="57">
        <f>IF(SUBSTITUTE(TEXT(ROLES[[#This Row],[StaffRoleCode]],10)," ","")=TEXT(ROLES[[#This Row],[StaffRoleCode]],10),0,1)</f>
        <v>0</v>
      </c>
      <c r="N58" s="57">
        <f>SUM(ROLES[[#This Row],[Duplicate Role Code]:[Space in Code]])</f>
        <v>0</v>
      </c>
      <c r="P58" s="12" t="s">
        <v>1186</v>
      </c>
      <c r="Q58" s="12" t="s">
        <v>4249</v>
      </c>
      <c r="R58" s="12" t="s">
        <v>4250</v>
      </c>
      <c r="S58" s="12" t="s">
        <v>3107</v>
      </c>
      <c r="T58" s="12">
        <v>37</v>
      </c>
      <c r="U58" s="155" t="b">
        <f>_xlfn.XLOOKUP(ROLES[[#This Row],[PayScaleCode]],PayScales!N:N,PayScales!T:T)</f>
        <v>1</v>
      </c>
      <c r="V58" s="154" t="str">
        <f>IF(ROLES[[#This Row],[AvailableToAllSchools]]=TRUE,"",_xlfn.XLOOKUP(ROLES[[#This Row],[PayScaleCode]],PayScales!N:N,PayScales!U:U))</f>
        <v/>
      </c>
      <c r="W58" s="12">
        <v>12</v>
      </c>
      <c r="X58" s="12">
        <v>0</v>
      </c>
      <c r="Y58" t="b">
        <v>1</v>
      </c>
      <c r="Z58" t="b">
        <v>0</v>
      </c>
    </row>
    <row r="59" spans="1:26" ht="15" customHeight="1" x14ac:dyDescent="0.3">
      <c r="A59" s="57">
        <f>COUNTIF(ROLES[StaffRoleCode],ROLES[[#This Row],[StaffRoleCode]])-1</f>
        <v>0</v>
      </c>
      <c r="B59" s="57">
        <f>COUNTIF(ROLES[Title],ROLES[[#This Row],[Title]])-1</f>
        <v>0</v>
      </c>
      <c r="C59"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59"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59"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59" s="57">
        <f>IF(COUNTIF(PAYSCALES[PayScaleCode],ROLES[[#This Row],[PayScaleCode]])&gt;0,0,1)</f>
        <v>0</v>
      </c>
      <c r="G59" s="57" cm="1">
        <f t="array" ref="G59">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59" s="57">
        <f>IF(ROLES[[#This Row],[AvailableToAllSchools]]=FALSE,IF(ISBLANK(ROLES[[#This Row],[SchoolCodes]]),1,0),IF(ROLES[[#This Row],[AvailableToAllSchools]]=TRUE,IF(ISBLANK(ROLES[[#This Row],[SchoolCodes]]),0,)))</f>
        <v>0</v>
      </c>
      <c r="I59" s="57">
        <f>IF(OR(ROLES[[#This Row],[StaffRoleEnabled]]=TRUE,ROLES[[#This Row],[StaffRoleEnabled]]=FALSE),IF(OR(ROLES[[#This Row],[AvailableToAllSchools]]=TRUE,ROLES[[#This Row],[AvailableToAllSchools]]=FALSE),0,1),1)</f>
        <v>0</v>
      </c>
      <c r="J59" s="57">
        <f>IF(LEN(ROLES[[#This Row],[StaffRoleCode]])&lt;100,0,1)</f>
        <v>0</v>
      </c>
      <c r="K59" s="57">
        <f>IF(LEN(ROLES[[#This Row],[Title]])&lt;100,0,1)</f>
        <v>0</v>
      </c>
      <c r="L59" s="57">
        <f>(COUNTBLANK(ROLES[[#This Row],[MonthsServiceBeforeIncrement]:[StaffRoleEnabled]]))+COUNTBLANK(ROLES[[#This Row],[FullTimeHoursPerWeek]])</f>
        <v>0</v>
      </c>
      <c r="M59" s="57">
        <f>IF(SUBSTITUTE(TEXT(ROLES[[#This Row],[StaffRoleCode]],10)," ","")=TEXT(ROLES[[#This Row],[StaffRoleCode]],10),0,1)</f>
        <v>0</v>
      </c>
      <c r="N59" s="57">
        <f>SUM(ROLES[[#This Row],[Duplicate Role Code]:[Space in Code]])</f>
        <v>0</v>
      </c>
      <c r="P59" s="12" t="s">
        <v>1186</v>
      </c>
      <c r="Q59" s="12" t="s">
        <v>4251</v>
      </c>
      <c r="R59" s="12" t="s">
        <v>4252</v>
      </c>
      <c r="S59" s="12" t="s">
        <v>3107</v>
      </c>
      <c r="T59" s="12">
        <v>37</v>
      </c>
      <c r="U59" s="155" t="b">
        <f>_xlfn.XLOOKUP(ROLES[[#This Row],[PayScaleCode]],PayScales!N:N,PayScales!T:T)</f>
        <v>1</v>
      </c>
      <c r="V59" s="154" t="str">
        <f>IF(ROLES[[#This Row],[AvailableToAllSchools]]=TRUE,"",_xlfn.XLOOKUP(ROLES[[#This Row],[PayScaleCode]],PayScales!N:N,PayScales!U:U))</f>
        <v/>
      </c>
      <c r="W59" s="12">
        <v>12</v>
      </c>
      <c r="X59" s="12">
        <v>0</v>
      </c>
      <c r="Y59" t="b">
        <v>1</v>
      </c>
      <c r="Z59" t="b">
        <v>0</v>
      </c>
    </row>
    <row r="60" spans="1:26" ht="15" customHeight="1" x14ac:dyDescent="0.3">
      <c r="A60" s="57">
        <f>COUNTIF(ROLES[StaffRoleCode],ROLES[[#This Row],[StaffRoleCode]])-1</f>
        <v>0</v>
      </c>
      <c r="B60" s="57">
        <f>COUNTIF(ROLES[Title],ROLES[[#This Row],[Title]])-1</f>
        <v>0</v>
      </c>
      <c r="C60"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60"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60"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60" s="57">
        <f>IF(COUNTIF(PAYSCALES[PayScaleCode],ROLES[[#This Row],[PayScaleCode]])&gt;0,0,1)</f>
        <v>0</v>
      </c>
      <c r="G60" s="57" cm="1">
        <f t="array" ref="G60">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60" s="57">
        <f>IF(ROLES[[#This Row],[AvailableToAllSchools]]=FALSE,IF(ISBLANK(ROLES[[#This Row],[SchoolCodes]]),1,0),IF(ROLES[[#This Row],[AvailableToAllSchools]]=TRUE,IF(ISBLANK(ROLES[[#This Row],[SchoolCodes]]),0,)))</f>
        <v>0</v>
      </c>
      <c r="I60" s="57">
        <f>IF(OR(ROLES[[#This Row],[StaffRoleEnabled]]=TRUE,ROLES[[#This Row],[StaffRoleEnabled]]=FALSE),IF(OR(ROLES[[#This Row],[AvailableToAllSchools]]=TRUE,ROLES[[#This Row],[AvailableToAllSchools]]=FALSE),0,1),1)</f>
        <v>0</v>
      </c>
      <c r="J60" s="57">
        <f>IF(LEN(ROLES[[#This Row],[StaffRoleCode]])&lt;100,0,1)</f>
        <v>0</v>
      </c>
      <c r="K60" s="57">
        <f>IF(LEN(ROLES[[#This Row],[Title]])&lt;100,0,1)</f>
        <v>0</v>
      </c>
      <c r="L60" s="57">
        <f>(COUNTBLANK(ROLES[[#This Row],[MonthsServiceBeforeIncrement]:[StaffRoleEnabled]]))+COUNTBLANK(ROLES[[#This Row],[FullTimeHoursPerWeek]])</f>
        <v>0</v>
      </c>
      <c r="M60" s="57">
        <f>IF(SUBSTITUTE(TEXT(ROLES[[#This Row],[StaffRoleCode]],10)," ","")=TEXT(ROLES[[#This Row],[StaffRoleCode]],10),0,1)</f>
        <v>0</v>
      </c>
      <c r="N60" s="57">
        <f>SUM(ROLES[[#This Row],[Duplicate Role Code]:[Space in Code]])</f>
        <v>0</v>
      </c>
      <c r="P60" s="12" t="s">
        <v>1186</v>
      </c>
      <c r="Q60" s="12" t="s">
        <v>4253</v>
      </c>
      <c r="R60" s="12" t="s">
        <v>4254</v>
      </c>
      <c r="S60" s="12" t="s">
        <v>3107</v>
      </c>
      <c r="T60" s="12">
        <v>37</v>
      </c>
      <c r="U60" s="155" t="b">
        <f>_xlfn.XLOOKUP(ROLES[[#This Row],[PayScaleCode]],PayScales!N:N,PayScales!T:T)</f>
        <v>1</v>
      </c>
      <c r="V60" s="154" t="str">
        <f>IF(ROLES[[#This Row],[AvailableToAllSchools]]=TRUE,"",_xlfn.XLOOKUP(ROLES[[#This Row],[PayScaleCode]],PayScales!N:N,PayScales!U:U))</f>
        <v/>
      </c>
      <c r="W60" s="12">
        <v>12</v>
      </c>
      <c r="X60" s="12">
        <v>0</v>
      </c>
      <c r="Y60" t="b">
        <v>1</v>
      </c>
      <c r="Z60" t="b">
        <v>0</v>
      </c>
    </row>
    <row r="61" spans="1:26" ht="15" customHeight="1" x14ac:dyDescent="0.3">
      <c r="A61" s="57">
        <f>COUNTIF(ROLES[StaffRoleCode],ROLES[[#This Row],[StaffRoleCode]])-1</f>
        <v>0</v>
      </c>
      <c r="B61" s="57">
        <f>COUNTIF(ROLES[Title],ROLES[[#This Row],[Title]])-1</f>
        <v>0</v>
      </c>
      <c r="C61"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61"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61"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61" s="57">
        <f>IF(COUNTIF(PAYSCALES[PayScaleCode],ROLES[[#This Row],[PayScaleCode]])&gt;0,0,1)</f>
        <v>0</v>
      </c>
      <c r="G61" s="57" cm="1">
        <f t="array" ref="G61">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61" s="57">
        <f>IF(ROLES[[#This Row],[AvailableToAllSchools]]=FALSE,IF(ISBLANK(ROLES[[#This Row],[SchoolCodes]]),1,0),IF(ROLES[[#This Row],[AvailableToAllSchools]]=TRUE,IF(ISBLANK(ROLES[[#This Row],[SchoolCodes]]),0,)))</f>
        <v>0</v>
      </c>
      <c r="I61" s="57">
        <f>IF(OR(ROLES[[#This Row],[StaffRoleEnabled]]=TRUE,ROLES[[#This Row],[StaffRoleEnabled]]=FALSE),IF(OR(ROLES[[#This Row],[AvailableToAllSchools]]=TRUE,ROLES[[#This Row],[AvailableToAllSchools]]=FALSE),0,1),1)</f>
        <v>0</v>
      </c>
      <c r="J61" s="57">
        <f>IF(LEN(ROLES[[#This Row],[StaffRoleCode]])&lt;100,0,1)</f>
        <v>0</v>
      </c>
      <c r="K61" s="57">
        <f>IF(LEN(ROLES[[#This Row],[Title]])&lt;100,0,1)</f>
        <v>0</v>
      </c>
      <c r="L61" s="57">
        <f>(COUNTBLANK(ROLES[[#This Row],[MonthsServiceBeforeIncrement]:[StaffRoleEnabled]]))+COUNTBLANK(ROLES[[#This Row],[FullTimeHoursPerWeek]])</f>
        <v>0</v>
      </c>
      <c r="M61" s="57">
        <f>IF(SUBSTITUTE(TEXT(ROLES[[#This Row],[StaffRoleCode]],10)," ","")=TEXT(ROLES[[#This Row],[StaffRoleCode]],10),0,1)</f>
        <v>0</v>
      </c>
      <c r="N61" s="57">
        <f>SUM(ROLES[[#This Row],[Duplicate Role Code]:[Space in Code]])</f>
        <v>0</v>
      </c>
      <c r="P61" s="12" t="s">
        <v>1186</v>
      </c>
      <c r="Q61" s="12" t="s">
        <v>1616</v>
      </c>
      <c r="R61" s="12" t="s">
        <v>1561</v>
      </c>
      <c r="S61" s="12" t="s">
        <v>3107</v>
      </c>
      <c r="T61" s="12">
        <v>37</v>
      </c>
      <c r="U61" s="155" t="b">
        <f>_xlfn.XLOOKUP(ROLES[[#This Row],[PayScaleCode]],PayScales!N:N,PayScales!T:T)</f>
        <v>1</v>
      </c>
      <c r="V61" s="154" t="str">
        <f>IF(ROLES[[#This Row],[AvailableToAllSchools]]=TRUE,"",_xlfn.XLOOKUP(ROLES[[#This Row],[PayScaleCode]],PayScales!N:N,PayScales!U:U))</f>
        <v/>
      </c>
      <c r="W61" s="12">
        <v>12</v>
      </c>
      <c r="X61" s="12">
        <v>0</v>
      </c>
      <c r="Y61" t="b">
        <v>1</v>
      </c>
      <c r="Z61" t="b">
        <v>0</v>
      </c>
    </row>
    <row r="62" spans="1:26" ht="15" customHeight="1" x14ac:dyDescent="0.3">
      <c r="A62" s="57">
        <f>COUNTIF(ROLES[StaffRoleCode],ROLES[[#This Row],[StaffRoleCode]])-1</f>
        <v>0</v>
      </c>
      <c r="B62" s="57">
        <f>COUNTIF(ROLES[Title],ROLES[[#This Row],[Title]])-1</f>
        <v>0</v>
      </c>
      <c r="C62"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62"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62"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62" s="57">
        <f>IF(COUNTIF(PAYSCALES[PayScaleCode],ROLES[[#This Row],[PayScaleCode]])&gt;0,0,1)</f>
        <v>0</v>
      </c>
      <c r="G62" s="57" cm="1">
        <f t="array" ref="G62">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62" s="57">
        <f>IF(ROLES[[#This Row],[AvailableToAllSchools]]=FALSE,IF(ISBLANK(ROLES[[#This Row],[SchoolCodes]]),1,0),IF(ROLES[[#This Row],[AvailableToAllSchools]]=TRUE,IF(ISBLANK(ROLES[[#This Row],[SchoolCodes]]),0,)))</f>
        <v>0</v>
      </c>
      <c r="I62" s="57">
        <f>IF(OR(ROLES[[#This Row],[StaffRoleEnabled]]=TRUE,ROLES[[#This Row],[StaffRoleEnabled]]=FALSE),IF(OR(ROLES[[#This Row],[AvailableToAllSchools]]=TRUE,ROLES[[#This Row],[AvailableToAllSchools]]=FALSE),0,1),1)</f>
        <v>0</v>
      </c>
      <c r="J62" s="57">
        <f>IF(LEN(ROLES[[#This Row],[StaffRoleCode]])&lt;100,0,1)</f>
        <v>0</v>
      </c>
      <c r="K62" s="57">
        <f>IF(LEN(ROLES[[#This Row],[Title]])&lt;100,0,1)</f>
        <v>0</v>
      </c>
      <c r="L62" s="57">
        <f>(COUNTBLANK(ROLES[[#This Row],[MonthsServiceBeforeIncrement]:[StaffRoleEnabled]]))+COUNTBLANK(ROLES[[#This Row],[FullTimeHoursPerWeek]])</f>
        <v>0</v>
      </c>
      <c r="M62" s="57">
        <f>IF(SUBSTITUTE(TEXT(ROLES[[#This Row],[StaffRoleCode]],10)," ","")=TEXT(ROLES[[#This Row],[StaffRoleCode]],10),0,1)</f>
        <v>0</v>
      </c>
      <c r="N62" s="57">
        <f>SUM(ROLES[[#This Row],[Duplicate Role Code]:[Space in Code]])</f>
        <v>0</v>
      </c>
      <c r="P62" s="12" t="s">
        <v>1186</v>
      </c>
      <c r="Q62" s="12" t="s">
        <v>4255</v>
      </c>
      <c r="R62" s="12" t="s">
        <v>4256</v>
      </c>
      <c r="S62" s="12" t="s">
        <v>3107</v>
      </c>
      <c r="T62" s="12">
        <v>37</v>
      </c>
      <c r="U62" s="155" t="b">
        <f>_xlfn.XLOOKUP(ROLES[[#This Row],[PayScaleCode]],PayScales!N:N,PayScales!T:T)</f>
        <v>1</v>
      </c>
      <c r="V62" s="154" t="str">
        <f>IF(ROLES[[#This Row],[AvailableToAllSchools]]=TRUE,"",_xlfn.XLOOKUP(ROLES[[#This Row],[PayScaleCode]],PayScales!N:N,PayScales!U:U))</f>
        <v/>
      </c>
      <c r="W62" s="12">
        <v>12</v>
      </c>
      <c r="X62" s="12">
        <v>0</v>
      </c>
      <c r="Y62" t="b">
        <v>1</v>
      </c>
      <c r="Z62" t="b">
        <v>0</v>
      </c>
    </row>
    <row r="63" spans="1:26" ht="15" customHeight="1" x14ac:dyDescent="0.3">
      <c r="A63" s="57">
        <f>COUNTIF(ROLES[StaffRoleCode],ROLES[[#This Row],[StaffRoleCode]])-1</f>
        <v>0</v>
      </c>
      <c r="B63" s="57">
        <f>COUNTIF(ROLES[Title],ROLES[[#This Row],[Title]])-1</f>
        <v>0</v>
      </c>
      <c r="C63"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63"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63"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63" s="57">
        <f>IF(COUNTIF(PAYSCALES[PayScaleCode],ROLES[[#This Row],[PayScaleCode]])&gt;0,0,1)</f>
        <v>0</v>
      </c>
      <c r="G63" s="57" cm="1">
        <f t="array" ref="G63">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63" s="57">
        <f>IF(ROLES[[#This Row],[AvailableToAllSchools]]=FALSE,IF(ISBLANK(ROLES[[#This Row],[SchoolCodes]]),1,0),IF(ROLES[[#This Row],[AvailableToAllSchools]]=TRUE,IF(ISBLANK(ROLES[[#This Row],[SchoolCodes]]),0,)))</f>
        <v>0</v>
      </c>
      <c r="I63" s="57">
        <f>IF(OR(ROLES[[#This Row],[StaffRoleEnabled]]=TRUE,ROLES[[#This Row],[StaffRoleEnabled]]=FALSE),IF(OR(ROLES[[#This Row],[AvailableToAllSchools]]=TRUE,ROLES[[#This Row],[AvailableToAllSchools]]=FALSE),0,1),1)</f>
        <v>0</v>
      </c>
      <c r="J63" s="57">
        <f>IF(LEN(ROLES[[#This Row],[StaffRoleCode]])&lt;100,0,1)</f>
        <v>0</v>
      </c>
      <c r="K63" s="57">
        <f>IF(LEN(ROLES[[#This Row],[Title]])&lt;100,0,1)</f>
        <v>0</v>
      </c>
      <c r="L63" s="57">
        <f>(COUNTBLANK(ROLES[[#This Row],[MonthsServiceBeforeIncrement]:[StaffRoleEnabled]]))+COUNTBLANK(ROLES[[#This Row],[FullTimeHoursPerWeek]])</f>
        <v>0</v>
      </c>
      <c r="M63" s="57">
        <f>IF(SUBSTITUTE(TEXT(ROLES[[#This Row],[StaffRoleCode]],10)," ","")=TEXT(ROLES[[#This Row],[StaffRoleCode]],10),0,1)</f>
        <v>0</v>
      </c>
      <c r="N63" s="57">
        <f>SUM(ROLES[[#This Row],[Duplicate Role Code]:[Space in Code]])</f>
        <v>0</v>
      </c>
      <c r="P63" s="12" t="s">
        <v>1186</v>
      </c>
      <c r="Q63" s="12" t="s">
        <v>4257</v>
      </c>
      <c r="R63" s="12" t="s">
        <v>4258</v>
      </c>
      <c r="S63" s="12" t="s">
        <v>3107</v>
      </c>
      <c r="T63" s="12">
        <v>37</v>
      </c>
      <c r="U63" s="155" t="b">
        <f>_xlfn.XLOOKUP(ROLES[[#This Row],[PayScaleCode]],PayScales!N:N,PayScales!T:T)</f>
        <v>1</v>
      </c>
      <c r="V63" s="154" t="str">
        <f>IF(ROLES[[#This Row],[AvailableToAllSchools]]=TRUE,"",_xlfn.XLOOKUP(ROLES[[#This Row],[PayScaleCode]],PayScales!N:N,PayScales!U:U))</f>
        <v/>
      </c>
      <c r="W63" s="12">
        <v>12</v>
      </c>
      <c r="X63" s="12">
        <v>0</v>
      </c>
      <c r="Y63" t="b">
        <v>1</v>
      </c>
      <c r="Z63" t="b">
        <v>0</v>
      </c>
    </row>
    <row r="64" spans="1:26" ht="15" customHeight="1" x14ac:dyDescent="0.3">
      <c r="A64" s="57">
        <f>COUNTIF(ROLES[StaffRoleCode],ROLES[[#This Row],[StaffRoleCode]])-1</f>
        <v>0</v>
      </c>
      <c r="B64" s="57">
        <f>COUNTIF(ROLES[Title],ROLES[[#This Row],[Title]])-1</f>
        <v>0</v>
      </c>
      <c r="C64"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64"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64"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64" s="57">
        <f>IF(COUNTIF(PAYSCALES[PayScaleCode],ROLES[[#This Row],[PayScaleCode]])&gt;0,0,1)</f>
        <v>0</v>
      </c>
      <c r="G64" s="57" cm="1">
        <f t="array" ref="G64">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64" s="57">
        <f>IF(ROLES[[#This Row],[AvailableToAllSchools]]=FALSE,IF(ISBLANK(ROLES[[#This Row],[SchoolCodes]]),1,0),IF(ROLES[[#This Row],[AvailableToAllSchools]]=TRUE,IF(ISBLANK(ROLES[[#This Row],[SchoolCodes]]),0,)))</f>
        <v>0</v>
      </c>
      <c r="I64" s="57">
        <f>IF(OR(ROLES[[#This Row],[StaffRoleEnabled]]=TRUE,ROLES[[#This Row],[StaffRoleEnabled]]=FALSE),IF(OR(ROLES[[#This Row],[AvailableToAllSchools]]=TRUE,ROLES[[#This Row],[AvailableToAllSchools]]=FALSE),0,1),1)</f>
        <v>0</v>
      </c>
      <c r="J64" s="57">
        <f>IF(LEN(ROLES[[#This Row],[StaffRoleCode]])&lt;100,0,1)</f>
        <v>0</v>
      </c>
      <c r="K64" s="57">
        <f>IF(LEN(ROLES[[#This Row],[Title]])&lt;100,0,1)</f>
        <v>0</v>
      </c>
      <c r="L64" s="57">
        <f>(COUNTBLANK(ROLES[[#This Row],[MonthsServiceBeforeIncrement]:[StaffRoleEnabled]]))+COUNTBLANK(ROLES[[#This Row],[FullTimeHoursPerWeek]])</f>
        <v>0</v>
      </c>
      <c r="M64" s="57">
        <f>IF(SUBSTITUTE(TEXT(ROLES[[#This Row],[StaffRoleCode]],10)," ","")=TEXT(ROLES[[#This Row],[StaffRoleCode]],10),0,1)</f>
        <v>0</v>
      </c>
      <c r="N64" s="57">
        <f>SUM(ROLES[[#This Row],[Duplicate Role Code]:[Space in Code]])</f>
        <v>0</v>
      </c>
      <c r="P64" s="12" t="s">
        <v>1186</v>
      </c>
      <c r="Q64" s="12" t="s">
        <v>4259</v>
      </c>
      <c r="R64" s="12" t="s">
        <v>4260</v>
      </c>
      <c r="S64" s="12" t="s">
        <v>3107</v>
      </c>
      <c r="T64" s="12">
        <v>37</v>
      </c>
      <c r="U64" s="155" t="b">
        <f>_xlfn.XLOOKUP(ROLES[[#This Row],[PayScaleCode]],PayScales!N:N,PayScales!T:T)</f>
        <v>1</v>
      </c>
      <c r="V64" s="154" t="str">
        <f>IF(ROLES[[#This Row],[AvailableToAllSchools]]=TRUE,"",_xlfn.XLOOKUP(ROLES[[#This Row],[PayScaleCode]],PayScales!N:N,PayScales!U:U))</f>
        <v/>
      </c>
      <c r="W64" s="12">
        <v>12</v>
      </c>
      <c r="X64" s="12">
        <v>0</v>
      </c>
      <c r="Y64" t="b">
        <v>1</v>
      </c>
      <c r="Z64" t="b">
        <v>0</v>
      </c>
    </row>
    <row r="65" spans="1:26" ht="15" customHeight="1" x14ac:dyDescent="0.3">
      <c r="A65" s="57">
        <f>COUNTIF(ROLES[StaffRoleCode],ROLES[[#This Row],[StaffRoleCode]])-1</f>
        <v>0</v>
      </c>
      <c r="B65" s="57">
        <f>COUNTIF(ROLES[Title],ROLES[[#This Row],[Title]])-1</f>
        <v>0</v>
      </c>
      <c r="C65"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65"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65"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65" s="57">
        <f>IF(COUNTIF(PAYSCALES[PayScaleCode],ROLES[[#This Row],[PayScaleCode]])&gt;0,0,1)</f>
        <v>0</v>
      </c>
      <c r="G65" s="57" cm="1">
        <f t="array" ref="G65">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65" s="57">
        <f>IF(ROLES[[#This Row],[AvailableToAllSchools]]=FALSE,IF(ISBLANK(ROLES[[#This Row],[SchoolCodes]]),1,0),IF(ROLES[[#This Row],[AvailableToAllSchools]]=TRUE,IF(ISBLANK(ROLES[[#This Row],[SchoolCodes]]),0,)))</f>
        <v>0</v>
      </c>
      <c r="I65" s="57">
        <f>IF(OR(ROLES[[#This Row],[StaffRoleEnabled]]=TRUE,ROLES[[#This Row],[StaffRoleEnabled]]=FALSE),IF(OR(ROLES[[#This Row],[AvailableToAllSchools]]=TRUE,ROLES[[#This Row],[AvailableToAllSchools]]=FALSE),0,1),1)</f>
        <v>0</v>
      </c>
      <c r="J65" s="57">
        <f>IF(LEN(ROLES[[#This Row],[StaffRoleCode]])&lt;100,0,1)</f>
        <v>0</v>
      </c>
      <c r="K65" s="57">
        <f>IF(LEN(ROLES[[#This Row],[Title]])&lt;100,0,1)</f>
        <v>0</v>
      </c>
      <c r="L65" s="57">
        <f>(COUNTBLANK(ROLES[[#This Row],[MonthsServiceBeforeIncrement]:[StaffRoleEnabled]]))+COUNTBLANK(ROLES[[#This Row],[FullTimeHoursPerWeek]])</f>
        <v>0</v>
      </c>
      <c r="M65" s="57">
        <f>IF(SUBSTITUTE(TEXT(ROLES[[#This Row],[StaffRoleCode]],10)," ","")=TEXT(ROLES[[#This Row],[StaffRoleCode]],10),0,1)</f>
        <v>0</v>
      </c>
      <c r="N65" s="57">
        <f>SUM(ROLES[[#This Row],[Duplicate Role Code]:[Space in Code]])</f>
        <v>0</v>
      </c>
      <c r="P65" s="12" t="s">
        <v>1186</v>
      </c>
      <c r="Q65" s="12" t="s">
        <v>4261</v>
      </c>
      <c r="R65" s="12" t="s">
        <v>4262</v>
      </c>
      <c r="S65" s="12" t="s">
        <v>3107</v>
      </c>
      <c r="T65" s="12">
        <v>37</v>
      </c>
      <c r="U65" s="155" t="b">
        <f>_xlfn.XLOOKUP(ROLES[[#This Row],[PayScaleCode]],PayScales!N:N,PayScales!T:T)</f>
        <v>1</v>
      </c>
      <c r="V65" s="154" t="str">
        <f>IF(ROLES[[#This Row],[AvailableToAllSchools]]=TRUE,"",_xlfn.XLOOKUP(ROLES[[#This Row],[PayScaleCode]],PayScales!N:N,PayScales!U:U))</f>
        <v/>
      </c>
      <c r="W65" s="12">
        <v>12</v>
      </c>
      <c r="X65" s="12">
        <v>0</v>
      </c>
      <c r="Y65" t="b">
        <v>1</v>
      </c>
      <c r="Z65" t="b">
        <v>0</v>
      </c>
    </row>
    <row r="66" spans="1:26" ht="15" customHeight="1" x14ac:dyDescent="0.3">
      <c r="A66" s="57">
        <f>COUNTIF(ROLES[StaffRoleCode],ROLES[[#This Row],[StaffRoleCode]])-1</f>
        <v>0</v>
      </c>
      <c r="B66" s="57">
        <f>COUNTIF(ROLES[Title],ROLES[[#This Row],[Title]])-1</f>
        <v>0</v>
      </c>
      <c r="C66"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66"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66"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66" s="57">
        <f>IF(COUNTIF(PAYSCALES[PayScaleCode],ROLES[[#This Row],[PayScaleCode]])&gt;0,0,1)</f>
        <v>0</v>
      </c>
      <c r="G66" s="57" cm="1">
        <f t="array" ref="G66">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66" s="57">
        <f>IF(ROLES[[#This Row],[AvailableToAllSchools]]=FALSE,IF(ISBLANK(ROLES[[#This Row],[SchoolCodes]]),1,0),IF(ROLES[[#This Row],[AvailableToAllSchools]]=TRUE,IF(ISBLANK(ROLES[[#This Row],[SchoolCodes]]),0,)))</f>
        <v>0</v>
      </c>
      <c r="I66" s="57">
        <f>IF(OR(ROLES[[#This Row],[StaffRoleEnabled]]=TRUE,ROLES[[#This Row],[StaffRoleEnabled]]=FALSE),IF(OR(ROLES[[#This Row],[AvailableToAllSchools]]=TRUE,ROLES[[#This Row],[AvailableToAllSchools]]=FALSE),0,1),1)</f>
        <v>0</v>
      </c>
      <c r="J66" s="57">
        <f>IF(LEN(ROLES[[#This Row],[StaffRoleCode]])&lt;100,0,1)</f>
        <v>0</v>
      </c>
      <c r="K66" s="57">
        <f>IF(LEN(ROLES[[#This Row],[Title]])&lt;100,0,1)</f>
        <v>0</v>
      </c>
      <c r="L66" s="57">
        <f>(COUNTBLANK(ROLES[[#This Row],[MonthsServiceBeforeIncrement]:[StaffRoleEnabled]]))+COUNTBLANK(ROLES[[#This Row],[FullTimeHoursPerWeek]])</f>
        <v>0</v>
      </c>
      <c r="M66" s="57">
        <f>IF(SUBSTITUTE(TEXT(ROLES[[#This Row],[StaffRoleCode]],10)," ","")=TEXT(ROLES[[#This Row],[StaffRoleCode]],10),0,1)</f>
        <v>0</v>
      </c>
      <c r="N66" s="57">
        <f>SUM(ROLES[[#This Row],[Duplicate Role Code]:[Space in Code]])</f>
        <v>0</v>
      </c>
      <c r="P66" s="12" t="s">
        <v>1186</v>
      </c>
      <c r="Q66" s="12" t="s">
        <v>4263</v>
      </c>
      <c r="R66" s="12" t="s">
        <v>4264</v>
      </c>
      <c r="S66" s="12" t="s">
        <v>3107</v>
      </c>
      <c r="T66" s="12">
        <v>37</v>
      </c>
      <c r="U66" s="155" t="b">
        <f>_xlfn.XLOOKUP(ROLES[[#This Row],[PayScaleCode]],PayScales!N:N,PayScales!T:T)</f>
        <v>1</v>
      </c>
      <c r="V66" s="154" t="str">
        <f>IF(ROLES[[#This Row],[AvailableToAllSchools]]=TRUE,"",_xlfn.XLOOKUP(ROLES[[#This Row],[PayScaleCode]],PayScales!N:N,PayScales!U:U))</f>
        <v/>
      </c>
      <c r="W66" s="12">
        <v>12</v>
      </c>
      <c r="X66" s="12">
        <v>0</v>
      </c>
      <c r="Y66" t="b">
        <v>1</v>
      </c>
      <c r="Z66" t="b">
        <v>1</v>
      </c>
    </row>
    <row r="67" spans="1:26" ht="15" customHeight="1" x14ac:dyDescent="0.3">
      <c r="A67" s="57">
        <f>COUNTIF(ROLES[StaffRoleCode],ROLES[[#This Row],[StaffRoleCode]])-1</f>
        <v>0</v>
      </c>
      <c r="B67" s="57">
        <f>COUNTIF(ROLES[Title],ROLES[[#This Row],[Title]])-1</f>
        <v>0</v>
      </c>
      <c r="C67"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67"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67"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67" s="57">
        <f>IF(COUNTIF(PAYSCALES[PayScaleCode],ROLES[[#This Row],[PayScaleCode]])&gt;0,0,1)</f>
        <v>0</v>
      </c>
      <c r="G67" s="57" cm="1">
        <f t="array" ref="G67">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67" s="57">
        <f>IF(ROLES[[#This Row],[AvailableToAllSchools]]=FALSE,IF(ISBLANK(ROLES[[#This Row],[SchoolCodes]]),1,0),IF(ROLES[[#This Row],[AvailableToAllSchools]]=TRUE,IF(ISBLANK(ROLES[[#This Row],[SchoolCodes]]),0,)))</f>
        <v>0</v>
      </c>
      <c r="I67" s="57">
        <f>IF(OR(ROLES[[#This Row],[StaffRoleEnabled]]=TRUE,ROLES[[#This Row],[StaffRoleEnabled]]=FALSE),IF(OR(ROLES[[#This Row],[AvailableToAllSchools]]=TRUE,ROLES[[#This Row],[AvailableToAllSchools]]=FALSE),0,1),1)</f>
        <v>0</v>
      </c>
      <c r="J67" s="57">
        <f>IF(LEN(ROLES[[#This Row],[StaffRoleCode]])&lt;100,0,1)</f>
        <v>0</v>
      </c>
      <c r="K67" s="57">
        <f>IF(LEN(ROLES[[#This Row],[Title]])&lt;100,0,1)</f>
        <v>0</v>
      </c>
      <c r="L67" s="57">
        <f>(COUNTBLANK(ROLES[[#This Row],[MonthsServiceBeforeIncrement]:[StaffRoleEnabled]]))+COUNTBLANK(ROLES[[#This Row],[FullTimeHoursPerWeek]])</f>
        <v>0</v>
      </c>
      <c r="M67" s="57">
        <f>IF(SUBSTITUTE(TEXT(ROLES[[#This Row],[StaffRoleCode]],10)," ","")=TEXT(ROLES[[#This Row],[StaffRoleCode]],10),0,1)</f>
        <v>0</v>
      </c>
      <c r="N67" s="57">
        <f>SUM(ROLES[[#This Row],[Duplicate Role Code]:[Space in Code]])</f>
        <v>0</v>
      </c>
      <c r="P67" s="12" t="s">
        <v>1186</v>
      </c>
      <c r="Q67" s="12" t="s">
        <v>1563</v>
      </c>
      <c r="R67" s="12" t="s">
        <v>1564</v>
      </c>
      <c r="S67" s="12" t="s">
        <v>3107</v>
      </c>
      <c r="T67" s="12">
        <v>37</v>
      </c>
      <c r="U67" s="155" t="b">
        <f>_xlfn.XLOOKUP(ROLES[[#This Row],[PayScaleCode]],PayScales!N:N,PayScales!T:T)</f>
        <v>1</v>
      </c>
      <c r="V67" s="154" t="str">
        <f>IF(ROLES[[#This Row],[AvailableToAllSchools]]=TRUE,"",_xlfn.XLOOKUP(ROLES[[#This Row],[PayScaleCode]],PayScales!N:N,PayScales!U:U))</f>
        <v/>
      </c>
      <c r="W67" s="12">
        <v>12</v>
      </c>
      <c r="X67" s="12">
        <v>0</v>
      </c>
      <c r="Y67" t="b">
        <v>1</v>
      </c>
      <c r="Z67" t="b">
        <v>0</v>
      </c>
    </row>
    <row r="68" spans="1:26" ht="15" customHeight="1" x14ac:dyDescent="0.3">
      <c r="A68" s="57">
        <f>COUNTIF(ROLES[StaffRoleCode],ROLES[[#This Row],[StaffRoleCode]])-1</f>
        <v>0</v>
      </c>
      <c r="B68" s="57">
        <f>COUNTIF(ROLES[Title],ROLES[[#This Row],[Title]])-1</f>
        <v>0</v>
      </c>
      <c r="C68"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68"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68"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68" s="57">
        <f>IF(COUNTIF(PAYSCALES[PayScaleCode],ROLES[[#This Row],[PayScaleCode]])&gt;0,0,1)</f>
        <v>0</v>
      </c>
      <c r="G68" s="57" cm="1">
        <f t="array" ref="G68">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68" s="57">
        <f>IF(ROLES[[#This Row],[AvailableToAllSchools]]=FALSE,IF(ISBLANK(ROLES[[#This Row],[SchoolCodes]]),1,0),IF(ROLES[[#This Row],[AvailableToAllSchools]]=TRUE,IF(ISBLANK(ROLES[[#This Row],[SchoolCodes]]),0,)))</f>
        <v>0</v>
      </c>
      <c r="I68" s="57">
        <f>IF(OR(ROLES[[#This Row],[StaffRoleEnabled]]=TRUE,ROLES[[#This Row],[StaffRoleEnabled]]=FALSE),IF(OR(ROLES[[#This Row],[AvailableToAllSchools]]=TRUE,ROLES[[#This Row],[AvailableToAllSchools]]=FALSE),0,1),1)</f>
        <v>0</v>
      </c>
      <c r="J68" s="57">
        <f>IF(LEN(ROLES[[#This Row],[StaffRoleCode]])&lt;100,0,1)</f>
        <v>0</v>
      </c>
      <c r="K68" s="57">
        <f>IF(LEN(ROLES[[#This Row],[Title]])&lt;100,0,1)</f>
        <v>0</v>
      </c>
      <c r="L68" s="57">
        <f>(COUNTBLANK(ROLES[[#This Row],[MonthsServiceBeforeIncrement]:[StaffRoleEnabled]]))+COUNTBLANK(ROLES[[#This Row],[FullTimeHoursPerWeek]])</f>
        <v>0</v>
      </c>
      <c r="M68" s="57">
        <f>IF(SUBSTITUTE(TEXT(ROLES[[#This Row],[StaffRoleCode]],10)," ","")=TEXT(ROLES[[#This Row],[StaffRoleCode]],10),0,1)</f>
        <v>0</v>
      </c>
      <c r="N68" s="57">
        <f>SUM(ROLES[[#This Row],[Duplicate Role Code]:[Space in Code]])</f>
        <v>0</v>
      </c>
      <c r="P68" s="12" t="s">
        <v>1186</v>
      </c>
      <c r="Q68" s="12" t="s">
        <v>4265</v>
      </c>
      <c r="R68" s="12" t="s">
        <v>4266</v>
      </c>
      <c r="S68" s="12" t="s">
        <v>3107</v>
      </c>
      <c r="T68" s="12">
        <v>37</v>
      </c>
      <c r="U68" s="155" t="b">
        <f>_xlfn.XLOOKUP(ROLES[[#This Row],[PayScaleCode]],PayScales!N:N,PayScales!T:T)</f>
        <v>1</v>
      </c>
      <c r="V68" s="154" t="str">
        <f>IF(ROLES[[#This Row],[AvailableToAllSchools]]=TRUE,"",_xlfn.XLOOKUP(ROLES[[#This Row],[PayScaleCode]],PayScales!N:N,PayScales!U:U))</f>
        <v/>
      </c>
      <c r="W68" s="12">
        <v>12</v>
      </c>
      <c r="X68" s="12">
        <v>0</v>
      </c>
      <c r="Y68" t="b">
        <v>1</v>
      </c>
      <c r="Z68" t="b">
        <v>0</v>
      </c>
    </row>
    <row r="69" spans="1:26" ht="15" customHeight="1" x14ac:dyDescent="0.3">
      <c r="A69" s="57">
        <f>COUNTIF(ROLES[StaffRoleCode],ROLES[[#This Row],[StaffRoleCode]])-1</f>
        <v>0</v>
      </c>
      <c r="B69" s="57">
        <f>COUNTIF(ROLES[Title],ROLES[[#This Row],[Title]])-1</f>
        <v>0</v>
      </c>
      <c r="C69"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69"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69"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69" s="57">
        <f>IF(COUNTIF(PAYSCALES[PayScaleCode],ROLES[[#This Row],[PayScaleCode]])&gt;0,0,1)</f>
        <v>0</v>
      </c>
      <c r="G69" s="57" cm="1">
        <f t="array" ref="G69">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69" s="57">
        <f>IF(ROLES[[#This Row],[AvailableToAllSchools]]=FALSE,IF(ISBLANK(ROLES[[#This Row],[SchoolCodes]]),1,0),IF(ROLES[[#This Row],[AvailableToAllSchools]]=TRUE,IF(ISBLANK(ROLES[[#This Row],[SchoolCodes]]),0,)))</f>
        <v>0</v>
      </c>
      <c r="I69" s="57">
        <f>IF(OR(ROLES[[#This Row],[StaffRoleEnabled]]=TRUE,ROLES[[#This Row],[StaffRoleEnabled]]=FALSE),IF(OR(ROLES[[#This Row],[AvailableToAllSchools]]=TRUE,ROLES[[#This Row],[AvailableToAllSchools]]=FALSE),0,1),1)</f>
        <v>0</v>
      </c>
      <c r="J69" s="57">
        <f>IF(LEN(ROLES[[#This Row],[StaffRoleCode]])&lt;100,0,1)</f>
        <v>0</v>
      </c>
      <c r="K69" s="57">
        <f>IF(LEN(ROLES[[#This Row],[Title]])&lt;100,0,1)</f>
        <v>0</v>
      </c>
      <c r="L69" s="57">
        <f>(COUNTBLANK(ROLES[[#This Row],[MonthsServiceBeforeIncrement]:[StaffRoleEnabled]]))+COUNTBLANK(ROLES[[#This Row],[FullTimeHoursPerWeek]])</f>
        <v>0</v>
      </c>
      <c r="M69" s="57">
        <f>IF(SUBSTITUTE(TEXT(ROLES[[#This Row],[StaffRoleCode]],10)," ","")=TEXT(ROLES[[#This Row],[StaffRoleCode]],10),0,1)</f>
        <v>0</v>
      </c>
      <c r="N69" s="57">
        <f>SUM(ROLES[[#This Row],[Duplicate Role Code]:[Space in Code]])</f>
        <v>0</v>
      </c>
      <c r="P69" s="12" t="s">
        <v>1186</v>
      </c>
      <c r="Q69" s="12" t="s">
        <v>1559</v>
      </c>
      <c r="R69" s="12" t="s">
        <v>1560</v>
      </c>
      <c r="S69" s="12" t="s">
        <v>3107</v>
      </c>
      <c r="T69" s="12">
        <v>37</v>
      </c>
      <c r="U69" s="155" t="b">
        <f>_xlfn.XLOOKUP(ROLES[[#This Row],[PayScaleCode]],PayScales!N:N,PayScales!T:T)</f>
        <v>1</v>
      </c>
      <c r="V69" s="154" t="str">
        <f>IF(ROLES[[#This Row],[AvailableToAllSchools]]=TRUE,"",_xlfn.XLOOKUP(ROLES[[#This Row],[PayScaleCode]],PayScales!N:N,PayScales!U:U))</f>
        <v/>
      </c>
      <c r="W69" s="12">
        <v>12</v>
      </c>
      <c r="X69" s="12">
        <v>0</v>
      </c>
      <c r="Y69" t="b">
        <v>1</v>
      </c>
      <c r="Z69" t="b">
        <v>0</v>
      </c>
    </row>
    <row r="70" spans="1:26" ht="15" customHeight="1" x14ac:dyDescent="0.3">
      <c r="A70" s="57">
        <f>COUNTIF(ROLES[StaffRoleCode],ROLES[[#This Row],[StaffRoleCode]])-1</f>
        <v>0</v>
      </c>
      <c r="B70" s="57">
        <f>COUNTIF(ROLES[Title],ROLES[[#This Row],[Title]])-1</f>
        <v>0</v>
      </c>
      <c r="C70"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70"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70"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70" s="57">
        <f>IF(COUNTIF(PAYSCALES[PayScaleCode],ROLES[[#This Row],[PayScaleCode]])&gt;0,0,1)</f>
        <v>0</v>
      </c>
      <c r="G70" s="57" cm="1">
        <f t="array" ref="G70">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70" s="57">
        <f>IF(ROLES[[#This Row],[AvailableToAllSchools]]=FALSE,IF(ISBLANK(ROLES[[#This Row],[SchoolCodes]]),1,0),IF(ROLES[[#This Row],[AvailableToAllSchools]]=TRUE,IF(ISBLANK(ROLES[[#This Row],[SchoolCodes]]),0,)))</f>
        <v>0</v>
      </c>
      <c r="I70" s="57">
        <f>IF(OR(ROLES[[#This Row],[StaffRoleEnabled]]=TRUE,ROLES[[#This Row],[StaffRoleEnabled]]=FALSE),IF(OR(ROLES[[#This Row],[AvailableToAllSchools]]=TRUE,ROLES[[#This Row],[AvailableToAllSchools]]=FALSE),0,1),1)</f>
        <v>0</v>
      </c>
      <c r="J70" s="57">
        <f>IF(LEN(ROLES[[#This Row],[StaffRoleCode]])&lt;100,0,1)</f>
        <v>0</v>
      </c>
      <c r="K70" s="57">
        <f>IF(LEN(ROLES[[#This Row],[Title]])&lt;100,0,1)</f>
        <v>0</v>
      </c>
      <c r="L70" s="57">
        <f>(COUNTBLANK(ROLES[[#This Row],[MonthsServiceBeforeIncrement]:[StaffRoleEnabled]]))+COUNTBLANK(ROLES[[#This Row],[FullTimeHoursPerWeek]])</f>
        <v>0</v>
      </c>
      <c r="M70" s="57">
        <f>IF(SUBSTITUTE(TEXT(ROLES[[#This Row],[StaffRoleCode]],10)," ","")=TEXT(ROLES[[#This Row],[StaffRoleCode]],10),0,1)</f>
        <v>0</v>
      </c>
      <c r="N70" s="57">
        <f>SUM(ROLES[[#This Row],[Duplicate Role Code]:[Space in Code]])</f>
        <v>0</v>
      </c>
      <c r="P70" s="12" t="s">
        <v>1186</v>
      </c>
      <c r="Q70" s="12" t="s">
        <v>4267</v>
      </c>
      <c r="R70" s="12" t="s">
        <v>4268</v>
      </c>
      <c r="S70" s="12" t="s">
        <v>3107</v>
      </c>
      <c r="T70" s="12">
        <v>37</v>
      </c>
      <c r="U70" s="155" t="b">
        <f>_xlfn.XLOOKUP(ROLES[[#This Row],[PayScaleCode]],PayScales!N:N,PayScales!T:T)</f>
        <v>1</v>
      </c>
      <c r="V70" s="154" t="str">
        <f>IF(ROLES[[#This Row],[AvailableToAllSchools]]=TRUE,"",_xlfn.XLOOKUP(ROLES[[#This Row],[PayScaleCode]],PayScales!N:N,PayScales!U:U))</f>
        <v/>
      </c>
      <c r="W70" s="12">
        <v>12</v>
      </c>
      <c r="X70" s="12">
        <v>0</v>
      </c>
      <c r="Y70" t="b">
        <v>1</v>
      </c>
      <c r="Z70" t="b">
        <v>0</v>
      </c>
    </row>
    <row r="71" spans="1:26" ht="15" customHeight="1" x14ac:dyDescent="0.3">
      <c r="A71" s="57">
        <f>COUNTIF(ROLES[StaffRoleCode],ROLES[[#This Row],[StaffRoleCode]])-1</f>
        <v>0</v>
      </c>
      <c r="B71" s="57">
        <f>COUNTIF(ROLES[Title],ROLES[[#This Row],[Title]])-1</f>
        <v>0</v>
      </c>
      <c r="C71"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71"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71"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71" s="57">
        <f>IF(COUNTIF(PAYSCALES[PayScaleCode],ROLES[[#This Row],[PayScaleCode]])&gt;0,0,1)</f>
        <v>0</v>
      </c>
      <c r="G71" s="57" cm="1">
        <f t="array" ref="G71">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71" s="57">
        <f>IF(ROLES[[#This Row],[AvailableToAllSchools]]=FALSE,IF(ISBLANK(ROLES[[#This Row],[SchoolCodes]]),1,0),IF(ROLES[[#This Row],[AvailableToAllSchools]]=TRUE,IF(ISBLANK(ROLES[[#This Row],[SchoolCodes]]),0,)))</f>
        <v>0</v>
      </c>
      <c r="I71" s="57">
        <f>IF(OR(ROLES[[#This Row],[StaffRoleEnabled]]=TRUE,ROLES[[#This Row],[StaffRoleEnabled]]=FALSE),IF(OR(ROLES[[#This Row],[AvailableToAllSchools]]=TRUE,ROLES[[#This Row],[AvailableToAllSchools]]=FALSE),0,1),1)</f>
        <v>0</v>
      </c>
      <c r="J71" s="57">
        <f>IF(LEN(ROLES[[#This Row],[StaffRoleCode]])&lt;100,0,1)</f>
        <v>0</v>
      </c>
      <c r="K71" s="57">
        <f>IF(LEN(ROLES[[#This Row],[Title]])&lt;100,0,1)</f>
        <v>0</v>
      </c>
      <c r="L71" s="57">
        <f>(COUNTBLANK(ROLES[[#This Row],[MonthsServiceBeforeIncrement]:[StaffRoleEnabled]]))+COUNTBLANK(ROLES[[#This Row],[FullTimeHoursPerWeek]])</f>
        <v>0</v>
      </c>
      <c r="M71" s="57">
        <f>IF(SUBSTITUTE(TEXT(ROLES[[#This Row],[StaffRoleCode]],10)," ","")=TEXT(ROLES[[#This Row],[StaffRoleCode]],10),0,1)</f>
        <v>0</v>
      </c>
      <c r="N71" s="57">
        <f>SUM(ROLES[[#This Row],[Duplicate Role Code]:[Space in Code]])</f>
        <v>0</v>
      </c>
      <c r="P71" s="12" t="s">
        <v>1186</v>
      </c>
      <c r="Q71" s="12" t="s">
        <v>4269</v>
      </c>
      <c r="R71" s="12" t="s">
        <v>4270</v>
      </c>
      <c r="S71" s="12" t="s">
        <v>3107</v>
      </c>
      <c r="T71" s="12">
        <v>37</v>
      </c>
      <c r="U71" s="155" t="b">
        <f>_xlfn.XLOOKUP(ROLES[[#This Row],[PayScaleCode]],PayScales!N:N,PayScales!T:T)</f>
        <v>1</v>
      </c>
      <c r="V71" s="154" t="str">
        <f>IF(ROLES[[#This Row],[AvailableToAllSchools]]=TRUE,"",_xlfn.XLOOKUP(ROLES[[#This Row],[PayScaleCode]],PayScales!N:N,PayScales!U:U))</f>
        <v/>
      </c>
      <c r="W71" s="12">
        <v>12</v>
      </c>
      <c r="X71" s="12">
        <v>0</v>
      </c>
      <c r="Y71" t="b">
        <v>1</v>
      </c>
      <c r="Z71" t="b">
        <v>1</v>
      </c>
    </row>
    <row r="72" spans="1:26" ht="15" customHeight="1" x14ac:dyDescent="0.3">
      <c r="A72" s="57">
        <f>COUNTIF(ROLES[StaffRoleCode],ROLES[[#This Row],[StaffRoleCode]])-1</f>
        <v>0</v>
      </c>
      <c r="B72" s="57">
        <f>COUNTIF(ROLES[Title],ROLES[[#This Row],[Title]])-1</f>
        <v>0</v>
      </c>
      <c r="C72"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72"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72"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72" s="57">
        <f>IF(COUNTIF(PAYSCALES[PayScaleCode],ROLES[[#This Row],[PayScaleCode]])&gt;0,0,1)</f>
        <v>0</v>
      </c>
      <c r="G72" s="57" cm="1">
        <f t="array" ref="G72">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72" s="57">
        <f>IF(ROLES[[#This Row],[AvailableToAllSchools]]=FALSE,IF(ISBLANK(ROLES[[#This Row],[SchoolCodes]]),1,0),IF(ROLES[[#This Row],[AvailableToAllSchools]]=TRUE,IF(ISBLANK(ROLES[[#This Row],[SchoolCodes]]),0,)))</f>
        <v>0</v>
      </c>
      <c r="I72" s="57">
        <f>IF(OR(ROLES[[#This Row],[StaffRoleEnabled]]=TRUE,ROLES[[#This Row],[StaffRoleEnabled]]=FALSE),IF(OR(ROLES[[#This Row],[AvailableToAllSchools]]=TRUE,ROLES[[#This Row],[AvailableToAllSchools]]=FALSE),0,1),1)</f>
        <v>0</v>
      </c>
      <c r="J72" s="57">
        <f>IF(LEN(ROLES[[#This Row],[StaffRoleCode]])&lt;100,0,1)</f>
        <v>0</v>
      </c>
      <c r="K72" s="57">
        <f>IF(LEN(ROLES[[#This Row],[Title]])&lt;100,0,1)</f>
        <v>0</v>
      </c>
      <c r="L72" s="57">
        <f>(COUNTBLANK(ROLES[[#This Row],[MonthsServiceBeforeIncrement]:[StaffRoleEnabled]]))+COUNTBLANK(ROLES[[#This Row],[FullTimeHoursPerWeek]])</f>
        <v>0</v>
      </c>
      <c r="M72" s="57">
        <f>IF(SUBSTITUTE(TEXT(ROLES[[#This Row],[StaffRoleCode]],10)," ","")=TEXT(ROLES[[#This Row],[StaffRoleCode]],10),0,1)</f>
        <v>0</v>
      </c>
      <c r="N72" s="57">
        <f>SUM(ROLES[[#This Row],[Duplicate Role Code]:[Space in Code]])</f>
        <v>0</v>
      </c>
      <c r="P72" s="12" t="s">
        <v>1186</v>
      </c>
      <c r="Q72" s="12" t="s">
        <v>4271</v>
      </c>
      <c r="R72" s="12" t="s">
        <v>4272</v>
      </c>
      <c r="S72" s="12" t="s">
        <v>3107</v>
      </c>
      <c r="T72" s="12">
        <v>37</v>
      </c>
      <c r="U72" s="155" t="b">
        <f>_xlfn.XLOOKUP(ROLES[[#This Row],[PayScaleCode]],PayScales!N:N,PayScales!T:T)</f>
        <v>1</v>
      </c>
      <c r="V72" s="154" t="str">
        <f>IF(ROLES[[#This Row],[AvailableToAllSchools]]=TRUE,"",_xlfn.XLOOKUP(ROLES[[#This Row],[PayScaleCode]],PayScales!N:N,PayScales!U:U))</f>
        <v/>
      </c>
      <c r="W72" s="12">
        <v>12</v>
      </c>
      <c r="X72" s="12">
        <v>0</v>
      </c>
      <c r="Y72" t="b">
        <v>1</v>
      </c>
      <c r="Z72" t="b">
        <v>0</v>
      </c>
    </row>
    <row r="73" spans="1:26" ht="15" customHeight="1" x14ac:dyDescent="0.3">
      <c r="A73" s="57">
        <f>COUNTIF(ROLES[StaffRoleCode],ROLES[[#This Row],[StaffRoleCode]])-1</f>
        <v>0</v>
      </c>
      <c r="B73" s="57">
        <f>COUNTIF(ROLES[Title],ROLES[[#This Row],[Title]])-1</f>
        <v>0</v>
      </c>
      <c r="C73"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73"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73"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73" s="57">
        <f>IF(COUNTIF(PAYSCALES[PayScaleCode],ROLES[[#This Row],[PayScaleCode]])&gt;0,0,1)</f>
        <v>0</v>
      </c>
      <c r="G73" s="57" cm="1">
        <f t="array" ref="G73">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73" s="57">
        <f>IF(ROLES[[#This Row],[AvailableToAllSchools]]=FALSE,IF(ISBLANK(ROLES[[#This Row],[SchoolCodes]]),1,0),IF(ROLES[[#This Row],[AvailableToAllSchools]]=TRUE,IF(ISBLANK(ROLES[[#This Row],[SchoolCodes]]),0,)))</f>
        <v>0</v>
      </c>
      <c r="I73" s="57">
        <f>IF(OR(ROLES[[#This Row],[StaffRoleEnabled]]=TRUE,ROLES[[#This Row],[StaffRoleEnabled]]=FALSE),IF(OR(ROLES[[#This Row],[AvailableToAllSchools]]=TRUE,ROLES[[#This Row],[AvailableToAllSchools]]=FALSE),0,1),1)</f>
        <v>0</v>
      </c>
      <c r="J73" s="57">
        <f>IF(LEN(ROLES[[#This Row],[StaffRoleCode]])&lt;100,0,1)</f>
        <v>0</v>
      </c>
      <c r="K73" s="57">
        <f>IF(LEN(ROLES[[#This Row],[Title]])&lt;100,0,1)</f>
        <v>0</v>
      </c>
      <c r="L73" s="57">
        <f>(COUNTBLANK(ROLES[[#This Row],[MonthsServiceBeforeIncrement]:[StaffRoleEnabled]]))+COUNTBLANK(ROLES[[#This Row],[FullTimeHoursPerWeek]])</f>
        <v>0</v>
      </c>
      <c r="M73" s="57">
        <f>IF(SUBSTITUTE(TEXT(ROLES[[#This Row],[StaffRoleCode]],10)," ","")=TEXT(ROLES[[#This Row],[StaffRoleCode]],10),0,1)</f>
        <v>0</v>
      </c>
      <c r="N73" s="57">
        <f>SUM(ROLES[[#This Row],[Duplicate Role Code]:[Space in Code]])</f>
        <v>0</v>
      </c>
      <c r="P73" s="12" t="s">
        <v>1186</v>
      </c>
      <c r="Q73" s="12" t="s">
        <v>4273</v>
      </c>
      <c r="R73" s="12" t="s">
        <v>4274</v>
      </c>
      <c r="S73" s="12" t="s">
        <v>3107</v>
      </c>
      <c r="T73" s="12">
        <v>37</v>
      </c>
      <c r="U73" s="155" t="b">
        <f>_xlfn.XLOOKUP(ROLES[[#This Row],[PayScaleCode]],PayScales!N:N,PayScales!T:T)</f>
        <v>1</v>
      </c>
      <c r="V73" s="154" t="str">
        <f>IF(ROLES[[#This Row],[AvailableToAllSchools]]=TRUE,"",_xlfn.XLOOKUP(ROLES[[#This Row],[PayScaleCode]],PayScales!N:N,PayScales!U:U))</f>
        <v/>
      </c>
      <c r="W73" s="12">
        <v>12</v>
      </c>
      <c r="X73" s="12">
        <v>0</v>
      </c>
      <c r="Y73" t="b">
        <v>1</v>
      </c>
      <c r="Z73" t="b">
        <v>0</v>
      </c>
    </row>
    <row r="74" spans="1:26" ht="15" customHeight="1" x14ac:dyDescent="0.3">
      <c r="A74" s="57">
        <f>COUNTIF(ROLES[StaffRoleCode],ROLES[[#This Row],[StaffRoleCode]])-1</f>
        <v>0</v>
      </c>
      <c r="B74" s="57">
        <f>COUNTIF(ROLES[Title],ROLES[[#This Row],[Title]])-1</f>
        <v>0</v>
      </c>
      <c r="C74"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74"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74"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74" s="57">
        <f>IF(COUNTIF(PAYSCALES[PayScaleCode],ROLES[[#This Row],[PayScaleCode]])&gt;0,0,1)</f>
        <v>0</v>
      </c>
      <c r="G74" s="57" cm="1">
        <f t="array" ref="G74">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74" s="57">
        <f>IF(ROLES[[#This Row],[AvailableToAllSchools]]=FALSE,IF(ISBLANK(ROLES[[#This Row],[SchoolCodes]]),1,0),IF(ROLES[[#This Row],[AvailableToAllSchools]]=TRUE,IF(ISBLANK(ROLES[[#This Row],[SchoolCodes]]),0,)))</f>
        <v>0</v>
      </c>
      <c r="I74" s="57">
        <f>IF(OR(ROLES[[#This Row],[StaffRoleEnabled]]=TRUE,ROLES[[#This Row],[StaffRoleEnabled]]=FALSE),IF(OR(ROLES[[#This Row],[AvailableToAllSchools]]=TRUE,ROLES[[#This Row],[AvailableToAllSchools]]=FALSE),0,1),1)</f>
        <v>0</v>
      </c>
      <c r="J74" s="57">
        <f>IF(LEN(ROLES[[#This Row],[StaffRoleCode]])&lt;100,0,1)</f>
        <v>0</v>
      </c>
      <c r="K74" s="57">
        <f>IF(LEN(ROLES[[#This Row],[Title]])&lt;100,0,1)</f>
        <v>0</v>
      </c>
      <c r="L74" s="57">
        <f>(COUNTBLANK(ROLES[[#This Row],[MonthsServiceBeforeIncrement]:[StaffRoleEnabled]]))+COUNTBLANK(ROLES[[#This Row],[FullTimeHoursPerWeek]])</f>
        <v>0</v>
      </c>
      <c r="M74" s="57">
        <f>IF(SUBSTITUTE(TEXT(ROLES[[#This Row],[StaffRoleCode]],10)," ","")=TEXT(ROLES[[#This Row],[StaffRoleCode]],10),0,1)</f>
        <v>0</v>
      </c>
      <c r="N74" s="57">
        <f>SUM(ROLES[[#This Row],[Duplicate Role Code]:[Space in Code]])</f>
        <v>0</v>
      </c>
      <c r="P74" s="12" t="s">
        <v>1186</v>
      </c>
      <c r="Q74" s="12" t="s">
        <v>4275</v>
      </c>
      <c r="R74" s="12" t="s">
        <v>4276</v>
      </c>
      <c r="S74" s="12" t="s">
        <v>3107</v>
      </c>
      <c r="T74" s="12">
        <v>37</v>
      </c>
      <c r="U74" s="155" t="b">
        <f>_xlfn.XLOOKUP(ROLES[[#This Row],[PayScaleCode]],PayScales!N:N,PayScales!T:T)</f>
        <v>1</v>
      </c>
      <c r="V74" s="154" t="str">
        <f>IF(ROLES[[#This Row],[AvailableToAllSchools]]=TRUE,"",_xlfn.XLOOKUP(ROLES[[#This Row],[PayScaleCode]],PayScales!N:N,PayScales!U:U))</f>
        <v/>
      </c>
      <c r="W74" s="12">
        <v>12</v>
      </c>
      <c r="X74" s="12">
        <v>0</v>
      </c>
      <c r="Y74" t="b">
        <v>1</v>
      </c>
      <c r="Z74" t="b">
        <v>0</v>
      </c>
    </row>
    <row r="75" spans="1:26" ht="15" customHeight="1" x14ac:dyDescent="0.3">
      <c r="A75" s="57">
        <f>COUNTIF(ROLES[StaffRoleCode],ROLES[[#This Row],[StaffRoleCode]])-1</f>
        <v>0</v>
      </c>
      <c r="B75" s="57">
        <f>COUNTIF(ROLES[Title],ROLES[[#This Row],[Title]])-1</f>
        <v>0</v>
      </c>
      <c r="C75"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75"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75"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75" s="57">
        <f>IF(COUNTIF(PAYSCALES[PayScaleCode],ROLES[[#This Row],[PayScaleCode]])&gt;0,0,1)</f>
        <v>0</v>
      </c>
      <c r="G75" s="57" cm="1">
        <f t="array" ref="G75">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75" s="57">
        <f>IF(ROLES[[#This Row],[AvailableToAllSchools]]=FALSE,IF(ISBLANK(ROLES[[#This Row],[SchoolCodes]]),1,0),IF(ROLES[[#This Row],[AvailableToAllSchools]]=TRUE,IF(ISBLANK(ROLES[[#This Row],[SchoolCodes]]),0,)))</f>
        <v>0</v>
      </c>
      <c r="I75" s="57">
        <f>IF(OR(ROLES[[#This Row],[StaffRoleEnabled]]=TRUE,ROLES[[#This Row],[StaffRoleEnabled]]=FALSE),IF(OR(ROLES[[#This Row],[AvailableToAllSchools]]=TRUE,ROLES[[#This Row],[AvailableToAllSchools]]=FALSE),0,1),1)</f>
        <v>0</v>
      </c>
      <c r="J75" s="57">
        <f>IF(LEN(ROLES[[#This Row],[StaffRoleCode]])&lt;100,0,1)</f>
        <v>0</v>
      </c>
      <c r="K75" s="57">
        <f>IF(LEN(ROLES[[#This Row],[Title]])&lt;100,0,1)</f>
        <v>0</v>
      </c>
      <c r="L75" s="57">
        <f>(COUNTBLANK(ROLES[[#This Row],[MonthsServiceBeforeIncrement]:[StaffRoleEnabled]]))+COUNTBLANK(ROLES[[#This Row],[FullTimeHoursPerWeek]])</f>
        <v>0</v>
      </c>
      <c r="M75" s="57">
        <f>IF(SUBSTITUTE(TEXT(ROLES[[#This Row],[StaffRoleCode]],10)," ","")=TEXT(ROLES[[#This Row],[StaffRoleCode]],10),0,1)</f>
        <v>0</v>
      </c>
      <c r="N75" s="57">
        <f>SUM(ROLES[[#This Row],[Duplicate Role Code]:[Space in Code]])</f>
        <v>0</v>
      </c>
      <c r="P75" s="12" t="s">
        <v>1182</v>
      </c>
      <c r="Q75" s="12" t="s">
        <v>1182</v>
      </c>
      <c r="R75" s="12" t="s">
        <v>1225</v>
      </c>
      <c r="S75" s="12" t="s">
        <v>3107</v>
      </c>
      <c r="T75" s="12">
        <v>37</v>
      </c>
      <c r="U75" s="155" t="b">
        <f>_xlfn.XLOOKUP(ROLES[[#This Row],[PayScaleCode]],PayScales!N:N,PayScales!T:T)</f>
        <v>1</v>
      </c>
      <c r="V75" s="154" t="str">
        <f>IF(ROLES[[#This Row],[AvailableToAllSchools]]=TRUE,"",_xlfn.XLOOKUP(ROLES[[#This Row],[PayScaleCode]],PayScales!N:N,PayScales!U:U))</f>
        <v/>
      </c>
      <c r="W75" s="12">
        <v>12</v>
      </c>
      <c r="X75" s="12">
        <v>0</v>
      </c>
      <c r="Y75" t="b">
        <v>1</v>
      </c>
      <c r="Z75" t="b">
        <v>0</v>
      </c>
    </row>
    <row r="76" spans="1:26" ht="15" customHeight="1" x14ac:dyDescent="0.3">
      <c r="A76" s="57">
        <f>COUNTIF(ROLES[StaffRoleCode],ROLES[[#This Row],[StaffRoleCode]])-1</f>
        <v>0</v>
      </c>
      <c r="B76" s="57">
        <f>COUNTIF(ROLES[Title],ROLES[[#This Row],[Title]])-1</f>
        <v>0</v>
      </c>
      <c r="C76"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76"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76"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76" s="57">
        <f>IF(COUNTIF(PAYSCALES[PayScaleCode],ROLES[[#This Row],[PayScaleCode]])&gt;0,0,1)</f>
        <v>0</v>
      </c>
      <c r="G76" s="57" cm="1">
        <f t="array" ref="G76">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76" s="57">
        <f>IF(ROLES[[#This Row],[AvailableToAllSchools]]=FALSE,IF(ISBLANK(ROLES[[#This Row],[SchoolCodes]]),1,0),IF(ROLES[[#This Row],[AvailableToAllSchools]]=TRUE,IF(ISBLANK(ROLES[[#This Row],[SchoolCodes]]),0,)))</f>
        <v>0</v>
      </c>
      <c r="I76" s="57">
        <f>IF(OR(ROLES[[#This Row],[StaffRoleEnabled]]=TRUE,ROLES[[#This Row],[StaffRoleEnabled]]=FALSE),IF(OR(ROLES[[#This Row],[AvailableToAllSchools]]=TRUE,ROLES[[#This Row],[AvailableToAllSchools]]=FALSE),0,1),1)</f>
        <v>0</v>
      </c>
      <c r="J76" s="57">
        <f>IF(LEN(ROLES[[#This Row],[StaffRoleCode]])&lt;100,0,1)</f>
        <v>0</v>
      </c>
      <c r="K76" s="57">
        <f>IF(LEN(ROLES[[#This Row],[Title]])&lt;100,0,1)</f>
        <v>0</v>
      </c>
      <c r="L76" s="57">
        <f>(COUNTBLANK(ROLES[[#This Row],[MonthsServiceBeforeIncrement]:[StaffRoleEnabled]]))+COUNTBLANK(ROLES[[#This Row],[FullTimeHoursPerWeek]])</f>
        <v>0</v>
      </c>
      <c r="M76" s="57">
        <f>IF(SUBSTITUTE(TEXT(ROLES[[#This Row],[StaffRoleCode]],10)," ","")=TEXT(ROLES[[#This Row],[StaffRoleCode]],10),0,1)</f>
        <v>0</v>
      </c>
      <c r="N76" s="57">
        <f>SUM(ROLES[[#This Row],[Duplicate Role Code]:[Space in Code]])</f>
        <v>0</v>
      </c>
      <c r="P76" s="12" t="s">
        <v>1182</v>
      </c>
      <c r="Q76" s="12" t="s">
        <v>4277</v>
      </c>
      <c r="R76" s="12" t="s">
        <v>4278</v>
      </c>
      <c r="S76" s="12" t="s">
        <v>3107</v>
      </c>
      <c r="T76" s="12">
        <v>37</v>
      </c>
      <c r="U76" s="155" t="b">
        <f>_xlfn.XLOOKUP(ROLES[[#This Row],[PayScaleCode]],PayScales!N:N,PayScales!T:T)</f>
        <v>1</v>
      </c>
      <c r="V76" s="154" t="str">
        <f>IF(ROLES[[#This Row],[AvailableToAllSchools]]=TRUE,"",_xlfn.XLOOKUP(ROLES[[#This Row],[PayScaleCode]],PayScales!N:N,PayScales!U:U))</f>
        <v/>
      </c>
      <c r="W76" s="12">
        <v>12</v>
      </c>
      <c r="X76" s="12">
        <v>0</v>
      </c>
      <c r="Y76" t="b">
        <v>1</v>
      </c>
      <c r="Z76" t="b">
        <v>0</v>
      </c>
    </row>
    <row r="77" spans="1:26" ht="15" customHeight="1" x14ac:dyDescent="0.3">
      <c r="A77" s="57">
        <f>COUNTIF(ROLES[StaffRoleCode],ROLES[[#This Row],[StaffRoleCode]])-1</f>
        <v>0</v>
      </c>
      <c r="B77" s="57">
        <f>COUNTIF(ROLES[Title],ROLES[[#This Row],[Title]])-1</f>
        <v>0</v>
      </c>
      <c r="C77"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77"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77"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77" s="57">
        <f>IF(COUNTIF(PAYSCALES[PayScaleCode],ROLES[[#This Row],[PayScaleCode]])&gt;0,0,1)</f>
        <v>0</v>
      </c>
      <c r="G77" s="57" cm="1">
        <f t="array" ref="G77">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77" s="57">
        <f>IF(ROLES[[#This Row],[AvailableToAllSchools]]=FALSE,IF(ISBLANK(ROLES[[#This Row],[SchoolCodes]]),1,0),IF(ROLES[[#This Row],[AvailableToAllSchools]]=TRUE,IF(ISBLANK(ROLES[[#This Row],[SchoolCodes]]),0,)))</f>
        <v>0</v>
      </c>
      <c r="I77" s="57">
        <f>IF(OR(ROLES[[#This Row],[StaffRoleEnabled]]=TRUE,ROLES[[#This Row],[StaffRoleEnabled]]=FALSE),IF(OR(ROLES[[#This Row],[AvailableToAllSchools]]=TRUE,ROLES[[#This Row],[AvailableToAllSchools]]=FALSE),0,1),1)</f>
        <v>0</v>
      </c>
      <c r="J77" s="57">
        <f>IF(LEN(ROLES[[#This Row],[StaffRoleCode]])&lt;100,0,1)</f>
        <v>0</v>
      </c>
      <c r="K77" s="57">
        <f>IF(LEN(ROLES[[#This Row],[Title]])&lt;100,0,1)</f>
        <v>0</v>
      </c>
      <c r="L77" s="57">
        <f>(COUNTBLANK(ROLES[[#This Row],[MonthsServiceBeforeIncrement]:[StaffRoleEnabled]]))+COUNTBLANK(ROLES[[#This Row],[FullTimeHoursPerWeek]])</f>
        <v>0</v>
      </c>
      <c r="M77" s="57">
        <f>IF(SUBSTITUTE(TEXT(ROLES[[#This Row],[StaffRoleCode]],10)," ","")=TEXT(ROLES[[#This Row],[StaffRoleCode]],10),0,1)</f>
        <v>0</v>
      </c>
      <c r="N77" s="57">
        <f>SUM(ROLES[[#This Row],[Duplicate Role Code]:[Space in Code]])</f>
        <v>0</v>
      </c>
      <c r="P77" s="12" t="s">
        <v>1182</v>
      </c>
      <c r="Q77" s="12" t="s">
        <v>4279</v>
      </c>
      <c r="R77" s="12" t="s">
        <v>4280</v>
      </c>
      <c r="S77" s="12" t="s">
        <v>3107</v>
      </c>
      <c r="T77" s="12">
        <v>37</v>
      </c>
      <c r="U77" s="155" t="b">
        <f>_xlfn.XLOOKUP(ROLES[[#This Row],[PayScaleCode]],PayScales!N:N,PayScales!T:T)</f>
        <v>1</v>
      </c>
      <c r="V77" s="154" t="str">
        <f>IF(ROLES[[#This Row],[AvailableToAllSchools]]=TRUE,"",_xlfn.XLOOKUP(ROLES[[#This Row],[PayScaleCode]],PayScales!N:N,PayScales!U:U))</f>
        <v/>
      </c>
      <c r="W77" s="12">
        <v>12</v>
      </c>
      <c r="X77" s="12">
        <v>0</v>
      </c>
      <c r="Y77" t="b">
        <v>1</v>
      </c>
      <c r="Z77" t="b">
        <v>0</v>
      </c>
    </row>
    <row r="78" spans="1:26" ht="15" customHeight="1" x14ac:dyDescent="0.3">
      <c r="A78" s="57">
        <f>COUNTIF(ROLES[StaffRoleCode],ROLES[[#This Row],[StaffRoleCode]])-1</f>
        <v>0</v>
      </c>
      <c r="B78" s="57">
        <f>COUNTIF(ROLES[Title],ROLES[[#This Row],[Title]])-1</f>
        <v>0</v>
      </c>
      <c r="C78"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78"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78"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78" s="57">
        <f>IF(COUNTIF(PAYSCALES[PayScaleCode],ROLES[[#This Row],[PayScaleCode]])&gt;0,0,1)</f>
        <v>0</v>
      </c>
      <c r="G78" s="57" cm="1">
        <f t="array" ref="G78">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78" s="57">
        <f>IF(ROLES[[#This Row],[AvailableToAllSchools]]=FALSE,IF(ISBLANK(ROLES[[#This Row],[SchoolCodes]]),1,0),IF(ROLES[[#This Row],[AvailableToAllSchools]]=TRUE,IF(ISBLANK(ROLES[[#This Row],[SchoolCodes]]),0,)))</f>
        <v>0</v>
      </c>
      <c r="I78" s="57">
        <f>IF(OR(ROLES[[#This Row],[StaffRoleEnabled]]=TRUE,ROLES[[#This Row],[StaffRoleEnabled]]=FALSE),IF(OR(ROLES[[#This Row],[AvailableToAllSchools]]=TRUE,ROLES[[#This Row],[AvailableToAllSchools]]=FALSE),0,1),1)</f>
        <v>0</v>
      </c>
      <c r="J78" s="57">
        <f>IF(LEN(ROLES[[#This Row],[StaffRoleCode]])&lt;100,0,1)</f>
        <v>0</v>
      </c>
      <c r="K78" s="57">
        <f>IF(LEN(ROLES[[#This Row],[Title]])&lt;100,0,1)</f>
        <v>0</v>
      </c>
      <c r="L78" s="57">
        <f>(COUNTBLANK(ROLES[[#This Row],[MonthsServiceBeforeIncrement]:[StaffRoleEnabled]]))+COUNTBLANK(ROLES[[#This Row],[FullTimeHoursPerWeek]])</f>
        <v>0</v>
      </c>
      <c r="M78" s="57">
        <f>IF(SUBSTITUTE(TEXT(ROLES[[#This Row],[StaffRoleCode]],10)," ","")=TEXT(ROLES[[#This Row],[StaffRoleCode]],10),0,1)</f>
        <v>0</v>
      </c>
      <c r="N78" s="57">
        <f>SUM(ROLES[[#This Row],[Duplicate Role Code]:[Space in Code]])</f>
        <v>0</v>
      </c>
      <c r="P78" s="12" t="s">
        <v>1548</v>
      </c>
      <c r="Q78" s="12" t="s">
        <v>4281</v>
      </c>
      <c r="R78" s="12" t="s">
        <v>4282</v>
      </c>
      <c r="S78" s="12" t="s">
        <v>3107</v>
      </c>
      <c r="T78" s="12">
        <v>37</v>
      </c>
      <c r="U78" s="155" t="b">
        <f>_xlfn.XLOOKUP(ROLES[[#This Row],[PayScaleCode]],PayScales!N:N,PayScales!T:T)</f>
        <v>1</v>
      </c>
      <c r="V78" s="154" t="str">
        <f>IF(ROLES[[#This Row],[AvailableToAllSchools]]=TRUE,"",_xlfn.XLOOKUP(ROLES[[#This Row],[PayScaleCode]],PayScales!N:N,PayScales!U:U))</f>
        <v/>
      </c>
      <c r="W78" s="12">
        <v>12</v>
      </c>
      <c r="X78" s="12">
        <v>0</v>
      </c>
      <c r="Y78" t="b">
        <v>1</v>
      </c>
      <c r="Z78" t="b">
        <v>0</v>
      </c>
    </row>
    <row r="79" spans="1:26" ht="15" customHeight="1" x14ac:dyDescent="0.3">
      <c r="A79" s="57">
        <f>COUNTIF(ROLES[StaffRoleCode],ROLES[[#This Row],[StaffRoleCode]])-1</f>
        <v>0</v>
      </c>
      <c r="B79" s="57">
        <f>COUNTIF(ROLES[Title],ROLES[[#This Row],[Title]])-1</f>
        <v>0</v>
      </c>
      <c r="C79"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79"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79"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79" s="57">
        <f>IF(COUNTIF(PAYSCALES[PayScaleCode],ROLES[[#This Row],[PayScaleCode]])&gt;0,0,1)</f>
        <v>0</v>
      </c>
      <c r="G79" s="57" cm="1">
        <f t="array" ref="G79">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79" s="57">
        <f>IF(ROLES[[#This Row],[AvailableToAllSchools]]=FALSE,IF(ISBLANK(ROLES[[#This Row],[SchoolCodes]]),1,0),IF(ROLES[[#This Row],[AvailableToAllSchools]]=TRUE,IF(ISBLANK(ROLES[[#This Row],[SchoolCodes]]),0,)))</f>
        <v>0</v>
      </c>
      <c r="I79" s="57">
        <f>IF(OR(ROLES[[#This Row],[StaffRoleEnabled]]=TRUE,ROLES[[#This Row],[StaffRoleEnabled]]=FALSE),IF(OR(ROLES[[#This Row],[AvailableToAllSchools]]=TRUE,ROLES[[#This Row],[AvailableToAllSchools]]=FALSE),0,1),1)</f>
        <v>0</v>
      </c>
      <c r="J79" s="57">
        <f>IF(LEN(ROLES[[#This Row],[StaffRoleCode]])&lt;100,0,1)</f>
        <v>0</v>
      </c>
      <c r="K79" s="57">
        <f>IF(LEN(ROLES[[#This Row],[Title]])&lt;100,0,1)</f>
        <v>0</v>
      </c>
      <c r="L79" s="57">
        <f>(COUNTBLANK(ROLES[[#This Row],[MonthsServiceBeforeIncrement]:[StaffRoleEnabled]]))+COUNTBLANK(ROLES[[#This Row],[FullTimeHoursPerWeek]])</f>
        <v>0</v>
      </c>
      <c r="M79" s="57">
        <f>IF(SUBSTITUTE(TEXT(ROLES[[#This Row],[StaffRoleCode]],10)," ","")=TEXT(ROLES[[#This Row],[StaffRoleCode]],10),0,1)</f>
        <v>0</v>
      </c>
      <c r="N79" s="57">
        <f>SUM(ROLES[[#This Row],[Duplicate Role Code]:[Space in Code]])</f>
        <v>0</v>
      </c>
      <c r="P79" s="12" t="s">
        <v>1548</v>
      </c>
      <c r="Q79" s="12" t="s">
        <v>4283</v>
      </c>
      <c r="R79" s="12" t="s">
        <v>4284</v>
      </c>
      <c r="S79" s="12" t="s">
        <v>3107</v>
      </c>
      <c r="T79" s="12">
        <v>37</v>
      </c>
      <c r="U79" s="155" t="b">
        <f>_xlfn.XLOOKUP(ROLES[[#This Row],[PayScaleCode]],PayScales!N:N,PayScales!T:T)</f>
        <v>1</v>
      </c>
      <c r="V79" s="154" t="str">
        <f>IF(ROLES[[#This Row],[AvailableToAllSchools]]=TRUE,"",_xlfn.XLOOKUP(ROLES[[#This Row],[PayScaleCode]],PayScales!N:N,PayScales!U:U))</f>
        <v/>
      </c>
      <c r="W79" s="12">
        <v>12</v>
      </c>
      <c r="X79" s="12">
        <v>0</v>
      </c>
      <c r="Y79" t="b">
        <v>1</v>
      </c>
      <c r="Z79" t="b">
        <v>0</v>
      </c>
    </row>
    <row r="80" spans="1:26" ht="15" customHeight="1" x14ac:dyDescent="0.3">
      <c r="A80" s="57">
        <f>COUNTIF(ROLES[StaffRoleCode],ROLES[[#This Row],[StaffRoleCode]])-1</f>
        <v>0</v>
      </c>
      <c r="B80" s="57">
        <f>COUNTIF(ROLES[Title],ROLES[[#This Row],[Title]])-1</f>
        <v>0</v>
      </c>
      <c r="C80"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80"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80"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80" s="57">
        <f>IF(COUNTIF(PAYSCALES[PayScaleCode],ROLES[[#This Row],[PayScaleCode]])&gt;0,0,1)</f>
        <v>0</v>
      </c>
      <c r="G80" s="57" cm="1">
        <f t="array" ref="G80">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80" s="57">
        <f>IF(ROLES[[#This Row],[AvailableToAllSchools]]=FALSE,IF(ISBLANK(ROLES[[#This Row],[SchoolCodes]]),1,0),IF(ROLES[[#This Row],[AvailableToAllSchools]]=TRUE,IF(ISBLANK(ROLES[[#This Row],[SchoolCodes]]),0,)))</f>
        <v>0</v>
      </c>
      <c r="I80" s="57">
        <f>IF(OR(ROLES[[#This Row],[StaffRoleEnabled]]=TRUE,ROLES[[#This Row],[StaffRoleEnabled]]=FALSE),IF(OR(ROLES[[#This Row],[AvailableToAllSchools]]=TRUE,ROLES[[#This Row],[AvailableToAllSchools]]=FALSE),0,1),1)</f>
        <v>0</v>
      </c>
      <c r="J80" s="57">
        <f>IF(LEN(ROLES[[#This Row],[StaffRoleCode]])&lt;100,0,1)</f>
        <v>0</v>
      </c>
      <c r="K80" s="57">
        <f>IF(LEN(ROLES[[#This Row],[Title]])&lt;100,0,1)</f>
        <v>0</v>
      </c>
      <c r="L80" s="57">
        <f>(COUNTBLANK(ROLES[[#This Row],[MonthsServiceBeforeIncrement]:[StaffRoleEnabled]]))+COUNTBLANK(ROLES[[#This Row],[FullTimeHoursPerWeek]])</f>
        <v>0</v>
      </c>
      <c r="M80" s="57">
        <f>IF(SUBSTITUTE(TEXT(ROLES[[#This Row],[StaffRoleCode]],10)," ","")=TEXT(ROLES[[#This Row],[StaffRoleCode]],10),0,1)</f>
        <v>0</v>
      </c>
      <c r="N80" s="57">
        <f>SUM(ROLES[[#This Row],[Duplicate Role Code]:[Space in Code]])</f>
        <v>0</v>
      </c>
      <c r="P80" s="12" t="s">
        <v>1548</v>
      </c>
      <c r="Q80" s="12" t="s">
        <v>4285</v>
      </c>
      <c r="R80" s="12" t="s">
        <v>4286</v>
      </c>
      <c r="S80" s="12" t="s">
        <v>3107</v>
      </c>
      <c r="T80" s="12">
        <v>37</v>
      </c>
      <c r="U80" s="155" t="b">
        <f>_xlfn.XLOOKUP(ROLES[[#This Row],[PayScaleCode]],PayScales!N:N,PayScales!T:T)</f>
        <v>1</v>
      </c>
      <c r="V80" s="154" t="str">
        <f>IF(ROLES[[#This Row],[AvailableToAllSchools]]=TRUE,"",_xlfn.XLOOKUP(ROLES[[#This Row],[PayScaleCode]],PayScales!N:N,PayScales!U:U))</f>
        <v/>
      </c>
      <c r="W80" s="12">
        <v>12</v>
      </c>
      <c r="X80" s="12">
        <v>0</v>
      </c>
      <c r="Y80" t="b">
        <v>1</v>
      </c>
      <c r="Z80" t="b">
        <v>0</v>
      </c>
    </row>
    <row r="81" spans="1:26" ht="15" customHeight="1" x14ac:dyDescent="0.3">
      <c r="A81" s="57">
        <f>COUNTIF(ROLES[StaffRoleCode],ROLES[[#This Row],[StaffRoleCode]])-1</f>
        <v>0</v>
      </c>
      <c r="B81" s="57">
        <f>COUNTIF(ROLES[Title],ROLES[[#This Row],[Title]])-1</f>
        <v>0</v>
      </c>
      <c r="C81"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81"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81"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81" s="57">
        <f>IF(COUNTIF(PAYSCALES[PayScaleCode],ROLES[[#This Row],[PayScaleCode]])&gt;0,0,1)</f>
        <v>0</v>
      </c>
      <c r="G81" s="57" cm="1">
        <f t="array" ref="G81">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81" s="57">
        <f>IF(ROLES[[#This Row],[AvailableToAllSchools]]=FALSE,IF(ISBLANK(ROLES[[#This Row],[SchoolCodes]]),1,0),IF(ROLES[[#This Row],[AvailableToAllSchools]]=TRUE,IF(ISBLANK(ROLES[[#This Row],[SchoolCodes]]),0,)))</f>
        <v>0</v>
      </c>
      <c r="I81" s="57">
        <f>IF(OR(ROLES[[#This Row],[StaffRoleEnabled]]=TRUE,ROLES[[#This Row],[StaffRoleEnabled]]=FALSE),IF(OR(ROLES[[#This Row],[AvailableToAllSchools]]=TRUE,ROLES[[#This Row],[AvailableToAllSchools]]=FALSE),0,1),1)</f>
        <v>0</v>
      </c>
      <c r="J81" s="57">
        <f>IF(LEN(ROLES[[#This Row],[StaffRoleCode]])&lt;100,0,1)</f>
        <v>0</v>
      </c>
      <c r="K81" s="57">
        <f>IF(LEN(ROLES[[#This Row],[Title]])&lt;100,0,1)</f>
        <v>0</v>
      </c>
      <c r="L81" s="57">
        <f>(COUNTBLANK(ROLES[[#This Row],[MonthsServiceBeforeIncrement]:[StaffRoleEnabled]]))+COUNTBLANK(ROLES[[#This Row],[FullTimeHoursPerWeek]])</f>
        <v>0</v>
      </c>
      <c r="M81" s="57">
        <f>IF(SUBSTITUTE(TEXT(ROLES[[#This Row],[StaffRoleCode]],10)," ","")=TEXT(ROLES[[#This Row],[StaffRoleCode]],10),0,1)</f>
        <v>0</v>
      </c>
      <c r="N81" s="57">
        <f>SUM(ROLES[[#This Row],[Duplicate Role Code]:[Space in Code]])</f>
        <v>0</v>
      </c>
      <c r="P81" s="12" t="s">
        <v>1184</v>
      </c>
      <c r="Q81" s="12" t="s">
        <v>4287</v>
      </c>
      <c r="R81" s="12" t="s">
        <v>4288</v>
      </c>
      <c r="S81" s="12" t="s">
        <v>3107</v>
      </c>
      <c r="T81" s="12">
        <v>37</v>
      </c>
      <c r="U81" s="155" t="b">
        <f>_xlfn.XLOOKUP(ROLES[[#This Row],[PayScaleCode]],PayScales!N:N,PayScales!T:T)</f>
        <v>1</v>
      </c>
      <c r="V81" s="154" t="str">
        <f>IF(ROLES[[#This Row],[AvailableToAllSchools]]=TRUE,"",_xlfn.XLOOKUP(ROLES[[#This Row],[PayScaleCode]],PayScales!N:N,PayScales!U:U))</f>
        <v/>
      </c>
      <c r="W81" s="12">
        <v>12</v>
      </c>
      <c r="X81" s="12">
        <v>0</v>
      </c>
      <c r="Y81" t="b">
        <v>1</v>
      </c>
      <c r="Z81" t="b">
        <v>0</v>
      </c>
    </row>
    <row r="82" spans="1:26" ht="15" customHeight="1" x14ac:dyDescent="0.3">
      <c r="A82" s="57">
        <f>COUNTIF(ROLES[StaffRoleCode],ROLES[[#This Row],[StaffRoleCode]])-1</f>
        <v>0</v>
      </c>
      <c r="B82" s="57">
        <f>COUNTIF(ROLES[Title],ROLES[[#This Row],[Title]])-1</f>
        <v>0</v>
      </c>
      <c r="C82"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82"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82"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82" s="57">
        <f>IF(COUNTIF(PAYSCALES[PayScaleCode],ROLES[[#This Row],[PayScaleCode]])&gt;0,0,1)</f>
        <v>0</v>
      </c>
      <c r="G82" s="57" cm="1">
        <f t="array" ref="G82">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82" s="57">
        <f>IF(ROLES[[#This Row],[AvailableToAllSchools]]=FALSE,IF(ISBLANK(ROLES[[#This Row],[SchoolCodes]]),1,0),IF(ROLES[[#This Row],[AvailableToAllSchools]]=TRUE,IF(ISBLANK(ROLES[[#This Row],[SchoolCodes]]),0,)))</f>
        <v>0</v>
      </c>
      <c r="I82" s="57">
        <f>IF(OR(ROLES[[#This Row],[StaffRoleEnabled]]=TRUE,ROLES[[#This Row],[StaffRoleEnabled]]=FALSE),IF(OR(ROLES[[#This Row],[AvailableToAllSchools]]=TRUE,ROLES[[#This Row],[AvailableToAllSchools]]=FALSE),0,1),1)</f>
        <v>0</v>
      </c>
      <c r="J82" s="57">
        <f>IF(LEN(ROLES[[#This Row],[StaffRoleCode]])&lt;100,0,1)</f>
        <v>0</v>
      </c>
      <c r="K82" s="57">
        <f>IF(LEN(ROLES[[#This Row],[Title]])&lt;100,0,1)</f>
        <v>0</v>
      </c>
      <c r="L82" s="57">
        <f>(COUNTBLANK(ROLES[[#This Row],[MonthsServiceBeforeIncrement]:[StaffRoleEnabled]]))+COUNTBLANK(ROLES[[#This Row],[FullTimeHoursPerWeek]])</f>
        <v>0</v>
      </c>
      <c r="M82" s="57">
        <f>IF(SUBSTITUTE(TEXT(ROLES[[#This Row],[StaffRoleCode]],10)," ","")=TEXT(ROLES[[#This Row],[StaffRoleCode]],10),0,1)</f>
        <v>0</v>
      </c>
      <c r="N82" s="57">
        <f>SUM(ROLES[[#This Row],[Duplicate Role Code]:[Space in Code]])</f>
        <v>0</v>
      </c>
      <c r="P82" s="12" t="s">
        <v>1184</v>
      </c>
      <c r="Q82" s="12" t="s">
        <v>4289</v>
      </c>
      <c r="R82" s="12" t="s">
        <v>4290</v>
      </c>
      <c r="S82" s="12" t="s">
        <v>3107</v>
      </c>
      <c r="T82" s="12">
        <v>37</v>
      </c>
      <c r="U82" s="155" t="b">
        <f>_xlfn.XLOOKUP(ROLES[[#This Row],[PayScaleCode]],PayScales!N:N,PayScales!T:T)</f>
        <v>1</v>
      </c>
      <c r="V82" s="154" t="str">
        <f>IF(ROLES[[#This Row],[AvailableToAllSchools]]=TRUE,"",_xlfn.XLOOKUP(ROLES[[#This Row],[PayScaleCode]],PayScales!N:N,PayScales!U:U))</f>
        <v/>
      </c>
      <c r="W82" s="12">
        <v>12</v>
      </c>
      <c r="X82" s="12">
        <v>0</v>
      </c>
      <c r="Y82" t="b">
        <v>1</v>
      </c>
      <c r="Z82" t="b">
        <v>0</v>
      </c>
    </row>
    <row r="83" spans="1:26" ht="15" customHeight="1" x14ac:dyDescent="0.3">
      <c r="A83" s="57">
        <f>COUNTIF(ROLES[StaffRoleCode],ROLES[[#This Row],[StaffRoleCode]])-1</f>
        <v>0</v>
      </c>
      <c r="B83" s="57">
        <f>COUNTIF(ROLES[Title],ROLES[[#This Row],[Title]])-1</f>
        <v>0</v>
      </c>
      <c r="C83"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83"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83"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83" s="57">
        <f>IF(COUNTIF(PAYSCALES[PayScaleCode],ROLES[[#This Row],[PayScaleCode]])&gt;0,0,1)</f>
        <v>0</v>
      </c>
      <c r="G83" s="57" cm="1">
        <f t="array" ref="G83">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83" s="57">
        <f>IF(ROLES[[#This Row],[AvailableToAllSchools]]=FALSE,IF(ISBLANK(ROLES[[#This Row],[SchoolCodes]]),1,0),IF(ROLES[[#This Row],[AvailableToAllSchools]]=TRUE,IF(ISBLANK(ROLES[[#This Row],[SchoolCodes]]),0,)))</f>
        <v>0</v>
      </c>
      <c r="I83" s="57">
        <f>IF(OR(ROLES[[#This Row],[StaffRoleEnabled]]=TRUE,ROLES[[#This Row],[StaffRoleEnabled]]=FALSE),IF(OR(ROLES[[#This Row],[AvailableToAllSchools]]=TRUE,ROLES[[#This Row],[AvailableToAllSchools]]=FALSE),0,1),1)</f>
        <v>0</v>
      </c>
      <c r="J83" s="57">
        <f>IF(LEN(ROLES[[#This Row],[StaffRoleCode]])&lt;100,0,1)</f>
        <v>0</v>
      </c>
      <c r="K83" s="57">
        <f>IF(LEN(ROLES[[#This Row],[Title]])&lt;100,0,1)</f>
        <v>0</v>
      </c>
      <c r="L83" s="57">
        <f>(COUNTBLANK(ROLES[[#This Row],[MonthsServiceBeforeIncrement]:[StaffRoleEnabled]]))+COUNTBLANK(ROLES[[#This Row],[FullTimeHoursPerWeek]])</f>
        <v>0</v>
      </c>
      <c r="M83" s="57">
        <f>IF(SUBSTITUTE(TEXT(ROLES[[#This Row],[StaffRoleCode]],10)," ","")=TEXT(ROLES[[#This Row],[StaffRoleCode]],10),0,1)</f>
        <v>0</v>
      </c>
      <c r="N83" s="57">
        <f>SUM(ROLES[[#This Row],[Duplicate Role Code]:[Space in Code]])</f>
        <v>0</v>
      </c>
      <c r="P83" s="12" t="s">
        <v>1184</v>
      </c>
      <c r="Q83" s="12" t="s">
        <v>1184</v>
      </c>
      <c r="R83" s="12" t="s">
        <v>4291</v>
      </c>
      <c r="S83" s="12" t="s">
        <v>3107</v>
      </c>
      <c r="T83" s="12">
        <v>37</v>
      </c>
      <c r="U83" s="155" t="b">
        <f>_xlfn.XLOOKUP(ROLES[[#This Row],[PayScaleCode]],PayScales!N:N,PayScales!T:T)</f>
        <v>1</v>
      </c>
      <c r="V83" s="154" t="str">
        <f>IF(ROLES[[#This Row],[AvailableToAllSchools]]=TRUE,"",_xlfn.XLOOKUP(ROLES[[#This Row],[PayScaleCode]],PayScales!N:N,PayScales!U:U))</f>
        <v/>
      </c>
      <c r="W83" s="12">
        <v>12</v>
      </c>
      <c r="X83" s="12">
        <v>0</v>
      </c>
      <c r="Y83" t="b">
        <v>1</v>
      </c>
      <c r="Z83" t="b">
        <v>0</v>
      </c>
    </row>
    <row r="84" spans="1:26" ht="15" customHeight="1" x14ac:dyDescent="0.3">
      <c r="A84" s="57">
        <f>COUNTIF(ROLES[StaffRoleCode],ROLES[[#This Row],[StaffRoleCode]])-1</f>
        <v>0</v>
      </c>
      <c r="B84" s="57">
        <f>COUNTIF(ROLES[Title],ROLES[[#This Row],[Title]])-1</f>
        <v>0</v>
      </c>
      <c r="C84"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84"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84"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84" s="57">
        <f>IF(COUNTIF(PAYSCALES[PayScaleCode],ROLES[[#This Row],[PayScaleCode]])&gt;0,0,1)</f>
        <v>0</v>
      </c>
      <c r="G84" s="57" cm="1">
        <f t="array" ref="G84">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84" s="57">
        <f>IF(ROLES[[#This Row],[AvailableToAllSchools]]=FALSE,IF(ISBLANK(ROLES[[#This Row],[SchoolCodes]]),1,0),IF(ROLES[[#This Row],[AvailableToAllSchools]]=TRUE,IF(ISBLANK(ROLES[[#This Row],[SchoolCodes]]),0,)))</f>
        <v>0</v>
      </c>
      <c r="I84" s="57">
        <f>IF(OR(ROLES[[#This Row],[StaffRoleEnabled]]=TRUE,ROLES[[#This Row],[StaffRoleEnabled]]=FALSE),IF(OR(ROLES[[#This Row],[AvailableToAllSchools]]=TRUE,ROLES[[#This Row],[AvailableToAllSchools]]=FALSE),0,1),1)</f>
        <v>0</v>
      </c>
      <c r="J84" s="57">
        <f>IF(LEN(ROLES[[#This Row],[StaffRoleCode]])&lt;100,0,1)</f>
        <v>0</v>
      </c>
      <c r="K84" s="57">
        <f>IF(LEN(ROLES[[#This Row],[Title]])&lt;100,0,1)</f>
        <v>0</v>
      </c>
      <c r="L84" s="57">
        <f>(COUNTBLANK(ROLES[[#This Row],[MonthsServiceBeforeIncrement]:[StaffRoleEnabled]]))+COUNTBLANK(ROLES[[#This Row],[FullTimeHoursPerWeek]])</f>
        <v>0</v>
      </c>
      <c r="M84" s="57">
        <f>IF(SUBSTITUTE(TEXT(ROLES[[#This Row],[StaffRoleCode]],10)," ","")=TEXT(ROLES[[#This Row],[StaffRoleCode]],10),0,1)</f>
        <v>0</v>
      </c>
      <c r="N84" s="57">
        <f>SUM(ROLES[[#This Row],[Duplicate Role Code]:[Space in Code]])</f>
        <v>0</v>
      </c>
      <c r="P84" s="12" t="s">
        <v>1188</v>
      </c>
      <c r="Q84" s="12" t="s">
        <v>4292</v>
      </c>
      <c r="R84" s="12" t="s">
        <v>1567</v>
      </c>
      <c r="S84" s="12" t="s">
        <v>3107</v>
      </c>
      <c r="T84" s="12">
        <v>37</v>
      </c>
      <c r="U84" s="155" t="b">
        <f>_xlfn.XLOOKUP(ROLES[[#This Row],[PayScaleCode]],PayScales!N:N,PayScales!T:T)</f>
        <v>1</v>
      </c>
      <c r="V84" s="154" t="str">
        <f>IF(ROLES[[#This Row],[AvailableToAllSchools]]=TRUE,"",_xlfn.XLOOKUP(ROLES[[#This Row],[PayScaleCode]],PayScales!N:N,PayScales!U:U))</f>
        <v/>
      </c>
      <c r="W84" s="12">
        <v>12</v>
      </c>
      <c r="X84" s="12">
        <v>0</v>
      </c>
      <c r="Y84" t="b">
        <v>1</v>
      </c>
      <c r="Z84" t="b">
        <v>0</v>
      </c>
    </row>
    <row r="85" spans="1:26" ht="15" customHeight="1" x14ac:dyDescent="0.3">
      <c r="A85" s="57">
        <f>COUNTIF(ROLES[StaffRoleCode],ROLES[[#This Row],[StaffRoleCode]])-1</f>
        <v>0</v>
      </c>
      <c r="B85" s="57">
        <f>COUNTIF(ROLES[Title],ROLES[[#This Row],[Title]])-1</f>
        <v>0</v>
      </c>
      <c r="C85"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85"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85"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85" s="57">
        <f>IF(COUNTIF(PAYSCALES[PayScaleCode],ROLES[[#This Row],[PayScaleCode]])&gt;0,0,1)</f>
        <v>0</v>
      </c>
      <c r="G85" s="57" cm="1">
        <f t="array" ref="G85">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85" s="57">
        <f>IF(ROLES[[#This Row],[AvailableToAllSchools]]=FALSE,IF(ISBLANK(ROLES[[#This Row],[SchoolCodes]]),1,0),IF(ROLES[[#This Row],[AvailableToAllSchools]]=TRUE,IF(ISBLANK(ROLES[[#This Row],[SchoolCodes]]),0,)))</f>
        <v>0</v>
      </c>
      <c r="I85" s="57">
        <f>IF(OR(ROLES[[#This Row],[StaffRoleEnabled]]=TRUE,ROLES[[#This Row],[StaffRoleEnabled]]=FALSE),IF(OR(ROLES[[#This Row],[AvailableToAllSchools]]=TRUE,ROLES[[#This Row],[AvailableToAllSchools]]=FALSE),0,1),1)</f>
        <v>0</v>
      </c>
      <c r="J85" s="57">
        <f>IF(LEN(ROLES[[#This Row],[StaffRoleCode]])&lt;100,0,1)</f>
        <v>0</v>
      </c>
      <c r="K85" s="57">
        <f>IF(LEN(ROLES[[#This Row],[Title]])&lt;100,0,1)</f>
        <v>0</v>
      </c>
      <c r="L85" s="57">
        <f>(COUNTBLANK(ROLES[[#This Row],[MonthsServiceBeforeIncrement]:[StaffRoleEnabled]]))+COUNTBLANK(ROLES[[#This Row],[FullTimeHoursPerWeek]])</f>
        <v>0</v>
      </c>
      <c r="M85" s="57">
        <f>IF(SUBSTITUTE(TEXT(ROLES[[#This Row],[StaffRoleCode]],10)," ","")=TEXT(ROLES[[#This Row],[StaffRoleCode]],10),0,1)</f>
        <v>0</v>
      </c>
      <c r="N85" s="57">
        <f>SUM(ROLES[[#This Row],[Duplicate Role Code]:[Space in Code]])</f>
        <v>0</v>
      </c>
      <c r="P85" s="12" t="s">
        <v>1188</v>
      </c>
      <c r="Q85" s="12" t="s">
        <v>1565</v>
      </c>
      <c r="R85" s="12" t="s">
        <v>1566</v>
      </c>
      <c r="S85" s="12" t="s">
        <v>3107</v>
      </c>
      <c r="T85" s="12">
        <v>37</v>
      </c>
      <c r="U85" s="155" t="b">
        <f>_xlfn.XLOOKUP(ROLES[[#This Row],[PayScaleCode]],PayScales!N:N,PayScales!T:T)</f>
        <v>1</v>
      </c>
      <c r="V85" s="154" t="str">
        <f>IF(ROLES[[#This Row],[AvailableToAllSchools]]=TRUE,"",_xlfn.XLOOKUP(ROLES[[#This Row],[PayScaleCode]],PayScales!N:N,PayScales!U:U))</f>
        <v/>
      </c>
      <c r="W85" s="12">
        <v>12</v>
      </c>
      <c r="X85" s="12">
        <v>0</v>
      </c>
      <c r="Y85" t="b">
        <v>1</v>
      </c>
      <c r="Z85" t="b">
        <v>0</v>
      </c>
    </row>
    <row r="86" spans="1:26" ht="15" customHeight="1" x14ac:dyDescent="0.3">
      <c r="A86" s="57">
        <f>COUNTIF(ROLES[StaffRoleCode],ROLES[[#This Row],[StaffRoleCode]])-1</f>
        <v>0</v>
      </c>
      <c r="B86" s="57">
        <f>COUNTIF(ROLES[Title],ROLES[[#This Row],[Title]])-1</f>
        <v>0</v>
      </c>
      <c r="C86"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86"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86"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86" s="57">
        <f>IF(COUNTIF(PAYSCALES[PayScaleCode],ROLES[[#This Row],[PayScaleCode]])&gt;0,0,1)</f>
        <v>0</v>
      </c>
      <c r="G86" s="57" cm="1">
        <f t="array" ref="G86">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86" s="57">
        <f>IF(ROLES[[#This Row],[AvailableToAllSchools]]=FALSE,IF(ISBLANK(ROLES[[#This Row],[SchoolCodes]]),1,0),IF(ROLES[[#This Row],[AvailableToAllSchools]]=TRUE,IF(ISBLANK(ROLES[[#This Row],[SchoolCodes]]),0,)))</f>
        <v>0</v>
      </c>
      <c r="I86" s="57">
        <f>IF(OR(ROLES[[#This Row],[StaffRoleEnabled]]=TRUE,ROLES[[#This Row],[StaffRoleEnabled]]=FALSE),IF(OR(ROLES[[#This Row],[AvailableToAllSchools]]=TRUE,ROLES[[#This Row],[AvailableToAllSchools]]=FALSE),0,1),1)</f>
        <v>0</v>
      </c>
      <c r="J86" s="57">
        <f>IF(LEN(ROLES[[#This Row],[StaffRoleCode]])&lt;100,0,1)</f>
        <v>0</v>
      </c>
      <c r="K86" s="57">
        <f>IF(LEN(ROLES[[#This Row],[Title]])&lt;100,0,1)</f>
        <v>0</v>
      </c>
      <c r="L86" s="57">
        <f>(COUNTBLANK(ROLES[[#This Row],[MonthsServiceBeforeIncrement]:[StaffRoleEnabled]]))+COUNTBLANK(ROLES[[#This Row],[FullTimeHoursPerWeek]])</f>
        <v>0</v>
      </c>
      <c r="M86" s="57">
        <f>IF(SUBSTITUTE(TEXT(ROLES[[#This Row],[StaffRoleCode]],10)," ","")=TEXT(ROLES[[#This Row],[StaffRoleCode]],10),0,1)</f>
        <v>0</v>
      </c>
      <c r="N86" s="57">
        <f>SUM(ROLES[[#This Row],[Duplicate Role Code]:[Space in Code]])</f>
        <v>0</v>
      </c>
      <c r="P86" s="12" t="s">
        <v>1188</v>
      </c>
      <c r="Q86" s="12" t="s">
        <v>4293</v>
      </c>
      <c r="R86" s="12" t="s">
        <v>4294</v>
      </c>
      <c r="S86" s="12" t="s">
        <v>3107</v>
      </c>
      <c r="T86" s="12">
        <v>37</v>
      </c>
      <c r="U86" s="155" t="b">
        <f>_xlfn.XLOOKUP(ROLES[[#This Row],[PayScaleCode]],PayScales!N:N,PayScales!T:T)</f>
        <v>1</v>
      </c>
      <c r="V86" s="154" t="str">
        <f>IF(ROLES[[#This Row],[AvailableToAllSchools]]=TRUE,"",_xlfn.XLOOKUP(ROLES[[#This Row],[PayScaleCode]],PayScales!N:N,PayScales!U:U))</f>
        <v/>
      </c>
      <c r="W86" s="12">
        <v>12</v>
      </c>
      <c r="X86" s="12">
        <v>0</v>
      </c>
      <c r="Y86" t="b">
        <v>1</v>
      </c>
      <c r="Z86" t="b">
        <v>0</v>
      </c>
    </row>
    <row r="87" spans="1:26" ht="15" customHeight="1" x14ac:dyDescent="0.3">
      <c r="A87" s="57">
        <f>COUNTIF(ROLES[StaffRoleCode],ROLES[[#This Row],[StaffRoleCode]])-1</f>
        <v>0</v>
      </c>
      <c r="B87" s="57">
        <f>COUNTIF(ROLES[Title],ROLES[[#This Row],[Title]])-1</f>
        <v>0</v>
      </c>
      <c r="C87"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87"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87"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87" s="57">
        <f>IF(COUNTIF(PAYSCALES[PayScaleCode],ROLES[[#This Row],[PayScaleCode]])&gt;0,0,1)</f>
        <v>0</v>
      </c>
      <c r="G87" s="57" cm="1">
        <f t="array" ref="G87">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87" s="57">
        <f>IF(ROLES[[#This Row],[AvailableToAllSchools]]=FALSE,IF(ISBLANK(ROLES[[#This Row],[SchoolCodes]]),1,0),IF(ROLES[[#This Row],[AvailableToAllSchools]]=TRUE,IF(ISBLANK(ROLES[[#This Row],[SchoolCodes]]),0,)))</f>
        <v>0</v>
      </c>
      <c r="I87" s="57">
        <f>IF(OR(ROLES[[#This Row],[StaffRoleEnabled]]=TRUE,ROLES[[#This Row],[StaffRoleEnabled]]=FALSE),IF(OR(ROLES[[#This Row],[AvailableToAllSchools]]=TRUE,ROLES[[#This Row],[AvailableToAllSchools]]=FALSE),0,1),1)</f>
        <v>0</v>
      </c>
      <c r="J87" s="57">
        <f>IF(LEN(ROLES[[#This Row],[StaffRoleCode]])&lt;100,0,1)</f>
        <v>0</v>
      </c>
      <c r="K87" s="57">
        <f>IF(LEN(ROLES[[#This Row],[Title]])&lt;100,0,1)</f>
        <v>0</v>
      </c>
      <c r="L87" s="57">
        <f>(COUNTBLANK(ROLES[[#This Row],[MonthsServiceBeforeIncrement]:[StaffRoleEnabled]]))+COUNTBLANK(ROLES[[#This Row],[FullTimeHoursPerWeek]])</f>
        <v>0</v>
      </c>
      <c r="M87" s="57">
        <f>IF(SUBSTITUTE(TEXT(ROLES[[#This Row],[StaffRoleCode]],10)," ","")=TEXT(ROLES[[#This Row],[StaffRoleCode]],10),0,1)</f>
        <v>0</v>
      </c>
      <c r="N87" s="57">
        <f>SUM(ROLES[[#This Row],[Duplicate Role Code]:[Space in Code]])</f>
        <v>0</v>
      </c>
      <c r="P87" s="12" t="s">
        <v>1188</v>
      </c>
      <c r="Q87" s="12" t="s">
        <v>4295</v>
      </c>
      <c r="R87" s="12" t="s">
        <v>4296</v>
      </c>
      <c r="S87" s="12" t="s">
        <v>3107</v>
      </c>
      <c r="T87" s="12">
        <v>37</v>
      </c>
      <c r="U87" s="155" t="b">
        <f>_xlfn.XLOOKUP(ROLES[[#This Row],[PayScaleCode]],PayScales!N:N,PayScales!T:T)</f>
        <v>1</v>
      </c>
      <c r="V87" s="154" t="str">
        <f>IF(ROLES[[#This Row],[AvailableToAllSchools]]=TRUE,"",_xlfn.XLOOKUP(ROLES[[#This Row],[PayScaleCode]],PayScales!N:N,PayScales!U:U))</f>
        <v/>
      </c>
      <c r="W87" s="12">
        <v>12</v>
      </c>
      <c r="X87" s="12">
        <v>0</v>
      </c>
      <c r="Y87" t="b">
        <v>1</v>
      </c>
      <c r="Z87" t="b">
        <v>0</v>
      </c>
    </row>
    <row r="88" spans="1:26" ht="15" customHeight="1" x14ac:dyDescent="0.3">
      <c r="A88" s="57">
        <f>COUNTIF(ROLES[StaffRoleCode],ROLES[[#This Row],[StaffRoleCode]])-1</f>
        <v>0</v>
      </c>
      <c r="B88" s="57">
        <f>COUNTIF(ROLES[Title],ROLES[[#This Row],[Title]])-1</f>
        <v>0</v>
      </c>
      <c r="C88"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88"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88"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88" s="57">
        <f>IF(COUNTIF(PAYSCALES[PayScaleCode],ROLES[[#This Row],[PayScaleCode]])&gt;0,0,1)</f>
        <v>0</v>
      </c>
      <c r="G88" s="57" cm="1">
        <f t="array" ref="G88">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88" s="57">
        <f>IF(ROLES[[#This Row],[AvailableToAllSchools]]=FALSE,IF(ISBLANK(ROLES[[#This Row],[SchoolCodes]]),1,0),IF(ROLES[[#This Row],[AvailableToAllSchools]]=TRUE,IF(ISBLANK(ROLES[[#This Row],[SchoolCodes]]),0,)))</f>
        <v>0</v>
      </c>
      <c r="I88" s="57">
        <f>IF(OR(ROLES[[#This Row],[StaffRoleEnabled]]=TRUE,ROLES[[#This Row],[StaffRoleEnabled]]=FALSE),IF(OR(ROLES[[#This Row],[AvailableToAllSchools]]=TRUE,ROLES[[#This Row],[AvailableToAllSchools]]=FALSE),0,1),1)</f>
        <v>0</v>
      </c>
      <c r="J88" s="57">
        <f>IF(LEN(ROLES[[#This Row],[StaffRoleCode]])&lt;100,0,1)</f>
        <v>0</v>
      </c>
      <c r="K88" s="57">
        <f>IF(LEN(ROLES[[#This Row],[Title]])&lt;100,0,1)</f>
        <v>0</v>
      </c>
      <c r="L88" s="57">
        <f>(COUNTBLANK(ROLES[[#This Row],[MonthsServiceBeforeIncrement]:[StaffRoleEnabled]]))+COUNTBLANK(ROLES[[#This Row],[FullTimeHoursPerWeek]])</f>
        <v>0</v>
      </c>
      <c r="M88" s="57">
        <f>IF(SUBSTITUTE(TEXT(ROLES[[#This Row],[StaffRoleCode]],10)," ","")=TEXT(ROLES[[#This Row],[StaffRoleCode]],10),0,1)</f>
        <v>0</v>
      </c>
      <c r="N88" s="57">
        <f>SUM(ROLES[[#This Row],[Duplicate Role Code]:[Space in Code]])</f>
        <v>0</v>
      </c>
      <c r="P88" s="12" t="s">
        <v>1188</v>
      </c>
      <c r="Q88" s="12" t="s">
        <v>4297</v>
      </c>
      <c r="R88" s="12" t="s">
        <v>4298</v>
      </c>
      <c r="S88" s="12" t="s">
        <v>3107</v>
      </c>
      <c r="T88" s="12">
        <v>37</v>
      </c>
      <c r="U88" s="155" t="b">
        <f>_xlfn.XLOOKUP(ROLES[[#This Row],[PayScaleCode]],PayScales!N:N,PayScales!T:T)</f>
        <v>1</v>
      </c>
      <c r="V88" s="154" t="str">
        <f>IF(ROLES[[#This Row],[AvailableToAllSchools]]=TRUE,"",_xlfn.XLOOKUP(ROLES[[#This Row],[PayScaleCode]],PayScales!N:N,PayScales!U:U))</f>
        <v/>
      </c>
      <c r="W88" s="12">
        <v>12</v>
      </c>
      <c r="X88" s="12">
        <v>0</v>
      </c>
      <c r="Y88" t="b">
        <v>1</v>
      </c>
      <c r="Z88" t="b">
        <v>0</v>
      </c>
    </row>
    <row r="89" spans="1:26" ht="15" customHeight="1" x14ac:dyDescent="0.3">
      <c r="A89" s="57">
        <f>COUNTIF(ROLES[StaffRoleCode],ROLES[[#This Row],[StaffRoleCode]])-1</f>
        <v>0</v>
      </c>
      <c r="B89" s="57">
        <f>COUNTIF(ROLES[Title],ROLES[[#This Row],[Title]])-1</f>
        <v>0</v>
      </c>
      <c r="C89"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89"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89"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89" s="57">
        <f>IF(COUNTIF(PAYSCALES[PayScaleCode],ROLES[[#This Row],[PayScaleCode]])&gt;0,0,1)</f>
        <v>0</v>
      </c>
      <c r="G89" s="57" cm="1">
        <f t="array" ref="G89">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89" s="57">
        <f>IF(ROLES[[#This Row],[AvailableToAllSchools]]=FALSE,IF(ISBLANK(ROLES[[#This Row],[SchoolCodes]]),1,0),IF(ROLES[[#This Row],[AvailableToAllSchools]]=TRUE,IF(ISBLANK(ROLES[[#This Row],[SchoolCodes]]),0,)))</f>
        <v>0</v>
      </c>
      <c r="I89" s="57">
        <f>IF(OR(ROLES[[#This Row],[StaffRoleEnabled]]=TRUE,ROLES[[#This Row],[StaffRoleEnabled]]=FALSE),IF(OR(ROLES[[#This Row],[AvailableToAllSchools]]=TRUE,ROLES[[#This Row],[AvailableToAllSchools]]=FALSE),0,1),1)</f>
        <v>0</v>
      </c>
      <c r="J89" s="57">
        <f>IF(LEN(ROLES[[#This Row],[StaffRoleCode]])&lt;100,0,1)</f>
        <v>0</v>
      </c>
      <c r="K89" s="57">
        <f>IF(LEN(ROLES[[#This Row],[Title]])&lt;100,0,1)</f>
        <v>0</v>
      </c>
      <c r="L89" s="57">
        <f>(COUNTBLANK(ROLES[[#This Row],[MonthsServiceBeforeIncrement]:[StaffRoleEnabled]]))+COUNTBLANK(ROLES[[#This Row],[FullTimeHoursPerWeek]])</f>
        <v>0</v>
      </c>
      <c r="M89" s="57">
        <f>IF(SUBSTITUTE(TEXT(ROLES[[#This Row],[StaffRoleCode]],10)," ","")=TEXT(ROLES[[#This Row],[StaffRoleCode]],10),0,1)</f>
        <v>0</v>
      </c>
      <c r="N89" s="57">
        <f>SUM(ROLES[[#This Row],[Duplicate Role Code]:[Space in Code]])</f>
        <v>0</v>
      </c>
      <c r="P89" s="12" t="s">
        <v>1188</v>
      </c>
      <c r="Q89" s="12" t="s">
        <v>4299</v>
      </c>
      <c r="R89" s="12" t="s">
        <v>4300</v>
      </c>
      <c r="S89" s="12" t="s">
        <v>3107</v>
      </c>
      <c r="T89" s="12">
        <v>37</v>
      </c>
      <c r="U89" s="155" t="b">
        <f>_xlfn.XLOOKUP(ROLES[[#This Row],[PayScaleCode]],PayScales!N:N,PayScales!T:T)</f>
        <v>1</v>
      </c>
      <c r="V89" s="154" t="str">
        <f>IF(ROLES[[#This Row],[AvailableToAllSchools]]=TRUE,"",_xlfn.XLOOKUP(ROLES[[#This Row],[PayScaleCode]],PayScales!N:N,PayScales!U:U))</f>
        <v/>
      </c>
      <c r="W89" s="12">
        <v>12</v>
      </c>
      <c r="X89" s="12">
        <v>0</v>
      </c>
      <c r="Y89" t="b">
        <v>1</v>
      </c>
      <c r="Z89" t="b">
        <v>0</v>
      </c>
    </row>
    <row r="90" spans="1:26" ht="15" customHeight="1" x14ac:dyDescent="0.3">
      <c r="A90" s="57">
        <f>COUNTIF(ROLES[StaffRoleCode],ROLES[[#This Row],[StaffRoleCode]])-1</f>
        <v>0</v>
      </c>
      <c r="B90" s="57">
        <f>COUNTIF(ROLES[Title],ROLES[[#This Row],[Title]])-1</f>
        <v>0</v>
      </c>
      <c r="C90"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90"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90"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90" s="57">
        <f>IF(COUNTIF(PAYSCALES[PayScaleCode],ROLES[[#This Row],[PayScaleCode]])&gt;0,0,1)</f>
        <v>0</v>
      </c>
      <c r="G90" s="57" cm="1">
        <f t="array" ref="G90">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90" s="57">
        <f>IF(ROLES[[#This Row],[AvailableToAllSchools]]=FALSE,IF(ISBLANK(ROLES[[#This Row],[SchoolCodes]]),1,0),IF(ROLES[[#This Row],[AvailableToAllSchools]]=TRUE,IF(ISBLANK(ROLES[[#This Row],[SchoolCodes]]),0,)))</f>
        <v>0</v>
      </c>
      <c r="I90" s="57">
        <f>IF(OR(ROLES[[#This Row],[StaffRoleEnabled]]=TRUE,ROLES[[#This Row],[StaffRoleEnabled]]=FALSE),IF(OR(ROLES[[#This Row],[AvailableToAllSchools]]=TRUE,ROLES[[#This Row],[AvailableToAllSchools]]=FALSE),0,1),1)</f>
        <v>0</v>
      </c>
      <c r="J90" s="57">
        <f>IF(LEN(ROLES[[#This Row],[StaffRoleCode]])&lt;100,0,1)</f>
        <v>0</v>
      </c>
      <c r="K90" s="57">
        <f>IF(LEN(ROLES[[#This Row],[Title]])&lt;100,0,1)</f>
        <v>0</v>
      </c>
      <c r="L90" s="57">
        <f>(COUNTBLANK(ROLES[[#This Row],[MonthsServiceBeforeIncrement]:[StaffRoleEnabled]]))+COUNTBLANK(ROLES[[#This Row],[FullTimeHoursPerWeek]])</f>
        <v>0</v>
      </c>
      <c r="M90" s="57">
        <f>IF(SUBSTITUTE(TEXT(ROLES[[#This Row],[StaffRoleCode]],10)," ","")=TEXT(ROLES[[#This Row],[StaffRoleCode]],10),0,1)</f>
        <v>0</v>
      </c>
      <c r="N90" s="57">
        <f>SUM(ROLES[[#This Row],[Duplicate Role Code]:[Space in Code]])</f>
        <v>0</v>
      </c>
      <c r="P90" s="12" t="s">
        <v>1188</v>
      </c>
      <c r="Q90" s="12" t="s">
        <v>4301</v>
      </c>
      <c r="R90" s="12" t="s">
        <v>4302</v>
      </c>
      <c r="S90" s="12" t="s">
        <v>3107</v>
      </c>
      <c r="T90" s="12">
        <v>37</v>
      </c>
      <c r="U90" s="155" t="b">
        <f>_xlfn.XLOOKUP(ROLES[[#This Row],[PayScaleCode]],PayScales!N:N,PayScales!T:T)</f>
        <v>1</v>
      </c>
      <c r="V90" s="154" t="str">
        <f>IF(ROLES[[#This Row],[AvailableToAllSchools]]=TRUE,"",_xlfn.XLOOKUP(ROLES[[#This Row],[PayScaleCode]],PayScales!N:N,PayScales!U:U))</f>
        <v/>
      </c>
      <c r="W90" s="12">
        <v>12</v>
      </c>
      <c r="X90" s="12">
        <v>0</v>
      </c>
      <c r="Y90" t="b">
        <v>1</v>
      </c>
      <c r="Z90" t="b">
        <v>0</v>
      </c>
    </row>
    <row r="91" spans="1:26" ht="15" customHeight="1" x14ac:dyDescent="0.3">
      <c r="A91" s="57">
        <f>COUNTIF(ROLES[StaffRoleCode],ROLES[[#This Row],[StaffRoleCode]])-1</f>
        <v>0</v>
      </c>
      <c r="B91" s="57">
        <f>COUNTIF(ROLES[Title],ROLES[[#This Row],[Title]])-1</f>
        <v>0</v>
      </c>
      <c r="C91"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91"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91"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91" s="57">
        <f>IF(COUNTIF(PAYSCALES[PayScaleCode],ROLES[[#This Row],[PayScaleCode]])&gt;0,0,1)</f>
        <v>0</v>
      </c>
      <c r="G91" s="57" cm="1">
        <f t="array" ref="G91">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91" s="57">
        <f>IF(ROLES[[#This Row],[AvailableToAllSchools]]=FALSE,IF(ISBLANK(ROLES[[#This Row],[SchoolCodes]]),1,0),IF(ROLES[[#This Row],[AvailableToAllSchools]]=TRUE,IF(ISBLANK(ROLES[[#This Row],[SchoolCodes]]),0,)))</f>
        <v>0</v>
      </c>
      <c r="I91" s="57">
        <f>IF(OR(ROLES[[#This Row],[StaffRoleEnabled]]=TRUE,ROLES[[#This Row],[StaffRoleEnabled]]=FALSE),IF(OR(ROLES[[#This Row],[AvailableToAllSchools]]=TRUE,ROLES[[#This Row],[AvailableToAllSchools]]=FALSE),0,1),1)</f>
        <v>0</v>
      </c>
      <c r="J91" s="57">
        <f>IF(LEN(ROLES[[#This Row],[StaffRoleCode]])&lt;100,0,1)</f>
        <v>0</v>
      </c>
      <c r="K91" s="57">
        <f>IF(LEN(ROLES[[#This Row],[Title]])&lt;100,0,1)</f>
        <v>0</v>
      </c>
      <c r="L91" s="57">
        <f>(COUNTBLANK(ROLES[[#This Row],[MonthsServiceBeforeIncrement]:[StaffRoleEnabled]]))+COUNTBLANK(ROLES[[#This Row],[FullTimeHoursPerWeek]])</f>
        <v>0</v>
      </c>
      <c r="M91" s="57">
        <f>IF(SUBSTITUTE(TEXT(ROLES[[#This Row],[StaffRoleCode]],10)," ","")=TEXT(ROLES[[#This Row],[StaffRoleCode]],10),0,1)</f>
        <v>0</v>
      </c>
      <c r="N91" s="57">
        <f>SUM(ROLES[[#This Row],[Duplicate Role Code]:[Space in Code]])</f>
        <v>0</v>
      </c>
      <c r="P91" s="12" t="s">
        <v>1188</v>
      </c>
      <c r="Q91" s="12" t="s">
        <v>4303</v>
      </c>
      <c r="R91" s="12" t="s">
        <v>4304</v>
      </c>
      <c r="S91" s="12" t="s">
        <v>3107</v>
      </c>
      <c r="T91" s="12">
        <v>37</v>
      </c>
      <c r="U91" s="155" t="b">
        <f>_xlfn.XLOOKUP(ROLES[[#This Row],[PayScaleCode]],PayScales!N:N,PayScales!T:T)</f>
        <v>1</v>
      </c>
      <c r="V91" s="154" t="str">
        <f>IF(ROLES[[#This Row],[AvailableToAllSchools]]=TRUE,"",_xlfn.XLOOKUP(ROLES[[#This Row],[PayScaleCode]],PayScales!N:N,PayScales!U:U))</f>
        <v/>
      </c>
      <c r="W91" s="12">
        <v>12</v>
      </c>
      <c r="X91" s="12">
        <v>0</v>
      </c>
      <c r="Y91" t="b">
        <v>1</v>
      </c>
      <c r="Z91" t="b">
        <v>0</v>
      </c>
    </row>
    <row r="92" spans="1:26" ht="15" customHeight="1" x14ac:dyDescent="0.3">
      <c r="A92" s="57">
        <f>COUNTIF(ROLES[StaffRoleCode],ROLES[[#This Row],[StaffRoleCode]])-1</f>
        <v>0</v>
      </c>
      <c r="B92" s="57">
        <f>COUNTIF(ROLES[Title],ROLES[[#This Row],[Title]])-1</f>
        <v>0</v>
      </c>
      <c r="C92"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92"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92"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92" s="57">
        <f>IF(COUNTIF(PAYSCALES[PayScaleCode],ROLES[[#This Row],[PayScaleCode]])&gt;0,0,1)</f>
        <v>0</v>
      </c>
      <c r="G92" s="57" cm="1">
        <f t="array" ref="G92">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92" s="57">
        <f>IF(ROLES[[#This Row],[AvailableToAllSchools]]=FALSE,IF(ISBLANK(ROLES[[#This Row],[SchoolCodes]]),1,0),IF(ROLES[[#This Row],[AvailableToAllSchools]]=TRUE,IF(ISBLANK(ROLES[[#This Row],[SchoolCodes]]),0,)))</f>
        <v>0</v>
      </c>
      <c r="I92" s="57">
        <f>IF(OR(ROLES[[#This Row],[StaffRoleEnabled]]=TRUE,ROLES[[#This Row],[StaffRoleEnabled]]=FALSE),IF(OR(ROLES[[#This Row],[AvailableToAllSchools]]=TRUE,ROLES[[#This Row],[AvailableToAllSchools]]=FALSE),0,1),1)</f>
        <v>0</v>
      </c>
      <c r="J92" s="57">
        <f>IF(LEN(ROLES[[#This Row],[StaffRoleCode]])&lt;100,0,1)</f>
        <v>0</v>
      </c>
      <c r="K92" s="57">
        <f>IF(LEN(ROLES[[#This Row],[Title]])&lt;100,0,1)</f>
        <v>0</v>
      </c>
      <c r="L92" s="57">
        <f>(COUNTBLANK(ROLES[[#This Row],[MonthsServiceBeforeIncrement]:[StaffRoleEnabled]]))+COUNTBLANK(ROLES[[#This Row],[FullTimeHoursPerWeek]])</f>
        <v>0</v>
      </c>
      <c r="M92" s="57">
        <f>IF(SUBSTITUTE(TEXT(ROLES[[#This Row],[StaffRoleCode]],10)," ","")=TEXT(ROLES[[#This Row],[StaffRoleCode]],10),0,1)</f>
        <v>0</v>
      </c>
      <c r="N92" s="57">
        <f>SUM(ROLES[[#This Row],[Duplicate Role Code]:[Space in Code]])</f>
        <v>0</v>
      </c>
      <c r="P92" s="12" t="s">
        <v>1190</v>
      </c>
      <c r="Q92" s="12" t="s">
        <v>1190</v>
      </c>
      <c r="R92" s="12" t="s">
        <v>1226</v>
      </c>
      <c r="S92" s="12" t="s">
        <v>3107</v>
      </c>
      <c r="T92" s="12">
        <v>37</v>
      </c>
      <c r="U92" s="155" t="b">
        <f>_xlfn.XLOOKUP(ROLES[[#This Row],[PayScaleCode]],PayScales!N:N,PayScales!T:T)</f>
        <v>1</v>
      </c>
      <c r="V92" s="154" t="str">
        <f>IF(ROLES[[#This Row],[AvailableToAllSchools]]=TRUE,"",_xlfn.XLOOKUP(ROLES[[#This Row],[PayScaleCode]],PayScales!N:N,PayScales!U:U))</f>
        <v/>
      </c>
      <c r="W92" s="12">
        <v>12</v>
      </c>
      <c r="X92" s="12">
        <v>0</v>
      </c>
      <c r="Y92" t="b">
        <v>1</v>
      </c>
      <c r="Z92" t="b">
        <v>0</v>
      </c>
    </row>
    <row r="93" spans="1:26" ht="15" customHeight="1" x14ac:dyDescent="0.3">
      <c r="A93" s="57">
        <f>COUNTIF(ROLES[StaffRoleCode],ROLES[[#This Row],[StaffRoleCode]])-1</f>
        <v>0</v>
      </c>
      <c r="B93" s="57">
        <f>COUNTIF(ROLES[Title],ROLES[[#This Row],[Title]])-1</f>
        <v>0</v>
      </c>
      <c r="C93"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93"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93"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93" s="57">
        <f>IF(COUNTIF(PAYSCALES[PayScaleCode],ROLES[[#This Row],[PayScaleCode]])&gt;0,0,1)</f>
        <v>0</v>
      </c>
      <c r="G93" s="57" cm="1">
        <f t="array" ref="G93">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93" s="57">
        <f>IF(ROLES[[#This Row],[AvailableToAllSchools]]=FALSE,IF(ISBLANK(ROLES[[#This Row],[SchoolCodes]]),1,0),IF(ROLES[[#This Row],[AvailableToAllSchools]]=TRUE,IF(ISBLANK(ROLES[[#This Row],[SchoolCodes]]),0,)))</f>
        <v>0</v>
      </c>
      <c r="I93" s="57">
        <f>IF(OR(ROLES[[#This Row],[StaffRoleEnabled]]=TRUE,ROLES[[#This Row],[StaffRoleEnabled]]=FALSE),IF(OR(ROLES[[#This Row],[AvailableToAllSchools]]=TRUE,ROLES[[#This Row],[AvailableToAllSchools]]=FALSE),0,1),1)</f>
        <v>0</v>
      </c>
      <c r="J93" s="57">
        <f>IF(LEN(ROLES[[#This Row],[StaffRoleCode]])&lt;100,0,1)</f>
        <v>0</v>
      </c>
      <c r="K93" s="57">
        <f>IF(LEN(ROLES[[#This Row],[Title]])&lt;100,0,1)</f>
        <v>0</v>
      </c>
      <c r="L93" s="57">
        <f>(COUNTBLANK(ROLES[[#This Row],[MonthsServiceBeforeIncrement]:[StaffRoleEnabled]]))+COUNTBLANK(ROLES[[#This Row],[FullTimeHoursPerWeek]])</f>
        <v>0</v>
      </c>
      <c r="M93" s="57">
        <f>IF(SUBSTITUTE(TEXT(ROLES[[#This Row],[StaffRoleCode]],10)," ","")=TEXT(ROLES[[#This Row],[StaffRoleCode]],10),0,1)</f>
        <v>0</v>
      </c>
      <c r="N93" s="57">
        <f>SUM(ROLES[[#This Row],[Duplicate Role Code]:[Space in Code]])</f>
        <v>0</v>
      </c>
      <c r="P93" s="12" t="s">
        <v>1190</v>
      </c>
      <c r="Q93" s="12" t="s">
        <v>4305</v>
      </c>
      <c r="R93" s="12" t="s">
        <v>4306</v>
      </c>
      <c r="S93" s="12" t="s">
        <v>3107</v>
      </c>
      <c r="T93" s="12">
        <v>37</v>
      </c>
      <c r="U93" s="155" t="b">
        <f>_xlfn.XLOOKUP(ROLES[[#This Row],[PayScaleCode]],PayScales!N:N,PayScales!T:T)</f>
        <v>1</v>
      </c>
      <c r="V93" s="154" t="str">
        <f>IF(ROLES[[#This Row],[AvailableToAllSchools]]=TRUE,"",_xlfn.XLOOKUP(ROLES[[#This Row],[PayScaleCode]],PayScales!N:N,PayScales!U:U))</f>
        <v/>
      </c>
      <c r="W93" s="12">
        <v>12</v>
      </c>
      <c r="X93" s="12">
        <v>0</v>
      </c>
      <c r="Y93" t="b">
        <v>1</v>
      </c>
      <c r="Z93" t="b">
        <v>0</v>
      </c>
    </row>
    <row r="94" spans="1:26" ht="15" customHeight="1" x14ac:dyDescent="0.3">
      <c r="A94" s="57">
        <f>COUNTIF(ROLES[StaffRoleCode],ROLES[[#This Row],[StaffRoleCode]])-1</f>
        <v>0</v>
      </c>
      <c r="B94" s="57">
        <f>COUNTIF(ROLES[Title],ROLES[[#This Row],[Title]])-1</f>
        <v>0</v>
      </c>
      <c r="C94"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94"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94"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94" s="57">
        <f>IF(COUNTIF(PAYSCALES[PayScaleCode],ROLES[[#This Row],[PayScaleCode]])&gt;0,0,1)</f>
        <v>0</v>
      </c>
      <c r="G94" s="57" cm="1">
        <f t="array" ref="G94">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94" s="57">
        <f>IF(ROLES[[#This Row],[AvailableToAllSchools]]=FALSE,IF(ISBLANK(ROLES[[#This Row],[SchoolCodes]]),1,0),IF(ROLES[[#This Row],[AvailableToAllSchools]]=TRUE,IF(ISBLANK(ROLES[[#This Row],[SchoolCodes]]),0,)))</f>
        <v>0</v>
      </c>
      <c r="I94" s="57">
        <f>IF(OR(ROLES[[#This Row],[StaffRoleEnabled]]=TRUE,ROLES[[#This Row],[StaffRoleEnabled]]=FALSE),IF(OR(ROLES[[#This Row],[AvailableToAllSchools]]=TRUE,ROLES[[#This Row],[AvailableToAllSchools]]=FALSE),0,1),1)</f>
        <v>0</v>
      </c>
      <c r="J94" s="57">
        <f>IF(LEN(ROLES[[#This Row],[StaffRoleCode]])&lt;100,0,1)</f>
        <v>0</v>
      </c>
      <c r="K94" s="57">
        <f>IF(LEN(ROLES[[#This Row],[Title]])&lt;100,0,1)</f>
        <v>0</v>
      </c>
      <c r="L94" s="57">
        <f>(COUNTBLANK(ROLES[[#This Row],[MonthsServiceBeforeIncrement]:[StaffRoleEnabled]]))+COUNTBLANK(ROLES[[#This Row],[FullTimeHoursPerWeek]])</f>
        <v>0</v>
      </c>
      <c r="M94" s="57">
        <f>IF(SUBSTITUTE(TEXT(ROLES[[#This Row],[StaffRoleCode]],10)," ","")=TEXT(ROLES[[#This Row],[StaffRoleCode]],10),0,1)</f>
        <v>0</v>
      </c>
      <c r="N94" s="57">
        <f>SUM(ROLES[[#This Row],[Duplicate Role Code]:[Space in Code]])</f>
        <v>0</v>
      </c>
      <c r="P94" s="12" t="s">
        <v>1192</v>
      </c>
      <c r="Q94" s="12" t="s">
        <v>4307</v>
      </c>
      <c r="R94" s="12" t="s">
        <v>4308</v>
      </c>
      <c r="S94" s="12" t="s">
        <v>3107</v>
      </c>
      <c r="T94" s="12">
        <v>37</v>
      </c>
      <c r="U94" s="155" t="b">
        <f>_xlfn.XLOOKUP(ROLES[[#This Row],[PayScaleCode]],PayScales!N:N,PayScales!T:T)</f>
        <v>1</v>
      </c>
      <c r="V94" s="154" t="str">
        <f>IF(ROLES[[#This Row],[AvailableToAllSchools]]=TRUE,"",_xlfn.XLOOKUP(ROLES[[#This Row],[PayScaleCode]],PayScales!N:N,PayScales!U:U))</f>
        <v/>
      </c>
      <c r="W94" s="12">
        <v>12</v>
      </c>
      <c r="X94" s="12">
        <v>0</v>
      </c>
      <c r="Y94" t="b">
        <v>1</v>
      </c>
      <c r="Z94" t="b">
        <v>0</v>
      </c>
    </row>
    <row r="95" spans="1:26" ht="15" customHeight="1" x14ac:dyDescent="0.3">
      <c r="A95" s="57">
        <f>COUNTIF(ROLES[StaffRoleCode],ROLES[[#This Row],[StaffRoleCode]])-1</f>
        <v>0</v>
      </c>
      <c r="B95" s="57">
        <f>COUNTIF(ROLES[Title],ROLES[[#This Row],[Title]])-1</f>
        <v>0</v>
      </c>
      <c r="C95"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95"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95"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95" s="57">
        <f>IF(COUNTIF(PAYSCALES[PayScaleCode],ROLES[[#This Row],[PayScaleCode]])&gt;0,0,1)</f>
        <v>0</v>
      </c>
      <c r="G95" s="57" cm="1">
        <f t="array" ref="G95">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95" s="57">
        <f>IF(ROLES[[#This Row],[AvailableToAllSchools]]=FALSE,IF(ISBLANK(ROLES[[#This Row],[SchoolCodes]]),1,0),IF(ROLES[[#This Row],[AvailableToAllSchools]]=TRUE,IF(ISBLANK(ROLES[[#This Row],[SchoolCodes]]),0,)))</f>
        <v>0</v>
      </c>
      <c r="I95" s="57">
        <f>IF(OR(ROLES[[#This Row],[StaffRoleEnabled]]=TRUE,ROLES[[#This Row],[StaffRoleEnabled]]=FALSE),IF(OR(ROLES[[#This Row],[AvailableToAllSchools]]=TRUE,ROLES[[#This Row],[AvailableToAllSchools]]=FALSE),0,1),1)</f>
        <v>0</v>
      </c>
      <c r="J95" s="57">
        <f>IF(LEN(ROLES[[#This Row],[StaffRoleCode]])&lt;100,0,1)</f>
        <v>0</v>
      </c>
      <c r="K95" s="57">
        <f>IF(LEN(ROLES[[#This Row],[Title]])&lt;100,0,1)</f>
        <v>0</v>
      </c>
      <c r="L95" s="57">
        <f>(COUNTBLANK(ROLES[[#This Row],[MonthsServiceBeforeIncrement]:[StaffRoleEnabled]]))+COUNTBLANK(ROLES[[#This Row],[FullTimeHoursPerWeek]])</f>
        <v>0</v>
      </c>
      <c r="M95" s="57">
        <f>IF(SUBSTITUTE(TEXT(ROLES[[#This Row],[StaffRoleCode]],10)," ","")=TEXT(ROLES[[#This Row],[StaffRoleCode]],10),0,1)</f>
        <v>0</v>
      </c>
      <c r="N95" s="57">
        <f>SUM(ROLES[[#This Row],[Duplicate Role Code]:[Space in Code]])</f>
        <v>0</v>
      </c>
      <c r="P95" s="12" t="s">
        <v>1192</v>
      </c>
      <c r="Q95" s="12" t="s">
        <v>1192</v>
      </c>
      <c r="R95" s="12" t="s">
        <v>4309</v>
      </c>
      <c r="S95" s="12" t="s">
        <v>3107</v>
      </c>
      <c r="T95" s="12">
        <v>37</v>
      </c>
      <c r="U95" s="155" t="b">
        <f>_xlfn.XLOOKUP(ROLES[[#This Row],[PayScaleCode]],PayScales!N:N,PayScales!T:T)</f>
        <v>1</v>
      </c>
      <c r="V95" s="154" t="str">
        <f>IF(ROLES[[#This Row],[AvailableToAllSchools]]=TRUE,"",_xlfn.XLOOKUP(ROLES[[#This Row],[PayScaleCode]],PayScales!N:N,PayScales!U:U))</f>
        <v/>
      </c>
      <c r="W95" s="12">
        <v>12</v>
      </c>
      <c r="X95" s="12">
        <v>0</v>
      </c>
      <c r="Y95" t="b">
        <v>1</v>
      </c>
      <c r="Z95" t="b">
        <v>0</v>
      </c>
    </row>
    <row r="96" spans="1:26" ht="15" customHeight="1" x14ac:dyDescent="0.3">
      <c r="A96" s="57">
        <f>COUNTIF(ROLES[StaffRoleCode],ROLES[[#This Row],[StaffRoleCode]])-1</f>
        <v>0</v>
      </c>
      <c r="B96" s="57">
        <f>COUNTIF(ROLES[Title],ROLES[[#This Row],[Title]])-1</f>
        <v>0</v>
      </c>
      <c r="C96"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96"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96"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96" s="57">
        <f>IF(COUNTIF(PAYSCALES[PayScaleCode],ROLES[[#This Row],[PayScaleCode]])&gt;0,0,1)</f>
        <v>0</v>
      </c>
      <c r="G96" s="57" cm="1">
        <f t="array" ref="G96">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96" s="57">
        <f>IF(ROLES[[#This Row],[AvailableToAllSchools]]=FALSE,IF(ISBLANK(ROLES[[#This Row],[SchoolCodes]]),1,0),IF(ROLES[[#This Row],[AvailableToAllSchools]]=TRUE,IF(ISBLANK(ROLES[[#This Row],[SchoolCodes]]),0,)))</f>
        <v>0</v>
      </c>
      <c r="I96" s="57">
        <f>IF(OR(ROLES[[#This Row],[StaffRoleEnabled]]=TRUE,ROLES[[#This Row],[StaffRoleEnabled]]=FALSE),IF(OR(ROLES[[#This Row],[AvailableToAllSchools]]=TRUE,ROLES[[#This Row],[AvailableToAllSchools]]=FALSE),0,1),1)</f>
        <v>0</v>
      </c>
      <c r="J96" s="57">
        <f>IF(LEN(ROLES[[#This Row],[StaffRoleCode]])&lt;100,0,1)</f>
        <v>0</v>
      </c>
      <c r="K96" s="57">
        <f>IF(LEN(ROLES[[#This Row],[Title]])&lt;100,0,1)</f>
        <v>0</v>
      </c>
      <c r="L96" s="57">
        <f>(COUNTBLANK(ROLES[[#This Row],[MonthsServiceBeforeIncrement]:[StaffRoleEnabled]]))+COUNTBLANK(ROLES[[#This Row],[FullTimeHoursPerWeek]])</f>
        <v>0</v>
      </c>
      <c r="M96" s="57">
        <f>IF(SUBSTITUTE(TEXT(ROLES[[#This Row],[StaffRoleCode]],10)," ","")=TEXT(ROLES[[#This Row],[StaffRoleCode]],10),0,1)</f>
        <v>0</v>
      </c>
      <c r="N96" s="57">
        <f>SUM(ROLES[[#This Row],[Duplicate Role Code]:[Space in Code]])</f>
        <v>0</v>
      </c>
      <c r="P96" s="12" t="s">
        <v>1194</v>
      </c>
      <c r="Q96" s="12" t="s">
        <v>4310</v>
      </c>
      <c r="R96" s="12" t="s">
        <v>4311</v>
      </c>
      <c r="S96" s="12" t="s">
        <v>3107</v>
      </c>
      <c r="T96" s="12">
        <v>37</v>
      </c>
      <c r="U96" s="155" t="b">
        <f>_xlfn.XLOOKUP(ROLES[[#This Row],[PayScaleCode]],PayScales!N:N,PayScales!T:T)</f>
        <v>1</v>
      </c>
      <c r="V96" s="154" t="str">
        <f>IF(ROLES[[#This Row],[AvailableToAllSchools]]=TRUE,"",_xlfn.XLOOKUP(ROLES[[#This Row],[PayScaleCode]],PayScales!N:N,PayScales!U:U))</f>
        <v/>
      </c>
      <c r="W96" s="12">
        <v>12</v>
      </c>
      <c r="X96" s="12">
        <v>0</v>
      </c>
      <c r="Y96" t="b">
        <v>1</v>
      </c>
      <c r="Z96" t="b">
        <v>0</v>
      </c>
    </row>
    <row r="97" spans="1:26" ht="15" customHeight="1" x14ac:dyDescent="0.3">
      <c r="A97" s="57">
        <f>COUNTIF(ROLES[StaffRoleCode],ROLES[[#This Row],[StaffRoleCode]])-1</f>
        <v>0</v>
      </c>
      <c r="B97" s="57">
        <f>COUNTIF(ROLES[Title],ROLES[[#This Row],[Title]])-1</f>
        <v>0</v>
      </c>
      <c r="C97"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97"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97"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97" s="57">
        <f>IF(COUNTIF(PAYSCALES[PayScaleCode],ROLES[[#This Row],[PayScaleCode]])&gt;0,0,1)</f>
        <v>0</v>
      </c>
      <c r="G97" s="57" cm="1">
        <f t="array" ref="G97">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97" s="57">
        <f>IF(ROLES[[#This Row],[AvailableToAllSchools]]=FALSE,IF(ISBLANK(ROLES[[#This Row],[SchoolCodes]]),1,0),IF(ROLES[[#This Row],[AvailableToAllSchools]]=TRUE,IF(ISBLANK(ROLES[[#This Row],[SchoolCodes]]),0,)))</f>
        <v>0</v>
      </c>
      <c r="I97" s="57">
        <f>IF(OR(ROLES[[#This Row],[StaffRoleEnabled]]=TRUE,ROLES[[#This Row],[StaffRoleEnabled]]=FALSE),IF(OR(ROLES[[#This Row],[AvailableToAllSchools]]=TRUE,ROLES[[#This Row],[AvailableToAllSchools]]=FALSE),0,1),1)</f>
        <v>0</v>
      </c>
      <c r="J97" s="57">
        <f>IF(LEN(ROLES[[#This Row],[StaffRoleCode]])&lt;100,0,1)</f>
        <v>0</v>
      </c>
      <c r="K97" s="57">
        <f>IF(LEN(ROLES[[#This Row],[Title]])&lt;100,0,1)</f>
        <v>0</v>
      </c>
      <c r="L97" s="57">
        <f>(COUNTBLANK(ROLES[[#This Row],[MonthsServiceBeforeIncrement]:[StaffRoleEnabled]]))+COUNTBLANK(ROLES[[#This Row],[FullTimeHoursPerWeek]])</f>
        <v>0</v>
      </c>
      <c r="M97" s="57">
        <f>IF(SUBSTITUTE(TEXT(ROLES[[#This Row],[StaffRoleCode]],10)," ","")=TEXT(ROLES[[#This Row],[StaffRoleCode]],10),0,1)</f>
        <v>0</v>
      </c>
      <c r="N97" s="57">
        <f>SUM(ROLES[[#This Row],[Duplicate Role Code]:[Space in Code]])</f>
        <v>0</v>
      </c>
      <c r="P97" s="12" t="s">
        <v>1194</v>
      </c>
      <c r="Q97" s="12" t="s">
        <v>4312</v>
      </c>
      <c r="R97" s="12" t="s">
        <v>4313</v>
      </c>
      <c r="S97" s="12" t="s">
        <v>3107</v>
      </c>
      <c r="T97" s="12">
        <v>37</v>
      </c>
      <c r="U97" s="155" t="b">
        <f>_xlfn.XLOOKUP(ROLES[[#This Row],[PayScaleCode]],PayScales!N:N,PayScales!T:T)</f>
        <v>1</v>
      </c>
      <c r="V97" s="154" t="str">
        <f>IF(ROLES[[#This Row],[AvailableToAllSchools]]=TRUE,"",_xlfn.XLOOKUP(ROLES[[#This Row],[PayScaleCode]],PayScales!N:N,PayScales!U:U))</f>
        <v/>
      </c>
      <c r="W97" s="12">
        <v>12</v>
      </c>
      <c r="X97" s="12">
        <v>0</v>
      </c>
      <c r="Y97" t="b">
        <v>1</v>
      </c>
      <c r="Z97" t="b">
        <v>0</v>
      </c>
    </row>
    <row r="98" spans="1:26" ht="15" customHeight="1" x14ac:dyDescent="0.3">
      <c r="A98" s="57">
        <f>COUNTIF(ROLES[StaffRoleCode],ROLES[[#This Row],[StaffRoleCode]])-1</f>
        <v>0</v>
      </c>
      <c r="B98" s="57">
        <f>COUNTIF(ROLES[Title],ROLES[[#This Row],[Title]])-1</f>
        <v>0</v>
      </c>
      <c r="C98"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98"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98"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98" s="57">
        <f>IF(COUNTIF(PAYSCALES[PayScaleCode],ROLES[[#This Row],[PayScaleCode]])&gt;0,0,1)</f>
        <v>0</v>
      </c>
      <c r="G98" s="57" cm="1">
        <f t="array" ref="G98">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98" s="57">
        <f>IF(ROLES[[#This Row],[AvailableToAllSchools]]=FALSE,IF(ISBLANK(ROLES[[#This Row],[SchoolCodes]]),1,0),IF(ROLES[[#This Row],[AvailableToAllSchools]]=TRUE,IF(ISBLANK(ROLES[[#This Row],[SchoolCodes]]),0,)))</f>
        <v>0</v>
      </c>
      <c r="I98" s="57">
        <f>IF(OR(ROLES[[#This Row],[StaffRoleEnabled]]=TRUE,ROLES[[#This Row],[StaffRoleEnabled]]=FALSE),IF(OR(ROLES[[#This Row],[AvailableToAllSchools]]=TRUE,ROLES[[#This Row],[AvailableToAllSchools]]=FALSE),0,1),1)</f>
        <v>0</v>
      </c>
      <c r="J98" s="57">
        <f>IF(LEN(ROLES[[#This Row],[StaffRoleCode]])&lt;100,0,1)</f>
        <v>0</v>
      </c>
      <c r="K98" s="57">
        <f>IF(LEN(ROLES[[#This Row],[Title]])&lt;100,0,1)</f>
        <v>0</v>
      </c>
      <c r="L98" s="57">
        <f>(COUNTBLANK(ROLES[[#This Row],[MonthsServiceBeforeIncrement]:[StaffRoleEnabled]]))+COUNTBLANK(ROLES[[#This Row],[FullTimeHoursPerWeek]])</f>
        <v>0</v>
      </c>
      <c r="M98" s="57">
        <f>IF(SUBSTITUTE(TEXT(ROLES[[#This Row],[StaffRoleCode]],10)," ","")=TEXT(ROLES[[#This Row],[StaffRoleCode]],10),0,1)</f>
        <v>0</v>
      </c>
      <c r="N98" s="57">
        <f>SUM(ROLES[[#This Row],[Duplicate Role Code]:[Space in Code]])</f>
        <v>0</v>
      </c>
      <c r="P98" s="12" t="s">
        <v>1194</v>
      </c>
      <c r="Q98" s="12" t="s">
        <v>4314</v>
      </c>
      <c r="R98" s="12" t="s">
        <v>4315</v>
      </c>
      <c r="S98" s="12" t="s">
        <v>3107</v>
      </c>
      <c r="T98" s="12">
        <v>37</v>
      </c>
      <c r="U98" s="155" t="b">
        <f>_xlfn.XLOOKUP(ROLES[[#This Row],[PayScaleCode]],PayScales!N:N,PayScales!T:T)</f>
        <v>1</v>
      </c>
      <c r="V98" s="154" t="str">
        <f>IF(ROLES[[#This Row],[AvailableToAllSchools]]=TRUE,"",_xlfn.XLOOKUP(ROLES[[#This Row],[PayScaleCode]],PayScales!N:N,PayScales!U:U))</f>
        <v/>
      </c>
      <c r="W98" s="12">
        <v>12</v>
      </c>
      <c r="X98" s="12">
        <v>0</v>
      </c>
      <c r="Y98" t="b">
        <v>1</v>
      </c>
      <c r="Z98" t="b">
        <v>0</v>
      </c>
    </row>
    <row r="99" spans="1:26" ht="15" customHeight="1" x14ac:dyDescent="0.3">
      <c r="A99" s="57">
        <f>COUNTIF(ROLES[StaffRoleCode],ROLES[[#This Row],[StaffRoleCode]])-1</f>
        <v>0</v>
      </c>
      <c r="B99" s="57">
        <f>COUNTIF(ROLES[Title],ROLES[[#This Row],[Title]])-1</f>
        <v>0</v>
      </c>
      <c r="C99"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99"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99"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99" s="57">
        <f>IF(COUNTIF(PAYSCALES[PayScaleCode],ROLES[[#This Row],[PayScaleCode]])&gt;0,0,1)</f>
        <v>0</v>
      </c>
      <c r="G99" s="57" cm="1">
        <f t="array" ref="G99">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99" s="57">
        <f>IF(ROLES[[#This Row],[AvailableToAllSchools]]=FALSE,IF(ISBLANK(ROLES[[#This Row],[SchoolCodes]]),1,0),IF(ROLES[[#This Row],[AvailableToAllSchools]]=TRUE,IF(ISBLANK(ROLES[[#This Row],[SchoolCodes]]),0,)))</f>
        <v>0</v>
      </c>
      <c r="I99" s="57">
        <f>IF(OR(ROLES[[#This Row],[StaffRoleEnabled]]=TRUE,ROLES[[#This Row],[StaffRoleEnabled]]=FALSE),IF(OR(ROLES[[#This Row],[AvailableToAllSchools]]=TRUE,ROLES[[#This Row],[AvailableToAllSchools]]=FALSE),0,1),1)</f>
        <v>0</v>
      </c>
      <c r="J99" s="57">
        <f>IF(LEN(ROLES[[#This Row],[StaffRoleCode]])&lt;100,0,1)</f>
        <v>0</v>
      </c>
      <c r="K99" s="57">
        <f>IF(LEN(ROLES[[#This Row],[Title]])&lt;100,0,1)</f>
        <v>0</v>
      </c>
      <c r="L99" s="57">
        <f>(COUNTBLANK(ROLES[[#This Row],[MonthsServiceBeforeIncrement]:[StaffRoleEnabled]]))+COUNTBLANK(ROLES[[#This Row],[FullTimeHoursPerWeek]])</f>
        <v>0</v>
      </c>
      <c r="M99" s="57">
        <f>IF(SUBSTITUTE(TEXT(ROLES[[#This Row],[StaffRoleCode]],10)," ","")=TEXT(ROLES[[#This Row],[StaffRoleCode]],10),0,1)</f>
        <v>0</v>
      </c>
      <c r="N99" s="57">
        <f>SUM(ROLES[[#This Row],[Duplicate Role Code]:[Space in Code]])</f>
        <v>0</v>
      </c>
      <c r="P99" s="12" t="s">
        <v>1194</v>
      </c>
      <c r="Q99" s="12" t="s">
        <v>4316</v>
      </c>
      <c r="R99" s="12" t="s">
        <v>4317</v>
      </c>
      <c r="S99" s="12" t="s">
        <v>3107</v>
      </c>
      <c r="T99" s="12">
        <v>37</v>
      </c>
      <c r="U99" s="155" t="b">
        <f>_xlfn.XLOOKUP(ROLES[[#This Row],[PayScaleCode]],PayScales!N:N,PayScales!T:T)</f>
        <v>1</v>
      </c>
      <c r="V99" s="154" t="str">
        <f>IF(ROLES[[#This Row],[AvailableToAllSchools]]=TRUE,"",_xlfn.XLOOKUP(ROLES[[#This Row],[PayScaleCode]],PayScales!N:N,PayScales!U:U))</f>
        <v/>
      </c>
      <c r="W99" s="12">
        <v>12</v>
      </c>
      <c r="X99" s="12">
        <v>0</v>
      </c>
      <c r="Y99" t="b">
        <v>1</v>
      </c>
      <c r="Z99" t="b">
        <v>0</v>
      </c>
    </row>
    <row r="100" spans="1:26" ht="15" customHeight="1" x14ac:dyDescent="0.3">
      <c r="A100" s="57">
        <f>COUNTIF(ROLES[StaffRoleCode],ROLES[[#This Row],[StaffRoleCode]])-1</f>
        <v>0</v>
      </c>
      <c r="B100" s="57">
        <f>COUNTIF(ROLES[Title],ROLES[[#This Row],[Title]])-1</f>
        <v>0</v>
      </c>
      <c r="C100"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100"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100"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100" s="57">
        <f>IF(COUNTIF(PAYSCALES[PayScaleCode],ROLES[[#This Row],[PayScaleCode]])&gt;0,0,1)</f>
        <v>0</v>
      </c>
      <c r="G100" s="57" cm="1">
        <f t="array" ref="G100">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00" s="57">
        <f>IF(ROLES[[#This Row],[AvailableToAllSchools]]=FALSE,IF(ISBLANK(ROLES[[#This Row],[SchoolCodes]]),1,0),IF(ROLES[[#This Row],[AvailableToAllSchools]]=TRUE,IF(ISBLANK(ROLES[[#This Row],[SchoolCodes]]),0,)))</f>
        <v>0</v>
      </c>
      <c r="I100" s="57">
        <f>IF(OR(ROLES[[#This Row],[StaffRoleEnabled]]=TRUE,ROLES[[#This Row],[StaffRoleEnabled]]=FALSE),IF(OR(ROLES[[#This Row],[AvailableToAllSchools]]=TRUE,ROLES[[#This Row],[AvailableToAllSchools]]=FALSE),0,1),1)</f>
        <v>0</v>
      </c>
      <c r="J100" s="57">
        <f>IF(LEN(ROLES[[#This Row],[StaffRoleCode]])&lt;100,0,1)</f>
        <v>0</v>
      </c>
      <c r="K100" s="57">
        <f>IF(LEN(ROLES[[#This Row],[Title]])&lt;100,0,1)</f>
        <v>0</v>
      </c>
      <c r="L100" s="57">
        <f>(COUNTBLANK(ROLES[[#This Row],[MonthsServiceBeforeIncrement]:[StaffRoleEnabled]]))+COUNTBLANK(ROLES[[#This Row],[FullTimeHoursPerWeek]])</f>
        <v>0</v>
      </c>
      <c r="M100" s="57">
        <f>IF(SUBSTITUTE(TEXT(ROLES[[#This Row],[StaffRoleCode]],10)," ","")=TEXT(ROLES[[#This Row],[StaffRoleCode]],10),0,1)</f>
        <v>0</v>
      </c>
      <c r="N100" s="57">
        <f>SUM(ROLES[[#This Row],[Duplicate Role Code]:[Space in Code]])</f>
        <v>0</v>
      </c>
      <c r="P100" s="12" t="s">
        <v>1194</v>
      </c>
      <c r="Q100" s="12" t="s">
        <v>4318</v>
      </c>
      <c r="R100" s="12" t="s">
        <v>4319</v>
      </c>
      <c r="S100" s="12" t="s">
        <v>3107</v>
      </c>
      <c r="T100" s="12">
        <v>37</v>
      </c>
      <c r="U100" s="155" t="b">
        <f>_xlfn.XLOOKUP(ROLES[[#This Row],[PayScaleCode]],PayScales!N:N,PayScales!T:T)</f>
        <v>1</v>
      </c>
      <c r="V100" s="154" t="str">
        <f>IF(ROLES[[#This Row],[AvailableToAllSchools]]=TRUE,"",_xlfn.XLOOKUP(ROLES[[#This Row],[PayScaleCode]],PayScales!N:N,PayScales!U:U))</f>
        <v/>
      </c>
      <c r="W100" s="12">
        <v>12</v>
      </c>
      <c r="X100" s="12">
        <v>0</v>
      </c>
      <c r="Y100" t="b">
        <v>1</v>
      </c>
      <c r="Z100" t="b">
        <v>0</v>
      </c>
    </row>
    <row r="101" spans="1:26" ht="15" customHeight="1" x14ac:dyDescent="0.3">
      <c r="A101" s="57">
        <f>COUNTIF(ROLES[StaffRoleCode],ROLES[[#This Row],[StaffRoleCode]])-1</f>
        <v>0</v>
      </c>
      <c r="B101" s="57">
        <f>COUNTIF(ROLES[Title],ROLES[[#This Row],[Title]])-1</f>
        <v>0</v>
      </c>
      <c r="C101"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101"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101"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101" s="57">
        <f>IF(COUNTIF(PAYSCALES[PayScaleCode],ROLES[[#This Row],[PayScaleCode]])&gt;0,0,1)</f>
        <v>0</v>
      </c>
      <c r="G101" s="57" cm="1">
        <f t="array" ref="G101">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01" s="57">
        <f>IF(ROLES[[#This Row],[AvailableToAllSchools]]=FALSE,IF(ISBLANK(ROLES[[#This Row],[SchoolCodes]]),1,0),IF(ROLES[[#This Row],[AvailableToAllSchools]]=TRUE,IF(ISBLANK(ROLES[[#This Row],[SchoolCodes]]),0,)))</f>
        <v>0</v>
      </c>
      <c r="I101" s="57">
        <f>IF(OR(ROLES[[#This Row],[StaffRoleEnabled]]=TRUE,ROLES[[#This Row],[StaffRoleEnabled]]=FALSE),IF(OR(ROLES[[#This Row],[AvailableToAllSchools]]=TRUE,ROLES[[#This Row],[AvailableToAllSchools]]=FALSE),0,1),1)</f>
        <v>0</v>
      </c>
      <c r="J101" s="57">
        <f>IF(LEN(ROLES[[#This Row],[StaffRoleCode]])&lt;100,0,1)</f>
        <v>0</v>
      </c>
      <c r="K101" s="57">
        <f>IF(LEN(ROLES[[#This Row],[Title]])&lt;100,0,1)</f>
        <v>0</v>
      </c>
      <c r="L101" s="57">
        <f>(COUNTBLANK(ROLES[[#This Row],[MonthsServiceBeforeIncrement]:[StaffRoleEnabled]]))+COUNTBLANK(ROLES[[#This Row],[FullTimeHoursPerWeek]])</f>
        <v>0</v>
      </c>
      <c r="M101" s="57">
        <f>IF(SUBSTITUTE(TEXT(ROLES[[#This Row],[StaffRoleCode]],10)," ","")=TEXT(ROLES[[#This Row],[StaffRoleCode]],10),0,1)</f>
        <v>0</v>
      </c>
      <c r="N101" s="57">
        <f>SUM(ROLES[[#This Row],[Duplicate Role Code]:[Space in Code]])</f>
        <v>0</v>
      </c>
      <c r="P101" s="12" t="s">
        <v>1194</v>
      </c>
      <c r="Q101" s="12" t="s">
        <v>4320</v>
      </c>
      <c r="R101" s="12" t="s">
        <v>4321</v>
      </c>
      <c r="S101" s="12" t="s">
        <v>3107</v>
      </c>
      <c r="T101" s="12">
        <v>37</v>
      </c>
      <c r="U101" s="155" t="b">
        <f>_xlfn.XLOOKUP(ROLES[[#This Row],[PayScaleCode]],PayScales!N:N,PayScales!T:T)</f>
        <v>1</v>
      </c>
      <c r="V101" s="154" t="str">
        <f>IF(ROLES[[#This Row],[AvailableToAllSchools]]=TRUE,"",_xlfn.XLOOKUP(ROLES[[#This Row],[PayScaleCode]],PayScales!N:N,PayScales!U:U))</f>
        <v/>
      </c>
      <c r="W101" s="12">
        <v>12</v>
      </c>
      <c r="X101" s="12">
        <v>0</v>
      </c>
      <c r="Y101" t="b">
        <v>1</v>
      </c>
      <c r="Z101" t="b">
        <v>0</v>
      </c>
    </row>
    <row r="102" spans="1:26" ht="15" customHeight="1" x14ac:dyDescent="0.3">
      <c r="A102" s="57">
        <f>COUNTIF(ROLES[StaffRoleCode],ROLES[[#This Row],[StaffRoleCode]])-1</f>
        <v>0</v>
      </c>
      <c r="B102" s="57">
        <f>COUNTIF(ROLES[Title],ROLES[[#This Row],[Title]])-1</f>
        <v>0</v>
      </c>
      <c r="C102"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0</v>
      </c>
      <c r="D102"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0</v>
      </c>
      <c r="E102"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0</v>
      </c>
      <c r="F102" s="57">
        <f>IF(COUNTIF(PAYSCALES[PayScaleCode],ROLES[[#This Row],[PayScaleCode]])&gt;0,0,1)</f>
        <v>0</v>
      </c>
      <c r="G102" s="57" cm="1">
        <f t="array" ref="G102">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02" s="57">
        <f>IF(ROLES[[#This Row],[AvailableToAllSchools]]=FALSE,IF(ISBLANK(ROLES[[#This Row],[SchoolCodes]]),1,0),IF(ROLES[[#This Row],[AvailableToAllSchools]]=TRUE,IF(ISBLANK(ROLES[[#This Row],[SchoolCodes]]),0,)))</f>
        <v>0</v>
      </c>
      <c r="I102" s="57">
        <f>IF(OR(ROLES[[#This Row],[StaffRoleEnabled]]=TRUE,ROLES[[#This Row],[StaffRoleEnabled]]=FALSE),IF(OR(ROLES[[#This Row],[AvailableToAllSchools]]=TRUE,ROLES[[#This Row],[AvailableToAllSchools]]=FALSE),0,1),1)</f>
        <v>0</v>
      </c>
      <c r="J102" s="57">
        <f>IF(LEN(ROLES[[#This Row],[StaffRoleCode]])&lt;100,0,1)</f>
        <v>0</v>
      </c>
      <c r="K102" s="57">
        <f>IF(LEN(ROLES[[#This Row],[Title]])&lt;100,0,1)</f>
        <v>0</v>
      </c>
      <c r="L102" s="57">
        <f>(COUNTBLANK(ROLES[[#This Row],[MonthsServiceBeforeIncrement]:[StaffRoleEnabled]]))+COUNTBLANK(ROLES[[#This Row],[FullTimeHoursPerWeek]])</f>
        <v>0</v>
      </c>
      <c r="M102" s="57">
        <f>IF(SUBSTITUTE(TEXT(ROLES[[#This Row],[StaffRoleCode]],10)," ","")=TEXT(ROLES[[#This Row],[StaffRoleCode]],10),0,1)</f>
        <v>0</v>
      </c>
      <c r="N102" s="57">
        <f>SUM(ROLES[[#This Row],[Duplicate Role Code]:[Space in Code]])</f>
        <v>0</v>
      </c>
      <c r="P102" s="12" t="s">
        <v>1194</v>
      </c>
      <c r="Q102" s="12" t="s">
        <v>4322</v>
      </c>
      <c r="R102" s="12" t="s">
        <v>4323</v>
      </c>
      <c r="S102" s="12" t="s">
        <v>3107</v>
      </c>
      <c r="T102" s="12">
        <v>37</v>
      </c>
      <c r="U102" s="155" t="b">
        <f>_xlfn.XLOOKUP(ROLES[[#This Row],[PayScaleCode]],PayScales!N:N,PayScales!T:T)</f>
        <v>1</v>
      </c>
      <c r="V102" s="154" t="str">
        <f>IF(ROLES[[#This Row],[AvailableToAllSchools]]=TRUE,"",_xlfn.XLOOKUP(ROLES[[#This Row],[PayScaleCode]],PayScales!N:N,PayScales!U:U))</f>
        <v/>
      </c>
      <c r="W102" s="12">
        <v>12</v>
      </c>
      <c r="X102" s="12">
        <v>0</v>
      </c>
      <c r="Y102" t="b">
        <v>1</v>
      </c>
      <c r="Z102" t="b">
        <v>0</v>
      </c>
    </row>
  </sheetData>
  <phoneticPr fontId="2" type="noConversion"/>
  <dataValidations count="1">
    <dataValidation type="list" allowBlank="1" showInputMessage="1" showErrorMessage="1" sqref="S103:S1048576" xr:uid="{0AFAC82B-E9BB-4F9D-A343-DC14D0943176}">
      <formula1>#REF!</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46A0146A-BECE-4DAD-B81A-144A90B47B85}">
          <x14:formula1>
            <xm:f>Validation!$G$2:$G$4</xm:f>
          </x14:formula1>
          <xm:sqref>U2:U102 Y2:Z102</xm:sqref>
        </x14:dataValidation>
        <x14:dataValidation type="list" allowBlank="1" showInputMessage="1" showErrorMessage="1" xr:uid="{AD92B7BF-2A95-49CC-87B6-6FCD3CE41122}">
          <x14:formula1>
            <xm:f>StfRoleGroup!$AB$2:$AB$4994</xm:f>
          </x14:formula1>
          <xm:sqref>P2:P1048576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D323A-2E07-4898-93B9-CA7C1BF11438}">
  <sheetPr>
    <tabColor theme="9" tint="0.39997558519241921"/>
  </sheetPr>
  <dimension ref="A1:B4"/>
  <sheetViews>
    <sheetView workbookViewId="0">
      <selection activeCell="J22" sqref="J22"/>
    </sheetView>
  </sheetViews>
  <sheetFormatPr defaultRowHeight="14.4" x14ac:dyDescent="0.3"/>
  <cols>
    <col min="2" max="2" width="12.33203125" bestFit="1" customWidth="1"/>
  </cols>
  <sheetData>
    <row r="1" spans="1:2" x14ac:dyDescent="0.3">
      <c r="A1" s="73" t="s">
        <v>66</v>
      </c>
      <c r="B1" s="73" t="s">
        <v>62</v>
      </c>
    </row>
    <row r="2" spans="1:2" x14ac:dyDescent="0.3">
      <c r="A2" s="74" t="s">
        <v>1571</v>
      </c>
      <c r="B2" s="74" t="s">
        <v>1329</v>
      </c>
    </row>
    <row r="3" spans="1:2" x14ac:dyDescent="0.3">
      <c r="A3" s="75" t="s">
        <v>1572</v>
      </c>
      <c r="B3" s="75" t="s">
        <v>1330</v>
      </c>
    </row>
    <row r="4" spans="1:2" x14ac:dyDescent="0.3">
      <c r="A4" s="75" t="s">
        <v>65</v>
      </c>
      <c r="B4" s="75" t="s">
        <v>1331</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FB0B3-7341-43D8-ABAE-F20379E8D471}">
  <sheetPr>
    <tabColor theme="9" tint="0.39997558519241921"/>
  </sheetPr>
  <dimension ref="A1:B10"/>
  <sheetViews>
    <sheetView workbookViewId="0">
      <selection activeCell="B11" sqref="B11"/>
    </sheetView>
  </sheetViews>
  <sheetFormatPr defaultRowHeight="14.4" x14ac:dyDescent="0.3"/>
  <cols>
    <col min="1" max="1" width="14.33203125" customWidth="1"/>
    <col min="2" max="2" width="15" bestFit="1" customWidth="1"/>
  </cols>
  <sheetData>
    <row r="1" spans="1:2" x14ac:dyDescent="0.3">
      <c r="A1" s="73" t="s">
        <v>66</v>
      </c>
      <c r="B1" s="73" t="s">
        <v>62</v>
      </c>
    </row>
    <row r="2" spans="1:2" x14ac:dyDescent="0.3">
      <c r="A2" s="74" t="s">
        <v>1573</v>
      </c>
      <c r="B2" s="74" t="s">
        <v>1768</v>
      </c>
    </row>
    <row r="3" spans="1:2" x14ac:dyDescent="0.3">
      <c r="A3" s="75" t="s">
        <v>51</v>
      </c>
      <c r="B3" s="75" t="s">
        <v>1334</v>
      </c>
    </row>
    <row r="4" spans="1:2" x14ac:dyDescent="0.3">
      <c r="A4" s="75" t="s">
        <v>1194</v>
      </c>
      <c r="B4" s="75" t="s">
        <v>881</v>
      </c>
    </row>
    <row r="5" spans="1:2" x14ac:dyDescent="0.3">
      <c r="A5" s="74" t="s">
        <v>1574</v>
      </c>
      <c r="B5" s="74" t="s">
        <v>1337</v>
      </c>
    </row>
    <row r="6" spans="1:2" x14ac:dyDescent="0.3">
      <c r="A6" s="74" t="s">
        <v>1575</v>
      </c>
      <c r="B6" s="74" t="s">
        <v>1576</v>
      </c>
    </row>
    <row r="7" spans="1:2" x14ac:dyDescent="0.3">
      <c r="A7" s="74" t="s">
        <v>1577</v>
      </c>
      <c r="B7" s="74" t="s">
        <v>1333</v>
      </c>
    </row>
    <row r="8" spans="1:2" x14ac:dyDescent="0.3">
      <c r="A8" s="74" t="s">
        <v>1332</v>
      </c>
      <c r="B8" s="74" t="s">
        <v>1335</v>
      </c>
    </row>
    <row r="9" spans="1:2" x14ac:dyDescent="0.3">
      <c r="A9" s="74" t="s">
        <v>65</v>
      </c>
      <c r="B9" s="74" t="s">
        <v>1331</v>
      </c>
    </row>
    <row r="10" spans="1:2" x14ac:dyDescent="0.3">
      <c r="A10" s="75" t="s">
        <v>4162</v>
      </c>
      <c r="B10" s="75" t="s">
        <v>4163</v>
      </c>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223B2-16B1-4501-A062-F3DA2D98ED7C}">
  <sheetPr codeName="Sheet34">
    <tabColor theme="9" tint="0.39997558519241921"/>
  </sheetPr>
  <dimension ref="A1:AC898"/>
  <sheetViews>
    <sheetView tabSelected="1" topLeftCell="M1" zoomScale="90" zoomScaleNormal="90" workbookViewId="0">
      <pane ySplit="1" topLeftCell="A2" activePane="bottomLeft" state="frozen"/>
      <selection activeCell="D2" sqref="D2"/>
      <selection pane="bottomLeft" activeCell="AD805" sqref="AD805"/>
    </sheetView>
  </sheetViews>
  <sheetFormatPr defaultColWidth="8.5546875" defaultRowHeight="14.4" outlineLevelCol="1" x14ac:dyDescent="0.3"/>
  <cols>
    <col min="1" max="1" width="16.6640625" style="15" hidden="1" customWidth="1" outlineLevel="1"/>
    <col min="2" max="2" width="10.44140625" style="15" hidden="1" customWidth="1" outlineLevel="1"/>
    <col min="3" max="3" width="10.6640625" style="12" hidden="1" customWidth="1" outlineLevel="1"/>
    <col min="4" max="4" width="10.44140625" style="12" hidden="1" customWidth="1" outlineLevel="1"/>
    <col min="5" max="12" width="10.6640625" style="12" hidden="1" customWidth="1" outlineLevel="1"/>
    <col min="13" max="13" width="10.6640625" style="12" customWidth="1" collapsed="1"/>
    <col min="14" max="14" width="12.6640625" style="12" bestFit="1" customWidth="1"/>
    <col min="15" max="16" width="12.6640625" style="15" customWidth="1"/>
    <col min="17" max="17" width="15.33203125" style="15" customWidth="1"/>
    <col min="18" max="18" width="26.6640625" style="12" bestFit="1" customWidth="1"/>
    <col min="19" max="19" width="11.88671875" style="21" customWidth="1"/>
    <col min="20" max="20" width="10.6640625" style="21" customWidth="1"/>
    <col min="21" max="21" width="11.6640625" style="21" customWidth="1"/>
    <col min="22" max="22" width="10.109375" style="138" customWidth="1"/>
    <col min="23" max="23" width="8.33203125" customWidth="1"/>
    <col min="24" max="24" width="10.6640625" style="138" customWidth="1"/>
    <col min="25" max="25" width="11.6640625" customWidth="1"/>
    <col min="26" max="26" width="12.33203125" customWidth="1"/>
    <col min="27" max="27" width="10.6640625" customWidth="1"/>
    <col min="28" max="28" width="7.6640625" customWidth="1"/>
    <col min="29" max="29" width="8.6640625" bestFit="1" customWidth="1"/>
    <col min="30" max="16384" width="8.5546875" style="12"/>
  </cols>
  <sheetData>
    <row r="1" spans="1:29" s="24" customFormat="1" ht="57.6" x14ac:dyDescent="0.3">
      <c r="A1" s="114" t="s">
        <v>1198</v>
      </c>
      <c r="B1" s="65" t="s">
        <v>1644</v>
      </c>
      <c r="C1" s="65" t="s">
        <v>1618</v>
      </c>
      <c r="D1" s="65" t="s">
        <v>1686</v>
      </c>
      <c r="E1" s="53" t="s">
        <v>1631</v>
      </c>
      <c r="F1" s="65" t="s">
        <v>1641</v>
      </c>
      <c r="G1" s="65" t="s">
        <v>1726</v>
      </c>
      <c r="H1" s="65" t="s">
        <v>1659</v>
      </c>
      <c r="I1" s="53" t="s">
        <v>1639</v>
      </c>
      <c r="J1" s="53" t="s">
        <v>1638</v>
      </c>
      <c r="K1" s="53" t="s">
        <v>1661</v>
      </c>
      <c r="L1" s="65" t="s">
        <v>1660</v>
      </c>
      <c r="M1" s="59" t="s">
        <v>886</v>
      </c>
      <c r="N1" s="67" t="s">
        <v>1049</v>
      </c>
      <c r="O1" s="50" t="s">
        <v>1199</v>
      </c>
      <c r="P1" s="50" t="s">
        <v>1708</v>
      </c>
      <c r="Q1" s="50" t="s">
        <v>1709</v>
      </c>
      <c r="R1" s="132" t="s">
        <v>62</v>
      </c>
      <c r="S1" s="61" t="s">
        <v>1200</v>
      </c>
      <c r="T1" s="61" t="s">
        <v>1569</v>
      </c>
      <c r="U1" s="61" t="s">
        <v>1201</v>
      </c>
      <c r="V1" s="76" t="s">
        <v>1202</v>
      </c>
      <c r="W1" s="76" t="s">
        <v>1203</v>
      </c>
      <c r="X1" s="76" t="s">
        <v>904</v>
      </c>
      <c r="Y1" s="76" t="s">
        <v>905</v>
      </c>
      <c r="Z1" s="76" t="s">
        <v>1204</v>
      </c>
      <c r="AA1" s="76" t="s">
        <v>1205</v>
      </c>
      <c r="AB1" s="76" t="s">
        <v>1328</v>
      </c>
      <c r="AC1" s="76" t="s">
        <v>1206</v>
      </c>
    </row>
    <row r="2" spans="1:29" x14ac:dyDescent="0.3">
      <c r="A2" s="57" t="str">
        <f>MEMBERS[[#This Row],[Title]]&amp;MEMBERS[[#This Row],[ServiceStartDate]]</f>
        <v>Abi Hackett45831</v>
      </c>
      <c r="B2" s="57">
        <f>IF(COUNTIF(MEMBERS[NameServiceStart],MEMBERS[[#This Row],[NameServiceStart]])=1,0,1)</f>
        <v>0</v>
      </c>
      <c r="C2" s="57">
        <f>IF(COUNTIF(MEMBERS[StaffMemberCode],MEMBERS[[#This Row],[StaffMemberCode]])=1,0,1)</f>
        <v>0</v>
      </c>
      <c r="D2" s="57">
        <f>IF(ISBLANK(MEMBERS[[#This Row],[PayrollLocation]]),0,IF(COUNTIF(SCHOOLS[SchoolCode],MEMBERS[[#This Row],[PayrollLocation]])=1,0,1))</f>
        <v>0</v>
      </c>
      <c r="E2" s="57">
        <f>IF(MEMBERS[[#This Row],[AvailableToAllSchools]]=FALSE,IF(ISBLANK(MEMBERS[[#This Row],[SchoolCodes]]),1,0),IF(MEMBERS[[#This Row],[AvailableToAllSchools]]=TRUE,IF(ISBLANK(MEMBERS[[#This Row],[SchoolCodes]]),0,1)))</f>
        <v>0</v>
      </c>
      <c r="F2" s="57">
        <f>IF(ISBLANK(MEMBERS[[#This Row],[ServiceEndDate]]),0,IF(MEMBERS[[#This Row],[ServiceStartDate]]&lt;MEMBERS[[#This Row],[ServiceEndDate]],0,1))</f>
        <v>0</v>
      </c>
      <c r="G2" s="57" cm="1">
        <f t="array" aca="1" ref="G2" ca="1">IF(CELL("format",MEMBERS[[#This Row],[ServiceStartDate]])="D1",0,1)+IF(CELL("format",MEMBERS[[#This Row],[ServiceEndDate]])="D1",0,1)</f>
        <v>0</v>
      </c>
      <c r="H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 s="57">
        <f>IF(LEN(MEMBERS[[#This Row],[StaffMemberCode]])&lt;100,0,1)</f>
        <v>0</v>
      </c>
      <c r="J2" s="57">
        <f>IF(LEN(MEMBERS[[#This Row],[Title]])&lt;100,0,1)</f>
        <v>0</v>
      </c>
      <c r="K2" s="57">
        <f>COUNTBLANK(MEMBERS[[#This Row],[StaffMemberCode]:[ServiceStartDate]])+COUNTBLANK(MEMBERS[[#This Row],[Apprenticeship]]:MEMBERS[[#This Row],[StaffMemberEnabled]])+COUNTBLANK(MEMBERS[[#This Row],[GenderCode]]:MEMBERS[[#This Row],[Casual]])</f>
        <v>0</v>
      </c>
      <c r="L2" s="57">
        <f>IF(SUBSTITUTE(TEXT(MEMBERS[[#This Row],[StaffMemberCode]],10)," ","")=TEXT(MEMBERS[[#This Row],[StaffMemberCode]],10),0,1)</f>
        <v>0</v>
      </c>
      <c r="M2" s="57">
        <f ca="1">SUM(MEMBERS[[#This Row],[Duplicate NameService Start]:[Space in Code]])</f>
        <v>0</v>
      </c>
      <c r="O2" s="12">
        <v>91850026</v>
      </c>
      <c r="P2" s="15" t="s">
        <v>3163</v>
      </c>
      <c r="Q2" s="15" t="s">
        <v>3459</v>
      </c>
      <c r="R2" s="133" t="str">
        <f>MEMBERS[[#This Row],[FirstName]]&amp;" "&amp;MEMBERS[[#This Row],[LastName]]</f>
        <v>Abi Hackett</v>
      </c>
      <c r="S2" s="21">
        <v>45831</v>
      </c>
      <c r="U2" s="21">
        <v>39204</v>
      </c>
      <c r="V2" t="b">
        <v>0</v>
      </c>
      <c r="W2" t="b">
        <v>0</v>
      </c>
      <c r="X2" t="b">
        <v>0</v>
      </c>
      <c r="Y2" t="s">
        <v>2082</v>
      </c>
      <c r="Z2" t="b">
        <v>1</v>
      </c>
      <c r="AB2" t="s">
        <v>1571</v>
      </c>
      <c r="AC2" t="b">
        <v>0</v>
      </c>
    </row>
    <row r="3" spans="1:29" x14ac:dyDescent="0.3">
      <c r="A3" s="57" t="str">
        <f>MEMBERS[[#This Row],[Title]]&amp;MEMBERS[[#This Row],[ServiceStartDate]]</f>
        <v>Abigail Cruise45679</v>
      </c>
      <c r="B3" s="57">
        <f>IF(COUNTIF(MEMBERS[NameServiceStart],MEMBERS[[#This Row],[NameServiceStart]])=1,0,1)</f>
        <v>0</v>
      </c>
      <c r="C3" s="57">
        <f>IF(COUNTIF(MEMBERS[StaffMemberCode],MEMBERS[[#This Row],[StaffMemberCode]])=1,0,1)</f>
        <v>0</v>
      </c>
      <c r="D3" s="57">
        <f>IF(ISBLANK(MEMBERS[[#This Row],[PayrollLocation]]),0,IF(COUNTIF(SCHOOLS[SchoolCode],MEMBERS[[#This Row],[PayrollLocation]])=1,0,1))</f>
        <v>0</v>
      </c>
      <c r="E3" s="57">
        <f>IF(MEMBERS[[#This Row],[AvailableToAllSchools]]=FALSE,IF(ISBLANK(MEMBERS[[#This Row],[SchoolCodes]]),1,0),IF(MEMBERS[[#This Row],[AvailableToAllSchools]]=TRUE,IF(ISBLANK(MEMBERS[[#This Row],[SchoolCodes]]),0,1)))</f>
        <v>0</v>
      </c>
      <c r="F3" s="57">
        <f>IF(ISBLANK(MEMBERS[[#This Row],[ServiceEndDate]]),0,IF(MEMBERS[[#This Row],[ServiceStartDate]]&lt;MEMBERS[[#This Row],[ServiceEndDate]],0,1))</f>
        <v>0</v>
      </c>
      <c r="G3" s="57" cm="1">
        <f t="array" aca="1" ref="G3" ca="1">IF(CELL("format",MEMBERS[[#This Row],[ServiceStartDate]])="D1",0,1)+IF(CELL("format",MEMBERS[[#This Row],[ServiceEndDate]])="D1",0,1)</f>
        <v>0</v>
      </c>
      <c r="H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 s="57">
        <f>IF(LEN(MEMBERS[[#This Row],[StaffMemberCode]])&lt;100,0,1)</f>
        <v>0</v>
      </c>
      <c r="J3" s="57">
        <f>IF(LEN(MEMBERS[[#This Row],[Title]])&lt;100,0,1)</f>
        <v>0</v>
      </c>
      <c r="K3" s="57">
        <f>COUNTBLANK(MEMBERS[[#This Row],[StaffMemberCode]:[ServiceStartDate]])+COUNTBLANK(MEMBERS[[#This Row],[Apprenticeship]]:MEMBERS[[#This Row],[StaffMemberEnabled]])+COUNTBLANK(MEMBERS[[#This Row],[GenderCode]]:MEMBERS[[#This Row],[Casual]])</f>
        <v>0</v>
      </c>
      <c r="L3" s="57">
        <f>IF(SUBSTITUTE(TEXT(MEMBERS[[#This Row],[StaffMemberCode]],10)," ","")=TEXT(MEMBERS[[#This Row],[StaffMemberCode]],10),0,1)</f>
        <v>0</v>
      </c>
      <c r="M3" s="57">
        <f ca="1">SUM(MEMBERS[[#This Row],[Duplicate NameService Start]:[Space in Code]])</f>
        <v>0</v>
      </c>
      <c r="O3" s="12">
        <v>91330494</v>
      </c>
      <c r="P3" s="15" t="s">
        <v>3164</v>
      </c>
      <c r="Q3" s="15" t="s">
        <v>3460</v>
      </c>
      <c r="R3" s="133" t="str">
        <f>MEMBERS[[#This Row],[FirstName]]&amp;" "&amp;MEMBERS[[#This Row],[LastName]]</f>
        <v>Abigail Cruise</v>
      </c>
      <c r="S3" s="21">
        <v>45679</v>
      </c>
      <c r="U3" s="21">
        <v>39479</v>
      </c>
      <c r="V3" t="b">
        <v>0</v>
      </c>
      <c r="W3" t="b">
        <v>0</v>
      </c>
      <c r="X3" t="b">
        <v>0</v>
      </c>
      <c r="Y3" t="s">
        <v>2094</v>
      </c>
      <c r="Z3" t="b">
        <v>1</v>
      </c>
      <c r="AB3" t="s">
        <v>1571</v>
      </c>
      <c r="AC3" t="b">
        <v>1</v>
      </c>
    </row>
    <row r="4" spans="1:29" x14ac:dyDescent="0.3">
      <c r="A4" s="57" t="str">
        <f>MEMBERS[[#This Row],[Title]]&amp;MEMBERS[[#This Row],[ServiceStartDate]]</f>
        <v>Abigail Somers45170</v>
      </c>
      <c r="B4" s="57">
        <f>IF(COUNTIF(MEMBERS[NameServiceStart],MEMBERS[[#This Row],[NameServiceStart]])=1,0,1)</f>
        <v>0</v>
      </c>
      <c r="C4" s="57">
        <f>IF(COUNTIF(MEMBERS[StaffMemberCode],MEMBERS[[#This Row],[StaffMemberCode]])=1,0,1)</f>
        <v>0</v>
      </c>
      <c r="D4" s="57">
        <f>IF(ISBLANK(MEMBERS[[#This Row],[PayrollLocation]]),0,IF(COUNTIF(SCHOOLS[SchoolCode],MEMBERS[[#This Row],[PayrollLocation]])=1,0,1))</f>
        <v>0</v>
      </c>
      <c r="E4" s="57">
        <f>IF(MEMBERS[[#This Row],[AvailableToAllSchools]]=FALSE,IF(ISBLANK(MEMBERS[[#This Row],[SchoolCodes]]),1,0),IF(MEMBERS[[#This Row],[AvailableToAllSchools]]=TRUE,IF(ISBLANK(MEMBERS[[#This Row],[SchoolCodes]]),0,1)))</f>
        <v>0</v>
      </c>
      <c r="F4" s="57">
        <f>IF(ISBLANK(MEMBERS[[#This Row],[ServiceEndDate]]),0,IF(MEMBERS[[#This Row],[ServiceStartDate]]&lt;MEMBERS[[#This Row],[ServiceEndDate]],0,1))</f>
        <v>0</v>
      </c>
      <c r="G4" s="57" cm="1">
        <f t="array" aca="1" ref="G4" ca="1">IF(CELL("format",MEMBERS[[#This Row],[ServiceStartDate]])="D1",0,1)+IF(CELL("format",MEMBERS[[#This Row],[ServiceEndDate]])="D1",0,1)</f>
        <v>0</v>
      </c>
      <c r="H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 s="57">
        <f>IF(LEN(MEMBERS[[#This Row],[StaffMemberCode]])&lt;100,0,1)</f>
        <v>0</v>
      </c>
      <c r="J4" s="57">
        <f>IF(LEN(MEMBERS[[#This Row],[Title]])&lt;100,0,1)</f>
        <v>0</v>
      </c>
      <c r="K4" s="57">
        <f>COUNTBLANK(MEMBERS[[#This Row],[StaffMemberCode]:[ServiceStartDate]])+COUNTBLANK(MEMBERS[[#This Row],[Apprenticeship]]:MEMBERS[[#This Row],[StaffMemberEnabled]])+COUNTBLANK(MEMBERS[[#This Row],[GenderCode]]:MEMBERS[[#This Row],[Casual]])</f>
        <v>0</v>
      </c>
      <c r="L4" s="57">
        <f>IF(SUBSTITUTE(TEXT(MEMBERS[[#This Row],[StaffMemberCode]],10)," ","")=TEXT(MEMBERS[[#This Row],[StaffMemberCode]],10),0,1)</f>
        <v>0</v>
      </c>
      <c r="M4" s="57">
        <f ca="1">SUM(MEMBERS[[#This Row],[Duplicate NameService Start]:[Space in Code]])</f>
        <v>0</v>
      </c>
      <c r="O4" s="15">
        <v>91073950</v>
      </c>
      <c r="P4" s="15" t="s">
        <v>3164</v>
      </c>
      <c r="Q4" s="15" t="s">
        <v>3461</v>
      </c>
      <c r="R4" s="133" t="str">
        <f>MEMBERS[[#This Row],[FirstName]]&amp;" "&amp;MEMBERS[[#This Row],[LastName]]</f>
        <v>Abigail Somers</v>
      </c>
      <c r="S4" s="21">
        <v>45170</v>
      </c>
      <c r="U4" s="21">
        <v>31499</v>
      </c>
      <c r="V4" t="b">
        <v>0</v>
      </c>
      <c r="W4" t="b">
        <v>0</v>
      </c>
      <c r="X4" t="b">
        <v>0</v>
      </c>
      <c r="Y4" t="s">
        <v>2299</v>
      </c>
      <c r="Z4" t="b">
        <v>1</v>
      </c>
      <c r="AB4" t="s">
        <v>1571</v>
      </c>
      <c r="AC4" t="b">
        <v>0</v>
      </c>
    </row>
    <row r="5" spans="1:29" x14ac:dyDescent="0.3">
      <c r="A5" s="57" t="str">
        <f>MEMBERS[[#This Row],[Title]]&amp;MEMBERS[[#This Row],[ServiceStartDate]]</f>
        <v>Abigail Wilcox45901</v>
      </c>
      <c r="B5" s="57">
        <f>IF(COUNTIF(MEMBERS[NameServiceStart],MEMBERS[[#This Row],[NameServiceStart]])=1,0,1)</f>
        <v>0</v>
      </c>
      <c r="C5" s="57">
        <f>IF(COUNTIF(MEMBERS[StaffMemberCode],MEMBERS[[#This Row],[StaffMemberCode]])=1,0,1)</f>
        <v>0</v>
      </c>
      <c r="D5" s="57">
        <f>IF(ISBLANK(MEMBERS[[#This Row],[PayrollLocation]]),0,IF(COUNTIF(SCHOOLS[SchoolCode],MEMBERS[[#This Row],[PayrollLocation]])=1,0,1))</f>
        <v>0</v>
      </c>
      <c r="E5" s="57">
        <f>IF(MEMBERS[[#This Row],[AvailableToAllSchools]]=FALSE,IF(ISBLANK(MEMBERS[[#This Row],[SchoolCodes]]),1,0),IF(MEMBERS[[#This Row],[AvailableToAllSchools]]=TRUE,IF(ISBLANK(MEMBERS[[#This Row],[SchoolCodes]]),0,1)))</f>
        <v>0</v>
      </c>
      <c r="F5" s="57">
        <f>IF(ISBLANK(MEMBERS[[#This Row],[ServiceEndDate]]),0,IF(MEMBERS[[#This Row],[ServiceStartDate]]&lt;MEMBERS[[#This Row],[ServiceEndDate]],0,1))</f>
        <v>0</v>
      </c>
      <c r="G5" s="57" cm="1">
        <f t="array" aca="1" ref="G5" ca="1">IF(CELL("format",MEMBERS[[#This Row],[ServiceStartDate]])="D1",0,1)+IF(CELL("format",MEMBERS[[#This Row],[ServiceEndDate]])="D1",0,1)</f>
        <v>0</v>
      </c>
      <c r="H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 s="57">
        <f>IF(LEN(MEMBERS[[#This Row],[StaffMemberCode]])&lt;100,0,1)</f>
        <v>0</v>
      </c>
      <c r="J5" s="57">
        <f>IF(LEN(MEMBERS[[#This Row],[Title]])&lt;100,0,1)</f>
        <v>0</v>
      </c>
      <c r="K5" s="57">
        <f>COUNTBLANK(MEMBERS[[#This Row],[StaffMemberCode]:[ServiceStartDate]])+COUNTBLANK(MEMBERS[[#This Row],[Apprenticeship]]:MEMBERS[[#This Row],[StaffMemberEnabled]])+COUNTBLANK(MEMBERS[[#This Row],[GenderCode]]:MEMBERS[[#This Row],[Casual]])</f>
        <v>0</v>
      </c>
      <c r="L5" s="57">
        <f>IF(SUBSTITUTE(TEXT(MEMBERS[[#This Row],[StaffMemberCode]],10)," ","")=TEXT(MEMBERS[[#This Row],[StaffMemberCode]],10),0,1)</f>
        <v>0</v>
      </c>
      <c r="M5" s="57">
        <f ca="1">SUM(MEMBERS[[#This Row],[Duplicate NameService Start]:[Space in Code]])</f>
        <v>0</v>
      </c>
      <c r="O5" s="15">
        <v>91850042</v>
      </c>
      <c r="P5" s="15" t="s">
        <v>3164</v>
      </c>
      <c r="Q5" s="15" t="s">
        <v>3462</v>
      </c>
      <c r="R5" s="133" t="str">
        <f>MEMBERS[[#This Row],[FirstName]]&amp;" "&amp;MEMBERS[[#This Row],[LastName]]</f>
        <v>Abigail Wilcox</v>
      </c>
      <c r="S5" s="21">
        <v>45901</v>
      </c>
      <c r="U5" s="21">
        <v>35176</v>
      </c>
      <c r="V5" t="b">
        <v>0</v>
      </c>
      <c r="W5" t="b">
        <v>0</v>
      </c>
      <c r="X5" t="b">
        <v>0</v>
      </c>
      <c r="Y5" t="s">
        <v>2275</v>
      </c>
      <c r="Z5" t="b">
        <v>1</v>
      </c>
      <c r="AB5" t="s">
        <v>1571</v>
      </c>
      <c r="AC5" t="b">
        <v>0</v>
      </c>
    </row>
    <row r="6" spans="1:29" x14ac:dyDescent="0.3">
      <c r="A6" s="57" t="str">
        <f>MEMBERS[[#This Row],[Title]]&amp;MEMBERS[[#This Row],[ServiceStartDate]]</f>
        <v>Adam Bailey44205</v>
      </c>
      <c r="B6" s="57">
        <f>IF(COUNTIF(MEMBERS[NameServiceStart],MEMBERS[[#This Row],[NameServiceStart]])=1,0,1)</f>
        <v>0</v>
      </c>
      <c r="C6" s="57">
        <f>IF(COUNTIF(MEMBERS[StaffMemberCode],MEMBERS[[#This Row],[StaffMemberCode]])=1,0,1)</f>
        <v>0</v>
      </c>
      <c r="D6" s="57">
        <f>IF(ISBLANK(MEMBERS[[#This Row],[PayrollLocation]]),0,IF(COUNTIF(SCHOOLS[SchoolCode],MEMBERS[[#This Row],[PayrollLocation]])=1,0,1))</f>
        <v>0</v>
      </c>
      <c r="E6" s="57">
        <f>IF(MEMBERS[[#This Row],[AvailableToAllSchools]]=FALSE,IF(ISBLANK(MEMBERS[[#This Row],[SchoolCodes]]),1,0),IF(MEMBERS[[#This Row],[AvailableToAllSchools]]=TRUE,IF(ISBLANK(MEMBERS[[#This Row],[SchoolCodes]]),0,1)))</f>
        <v>0</v>
      </c>
      <c r="F6" s="57">
        <f>IF(ISBLANK(MEMBERS[[#This Row],[ServiceEndDate]]),0,IF(MEMBERS[[#This Row],[ServiceStartDate]]&lt;MEMBERS[[#This Row],[ServiceEndDate]],0,1))</f>
        <v>0</v>
      </c>
      <c r="G6" s="57" cm="1">
        <f t="array" aca="1" ref="G6" ca="1">IF(CELL("format",MEMBERS[[#This Row],[ServiceStartDate]])="D1",0,1)+IF(CELL("format",MEMBERS[[#This Row],[ServiceEndDate]])="D1",0,1)</f>
        <v>0</v>
      </c>
      <c r="H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 s="57">
        <f>IF(LEN(MEMBERS[[#This Row],[StaffMemberCode]])&lt;100,0,1)</f>
        <v>0</v>
      </c>
      <c r="J6" s="57">
        <f>IF(LEN(MEMBERS[[#This Row],[Title]])&lt;100,0,1)</f>
        <v>0</v>
      </c>
      <c r="K6" s="57">
        <f>COUNTBLANK(MEMBERS[[#This Row],[StaffMemberCode]:[ServiceStartDate]])+COUNTBLANK(MEMBERS[[#This Row],[Apprenticeship]]:MEMBERS[[#This Row],[StaffMemberEnabled]])+COUNTBLANK(MEMBERS[[#This Row],[GenderCode]]:MEMBERS[[#This Row],[Casual]])</f>
        <v>0</v>
      </c>
      <c r="L6" s="57">
        <f>IF(SUBSTITUTE(TEXT(MEMBERS[[#This Row],[StaffMemberCode]],10)," ","")=TEXT(MEMBERS[[#This Row],[StaffMemberCode]],10),0,1)</f>
        <v>0</v>
      </c>
      <c r="M6" s="57">
        <f ca="1">SUM(MEMBERS[[#This Row],[Duplicate NameService Start]:[Space in Code]])</f>
        <v>0</v>
      </c>
      <c r="O6" s="15">
        <v>91073784</v>
      </c>
      <c r="P6" s="15" t="s">
        <v>3165</v>
      </c>
      <c r="Q6" s="15" t="s">
        <v>3463</v>
      </c>
      <c r="R6" s="133" t="str">
        <f>MEMBERS[[#This Row],[FirstName]]&amp;" "&amp;MEMBERS[[#This Row],[LastName]]</f>
        <v>Adam Bailey</v>
      </c>
      <c r="S6" s="21">
        <v>44205</v>
      </c>
      <c r="U6" s="21">
        <v>35876</v>
      </c>
      <c r="V6" t="b">
        <v>0</v>
      </c>
      <c r="W6" t="b">
        <v>0</v>
      </c>
      <c r="X6" t="b">
        <v>0</v>
      </c>
      <c r="Y6" t="s">
        <v>2082</v>
      </c>
      <c r="Z6" t="b">
        <v>1</v>
      </c>
      <c r="AB6" t="s">
        <v>1572</v>
      </c>
      <c r="AC6" t="b">
        <v>0</v>
      </c>
    </row>
    <row r="7" spans="1:29" x14ac:dyDescent="0.3">
      <c r="A7" s="57" t="str">
        <f>MEMBERS[[#This Row],[Title]]&amp;MEMBERS[[#This Row],[ServiceStartDate]]</f>
        <v>Adam Bakewell44440</v>
      </c>
      <c r="B7" s="57">
        <f>IF(COUNTIF(MEMBERS[NameServiceStart],MEMBERS[[#This Row],[NameServiceStart]])=1,0,1)</f>
        <v>0</v>
      </c>
      <c r="C7" s="57">
        <f>IF(COUNTIF(MEMBERS[StaffMemberCode],MEMBERS[[#This Row],[StaffMemberCode]])=1,0,1)</f>
        <v>0</v>
      </c>
      <c r="D7" s="57">
        <f>IF(ISBLANK(MEMBERS[[#This Row],[PayrollLocation]]),0,IF(COUNTIF(SCHOOLS[SchoolCode],MEMBERS[[#This Row],[PayrollLocation]])=1,0,1))</f>
        <v>0</v>
      </c>
      <c r="E7" s="57">
        <f>IF(MEMBERS[[#This Row],[AvailableToAllSchools]]=FALSE,IF(ISBLANK(MEMBERS[[#This Row],[SchoolCodes]]),1,0),IF(MEMBERS[[#This Row],[AvailableToAllSchools]]=TRUE,IF(ISBLANK(MEMBERS[[#This Row],[SchoolCodes]]),0,1)))</f>
        <v>0</v>
      </c>
      <c r="F7" s="57">
        <f>IF(ISBLANK(MEMBERS[[#This Row],[ServiceEndDate]]),0,IF(MEMBERS[[#This Row],[ServiceStartDate]]&lt;MEMBERS[[#This Row],[ServiceEndDate]],0,1))</f>
        <v>0</v>
      </c>
      <c r="G7" s="57" cm="1">
        <f t="array" aca="1" ref="G7" ca="1">IF(CELL("format",MEMBERS[[#This Row],[ServiceStartDate]])="D1",0,1)+IF(CELL("format",MEMBERS[[#This Row],[ServiceEndDate]])="D1",0,1)</f>
        <v>0</v>
      </c>
      <c r="H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 s="57">
        <f>IF(LEN(MEMBERS[[#This Row],[StaffMemberCode]])&lt;100,0,1)</f>
        <v>0</v>
      </c>
      <c r="J7" s="57">
        <f>IF(LEN(MEMBERS[[#This Row],[Title]])&lt;100,0,1)</f>
        <v>0</v>
      </c>
      <c r="K7" s="57">
        <f>COUNTBLANK(MEMBERS[[#This Row],[StaffMemberCode]:[ServiceStartDate]])+COUNTBLANK(MEMBERS[[#This Row],[Apprenticeship]]:MEMBERS[[#This Row],[StaffMemberEnabled]])+COUNTBLANK(MEMBERS[[#This Row],[GenderCode]]:MEMBERS[[#This Row],[Casual]])</f>
        <v>0</v>
      </c>
      <c r="L7" s="57">
        <f>IF(SUBSTITUTE(TEXT(MEMBERS[[#This Row],[StaffMemberCode]],10)," ","")=TEXT(MEMBERS[[#This Row],[StaffMemberCode]],10),0,1)</f>
        <v>0</v>
      </c>
      <c r="M7" s="57">
        <f ca="1">SUM(MEMBERS[[#This Row],[Duplicate NameService Start]:[Space in Code]])</f>
        <v>0</v>
      </c>
      <c r="O7" s="15">
        <v>91850031</v>
      </c>
      <c r="P7" s="15" t="s">
        <v>3165</v>
      </c>
      <c r="Q7" s="15" t="s">
        <v>3464</v>
      </c>
      <c r="R7" s="133" t="str">
        <f>MEMBERS[[#This Row],[FirstName]]&amp;" "&amp;MEMBERS[[#This Row],[LastName]]</f>
        <v>Adam Bakewell</v>
      </c>
      <c r="S7" s="21">
        <v>44440</v>
      </c>
      <c r="U7" s="21">
        <v>34385</v>
      </c>
      <c r="V7" t="b">
        <v>0</v>
      </c>
      <c r="W7" t="b">
        <v>0</v>
      </c>
      <c r="X7" t="b">
        <v>0</v>
      </c>
      <c r="Y7" t="s">
        <v>2082</v>
      </c>
      <c r="Z7" t="b">
        <v>1</v>
      </c>
      <c r="AB7" t="s">
        <v>1571</v>
      </c>
      <c r="AC7" t="b">
        <v>0</v>
      </c>
    </row>
    <row r="8" spans="1:29" x14ac:dyDescent="0.3">
      <c r="A8" s="57" t="str">
        <f>MEMBERS[[#This Row],[Title]]&amp;MEMBERS[[#This Row],[ServiceStartDate]]</f>
        <v>Adam Durber45901</v>
      </c>
      <c r="B8" s="57">
        <f>IF(COUNTIF(MEMBERS[NameServiceStart],MEMBERS[[#This Row],[NameServiceStart]])=1,0,1)</f>
        <v>0</v>
      </c>
      <c r="C8" s="57">
        <f>IF(COUNTIF(MEMBERS[StaffMemberCode],MEMBERS[[#This Row],[StaffMemberCode]])=1,0,1)</f>
        <v>0</v>
      </c>
      <c r="D8" s="57">
        <f>IF(ISBLANK(MEMBERS[[#This Row],[PayrollLocation]]),0,IF(COUNTIF(SCHOOLS[SchoolCode],MEMBERS[[#This Row],[PayrollLocation]])=1,0,1))</f>
        <v>0</v>
      </c>
      <c r="E8" s="57">
        <f>IF(MEMBERS[[#This Row],[AvailableToAllSchools]]=FALSE,IF(ISBLANK(MEMBERS[[#This Row],[SchoolCodes]]),1,0),IF(MEMBERS[[#This Row],[AvailableToAllSchools]]=TRUE,IF(ISBLANK(MEMBERS[[#This Row],[SchoolCodes]]),0,1)))</f>
        <v>0</v>
      </c>
      <c r="F8" s="57">
        <f>IF(ISBLANK(MEMBERS[[#This Row],[ServiceEndDate]]),0,IF(MEMBERS[[#This Row],[ServiceStartDate]]&lt;MEMBERS[[#This Row],[ServiceEndDate]],0,1))</f>
        <v>0</v>
      </c>
      <c r="G8" s="57" cm="1">
        <f t="array" aca="1" ref="G8" ca="1">IF(CELL("format",MEMBERS[[#This Row],[ServiceStartDate]])="D1",0,1)+IF(CELL("format",MEMBERS[[#This Row],[ServiceEndDate]])="D1",0,1)</f>
        <v>0</v>
      </c>
      <c r="H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 s="57">
        <f>IF(LEN(MEMBERS[[#This Row],[StaffMemberCode]])&lt;100,0,1)</f>
        <v>0</v>
      </c>
      <c r="J8" s="57">
        <f>IF(LEN(MEMBERS[[#This Row],[Title]])&lt;100,0,1)</f>
        <v>0</v>
      </c>
      <c r="K8" s="57">
        <f>COUNTBLANK(MEMBERS[[#This Row],[StaffMemberCode]:[ServiceStartDate]])+COUNTBLANK(MEMBERS[[#This Row],[Apprenticeship]]:MEMBERS[[#This Row],[StaffMemberEnabled]])+COUNTBLANK(MEMBERS[[#This Row],[GenderCode]]:MEMBERS[[#This Row],[Casual]])</f>
        <v>0</v>
      </c>
      <c r="L8" s="57">
        <f>IF(SUBSTITUTE(TEXT(MEMBERS[[#This Row],[StaffMemberCode]],10)," ","")=TEXT(MEMBERS[[#This Row],[StaffMemberCode]],10),0,1)</f>
        <v>0</v>
      </c>
      <c r="M8" s="57">
        <f ca="1">SUM(MEMBERS[[#This Row],[Duplicate NameService Start]:[Space in Code]])</f>
        <v>0</v>
      </c>
      <c r="O8" s="15">
        <v>91850032</v>
      </c>
      <c r="P8" s="15" t="s">
        <v>3165</v>
      </c>
      <c r="Q8" s="15" t="s">
        <v>3465</v>
      </c>
      <c r="R8" s="133" t="str">
        <f>MEMBERS[[#This Row],[FirstName]]&amp;" "&amp;MEMBERS[[#This Row],[LastName]]</f>
        <v>Adam Durber</v>
      </c>
      <c r="S8" s="21">
        <v>45901</v>
      </c>
      <c r="U8" s="21">
        <v>37510</v>
      </c>
      <c r="V8" t="b">
        <v>0</v>
      </c>
      <c r="W8" t="b">
        <v>0</v>
      </c>
      <c r="X8" t="b">
        <v>0</v>
      </c>
      <c r="Y8" t="s">
        <v>2082</v>
      </c>
      <c r="Z8" t="b">
        <v>1</v>
      </c>
      <c r="AB8" t="s">
        <v>1572</v>
      </c>
      <c r="AC8" t="b">
        <v>0</v>
      </c>
    </row>
    <row r="9" spans="1:29" x14ac:dyDescent="0.3">
      <c r="A9" s="57" t="str">
        <f>MEMBERS[[#This Row],[Title]]&amp;MEMBERS[[#This Row],[ServiceStartDate]]</f>
        <v>Adam Hunter41001</v>
      </c>
      <c r="B9" s="57">
        <f>IF(COUNTIF(MEMBERS[NameServiceStart],MEMBERS[[#This Row],[NameServiceStart]])=1,0,1)</f>
        <v>0</v>
      </c>
      <c r="C9" s="57">
        <f>IF(COUNTIF(MEMBERS[StaffMemberCode],MEMBERS[[#This Row],[StaffMemberCode]])=1,0,1)</f>
        <v>0</v>
      </c>
      <c r="D9" s="57">
        <f>IF(ISBLANK(MEMBERS[[#This Row],[PayrollLocation]]),0,IF(COUNTIF(SCHOOLS[SchoolCode],MEMBERS[[#This Row],[PayrollLocation]])=1,0,1))</f>
        <v>0</v>
      </c>
      <c r="E9" s="57">
        <f>IF(MEMBERS[[#This Row],[AvailableToAllSchools]]=FALSE,IF(ISBLANK(MEMBERS[[#This Row],[SchoolCodes]]),1,0),IF(MEMBERS[[#This Row],[AvailableToAllSchools]]=TRUE,IF(ISBLANK(MEMBERS[[#This Row],[SchoolCodes]]),0,1)))</f>
        <v>0</v>
      </c>
      <c r="F9" s="57">
        <f>IF(ISBLANK(MEMBERS[[#This Row],[ServiceEndDate]]),0,IF(MEMBERS[[#This Row],[ServiceStartDate]]&lt;MEMBERS[[#This Row],[ServiceEndDate]],0,1))</f>
        <v>0</v>
      </c>
      <c r="G9" s="57" cm="1">
        <f t="array" aca="1" ref="G9" ca="1">IF(CELL("format",MEMBERS[[#This Row],[ServiceStartDate]])="D1",0,1)+IF(CELL("format",MEMBERS[[#This Row],[ServiceEndDate]])="D1",0,1)</f>
        <v>0</v>
      </c>
      <c r="H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9" s="57">
        <f>IF(LEN(MEMBERS[[#This Row],[StaffMemberCode]])&lt;100,0,1)</f>
        <v>0</v>
      </c>
      <c r="J9" s="57">
        <f>IF(LEN(MEMBERS[[#This Row],[Title]])&lt;100,0,1)</f>
        <v>0</v>
      </c>
      <c r="K9" s="57">
        <f>COUNTBLANK(MEMBERS[[#This Row],[StaffMemberCode]:[ServiceStartDate]])+COUNTBLANK(MEMBERS[[#This Row],[Apprenticeship]]:MEMBERS[[#This Row],[StaffMemberEnabled]])+COUNTBLANK(MEMBERS[[#This Row],[GenderCode]]:MEMBERS[[#This Row],[Casual]])</f>
        <v>0</v>
      </c>
      <c r="L9" s="57">
        <f>IF(SUBSTITUTE(TEXT(MEMBERS[[#This Row],[StaffMemberCode]],10)," ","")=TEXT(MEMBERS[[#This Row],[StaffMemberCode]],10),0,1)</f>
        <v>0</v>
      </c>
      <c r="M9" s="57">
        <f ca="1">SUM(MEMBERS[[#This Row],[Duplicate NameService Start]:[Space in Code]])</f>
        <v>0</v>
      </c>
      <c r="O9" s="15">
        <v>10005335</v>
      </c>
      <c r="P9" s="15" t="s">
        <v>3165</v>
      </c>
      <c r="Q9" s="15" t="s">
        <v>4019</v>
      </c>
      <c r="R9" s="133" t="str">
        <f>MEMBERS[[#This Row],[FirstName]]&amp;" "&amp;MEMBERS[[#This Row],[LastName]]</f>
        <v>Adam Hunter</v>
      </c>
      <c r="S9" s="21">
        <v>41001</v>
      </c>
      <c r="U9" s="21">
        <v>31212</v>
      </c>
      <c r="V9" s="138" t="b">
        <v>0</v>
      </c>
      <c r="W9" t="b">
        <v>0</v>
      </c>
      <c r="X9" t="b">
        <v>0</v>
      </c>
      <c r="Y9" t="s">
        <v>2126</v>
      </c>
      <c r="Z9" t="b">
        <v>1</v>
      </c>
      <c r="AB9" t="s">
        <v>1572</v>
      </c>
      <c r="AC9" t="b">
        <v>0</v>
      </c>
    </row>
    <row r="10" spans="1:29" x14ac:dyDescent="0.3">
      <c r="A10" s="57" t="str">
        <f>MEMBERS[[#This Row],[Title]]&amp;MEMBERS[[#This Row],[ServiceStartDate]]</f>
        <v>Adam Oliver44440</v>
      </c>
      <c r="B10" s="57">
        <f>IF(COUNTIF(MEMBERS[NameServiceStart],MEMBERS[[#This Row],[NameServiceStart]])=1,0,1)</f>
        <v>0</v>
      </c>
      <c r="C10" s="57">
        <f>IF(COUNTIF(MEMBERS[StaffMemberCode],MEMBERS[[#This Row],[StaffMemberCode]])=1,0,1)</f>
        <v>0</v>
      </c>
      <c r="D10" s="57">
        <f>IF(ISBLANK(MEMBERS[[#This Row],[PayrollLocation]]),0,IF(COUNTIF(SCHOOLS[SchoolCode],MEMBERS[[#This Row],[PayrollLocation]])=1,0,1))</f>
        <v>0</v>
      </c>
      <c r="E10" s="57">
        <f>IF(MEMBERS[[#This Row],[AvailableToAllSchools]]=FALSE,IF(ISBLANK(MEMBERS[[#This Row],[SchoolCodes]]),1,0),IF(MEMBERS[[#This Row],[AvailableToAllSchools]]=TRUE,IF(ISBLANK(MEMBERS[[#This Row],[SchoolCodes]]),0,1)))</f>
        <v>0</v>
      </c>
      <c r="F10" s="57">
        <f>IF(ISBLANK(MEMBERS[[#This Row],[ServiceEndDate]]),0,IF(MEMBERS[[#This Row],[ServiceStartDate]]&lt;MEMBERS[[#This Row],[ServiceEndDate]],0,1))</f>
        <v>0</v>
      </c>
      <c r="G10" s="57" cm="1">
        <f t="array" aca="1" ref="G10" ca="1">IF(CELL("format",MEMBERS[[#This Row],[ServiceStartDate]])="D1",0,1)+IF(CELL("format",MEMBERS[[#This Row],[ServiceEndDate]])="D1",0,1)</f>
        <v>0</v>
      </c>
      <c r="H1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0" s="57">
        <f>IF(LEN(MEMBERS[[#This Row],[StaffMemberCode]])&lt;100,0,1)</f>
        <v>0</v>
      </c>
      <c r="J10" s="57">
        <f>IF(LEN(MEMBERS[[#This Row],[Title]])&lt;100,0,1)</f>
        <v>0</v>
      </c>
      <c r="K10" s="57">
        <f>COUNTBLANK(MEMBERS[[#This Row],[StaffMemberCode]:[ServiceStartDate]])+COUNTBLANK(MEMBERS[[#This Row],[Apprenticeship]]:MEMBERS[[#This Row],[StaffMemberEnabled]])+COUNTBLANK(MEMBERS[[#This Row],[GenderCode]]:MEMBERS[[#This Row],[Casual]])</f>
        <v>0</v>
      </c>
      <c r="L10" s="57">
        <f>IF(SUBSTITUTE(TEXT(MEMBERS[[#This Row],[StaffMemberCode]],10)," ","")=TEXT(MEMBERS[[#This Row],[StaffMemberCode]],10),0,1)</f>
        <v>0</v>
      </c>
      <c r="M10" s="57">
        <f ca="1">SUM(MEMBERS[[#This Row],[Duplicate NameService Start]:[Space in Code]])</f>
        <v>0</v>
      </c>
      <c r="O10" s="15">
        <v>10009099</v>
      </c>
      <c r="P10" s="15" t="s">
        <v>3165</v>
      </c>
      <c r="Q10" s="15" t="s">
        <v>3998</v>
      </c>
      <c r="R10" s="133" t="str">
        <f>MEMBERS[[#This Row],[FirstName]]&amp;" "&amp;MEMBERS[[#This Row],[LastName]]</f>
        <v>Adam Oliver</v>
      </c>
      <c r="S10" s="21">
        <v>44440</v>
      </c>
      <c r="U10" s="21">
        <v>29802</v>
      </c>
      <c r="V10" s="138" t="b">
        <v>0</v>
      </c>
      <c r="W10" t="b">
        <v>0</v>
      </c>
      <c r="X10" t="b">
        <v>0</v>
      </c>
      <c r="Y10" t="s">
        <v>2126</v>
      </c>
      <c r="Z10" t="b">
        <v>1</v>
      </c>
      <c r="AB10" t="s">
        <v>1572</v>
      </c>
      <c r="AC10" t="b">
        <v>0</v>
      </c>
    </row>
    <row r="11" spans="1:29" x14ac:dyDescent="0.3">
      <c r="A11" s="57" t="str">
        <f>MEMBERS[[#This Row],[Title]]&amp;MEMBERS[[#This Row],[ServiceStartDate]]</f>
        <v>Adele Carter39456</v>
      </c>
      <c r="B11" s="57">
        <f>IF(COUNTIF(MEMBERS[NameServiceStart],MEMBERS[[#This Row],[NameServiceStart]])=1,0,1)</f>
        <v>0</v>
      </c>
      <c r="C11" s="57">
        <f>IF(COUNTIF(MEMBERS[StaffMemberCode],MEMBERS[[#This Row],[StaffMemberCode]])=1,0,1)</f>
        <v>0</v>
      </c>
      <c r="D11" s="57">
        <f>IF(ISBLANK(MEMBERS[[#This Row],[PayrollLocation]]),0,IF(COUNTIF(SCHOOLS[SchoolCode],MEMBERS[[#This Row],[PayrollLocation]])=1,0,1))</f>
        <v>0</v>
      </c>
      <c r="E11" s="57">
        <f>IF(MEMBERS[[#This Row],[AvailableToAllSchools]]=FALSE,IF(ISBLANK(MEMBERS[[#This Row],[SchoolCodes]]),1,0),IF(MEMBERS[[#This Row],[AvailableToAllSchools]]=TRUE,IF(ISBLANK(MEMBERS[[#This Row],[SchoolCodes]]),0,1)))</f>
        <v>0</v>
      </c>
      <c r="F11" s="57">
        <f>IF(ISBLANK(MEMBERS[[#This Row],[ServiceEndDate]]),0,IF(MEMBERS[[#This Row],[ServiceStartDate]]&lt;MEMBERS[[#This Row],[ServiceEndDate]],0,1))</f>
        <v>0</v>
      </c>
      <c r="G11" s="57" cm="1">
        <f t="array" aca="1" ref="G11" ca="1">IF(CELL("format",MEMBERS[[#This Row],[ServiceStartDate]])="D1",0,1)+IF(CELL("format",MEMBERS[[#This Row],[ServiceEndDate]])="D1",0,1)</f>
        <v>0</v>
      </c>
      <c r="H1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1" s="57">
        <f>IF(LEN(MEMBERS[[#This Row],[StaffMemberCode]])&lt;100,0,1)</f>
        <v>0</v>
      </c>
      <c r="J11" s="57">
        <f>IF(LEN(MEMBERS[[#This Row],[Title]])&lt;100,0,1)</f>
        <v>0</v>
      </c>
      <c r="K11" s="57">
        <f>COUNTBLANK(MEMBERS[[#This Row],[StaffMemberCode]:[ServiceStartDate]])+COUNTBLANK(MEMBERS[[#This Row],[Apprenticeship]]:MEMBERS[[#This Row],[StaffMemberEnabled]])+COUNTBLANK(MEMBERS[[#This Row],[GenderCode]]:MEMBERS[[#This Row],[Casual]])</f>
        <v>0</v>
      </c>
      <c r="L11" s="57">
        <f>IF(SUBSTITUTE(TEXT(MEMBERS[[#This Row],[StaffMemberCode]],10)," ","")=TEXT(MEMBERS[[#This Row],[StaffMemberCode]],10),0,1)</f>
        <v>0</v>
      </c>
      <c r="M11" s="57">
        <f ca="1">SUM(MEMBERS[[#This Row],[Duplicate NameService Start]:[Space in Code]])</f>
        <v>0</v>
      </c>
      <c r="O11" s="15">
        <v>91073867</v>
      </c>
      <c r="P11" s="15" t="s">
        <v>3166</v>
      </c>
      <c r="Q11" s="15" t="s">
        <v>3466</v>
      </c>
      <c r="R11" s="133" t="str">
        <f>MEMBERS[[#This Row],[FirstName]]&amp;" "&amp;MEMBERS[[#This Row],[LastName]]</f>
        <v>Adele Carter</v>
      </c>
      <c r="S11" s="21">
        <v>39456</v>
      </c>
      <c r="U11" s="21">
        <v>31284</v>
      </c>
      <c r="V11" t="b">
        <v>0</v>
      </c>
      <c r="W11" t="b">
        <v>0</v>
      </c>
      <c r="X11" t="b">
        <v>0</v>
      </c>
      <c r="Y11" t="s">
        <v>2082</v>
      </c>
      <c r="Z11" t="b">
        <v>1</v>
      </c>
      <c r="AB11" t="s">
        <v>1571</v>
      </c>
      <c r="AC11" t="b">
        <v>0</v>
      </c>
    </row>
    <row r="12" spans="1:29" x14ac:dyDescent="0.3">
      <c r="A12" s="57" t="str">
        <f>MEMBERS[[#This Row],[Title]]&amp;MEMBERS[[#This Row],[ServiceStartDate]]</f>
        <v>Aedin Bartlett42979</v>
      </c>
      <c r="B12" s="57">
        <f>IF(COUNTIF(MEMBERS[NameServiceStart],MEMBERS[[#This Row],[NameServiceStart]])=1,0,1)</f>
        <v>0</v>
      </c>
      <c r="C12" s="57">
        <f>IF(COUNTIF(MEMBERS[StaffMemberCode],MEMBERS[[#This Row],[StaffMemberCode]])=1,0,1)</f>
        <v>0</v>
      </c>
      <c r="D12" s="57">
        <f>IF(ISBLANK(MEMBERS[[#This Row],[PayrollLocation]]),0,IF(COUNTIF(SCHOOLS[SchoolCode],MEMBERS[[#This Row],[PayrollLocation]])=1,0,1))</f>
        <v>0</v>
      </c>
      <c r="E12" s="57">
        <f>IF(MEMBERS[[#This Row],[AvailableToAllSchools]]=FALSE,IF(ISBLANK(MEMBERS[[#This Row],[SchoolCodes]]),1,0),IF(MEMBERS[[#This Row],[AvailableToAllSchools]]=TRUE,IF(ISBLANK(MEMBERS[[#This Row],[SchoolCodes]]),0,1)))</f>
        <v>0</v>
      </c>
      <c r="F12" s="57">
        <f>IF(ISBLANK(MEMBERS[[#This Row],[ServiceEndDate]]),0,IF(MEMBERS[[#This Row],[ServiceStartDate]]&lt;MEMBERS[[#This Row],[ServiceEndDate]],0,1))</f>
        <v>0</v>
      </c>
      <c r="G12" s="57" cm="1">
        <f t="array" aca="1" ref="G12" ca="1">IF(CELL("format",MEMBERS[[#This Row],[ServiceStartDate]])="D1",0,1)+IF(CELL("format",MEMBERS[[#This Row],[ServiceEndDate]])="D1",0,1)</f>
        <v>0</v>
      </c>
      <c r="H1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2" s="57">
        <f>IF(LEN(MEMBERS[[#This Row],[StaffMemberCode]])&lt;100,0,1)</f>
        <v>0</v>
      </c>
      <c r="J12" s="57">
        <f>IF(LEN(MEMBERS[[#This Row],[Title]])&lt;100,0,1)</f>
        <v>0</v>
      </c>
      <c r="K12" s="57">
        <f>COUNTBLANK(MEMBERS[[#This Row],[StaffMemberCode]:[ServiceStartDate]])+COUNTBLANK(MEMBERS[[#This Row],[Apprenticeship]]:MEMBERS[[#This Row],[StaffMemberEnabled]])+COUNTBLANK(MEMBERS[[#This Row],[GenderCode]]:MEMBERS[[#This Row],[Casual]])</f>
        <v>0</v>
      </c>
      <c r="L12" s="57">
        <f>IF(SUBSTITUTE(TEXT(MEMBERS[[#This Row],[StaffMemberCode]],10)," ","")=TEXT(MEMBERS[[#This Row],[StaffMemberCode]],10),0,1)</f>
        <v>0</v>
      </c>
      <c r="M12" s="57">
        <f ca="1">SUM(MEMBERS[[#This Row],[Duplicate NameService Start]:[Space in Code]])</f>
        <v>0</v>
      </c>
      <c r="O12" s="15">
        <v>10014620</v>
      </c>
      <c r="P12" s="15" t="s">
        <v>3946</v>
      </c>
      <c r="Q12" s="15" t="s">
        <v>4020</v>
      </c>
      <c r="R12" s="133" t="str">
        <f>MEMBERS[[#This Row],[FirstName]]&amp;" "&amp;MEMBERS[[#This Row],[LastName]]</f>
        <v>Aedin Bartlett</v>
      </c>
      <c r="S12" s="21">
        <v>42979</v>
      </c>
      <c r="U12" s="21">
        <v>34438</v>
      </c>
      <c r="V12" s="138" t="b">
        <v>0</v>
      </c>
      <c r="W12" t="b">
        <v>0</v>
      </c>
      <c r="X12" t="b">
        <v>0</v>
      </c>
      <c r="Y12" t="s">
        <v>2126</v>
      </c>
      <c r="Z12" t="b">
        <v>1</v>
      </c>
      <c r="AB12" t="s">
        <v>1571</v>
      </c>
      <c r="AC12" t="b">
        <v>0</v>
      </c>
    </row>
    <row r="13" spans="1:29" x14ac:dyDescent="0.3">
      <c r="A13" s="57" t="str">
        <f>MEMBERS[[#This Row],[Title]]&amp;MEMBERS[[#This Row],[ServiceStartDate]]</f>
        <v>Alan Killalee38169</v>
      </c>
      <c r="B13" s="57">
        <f>IF(COUNTIF(MEMBERS[NameServiceStart],MEMBERS[[#This Row],[NameServiceStart]])=1,0,1)</f>
        <v>0</v>
      </c>
      <c r="C13" s="57">
        <f>IF(COUNTIF(MEMBERS[StaffMemberCode],MEMBERS[[#This Row],[StaffMemberCode]])=1,0,1)</f>
        <v>0</v>
      </c>
      <c r="D13" s="57">
        <f>IF(ISBLANK(MEMBERS[[#This Row],[PayrollLocation]]),0,IF(COUNTIF(SCHOOLS[SchoolCode],MEMBERS[[#This Row],[PayrollLocation]])=1,0,1))</f>
        <v>0</v>
      </c>
      <c r="E13" s="57">
        <f>IF(MEMBERS[[#This Row],[AvailableToAllSchools]]=FALSE,IF(ISBLANK(MEMBERS[[#This Row],[SchoolCodes]]),1,0),IF(MEMBERS[[#This Row],[AvailableToAllSchools]]=TRUE,IF(ISBLANK(MEMBERS[[#This Row],[SchoolCodes]]),0,1)))</f>
        <v>0</v>
      </c>
      <c r="F13" s="57">
        <f>IF(ISBLANK(MEMBERS[[#This Row],[ServiceEndDate]]),0,IF(MEMBERS[[#This Row],[ServiceStartDate]]&lt;MEMBERS[[#This Row],[ServiceEndDate]],0,1))</f>
        <v>0</v>
      </c>
      <c r="G13" s="57" cm="1">
        <f t="array" aca="1" ref="G13" ca="1">IF(CELL("format",MEMBERS[[#This Row],[ServiceStartDate]])="D1",0,1)+IF(CELL("format",MEMBERS[[#This Row],[ServiceEndDate]])="D1",0,1)</f>
        <v>0</v>
      </c>
      <c r="H1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3" s="57">
        <f>IF(LEN(MEMBERS[[#This Row],[StaffMemberCode]])&lt;100,0,1)</f>
        <v>0</v>
      </c>
      <c r="J13" s="57">
        <f>IF(LEN(MEMBERS[[#This Row],[Title]])&lt;100,0,1)</f>
        <v>0</v>
      </c>
      <c r="K13" s="57">
        <f>COUNTBLANK(MEMBERS[[#This Row],[StaffMemberCode]:[ServiceStartDate]])+COUNTBLANK(MEMBERS[[#This Row],[Apprenticeship]]:MEMBERS[[#This Row],[StaffMemberEnabled]])+COUNTBLANK(MEMBERS[[#This Row],[GenderCode]]:MEMBERS[[#This Row],[Casual]])</f>
        <v>0</v>
      </c>
      <c r="L13" s="57">
        <f>IF(SUBSTITUTE(TEXT(MEMBERS[[#This Row],[StaffMemberCode]],10)," ","")=TEXT(MEMBERS[[#This Row],[StaffMemberCode]],10),0,1)</f>
        <v>0</v>
      </c>
      <c r="M13" s="57">
        <f ca="1">SUM(MEMBERS[[#This Row],[Duplicate NameService Start]:[Space in Code]])</f>
        <v>0</v>
      </c>
      <c r="O13" s="15">
        <v>10005299</v>
      </c>
      <c r="P13" s="15" t="s">
        <v>3947</v>
      </c>
      <c r="Q13" s="15" t="s">
        <v>4021</v>
      </c>
      <c r="R13" s="133" t="str">
        <f>MEMBERS[[#This Row],[FirstName]]&amp;" "&amp;MEMBERS[[#This Row],[LastName]]</f>
        <v>Alan Killalee</v>
      </c>
      <c r="S13" s="21">
        <v>38169</v>
      </c>
      <c r="U13" s="21">
        <v>29158</v>
      </c>
      <c r="V13" s="138" t="b">
        <v>0</v>
      </c>
      <c r="W13" t="b">
        <v>0</v>
      </c>
      <c r="X13" t="b">
        <v>0</v>
      </c>
      <c r="Y13" t="s">
        <v>2126</v>
      </c>
      <c r="Z13" t="b">
        <v>1</v>
      </c>
      <c r="AB13" t="s">
        <v>1572</v>
      </c>
      <c r="AC13" t="b">
        <v>0</v>
      </c>
    </row>
    <row r="14" spans="1:29" x14ac:dyDescent="0.3">
      <c r="A14" s="57" t="str">
        <f>MEMBERS[[#This Row],[Title]]&amp;MEMBERS[[#This Row],[ServiceStartDate]]</f>
        <v>Alan Wilson45778</v>
      </c>
      <c r="B14" s="57">
        <f>IF(COUNTIF(MEMBERS[NameServiceStart],MEMBERS[[#This Row],[NameServiceStart]])=1,0,1)</f>
        <v>0</v>
      </c>
      <c r="C14" s="57">
        <f>IF(COUNTIF(MEMBERS[StaffMemberCode],MEMBERS[[#This Row],[StaffMemberCode]])=1,0,1)</f>
        <v>0</v>
      </c>
      <c r="D14" s="57">
        <f>IF(ISBLANK(MEMBERS[[#This Row],[PayrollLocation]]),0,IF(COUNTIF(SCHOOLS[SchoolCode],MEMBERS[[#This Row],[PayrollLocation]])=1,0,1))</f>
        <v>0</v>
      </c>
      <c r="E14" s="57">
        <f>IF(MEMBERS[[#This Row],[AvailableToAllSchools]]=FALSE,IF(ISBLANK(MEMBERS[[#This Row],[SchoolCodes]]),1,0),IF(MEMBERS[[#This Row],[AvailableToAllSchools]]=TRUE,IF(ISBLANK(MEMBERS[[#This Row],[SchoolCodes]]),0,1)))</f>
        <v>0</v>
      </c>
      <c r="F14" s="57">
        <f>IF(ISBLANK(MEMBERS[[#This Row],[ServiceEndDate]]),0,IF(MEMBERS[[#This Row],[ServiceStartDate]]&lt;MEMBERS[[#This Row],[ServiceEndDate]],0,1))</f>
        <v>0</v>
      </c>
      <c r="G14" s="57" cm="1">
        <f t="array" aca="1" ref="G14" ca="1">IF(CELL("format",MEMBERS[[#This Row],[ServiceStartDate]])="D1",0,1)+IF(CELL("format",MEMBERS[[#This Row],[ServiceEndDate]])="D1",0,1)</f>
        <v>0</v>
      </c>
      <c r="H1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4" s="57">
        <f>IF(LEN(MEMBERS[[#This Row],[StaffMemberCode]])&lt;100,0,1)</f>
        <v>0</v>
      </c>
      <c r="J14" s="57">
        <f>IF(LEN(MEMBERS[[#This Row],[Title]])&lt;100,0,1)</f>
        <v>0</v>
      </c>
      <c r="K14" s="57">
        <f>COUNTBLANK(MEMBERS[[#This Row],[StaffMemberCode]:[ServiceStartDate]])+COUNTBLANK(MEMBERS[[#This Row],[Apprenticeship]]:MEMBERS[[#This Row],[StaffMemberEnabled]])+COUNTBLANK(MEMBERS[[#This Row],[GenderCode]]:MEMBERS[[#This Row],[Casual]])</f>
        <v>0</v>
      </c>
      <c r="L14" s="57">
        <f>IF(SUBSTITUTE(TEXT(MEMBERS[[#This Row],[StaffMemberCode]],10)," ","")=TEXT(MEMBERS[[#This Row],[StaffMemberCode]],10),0,1)</f>
        <v>0</v>
      </c>
      <c r="M14" s="57">
        <f ca="1">SUM(MEMBERS[[#This Row],[Duplicate NameService Start]:[Space in Code]])</f>
        <v>0</v>
      </c>
      <c r="O14" s="15">
        <v>10015919</v>
      </c>
      <c r="P14" s="15" t="s">
        <v>3947</v>
      </c>
      <c r="Q14" s="15" t="s">
        <v>3622</v>
      </c>
      <c r="R14" s="133" t="str">
        <f>MEMBERS[[#This Row],[FirstName]]&amp;" "&amp;MEMBERS[[#This Row],[LastName]]</f>
        <v>Alan Wilson</v>
      </c>
      <c r="S14" s="21">
        <v>45778</v>
      </c>
      <c r="U14" s="21">
        <v>23346</v>
      </c>
      <c r="V14" s="138" t="b">
        <v>0</v>
      </c>
      <c r="W14" t="b">
        <v>0</v>
      </c>
      <c r="X14" t="b">
        <v>0</v>
      </c>
      <c r="Y14" t="s">
        <v>2126</v>
      </c>
      <c r="Z14" t="b">
        <v>1</v>
      </c>
      <c r="AB14" t="s">
        <v>1572</v>
      </c>
      <c r="AC14" t="b">
        <v>1</v>
      </c>
    </row>
    <row r="15" spans="1:29" x14ac:dyDescent="0.3">
      <c r="A15" s="57" t="str">
        <f>MEMBERS[[#This Row],[Title]]&amp;MEMBERS[[#This Row],[ServiceStartDate]]</f>
        <v>Alexander McCulloch45901</v>
      </c>
      <c r="B15" s="57">
        <f>IF(COUNTIF(MEMBERS[NameServiceStart],MEMBERS[[#This Row],[NameServiceStart]])=1,0,1)</f>
        <v>0</v>
      </c>
      <c r="C15" s="57">
        <f>IF(COUNTIF(MEMBERS[StaffMemberCode],MEMBERS[[#This Row],[StaffMemberCode]])=1,0,1)</f>
        <v>0</v>
      </c>
      <c r="D15" s="57">
        <f>IF(ISBLANK(MEMBERS[[#This Row],[PayrollLocation]]),0,IF(COUNTIF(SCHOOLS[SchoolCode],MEMBERS[[#This Row],[PayrollLocation]])=1,0,1))</f>
        <v>0</v>
      </c>
      <c r="E15" s="57">
        <f>IF(MEMBERS[[#This Row],[AvailableToAllSchools]]=FALSE,IF(ISBLANK(MEMBERS[[#This Row],[SchoolCodes]]),1,0),IF(MEMBERS[[#This Row],[AvailableToAllSchools]]=TRUE,IF(ISBLANK(MEMBERS[[#This Row],[SchoolCodes]]),0,1)))</f>
        <v>0</v>
      </c>
      <c r="F15" s="57">
        <f>IF(ISBLANK(MEMBERS[[#This Row],[ServiceEndDate]]),0,IF(MEMBERS[[#This Row],[ServiceStartDate]]&lt;MEMBERS[[#This Row],[ServiceEndDate]],0,1))</f>
        <v>0</v>
      </c>
      <c r="G15" s="57" cm="1">
        <f t="array" aca="1" ref="G15" ca="1">IF(CELL("format",MEMBERS[[#This Row],[ServiceStartDate]])="D1",0,1)+IF(CELL("format",MEMBERS[[#This Row],[ServiceEndDate]])="D1",0,1)</f>
        <v>0</v>
      </c>
      <c r="H1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5" s="57">
        <f>IF(LEN(MEMBERS[[#This Row],[StaffMemberCode]])&lt;100,0,1)</f>
        <v>0</v>
      </c>
      <c r="J15" s="57">
        <f>IF(LEN(MEMBERS[[#This Row],[Title]])&lt;100,0,1)</f>
        <v>0</v>
      </c>
      <c r="K15" s="57">
        <f>COUNTBLANK(MEMBERS[[#This Row],[StaffMemberCode]:[ServiceStartDate]])+COUNTBLANK(MEMBERS[[#This Row],[Apprenticeship]]:MEMBERS[[#This Row],[StaffMemberEnabled]])+COUNTBLANK(MEMBERS[[#This Row],[GenderCode]]:MEMBERS[[#This Row],[Casual]])</f>
        <v>0</v>
      </c>
      <c r="L15" s="57">
        <f>IF(SUBSTITUTE(TEXT(MEMBERS[[#This Row],[StaffMemberCode]],10)," ","")=TEXT(MEMBERS[[#This Row],[StaffMemberCode]],10),0,1)</f>
        <v>0</v>
      </c>
      <c r="M15" s="57">
        <f ca="1">SUM(MEMBERS[[#This Row],[Duplicate NameService Start]:[Space in Code]])</f>
        <v>0</v>
      </c>
      <c r="O15" s="15">
        <v>91850024</v>
      </c>
      <c r="P15" s="15" t="s">
        <v>3167</v>
      </c>
      <c r="Q15" s="15" t="s">
        <v>3467</v>
      </c>
      <c r="R15" s="133" t="str">
        <f>MEMBERS[[#This Row],[FirstName]]&amp;" "&amp;MEMBERS[[#This Row],[LastName]]</f>
        <v>Alexander McCulloch</v>
      </c>
      <c r="S15" s="21">
        <v>45901</v>
      </c>
      <c r="U15" s="21">
        <v>33988</v>
      </c>
      <c r="V15" t="b">
        <v>0</v>
      </c>
      <c r="W15" t="b">
        <v>0</v>
      </c>
      <c r="X15" t="b">
        <v>0</v>
      </c>
      <c r="Y15" t="s">
        <v>2094</v>
      </c>
      <c r="Z15" t="b">
        <v>1</v>
      </c>
      <c r="AB15" t="s">
        <v>1572</v>
      </c>
      <c r="AC15" t="b">
        <v>0</v>
      </c>
    </row>
    <row r="16" spans="1:29" x14ac:dyDescent="0.3">
      <c r="A16" s="57" t="str">
        <f>MEMBERS[[#This Row],[Title]]&amp;MEMBERS[[#This Row],[ServiceStartDate]]</f>
        <v>Alexandra Heath39456</v>
      </c>
      <c r="B16" s="57">
        <f>IF(COUNTIF(MEMBERS[NameServiceStart],MEMBERS[[#This Row],[NameServiceStart]])=1,0,1)</f>
        <v>0</v>
      </c>
      <c r="C16" s="57">
        <f>IF(COUNTIF(MEMBERS[StaffMemberCode],MEMBERS[[#This Row],[StaffMemberCode]])=1,0,1)</f>
        <v>0</v>
      </c>
      <c r="D16" s="57">
        <f>IF(ISBLANK(MEMBERS[[#This Row],[PayrollLocation]]),0,IF(COUNTIF(SCHOOLS[SchoolCode],MEMBERS[[#This Row],[PayrollLocation]])=1,0,1))</f>
        <v>0</v>
      </c>
      <c r="E16" s="57">
        <f>IF(MEMBERS[[#This Row],[AvailableToAllSchools]]=FALSE,IF(ISBLANK(MEMBERS[[#This Row],[SchoolCodes]]),1,0),IF(MEMBERS[[#This Row],[AvailableToAllSchools]]=TRUE,IF(ISBLANK(MEMBERS[[#This Row],[SchoolCodes]]),0,1)))</f>
        <v>0</v>
      </c>
      <c r="F16" s="57">
        <f>IF(ISBLANK(MEMBERS[[#This Row],[ServiceEndDate]]),0,IF(MEMBERS[[#This Row],[ServiceStartDate]]&lt;MEMBERS[[#This Row],[ServiceEndDate]],0,1))</f>
        <v>0</v>
      </c>
      <c r="G16" s="57" cm="1">
        <f t="array" aca="1" ref="G16" ca="1">IF(CELL("format",MEMBERS[[#This Row],[ServiceStartDate]])="D1",0,1)+IF(CELL("format",MEMBERS[[#This Row],[ServiceEndDate]])="D1",0,1)</f>
        <v>0</v>
      </c>
      <c r="H1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6" s="57">
        <f>IF(LEN(MEMBERS[[#This Row],[StaffMemberCode]])&lt;100,0,1)</f>
        <v>0</v>
      </c>
      <c r="J16" s="57">
        <f>IF(LEN(MEMBERS[[#This Row],[Title]])&lt;100,0,1)</f>
        <v>0</v>
      </c>
      <c r="K16" s="57">
        <f>COUNTBLANK(MEMBERS[[#This Row],[StaffMemberCode]:[ServiceStartDate]])+COUNTBLANK(MEMBERS[[#This Row],[Apprenticeship]]:MEMBERS[[#This Row],[StaffMemberEnabled]])+COUNTBLANK(MEMBERS[[#This Row],[GenderCode]]:MEMBERS[[#This Row],[Casual]])</f>
        <v>0</v>
      </c>
      <c r="L16" s="57">
        <f>IF(SUBSTITUTE(TEXT(MEMBERS[[#This Row],[StaffMemberCode]],10)," ","")=TEXT(MEMBERS[[#This Row],[StaffMemberCode]],10),0,1)</f>
        <v>0</v>
      </c>
      <c r="M16" s="57">
        <f ca="1">SUM(MEMBERS[[#This Row],[Duplicate NameService Start]:[Space in Code]])</f>
        <v>0</v>
      </c>
      <c r="O16" s="15">
        <v>91073688</v>
      </c>
      <c r="P16" s="15" t="s">
        <v>3168</v>
      </c>
      <c r="Q16" s="15" t="s">
        <v>3468</v>
      </c>
      <c r="R16" s="133" t="str">
        <f>MEMBERS[[#This Row],[FirstName]]&amp;" "&amp;MEMBERS[[#This Row],[LastName]]</f>
        <v>Alexandra Heath</v>
      </c>
      <c r="S16" s="21">
        <v>39456</v>
      </c>
      <c r="U16" s="21">
        <v>30765</v>
      </c>
      <c r="V16" t="b">
        <v>0</v>
      </c>
      <c r="W16" t="b">
        <v>0</v>
      </c>
      <c r="X16" t="b">
        <v>0</v>
      </c>
      <c r="Y16" t="s">
        <v>2082</v>
      </c>
      <c r="Z16" t="b">
        <v>1</v>
      </c>
      <c r="AB16" t="s">
        <v>1571</v>
      </c>
      <c r="AC16" t="b">
        <v>0</v>
      </c>
    </row>
    <row r="17" spans="1:29" x14ac:dyDescent="0.3">
      <c r="A17" s="57" t="str">
        <f>MEMBERS[[#This Row],[Title]]&amp;MEMBERS[[#This Row],[ServiceStartDate]]</f>
        <v>Alfie Hill45826</v>
      </c>
      <c r="B17" s="57">
        <f>IF(COUNTIF(MEMBERS[NameServiceStart],MEMBERS[[#This Row],[NameServiceStart]])=1,0,1)</f>
        <v>0</v>
      </c>
      <c r="C17" s="57">
        <f>IF(COUNTIF(MEMBERS[StaffMemberCode],MEMBERS[[#This Row],[StaffMemberCode]])=1,0,1)</f>
        <v>0</v>
      </c>
      <c r="D17" s="57">
        <f>IF(ISBLANK(MEMBERS[[#This Row],[PayrollLocation]]),0,IF(COUNTIF(SCHOOLS[SchoolCode],MEMBERS[[#This Row],[PayrollLocation]])=1,0,1))</f>
        <v>0</v>
      </c>
      <c r="E17" s="57">
        <f>IF(MEMBERS[[#This Row],[AvailableToAllSchools]]=FALSE,IF(ISBLANK(MEMBERS[[#This Row],[SchoolCodes]]),1,0),IF(MEMBERS[[#This Row],[AvailableToAllSchools]]=TRUE,IF(ISBLANK(MEMBERS[[#This Row],[SchoolCodes]]),0,1)))</f>
        <v>0</v>
      </c>
      <c r="F17" s="57">
        <f>IF(ISBLANK(MEMBERS[[#This Row],[ServiceEndDate]]),0,IF(MEMBERS[[#This Row],[ServiceStartDate]]&lt;MEMBERS[[#This Row],[ServiceEndDate]],0,1))</f>
        <v>0</v>
      </c>
      <c r="G17" s="57" cm="1">
        <f t="array" aca="1" ref="G17" ca="1">IF(CELL("format",MEMBERS[[#This Row],[ServiceStartDate]])="D1",0,1)+IF(CELL("format",MEMBERS[[#This Row],[ServiceEndDate]])="D1",0,1)</f>
        <v>0</v>
      </c>
      <c r="H1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7" s="57">
        <f>IF(LEN(MEMBERS[[#This Row],[StaffMemberCode]])&lt;100,0,1)</f>
        <v>0</v>
      </c>
      <c r="J17" s="57">
        <f>IF(LEN(MEMBERS[[#This Row],[Title]])&lt;100,0,1)</f>
        <v>0</v>
      </c>
      <c r="K17" s="57">
        <f>COUNTBLANK(MEMBERS[[#This Row],[StaffMemberCode]:[ServiceStartDate]])+COUNTBLANK(MEMBERS[[#This Row],[Apprenticeship]]:MEMBERS[[#This Row],[StaffMemberEnabled]])+COUNTBLANK(MEMBERS[[#This Row],[GenderCode]]:MEMBERS[[#This Row],[Casual]])</f>
        <v>0</v>
      </c>
      <c r="L17" s="57">
        <f>IF(SUBSTITUTE(TEXT(MEMBERS[[#This Row],[StaffMemberCode]],10)," ","")=TEXT(MEMBERS[[#This Row],[StaffMemberCode]],10),0,1)</f>
        <v>0</v>
      </c>
      <c r="M17" s="57">
        <f ca="1">SUM(MEMBERS[[#This Row],[Duplicate NameService Start]:[Space in Code]])</f>
        <v>0</v>
      </c>
      <c r="O17" s="15">
        <v>91850020</v>
      </c>
      <c r="P17" s="15" t="s">
        <v>3169</v>
      </c>
      <c r="Q17" s="15" t="s">
        <v>3469</v>
      </c>
      <c r="R17" s="133" t="str">
        <f>MEMBERS[[#This Row],[FirstName]]&amp;" "&amp;MEMBERS[[#This Row],[LastName]]</f>
        <v>Alfie Hill</v>
      </c>
      <c r="S17" s="21">
        <v>45826</v>
      </c>
      <c r="U17" s="21">
        <v>39284</v>
      </c>
      <c r="V17" t="b">
        <v>0</v>
      </c>
      <c r="W17" t="b">
        <v>0</v>
      </c>
      <c r="X17" t="b">
        <v>0</v>
      </c>
      <c r="Y17" t="s">
        <v>2200</v>
      </c>
      <c r="Z17" t="b">
        <v>1</v>
      </c>
      <c r="AB17" t="s">
        <v>1572</v>
      </c>
      <c r="AC17" t="b">
        <v>1</v>
      </c>
    </row>
    <row r="18" spans="1:29" x14ac:dyDescent="0.3">
      <c r="A18" s="57" t="str">
        <f>MEMBERS[[#This Row],[Title]]&amp;MEMBERS[[#This Row],[ServiceStartDate]]</f>
        <v>Alfredo Solano44290</v>
      </c>
      <c r="B18" s="57">
        <f>IF(COUNTIF(MEMBERS[NameServiceStart],MEMBERS[[#This Row],[NameServiceStart]])=1,0,1)</f>
        <v>0</v>
      </c>
      <c r="C18" s="57">
        <f>IF(COUNTIF(MEMBERS[StaffMemberCode],MEMBERS[[#This Row],[StaffMemberCode]])=1,0,1)</f>
        <v>0</v>
      </c>
      <c r="D18" s="57">
        <f>IF(ISBLANK(MEMBERS[[#This Row],[PayrollLocation]]),0,IF(COUNTIF(SCHOOLS[SchoolCode],MEMBERS[[#This Row],[PayrollLocation]])=1,0,1))</f>
        <v>0</v>
      </c>
      <c r="E18" s="57">
        <f>IF(MEMBERS[[#This Row],[AvailableToAllSchools]]=FALSE,IF(ISBLANK(MEMBERS[[#This Row],[SchoolCodes]]),1,0),IF(MEMBERS[[#This Row],[AvailableToAllSchools]]=TRUE,IF(ISBLANK(MEMBERS[[#This Row],[SchoolCodes]]),0,1)))</f>
        <v>0</v>
      </c>
      <c r="F18" s="57">
        <f>IF(ISBLANK(MEMBERS[[#This Row],[ServiceEndDate]]),0,IF(MEMBERS[[#This Row],[ServiceStartDate]]&lt;MEMBERS[[#This Row],[ServiceEndDate]],0,1))</f>
        <v>0</v>
      </c>
      <c r="G18" s="57" cm="1">
        <f t="array" aca="1" ref="G18" ca="1">IF(CELL("format",MEMBERS[[#This Row],[ServiceStartDate]])="D1",0,1)+IF(CELL("format",MEMBERS[[#This Row],[ServiceEndDate]])="D1",0,1)</f>
        <v>0</v>
      </c>
      <c r="H1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8" s="57">
        <f>IF(LEN(MEMBERS[[#This Row],[StaffMemberCode]])&lt;100,0,1)</f>
        <v>0</v>
      </c>
      <c r="J18" s="57">
        <f>IF(LEN(MEMBERS[[#This Row],[Title]])&lt;100,0,1)</f>
        <v>0</v>
      </c>
      <c r="K18" s="57">
        <f>COUNTBLANK(MEMBERS[[#This Row],[StaffMemberCode]:[ServiceStartDate]])+COUNTBLANK(MEMBERS[[#This Row],[Apprenticeship]]:MEMBERS[[#This Row],[StaffMemberEnabled]])+COUNTBLANK(MEMBERS[[#This Row],[GenderCode]]:MEMBERS[[#This Row],[Casual]])</f>
        <v>0</v>
      </c>
      <c r="L18" s="57">
        <f>IF(SUBSTITUTE(TEXT(MEMBERS[[#This Row],[StaffMemberCode]],10)," ","")=TEXT(MEMBERS[[#This Row],[StaffMemberCode]],10),0,1)</f>
        <v>0</v>
      </c>
      <c r="M18" s="57">
        <f ca="1">SUM(MEMBERS[[#This Row],[Duplicate NameService Start]:[Space in Code]])</f>
        <v>0</v>
      </c>
      <c r="O18" s="15">
        <v>91073779</v>
      </c>
      <c r="P18" s="15" t="s">
        <v>3170</v>
      </c>
      <c r="Q18" s="15" t="s">
        <v>3470</v>
      </c>
      <c r="R18" s="133" t="str">
        <f>MEMBERS[[#This Row],[FirstName]]&amp;" "&amp;MEMBERS[[#This Row],[LastName]]</f>
        <v>Alfredo Solano</v>
      </c>
      <c r="S18" s="21">
        <v>44290</v>
      </c>
      <c r="U18" s="21">
        <v>22138</v>
      </c>
      <c r="V18" t="b">
        <v>0</v>
      </c>
      <c r="W18" t="b">
        <v>0</v>
      </c>
      <c r="X18" t="b">
        <v>0</v>
      </c>
      <c r="Y18" t="s">
        <v>2082</v>
      </c>
      <c r="Z18" t="b">
        <v>1</v>
      </c>
      <c r="AB18" t="s">
        <v>1572</v>
      </c>
      <c r="AC18" t="b">
        <v>0</v>
      </c>
    </row>
    <row r="19" spans="1:29" x14ac:dyDescent="0.3">
      <c r="A19" s="57" t="str">
        <f>MEMBERS[[#This Row],[Title]]&amp;MEMBERS[[#This Row],[ServiceStartDate]]</f>
        <v>Alice Baddeley45243</v>
      </c>
      <c r="B19" s="57">
        <f>IF(COUNTIF(MEMBERS[NameServiceStart],MEMBERS[[#This Row],[NameServiceStart]])=1,0,1)</f>
        <v>0</v>
      </c>
      <c r="C19" s="57">
        <f>IF(COUNTIF(MEMBERS[StaffMemberCode],MEMBERS[[#This Row],[StaffMemberCode]])=1,0,1)</f>
        <v>0</v>
      </c>
      <c r="D19" s="57">
        <f>IF(ISBLANK(MEMBERS[[#This Row],[PayrollLocation]]),0,IF(COUNTIF(SCHOOLS[SchoolCode],MEMBERS[[#This Row],[PayrollLocation]])=1,0,1))</f>
        <v>0</v>
      </c>
      <c r="E19" s="57">
        <f>IF(MEMBERS[[#This Row],[AvailableToAllSchools]]=FALSE,IF(ISBLANK(MEMBERS[[#This Row],[SchoolCodes]]),1,0),IF(MEMBERS[[#This Row],[AvailableToAllSchools]]=TRUE,IF(ISBLANK(MEMBERS[[#This Row],[SchoolCodes]]),0,1)))</f>
        <v>0</v>
      </c>
      <c r="F19" s="57">
        <f>IF(ISBLANK(MEMBERS[[#This Row],[ServiceEndDate]]),0,IF(MEMBERS[[#This Row],[ServiceStartDate]]&lt;MEMBERS[[#This Row],[ServiceEndDate]],0,1))</f>
        <v>0</v>
      </c>
      <c r="G19" s="57" cm="1">
        <f t="array" aca="1" ref="G19" ca="1">IF(CELL("format",MEMBERS[[#This Row],[ServiceStartDate]])="D1",0,1)+IF(CELL("format",MEMBERS[[#This Row],[ServiceEndDate]])="D1",0,1)</f>
        <v>0</v>
      </c>
      <c r="H1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9" s="57">
        <f>IF(LEN(MEMBERS[[#This Row],[StaffMemberCode]])&lt;100,0,1)</f>
        <v>0</v>
      </c>
      <c r="J19" s="57">
        <f>IF(LEN(MEMBERS[[#This Row],[Title]])&lt;100,0,1)</f>
        <v>0</v>
      </c>
      <c r="K19" s="57">
        <f>COUNTBLANK(MEMBERS[[#This Row],[StaffMemberCode]:[ServiceStartDate]])+COUNTBLANK(MEMBERS[[#This Row],[Apprenticeship]]:MEMBERS[[#This Row],[StaffMemberEnabled]])+COUNTBLANK(MEMBERS[[#This Row],[GenderCode]]:MEMBERS[[#This Row],[Casual]])</f>
        <v>0</v>
      </c>
      <c r="L19" s="57">
        <f>IF(SUBSTITUTE(TEXT(MEMBERS[[#This Row],[StaffMemberCode]],10)," ","")=TEXT(MEMBERS[[#This Row],[StaffMemberCode]],10),0,1)</f>
        <v>0</v>
      </c>
      <c r="M19" s="57">
        <f ca="1">SUM(MEMBERS[[#This Row],[Duplicate NameService Start]:[Space in Code]])</f>
        <v>0</v>
      </c>
      <c r="O19" s="15">
        <v>10013354</v>
      </c>
      <c r="P19" s="15" t="s">
        <v>3948</v>
      </c>
      <c r="Q19" s="15" t="s">
        <v>3714</v>
      </c>
      <c r="R19" s="133" t="str">
        <f>MEMBERS[[#This Row],[FirstName]]&amp;" "&amp;MEMBERS[[#This Row],[LastName]]</f>
        <v>Alice Baddeley</v>
      </c>
      <c r="S19" s="21">
        <v>45243</v>
      </c>
      <c r="U19" s="21">
        <v>39119</v>
      </c>
      <c r="V19" s="138" t="b">
        <v>0</v>
      </c>
      <c r="W19" t="b">
        <v>0</v>
      </c>
      <c r="X19" t="b">
        <v>0</v>
      </c>
      <c r="Y19" t="s">
        <v>2126</v>
      </c>
      <c r="Z19" t="b">
        <v>1</v>
      </c>
      <c r="AB19" t="s">
        <v>1571</v>
      </c>
      <c r="AC19" t="b">
        <v>1</v>
      </c>
    </row>
    <row r="20" spans="1:29" x14ac:dyDescent="0.3">
      <c r="A20" s="57" t="str">
        <f>MEMBERS[[#This Row],[Title]]&amp;MEMBERS[[#This Row],[ServiceStartDate]]</f>
        <v>Alicia James45474</v>
      </c>
      <c r="B20" s="57">
        <f>IF(COUNTIF(MEMBERS[NameServiceStart],MEMBERS[[#This Row],[NameServiceStart]])=1,0,1)</f>
        <v>0</v>
      </c>
      <c r="C20" s="57">
        <f>IF(COUNTIF(MEMBERS[StaffMemberCode],MEMBERS[[#This Row],[StaffMemberCode]])=1,0,1)</f>
        <v>0</v>
      </c>
      <c r="D20" s="57">
        <f>IF(ISBLANK(MEMBERS[[#This Row],[PayrollLocation]]),0,IF(COUNTIF(SCHOOLS[SchoolCode],MEMBERS[[#This Row],[PayrollLocation]])=1,0,1))</f>
        <v>0</v>
      </c>
      <c r="E20" s="57">
        <f>IF(MEMBERS[[#This Row],[AvailableToAllSchools]]=FALSE,IF(ISBLANK(MEMBERS[[#This Row],[SchoolCodes]]),1,0),IF(MEMBERS[[#This Row],[AvailableToAllSchools]]=TRUE,IF(ISBLANK(MEMBERS[[#This Row],[SchoolCodes]]),0,1)))</f>
        <v>0</v>
      </c>
      <c r="F20" s="57">
        <f>IF(ISBLANK(MEMBERS[[#This Row],[ServiceEndDate]]),0,IF(MEMBERS[[#This Row],[ServiceStartDate]]&lt;MEMBERS[[#This Row],[ServiceEndDate]],0,1))</f>
        <v>0</v>
      </c>
      <c r="G20" s="57" cm="1">
        <f t="array" aca="1" ref="G20" ca="1">IF(CELL("format",MEMBERS[[#This Row],[ServiceStartDate]])="D1",0,1)+IF(CELL("format",MEMBERS[[#This Row],[ServiceEndDate]])="D1",0,1)</f>
        <v>0</v>
      </c>
      <c r="H2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0" s="57">
        <f>IF(LEN(MEMBERS[[#This Row],[StaffMemberCode]])&lt;100,0,1)</f>
        <v>0</v>
      </c>
      <c r="J20" s="57">
        <f>IF(LEN(MEMBERS[[#This Row],[Title]])&lt;100,0,1)</f>
        <v>0</v>
      </c>
      <c r="K20" s="57">
        <f>COUNTBLANK(MEMBERS[[#This Row],[StaffMemberCode]:[ServiceStartDate]])+COUNTBLANK(MEMBERS[[#This Row],[Apprenticeship]]:MEMBERS[[#This Row],[StaffMemberEnabled]])+COUNTBLANK(MEMBERS[[#This Row],[GenderCode]]:MEMBERS[[#This Row],[Casual]])</f>
        <v>0</v>
      </c>
      <c r="L20" s="57">
        <f>IF(SUBSTITUTE(TEXT(MEMBERS[[#This Row],[StaffMemberCode]],10)," ","")=TEXT(MEMBERS[[#This Row],[StaffMemberCode]],10),0,1)</f>
        <v>0</v>
      </c>
      <c r="M20" s="57">
        <f ca="1">SUM(MEMBERS[[#This Row],[Duplicate NameService Start]:[Space in Code]])</f>
        <v>0</v>
      </c>
      <c r="O20" s="15">
        <v>91323663</v>
      </c>
      <c r="P20" s="15" t="s">
        <v>3171</v>
      </c>
      <c r="Q20" s="15" t="s">
        <v>3471</v>
      </c>
      <c r="R20" s="133" t="str">
        <f>MEMBERS[[#This Row],[FirstName]]&amp;" "&amp;MEMBERS[[#This Row],[LastName]]</f>
        <v>Alicia James</v>
      </c>
      <c r="S20" s="21">
        <v>45474</v>
      </c>
      <c r="U20" s="21">
        <v>39034</v>
      </c>
      <c r="V20" t="b">
        <v>0</v>
      </c>
      <c r="W20" t="b">
        <v>0</v>
      </c>
      <c r="X20" t="b">
        <v>0</v>
      </c>
      <c r="Y20" t="s">
        <v>2094</v>
      </c>
      <c r="Z20" t="b">
        <v>1</v>
      </c>
      <c r="AB20" t="s">
        <v>1571</v>
      </c>
      <c r="AC20" t="b">
        <v>1</v>
      </c>
    </row>
    <row r="21" spans="1:29" x14ac:dyDescent="0.3">
      <c r="A21" s="57" t="str">
        <f>MEMBERS[[#This Row],[Title]]&amp;MEMBERS[[#This Row],[ServiceStartDate]]</f>
        <v>Alicia Webster45922</v>
      </c>
      <c r="B21" s="57">
        <f>IF(COUNTIF(MEMBERS[NameServiceStart],MEMBERS[[#This Row],[NameServiceStart]])=1,0,1)</f>
        <v>0</v>
      </c>
      <c r="C21" s="57">
        <f>IF(COUNTIF(MEMBERS[StaffMemberCode],MEMBERS[[#This Row],[StaffMemberCode]])=1,0,1)</f>
        <v>0</v>
      </c>
      <c r="D21" s="57">
        <f>IF(ISBLANK(MEMBERS[[#This Row],[PayrollLocation]]),0,IF(COUNTIF(SCHOOLS[SchoolCode],MEMBERS[[#This Row],[PayrollLocation]])=1,0,1))</f>
        <v>0</v>
      </c>
      <c r="E21" s="57">
        <f>IF(MEMBERS[[#This Row],[AvailableToAllSchools]]=FALSE,IF(ISBLANK(MEMBERS[[#This Row],[SchoolCodes]]),1,0),IF(MEMBERS[[#This Row],[AvailableToAllSchools]]=TRUE,IF(ISBLANK(MEMBERS[[#This Row],[SchoolCodes]]),0,1)))</f>
        <v>0</v>
      </c>
      <c r="F21" s="57">
        <f>IF(ISBLANK(MEMBERS[[#This Row],[ServiceEndDate]]),0,IF(MEMBERS[[#This Row],[ServiceStartDate]]&lt;MEMBERS[[#This Row],[ServiceEndDate]],0,1))</f>
        <v>0</v>
      </c>
      <c r="G21" s="57" cm="1">
        <f t="array" aca="1" ref="G21" ca="1">IF(CELL("format",MEMBERS[[#This Row],[ServiceStartDate]])="D1",0,1)+IF(CELL("format",MEMBERS[[#This Row],[ServiceEndDate]])="D1",0,1)</f>
        <v>0</v>
      </c>
      <c r="H2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1" s="57">
        <f>IF(LEN(MEMBERS[[#This Row],[StaffMemberCode]])&lt;100,0,1)</f>
        <v>0</v>
      </c>
      <c r="J21" s="57">
        <f>IF(LEN(MEMBERS[[#This Row],[Title]])&lt;100,0,1)</f>
        <v>0</v>
      </c>
      <c r="K21" s="57">
        <f>COUNTBLANK(MEMBERS[[#This Row],[StaffMemberCode]:[ServiceStartDate]])+COUNTBLANK(MEMBERS[[#This Row],[Apprenticeship]]:MEMBERS[[#This Row],[StaffMemberEnabled]])+COUNTBLANK(MEMBERS[[#This Row],[GenderCode]]:MEMBERS[[#This Row],[Casual]])</f>
        <v>0</v>
      </c>
      <c r="L21" s="57">
        <f>IF(SUBSTITUTE(TEXT(MEMBERS[[#This Row],[StaffMemberCode]],10)," ","")=TEXT(MEMBERS[[#This Row],[StaffMemberCode]],10),0,1)</f>
        <v>0</v>
      </c>
      <c r="M21" s="57">
        <f ca="1">SUM(MEMBERS[[#This Row],[Duplicate NameService Start]:[Space in Code]])</f>
        <v>0</v>
      </c>
      <c r="O21" s="15">
        <v>91850062</v>
      </c>
      <c r="P21" s="15" t="s">
        <v>3171</v>
      </c>
      <c r="Q21" s="15" t="s">
        <v>3472</v>
      </c>
      <c r="R21" s="133" t="str">
        <f>MEMBERS[[#This Row],[FirstName]]&amp;" "&amp;MEMBERS[[#This Row],[LastName]]</f>
        <v>Alicia Webster</v>
      </c>
      <c r="S21" s="21">
        <v>45922</v>
      </c>
      <c r="U21" s="21">
        <v>35908</v>
      </c>
      <c r="V21" t="b">
        <v>0</v>
      </c>
      <c r="W21" t="b">
        <v>0</v>
      </c>
      <c r="X21" t="b">
        <v>0</v>
      </c>
      <c r="Y21" t="s">
        <v>2082</v>
      </c>
      <c r="Z21" t="b">
        <v>1</v>
      </c>
      <c r="AB21" t="s">
        <v>1571</v>
      </c>
      <c r="AC21" t="b">
        <v>1</v>
      </c>
    </row>
    <row r="22" spans="1:29" x14ac:dyDescent="0.3">
      <c r="A22" s="57" t="str">
        <f>MEMBERS[[#This Row],[Title]]&amp;MEMBERS[[#This Row],[ServiceStartDate]]</f>
        <v>Alison Green40707</v>
      </c>
      <c r="B22" s="57">
        <f>IF(COUNTIF(MEMBERS[NameServiceStart],MEMBERS[[#This Row],[NameServiceStart]])=1,0,1)</f>
        <v>0</v>
      </c>
      <c r="C22" s="57">
        <f>IF(COUNTIF(MEMBERS[StaffMemberCode],MEMBERS[[#This Row],[StaffMemberCode]])=1,0,1)</f>
        <v>0</v>
      </c>
      <c r="D22" s="57">
        <f>IF(ISBLANK(MEMBERS[[#This Row],[PayrollLocation]]),0,IF(COUNTIF(SCHOOLS[SchoolCode],MEMBERS[[#This Row],[PayrollLocation]])=1,0,1))</f>
        <v>0</v>
      </c>
      <c r="E22" s="57">
        <f>IF(MEMBERS[[#This Row],[AvailableToAllSchools]]=FALSE,IF(ISBLANK(MEMBERS[[#This Row],[SchoolCodes]]),1,0),IF(MEMBERS[[#This Row],[AvailableToAllSchools]]=TRUE,IF(ISBLANK(MEMBERS[[#This Row],[SchoolCodes]]),0,1)))</f>
        <v>0</v>
      </c>
      <c r="F22" s="57">
        <f>IF(ISBLANK(MEMBERS[[#This Row],[ServiceEndDate]]),0,IF(MEMBERS[[#This Row],[ServiceStartDate]]&lt;MEMBERS[[#This Row],[ServiceEndDate]],0,1))</f>
        <v>0</v>
      </c>
      <c r="G22" s="57" cm="1">
        <f t="array" aca="1" ref="G22" ca="1">IF(CELL("format",MEMBERS[[#This Row],[ServiceStartDate]])="D1",0,1)+IF(CELL("format",MEMBERS[[#This Row],[ServiceEndDate]])="D1",0,1)</f>
        <v>0</v>
      </c>
      <c r="H2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2" s="57">
        <f>IF(LEN(MEMBERS[[#This Row],[StaffMemberCode]])&lt;100,0,1)</f>
        <v>0</v>
      </c>
      <c r="J22" s="57">
        <f>IF(LEN(MEMBERS[[#This Row],[Title]])&lt;100,0,1)</f>
        <v>0</v>
      </c>
      <c r="K22" s="57">
        <f>COUNTBLANK(MEMBERS[[#This Row],[StaffMemberCode]:[ServiceStartDate]])+COUNTBLANK(MEMBERS[[#This Row],[Apprenticeship]]:MEMBERS[[#This Row],[StaffMemberEnabled]])+COUNTBLANK(MEMBERS[[#This Row],[GenderCode]]:MEMBERS[[#This Row],[Casual]])</f>
        <v>0</v>
      </c>
      <c r="L22" s="57">
        <f>IF(SUBSTITUTE(TEXT(MEMBERS[[#This Row],[StaffMemberCode]],10)," ","")=TEXT(MEMBERS[[#This Row],[StaffMemberCode]],10),0,1)</f>
        <v>0</v>
      </c>
      <c r="M22" s="57">
        <f ca="1">SUM(MEMBERS[[#This Row],[Duplicate NameService Start]:[Space in Code]])</f>
        <v>0</v>
      </c>
      <c r="O22" s="15">
        <v>10005333</v>
      </c>
      <c r="P22" s="15" t="s">
        <v>3172</v>
      </c>
      <c r="Q22" s="15" t="s">
        <v>3682</v>
      </c>
      <c r="R22" s="133" t="str">
        <f>MEMBERS[[#This Row],[FirstName]]&amp;" "&amp;MEMBERS[[#This Row],[LastName]]</f>
        <v>Alison Green</v>
      </c>
      <c r="S22" s="21">
        <v>40707</v>
      </c>
      <c r="U22" s="21">
        <v>24529</v>
      </c>
      <c r="V22" s="138" t="b">
        <v>0</v>
      </c>
      <c r="W22" t="b">
        <v>0</v>
      </c>
      <c r="X22" t="b">
        <v>0</v>
      </c>
      <c r="Y22" t="s">
        <v>2126</v>
      </c>
      <c r="Z22" t="b">
        <v>1</v>
      </c>
      <c r="AB22" t="s">
        <v>1571</v>
      </c>
      <c r="AC22" t="b">
        <v>0</v>
      </c>
    </row>
    <row r="23" spans="1:29" x14ac:dyDescent="0.3">
      <c r="A23" s="57" t="str">
        <f>MEMBERS[[#This Row],[Title]]&amp;MEMBERS[[#This Row],[ServiceStartDate]]</f>
        <v>Alison Jones44570</v>
      </c>
      <c r="B23" s="57">
        <f>IF(COUNTIF(MEMBERS[NameServiceStart],MEMBERS[[#This Row],[NameServiceStart]])=1,0,1)</f>
        <v>0</v>
      </c>
      <c r="C23" s="57">
        <f>IF(COUNTIF(MEMBERS[StaffMemberCode],MEMBERS[[#This Row],[StaffMemberCode]])=1,0,1)</f>
        <v>0</v>
      </c>
      <c r="D23" s="57">
        <f>IF(ISBLANK(MEMBERS[[#This Row],[PayrollLocation]]),0,IF(COUNTIF(SCHOOLS[SchoolCode],MEMBERS[[#This Row],[PayrollLocation]])=1,0,1))</f>
        <v>0</v>
      </c>
      <c r="E23" s="57">
        <f>IF(MEMBERS[[#This Row],[AvailableToAllSchools]]=FALSE,IF(ISBLANK(MEMBERS[[#This Row],[SchoolCodes]]),1,0),IF(MEMBERS[[#This Row],[AvailableToAllSchools]]=TRUE,IF(ISBLANK(MEMBERS[[#This Row],[SchoolCodes]]),0,1)))</f>
        <v>0</v>
      </c>
      <c r="F23" s="57">
        <f>IF(ISBLANK(MEMBERS[[#This Row],[ServiceEndDate]]),0,IF(MEMBERS[[#This Row],[ServiceStartDate]]&lt;MEMBERS[[#This Row],[ServiceEndDate]],0,1))</f>
        <v>0</v>
      </c>
      <c r="G23" s="57" cm="1">
        <f t="array" aca="1" ref="G23" ca="1">IF(CELL("format",MEMBERS[[#This Row],[ServiceStartDate]])="D1",0,1)+IF(CELL("format",MEMBERS[[#This Row],[ServiceEndDate]])="D1",0,1)</f>
        <v>0</v>
      </c>
      <c r="H2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3" s="57">
        <f>IF(LEN(MEMBERS[[#This Row],[StaffMemberCode]])&lt;100,0,1)</f>
        <v>0</v>
      </c>
      <c r="J23" s="57">
        <f>IF(LEN(MEMBERS[[#This Row],[Title]])&lt;100,0,1)</f>
        <v>0</v>
      </c>
      <c r="K23" s="57">
        <f>COUNTBLANK(MEMBERS[[#This Row],[StaffMemberCode]:[ServiceStartDate]])+COUNTBLANK(MEMBERS[[#This Row],[Apprenticeship]]:MEMBERS[[#This Row],[StaffMemberEnabled]])+COUNTBLANK(MEMBERS[[#This Row],[GenderCode]]:MEMBERS[[#This Row],[Casual]])</f>
        <v>0</v>
      </c>
      <c r="L23" s="57">
        <f>IF(SUBSTITUTE(TEXT(MEMBERS[[#This Row],[StaffMemberCode]],10)," ","")=TEXT(MEMBERS[[#This Row],[StaffMemberCode]],10),0,1)</f>
        <v>0</v>
      </c>
      <c r="M23" s="57">
        <f ca="1">SUM(MEMBERS[[#This Row],[Duplicate NameService Start]:[Space in Code]])</f>
        <v>0</v>
      </c>
      <c r="O23" s="15">
        <v>91073526</v>
      </c>
      <c r="P23" s="15" t="s">
        <v>3172</v>
      </c>
      <c r="Q23" s="15" t="s">
        <v>3473</v>
      </c>
      <c r="R23" s="133" t="str">
        <f>MEMBERS[[#This Row],[FirstName]]&amp;" "&amp;MEMBERS[[#This Row],[LastName]]</f>
        <v>Alison Jones</v>
      </c>
      <c r="S23" s="21">
        <v>44570</v>
      </c>
      <c r="U23" s="21">
        <v>22775</v>
      </c>
      <c r="V23" t="b">
        <v>0</v>
      </c>
      <c r="W23" t="b">
        <v>0</v>
      </c>
      <c r="X23" t="b">
        <v>0</v>
      </c>
      <c r="Y23" t="s">
        <v>2094</v>
      </c>
      <c r="Z23" t="b">
        <v>1</v>
      </c>
      <c r="AB23" t="s">
        <v>1571</v>
      </c>
      <c r="AC23" t="b">
        <v>1</v>
      </c>
    </row>
    <row r="24" spans="1:29" x14ac:dyDescent="0.3">
      <c r="A24" s="57" t="str">
        <f>MEMBERS[[#This Row],[Title]]&amp;MEMBERS[[#This Row],[ServiceStartDate]]</f>
        <v>Alison Sutch39456</v>
      </c>
      <c r="B24" s="57">
        <f>IF(COUNTIF(MEMBERS[NameServiceStart],MEMBERS[[#This Row],[NameServiceStart]])=1,0,1)</f>
        <v>0</v>
      </c>
      <c r="C24" s="57">
        <f>IF(COUNTIF(MEMBERS[StaffMemberCode],MEMBERS[[#This Row],[StaffMemberCode]])=1,0,1)</f>
        <v>0</v>
      </c>
      <c r="D24" s="57">
        <f>IF(ISBLANK(MEMBERS[[#This Row],[PayrollLocation]]),0,IF(COUNTIF(SCHOOLS[SchoolCode],MEMBERS[[#This Row],[PayrollLocation]])=1,0,1))</f>
        <v>0</v>
      </c>
      <c r="E24" s="57">
        <f>IF(MEMBERS[[#This Row],[AvailableToAllSchools]]=FALSE,IF(ISBLANK(MEMBERS[[#This Row],[SchoolCodes]]),1,0),IF(MEMBERS[[#This Row],[AvailableToAllSchools]]=TRUE,IF(ISBLANK(MEMBERS[[#This Row],[SchoolCodes]]),0,1)))</f>
        <v>0</v>
      </c>
      <c r="F24" s="57">
        <f>IF(ISBLANK(MEMBERS[[#This Row],[ServiceEndDate]]),0,IF(MEMBERS[[#This Row],[ServiceStartDate]]&lt;MEMBERS[[#This Row],[ServiceEndDate]],0,1))</f>
        <v>0</v>
      </c>
      <c r="G24" s="57" cm="1">
        <f t="array" aca="1" ref="G24" ca="1">IF(CELL("format",MEMBERS[[#This Row],[ServiceStartDate]])="D1",0,1)+IF(CELL("format",MEMBERS[[#This Row],[ServiceEndDate]])="D1",0,1)</f>
        <v>0</v>
      </c>
      <c r="H2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4" s="57">
        <f>IF(LEN(MEMBERS[[#This Row],[StaffMemberCode]])&lt;100,0,1)</f>
        <v>0</v>
      </c>
      <c r="J24" s="57">
        <f>IF(LEN(MEMBERS[[#This Row],[Title]])&lt;100,0,1)</f>
        <v>0</v>
      </c>
      <c r="K24" s="57">
        <f>COUNTBLANK(MEMBERS[[#This Row],[StaffMemberCode]:[ServiceStartDate]])+COUNTBLANK(MEMBERS[[#This Row],[Apprenticeship]]:MEMBERS[[#This Row],[StaffMemberEnabled]])+COUNTBLANK(MEMBERS[[#This Row],[GenderCode]]:MEMBERS[[#This Row],[Casual]])</f>
        <v>0</v>
      </c>
      <c r="L24" s="57">
        <f>IF(SUBSTITUTE(TEXT(MEMBERS[[#This Row],[StaffMemberCode]],10)," ","")=TEXT(MEMBERS[[#This Row],[StaffMemberCode]],10),0,1)</f>
        <v>0</v>
      </c>
      <c r="M24" s="57">
        <f ca="1">SUM(MEMBERS[[#This Row],[Duplicate NameService Start]:[Space in Code]])</f>
        <v>0</v>
      </c>
      <c r="O24" s="15">
        <v>91073689</v>
      </c>
      <c r="P24" s="15" t="s">
        <v>3172</v>
      </c>
      <c r="Q24" s="15" t="s">
        <v>3474</v>
      </c>
      <c r="R24" s="133" t="str">
        <f>MEMBERS[[#This Row],[FirstName]]&amp;" "&amp;MEMBERS[[#This Row],[LastName]]</f>
        <v>Alison Sutch</v>
      </c>
      <c r="S24" s="21">
        <v>39456</v>
      </c>
      <c r="U24" s="21">
        <v>29132</v>
      </c>
      <c r="V24" t="b">
        <v>0</v>
      </c>
      <c r="W24" t="b">
        <v>0</v>
      </c>
      <c r="X24" t="b">
        <v>0</v>
      </c>
      <c r="Y24" t="s">
        <v>2082</v>
      </c>
      <c r="Z24" t="b">
        <v>1</v>
      </c>
      <c r="AB24" t="s">
        <v>1571</v>
      </c>
      <c r="AC24" t="b">
        <v>0</v>
      </c>
    </row>
    <row r="25" spans="1:29" x14ac:dyDescent="0.3">
      <c r="A25" s="57" t="str">
        <f>MEMBERS[[#This Row],[Title]]&amp;MEMBERS[[#This Row],[ServiceStartDate]]</f>
        <v>Alison Wootton43570</v>
      </c>
      <c r="B25" s="57">
        <f>IF(COUNTIF(MEMBERS[NameServiceStart],MEMBERS[[#This Row],[NameServiceStart]])=1,0,1)</f>
        <v>0</v>
      </c>
      <c r="C25" s="57">
        <f>IF(COUNTIF(MEMBERS[StaffMemberCode],MEMBERS[[#This Row],[StaffMemberCode]])=1,0,1)</f>
        <v>0</v>
      </c>
      <c r="D25" s="57">
        <f>IF(ISBLANK(MEMBERS[[#This Row],[PayrollLocation]]),0,IF(COUNTIF(SCHOOLS[SchoolCode],MEMBERS[[#This Row],[PayrollLocation]])=1,0,1))</f>
        <v>0</v>
      </c>
      <c r="E25" s="57">
        <f>IF(MEMBERS[[#This Row],[AvailableToAllSchools]]=FALSE,IF(ISBLANK(MEMBERS[[#This Row],[SchoolCodes]]),1,0),IF(MEMBERS[[#This Row],[AvailableToAllSchools]]=TRUE,IF(ISBLANK(MEMBERS[[#This Row],[SchoolCodes]]),0,1)))</f>
        <v>0</v>
      </c>
      <c r="F25" s="57">
        <f>IF(ISBLANK(MEMBERS[[#This Row],[ServiceEndDate]]),0,IF(MEMBERS[[#This Row],[ServiceStartDate]]&lt;MEMBERS[[#This Row],[ServiceEndDate]],0,1))</f>
        <v>0</v>
      </c>
      <c r="G25" s="57" cm="1">
        <f t="array" aca="1" ref="G25" ca="1">IF(CELL("format",MEMBERS[[#This Row],[ServiceStartDate]])="D1",0,1)+IF(CELL("format",MEMBERS[[#This Row],[ServiceEndDate]])="D1",0,1)</f>
        <v>0</v>
      </c>
      <c r="H2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5" s="57">
        <f>IF(LEN(MEMBERS[[#This Row],[StaffMemberCode]])&lt;100,0,1)</f>
        <v>0</v>
      </c>
      <c r="J25" s="57">
        <f>IF(LEN(MEMBERS[[#This Row],[Title]])&lt;100,0,1)</f>
        <v>0</v>
      </c>
      <c r="K25" s="57">
        <f>COUNTBLANK(MEMBERS[[#This Row],[StaffMemberCode]:[ServiceStartDate]])+COUNTBLANK(MEMBERS[[#This Row],[Apprenticeship]]:MEMBERS[[#This Row],[StaffMemberEnabled]])+COUNTBLANK(MEMBERS[[#This Row],[GenderCode]]:MEMBERS[[#This Row],[Casual]])</f>
        <v>0</v>
      </c>
      <c r="L25" s="57">
        <f>IF(SUBSTITUTE(TEXT(MEMBERS[[#This Row],[StaffMemberCode]],10)," ","")=TEXT(MEMBERS[[#This Row],[StaffMemberCode]],10),0,1)</f>
        <v>0</v>
      </c>
      <c r="M25" s="57">
        <f ca="1">SUM(MEMBERS[[#This Row],[Duplicate NameService Start]:[Space in Code]])</f>
        <v>0</v>
      </c>
      <c r="O25" s="15">
        <v>91073516</v>
      </c>
      <c r="P25" s="15" t="s">
        <v>3172</v>
      </c>
      <c r="Q25" s="15" t="s">
        <v>3475</v>
      </c>
      <c r="R25" s="133" t="str">
        <f>MEMBERS[[#This Row],[FirstName]]&amp;" "&amp;MEMBERS[[#This Row],[LastName]]</f>
        <v>Alison Wootton</v>
      </c>
      <c r="S25" s="21">
        <v>43570</v>
      </c>
      <c r="U25" s="21">
        <v>24751</v>
      </c>
      <c r="V25" t="b">
        <v>0</v>
      </c>
      <c r="W25" t="b">
        <v>0</v>
      </c>
      <c r="X25" t="b">
        <v>0</v>
      </c>
      <c r="Y25" t="s">
        <v>2094</v>
      </c>
      <c r="Z25" t="b">
        <v>1</v>
      </c>
      <c r="AB25" t="s">
        <v>1571</v>
      </c>
      <c r="AC25" t="b">
        <v>0</v>
      </c>
    </row>
    <row r="26" spans="1:29" x14ac:dyDescent="0.3">
      <c r="A26" s="57" t="str">
        <f>MEMBERS[[#This Row],[Title]]&amp;MEMBERS[[#This Row],[ServiceStartDate]]</f>
        <v>Alistair Granville42009</v>
      </c>
      <c r="B26" s="57">
        <f>IF(COUNTIF(MEMBERS[NameServiceStart],MEMBERS[[#This Row],[NameServiceStart]])=1,0,1)</f>
        <v>0</v>
      </c>
      <c r="C26" s="57">
        <f>IF(COUNTIF(MEMBERS[StaffMemberCode],MEMBERS[[#This Row],[StaffMemberCode]])=1,0,1)</f>
        <v>0</v>
      </c>
      <c r="D26" s="57">
        <f>IF(ISBLANK(MEMBERS[[#This Row],[PayrollLocation]]),0,IF(COUNTIF(SCHOOLS[SchoolCode],MEMBERS[[#This Row],[PayrollLocation]])=1,0,1))</f>
        <v>0</v>
      </c>
      <c r="E26" s="57">
        <f>IF(MEMBERS[[#This Row],[AvailableToAllSchools]]=FALSE,IF(ISBLANK(MEMBERS[[#This Row],[SchoolCodes]]),1,0),IF(MEMBERS[[#This Row],[AvailableToAllSchools]]=TRUE,IF(ISBLANK(MEMBERS[[#This Row],[SchoolCodes]]),0,1)))</f>
        <v>0</v>
      </c>
      <c r="F26" s="57">
        <f>IF(ISBLANK(MEMBERS[[#This Row],[ServiceEndDate]]),0,IF(MEMBERS[[#This Row],[ServiceStartDate]]&lt;MEMBERS[[#This Row],[ServiceEndDate]],0,1))</f>
        <v>0</v>
      </c>
      <c r="G26" s="57" cm="1">
        <f t="array" aca="1" ref="G26" ca="1">IF(CELL("format",MEMBERS[[#This Row],[ServiceStartDate]])="D1",0,1)+IF(CELL("format",MEMBERS[[#This Row],[ServiceEndDate]])="D1",0,1)</f>
        <v>0</v>
      </c>
      <c r="H2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6" s="57">
        <f>IF(LEN(MEMBERS[[#This Row],[StaffMemberCode]])&lt;100,0,1)</f>
        <v>0</v>
      </c>
      <c r="J26" s="57">
        <f>IF(LEN(MEMBERS[[#This Row],[Title]])&lt;100,0,1)</f>
        <v>0</v>
      </c>
      <c r="K26" s="57">
        <f>COUNTBLANK(MEMBERS[[#This Row],[StaffMemberCode]:[ServiceStartDate]])+COUNTBLANK(MEMBERS[[#This Row],[Apprenticeship]]:MEMBERS[[#This Row],[StaffMemberEnabled]])+COUNTBLANK(MEMBERS[[#This Row],[GenderCode]]:MEMBERS[[#This Row],[Casual]])</f>
        <v>0</v>
      </c>
      <c r="L26" s="57">
        <f>IF(SUBSTITUTE(TEXT(MEMBERS[[#This Row],[StaffMemberCode]],10)," ","")=TEXT(MEMBERS[[#This Row],[StaffMemberCode]],10),0,1)</f>
        <v>0</v>
      </c>
      <c r="M26" s="57">
        <f ca="1">SUM(MEMBERS[[#This Row],[Duplicate NameService Start]:[Space in Code]])</f>
        <v>0</v>
      </c>
      <c r="O26" s="15">
        <v>91073577</v>
      </c>
      <c r="P26" s="15" t="s">
        <v>3173</v>
      </c>
      <c r="Q26" s="15" t="s">
        <v>3476</v>
      </c>
      <c r="R26" s="133" t="str">
        <f>MEMBERS[[#This Row],[FirstName]]&amp;" "&amp;MEMBERS[[#This Row],[LastName]]</f>
        <v>Alistair Granville</v>
      </c>
      <c r="S26" s="21">
        <v>42009</v>
      </c>
      <c r="U26" s="21">
        <v>25946</v>
      </c>
      <c r="V26" t="b">
        <v>0</v>
      </c>
      <c r="W26" t="b">
        <v>0</v>
      </c>
      <c r="X26" t="b">
        <v>0</v>
      </c>
      <c r="Y26" t="s">
        <v>2094</v>
      </c>
      <c r="Z26" t="b">
        <v>1</v>
      </c>
      <c r="AB26" t="s">
        <v>1572</v>
      </c>
      <c r="AC26" t="b">
        <v>0</v>
      </c>
    </row>
    <row r="27" spans="1:29" x14ac:dyDescent="0.3">
      <c r="A27" s="57" t="str">
        <f>MEMBERS[[#This Row],[Title]]&amp;MEMBERS[[#This Row],[ServiceStartDate]]</f>
        <v>Alistair McLaren42378</v>
      </c>
      <c r="B27" s="57">
        <f>IF(COUNTIF(MEMBERS[NameServiceStart],MEMBERS[[#This Row],[NameServiceStart]])=1,0,1)</f>
        <v>0</v>
      </c>
      <c r="C27" s="57">
        <f>IF(COUNTIF(MEMBERS[StaffMemberCode],MEMBERS[[#This Row],[StaffMemberCode]])=1,0,1)</f>
        <v>0</v>
      </c>
      <c r="D27" s="57">
        <f>IF(ISBLANK(MEMBERS[[#This Row],[PayrollLocation]]),0,IF(COUNTIF(SCHOOLS[SchoolCode],MEMBERS[[#This Row],[PayrollLocation]])=1,0,1))</f>
        <v>0</v>
      </c>
      <c r="E27" s="57">
        <f>IF(MEMBERS[[#This Row],[AvailableToAllSchools]]=FALSE,IF(ISBLANK(MEMBERS[[#This Row],[SchoolCodes]]),1,0),IF(MEMBERS[[#This Row],[AvailableToAllSchools]]=TRUE,IF(ISBLANK(MEMBERS[[#This Row],[SchoolCodes]]),0,1)))</f>
        <v>0</v>
      </c>
      <c r="F27" s="57">
        <f>IF(ISBLANK(MEMBERS[[#This Row],[ServiceEndDate]]),0,IF(MEMBERS[[#This Row],[ServiceStartDate]]&lt;MEMBERS[[#This Row],[ServiceEndDate]],0,1))</f>
        <v>0</v>
      </c>
      <c r="G27" s="57" cm="1">
        <f t="array" aca="1" ref="G27" ca="1">IF(CELL("format",MEMBERS[[#This Row],[ServiceStartDate]])="D1",0,1)+IF(CELL("format",MEMBERS[[#This Row],[ServiceEndDate]])="D1",0,1)</f>
        <v>0</v>
      </c>
      <c r="H2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7" s="57">
        <f>IF(LEN(MEMBERS[[#This Row],[StaffMemberCode]])&lt;100,0,1)</f>
        <v>0</v>
      </c>
      <c r="J27" s="57">
        <f>IF(LEN(MEMBERS[[#This Row],[Title]])&lt;100,0,1)</f>
        <v>0</v>
      </c>
      <c r="K27" s="57">
        <f>COUNTBLANK(MEMBERS[[#This Row],[StaffMemberCode]:[ServiceStartDate]])+COUNTBLANK(MEMBERS[[#This Row],[Apprenticeship]]:MEMBERS[[#This Row],[StaffMemberEnabled]])+COUNTBLANK(MEMBERS[[#This Row],[GenderCode]]:MEMBERS[[#This Row],[Casual]])</f>
        <v>0</v>
      </c>
      <c r="L27" s="57">
        <f>IF(SUBSTITUTE(TEXT(MEMBERS[[#This Row],[StaffMemberCode]],10)," ","")=TEXT(MEMBERS[[#This Row],[StaffMemberCode]],10),0,1)</f>
        <v>0</v>
      </c>
      <c r="M27" s="57">
        <f ca="1">SUM(MEMBERS[[#This Row],[Duplicate NameService Start]:[Space in Code]])</f>
        <v>0</v>
      </c>
      <c r="O27" s="15">
        <v>91073825</v>
      </c>
      <c r="P27" s="15" t="s">
        <v>3173</v>
      </c>
      <c r="Q27" s="15" t="s">
        <v>3477</v>
      </c>
      <c r="R27" s="133" t="str">
        <f>MEMBERS[[#This Row],[FirstName]]&amp;" "&amp;MEMBERS[[#This Row],[LastName]]</f>
        <v>Alistair McLaren</v>
      </c>
      <c r="S27" s="21">
        <v>42378</v>
      </c>
      <c r="U27" s="21">
        <v>32913</v>
      </c>
      <c r="V27" t="b">
        <v>0</v>
      </c>
      <c r="W27" t="b">
        <v>0</v>
      </c>
      <c r="X27" t="b">
        <v>0</v>
      </c>
      <c r="Y27" t="s">
        <v>2082</v>
      </c>
      <c r="Z27" t="b">
        <v>1</v>
      </c>
      <c r="AB27" t="s">
        <v>1572</v>
      </c>
      <c r="AC27" t="b">
        <v>0</v>
      </c>
    </row>
    <row r="28" spans="1:29" x14ac:dyDescent="0.3">
      <c r="A28" s="57" t="str">
        <f>MEMBERS[[#This Row],[Title]]&amp;MEMBERS[[#This Row],[ServiceStartDate]]</f>
        <v>Alistair Reed41153</v>
      </c>
      <c r="B28" s="57">
        <f>IF(COUNTIF(MEMBERS[NameServiceStart],MEMBERS[[#This Row],[NameServiceStart]])=1,0,1)</f>
        <v>0</v>
      </c>
      <c r="C28" s="57">
        <f>IF(COUNTIF(MEMBERS[StaffMemberCode],MEMBERS[[#This Row],[StaffMemberCode]])=1,0,1)</f>
        <v>0</v>
      </c>
      <c r="D28" s="57">
        <f>IF(ISBLANK(MEMBERS[[#This Row],[PayrollLocation]]),0,IF(COUNTIF(SCHOOLS[SchoolCode],MEMBERS[[#This Row],[PayrollLocation]])=1,0,1))</f>
        <v>0</v>
      </c>
      <c r="E28" s="57">
        <f>IF(MEMBERS[[#This Row],[AvailableToAllSchools]]=FALSE,IF(ISBLANK(MEMBERS[[#This Row],[SchoolCodes]]),1,0),IF(MEMBERS[[#This Row],[AvailableToAllSchools]]=TRUE,IF(ISBLANK(MEMBERS[[#This Row],[SchoolCodes]]),0,1)))</f>
        <v>0</v>
      </c>
      <c r="F28" s="57">
        <f>IF(ISBLANK(MEMBERS[[#This Row],[ServiceEndDate]]),0,IF(MEMBERS[[#This Row],[ServiceStartDate]]&lt;MEMBERS[[#This Row],[ServiceEndDate]],0,1))</f>
        <v>0</v>
      </c>
      <c r="G28" s="57" cm="1">
        <f t="array" aca="1" ref="G28" ca="1">IF(CELL("format",MEMBERS[[#This Row],[ServiceStartDate]])="D1",0,1)+IF(CELL("format",MEMBERS[[#This Row],[ServiceEndDate]])="D1",0,1)</f>
        <v>0</v>
      </c>
      <c r="H2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8" s="57">
        <f>IF(LEN(MEMBERS[[#This Row],[StaffMemberCode]])&lt;100,0,1)</f>
        <v>0</v>
      </c>
      <c r="J28" s="57">
        <f>IF(LEN(MEMBERS[[#This Row],[Title]])&lt;100,0,1)</f>
        <v>0</v>
      </c>
      <c r="K28" s="57">
        <f>COUNTBLANK(MEMBERS[[#This Row],[StaffMemberCode]:[ServiceStartDate]])+COUNTBLANK(MEMBERS[[#This Row],[Apprenticeship]]:MEMBERS[[#This Row],[StaffMemberEnabled]])+COUNTBLANK(MEMBERS[[#This Row],[GenderCode]]:MEMBERS[[#This Row],[Casual]])</f>
        <v>0</v>
      </c>
      <c r="L28" s="57">
        <f>IF(SUBSTITUTE(TEXT(MEMBERS[[#This Row],[StaffMemberCode]],10)," ","")=TEXT(MEMBERS[[#This Row],[StaffMemberCode]],10),0,1)</f>
        <v>0</v>
      </c>
      <c r="M28" s="57">
        <f ca="1">SUM(MEMBERS[[#This Row],[Duplicate NameService Start]:[Space in Code]])</f>
        <v>0</v>
      </c>
      <c r="O28" s="15">
        <v>10005338</v>
      </c>
      <c r="P28" s="15" t="s">
        <v>3173</v>
      </c>
      <c r="Q28" s="15" t="s">
        <v>4022</v>
      </c>
      <c r="R28" s="133" t="str">
        <f>MEMBERS[[#This Row],[FirstName]]&amp;" "&amp;MEMBERS[[#This Row],[LastName]]</f>
        <v>Alistair Reed</v>
      </c>
      <c r="S28" s="21">
        <v>41153</v>
      </c>
      <c r="U28" s="21">
        <v>32750</v>
      </c>
      <c r="V28" s="138" t="b">
        <v>0</v>
      </c>
      <c r="W28" t="b">
        <v>0</v>
      </c>
      <c r="X28" t="b">
        <v>0</v>
      </c>
      <c r="Y28" t="s">
        <v>2126</v>
      </c>
      <c r="Z28" t="b">
        <v>1</v>
      </c>
      <c r="AB28" t="s">
        <v>1572</v>
      </c>
      <c r="AC28" t="b">
        <v>0</v>
      </c>
    </row>
    <row r="29" spans="1:29" x14ac:dyDescent="0.3">
      <c r="A29" s="57" t="str">
        <f>MEMBERS[[#This Row],[Title]]&amp;MEMBERS[[#This Row],[ServiceStartDate]]</f>
        <v>Amanda Arnold45048</v>
      </c>
      <c r="B29" s="57">
        <f>IF(COUNTIF(MEMBERS[NameServiceStart],MEMBERS[[#This Row],[NameServiceStart]])=1,0,1)</f>
        <v>0</v>
      </c>
      <c r="C29" s="57">
        <f>IF(COUNTIF(MEMBERS[StaffMemberCode],MEMBERS[[#This Row],[StaffMemberCode]])=1,0,1)</f>
        <v>0</v>
      </c>
      <c r="D29" s="57">
        <f>IF(ISBLANK(MEMBERS[[#This Row],[PayrollLocation]]),0,IF(COUNTIF(SCHOOLS[SchoolCode],MEMBERS[[#This Row],[PayrollLocation]])=1,0,1))</f>
        <v>0</v>
      </c>
      <c r="E29" s="57">
        <f>IF(MEMBERS[[#This Row],[AvailableToAllSchools]]=FALSE,IF(ISBLANK(MEMBERS[[#This Row],[SchoolCodes]]),1,0),IF(MEMBERS[[#This Row],[AvailableToAllSchools]]=TRUE,IF(ISBLANK(MEMBERS[[#This Row],[SchoolCodes]]),0,1)))</f>
        <v>0</v>
      </c>
      <c r="F29" s="57">
        <f>IF(ISBLANK(MEMBERS[[#This Row],[ServiceEndDate]]),0,IF(MEMBERS[[#This Row],[ServiceStartDate]]&lt;MEMBERS[[#This Row],[ServiceEndDate]],0,1))</f>
        <v>0</v>
      </c>
      <c r="G29" s="57" cm="1">
        <f t="array" aca="1" ref="G29" ca="1">IF(CELL("format",MEMBERS[[#This Row],[ServiceStartDate]])="D1",0,1)+IF(CELL("format",MEMBERS[[#This Row],[ServiceEndDate]])="D1",0,1)</f>
        <v>0</v>
      </c>
      <c r="H2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9" s="57">
        <f>IF(LEN(MEMBERS[[#This Row],[StaffMemberCode]])&lt;100,0,1)</f>
        <v>0</v>
      </c>
      <c r="J29" s="57">
        <f>IF(LEN(MEMBERS[[#This Row],[Title]])&lt;100,0,1)</f>
        <v>0</v>
      </c>
      <c r="K29" s="57">
        <f>COUNTBLANK(MEMBERS[[#This Row],[StaffMemberCode]:[ServiceStartDate]])+COUNTBLANK(MEMBERS[[#This Row],[Apprenticeship]]:MEMBERS[[#This Row],[StaffMemberEnabled]])+COUNTBLANK(MEMBERS[[#This Row],[GenderCode]]:MEMBERS[[#This Row],[Casual]])</f>
        <v>0</v>
      </c>
      <c r="L29" s="57">
        <f>IF(SUBSTITUTE(TEXT(MEMBERS[[#This Row],[StaffMemberCode]],10)," ","")=TEXT(MEMBERS[[#This Row],[StaffMemberCode]],10),0,1)</f>
        <v>0</v>
      </c>
      <c r="M29" s="57">
        <f ca="1">SUM(MEMBERS[[#This Row],[Duplicate NameService Start]:[Space in Code]])</f>
        <v>0</v>
      </c>
      <c r="O29" s="15">
        <v>10011991</v>
      </c>
      <c r="P29" s="15" t="s">
        <v>3949</v>
      </c>
      <c r="Q29" s="15" t="s">
        <v>4023</v>
      </c>
      <c r="R29" s="133" t="str">
        <f>MEMBERS[[#This Row],[FirstName]]&amp;" "&amp;MEMBERS[[#This Row],[LastName]]</f>
        <v>Amanda Arnold</v>
      </c>
      <c r="S29" s="21">
        <v>45048</v>
      </c>
      <c r="U29" s="21">
        <v>28402</v>
      </c>
      <c r="V29" s="138" t="b">
        <v>0</v>
      </c>
      <c r="W29" t="b">
        <v>0</v>
      </c>
      <c r="X29" t="b">
        <v>0</v>
      </c>
      <c r="Y29" t="s">
        <v>2126</v>
      </c>
      <c r="Z29" t="b">
        <v>1</v>
      </c>
      <c r="AB29" t="s">
        <v>1571</v>
      </c>
      <c r="AC29" t="b">
        <v>0</v>
      </c>
    </row>
    <row r="30" spans="1:29" x14ac:dyDescent="0.3">
      <c r="A30" s="57" t="str">
        <f>MEMBERS[[#This Row],[Title]]&amp;MEMBERS[[#This Row],[ServiceStartDate]]</f>
        <v>Amanda Fletcher44704</v>
      </c>
      <c r="B30" s="57">
        <f>IF(COUNTIF(MEMBERS[NameServiceStart],MEMBERS[[#This Row],[NameServiceStart]])=1,0,1)</f>
        <v>0</v>
      </c>
      <c r="C30" s="57">
        <f>IF(COUNTIF(MEMBERS[StaffMemberCode],MEMBERS[[#This Row],[StaffMemberCode]])=1,0,1)</f>
        <v>0</v>
      </c>
      <c r="D30" s="57">
        <f>IF(ISBLANK(MEMBERS[[#This Row],[PayrollLocation]]),0,IF(COUNTIF(SCHOOLS[SchoolCode],MEMBERS[[#This Row],[PayrollLocation]])=1,0,1))</f>
        <v>0</v>
      </c>
      <c r="E30" s="57">
        <f>IF(MEMBERS[[#This Row],[AvailableToAllSchools]]=FALSE,IF(ISBLANK(MEMBERS[[#This Row],[SchoolCodes]]),1,0),IF(MEMBERS[[#This Row],[AvailableToAllSchools]]=TRUE,IF(ISBLANK(MEMBERS[[#This Row],[SchoolCodes]]),0,1)))</f>
        <v>0</v>
      </c>
      <c r="F30" s="57">
        <f>IF(ISBLANK(MEMBERS[[#This Row],[ServiceEndDate]]),0,IF(MEMBERS[[#This Row],[ServiceStartDate]]&lt;MEMBERS[[#This Row],[ServiceEndDate]],0,1))</f>
        <v>0</v>
      </c>
      <c r="G30" s="57" cm="1">
        <f t="array" aca="1" ref="G30" ca="1">IF(CELL("format",MEMBERS[[#This Row],[ServiceStartDate]])="D1",0,1)+IF(CELL("format",MEMBERS[[#This Row],[ServiceEndDate]])="D1",0,1)</f>
        <v>0</v>
      </c>
      <c r="H3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0" s="57">
        <f>IF(LEN(MEMBERS[[#This Row],[StaffMemberCode]])&lt;100,0,1)</f>
        <v>0</v>
      </c>
      <c r="J30" s="57">
        <f>IF(LEN(MEMBERS[[#This Row],[Title]])&lt;100,0,1)</f>
        <v>0</v>
      </c>
      <c r="K30" s="57">
        <f>COUNTBLANK(MEMBERS[[#This Row],[StaffMemberCode]:[ServiceStartDate]])+COUNTBLANK(MEMBERS[[#This Row],[Apprenticeship]]:MEMBERS[[#This Row],[StaffMemberEnabled]])+COUNTBLANK(MEMBERS[[#This Row],[GenderCode]]:MEMBERS[[#This Row],[Casual]])</f>
        <v>0</v>
      </c>
      <c r="L30" s="57">
        <f>IF(SUBSTITUTE(TEXT(MEMBERS[[#This Row],[StaffMemberCode]],10)," ","")=TEXT(MEMBERS[[#This Row],[StaffMemberCode]],10),0,1)</f>
        <v>0</v>
      </c>
      <c r="M30" s="57">
        <f ca="1">SUM(MEMBERS[[#This Row],[Duplicate NameService Start]:[Space in Code]])</f>
        <v>0</v>
      </c>
      <c r="O30" s="15">
        <v>10010282</v>
      </c>
      <c r="P30" s="15" t="s">
        <v>3949</v>
      </c>
      <c r="Q30" s="15" t="s">
        <v>3899</v>
      </c>
      <c r="R30" s="133" t="str">
        <f>MEMBERS[[#This Row],[FirstName]]&amp;" "&amp;MEMBERS[[#This Row],[LastName]]</f>
        <v>Amanda Fletcher</v>
      </c>
      <c r="S30" s="21">
        <v>44704</v>
      </c>
      <c r="U30" s="21">
        <v>26304</v>
      </c>
      <c r="V30" s="138" t="b">
        <v>0</v>
      </c>
      <c r="W30" t="b">
        <v>0</v>
      </c>
      <c r="X30" t="b">
        <v>0</v>
      </c>
      <c r="Y30" t="s">
        <v>2126</v>
      </c>
      <c r="Z30" t="b">
        <v>1</v>
      </c>
      <c r="AB30" t="s">
        <v>1571</v>
      </c>
      <c r="AC30" t="b">
        <v>0</v>
      </c>
    </row>
    <row r="31" spans="1:29" x14ac:dyDescent="0.3">
      <c r="A31" s="57" t="str">
        <f>MEMBERS[[#This Row],[Title]]&amp;MEMBERS[[#This Row],[ServiceStartDate]]</f>
        <v>Amelia Dean45170</v>
      </c>
      <c r="B31" s="57">
        <f>IF(COUNTIF(MEMBERS[NameServiceStart],MEMBERS[[#This Row],[NameServiceStart]])=1,0,1)</f>
        <v>0</v>
      </c>
      <c r="C31" s="57">
        <f>IF(COUNTIF(MEMBERS[StaffMemberCode],MEMBERS[[#This Row],[StaffMemberCode]])=1,0,1)</f>
        <v>0</v>
      </c>
      <c r="D31" s="57">
        <f>IF(ISBLANK(MEMBERS[[#This Row],[PayrollLocation]]),0,IF(COUNTIF(SCHOOLS[SchoolCode],MEMBERS[[#This Row],[PayrollLocation]])=1,0,1))</f>
        <v>0</v>
      </c>
      <c r="E31" s="57">
        <f>IF(MEMBERS[[#This Row],[AvailableToAllSchools]]=FALSE,IF(ISBLANK(MEMBERS[[#This Row],[SchoolCodes]]),1,0),IF(MEMBERS[[#This Row],[AvailableToAllSchools]]=TRUE,IF(ISBLANK(MEMBERS[[#This Row],[SchoolCodes]]),0,1)))</f>
        <v>0</v>
      </c>
      <c r="F31" s="57">
        <f>IF(ISBLANK(MEMBERS[[#This Row],[ServiceEndDate]]),0,IF(MEMBERS[[#This Row],[ServiceStartDate]]&lt;MEMBERS[[#This Row],[ServiceEndDate]],0,1))</f>
        <v>0</v>
      </c>
      <c r="G31" s="57" cm="1">
        <f t="array" aca="1" ref="G31" ca="1">IF(CELL("format",MEMBERS[[#This Row],[ServiceStartDate]])="D1",0,1)+IF(CELL("format",MEMBERS[[#This Row],[ServiceEndDate]])="D1",0,1)</f>
        <v>0</v>
      </c>
      <c r="H3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1" s="57">
        <f>IF(LEN(MEMBERS[[#This Row],[StaffMemberCode]])&lt;100,0,1)</f>
        <v>0</v>
      </c>
      <c r="J31" s="57">
        <f>IF(LEN(MEMBERS[[#This Row],[Title]])&lt;100,0,1)</f>
        <v>0</v>
      </c>
      <c r="K31" s="57">
        <f>COUNTBLANK(MEMBERS[[#This Row],[StaffMemberCode]:[ServiceStartDate]])+COUNTBLANK(MEMBERS[[#This Row],[Apprenticeship]]:MEMBERS[[#This Row],[StaffMemberEnabled]])+COUNTBLANK(MEMBERS[[#This Row],[GenderCode]]:MEMBERS[[#This Row],[Casual]])</f>
        <v>0</v>
      </c>
      <c r="L31" s="57">
        <f>IF(SUBSTITUTE(TEXT(MEMBERS[[#This Row],[StaffMemberCode]],10)," ","")=TEXT(MEMBERS[[#This Row],[StaffMemberCode]],10),0,1)</f>
        <v>0</v>
      </c>
      <c r="M31" s="57">
        <f ca="1">SUM(MEMBERS[[#This Row],[Duplicate NameService Start]:[Space in Code]])</f>
        <v>0</v>
      </c>
      <c r="O31" s="15">
        <v>10012806</v>
      </c>
      <c r="P31" s="15" t="s">
        <v>3950</v>
      </c>
      <c r="Q31" s="15" t="s">
        <v>3237</v>
      </c>
      <c r="R31" s="133" t="str">
        <f>MEMBERS[[#This Row],[FirstName]]&amp;" "&amp;MEMBERS[[#This Row],[LastName]]</f>
        <v>Amelia Dean</v>
      </c>
      <c r="S31" s="21">
        <v>45170</v>
      </c>
      <c r="U31" s="21">
        <v>35474</v>
      </c>
      <c r="V31" s="138" t="b">
        <v>0</v>
      </c>
      <c r="W31" t="b">
        <v>0</v>
      </c>
      <c r="X31" t="b">
        <v>0</v>
      </c>
      <c r="Y31" t="s">
        <v>2126</v>
      </c>
      <c r="Z31" t="b">
        <v>1</v>
      </c>
      <c r="AB31" t="s">
        <v>1571</v>
      </c>
      <c r="AC31" t="b">
        <v>0</v>
      </c>
    </row>
    <row r="32" spans="1:29" x14ac:dyDescent="0.3">
      <c r="A32" s="57" t="str">
        <f>MEMBERS[[#This Row],[Title]]&amp;MEMBERS[[#This Row],[ServiceStartDate]]</f>
        <v>Amelia Downing44075</v>
      </c>
      <c r="B32" s="57">
        <f>IF(COUNTIF(MEMBERS[NameServiceStart],MEMBERS[[#This Row],[NameServiceStart]])=1,0,1)</f>
        <v>0</v>
      </c>
      <c r="C32" s="57">
        <f>IF(COUNTIF(MEMBERS[StaffMemberCode],MEMBERS[[#This Row],[StaffMemberCode]])=1,0,1)</f>
        <v>0</v>
      </c>
      <c r="D32" s="57">
        <f>IF(ISBLANK(MEMBERS[[#This Row],[PayrollLocation]]),0,IF(COUNTIF(SCHOOLS[SchoolCode],MEMBERS[[#This Row],[PayrollLocation]])=1,0,1))</f>
        <v>0</v>
      </c>
      <c r="E32" s="57">
        <f>IF(MEMBERS[[#This Row],[AvailableToAllSchools]]=FALSE,IF(ISBLANK(MEMBERS[[#This Row],[SchoolCodes]]),1,0),IF(MEMBERS[[#This Row],[AvailableToAllSchools]]=TRUE,IF(ISBLANK(MEMBERS[[#This Row],[SchoolCodes]]),0,1)))</f>
        <v>0</v>
      </c>
      <c r="F32" s="57">
        <f>IF(ISBLANK(MEMBERS[[#This Row],[ServiceEndDate]]),0,IF(MEMBERS[[#This Row],[ServiceStartDate]]&lt;MEMBERS[[#This Row],[ServiceEndDate]],0,1))</f>
        <v>0</v>
      </c>
      <c r="G32" s="57" cm="1">
        <f t="array" aca="1" ref="G32" ca="1">IF(CELL("format",MEMBERS[[#This Row],[ServiceStartDate]])="D1",0,1)+IF(CELL("format",MEMBERS[[#This Row],[ServiceEndDate]])="D1",0,1)</f>
        <v>0</v>
      </c>
      <c r="H3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2" s="57">
        <f>IF(LEN(MEMBERS[[#This Row],[StaffMemberCode]])&lt;100,0,1)</f>
        <v>0</v>
      </c>
      <c r="J32" s="57">
        <f>IF(LEN(MEMBERS[[#This Row],[Title]])&lt;100,0,1)</f>
        <v>0</v>
      </c>
      <c r="K32" s="57">
        <f>COUNTBLANK(MEMBERS[[#This Row],[StaffMemberCode]:[ServiceStartDate]])+COUNTBLANK(MEMBERS[[#This Row],[Apprenticeship]]:MEMBERS[[#This Row],[StaffMemberEnabled]])+COUNTBLANK(MEMBERS[[#This Row],[GenderCode]]:MEMBERS[[#This Row],[Casual]])</f>
        <v>0</v>
      </c>
      <c r="L32" s="57">
        <f>IF(SUBSTITUTE(TEXT(MEMBERS[[#This Row],[StaffMemberCode]],10)," ","")=TEXT(MEMBERS[[#This Row],[StaffMemberCode]],10),0,1)</f>
        <v>0</v>
      </c>
      <c r="M32" s="57">
        <f ca="1">SUM(MEMBERS[[#This Row],[Duplicate NameService Start]:[Space in Code]])</f>
        <v>0</v>
      </c>
      <c r="O32" s="15">
        <v>10016231</v>
      </c>
      <c r="P32" s="15" t="s">
        <v>3950</v>
      </c>
      <c r="Q32" s="15" t="s">
        <v>4024</v>
      </c>
      <c r="R32" s="133" t="str">
        <f>MEMBERS[[#This Row],[FirstName]]&amp;" "&amp;MEMBERS[[#This Row],[LastName]]</f>
        <v>Amelia Downing</v>
      </c>
      <c r="S32" s="21">
        <v>44075</v>
      </c>
      <c r="U32" s="21">
        <v>35720</v>
      </c>
      <c r="V32" s="138" t="b">
        <v>0</v>
      </c>
      <c r="W32" t="b">
        <v>0</v>
      </c>
      <c r="X32" t="b">
        <v>0</v>
      </c>
      <c r="Y32" t="s">
        <v>2126</v>
      </c>
      <c r="Z32" t="b">
        <v>1</v>
      </c>
      <c r="AB32" t="s">
        <v>1571</v>
      </c>
      <c r="AC32" t="b">
        <v>0</v>
      </c>
    </row>
    <row r="33" spans="1:29" x14ac:dyDescent="0.3">
      <c r="A33" s="57" t="str">
        <f>MEMBERS[[#This Row],[Title]]&amp;MEMBERS[[#This Row],[ServiceStartDate]]</f>
        <v>Amelie Bennett45901</v>
      </c>
      <c r="B33" s="57">
        <f>IF(COUNTIF(MEMBERS[NameServiceStart],MEMBERS[[#This Row],[NameServiceStart]])=1,0,1)</f>
        <v>0</v>
      </c>
      <c r="C33" s="57">
        <f>IF(COUNTIF(MEMBERS[StaffMemberCode],MEMBERS[[#This Row],[StaffMemberCode]])=1,0,1)</f>
        <v>0</v>
      </c>
      <c r="D33" s="57">
        <f>IF(ISBLANK(MEMBERS[[#This Row],[PayrollLocation]]),0,IF(COUNTIF(SCHOOLS[SchoolCode],MEMBERS[[#This Row],[PayrollLocation]])=1,0,1))</f>
        <v>0</v>
      </c>
      <c r="E33" s="57">
        <f>IF(MEMBERS[[#This Row],[AvailableToAllSchools]]=FALSE,IF(ISBLANK(MEMBERS[[#This Row],[SchoolCodes]]),1,0),IF(MEMBERS[[#This Row],[AvailableToAllSchools]]=TRUE,IF(ISBLANK(MEMBERS[[#This Row],[SchoolCodes]]),0,1)))</f>
        <v>0</v>
      </c>
      <c r="F33" s="57">
        <f>IF(ISBLANK(MEMBERS[[#This Row],[ServiceEndDate]]),0,IF(MEMBERS[[#This Row],[ServiceStartDate]]&lt;MEMBERS[[#This Row],[ServiceEndDate]],0,1))</f>
        <v>0</v>
      </c>
      <c r="G33" s="57" cm="1">
        <f t="array" aca="1" ref="G33" ca="1">IF(CELL("format",MEMBERS[[#This Row],[ServiceStartDate]])="D1",0,1)+IF(CELL("format",MEMBERS[[#This Row],[ServiceEndDate]])="D1",0,1)</f>
        <v>0</v>
      </c>
      <c r="H3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3" s="57">
        <f>IF(LEN(MEMBERS[[#This Row],[StaffMemberCode]])&lt;100,0,1)</f>
        <v>0</v>
      </c>
      <c r="J33" s="57">
        <f>IF(LEN(MEMBERS[[#This Row],[Title]])&lt;100,0,1)</f>
        <v>0</v>
      </c>
      <c r="K33" s="57">
        <f>COUNTBLANK(MEMBERS[[#This Row],[StaffMemberCode]:[ServiceStartDate]])+COUNTBLANK(MEMBERS[[#This Row],[Apprenticeship]]:MEMBERS[[#This Row],[StaffMemberEnabled]])+COUNTBLANK(MEMBERS[[#This Row],[GenderCode]]:MEMBERS[[#This Row],[Casual]])</f>
        <v>0</v>
      </c>
      <c r="L33" s="57">
        <f>IF(SUBSTITUTE(TEXT(MEMBERS[[#This Row],[StaffMemberCode]],10)," ","")=TEXT(MEMBERS[[#This Row],[StaffMemberCode]],10),0,1)</f>
        <v>0</v>
      </c>
      <c r="M33" s="57">
        <f ca="1">SUM(MEMBERS[[#This Row],[Duplicate NameService Start]:[Space in Code]])</f>
        <v>0</v>
      </c>
      <c r="O33" s="15">
        <v>91850045</v>
      </c>
      <c r="P33" s="15" t="s">
        <v>3174</v>
      </c>
      <c r="Q33" s="15" t="s">
        <v>3478</v>
      </c>
      <c r="R33" s="133" t="str">
        <f>MEMBERS[[#This Row],[FirstName]]&amp;" "&amp;MEMBERS[[#This Row],[LastName]]</f>
        <v>Amelie Bennett</v>
      </c>
      <c r="S33" s="21">
        <v>45901</v>
      </c>
      <c r="U33" s="21">
        <v>38180</v>
      </c>
      <c r="V33" t="b">
        <v>0</v>
      </c>
      <c r="W33" t="b">
        <v>0</v>
      </c>
      <c r="X33" t="b">
        <v>0</v>
      </c>
      <c r="Y33" t="s">
        <v>2082</v>
      </c>
      <c r="Z33" t="b">
        <v>1</v>
      </c>
      <c r="AB33" t="s">
        <v>1571</v>
      </c>
      <c r="AC33" t="b">
        <v>0</v>
      </c>
    </row>
    <row r="34" spans="1:29" x14ac:dyDescent="0.3">
      <c r="A34" s="57" t="str">
        <f>MEMBERS[[#This Row],[Title]]&amp;MEMBERS[[#This Row],[ServiceStartDate]]</f>
        <v>Amy Eastwood45460</v>
      </c>
      <c r="B34" s="57">
        <f>IF(COUNTIF(MEMBERS[NameServiceStart],MEMBERS[[#This Row],[NameServiceStart]])=1,0,1)</f>
        <v>0</v>
      </c>
      <c r="C34" s="57">
        <f>IF(COUNTIF(MEMBERS[StaffMemberCode],MEMBERS[[#This Row],[StaffMemberCode]])=1,0,1)</f>
        <v>0</v>
      </c>
      <c r="D34" s="57">
        <f>IF(ISBLANK(MEMBERS[[#This Row],[PayrollLocation]]),0,IF(COUNTIF(SCHOOLS[SchoolCode],MEMBERS[[#This Row],[PayrollLocation]])=1,0,1))</f>
        <v>0</v>
      </c>
      <c r="E34" s="57">
        <f>IF(MEMBERS[[#This Row],[AvailableToAllSchools]]=FALSE,IF(ISBLANK(MEMBERS[[#This Row],[SchoolCodes]]),1,0),IF(MEMBERS[[#This Row],[AvailableToAllSchools]]=TRUE,IF(ISBLANK(MEMBERS[[#This Row],[SchoolCodes]]),0,1)))</f>
        <v>0</v>
      </c>
      <c r="F34" s="57">
        <f>IF(ISBLANK(MEMBERS[[#This Row],[ServiceEndDate]]),0,IF(MEMBERS[[#This Row],[ServiceStartDate]]&lt;MEMBERS[[#This Row],[ServiceEndDate]],0,1))</f>
        <v>0</v>
      </c>
      <c r="G34" s="57" cm="1">
        <f t="array" aca="1" ref="G34" ca="1">IF(CELL("format",MEMBERS[[#This Row],[ServiceStartDate]])="D1",0,1)+IF(CELL("format",MEMBERS[[#This Row],[ServiceEndDate]])="D1",0,1)</f>
        <v>0</v>
      </c>
      <c r="H3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4" s="57">
        <f>IF(LEN(MEMBERS[[#This Row],[StaffMemberCode]])&lt;100,0,1)</f>
        <v>0</v>
      </c>
      <c r="J34" s="57">
        <f>IF(LEN(MEMBERS[[#This Row],[Title]])&lt;100,0,1)</f>
        <v>0</v>
      </c>
      <c r="K34" s="57">
        <f>COUNTBLANK(MEMBERS[[#This Row],[StaffMemberCode]:[ServiceStartDate]])+COUNTBLANK(MEMBERS[[#This Row],[Apprenticeship]]:MEMBERS[[#This Row],[StaffMemberEnabled]])+COUNTBLANK(MEMBERS[[#This Row],[GenderCode]]:MEMBERS[[#This Row],[Casual]])</f>
        <v>0</v>
      </c>
      <c r="L34" s="57">
        <f>IF(SUBSTITUTE(TEXT(MEMBERS[[#This Row],[StaffMemberCode]],10)," ","")=TEXT(MEMBERS[[#This Row],[StaffMemberCode]],10),0,1)</f>
        <v>0</v>
      </c>
      <c r="M34" s="57">
        <f ca="1">SUM(MEMBERS[[#This Row],[Duplicate NameService Start]:[Space in Code]])</f>
        <v>0</v>
      </c>
      <c r="O34" s="15">
        <v>91323714</v>
      </c>
      <c r="P34" s="15" t="s">
        <v>3175</v>
      </c>
      <c r="Q34" s="15" t="s">
        <v>3479</v>
      </c>
      <c r="R34" s="133" t="str">
        <f>MEMBERS[[#This Row],[FirstName]]&amp;" "&amp;MEMBERS[[#This Row],[LastName]]</f>
        <v>Amy Eastwood</v>
      </c>
      <c r="S34" s="21">
        <v>45460</v>
      </c>
      <c r="U34" s="21">
        <v>31327</v>
      </c>
      <c r="V34" t="b">
        <v>0</v>
      </c>
      <c r="W34" t="b">
        <v>0</v>
      </c>
      <c r="X34" t="b">
        <v>0</v>
      </c>
      <c r="Y34" t="s">
        <v>2094</v>
      </c>
      <c r="Z34" t="b">
        <v>1</v>
      </c>
      <c r="AB34" t="s">
        <v>1571</v>
      </c>
      <c r="AC34" t="b">
        <v>0</v>
      </c>
    </row>
    <row r="35" spans="1:29" x14ac:dyDescent="0.3">
      <c r="A35" s="57" t="str">
        <f>MEMBERS[[#This Row],[Title]]&amp;MEMBERS[[#This Row],[ServiceStartDate]]</f>
        <v>Amy Katterloher45292</v>
      </c>
      <c r="B35" s="57">
        <f>IF(COUNTIF(MEMBERS[NameServiceStart],MEMBERS[[#This Row],[NameServiceStart]])=1,0,1)</f>
        <v>0</v>
      </c>
      <c r="C35" s="57">
        <f>IF(COUNTIF(MEMBERS[StaffMemberCode],MEMBERS[[#This Row],[StaffMemberCode]])=1,0,1)</f>
        <v>0</v>
      </c>
      <c r="D35" s="57">
        <f>IF(ISBLANK(MEMBERS[[#This Row],[PayrollLocation]]),0,IF(COUNTIF(SCHOOLS[SchoolCode],MEMBERS[[#This Row],[PayrollLocation]])=1,0,1))</f>
        <v>0</v>
      </c>
      <c r="E35" s="57">
        <f>IF(MEMBERS[[#This Row],[AvailableToAllSchools]]=FALSE,IF(ISBLANK(MEMBERS[[#This Row],[SchoolCodes]]),1,0),IF(MEMBERS[[#This Row],[AvailableToAllSchools]]=TRUE,IF(ISBLANK(MEMBERS[[#This Row],[SchoolCodes]]),0,1)))</f>
        <v>0</v>
      </c>
      <c r="F35" s="57">
        <f>IF(ISBLANK(MEMBERS[[#This Row],[ServiceEndDate]]),0,IF(MEMBERS[[#This Row],[ServiceStartDate]]&lt;MEMBERS[[#This Row],[ServiceEndDate]],0,1))</f>
        <v>0</v>
      </c>
      <c r="G35" s="57" cm="1">
        <f t="array" aca="1" ref="G35" ca="1">IF(CELL("format",MEMBERS[[#This Row],[ServiceStartDate]])="D1",0,1)+IF(CELL("format",MEMBERS[[#This Row],[ServiceEndDate]])="D1",0,1)</f>
        <v>0</v>
      </c>
      <c r="H3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5" s="57">
        <f>IF(LEN(MEMBERS[[#This Row],[StaffMemberCode]])&lt;100,0,1)</f>
        <v>0</v>
      </c>
      <c r="J35" s="57">
        <f>IF(LEN(MEMBERS[[#This Row],[Title]])&lt;100,0,1)</f>
        <v>0</v>
      </c>
      <c r="K35" s="57">
        <f>COUNTBLANK(MEMBERS[[#This Row],[StaffMemberCode]:[ServiceStartDate]])+COUNTBLANK(MEMBERS[[#This Row],[Apprenticeship]]:MEMBERS[[#This Row],[StaffMemberEnabled]])+COUNTBLANK(MEMBERS[[#This Row],[GenderCode]]:MEMBERS[[#This Row],[Casual]])</f>
        <v>0</v>
      </c>
      <c r="L35" s="57">
        <f>IF(SUBSTITUTE(TEXT(MEMBERS[[#This Row],[StaffMemberCode]],10)," ","")=TEXT(MEMBERS[[#This Row],[StaffMemberCode]],10),0,1)</f>
        <v>0</v>
      </c>
      <c r="M35" s="57">
        <f ca="1">SUM(MEMBERS[[#This Row],[Duplicate NameService Start]:[Space in Code]])</f>
        <v>0</v>
      </c>
      <c r="O35" s="15">
        <v>91075778</v>
      </c>
      <c r="P35" s="15" t="s">
        <v>3175</v>
      </c>
      <c r="Q35" s="15" t="s">
        <v>3480</v>
      </c>
      <c r="R35" s="133" t="str">
        <f>MEMBERS[[#This Row],[FirstName]]&amp;" "&amp;MEMBERS[[#This Row],[LastName]]</f>
        <v>Amy Katterloher</v>
      </c>
      <c r="S35" s="21">
        <v>45292</v>
      </c>
      <c r="U35" s="21">
        <v>36193</v>
      </c>
      <c r="V35" t="b">
        <v>0</v>
      </c>
      <c r="W35" t="b">
        <v>0</v>
      </c>
      <c r="X35" t="b">
        <v>0</v>
      </c>
      <c r="Y35" t="s">
        <v>2200</v>
      </c>
      <c r="Z35" t="b">
        <v>1</v>
      </c>
      <c r="AB35" t="s">
        <v>1571</v>
      </c>
      <c r="AC35" t="b">
        <v>0</v>
      </c>
    </row>
    <row r="36" spans="1:29" x14ac:dyDescent="0.3">
      <c r="A36" s="57" t="str">
        <f>MEMBERS[[#This Row],[Title]]&amp;MEMBERS[[#This Row],[ServiceStartDate]]</f>
        <v>Andrea Bargery37865</v>
      </c>
      <c r="B36" s="57">
        <f>IF(COUNTIF(MEMBERS[NameServiceStart],MEMBERS[[#This Row],[NameServiceStart]])=1,0,1)</f>
        <v>0</v>
      </c>
      <c r="C36" s="57">
        <f>IF(COUNTIF(MEMBERS[StaffMemberCode],MEMBERS[[#This Row],[StaffMemberCode]])=1,0,1)</f>
        <v>0</v>
      </c>
      <c r="D36" s="57">
        <f>IF(ISBLANK(MEMBERS[[#This Row],[PayrollLocation]]),0,IF(COUNTIF(SCHOOLS[SchoolCode],MEMBERS[[#This Row],[PayrollLocation]])=1,0,1))</f>
        <v>0</v>
      </c>
      <c r="E36" s="57">
        <f>IF(MEMBERS[[#This Row],[AvailableToAllSchools]]=FALSE,IF(ISBLANK(MEMBERS[[#This Row],[SchoolCodes]]),1,0),IF(MEMBERS[[#This Row],[AvailableToAllSchools]]=TRUE,IF(ISBLANK(MEMBERS[[#This Row],[SchoolCodes]]),0,1)))</f>
        <v>0</v>
      </c>
      <c r="F36" s="57">
        <f>IF(ISBLANK(MEMBERS[[#This Row],[ServiceEndDate]]),0,IF(MEMBERS[[#This Row],[ServiceStartDate]]&lt;MEMBERS[[#This Row],[ServiceEndDate]],0,1))</f>
        <v>0</v>
      </c>
      <c r="G36" s="57" cm="1">
        <f t="array" aca="1" ref="G36" ca="1">IF(CELL("format",MEMBERS[[#This Row],[ServiceStartDate]])="D1",0,1)+IF(CELL("format",MEMBERS[[#This Row],[ServiceEndDate]])="D1",0,1)</f>
        <v>0</v>
      </c>
      <c r="H3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6" s="57">
        <f>IF(LEN(MEMBERS[[#This Row],[StaffMemberCode]])&lt;100,0,1)</f>
        <v>0</v>
      </c>
      <c r="J36" s="57">
        <f>IF(LEN(MEMBERS[[#This Row],[Title]])&lt;100,0,1)</f>
        <v>0</v>
      </c>
      <c r="K36" s="57">
        <f>COUNTBLANK(MEMBERS[[#This Row],[StaffMemberCode]:[ServiceStartDate]])+COUNTBLANK(MEMBERS[[#This Row],[Apprenticeship]]:MEMBERS[[#This Row],[StaffMemberEnabled]])+COUNTBLANK(MEMBERS[[#This Row],[GenderCode]]:MEMBERS[[#This Row],[Casual]])</f>
        <v>0</v>
      </c>
      <c r="L36" s="57">
        <f>IF(SUBSTITUTE(TEXT(MEMBERS[[#This Row],[StaffMemberCode]],10)," ","")=TEXT(MEMBERS[[#This Row],[StaffMemberCode]],10),0,1)</f>
        <v>0</v>
      </c>
      <c r="M36" s="57">
        <f ca="1">SUM(MEMBERS[[#This Row],[Duplicate NameService Start]:[Space in Code]])</f>
        <v>0</v>
      </c>
      <c r="O36" s="15">
        <v>10005296</v>
      </c>
      <c r="P36" s="15" t="s">
        <v>3176</v>
      </c>
      <c r="Q36" s="15" t="s">
        <v>4025</v>
      </c>
      <c r="R36" s="133" t="str">
        <f>MEMBERS[[#This Row],[FirstName]]&amp;" "&amp;MEMBERS[[#This Row],[LastName]]</f>
        <v>Andrea Bargery</v>
      </c>
      <c r="S36" s="21">
        <v>37865</v>
      </c>
      <c r="U36" s="21">
        <v>26163</v>
      </c>
      <c r="V36" s="138" t="b">
        <v>0</v>
      </c>
      <c r="W36" t="b">
        <v>0</v>
      </c>
      <c r="X36" t="b">
        <v>0</v>
      </c>
      <c r="Y36" t="s">
        <v>2126</v>
      </c>
      <c r="Z36" t="b">
        <v>1</v>
      </c>
      <c r="AB36" t="s">
        <v>1571</v>
      </c>
      <c r="AC36" t="b">
        <v>0</v>
      </c>
    </row>
    <row r="37" spans="1:29" x14ac:dyDescent="0.3">
      <c r="A37" s="57" t="str">
        <f>MEMBERS[[#This Row],[Title]]&amp;MEMBERS[[#This Row],[ServiceStartDate]]</f>
        <v>Andrea Chatterley44570</v>
      </c>
      <c r="B37" s="57">
        <f>IF(COUNTIF(MEMBERS[NameServiceStart],MEMBERS[[#This Row],[NameServiceStart]])=1,0,1)</f>
        <v>0</v>
      </c>
      <c r="C37" s="57">
        <f>IF(COUNTIF(MEMBERS[StaffMemberCode],MEMBERS[[#This Row],[StaffMemberCode]])=1,0,1)</f>
        <v>0</v>
      </c>
      <c r="D37" s="57">
        <f>IF(ISBLANK(MEMBERS[[#This Row],[PayrollLocation]]),0,IF(COUNTIF(SCHOOLS[SchoolCode],MEMBERS[[#This Row],[PayrollLocation]])=1,0,1))</f>
        <v>0</v>
      </c>
      <c r="E37" s="57">
        <f>IF(MEMBERS[[#This Row],[AvailableToAllSchools]]=FALSE,IF(ISBLANK(MEMBERS[[#This Row],[SchoolCodes]]),1,0),IF(MEMBERS[[#This Row],[AvailableToAllSchools]]=TRUE,IF(ISBLANK(MEMBERS[[#This Row],[SchoolCodes]]),0,1)))</f>
        <v>0</v>
      </c>
      <c r="F37" s="57">
        <f>IF(ISBLANK(MEMBERS[[#This Row],[ServiceEndDate]]),0,IF(MEMBERS[[#This Row],[ServiceStartDate]]&lt;MEMBERS[[#This Row],[ServiceEndDate]],0,1))</f>
        <v>0</v>
      </c>
      <c r="G37" s="57" cm="1">
        <f t="array" aca="1" ref="G37" ca="1">IF(CELL("format",MEMBERS[[#This Row],[ServiceStartDate]])="D1",0,1)+IF(CELL("format",MEMBERS[[#This Row],[ServiceEndDate]])="D1",0,1)</f>
        <v>0</v>
      </c>
      <c r="H3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7" s="57">
        <f>IF(LEN(MEMBERS[[#This Row],[StaffMemberCode]])&lt;100,0,1)</f>
        <v>0</v>
      </c>
      <c r="J37" s="57">
        <f>IF(LEN(MEMBERS[[#This Row],[Title]])&lt;100,0,1)</f>
        <v>0</v>
      </c>
      <c r="K37" s="57">
        <f>COUNTBLANK(MEMBERS[[#This Row],[StaffMemberCode]:[ServiceStartDate]])+COUNTBLANK(MEMBERS[[#This Row],[Apprenticeship]]:MEMBERS[[#This Row],[StaffMemberEnabled]])+COUNTBLANK(MEMBERS[[#This Row],[GenderCode]]:MEMBERS[[#This Row],[Casual]])</f>
        <v>0</v>
      </c>
      <c r="L37" s="57">
        <f>IF(SUBSTITUTE(TEXT(MEMBERS[[#This Row],[StaffMemberCode]],10)," ","")=TEXT(MEMBERS[[#This Row],[StaffMemberCode]],10),0,1)</f>
        <v>0</v>
      </c>
      <c r="M37" s="57">
        <f ca="1">SUM(MEMBERS[[#This Row],[Duplicate NameService Start]:[Space in Code]])</f>
        <v>0</v>
      </c>
      <c r="O37" s="15">
        <v>91073747</v>
      </c>
      <c r="P37" s="15" t="s">
        <v>3176</v>
      </c>
      <c r="Q37" s="15" t="s">
        <v>3481</v>
      </c>
      <c r="R37" s="133" t="str">
        <f>MEMBERS[[#This Row],[FirstName]]&amp;" "&amp;MEMBERS[[#This Row],[LastName]]</f>
        <v>Andrea Chatterley</v>
      </c>
      <c r="S37" s="21">
        <v>44570</v>
      </c>
      <c r="U37" s="21">
        <v>22469</v>
      </c>
      <c r="V37" t="b">
        <v>0</v>
      </c>
      <c r="W37" t="b">
        <v>0</v>
      </c>
      <c r="X37" t="b">
        <v>0</v>
      </c>
      <c r="Y37" t="s">
        <v>2082</v>
      </c>
      <c r="Z37" t="b">
        <v>1</v>
      </c>
      <c r="AB37" t="s">
        <v>1571</v>
      </c>
      <c r="AC37" t="b">
        <v>1</v>
      </c>
    </row>
    <row r="38" spans="1:29" x14ac:dyDescent="0.3">
      <c r="A38" s="57" t="str">
        <f>MEMBERS[[#This Row],[Title]]&amp;MEMBERS[[#This Row],[ServiceStartDate]]</f>
        <v>Andrea Flanders38383</v>
      </c>
      <c r="B38" s="57">
        <f>IF(COUNTIF(MEMBERS[NameServiceStart],MEMBERS[[#This Row],[NameServiceStart]])=1,0,1)</f>
        <v>0</v>
      </c>
      <c r="C38" s="57">
        <f>IF(COUNTIF(MEMBERS[StaffMemberCode],MEMBERS[[#This Row],[StaffMemberCode]])=1,0,1)</f>
        <v>0</v>
      </c>
      <c r="D38" s="57">
        <f>IF(ISBLANK(MEMBERS[[#This Row],[PayrollLocation]]),0,IF(COUNTIF(SCHOOLS[SchoolCode],MEMBERS[[#This Row],[PayrollLocation]])=1,0,1))</f>
        <v>0</v>
      </c>
      <c r="E38" s="57">
        <f>IF(MEMBERS[[#This Row],[AvailableToAllSchools]]=FALSE,IF(ISBLANK(MEMBERS[[#This Row],[SchoolCodes]]),1,0),IF(MEMBERS[[#This Row],[AvailableToAllSchools]]=TRUE,IF(ISBLANK(MEMBERS[[#This Row],[SchoolCodes]]),0,1)))</f>
        <v>0</v>
      </c>
      <c r="F38" s="57">
        <f>IF(ISBLANK(MEMBERS[[#This Row],[ServiceEndDate]]),0,IF(MEMBERS[[#This Row],[ServiceStartDate]]&lt;MEMBERS[[#This Row],[ServiceEndDate]],0,1))</f>
        <v>0</v>
      </c>
      <c r="G38" s="57" cm="1">
        <f t="array" aca="1" ref="G38" ca="1">IF(CELL("format",MEMBERS[[#This Row],[ServiceStartDate]])="D1",0,1)+IF(CELL("format",MEMBERS[[#This Row],[ServiceEndDate]])="D1",0,1)</f>
        <v>0</v>
      </c>
      <c r="H3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8" s="57">
        <f>IF(LEN(MEMBERS[[#This Row],[StaffMemberCode]])&lt;100,0,1)</f>
        <v>0</v>
      </c>
      <c r="J38" s="57">
        <f>IF(LEN(MEMBERS[[#This Row],[Title]])&lt;100,0,1)</f>
        <v>0</v>
      </c>
      <c r="K38" s="57">
        <f>COUNTBLANK(MEMBERS[[#This Row],[StaffMemberCode]:[ServiceStartDate]])+COUNTBLANK(MEMBERS[[#This Row],[Apprenticeship]]:MEMBERS[[#This Row],[StaffMemberEnabled]])+COUNTBLANK(MEMBERS[[#This Row],[GenderCode]]:MEMBERS[[#This Row],[Casual]])</f>
        <v>0</v>
      </c>
      <c r="L38" s="57">
        <f>IF(SUBSTITUTE(TEXT(MEMBERS[[#This Row],[StaffMemberCode]],10)," ","")=TEXT(MEMBERS[[#This Row],[StaffMemberCode]],10),0,1)</f>
        <v>0</v>
      </c>
      <c r="M38" s="57">
        <f ca="1">SUM(MEMBERS[[#This Row],[Duplicate NameService Start]:[Space in Code]])</f>
        <v>0</v>
      </c>
      <c r="O38" s="15">
        <v>91073876</v>
      </c>
      <c r="P38" s="15" t="s">
        <v>3176</v>
      </c>
      <c r="Q38" s="15" t="s">
        <v>3482</v>
      </c>
      <c r="R38" s="133" t="str">
        <f>MEMBERS[[#This Row],[FirstName]]&amp;" "&amp;MEMBERS[[#This Row],[LastName]]</f>
        <v>Andrea Flanders</v>
      </c>
      <c r="S38" s="21">
        <v>38383</v>
      </c>
      <c r="U38" s="21">
        <v>26324</v>
      </c>
      <c r="V38" t="b">
        <v>0</v>
      </c>
      <c r="W38" t="b">
        <v>0</v>
      </c>
      <c r="X38" t="b">
        <v>0</v>
      </c>
      <c r="Y38" t="s">
        <v>2266</v>
      </c>
      <c r="Z38" t="b">
        <v>1</v>
      </c>
      <c r="AB38" t="s">
        <v>1571</v>
      </c>
      <c r="AC38" t="b">
        <v>0</v>
      </c>
    </row>
    <row r="39" spans="1:29" x14ac:dyDescent="0.3">
      <c r="A39" s="57" t="str">
        <f>MEMBERS[[#This Row],[Title]]&amp;MEMBERS[[#This Row],[ServiceStartDate]]</f>
        <v>Andrea O'Neill34343</v>
      </c>
      <c r="B39" s="57">
        <f>IF(COUNTIF(MEMBERS[NameServiceStart],MEMBERS[[#This Row],[NameServiceStart]])=1,0,1)</f>
        <v>0</v>
      </c>
      <c r="C39" s="57">
        <f>IF(COUNTIF(MEMBERS[StaffMemberCode],MEMBERS[[#This Row],[StaffMemberCode]])=1,0,1)</f>
        <v>0</v>
      </c>
      <c r="D39" s="57">
        <f>IF(ISBLANK(MEMBERS[[#This Row],[PayrollLocation]]),0,IF(COUNTIF(SCHOOLS[SchoolCode],MEMBERS[[#This Row],[PayrollLocation]])=1,0,1))</f>
        <v>0</v>
      </c>
      <c r="E39" s="57">
        <f>IF(MEMBERS[[#This Row],[AvailableToAllSchools]]=FALSE,IF(ISBLANK(MEMBERS[[#This Row],[SchoolCodes]]),1,0),IF(MEMBERS[[#This Row],[AvailableToAllSchools]]=TRUE,IF(ISBLANK(MEMBERS[[#This Row],[SchoolCodes]]),0,1)))</f>
        <v>0</v>
      </c>
      <c r="F39" s="57">
        <f>IF(ISBLANK(MEMBERS[[#This Row],[ServiceEndDate]]),0,IF(MEMBERS[[#This Row],[ServiceStartDate]]&lt;MEMBERS[[#This Row],[ServiceEndDate]],0,1))</f>
        <v>0</v>
      </c>
      <c r="G39" s="57" cm="1">
        <f t="array" aca="1" ref="G39" ca="1">IF(CELL("format",MEMBERS[[#This Row],[ServiceStartDate]])="D1",0,1)+IF(CELL("format",MEMBERS[[#This Row],[ServiceEndDate]])="D1",0,1)</f>
        <v>0</v>
      </c>
      <c r="H3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9" s="57">
        <f>IF(LEN(MEMBERS[[#This Row],[StaffMemberCode]])&lt;100,0,1)</f>
        <v>0</v>
      </c>
      <c r="J39" s="57">
        <f>IF(LEN(MEMBERS[[#This Row],[Title]])&lt;100,0,1)</f>
        <v>0</v>
      </c>
      <c r="K39" s="57">
        <f>COUNTBLANK(MEMBERS[[#This Row],[StaffMemberCode]:[ServiceStartDate]])+COUNTBLANK(MEMBERS[[#This Row],[Apprenticeship]]:MEMBERS[[#This Row],[StaffMemberEnabled]])+COUNTBLANK(MEMBERS[[#This Row],[GenderCode]]:MEMBERS[[#This Row],[Casual]])</f>
        <v>0</v>
      </c>
      <c r="L39" s="57">
        <f>IF(SUBSTITUTE(TEXT(MEMBERS[[#This Row],[StaffMemberCode]],10)," ","")=TEXT(MEMBERS[[#This Row],[StaffMemberCode]],10),0,1)</f>
        <v>0</v>
      </c>
      <c r="M39" s="57">
        <f ca="1">SUM(MEMBERS[[#This Row],[Duplicate NameService Start]:[Space in Code]])</f>
        <v>0</v>
      </c>
      <c r="O39" s="15">
        <v>91073697</v>
      </c>
      <c r="P39" s="15" t="s">
        <v>3176</v>
      </c>
      <c r="Q39" s="15" t="s">
        <v>3483</v>
      </c>
      <c r="R39" s="133" t="str">
        <f>MEMBERS[[#This Row],[FirstName]]&amp;" "&amp;MEMBERS[[#This Row],[LastName]]</f>
        <v>Andrea O'Neill</v>
      </c>
      <c r="S39" s="21">
        <v>34343</v>
      </c>
      <c r="U39" s="21">
        <v>26078</v>
      </c>
      <c r="V39" t="b">
        <v>0</v>
      </c>
      <c r="W39" t="b">
        <v>0</v>
      </c>
      <c r="X39" t="b">
        <v>0</v>
      </c>
      <c r="Y39" t="s">
        <v>2082</v>
      </c>
      <c r="Z39" t="b">
        <v>1</v>
      </c>
      <c r="AB39" t="s">
        <v>1571</v>
      </c>
      <c r="AC39" t="b">
        <v>0</v>
      </c>
    </row>
    <row r="40" spans="1:29" x14ac:dyDescent="0.3">
      <c r="A40" s="57" t="str">
        <f>MEMBERS[[#This Row],[Title]]&amp;MEMBERS[[#This Row],[ServiceStartDate]]</f>
        <v>Andrea Sanders38361</v>
      </c>
      <c r="B40" s="57">
        <f>IF(COUNTIF(MEMBERS[NameServiceStart],MEMBERS[[#This Row],[NameServiceStart]])=1,0,1)</f>
        <v>0</v>
      </c>
      <c r="C40" s="57">
        <f>IF(COUNTIF(MEMBERS[StaffMemberCode],MEMBERS[[#This Row],[StaffMemberCode]])=1,0,1)</f>
        <v>0</v>
      </c>
      <c r="D40" s="57">
        <f>IF(ISBLANK(MEMBERS[[#This Row],[PayrollLocation]]),0,IF(COUNTIF(SCHOOLS[SchoolCode],MEMBERS[[#This Row],[PayrollLocation]])=1,0,1))</f>
        <v>0</v>
      </c>
      <c r="E40" s="57">
        <f>IF(MEMBERS[[#This Row],[AvailableToAllSchools]]=FALSE,IF(ISBLANK(MEMBERS[[#This Row],[SchoolCodes]]),1,0),IF(MEMBERS[[#This Row],[AvailableToAllSchools]]=TRUE,IF(ISBLANK(MEMBERS[[#This Row],[SchoolCodes]]),0,1)))</f>
        <v>0</v>
      </c>
      <c r="F40" s="57">
        <f>IF(ISBLANK(MEMBERS[[#This Row],[ServiceEndDate]]),0,IF(MEMBERS[[#This Row],[ServiceStartDate]]&lt;MEMBERS[[#This Row],[ServiceEndDate]],0,1))</f>
        <v>0</v>
      </c>
      <c r="G40" s="57" cm="1">
        <f t="array" aca="1" ref="G40" ca="1">IF(CELL("format",MEMBERS[[#This Row],[ServiceStartDate]])="D1",0,1)+IF(CELL("format",MEMBERS[[#This Row],[ServiceEndDate]])="D1",0,1)</f>
        <v>0</v>
      </c>
      <c r="H4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0" s="57">
        <f>IF(LEN(MEMBERS[[#This Row],[StaffMemberCode]])&lt;100,0,1)</f>
        <v>0</v>
      </c>
      <c r="J40" s="57">
        <f>IF(LEN(MEMBERS[[#This Row],[Title]])&lt;100,0,1)</f>
        <v>0</v>
      </c>
      <c r="K40" s="57">
        <f>COUNTBLANK(MEMBERS[[#This Row],[StaffMemberCode]:[ServiceStartDate]])+COUNTBLANK(MEMBERS[[#This Row],[Apprenticeship]]:MEMBERS[[#This Row],[StaffMemberEnabled]])+COUNTBLANK(MEMBERS[[#This Row],[GenderCode]]:MEMBERS[[#This Row],[Casual]])</f>
        <v>0</v>
      </c>
      <c r="L40" s="57">
        <f>IF(SUBSTITUTE(TEXT(MEMBERS[[#This Row],[StaffMemberCode]],10)," ","")=TEXT(MEMBERS[[#This Row],[StaffMemberCode]],10),0,1)</f>
        <v>0</v>
      </c>
      <c r="M40" s="57">
        <f ca="1">SUM(MEMBERS[[#This Row],[Duplicate NameService Start]:[Space in Code]])</f>
        <v>0</v>
      </c>
      <c r="O40" s="15">
        <v>91073465</v>
      </c>
      <c r="P40" s="15" t="s">
        <v>3176</v>
      </c>
      <c r="Q40" s="15" t="s">
        <v>3484</v>
      </c>
      <c r="R40" s="133" t="str">
        <f>MEMBERS[[#This Row],[FirstName]]&amp;" "&amp;MEMBERS[[#This Row],[LastName]]</f>
        <v>Andrea Sanders</v>
      </c>
      <c r="S40" s="21">
        <v>38361</v>
      </c>
      <c r="U40" s="21">
        <v>26248</v>
      </c>
      <c r="V40" t="b">
        <v>0</v>
      </c>
      <c r="W40" t="b">
        <v>0</v>
      </c>
      <c r="X40" t="b">
        <v>0</v>
      </c>
      <c r="Y40" t="s">
        <v>2094</v>
      </c>
      <c r="Z40" t="b">
        <v>1</v>
      </c>
      <c r="AB40" t="s">
        <v>1571</v>
      </c>
      <c r="AC40" t="b">
        <v>0</v>
      </c>
    </row>
    <row r="41" spans="1:29" x14ac:dyDescent="0.3">
      <c r="A41" s="57" t="str">
        <f>MEMBERS[[#This Row],[Title]]&amp;MEMBERS[[#This Row],[ServiceStartDate]]</f>
        <v>Andrew Brownsword38231</v>
      </c>
      <c r="B41" s="57">
        <f>IF(COUNTIF(MEMBERS[NameServiceStart],MEMBERS[[#This Row],[NameServiceStart]])=1,0,1)</f>
        <v>0</v>
      </c>
      <c r="C41" s="57">
        <f>IF(COUNTIF(MEMBERS[StaffMemberCode],MEMBERS[[#This Row],[StaffMemberCode]])=1,0,1)</f>
        <v>0</v>
      </c>
      <c r="D41" s="57">
        <f>IF(ISBLANK(MEMBERS[[#This Row],[PayrollLocation]]),0,IF(COUNTIF(SCHOOLS[SchoolCode],MEMBERS[[#This Row],[PayrollLocation]])=1,0,1))</f>
        <v>0</v>
      </c>
      <c r="E41" s="57">
        <f>IF(MEMBERS[[#This Row],[AvailableToAllSchools]]=FALSE,IF(ISBLANK(MEMBERS[[#This Row],[SchoolCodes]]),1,0),IF(MEMBERS[[#This Row],[AvailableToAllSchools]]=TRUE,IF(ISBLANK(MEMBERS[[#This Row],[SchoolCodes]]),0,1)))</f>
        <v>0</v>
      </c>
      <c r="F41" s="57">
        <f>IF(ISBLANK(MEMBERS[[#This Row],[ServiceEndDate]]),0,IF(MEMBERS[[#This Row],[ServiceStartDate]]&lt;MEMBERS[[#This Row],[ServiceEndDate]],0,1))</f>
        <v>0</v>
      </c>
      <c r="G41" s="57" cm="1">
        <f t="array" aca="1" ref="G41" ca="1">IF(CELL("format",MEMBERS[[#This Row],[ServiceStartDate]])="D1",0,1)+IF(CELL("format",MEMBERS[[#This Row],[ServiceEndDate]])="D1",0,1)</f>
        <v>0</v>
      </c>
      <c r="H4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1" s="57">
        <f>IF(LEN(MEMBERS[[#This Row],[StaffMemberCode]])&lt;100,0,1)</f>
        <v>0</v>
      </c>
      <c r="J41" s="57">
        <f>IF(LEN(MEMBERS[[#This Row],[Title]])&lt;100,0,1)</f>
        <v>0</v>
      </c>
      <c r="K41" s="57">
        <f>COUNTBLANK(MEMBERS[[#This Row],[StaffMemberCode]:[ServiceStartDate]])+COUNTBLANK(MEMBERS[[#This Row],[Apprenticeship]]:MEMBERS[[#This Row],[StaffMemberEnabled]])+COUNTBLANK(MEMBERS[[#This Row],[GenderCode]]:MEMBERS[[#This Row],[Casual]])</f>
        <v>0</v>
      </c>
      <c r="L41" s="57">
        <f>IF(SUBSTITUTE(TEXT(MEMBERS[[#This Row],[StaffMemberCode]],10)," ","")=TEXT(MEMBERS[[#This Row],[StaffMemberCode]],10),0,1)</f>
        <v>0</v>
      </c>
      <c r="M41" s="57">
        <f ca="1">SUM(MEMBERS[[#This Row],[Duplicate NameService Start]:[Space in Code]])</f>
        <v>0</v>
      </c>
      <c r="O41" s="15">
        <v>10005323</v>
      </c>
      <c r="P41" s="15" t="s">
        <v>3177</v>
      </c>
      <c r="Q41" s="15" t="s">
        <v>4026</v>
      </c>
      <c r="R41" s="133" t="str">
        <f>MEMBERS[[#This Row],[FirstName]]&amp;" "&amp;MEMBERS[[#This Row],[LastName]]</f>
        <v>Andrew Brownsword</v>
      </c>
      <c r="S41" s="21">
        <v>38231</v>
      </c>
      <c r="U41" s="21">
        <v>28757</v>
      </c>
      <c r="V41" s="138" t="b">
        <v>0</v>
      </c>
      <c r="W41" t="b">
        <v>0</v>
      </c>
      <c r="X41" t="b">
        <v>0</v>
      </c>
      <c r="Y41" t="s">
        <v>2126</v>
      </c>
      <c r="Z41" t="b">
        <v>1</v>
      </c>
      <c r="AB41" t="s">
        <v>1572</v>
      </c>
      <c r="AC41" t="b">
        <v>0</v>
      </c>
    </row>
    <row r="42" spans="1:29" x14ac:dyDescent="0.3">
      <c r="A42" s="57" t="str">
        <f>MEMBERS[[#This Row],[Title]]&amp;MEMBERS[[#This Row],[ServiceStartDate]]</f>
        <v>Andrew Evans42744</v>
      </c>
      <c r="B42" s="57">
        <f>IF(COUNTIF(MEMBERS[NameServiceStart],MEMBERS[[#This Row],[NameServiceStart]])=1,0,1)</f>
        <v>0</v>
      </c>
      <c r="C42" s="57">
        <f>IF(COUNTIF(MEMBERS[StaffMemberCode],MEMBERS[[#This Row],[StaffMemberCode]])=1,0,1)</f>
        <v>0</v>
      </c>
      <c r="D42" s="57">
        <f>IF(ISBLANK(MEMBERS[[#This Row],[PayrollLocation]]),0,IF(COUNTIF(SCHOOLS[SchoolCode],MEMBERS[[#This Row],[PayrollLocation]])=1,0,1))</f>
        <v>0</v>
      </c>
      <c r="E42" s="57">
        <f>IF(MEMBERS[[#This Row],[AvailableToAllSchools]]=FALSE,IF(ISBLANK(MEMBERS[[#This Row],[SchoolCodes]]),1,0),IF(MEMBERS[[#This Row],[AvailableToAllSchools]]=TRUE,IF(ISBLANK(MEMBERS[[#This Row],[SchoolCodes]]),0,1)))</f>
        <v>0</v>
      </c>
      <c r="F42" s="57">
        <f>IF(ISBLANK(MEMBERS[[#This Row],[ServiceEndDate]]),0,IF(MEMBERS[[#This Row],[ServiceStartDate]]&lt;MEMBERS[[#This Row],[ServiceEndDate]],0,1))</f>
        <v>0</v>
      </c>
      <c r="G42" s="57" cm="1">
        <f t="array" aca="1" ref="G42" ca="1">IF(CELL("format",MEMBERS[[#This Row],[ServiceStartDate]])="D1",0,1)+IF(CELL("format",MEMBERS[[#This Row],[ServiceEndDate]])="D1",0,1)</f>
        <v>0</v>
      </c>
      <c r="H4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2" s="57">
        <f>IF(LEN(MEMBERS[[#This Row],[StaffMemberCode]])&lt;100,0,1)</f>
        <v>0</v>
      </c>
      <c r="J42" s="57">
        <f>IF(LEN(MEMBERS[[#This Row],[Title]])&lt;100,0,1)</f>
        <v>0</v>
      </c>
      <c r="K42" s="57">
        <f>COUNTBLANK(MEMBERS[[#This Row],[StaffMemberCode]:[ServiceStartDate]])+COUNTBLANK(MEMBERS[[#This Row],[Apprenticeship]]:MEMBERS[[#This Row],[StaffMemberEnabled]])+COUNTBLANK(MEMBERS[[#This Row],[GenderCode]]:MEMBERS[[#This Row],[Casual]])</f>
        <v>0</v>
      </c>
      <c r="L42" s="57">
        <f>IF(SUBSTITUTE(TEXT(MEMBERS[[#This Row],[StaffMemberCode]],10)," ","")=TEXT(MEMBERS[[#This Row],[StaffMemberCode]],10),0,1)</f>
        <v>0</v>
      </c>
      <c r="M42" s="57">
        <f ca="1">SUM(MEMBERS[[#This Row],[Duplicate NameService Start]:[Space in Code]])</f>
        <v>0</v>
      </c>
      <c r="O42" s="15">
        <v>91073547</v>
      </c>
      <c r="P42" s="15" t="s">
        <v>3177</v>
      </c>
      <c r="Q42" s="15" t="s">
        <v>3485</v>
      </c>
      <c r="R42" s="133" t="str">
        <f>MEMBERS[[#This Row],[FirstName]]&amp;" "&amp;MEMBERS[[#This Row],[LastName]]</f>
        <v>Andrew Evans</v>
      </c>
      <c r="S42" s="21">
        <v>42744</v>
      </c>
      <c r="U42" s="21">
        <v>31175</v>
      </c>
      <c r="V42" t="b">
        <v>0</v>
      </c>
      <c r="W42" t="b">
        <v>0</v>
      </c>
      <c r="X42" t="b">
        <v>0</v>
      </c>
      <c r="Y42" t="s">
        <v>2094</v>
      </c>
      <c r="Z42" t="b">
        <v>1</v>
      </c>
      <c r="AB42" t="s">
        <v>1572</v>
      </c>
      <c r="AC42" t="b">
        <v>0</v>
      </c>
    </row>
    <row r="43" spans="1:29" x14ac:dyDescent="0.3">
      <c r="A43" s="57" t="str">
        <f>MEMBERS[[#This Row],[Title]]&amp;MEMBERS[[#This Row],[ServiceStartDate]]</f>
        <v>Andrew Perry42013</v>
      </c>
      <c r="B43" s="57">
        <f>IF(COUNTIF(MEMBERS[NameServiceStart],MEMBERS[[#This Row],[NameServiceStart]])=1,0,1)</f>
        <v>0</v>
      </c>
      <c r="C43" s="57">
        <f>IF(COUNTIF(MEMBERS[StaffMemberCode],MEMBERS[[#This Row],[StaffMemberCode]])=1,0,1)</f>
        <v>0</v>
      </c>
      <c r="D43" s="57">
        <f>IF(ISBLANK(MEMBERS[[#This Row],[PayrollLocation]]),0,IF(COUNTIF(SCHOOLS[SchoolCode],MEMBERS[[#This Row],[PayrollLocation]])=1,0,1))</f>
        <v>0</v>
      </c>
      <c r="E43" s="57">
        <f>IF(MEMBERS[[#This Row],[AvailableToAllSchools]]=FALSE,IF(ISBLANK(MEMBERS[[#This Row],[SchoolCodes]]),1,0),IF(MEMBERS[[#This Row],[AvailableToAllSchools]]=TRUE,IF(ISBLANK(MEMBERS[[#This Row],[SchoolCodes]]),0,1)))</f>
        <v>0</v>
      </c>
      <c r="F43" s="57">
        <f>IF(ISBLANK(MEMBERS[[#This Row],[ServiceEndDate]]),0,IF(MEMBERS[[#This Row],[ServiceStartDate]]&lt;MEMBERS[[#This Row],[ServiceEndDate]],0,1))</f>
        <v>0</v>
      </c>
      <c r="G43" s="57" cm="1">
        <f t="array" aca="1" ref="G43" ca="1">IF(CELL("format",MEMBERS[[#This Row],[ServiceStartDate]])="D1",0,1)+IF(CELL("format",MEMBERS[[#This Row],[ServiceEndDate]])="D1",0,1)</f>
        <v>0</v>
      </c>
      <c r="H4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3" s="57">
        <f>IF(LEN(MEMBERS[[#This Row],[StaffMemberCode]])&lt;100,0,1)</f>
        <v>0</v>
      </c>
      <c r="J43" s="57">
        <f>IF(LEN(MEMBERS[[#This Row],[Title]])&lt;100,0,1)</f>
        <v>0</v>
      </c>
      <c r="K43" s="57">
        <f>COUNTBLANK(MEMBERS[[#This Row],[StaffMemberCode]:[ServiceStartDate]])+COUNTBLANK(MEMBERS[[#This Row],[Apprenticeship]]:MEMBERS[[#This Row],[StaffMemberEnabled]])+COUNTBLANK(MEMBERS[[#This Row],[GenderCode]]:MEMBERS[[#This Row],[Casual]])</f>
        <v>0</v>
      </c>
      <c r="L43" s="57">
        <f>IF(SUBSTITUTE(TEXT(MEMBERS[[#This Row],[StaffMemberCode]],10)," ","")=TEXT(MEMBERS[[#This Row],[StaffMemberCode]],10),0,1)</f>
        <v>0</v>
      </c>
      <c r="M43" s="57">
        <f ca="1">SUM(MEMBERS[[#This Row],[Duplicate NameService Start]:[Space in Code]])</f>
        <v>0</v>
      </c>
      <c r="O43" s="15">
        <v>91073643</v>
      </c>
      <c r="P43" s="15" t="s">
        <v>3177</v>
      </c>
      <c r="Q43" s="15" t="s">
        <v>3486</v>
      </c>
      <c r="R43" s="133" t="str">
        <f>MEMBERS[[#This Row],[FirstName]]&amp;" "&amp;MEMBERS[[#This Row],[LastName]]</f>
        <v>Andrew Perry</v>
      </c>
      <c r="S43" s="21">
        <v>42013</v>
      </c>
      <c r="U43" s="21">
        <v>28839</v>
      </c>
      <c r="V43" t="b">
        <v>0</v>
      </c>
      <c r="W43" t="b">
        <v>0</v>
      </c>
      <c r="X43" t="b">
        <v>0</v>
      </c>
      <c r="Y43" t="s">
        <v>2089</v>
      </c>
      <c r="Z43" t="b">
        <v>1</v>
      </c>
      <c r="AB43" t="s">
        <v>1572</v>
      </c>
      <c r="AC43" t="b">
        <v>0</v>
      </c>
    </row>
    <row r="44" spans="1:29" x14ac:dyDescent="0.3">
      <c r="A44" s="57" t="str">
        <f>MEMBERS[[#This Row],[Title]]&amp;MEMBERS[[#This Row],[ServiceStartDate]]</f>
        <v>Andrew Rayner38883</v>
      </c>
      <c r="B44" s="57">
        <f>IF(COUNTIF(MEMBERS[NameServiceStart],MEMBERS[[#This Row],[NameServiceStart]])=1,0,1)</f>
        <v>0</v>
      </c>
      <c r="C44" s="57">
        <f>IF(COUNTIF(MEMBERS[StaffMemberCode],MEMBERS[[#This Row],[StaffMemberCode]])=1,0,1)</f>
        <v>0</v>
      </c>
      <c r="D44" s="57">
        <f>IF(ISBLANK(MEMBERS[[#This Row],[PayrollLocation]]),0,IF(COUNTIF(SCHOOLS[SchoolCode],MEMBERS[[#This Row],[PayrollLocation]])=1,0,1))</f>
        <v>0</v>
      </c>
      <c r="E44" s="57">
        <f>IF(MEMBERS[[#This Row],[AvailableToAllSchools]]=FALSE,IF(ISBLANK(MEMBERS[[#This Row],[SchoolCodes]]),1,0),IF(MEMBERS[[#This Row],[AvailableToAllSchools]]=TRUE,IF(ISBLANK(MEMBERS[[#This Row],[SchoolCodes]]),0,1)))</f>
        <v>0</v>
      </c>
      <c r="F44" s="57">
        <f>IF(ISBLANK(MEMBERS[[#This Row],[ServiceEndDate]]),0,IF(MEMBERS[[#This Row],[ServiceStartDate]]&lt;MEMBERS[[#This Row],[ServiceEndDate]],0,1))</f>
        <v>0</v>
      </c>
      <c r="G44" s="57" cm="1">
        <f t="array" aca="1" ref="G44" ca="1">IF(CELL("format",MEMBERS[[#This Row],[ServiceStartDate]])="D1",0,1)+IF(CELL("format",MEMBERS[[#This Row],[ServiceEndDate]])="D1",0,1)</f>
        <v>0</v>
      </c>
      <c r="H4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4" s="57">
        <f>IF(LEN(MEMBERS[[#This Row],[StaffMemberCode]])&lt;100,0,1)</f>
        <v>0</v>
      </c>
      <c r="J44" s="57">
        <f>IF(LEN(MEMBERS[[#This Row],[Title]])&lt;100,0,1)</f>
        <v>0</v>
      </c>
      <c r="K44" s="57">
        <f>COUNTBLANK(MEMBERS[[#This Row],[StaffMemberCode]:[ServiceStartDate]])+COUNTBLANK(MEMBERS[[#This Row],[Apprenticeship]]:MEMBERS[[#This Row],[StaffMemberEnabled]])+COUNTBLANK(MEMBERS[[#This Row],[GenderCode]]:MEMBERS[[#This Row],[Casual]])</f>
        <v>0</v>
      </c>
      <c r="L44" s="57">
        <f>IF(SUBSTITUTE(TEXT(MEMBERS[[#This Row],[StaffMemberCode]],10)," ","")=TEXT(MEMBERS[[#This Row],[StaffMemberCode]],10),0,1)</f>
        <v>0</v>
      </c>
      <c r="M44" s="57">
        <f ca="1">SUM(MEMBERS[[#This Row],[Duplicate NameService Start]:[Space in Code]])</f>
        <v>0</v>
      </c>
      <c r="O44" s="15">
        <v>91073844</v>
      </c>
      <c r="P44" s="15" t="s">
        <v>3177</v>
      </c>
      <c r="Q44" s="15" t="s">
        <v>3487</v>
      </c>
      <c r="R44" s="133" t="str">
        <f>MEMBERS[[#This Row],[FirstName]]&amp;" "&amp;MEMBERS[[#This Row],[LastName]]</f>
        <v>Andrew Rayner</v>
      </c>
      <c r="S44" s="21">
        <v>38883</v>
      </c>
      <c r="U44" s="21">
        <v>30531</v>
      </c>
      <c r="V44" t="b">
        <v>0</v>
      </c>
      <c r="W44" t="b">
        <v>0</v>
      </c>
      <c r="X44" t="b">
        <v>0</v>
      </c>
      <c r="Y44" t="s">
        <v>2082</v>
      </c>
      <c r="Z44" t="b">
        <v>1</v>
      </c>
      <c r="AB44" t="s">
        <v>1572</v>
      </c>
      <c r="AC44" t="b">
        <v>0</v>
      </c>
    </row>
    <row r="45" spans="1:29" x14ac:dyDescent="0.3">
      <c r="A45" s="57" t="str">
        <f>MEMBERS[[#This Row],[Title]]&amp;MEMBERS[[#This Row],[ServiceStartDate]]</f>
        <v>Andrew Terry43709</v>
      </c>
      <c r="B45" s="57">
        <f>IF(COUNTIF(MEMBERS[NameServiceStart],MEMBERS[[#This Row],[NameServiceStart]])=1,0,1)</f>
        <v>0</v>
      </c>
      <c r="C45" s="57">
        <f>IF(COUNTIF(MEMBERS[StaffMemberCode],MEMBERS[[#This Row],[StaffMemberCode]])=1,0,1)</f>
        <v>0</v>
      </c>
      <c r="D45" s="57">
        <f>IF(ISBLANK(MEMBERS[[#This Row],[PayrollLocation]]),0,IF(COUNTIF(SCHOOLS[SchoolCode],MEMBERS[[#This Row],[PayrollLocation]])=1,0,1))</f>
        <v>0</v>
      </c>
      <c r="E45" s="57">
        <f>IF(MEMBERS[[#This Row],[AvailableToAllSchools]]=FALSE,IF(ISBLANK(MEMBERS[[#This Row],[SchoolCodes]]),1,0),IF(MEMBERS[[#This Row],[AvailableToAllSchools]]=TRUE,IF(ISBLANK(MEMBERS[[#This Row],[SchoolCodes]]),0,1)))</f>
        <v>0</v>
      </c>
      <c r="F45" s="57">
        <f>IF(ISBLANK(MEMBERS[[#This Row],[ServiceEndDate]]),0,IF(MEMBERS[[#This Row],[ServiceStartDate]]&lt;MEMBERS[[#This Row],[ServiceEndDate]],0,1))</f>
        <v>0</v>
      </c>
      <c r="G45" s="57" cm="1">
        <f t="array" aca="1" ref="G45" ca="1">IF(CELL("format",MEMBERS[[#This Row],[ServiceStartDate]])="D1",0,1)+IF(CELL("format",MEMBERS[[#This Row],[ServiceEndDate]])="D1",0,1)</f>
        <v>0</v>
      </c>
      <c r="H4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5" s="57">
        <f>IF(LEN(MEMBERS[[#This Row],[StaffMemberCode]])&lt;100,0,1)</f>
        <v>0</v>
      </c>
      <c r="J45" s="57">
        <f>IF(LEN(MEMBERS[[#This Row],[Title]])&lt;100,0,1)</f>
        <v>0</v>
      </c>
      <c r="K45" s="57">
        <f>COUNTBLANK(MEMBERS[[#This Row],[StaffMemberCode]:[ServiceStartDate]])+COUNTBLANK(MEMBERS[[#This Row],[Apprenticeship]]:MEMBERS[[#This Row],[StaffMemberEnabled]])+COUNTBLANK(MEMBERS[[#This Row],[GenderCode]]:MEMBERS[[#This Row],[Casual]])</f>
        <v>0</v>
      </c>
      <c r="L45" s="57">
        <f>IF(SUBSTITUTE(TEXT(MEMBERS[[#This Row],[StaffMemberCode]],10)," ","")=TEXT(MEMBERS[[#This Row],[StaffMemberCode]],10),0,1)</f>
        <v>0</v>
      </c>
      <c r="M45" s="57">
        <f ca="1">SUM(MEMBERS[[#This Row],[Duplicate NameService Start]:[Space in Code]])</f>
        <v>0</v>
      </c>
      <c r="O45" s="15">
        <v>10006806</v>
      </c>
      <c r="P45" s="15" t="s">
        <v>3177</v>
      </c>
      <c r="Q45" s="15" t="s">
        <v>3553</v>
      </c>
      <c r="R45" s="133" t="str">
        <f>MEMBERS[[#This Row],[FirstName]]&amp;" "&amp;MEMBERS[[#This Row],[LastName]]</f>
        <v>Andrew Terry</v>
      </c>
      <c r="S45" s="21">
        <v>43709</v>
      </c>
      <c r="U45" s="21">
        <v>32118</v>
      </c>
      <c r="V45" s="138" t="b">
        <v>0</v>
      </c>
      <c r="W45" t="b">
        <v>0</v>
      </c>
      <c r="X45" t="b">
        <v>0</v>
      </c>
      <c r="Y45" t="s">
        <v>2126</v>
      </c>
      <c r="Z45" t="b">
        <v>1</v>
      </c>
      <c r="AB45" t="s">
        <v>1572</v>
      </c>
      <c r="AC45" t="b">
        <v>0</v>
      </c>
    </row>
    <row r="46" spans="1:29" x14ac:dyDescent="0.3">
      <c r="A46" s="57" t="str">
        <f>MEMBERS[[#This Row],[Title]]&amp;MEMBERS[[#This Row],[ServiceStartDate]]</f>
        <v>Aneta Talbot43431</v>
      </c>
      <c r="B46" s="57">
        <f>IF(COUNTIF(MEMBERS[NameServiceStart],MEMBERS[[#This Row],[NameServiceStart]])=1,0,1)</f>
        <v>0</v>
      </c>
      <c r="C46" s="57">
        <f>IF(COUNTIF(MEMBERS[StaffMemberCode],MEMBERS[[#This Row],[StaffMemberCode]])=1,0,1)</f>
        <v>0</v>
      </c>
      <c r="D46" s="57">
        <f>IF(ISBLANK(MEMBERS[[#This Row],[PayrollLocation]]),0,IF(COUNTIF(SCHOOLS[SchoolCode],MEMBERS[[#This Row],[PayrollLocation]])=1,0,1))</f>
        <v>0</v>
      </c>
      <c r="E46" s="57">
        <f>IF(MEMBERS[[#This Row],[AvailableToAllSchools]]=FALSE,IF(ISBLANK(MEMBERS[[#This Row],[SchoolCodes]]),1,0),IF(MEMBERS[[#This Row],[AvailableToAllSchools]]=TRUE,IF(ISBLANK(MEMBERS[[#This Row],[SchoolCodes]]),0,1)))</f>
        <v>0</v>
      </c>
      <c r="F46" s="57">
        <f>IF(ISBLANK(MEMBERS[[#This Row],[ServiceEndDate]]),0,IF(MEMBERS[[#This Row],[ServiceStartDate]]&lt;MEMBERS[[#This Row],[ServiceEndDate]],0,1))</f>
        <v>0</v>
      </c>
      <c r="G46" s="57" cm="1">
        <f t="array" aca="1" ref="G46" ca="1">IF(CELL("format",MEMBERS[[#This Row],[ServiceStartDate]])="D1",0,1)+IF(CELL("format",MEMBERS[[#This Row],[ServiceEndDate]])="D1",0,1)</f>
        <v>0</v>
      </c>
      <c r="H4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6" s="57">
        <f>IF(LEN(MEMBERS[[#This Row],[StaffMemberCode]])&lt;100,0,1)</f>
        <v>0</v>
      </c>
      <c r="J46" s="57">
        <f>IF(LEN(MEMBERS[[#This Row],[Title]])&lt;100,0,1)</f>
        <v>0</v>
      </c>
      <c r="K46" s="57">
        <f>COUNTBLANK(MEMBERS[[#This Row],[StaffMemberCode]:[ServiceStartDate]])+COUNTBLANK(MEMBERS[[#This Row],[Apprenticeship]]:MEMBERS[[#This Row],[StaffMemberEnabled]])+COUNTBLANK(MEMBERS[[#This Row],[GenderCode]]:MEMBERS[[#This Row],[Casual]])</f>
        <v>0</v>
      </c>
      <c r="L46" s="57">
        <f>IF(SUBSTITUTE(TEXT(MEMBERS[[#This Row],[StaffMemberCode]],10)," ","")=TEXT(MEMBERS[[#This Row],[StaffMemberCode]],10),0,1)</f>
        <v>0</v>
      </c>
      <c r="M46" s="57">
        <f ca="1">SUM(MEMBERS[[#This Row],[Duplicate NameService Start]:[Space in Code]])</f>
        <v>0</v>
      </c>
      <c r="O46" s="15">
        <v>10006283</v>
      </c>
      <c r="P46" s="15" t="s">
        <v>3951</v>
      </c>
      <c r="Q46" s="15" t="s">
        <v>4027</v>
      </c>
      <c r="R46" s="133" t="str">
        <f>MEMBERS[[#This Row],[FirstName]]&amp;" "&amp;MEMBERS[[#This Row],[LastName]]</f>
        <v>Aneta Talbot</v>
      </c>
      <c r="S46" s="21">
        <v>43431</v>
      </c>
      <c r="U46" s="21">
        <v>25360</v>
      </c>
      <c r="V46" s="138" t="b">
        <v>0</v>
      </c>
      <c r="W46" t="b">
        <v>0</v>
      </c>
      <c r="X46" t="b">
        <v>0</v>
      </c>
      <c r="Y46" t="s">
        <v>2126</v>
      </c>
      <c r="Z46" t="b">
        <v>1</v>
      </c>
      <c r="AB46" t="s">
        <v>1571</v>
      </c>
      <c r="AC46" t="b">
        <v>0</v>
      </c>
    </row>
    <row r="47" spans="1:29" x14ac:dyDescent="0.3">
      <c r="A47" s="57" t="str">
        <f>MEMBERS[[#This Row],[Title]]&amp;MEMBERS[[#This Row],[ServiceStartDate]]</f>
        <v>Angela Beecher37265</v>
      </c>
      <c r="B47" s="57">
        <f>IF(COUNTIF(MEMBERS[NameServiceStart],MEMBERS[[#This Row],[NameServiceStart]])=1,0,1)</f>
        <v>0</v>
      </c>
      <c r="C47" s="57">
        <f>IF(COUNTIF(MEMBERS[StaffMemberCode],MEMBERS[[#This Row],[StaffMemberCode]])=1,0,1)</f>
        <v>0</v>
      </c>
      <c r="D47" s="57">
        <f>IF(ISBLANK(MEMBERS[[#This Row],[PayrollLocation]]),0,IF(COUNTIF(SCHOOLS[SchoolCode],MEMBERS[[#This Row],[PayrollLocation]])=1,0,1))</f>
        <v>0</v>
      </c>
      <c r="E47" s="57">
        <f>IF(MEMBERS[[#This Row],[AvailableToAllSchools]]=FALSE,IF(ISBLANK(MEMBERS[[#This Row],[SchoolCodes]]),1,0),IF(MEMBERS[[#This Row],[AvailableToAllSchools]]=TRUE,IF(ISBLANK(MEMBERS[[#This Row],[SchoolCodes]]),0,1)))</f>
        <v>0</v>
      </c>
      <c r="F47" s="57">
        <f>IF(ISBLANK(MEMBERS[[#This Row],[ServiceEndDate]]),0,IF(MEMBERS[[#This Row],[ServiceStartDate]]&lt;MEMBERS[[#This Row],[ServiceEndDate]],0,1))</f>
        <v>0</v>
      </c>
      <c r="G47" s="57" cm="1">
        <f t="array" aca="1" ref="G47" ca="1">IF(CELL("format",MEMBERS[[#This Row],[ServiceStartDate]])="D1",0,1)+IF(CELL("format",MEMBERS[[#This Row],[ServiceEndDate]])="D1",0,1)</f>
        <v>0</v>
      </c>
      <c r="H4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7" s="57">
        <f>IF(LEN(MEMBERS[[#This Row],[StaffMemberCode]])&lt;100,0,1)</f>
        <v>0</v>
      </c>
      <c r="J47" s="57">
        <f>IF(LEN(MEMBERS[[#This Row],[Title]])&lt;100,0,1)</f>
        <v>0</v>
      </c>
      <c r="K47" s="57">
        <f>COUNTBLANK(MEMBERS[[#This Row],[StaffMemberCode]:[ServiceStartDate]])+COUNTBLANK(MEMBERS[[#This Row],[Apprenticeship]]:MEMBERS[[#This Row],[StaffMemberEnabled]])+COUNTBLANK(MEMBERS[[#This Row],[GenderCode]]:MEMBERS[[#This Row],[Casual]])</f>
        <v>0</v>
      </c>
      <c r="L47" s="57">
        <f>IF(SUBSTITUTE(TEXT(MEMBERS[[#This Row],[StaffMemberCode]],10)," ","")=TEXT(MEMBERS[[#This Row],[StaffMemberCode]],10),0,1)</f>
        <v>0</v>
      </c>
      <c r="M47" s="57">
        <f ca="1">SUM(MEMBERS[[#This Row],[Duplicate NameService Start]:[Space in Code]])</f>
        <v>0</v>
      </c>
      <c r="O47" s="15">
        <v>91073459</v>
      </c>
      <c r="P47" s="15" t="s">
        <v>3178</v>
      </c>
      <c r="Q47" s="15" t="s">
        <v>3488</v>
      </c>
      <c r="R47" s="133" t="str">
        <f>MEMBERS[[#This Row],[FirstName]]&amp;" "&amp;MEMBERS[[#This Row],[LastName]]</f>
        <v>Angela Beecher</v>
      </c>
      <c r="S47" s="21">
        <v>37265</v>
      </c>
      <c r="U47" s="21">
        <v>27590</v>
      </c>
      <c r="V47" t="b">
        <v>0</v>
      </c>
      <c r="W47" t="b">
        <v>0</v>
      </c>
      <c r="X47" t="b">
        <v>0</v>
      </c>
      <c r="Y47" t="s">
        <v>2094</v>
      </c>
      <c r="Z47" t="b">
        <v>1</v>
      </c>
      <c r="AB47" t="s">
        <v>1571</v>
      </c>
      <c r="AC47" t="b">
        <v>0</v>
      </c>
    </row>
    <row r="48" spans="1:29" x14ac:dyDescent="0.3">
      <c r="A48" s="57" t="str">
        <f>MEMBERS[[#This Row],[Title]]&amp;MEMBERS[[#This Row],[ServiceStartDate]]</f>
        <v>Angela Huxley45310</v>
      </c>
      <c r="B48" s="57">
        <f>IF(COUNTIF(MEMBERS[NameServiceStart],MEMBERS[[#This Row],[NameServiceStart]])=1,0,1)</f>
        <v>0</v>
      </c>
      <c r="C48" s="57">
        <f>IF(COUNTIF(MEMBERS[StaffMemberCode],MEMBERS[[#This Row],[StaffMemberCode]])=1,0,1)</f>
        <v>0</v>
      </c>
      <c r="D48" s="57">
        <f>IF(ISBLANK(MEMBERS[[#This Row],[PayrollLocation]]),0,IF(COUNTIF(SCHOOLS[SchoolCode],MEMBERS[[#This Row],[PayrollLocation]])=1,0,1))</f>
        <v>0</v>
      </c>
      <c r="E48" s="57">
        <f>IF(MEMBERS[[#This Row],[AvailableToAllSchools]]=FALSE,IF(ISBLANK(MEMBERS[[#This Row],[SchoolCodes]]),1,0),IF(MEMBERS[[#This Row],[AvailableToAllSchools]]=TRUE,IF(ISBLANK(MEMBERS[[#This Row],[SchoolCodes]]),0,1)))</f>
        <v>0</v>
      </c>
      <c r="F48" s="57">
        <f>IF(ISBLANK(MEMBERS[[#This Row],[ServiceEndDate]]),0,IF(MEMBERS[[#This Row],[ServiceStartDate]]&lt;MEMBERS[[#This Row],[ServiceEndDate]],0,1))</f>
        <v>0</v>
      </c>
      <c r="G48" s="57" cm="1">
        <f t="array" aca="1" ref="G48" ca="1">IF(CELL("format",MEMBERS[[#This Row],[ServiceStartDate]])="D1",0,1)+IF(CELL("format",MEMBERS[[#This Row],[ServiceEndDate]])="D1",0,1)</f>
        <v>0</v>
      </c>
      <c r="H4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8" s="57">
        <f>IF(LEN(MEMBERS[[#This Row],[StaffMemberCode]])&lt;100,0,1)</f>
        <v>0</v>
      </c>
      <c r="J48" s="57">
        <f>IF(LEN(MEMBERS[[#This Row],[Title]])&lt;100,0,1)</f>
        <v>0</v>
      </c>
      <c r="K48" s="57">
        <f>COUNTBLANK(MEMBERS[[#This Row],[StaffMemberCode]:[ServiceStartDate]])+COUNTBLANK(MEMBERS[[#This Row],[Apprenticeship]]:MEMBERS[[#This Row],[StaffMemberEnabled]])+COUNTBLANK(MEMBERS[[#This Row],[GenderCode]]:MEMBERS[[#This Row],[Casual]])</f>
        <v>0</v>
      </c>
      <c r="L48" s="57">
        <f>IF(SUBSTITUTE(TEXT(MEMBERS[[#This Row],[StaffMemberCode]],10)," ","")=TEXT(MEMBERS[[#This Row],[StaffMemberCode]],10),0,1)</f>
        <v>0</v>
      </c>
      <c r="M48" s="57">
        <f ca="1">SUM(MEMBERS[[#This Row],[Duplicate NameService Start]:[Space in Code]])</f>
        <v>0</v>
      </c>
      <c r="O48" s="15">
        <v>10013541</v>
      </c>
      <c r="P48" s="15" t="s">
        <v>3178</v>
      </c>
      <c r="Q48" s="15" t="s">
        <v>4028</v>
      </c>
      <c r="R48" s="133" t="str">
        <f>MEMBERS[[#This Row],[FirstName]]&amp;" "&amp;MEMBERS[[#This Row],[LastName]]</f>
        <v>Angela Huxley</v>
      </c>
      <c r="S48" s="21">
        <v>45310</v>
      </c>
      <c r="U48" s="21">
        <v>20770</v>
      </c>
      <c r="V48" s="138" t="b">
        <v>0</v>
      </c>
      <c r="W48" t="b">
        <v>0</v>
      </c>
      <c r="X48" t="b">
        <v>0</v>
      </c>
      <c r="Y48" t="s">
        <v>2126</v>
      </c>
      <c r="Z48" t="b">
        <v>1</v>
      </c>
      <c r="AB48" t="s">
        <v>1571</v>
      </c>
      <c r="AC48" t="b">
        <v>1</v>
      </c>
    </row>
    <row r="49" spans="1:29" x14ac:dyDescent="0.3">
      <c r="A49" s="57" t="str">
        <f>MEMBERS[[#This Row],[Title]]&amp;MEMBERS[[#This Row],[ServiceStartDate]]</f>
        <v>Angela Murton45964</v>
      </c>
      <c r="B49" s="57">
        <f>IF(COUNTIF(MEMBERS[NameServiceStart],MEMBERS[[#This Row],[NameServiceStart]])=1,0,1)</f>
        <v>0</v>
      </c>
      <c r="C49" s="57">
        <f>IF(COUNTIF(MEMBERS[StaffMemberCode],MEMBERS[[#This Row],[StaffMemberCode]])=1,0,1)</f>
        <v>0</v>
      </c>
      <c r="D49" s="57">
        <f>IF(ISBLANK(MEMBERS[[#This Row],[PayrollLocation]]),0,IF(COUNTIF(SCHOOLS[SchoolCode],MEMBERS[[#This Row],[PayrollLocation]])=1,0,1))</f>
        <v>0</v>
      </c>
      <c r="E49" s="57">
        <f>IF(MEMBERS[[#This Row],[AvailableToAllSchools]]=FALSE,IF(ISBLANK(MEMBERS[[#This Row],[SchoolCodes]]),1,0),IF(MEMBERS[[#This Row],[AvailableToAllSchools]]=TRUE,IF(ISBLANK(MEMBERS[[#This Row],[SchoolCodes]]),0,1)))</f>
        <v>0</v>
      </c>
      <c r="F49" s="57">
        <f>IF(ISBLANK(MEMBERS[[#This Row],[ServiceEndDate]]),0,IF(MEMBERS[[#This Row],[ServiceStartDate]]&lt;MEMBERS[[#This Row],[ServiceEndDate]],0,1))</f>
        <v>0</v>
      </c>
      <c r="G49" s="57" cm="1">
        <f t="array" aca="1" ref="G49" ca="1">IF(CELL("format",MEMBERS[[#This Row],[ServiceStartDate]])="D1",0,1)+IF(CELL("format",MEMBERS[[#This Row],[ServiceEndDate]])="D1",0,1)</f>
        <v>0</v>
      </c>
      <c r="H4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9" s="57">
        <f>IF(LEN(MEMBERS[[#This Row],[StaffMemberCode]])&lt;100,0,1)</f>
        <v>0</v>
      </c>
      <c r="J49" s="57">
        <f>IF(LEN(MEMBERS[[#This Row],[Title]])&lt;100,0,1)</f>
        <v>0</v>
      </c>
      <c r="K49" s="57">
        <f>COUNTBLANK(MEMBERS[[#This Row],[StaffMemberCode]:[ServiceStartDate]])+COUNTBLANK(MEMBERS[[#This Row],[Apprenticeship]]:MEMBERS[[#This Row],[StaffMemberEnabled]])+COUNTBLANK(MEMBERS[[#This Row],[GenderCode]]:MEMBERS[[#This Row],[Casual]])</f>
        <v>0</v>
      </c>
      <c r="L49" s="57">
        <f>IF(SUBSTITUTE(TEXT(MEMBERS[[#This Row],[StaffMemberCode]],10)," ","")=TEXT(MEMBERS[[#This Row],[StaffMemberCode]],10),0,1)</f>
        <v>0</v>
      </c>
      <c r="M49" s="57">
        <f ca="1">SUM(MEMBERS[[#This Row],[Duplicate NameService Start]:[Space in Code]])</f>
        <v>0</v>
      </c>
      <c r="O49" s="15" t="s">
        <v>3944</v>
      </c>
      <c r="P49" s="15" t="s">
        <v>3178</v>
      </c>
      <c r="Q49" s="15" t="s">
        <v>4029</v>
      </c>
      <c r="R49" s="133" t="str">
        <f>MEMBERS[[#This Row],[FirstName]]&amp;" "&amp;MEMBERS[[#This Row],[LastName]]</f>
        <v>Angela Murton</v>
      </c>
      <c r="S49" s="21">
        <v>45964</v>
      </c>
      <c r="U49" s="21">
        <v>28965</v>
      </c>
      <c r="V49" s="138" t="b">
        <v>0</v>
      </c>
      <c r="W49" t="b">
        <v>0</v>
      </c>
      <c r="X49" t="b">
        <v>0</v>
      </c>
      <c r="Y49" t="s">
        <v>2126</v>
      </c>
      <c r="Z49" t="b">
        <v>1</v>
      </c>
      <c r="AB49" t="s">
        <v>1571</v>
      </c>
      <c r="AC49" t="b">
        <v>0</v>
      </c>
    </row>
    <row r="50" spans="1:29" x14ac:dyDescent="0.3">
      <c r="A50" s="57" t="str">
        <f>MEMBERS[[#This Row],[Title]]&amp;MEMBERS[[#This Row],[ServiceStartDate]]</f>
        <v>Angela Nicholson43409</v>
      </c>
      <c r="B50" s="57">
        <f>IF(COUNTIF(MEMBERS[NameServiceStart],MEMBERS[[#This Row],[NameServiceStart]])=1,0,1)</f>
        <v>0</v>
      </c>
      <c r="C50" s="57">
        <f>IF(COUNTIF(MEMBERS[StaffMemberCode],MEMBERS[[#This Row],[StaffMemberCode]])=1,0,1)</f>
        <v>0</v>
      </c>
      <c r="D50" s="57">
        <f>IF(ISBLANK(MEMBERS[[#This Row],[PayrollLocation]]),0,IF(COUNTIF(SCHOOLS[SchoolCode],MEMBERS[[#This Row],[PayrollLocation]])=1,0,1))</f>
        <v>0</v>
      </c>
      <c r="E50" s="57">
        <f>IF(MEMBERS[[#This Row],[AvailableToAllSchools]]=FALSE,IF(ISBLANK(MEMBERS[[#This Row],[SchoolCodes]]),1,0),IF(MEMBERS[[#This Row],[AvailableToAllSchools]]=TRUE,IF(ISBLANK(MEMBERS[[#This Row],[SchoolCodes]]),0,1)))</f>
        <v>0</v>
      </c>
      <c r="F50" s="57">
        <f>IF(ISBLANK(MEMBERS[[#This Row],[ServiceEndDate]]),0,IF(MEMBERS[[#This Row],[ServiceStartDate]]&lt;MEMBERS[[#This Row],[ServiceEndDate]],0,1))</f>
        <v>0</v>
      </c>
      <c r="G50" s="57" cm="1">
        <f t="array" aca="1" ref="G50" ca="1">IF(CELL("format",MEMBERS[[#This Row],[ServiceStartDate]])="D1",0,1)+IF(CELL("format",MEMBERS[[#This Row],[ServiceEndDate]])="D1",0,1)</f>
        <v>0</v>
      </c>
      <c r="H5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0" s="57">
        <f>IF(LEN(MEMBERS[[#This Row],[StaffMemberCode]])&lt;100,0,1)</f>
        <v>0</v>
      </c>
      <c r="J50" s="57">
        <f>IF(LEN(MEMBERS[[#This Row],[Title]])&lt;100,0,1)</f>
        <v>0</v>
      </c>
      <c r="K50" s="57">
        <f>COUNTBLANK(MEMBERS[[#This Row],[StaffMemberCode]:[ServiceStartDate]])+COUNTBLANK(MEMBERS[[#This Row],[Apprenticeship]]:MEMBERS[[#This Row],[StaffMemberEnabled]])+COUNTBLANK(MEMBERS[[#This Row],[GenderCode]]:MEMBERS[[#This Row],[Casual]])</f>
        <v>0</v>
      </c>
      <c r="L50" s="57">
        <f>IF(SUBSTITUTE(TEXT(MEMBERS[[#This Row],[StaffMemberCode]],10)," ","")=TEXT(MEMBERS[[#This Row],[StaffMemberCode]],10),0,1)</f>
        <v>0</v>
      </c>
      <c r="M50" s="57">
        <f ca="1">SUM(MEMBERS[[#This Row],[Duplicate NameService Start]:[Space in Code]])</f>
        <v>0</v>
      </c>
      <c r="O50" s="15">
        <v>10006192</v>
      </c>
      <c r="P50" s="15" t="s">
        <v>3178</v>
      </c>
      <c r="Q50" s="15" t="s">
        <v>3635</v>
      </c>
      <c r="R50" s="133" t="str">
        <f>MEMBERS[[#This Row],[FirstName]]&amp;" "&amp;MEMBERS[[#This Row],[LastName]]</f>
        <v>Angela Nicholson</v>
      </c>
      <c r="S50" s="21">
        <v>43409</v>
      </c>
      <c r="U50" s="21">
        <v>30411</v>
      </c>
      <c r="V50" s="138" t="b">
        <v>0</v>
      </c>
      <c r="W50" t="b">
        <v>0</v>
      </c>
      <c r="X50" t="b">
        <v>0</v>
      </c>
      <c r="Y50" t="s">
        <v>2126</v>
      </c>
      <c r="Z50" t="b">
        <v>1</v>
      </c>
      <c r="AB50" t="s">
        <v>1571</v>
      </c>
      <c r="AC50" t="b">
        <v>0</v>
      </c>
    </row>
    <row r="51" spans="1:29" x14ac:dyDescent="0.3">
      <c r="A51" s="57" t="str">
        <f>MEMBERS[[#This Row],[Title]]&amp;MEMBERS[[#This Row],[ServiceStartDate]]</f>
        <v>Angela Painter42746</v>
      </c>
      <c r="B51" s="57">
        <f>IF(COUNTIF(MEMBERS[NameServiceStart],MEMBERS[[#This Row],[NameServiceStart]])=1,0,1)</f>
        <v>0</v>
      </c>
      <c r="C51" s="57">
        <f>IF(COUNTIF(MEMBERS[StaffMemberCode],MEMBERS[[#This Row],[StaffMemberCode]])=1,0,1)</f>
        <v>0</v>
      </c>
      <c r="D51" s="57">
        <f>IF(ISBLANK(MEMBERS[[#This Row],[PayrollLocation]]),0,IF(COUNTIF(SCHOOLS[SchoolCode],MEMBERS[[#This Row],[PayrollLocation]])=1,0,1))</f>
        <v>0</v>
      </c>
      <c r="E51" s="57">
        <f>IF(MEMBERS[[#This Row],[AvailableToAllSchools]]=FALSE,IF(ISBLANK(MEMBERS[[#This Row],[SchoolCodes]]),1,0),IF(MEMBERS[[#This Row],[AvailableToAllSchools]]=TRUE,IF(ISBLANK(MEMBERS[[#This Row],[SchoolCodes]]),0,1)))</f>
        <v>0</v>
      </c>
      <c r="F51" s="57">
        <f>IF(ISBLANK(MEMBERS[[#This Row],[ServiceEndDate]]),0,IF(MEMBERS[[#This Row],[ServiceStartDate]]&lt;MEMBERS[[#This Row],[ServiceEndDate]],0,1))</f>
        <v>0</v>
      </c>
      <c r="G51" s="57" cm="1">
        <f t="array" aca="1" ref="G51" ca="1">IF(CELL("format",MEMBERS[[#This Row],[ServiceStartDate]])="D1",0,1)+IF(CELL("format",MEMBERS[[#This Row],[ServiceEndDate]])="D1",0,1)</f>
        <v>0</v>
      </c>
      <c r="H5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1" s="57">
        <f>IF(LEN(MEMBERS[[#This Row],[StaffMemberCode]])&lt;100,0,1)</f>
        <v>0</v>
      </c>
      <c r="J51" s="57">
        <f>IF(LEN(MEMBERS[[#This Row],[Title]])&lt;100,0,1)</f>
        <v>0</v>
      </c>
      <c r="K51" s="57">
        <f>COUNTBLANK(MEMBERS[[#This Row],[StaffMemberCode]:[ServiceStartDate]])+COUNTBLANK(MEMBERS[[#This Row],[Apprenticeship]]:MEMBERS[[#This Row],[StaffMemberEnabled]])+COUNTBLANK(MEMBERS[[#This Row],[GenderCode]]:MEMBERS[[#This Row],[Casual]])</f>
        <v>0</v>
      </c>
      <c r="L51" s="57">
        <f>IF(SUBSTITUTE(TEXT(MEMBERS[[#This Row],[StaffMemberCode]],10)," ","")=TEXT(MEMBERS[[#This Row],[StaffMemberCode]],10),0,1)</f>
        <v>0</v>
      </c>
      <c r="M51" s="57">
        <f ca="1">SUM(MEMBERS[[#This Row],[Duplicate NameService Start]:[Space in Code]])</f>
        <v>0</v>
      </c>
      <c r="O51" s="15">
        <v>91073764</v>
      </c>
      <c r="P51" s="15" t="s">
        <v>3178</v>
      </c>
      <c r="Q51" s="15" t="s">
        <v>3489</v>
      </c>
      <c r="R51" s="133" t="str">
        <f>MEMBERS[[#This Row],[FirstName]]&amp;" "&amp;MEMBERS[[#This Row],[LastName]]</f>
        <v>Angela Painter</v>
      </c>
      <c r="S51" s="21">
        <v>42746</v>
      </c>
      <c r="U51" s="21">
        <v>27939</v>
      </c>
      <c r="V51" t="b">
        <v>0</v>
      </c>
      <c r="W51" t="b">
        <v>0</v>
      </c>
      <c r="X51" t="b">
        <v>0</v>
      </c>
      <c r="Y51" t="s">
        <v>2082</v>
      </c>
      <c r="Z51" t="b">
        <v>1</v>
      </c>
      <c r="AB51" t="s">
        <v>1571</v>
      </c>
      <c r="AC51" t="b">
        <v>0</v>
      </c>
    </row>
    <row r="52" spans="1:29" x14ac:dyDescent="0.3">
      <c r="A52" s="57" t="str">
        <f>MEMBERS[[#This Row],[Title]]&amp;MEMBERS[[#This Row],[ServiceStartDate]]</f>
        <v>Angela Platt44570</v>
      </c>
      <c r="B52" s="57">
        <f>IF(COUNTIF(MEMBERS[NameServiceStart],MEMBERS[[#This Row],[NameServiceStart]])=1,0,1)</f>
        <v>0</v>
      </c>
      <c r="C52" s="57">
        <f>IF(COUNTIF(MEMBERS[StaffMemberCode],MEMBERS[[#This Row],[StaffMemberCode]])=1,0,1)</f>
        <v>0</v>
      </c>
      <c r="D52" s="57">
        <f>IF(ISBLANK(MEMBERS[[#This Row],[PayrollLocation]]),0,IF(COUNTIF(SCHOOLS[SchoolCode],MEMBERS[[#This Row],[PayrollLocation]])=1,0,1))</f>
        <v>0</v>
      </c>
      <c r="E52" s="57">
        <f>IF(MEMBERS[[#This Row],[AvailableToAllSchools]]=FALSE,IF(ISBLANK(MEMBERS[[#This Row],[SchoolCodes]]),1,0),IF(MEMBERS[[#This Row],[AvailableToAllSchools]]=TRUE,IF(ISBLANK(MEMBERS[[#This Row],[SchoolCodes]]),0,1)))</f>
        <v>0</v>
      </c>
      <c r="F52" s="57">
        <f>IF(ISBLANK(MEMBERS[[#This Row],[ServiceEndDate]]),0,IF(MEMBERS[[#This Row],[ServiceStartDate]]&lt;MEMBERS[[#This Row],[ServiceEndDate]],0,1))</f>
        <v>0</v>
      </c>
      <c r="G52" s="57" cm="1">
        <f t="array" aca="1" ref="G52" ca="1">IF(CELL("format",MEMBERS[[#This Row],[ServiceStartDate]])="D1",0,1)+IF(CELL("format",MEMBERS[[#This Row],[ServiceEndDate]])="D1",0,1)</f>
        <v>0</v>
      </c>
      <c r="H5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2" s="57">
        <f>IF(LEN(MEMBERS[[#This Row],[StaffMemberCode]])&lt;100,0,1)</f>
        <v>0</v>
      </c>
      <c r="J52" s="57">
        <f>IF(LEN(MEMBERS[[#This Row],[Title]])&lt;100,0,1)</f>
        <v>0</v>
      </c>
      <c r="K52" s="57">
        <f>COUNTBLANK(MEMBERS[[#This Row],[StaffMemberCode]:[ServiceStartDate]])+COUNTBLANK(MEMBERS[[#This Row],[Apprenticeship]]:MEMBERS[[#This Row],[StaffMemberEnabled]])+COUNTBLANK(MEMBERS[[#This Row],[GenderCode]]:MEMBERS[[#This Row],[Casual]])</f>
        <v>0</v>
      </c>
      <c r="L52" s="57">
        <f>IF(SUBSTITUTE(TEXT(MEMBERS[[#This Row],[StaffMemberCode]],10)," ","")=TEXT(MEMBERS[[#This Row],[StaffMemberCode]],10),0,1)</f>
        <v>0</v>
      </c>
      <c r="M52" s="57">
        <f ca="1">SUM(MEMBERS[[#This Row],[Duplicate NameService Start]:[Space in Code]])</f>
        <v>0</v>
      </c>
      <c r="O52" s="15">
        <v>91073429</v>
      </c>
      <c r="P52" s="15" t="s">
        <v>3178</v>
      </c>
      <c r="Q52" s="15" t="s">
        <v>3490</v>
      </c>
      <c r="R52" s="133" t="str">
        <f>MEMBERS[[#This Row],[FirstName]]&amp;" "&amp;MEMBERS[[#This Row],[LastName]]</f>
        <v>Angela Platt</v>
      </c>
      <c r="S52" s="21">
        <v>44570</v>
      </c>
      <c r="U52" s="21">
        <v>22111</v>
      </c>
      <c r="V52" t="b">
        <v>0</v>
      </c>
      <c r="W52" t="b">
        <v>0</v>
      </c>
      <c r="X52" t="b">
        <v>0</v>
      </c>
      <c r="Y52" t="s">
        <v>2275</v>
      </c>
      <c r="Z52" t="b">
        <v>1</v>
      </c>
      <c r="AB52" t="s">
        <v>1571</v>
      </c>
      <c r="AC52" t="b">
        <v>0</v>
      </c>
    </row>
    <row r="53" spans="1:29" x14ac:dyDescent="0.3">
      <c r="A53" s="57" t="str">
        <f>MEMBERS[[#This Row],[Title]]&amp;MEMBERS[[#This Row],[ServiceStartDate]]</f>
        <v>Anika Allen44670</v>
      </c>
      <c r="B53" s="57">
        <f>IF(COUNTIF(MEMBERS[NameServiceStart],MEMBERS[[#This Row],[NameServiceStart]])=1,0,1)</f>
        <v>0</v>
      </c>
      <c r="C53" s="57">
        <f>IF(COUNTIF(MEMBERS[StaffMemberCode],MEMBERS[[#This Row],[StaffMemberCode]])=1,0,1)</f>
        <v>0</v>
      </c>
      <c r="D53" s="57">
        <f>IF(ISBLANK(MEMBERS[[#This Row],[PayrollLocation]]),0,IF(COUNTIF(SCHOOLS[SchoolCode],MEMBERS[[#This Row],[PayrollLocation]])=1,0,1))</f>
        <v>0</v>
      </c>
      <c r="E53" s="57">
        <f>IF(MEMBERS[[#This Row],[AvailableToAllSchools]]=FALSE,IF(ISBLANK(MEMBERS[[#This Row],[SchoolCodes]]),1,0),IF(MEMBERS[[#This Row],[AvailableToAllSchools]]=TRUE,IF(ISBLANK(MEMBERS[[#This Row],[SchoolCodes]]),0,1)))</f>
        <v>0</v>
      </c>
      <c r="F53" s="57">
        <f>IF(ISBLANK(MEMBERS[[#This Row],[ServiceEndDate]]),0,IF(MEMBERS[[#This Row],[ServiceStartDate]]&lt;MEMBERS[[#This Row],[ServiceEndDate]],0,1))</f>
        <v>0</v>
      </c>
      <c r="G53" s="57" cm="1">
        <f t="array" aca="1" ref="G53" ca="1">IF(CELL("format",MEMBERS[[#This Row],[ServiceStartDate]])="D1",0,1)+IF(CELL("format",MEMBERS[[#This Row],[ServiceEndDate]])="D1",0,1)</f>
        <v>0</v>
      </c>
      <c r="H5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3" s="57">
        <f>IF(LEN(MEMBERS[[#This Row],[StaffMemberCode]])&lt;100,0,1)</f>
        <v>0</v>
      </c>
      <c r="J53" s="57">
        <f>IF(LEN(MEMBERS[[#This Row],[Title]])&lt;100,0,1)</f>
        <v>0</v>
      </c>
      <c r="K53" s="57">
        <f>COUNTBLANK(MEMBERS[[#This Row],[StaffMemberCode]:[ServiceStartDate]])+COUNTBLANK(MEMBERS[[#This Row],[Apprenticeship]]:MEMBERS[[#This Row],[StaffMemberEnabled]])+COUNTBLANK(MEMBERS[[#This Row],[GenderCode]]:MEMBERS[[#This Row],[Casual]])</f>
        <v>0</v>
      </c>
      <c r="L53" s="57">
        <f>IF(SUBSTITUTE(TEXT(MEMBERS[[#This Row],[StaffMemberCode]],10)," ","")=TEXT(MEMBERS[[#This Row],[StaffMemberCode]],10),0,1)</f>
        <v>0</v>
      </c>
      <c r="M53" s="57">
        <f ca="1">SUM(MEMBERS[[#This Row],[Duplicate NameService Start]:[Space in Code]])</f>
        <v>0</v>
      </c>
      <c r="O53" s="15">
        <v>91073578</v>
      </c>
      <c r="P53" s="15" t="s">
        <v>3179</v>
      </c>
      <c r="Q53" s="15" t="s">
        <v>3491</v>
      </c>
      <c r="R53" s="133" t="str">
        <f>MEMBERS[[#This Row],[FirstName]]&amp;" "&amp;MEMBERS[[#This Row],[LastName]]</f>
        <v>Anika Allen</v>
      </c>
      <c r="S53" s="21">
        <v>44670</v>
      </c>
      <c r="U53" s="21">
        <v>31781</v>
      </c>
      <c r="V53" t="b">
        <v>0</v>
      </c>
      <c r="W53" t="b">
        <v>0</v>
      </c>
      <c r="X53" t="b">
        <v>0</v>
      </c>
      <c r="Y53" t="s">
        <v>2094</v>
      </c>
      <c r="Z53" t="b">
        <v>1</v>
      </c>
      <c r="AB53" t="s">
        <v>1571</v>
      </c>
      <c r="AC53" t="b">
        <v>0</v>
      </c>
    </row>
    <row r="54" spans="1:29" x14ac:dyDescent="0.3">
      <c r="A54" s="57" t="str">
        <f>MEMBERS[[#This Row],[Title]]&amp;MEMBERS[[#This Row],[ServiceStartDate]]</f>
        <v>Anita Howell38985</v>
      </c>
      <c r="B54" s="57">
        <f>IF(COUNTIF(MEMBERS[NameServiceStart],MEMBERS[[#This Row],[NameServiceStart]])=1,0,1)</f>
        <v>0</v>
      </c>
      <c r="C54" s="57">
        <f>IF(COUNTIF(MEMBERS[StaffMemberCode],MEMBERS[[#This Row],[StaffMemberCode]])=1,0,1)</f>
        <v>0</v>
      </c>
      <c r="D54" s="57">
        <f>IF(ISBLANK(MEMBERS[[#This Row],[PayrollLocation]]),0,IF(COUNTIF(SCHOOLS[SchoolCode],MEMBERS[[#This Row],[PayrollLocation]])=1,0,1))</f>
        <v>0</v>
      </c>
      <c r="E54" s="57">
        <f>IF(MEMBERS[[#This Row],[AvailableToAllSchools]]=FALSE,IF(ISBLANK(MEMBERS[[#This Row],[SchoolCodes]]),1,0),IF(MEMBERS[[#This Row],[AvailableToAllSchools]]=TRUE,IF(ISBLANK(MEMBERS[[#This Row],[SchoolCodes]]),0,1)))</f>
        <v>0</v>
      </c>
      <c r="F54" s="57">
        <f>IF(ISBLANK(MEMBERS[[#This Row],[ServiceEndDate]]),0,IF(MEMBERS[[#This Row],[ServiceStartDate]]&lt;MEMBERS[[#This Row],[ServiceEndDate]],0,1))</f>
        <v>0</v>
      </c>
      <c r="G54" s="57" cm="1">
        <f t="array" aca="1" ref="G54" ca="1">IF(CELL("format",MEMBERS[[#This Row],[ServiceStartDate]])="D1",0,1)+IF(CELL("format",MEMBERS[[#This Row],[ServiceEndDate]])="D1",0,1)</f>
        <v>0</v>
      </c>
      <c r="H5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4" s="57">
        <f>IF(LEN(MEMBERS[[#This Row],[StaffMemberCode]])&lt;100,0,1)</f>
        <v>0</v>
      </c>
      <c r="J54" s="57">
        <f>IF(LEN(MEMBERS[[#This Row],[Title]])&lt;100,0,1)</f>
        <v>0</v>
      </c>
      <c r="K54" s="57">
        <f>COUNTBLANK(MEMBERS[[#This Row],[StaffMemberCode]:[ServiceStartDate]])+COUNTBLANK(MEMBERS[[#This Row],[Apprenticeship]]:MEMBERS[[#This Row],[StaffMemberEnabled]])+COUNTBLANK(MEMBERS[[#This Row],[GenderCode]]:MEMBERS[[#This Row],[Casual]])</f>
        <v>0</v>
      </c>
      <c r="L54" s="57">
        <f>IF(SUBSTITUTE(TEXT(MEMBERS[[#This Row],[StaffMemberCode]],10)," ","")=TEXT(MEMBERS[[#This Row],[StaffMemberCode]],10),0,1)</f>
        <v>0</v>
      </c>
      <c r="M54" s="57">
        <f ca="1">SUM(MEMBERS[[#This Row],[Duplicate NameService Start]:[Space in Code]])</f>
        <v>0</v>
      </c>
      <c r="O54" s="15">
        <v>91073677</v>
      </c>
      <c r="P54" s="15" t="s">
        <v>3180</v>
      </c>
      <c r="Q54" s="15" t="s">
        <v>3492</v>
      </c>
      <c r="R54" s="133" t="str">
        <f>MEMBERS[[#This Row],[FirstName]]&amp;" "&amp;MEMBERS[[#This Row],[LastName]]</f>
        <v>Anita Howell</v>
      </c>
      <c r="S54" s="21">
        <v>38985</v>
      </c>
      <c r="U54" s="21">
        <v>20928</v>
      </c>
      <c r="V54" t="b">
        <v>0</v>
      </c>
      <c r="W54" t="b">
        <v>0</v>
      </c>
      <c r="X54" t="b">
        <v>0</v>
      </c>
      <c r="Y54" t="s">
        <v>2082</v>
      </c>
      <c r="Z54" t="b">
        <v>1</v>
      </c>
      <c r="AB54" t="s">
        <v>1571</v>
      </c>
      <c r="AC54" t="b">
        <v>0</v>
      </c>
    </row>
    <row r="55" spans="1:29" x14ac:dyDescent="0.3">
      <c r="A55" s="57" t="str">
        <f>MEMBERS[[#This Row],[Title]]&amp;MEMBERS[[#This Row],[ServiceStartDate]]</f>
        <v>Ann Ansell39042</v>
      </c>
      <c r="B55" s="57">
        <f>IF(COUNTIF(MEMBERS[NameServiceStart],MEMBERS[[#This Row],[NameServiceStart]])=1,0,1)</f>
        <v>0</v>
      </c>
      <c r="C55" s="57">
        <f>IF(COUNTIF(MEMBERS[StaffMemberCode],MEMBERS[[#This Row],[StaffMemberCode]])=1,0,1)</f>
        <v>0</v>
      </c>
      <c r="D55" s="57">
        <f>IF(ISBLANK(MEMBERS[[#This Row],[PayrollLocation]]),0,IF(COUNTIF(SCHOOLS[SchoolCode],MEMBERS[[#This Row],[PayrollLocation]])=1,0,1))</f>
        <v>0</v>
      </c>
      <c r="E55" s="57">
        <f>IF(MEMBERS[[#This Row],[AvailableToAllSchools]]=FALSE,IF(ISBLANK(MEMBERS[[#This Row],[SchoolCodes]]),1,0),IF(MEMBERS[[#This Row],[AvailableToAllSchools]]=TRUE,IF(ISBLANK(MEMBERS[[#This Row],[SchoolCodes]]),0,1)))</f>
        <v>0</v>
      </c>
      <c r="F55" s="57">
        <f>IF(ISBLANK(MEMBERS[[#This Row],[ServiceEndDate]]),0,IF(MEMBERS[[#This Row],[ServiceStartDate]]&lt;MEMBERS[[#This Row],[ServiceEndDate]],0,1))</f>
        <v>0</v>
      </c>
      <c r="G55" s="57" cm="1">
        <f t="array" aca="1" ref="G55" ca="1">IF(CELL("format",MEMBERS[[#This Row],[ServiceStartDate]])="D1",0,1)+IF(CELL("format",MEMBERS[[#This Row],[ServiceEndDate]])="D1",0,1)</f>
        <v>0</v>
      </c>
      <c r="H5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5" s="57">
        <f>IF(LEN(MEMBERS[[#This Row],[StaffMemberCode]])&lt;100,0,1)</f>
        <v>0</v>
      </c>
      <c r="J55" s="57">
        <f>IF(LEN(MEMBERS[[#This Row],[Title]])&lt;100,0,1)</f>
        <v>0</v>
      </c>
      <c r="K55" s="57">
        <f>COUNTBLANK(MEMBERS[[#This Row],[StaffMemberCode]:[ServiceStartDate]])+COUNTBLANK(MEMBERS[[#This Row],[Apprenticeship]]:MEMBERS[[#This Row],[StaffMemberEnabled]])+COUNTBLANK(MEMBERS[[#This Row],[GenderCode]]:MEMBERS[[#This Row],[Casual]])</f>
        <v>0</v>
      </c>
      <c r="L55" s="57">
        <f>IF(SUBSTITUTE(TEXT(MEMBERS[[#This Row],[StaffMemberCode]],10)," ","")=TEXT(MEMBERS[[#This Row],[StaffMemberCode]],10),0,1)</f>
        <v>0</v>
      </c>
      <c r="M55" s="57">
        <f ca="1">SUM(MEMBERS[[#This Row],[Duplicate NameService Start]:[Space in Code]])</f>
        <v>0</v>
      </c>
      <c r="O55" s="15">
        <v>91073403</v>
      </c>
      <c r="P55" s="15" t="s">
        <v>3181</v>
      </c>
      <c r="Q55" s="15" t="s">
        <v>3493</v>
      </c>
      <c r="R55" s="133" t="str">
        <f>MEMBERS[[#This Row],[FirstName]]&amp;" "&amp;MEMBERS[[#This Row],[LastName]]</f>
        <v>Ann Ansell</v>
      </c>
      <c r="S55" s="21">
        <v>39042</v>
      </c>
      <c r="U55" s="21">
        <v>23513</v>
      </c>
      <c r="V55" t="b">
        <v>0</v>
      </c>
      <c r="W55" t="b">
        <v>0</v>
      </c>
      <c r="X55" t="b">
        <v>0</v>
      </c>
      <c r="Y55" t="s">
        <v>2275</v>
      </c>
      <c r="Z55" t="b">
        <v>1</v>
      </c>
      <c r="AB55" t="s">
        <v>1571</v>
      </c>
      <c r="AC55" t="b">
        <v>0</v>
      </c>
    </row>
    <row r="56" spans="1:29" x14ac:dyDescent="0.3">
      <c r="A56" s="57" t="str">
        <f>MEMBERS[[#This Row],[Title]]&amp;MEMBERS[[#This Row],[ServiceStartDate]]</f>
        <v>Ann Broady41795</v>
      </c>
      <c r="B56" s="57">
        <f>IF(COUNTIF(MEMBERS[NameServiceStart],MEMBERS[[#This Row],[NameServiceStart]])=1,0,1)</f>
        <v>0</v>
      </c>
      <c r="C56" s="57">
        <f>IF(COUNTIF(MEMBERS[StaffMemberCode],MEMBERS[[#This Row],[StaffMemberCode]])=1,0,1)</f>
        <v>0</v>
      </c>
      <c r="D56" s="57">
        <f>IF(ISBLANK(MEMBERS[[#This Row],[PayrollLocation]]),0,IF(COUNTIF(SCHOOLS[SchoolCode],MEMBERS[[#This Row],[PayrollLocation]])=1,0,1))</f>
        <v>0</v>
      </c>
      <c r="E56" s="57">
        <f>IF(MEMBERS[[#This Row],[AvailableToAllSchools]]=FALSE,IF(ISBLANK(MEMBERS[[#This Row],[SchoolCodes]]),1,0),IF(MEMBERS[[#This Row],[AvailableToAllSchools]]=TRUE,IF(ISBLANK(MEMBERS[[#This Row],[SchoolCodes]]),0,1)))</f>
        <v>0</v>
      </c>
      <c r="F56" s="57">
        <f>IF(ISBLANK(MEMBERS[[#This Row],[ServiceEndDate]]),0,IF(MEMBERS[[#This Row],[ServiceStartDate]]&lt;MEMBERS[[#This Row],[ServiceEndDate]],0,1))</f>
        <v>0</v>
      </c>
      <c r="G56" s="57" cm="1">
        <f t="array" aca="1" ref="G56" ca="1">IF(CELL("format",MEMBERS[[#This Row],[ServiceStartDate]])="D1",0,1)+IF(CELL("format",MEMBERS[[#This Row],[ServiceEndDate]])="D1",0,1)</f>
        <v>0</v>
      </c>
      <c r="H5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6" s="57">
        <f>IF(LEN(MEMBERS[[#This Row],[StaffMemberCode]])&lt;100,0,1)</f>
        <v>0</v>
      </c>
      <c r="J56" s="57">
        <f>IF(LEN(MEMBERS[[#This Row],[Title]])&lt;100,0,1)</f>
        <v>0</v>
      </c>
      <c r="K56" s="57">
        <f>COUNTBLANK(MEMBERS[[#This Row],[StaffMemberCode]:[ServiceStartDate]])+COUNTBLANK(MEMBERS[[#This Row],[Apprenticeship]]:MEMBERS[[#This Row],[StaffMemberEnabled]])+COUNTBLANK(MEMBERS[[#This Row],[GenderCode]]:MEMBERS[[#This Row],[Casual]])</f>
        <v>0</v>
      </c>
      <c r="L56" s="57">
        <f>IF(SUBSTITUTE(TEXT(MEMBERS[[#This Row],[StaffMemberCode]],10)," ","")=TEXT(MEMBERS[[#This Row],[StaffMemberCode]],10),0,1)</f>
        <v>0</v>
      </c>
      <c r="M56" s="57">
        <f ca="1">SUM(MEMBERS[[#This Row],[Duplicate NameService Start]:[Space in Code]])</f>
        <v>0</v>
      </c>
      <c r="O56" s="15">
        <v>91073533</v>
      </c>
      <c r="P56" s="15" t="s">
        <v>3181</v>
      </c>
      <c r="Q56" s="15" t="s">
        <v>3494</v>
      </c>
      <c r="R56" s="133" t="str">
        <f>MEMBERS[[#This Row],[FirstName]]&amp;" "&amp;MEMBERS[[#This Row],[LastName]]</f>
        <v>Ann Broady</v>
      </c>
      <c r="S56" s="21">
        <v>41795</v>
      </c>
      <c r="U56" s="21">
        <v>19571</v>
      </c>
      <c r="V56" t="b">
        <v>0</v>
      </c>
      <c r="W56" t="b">
        <v>0</v>
      </c>
      <c r="X56" t="b">
        <v>0</v>
      </c>
      <c r="Y56" t="s">
        <v>2094</v>
      </c>
      <c r="Z56" t="b">
        <v>1</v>
      </c>
      <c r="AB56" t="s">
        <v>1571</v>
      </c>
      <c r="AC56" t="b">
        <v>0</v>
      </c>
    </row>
    <row r="57" spans="1:29" x14ac:dyDescent="0.3">
      <c r="A57" s="57" t="str">
        <f>MEMBERS[[#This Row],[Title]]&amp;MEMBERS[[#This Row],[ServiceStartDate]]</f>
        <v>Annabelle Harthern45691</v>
      </c>
      <c r="B57" s="57">
        <f>IF(COUNTIF(MEMBERS[NameServiceStart],MEMBERS[[#This Row],[NameServiceStart]])=1,0,1)</f>
        <v>0</v>
      </c>
      <c r="C57" s="57">
        <f>IF(COUNTIF(MEMBERS[StaffMemberCode],MEMBERS[[#This Row],[StaffMemberCode]])=1,0,1)</f>
        <v>0</v>
      </c>
      <c r="D57" s="57">
        <f>IF(ISBLANK(MEMBERS[[#This Row],[PayrollLocation]]),0,IF(COUNTIF(SCHOOLS[SchoolCode],MEMBERS[[#This Row],[PayrollLocation]])=1,0,1))</f>
        <v>0</v>
      </c>
      <c r="E57" s="57">
        <f>IF(MEMBERS[[#This Row],[AvailableToAllSchools]]=FALSE,IF(ISBLANK(MEMBERS[[#This Row],[SchoolCodes]]),1,0),IF(MEMBERS[[#This Row],[AvailableToAllSchools]]=TRUE,IF(ISBLANK(MEMBERS[[#This Row],[SchoolCodes]]),0,1)))</f>
        <v>0</v>
      </c>
      <c r="F57" s="57">
        <f>IF(ISBLANK(MEMBERS[[#This Row],[ServiceEndDate]]),0,IF(MEMBERS[[#This Row],[ServiceStartDate]]&lt;MEMBERS[[#This Row],[ServiceEndDate]],0,1))</f>
        <v>0</v>
      </c>
      <c r="G57" s="57" cm="1">
        <f t="array" aca="1" ref="G57" ca="1">IF(CELL("format",MEMBERS[[#This Row],[ServiceStartDate]])="D1",0,1)+IF(CELL("format",MEMBERS[[#This Row],[ServiceEndDate]])="D1",0,1)</f>
        <v>0</v>
      </c>
      <c r="H5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7" s="57">
        <f>IF(LEN(MEMBERS[[#This Row],[StaffMemberCode]])&lt;100,0,1)</f>
        <v>0</v>
      </c>
      <c r="J57" s="57">
        <f>IF(LEN(MEMBERS[[#This Row],[Title]])&lt;100,0,1)</f>
        <v>0</v>
      </c>
      <c r="K57" s="57">
        <f>COUNTBLANK(MEMBERS[[#This Row],[StaffMemberCode]:[ServiceStartDate]])+COUNTBLANK(MEMBERS[[#This Row],[Apprenticeship]]:MEMBERS[[#This Row],[StaffMemberEnabled]])+COUNTBLANK(MEMBERS[[#This Row],[GenderCode]]:MEMBERS[[#This Row],[Casual]])</f>
        <v>0</v>
      </c>
      <c r="L57" s="57">
        <f>IF(SUBSTITUTE(TEXT(MEMBERS[[#This Row],[StaffMemberCode]],10)," ","")=TEXT(MEMBERS[[#This Row],[StaffMemberCode]],10),0,1)</f>
        <v>0</v>
      </c>
      <c r="M57" s="57">
        <f ca="1">SUM(MEMBERS[[#This Row],[Duplicate NameService Start]:[Space in Code]])</f>
        <v>0</v>
      </c>
      <c r="O57" s="15">
        <v>91330551</v>
      </c>
      <c r="P57" s="15" t="s">
        <v>3182</v>
      </c>
      <c r="Q57" s="15" t="s">
        <v>3495</v>
      </c>
      <c r="R57" s="133" t="str">
        <f>MEMBERS[[#This Row],[FirstName]]&amp;" "&amp;MEMBERS[[#This Row],[LastName]]</f>
        <v>Annabelle Harthern</v>
      </c>
      <c r="S57" s="21">
        <v>45691</v>
      </c>
      <c r="U57" s="21">
        <v>33047</v>
      </c>
      <c r="V57" t="b">
        <v>0</v>
      </c>
      <c r="W57" t="b">
        <v>0</v>
      </c>
      <c r="X57" t="b">
        <v>0</v>
      </c>
      <c r="Y57" t="s">
        <v>2094</v>
      </c>
      <c r="Z57" t="b">
        <v>1</v>
      </c>
      <c r="AB57" t="s">
        <v>1571</v>
      </c>
      <c r="AC57" t="b">
        <v>0</v>
      </c>
    </row>
    <row r="58" spans="1:29" x14ac:dyDescent="0.3">
      <c r="A58" s="57" t="str">
        <f>MEMBERS[[#This Row],[Title]]&amp;MEMBERS[[#This Row],[ServiceStartDate]]</f>
        <v>Annelies Jakobs43886</v>
      </c>
      <c r="B58" s="57">
        <f>IF(COUNTIF(MEMBERS[NameServiceStart],MEMBERS[[#This Row],[NameServiceStart]])=1,0,1)</f>
        <v>0</v>
      </c>
      <c r="C58" s="57">
        <f>IF(COUNTIF(MEMBERS[StaffMemberCode],MEMBERS[[#This Row],[StaffMemberCode]])=1,0,1)</f>
        <v>0</v>
      </c>
      <c r="D58" s="57">
        <f>IF(ISBLANK(MEMBERS[[#This Row],[PayrollLocation]]),0,IF(COUNTIF(SCHOOLS[SchoolCode],MEMBERS[[#This Row],[PayrollLocation]])=1,0,1))</f>
        <v>0</v>
      </c>
      <c r="E58" s="57">
        <f>IF(MEMBERS[[#This Row],[AvailableToAllSchools]]=FALSE,IF(ISBLANK(MEMBERS[[#This Row],[SchoolCodes]]),1,0),IF(MEMBERS[[#This Row],[AvailableToAllSchools]]=TRUE,IF(ISBLANK(MEMBERS[[#This Row],[SchoolCodes]]),0,1)))</f>
        <v>0</v>
      </c>
      <c r="F58" s="57">
        <f>IF(ISBLANK(MEMBERS[[#This Row],[ServiceEndDate]]),0,IF(MEMBERS[[#This Row],[ServiceStartDate]]&lt;MEMBERS[[#This Row],[ServiceEndDate]],0,1))</f>
        <v>0</v>
      </c>
      <c r="G58" s="57" cm="1">
        <f t="array" aca="1" ref="G58" ca="1">IF(CELL("format",MEMBERS[[#This Row],[ServiceStartDate]])="D1",0,1)+IF(CELL("format",MEMBERS[[#This Row],[ServiceEndDate]])="D1",0,1)</f>
        <v>0</v>
      </c>
      <c r="H5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8" s="57">
        <f>IF(LEN(MEMBERS[[#This Row],[StaffMemberCode]])&lt;100,0,1)</f>
        <v>0</v>
      </c>
      <c r="J58" s="57">
        <f>IF(LEN(MEMBERS[[#This Row],[Title]])&lt;100,0,1)</f>
        <v>0</v>
      </c>
      <c r="K58" s="57">
        <f>COUNTBLANK(MEMBERS[[#This Row],[StaffMemberCode]:[ServiceStartDate]])+COUNTBLANK(MEMBERS[[#This Row],[Apprenticeship]]:MEMBERS[[#This Row],[StaffMemberEnabled]])+COUNTBLANK(MEMBERS[[#This Row],[GenderCode]]:MEMBERS[[#This Row],[Casual]])</f>
        <v>0</v>
      </c>
      <c r="L58" s="57">
        <f>IF(SUBSTITUTE(TEXT(MEMBERS[[#This Row],[StaffMemberCode]],10)," ","")=TEXT(MEMBERS[[#This Row],[StaffMemberCode]],10),0,1)</f>
        <v>0</v>
      </c>
      <c r="M58" s="57">
        <f ca="1">SUM(MEMBERS[[#This Row],[Duplicate NameService Start]:[Space in Code]])</f>
        <v>0</v>
      </c>
      <c r="O58" s="15">
        <v>10007207</v>
      </c>
      <c r="P58" s="15" t="s">
        <v>3952</v>
      </c>
      <c r="Q58" s="15" t="s">
        <v>4030</v>
      </c>
      <c r="R58" s="133" t="str">
        <f>MEMBERS[[#This Row],[FirstName]]&amp;" "&amp;MEMBERS[[#This Row],[LastName]]</f>
        <v>Annelies Jakobs</v>
      </c>
      <c r="S58" s="21">
        <v>43886</v>
      </c>
      <c r="U58" s="21">
        <v>34088</v>
      </c>
      <c r="V58" s="138" t="b">
        <v>0</v>
      </c>
      <c r="W58" t="b">
        <v>0</v>
      </c>
      <c r="X58" t="b">
        <v>0</v>
      </c>
      <c r="Y58" t="s">
        <v>2126</v>
      </c>
      <c r="Z58" t="b">
        <v>1</v>
      </c>
      <c r="AB58" t="s">
        <v>1571</v>
      </c>
      <c r="AC58" t="b">
        <v>0</v>
      </c>
    </row>
    <row r="59" spans="1:29" x14ac:dyDescent="0.3">
      <c r="A59" s="57" t="str">
        <f>MEMBERS[[#This Row],[Title]]&amp;MEMBERS[[#This Row],[ServiceStartDate]]</f>
        <v>Anne-Marie Nash42013</v>
      </c>
      <c r="B59" s="57">
        <f>IF(COUNTIF(MEMBERS[NameServiceStart],MEMBERS[[#This Row],[NameServiceStart]])=1,0,1)</f>
        <v>0</v>
      </c>
      <c r="C59" s="57">
        <f>IF(COUNTIF(MEMBERS[StaffMemberCode],MEMBERS[[#This Row],[StaffMemberCode]])=1,0,1)</f>
        <v>0</v>
      </c>
      <c r="D59" s="57">
        <f>IF(ISBLANK(MEMBERS[[#This Row],[PayrollLocation]]),0,IF(COUNTIF(SCHOOLS[SchoolCode],MEMBERS[[#This Row],[PayrollLocation]])=1,0,1))</f>
        <v>0</v>
      </c>
      <c r="E59" s="57">
        <f>IF(MEMBERS[[#This Row],[AvailableToAllSchools]]=FALSE,IF(ISBLANK(MEMBERS[[#This Row],[SchoolCodes]]),1,0),IF(MEMBERS[[#This Row],[AvailableToAllSchools]]=TRUE,IF(ISBLANK(MEMBERS[[#This Row],[SchoolCodes]]),0,1)))</f>
        <v>0</v>
      </c>
      <c r="F59" s="57">
        <f>IF(ISBLANK(MEMBERS[[#This Row],[ServiceEndDate]]),0,IF(MEMBERS[[#This Row],[ServiceStartDate]]&lt;MEMBERS[[#This Row],[ServiceEndDate]],0,1))</f>
        <v>0</v>
      </c>
      <c r="G59" s="57" cm="1">
        <f t="array" aca="1" ref="G59" ca="1">IF(CELL("format",MEMBERS[[#This Row],[ServiceStartDate]])="D1",0,1)+IF(CELL("format",MEMBERS[[#This Row],[ServiceEndDate]])="D1",0,1)</f>
        <v>0</v>
      </c>
      <c r="H5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9" s="57">
        <f>IF(LEN(MEMBERS[[#This Row],[StaffMemberCode]])&lt;100,0,1)</f>
        <v>0</v>
      </c>
      <c r="J59" s="57">
        <f>IF(LEN(MEMBERS[[#This Row],[Title]])&lt;100,0,1)</f>
        <v>0</v>
      </c>
      <c r="K59" s="57">
        <f>COUNTBLANK(MEMBERS[[#This Row],[StaffMemberCode]:[ServiceStartDate]])+COUNTBLANK(MEMBERS[[#This Row],[Apprenticeship]]:MEMBERS[[#This Row],[StaffMemberEnabled]])+COUNTBLANK(MEMBERS[[#This Row],[GenderCode]]:MEMBERS[[#This Row],[Casual]])</f>
        <v>0</v>
      </c>
      <c r="L59" s="57">
        <f>IF(SUBSTITUTE(TEXT(MEMBERS[[#This Row],[StaffMemberCode]],10)," ","")=TEXT(MEMBERS[[#This Row],[StaffMemberCode]],10),0,1)</f>
        <v>0</v>
      </c>
      <c r="M59" s="57">
        <f ca="1">SUM(MEMBERS[[#This Row],[Duplicate NameService Start]:[Space in Code]])</f>
        <v>0</v>
      </c>
      <c r="O59" s="15">
        <v>91073562</v>
      </c>
      <c r="P59" s="15" t="s">
        <v>3183</v>
      </c>
      <c r="Q59" s="15" t="s">
        <v>3496</v>
      </c>
      <c r="R59" s="133" t="str">
        <f>MEMBERS[[#This Row],[FirstName]]&amp;" "&amp;MEMBERS[[#This Row],[LastName]]</f>
        <v>Anne-Marie Nash</v>
      </c>
      <c r="S59" s="21">
        <v>42013</v>
      </c>
      <c r="U59" s="21">
        <v>24063</v>
      </c>
      <c r="V59" t="b">
        <v>0</v>
      </c>
      <c r="W59" t="b">
        <v>0</v>
      </c>
      <c r="X59" t="b">
        <v>0</v>
      </c>
      <c r="Y59" t="s">
        <v>2094</v>
      </c>
      <c r="Z59" t="b">
        <v>1</v>
      </c>
      <c r="AB59" t="s">
        <v>1571</v>
      </c>
      <c r="AC59" t="b">
        <v>0</v>
      </c>
    </row>
    <row r="60" spans="1:29" x14ac:dyDescent="0.3">
      <c r="A60" s="57" t="str">
        <f>MEMBERS[[#This Row],[Title]]&amp;MEMBERS[[#This Row],[ServiceStartDate]]</f>
        <v>Annette Neal44837</v>
      </c>
      <c r="B60" s="57">
        <f>IF(COUNTIF(MEMBERS[NameServiceStart],MEMBERS[[#This Row],[NameServiceStart]])=1,0,1)</f>
        <v>0</v>
      </c>
      <c r="C60" s="57">
        <f>IF(COUNTIF(MEMBERS[StaffMemberCode],MEMBERS[[#This Row],[StaffMemberCode]])=1,0,1)</f>
        <v>0</v>
      </c>
      <c r="D60" s="57">
        <f>IF(ISBLANK(MEMBERS[[#This Row],[PayrollLocation]]),0,IF(COUNTIF(SCHOOLS[SchoolCode],MEMBERS[[#This Row],[PayrollLocation]])=1,0,1))</f>
        <v>0</v>
      </c>
      <c r="E60" s="57">
        <f>IF(MEMBERS[[#This Row],[AvailableToAllSchools]]=FALSE,IF(ISBLANK(MEMBERS[[#This Row],[SchoolCodes]]),1,0),IF(MEMBERS[[#This Row],[AvailableToAllSchools]]=TRUE,IF(ISBLANK(MEMBERS[[#This Row],[SchoolCodes]]),0,1)))</f>
        <v>0</v>
      </c>
      <c r="F60" s="57">
        <f>IF(ISBLANK(MEMBERS[[#This Row],[ServiceEndDate]]),0,IF(MEMBERS[[#This Row],[ServiceStartDate]]&lt;MEMBERS[[#This Row],[ServiceEndDate]],0,1))</f>
        <v>0</v>
      </c>
      <c r="G60" s="57" cm="1">
        <f t="array" aca="1" ref="G60" ca="1">IF(CELL("format",MEMBERS[[#This Row],[ServiceStartDate]])="D1",0,1)+IF(CELL("format",MEMBERS[[#This Row],[ServiceEndDate]])="D1",0,1)</f>
        <v>0</v>
      </c>
      <c r="H6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0" s="57">
        <f>IF(LEN(MEMBERS[[#This Row],[StaffMemberCode]])&lt;100,0,1)</f>
        <v>0</v>
      </c>
      <c r="J60" s="57">
        <f>IF(LEN(MEMBERS[[#This Row],[Title]])&lt;100,0,1)</f>
        <v>0</v>
      </c>
      <c r="K60" s="57">
        <f>COUNTBLANK(MEMBERS[[#This Row],[StaffMemberCode]:[ServiceStartDate]])+COUNTBLANK(MEMBERS[[#This Row],[Apprenticeship]]:MEMBERS[[#This Row],[StaffMemberEnabled]])+COUNTBLANK(MEMBERS[[#This Row],[GenderCode]]:MEMBERS[[#This Row],[Casual]])</f>
        <v>0</v>
      </c>
      <c r="L60" s="57">
        <f>IF(SUBSTITUTE(TEXT(MEMBERS[[#This Row],[StaffMemberCode]],10)," ","")=TEXT(MEMBERS[[#This Row],[StaffMemberCode]],10),0,1)</f>
        <v>0</v>
      </c>
      <c r="M60" s="57">
        <f ca="1">SUM(MEMBERS[[#This Row],[Duplicate NameService Start]:[Space in Code]])</f>
        <v>0</v>
      </c>
      <c r="O60" s="15">
        <v>10010815</v>
      </c>
      <c r="P60" s="15" t="s">
        <v>3953</v>
      </c>
      <c r="Q60" s="15" t="s">
        <v>3995</v>
      </c>
      <c r="R60" s="133" t="str">
        <f>MEMBERS[[#This Row],[FirstName]]&amp;" "&amp;MEMBERS[[#This Row],[LastName]]</f>
        <v>Annette Neal</v>
      </c>
      <c r="S60" s="21">
        <v>44837</v>
      </c>
      <c r="U60" s="21">
        <v>23531</v>
      </c>
      <c r="V60" s="138" t="b">
        <v>0</v>
      </c>
      <c r="W60" t="b">
        <v>0</v>
      </c>
      <c r="X60" t="b">
        <v>0</v>
      </c>
      <c r="Y60" t="s">
        <v>2126</v>
      </c>
      <c r="Z60" t="b">
        <v>1</v>
      </c>
      <c r="AB60" t="s">
        <v>1571</v>
      </c>
      <c r="AC60" t="b">
        <v>0</v>
      </c>
    </row>
    <row r="61" spans="1:29" x14ac:dyDescent="0.3">
      <c r="A61" s="57" t="str">
        <f>MEMBERS[[#This Row],[Title]]&amp;MEMBERS[[#This Row],[ServiceStartDate]]</f>
        <v>Anthea Hughes38361</v>
      </c>
      <c r="B61" s="57">
        <f>IF(COUNTIF(MEMBERS[NameServiceStart],MEMBERS[[#This Row],[NameServiceStart]])=1,0,1)</f>
        <v>0</v>
      </c>
      <c r="C61" s="57">
        <f>IF(COUNTIF(MEMBERS[StaffMemberCode],MEMBERS[[#This Row],[StaffMemberCode]])=1,0,1)</f>
        <v>0</v>
      </c>
      <c r="D61" s="57">
        <f>IF(ISBLANK(MEMBERS[[#This Row],[PayrollLocation]]),0,IF(COUNTIF(SCHOOLS[SchoolCode],MEMBERS[[#This Row],[PayrollLocation]])=1,0,1))</f>
        <v>0</v>
      </c>
      <c r="E61" s="57">
        <f>IF(MEMBERS[[#This Row],[AvailableToAllSchools]]=FALSE,IF(ISBLANK(MEMBERS[[#This Row],[SchoolCodes]]),1,0),IF(MEMBERS[[#This Row],[AvailableToAllSchools]]=TRUE,IF(ISBLANK(MEMBERS[[#This Row],[SchoolCodes]]),0,1)))</f>
        <v>0</v>
      </c>
      <c r="F61" s="57">
        <f>IF(ISBLANK(MEMBERS[[#This Row],[ServiceEndDate]]),0,IF(MEMBERS[[#This Row],[ServiceStartDate]]&lt;MEMBERS[[#This Row],[ServiceEndDate]],0,1))</f>
        <v>0</v>
      </c>
      <c r="G61" s="57" cm="1">
        <f t="array" aca="1" ref="G61" ca="1">IF(CELL("format",MEMBERS[[#This Row],[ServiceStartDate]])="D1",0,1)+IF(CELL("format",MEMBERS[[#This Row],[ServiceEndDate]])="D1",0,1)</f>
        <v>0</v>
      </c>
      <c r="H6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1" s="57">
        <f>IF(LEN(MEMBERS[[#This Row],[StaffMemberCode]])&lt;100,0,1)</f>
        <v>0</v>
      </c>
      <c r="J61" s="57">
        <f>IF(LEN(MEMBERS[[#This Row],[Title]])&lt;100,0,1)</f>
        <v>0</v>
      </c>
      <c r="K61" s="57">
        <f>COUNTBLANK(MEMBERS[[#This Row],[StaffMemberCode]:[ServiceStartDate]])+COUNTBLANK(MEMBERS[[#This Row],[Apprenticeship]]:MEMBERS[[#This Row],[StaffMemberEnabled]])+COUNTBLANK(MEMBERS[[#This Row],[GenderCode]]:MEMBERS[[#This Row],[Casual]])</f>
        <v>0</v>
      </c>
      <c r="L61" s="57">
        <f>IF(SUBSTITUTE(TEXT(MEMBERS[[#This Row],[StaffMemberCode]],10)," ","")=TEXT(MEMBERS[[#This Row],[StaffMemberCode]],10),0,1)</f>
        <v>0</v>
      </c>
      <c r="M61" s="57">
        <f ca="1">SUM(MEMBERS[[#This Row],[Duplicate NameService Start]:[Space in Code]])</f>
        <v>0</v>
      </c>
      <c r="O61" s="15">
        <v>91073679</v>
      </c>
      <c r="P61" s="15" t="s">
        <v>3184</v>
      </c>
      <c r="Q61" s="15" t="s">
        <v>3497</v>
      </c>
      <c r="R61" s="133" t="str">
        <f>MEMBERS[[#This Row],[FirstName]]&amp;" "&amp;MEMBERS[[#This Row],[LastName]]</f>
        <v>Anthea Hughes</v>
      </c>
      <c r="S61" s="21">
        <v>38361</v>
      </c>
      <c r="U61" s="21">
        <v>23085</v>
      </c>
      <c r="V61" t="b">
        <v>0</v>
      </c>
      <c r="W61" t="b">
        <v>0</v>
      </c>
      <c r="X61" t="b">
        <v>0</v>
      </c>
      <c r="Y61" t="s">
        <v>2082</v>
      </c>
      <c r="Z61" t="b">
        <v>1</v>
      </c>
      <c r="AB61" t="s">
        <v>1571</v>
      </c>
      <c r="AC61" t="b">
        <v>0</v>
      </c>
    </row>
    <row r="62" spans="1:29" x14ac:dyDescent="0.3">
      <c r="A62" s="57" t="str">
        <f>MEMBERS[[#This Row],[Title]]&amp;MEMBERS[[#This Row],[ServiceStartDate]]</f>
        <v>Anya Collins45478</v>
      </c>
      <c r="B62" s="57">
        <f>IF(COUNTIF(MEMBERS[NameServiceStart],MEMBERS[[#This Row],[NameServiceStart]])=1,0,1)</f>
        <v>0</v>
      </c>
      <c r="C62" s="57">
        <f>IF(COUNTIF(MEMBERS[StaffMemberCode],MEMBERS[[#This Row],[StaffMemberCode]])=1,0,1)</f>
        <v>0</v>
      </c>
      <c r="D62" s="57">
        <f>IF(ISBLANK(MEMBERS[[#This Row],[PayrollLocation]]),0,IF(COUNTIF(SCHOOLS[SchoolCode],MEMBERS[[#This Row],[PayrollLocation]])=1,0,1))</f>
        <v>0</v>
      </c>
      <c r="E62" s="57">
        <f>IF(MEMBERS[[#This Row],[AvailableToAllSchools]]=FALSE,IF(ISBLANK(MEMBERS[[#This Row],[SchoolCodes]]),1,0),IF(MEMBERS[[#This Row],[AvailableToAllSchools]]=TRUE,IF(ISBLANK(MEMBERS[[#This Row],[SchoolCodes]]),0,1)))</f>
        <v>0</v>
      </c>
      <c r="F62" s="57">
        <f>IF(ISBLANK(MEMBERS[[#This Row],[ServiceEndDate]]),0,IF(MEMBERS[[#This Row],[ServiceStartDate]]&lt;MEMBERS[[#This Row],[ServiceEndDate]],0,1))</f>
        <v>0</v>
      </c>
      <c r="G62" s="57" cm="1">
        <f t="array" aca="1" ref="G62" ca="1">IF(CELL("format",MEMBERS[[#This Row],[ServiceStartDate]])="D1",0,1)+IF(CELL("format",MEMBERS[[#This Row],[ServiceEndDate]])="D1",0,1)</f>
        <v>0</v>
      </c>
      <c r="H6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2" s="57">
        <f>IF(LEN(MEMBERS[[#This Row],[StaffMemberCode]])&lt;100,0,1)</f>
        <v>0</v>
      </c>
      <c r="J62" s="57">
        <f>IF(LEN(MEMBERS[[#This Row],[Title]])&lt;100,0,1)</f>
        <v>0</v>
      </c>
      <c r="K62" s="57">
        <f>COUNTBLANK(MEMBERS[[#This Row],[StaffMemberCode]:[ServiceStartDate]])+COUNTBLANK(MEMBERS[[#This Row],[Apprenticeship]]:MEMBERS[[#This Row],[StaffMemberEnabled]])+COUNTBLANK(MEMBERS[[#This Row],[GenderCode]]:MEMBERS[[#This Row],[Casual]])</f>
        <v>0</v>
      </c>
      <c r="L62" s="57">
        <f>IF(SUBSTITUTE(TEXT(MEMBERS[[#This Row],[StaffMemberCode]],10)," ","")=TEXT(MEMBERS[[#This Row],[StaffMemberCode]],10),0,1)</f>
        <v>0</v>
      </c>
      <c r="M62" s="57">
        <f ca="1">SUM(MEMBERS[[#This Row],[Duplicate NameService Start]:[Space in Code]])</f>
        <v>0</v>
      </c>
      <c r="O62" s="15">
        <v>91323954</v>
      </c>
      <c r="P62" s="15" t="s">
        <v>3185</v>
      </c>
      <c r="Q62" s="15" t="s">
        <v>3498</v>
      </c>
      <c r="R62" s="133" t="str">
        <f>MEMBERS[[#This Row],[FirstName]]&amp;" "&amp;MEMBERS[[#This Row],[LastName]]</f>
        <v>Anya Collins</v>
      </c>
      <c r="S62" s="21">
        <v>45478</v>
      </c>
      <c r="U62" s="21">
        <v>37835</v>
      </c>
      <c r="V62" t="b">
        <v>0</v>
      </c>
      <c r="W62" t="b">
        <v>0</v>
      </c>
      <c r="X62" t="b">
        <v>0</v>
      </c>
      <c r="Y62" t="s">
        <v>2082</v>
      </c>
      <c r="Z62" t="b">
        <v>1</v>
      </c>
      <c r="AB62" t="s">
        <v>1571</v>
      </c>
      <c r="AC62" t="b">
        <v>1</v>
      </c>
    </row>
    <row r="63" spans="1:29" x14ac:dyDescent="0.3">
      <c r="A63" s="57" t="str">
        <f>MEMBERS[[#This Row],[Title]]&amp;MEMBERS[[#This Row],[ServiceStartDate]]</f>
        <v>Arlene Preston39822</v>
      </c>
      <c r="B63" s="57">
        <f>IF(COUNTIF(MEMBERS[NameServiceStart],MEMBERS[[#This Row],[NameServiceStart]])=1,0,1)</f>
        <v>0</v>
      </c>
      <c r="C63" s="57">
        <f>IF(COUNTIF(MEMBERS[StaffMemberCode],MEMBERS[[#This Row],[StaffMemberCode]])=1,0,1)</f>
        <v>0</v>
      </c>
      <c r="D63" s="57">
        <f>IF(ISBLANK(MEMBERS[[#This Row],[PayrollLocation]]),0,IF(COUNTIF(SCHOOLS[SchoolCode],MEMBERS[[#This Row],[PayrollLocation]])=1,0,1))</f>
        <v>0</v>
      </c>
      <c r="E63" s="57">
        <f>IF(MEMBERS[[#This Row],[AvailableToAllSchools]]=FALSE,IF(ISBLANK(MEMBERS[[#This Row],[SchoolCodes]]),1,0),IF(MEMBERS[[#This Row],[AvailableToAllSchools]]=TRUE,IF(ISBLANK(MEMBERS[[#This Row],[SchoolCodes]]),0,1)))</f>
        <v>0</v>
      </c>
      <c r="F63" s="57">
        <f>IF(ISBLANK(MEMBERS[[#This Row],[ServiceEndDate]]),0,IF(MEMBERS[[#This Row],[ServiceStartDate]]&lt;MEMBERS[[#This Row],[ServiceEndDate]],0,1))</f>
        <v>0</v>
      </c>
      <c r="G63" s="57" cm="1">
        <f t="array" aca="1" ref="G63" ca="1">IF(CELL("format",MEMBERS[[#This Row],[ServiceStartDate]])="D1",0,1)+IF(CELL("format",MEMBERS[[#This Row],[ServiceEndDate]])="D1",0,1)</f>
        <v>0</v>
      </c>
      <c r="H6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3" s="57">
        <f>IF(LEN(MEMBERS[[#This Row],[StaffMemberCode]])&lt;100,0,1)</f>
        <v>0</v>
      </c>
      <c r="J63" s="57">
        <f>IF(LEN(MEMBERS[[#This Row],[Title]])&lt;100,0,1)</f>
        <v>0</v>
      </c>
      <c r="K63" s="57">
        <f>COUNTBLANK(MEMBERS[[#This Row],[StaffMemberCode]:[ServiceStartDate]])+COUNTBLANK(MEMBERS[[#This Row],[Apprenticeship]]:MEMBERS[[#This Row],[StaffMemberEnabled]])+COUNTBLANK(MEMBERS[[#This Row],[GenderCode]]:MEMBERS[[#This Row],[Casual]])</f>
        <v>0</v>
      </c>
      <c r="L63" s="57">
        <f>IF(SUBSTITUTE(TEXT(MEMBERS[[#This Row],[StaffMemberCode]],10)," ","")=TEXT(MEMBERS[[#This Row],[StaffMemberCode]],10),0,1)</f>
        <v>0</v>
      </c>
      <c r="M63" s="57">
        <f ca="1">SUM(MEMBERS[[#This Row],[Duplicate NameService Start]:[Space in Code]])</f>
        <v>0</v>
      </c>
      <c r="O63" s="15">
        <v>91073695</v>
      </c>
      <c r="P63" s="15" t="s">
        <v>3186</v>
      </c>
      <c r="Q63" s="15" t="s">
        <v>3499</v>
      </c>
      <c r="R63" s="133" t="str">
        <f>MEMBERS[[#This Row],[FirstName]]&amp;" "&amp;MEMBERS[[#This Row],[LastName]]</f>
        <v>Arlene Preston</v>
      </c>
      <c r="S63" s="21">
        <v>39822</v>
      </c>
      <c r="U63" s="21">
        <v>25054</v>
      </c>
      <c r="V63" t="b">
        <v>0</v>
      </c>
      <c r="W63" t="b">
        <v>0</v>
      </c>
      <c r="X63" t="b">
        <v>0</v>
      </c>
      <c r="Y63" t="s">
        <v>2082</v>
      </c>
      <c r="Z63" t="b">
        <v>1</v>
      </c>
      <c r="AB63" t="s">
        <v>1571</v>
      </c>
      <c r="AC63" t="b">
        <v>0</v>
      </c>
    </row>
    <row r="64" spans="1:29" x14ac:dyDescent="0.3">
      <c r="A64" s="57" t="str">
        <f>MEMBERS[[#This Row],[Title]]&amp;MEMBERS[[#This Row],[ServiceStartDate]]</f>
        <v>Arthur Elson44529</v>
      </c>
      <c r="B64" s="57">
        <f>IF(COUNTIF(MEMBERS[NameServiceStart],MEMBERS[[#This Row],[NameServiceStart]])=1,0,1)</f>
        <v>0</v>
      </c>
      <c r="C64" s="57">
        <f>IF(COUNTIF(MEMBERS[StaffMemberCode],MEMBERS[[#This Row],[StaffMemberCode]])=1,0,1)</f>
        <v>0</v>
      </c>
      <c r="D64" s="57">
        <f>IF(ISBLANK(MEMBERS[[#This Row],[PayrollLocation]]),0,IF(COUNTIF(SCHOOLS[SchoolCode],MEMBERS[[#This Row],[PayrollLocation]])=1,0,1))</f>
        <v>0</v>
      </c>
      <c r="E64" s="57">
        <f>IF(MEMBERS[[#This Row],[AvailableToAllSchools]]=FALSE,IF(ISBLANK(MEMBERS[[#This Row],[SchoolCodes]]),1,0),IF(MEMBERS[[#This Row],[AvailableToAllSchools]]=TRUE,IF(ISBLANK(MEMBERS[[#This Row],[SchoolCodes]]),0,1)))</f>
        <v>0</v>
      </c>
      <c r="F64" s="57">
        <f>IF(ISBLANK(MEMBERS[[#This Row],[ServiceEndDate]]),0,IF(MEMBERS[[#This Row],[ServiceStartDate]]&lt;MEMBERS[[#This Row],[ServiceEndDate]],0,1))</f>
        <v>0</v>
      </c>
      <c r="G64" s="57" cm="1">
        <f t="array" aca="1" ref="G64" ca="1">IF(CELL("format",MEMBERS[[#This Row],[ServiceStartDate]])="D1",0,1)+IF(CELL("format",MEMBERS[[#This Row],[ServiceEndDate]])="D1",0,1)</f>
        <v>0</v>
      </c>
      <c r="H6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4" s="57">
        <f>IF(LEN(MEMBERS[[#This Row],[StaffMemberCode]])&lt;100,0,1)</f>
        <v>0</v>
      </c>
      <c r="J64" s="57">
        <f>IF(LEN(MEMBERS[[#This Row],[Title]])&lt;100,0,1)</f>
        <v>0</v>
      </c>
      <c r="K64" s="57">
        <f>COUNTBLANK(MEMBERS[[#This Row],[StaffMemberCode]:[ServiceStartDate]])+COUNTBLANK(MEMBERS[[#This Row],[Apprenticeship]]:MEMBERS[[#This Row],[StaffMemberEnabled]])+COUNTBLANK(MEMBERS[[#This Row],[GenderCode]]:MEMBERS[[#This Row],[Casual]])</f>
        <v>0</v>
      </c>
      <c r="L64" s="57">
        <f>IF(SUBSTITUTE(TEXT(MEMBERS[[#This Row],[StaffMemberCode]],10)," ","")=TEXT(MEMBERS[[#This Row],[StaffMemberCode]],10),0,1)</f>
        <v>0</v>
      </c>
      <c r="M64" s="57">
        <f ca="1">SUM(MEMBERS[[#This Row],[Duplicate NameService Start]:[Space in Code]])</f>
        <v>0</v>
      </c>
      <c r="O64" s="15">
        <v>91073558</v>
      </c>
      <c r="P64" s="15" t="s">
        <v>3187</v>
      </c>
      <c r="Q64" s="15" t="s">
        <v>3500</v>
      </c>
      <c r="R64" s="133" t="str">
        <f>MEMBERS[[#This Row],[FirstName]]&amp;" "&amp;MEMBERS[[#This Row],[LastName]]</f>
        <v>Arthur Elson</v>
      </c>
      <c r="S64" s="21">
        <v>44529</v>
      </c>
      <c r="U64" s="21">
        <v>16976</v>
      </c>
      <c r="V64" t="b">
        <v>0</v>
      </c>
      <c r="W64" t="b">
        <v>0</v>
      </c>
      <c r="X64" t="b">
        <v>0</v>
      </c>
      <c r="Y64" t="s">
        <v>2094</v>
      </c>
      <c r="Z64" t="b">
        <v>1</v>
      </c>
      <c r="AB64" t="s">
        <v>1572</v>
      </c>
      <c r="AC64" t="b">
        <v>1</v>
      </c>
    </row>
    <row r="65" spans="1:29" x14ac:dyDescent="0.3">
      <c r="A65" s="57" t="str">
        <f>MEMBERS[[#This Row],[Title]]&amp;MEMBERS[[#This Row],[ServiceStartDate]]</f>
        <v>Ashleigh Shearer-Davies43656</v>
      </c>
      <c r="B65" s="57">
        <f>IF(COUNTIF(MEMBERS[NameServiceStart],MEMBERS[[#This Row],[NameServiceStart]])=1,0,1)</f>
        <v>0</v>
      </c>
      <c r="C65" s="57">
        <f>IF(COUNTIF(MEMBERS[StaffMemberCode],MEMBERS[[#This Row],[StaffMemberCode]])=1,0,1)</f>
        <v>0</v>
      </c>
      <c r="D65" s="57">
        <f>IF(ISBLANK(MEMBERS[[#This Row],[PayrollLocation]]),0,IF(COUNTIF(SCHOOLS[SchoolCode],MEMBERS[[#This Row],[PayrollLocation]])=1,0,1))</f>
        <v>0</v>
      </c>
      <c r="E65" s="57">
        <f>IF(MEMBERS[[#This Row],[AvailableToAllSchools]]=FALSE,IF(ISBLANK(MEMBERS[[#This Row],[SchoolCodes]]),1,0),IF(MEMBERS[[#This Row],[AvailableToAllSchools]]=TRUE,IF(ISBLANK(MEMBERS[[#This Row],[SchoolCodes]]),0,1)))</f>
        <v>0</v>
      </c>
      <c r="F65" s="57">
        <f>IF(ISBLANK(MEMBERS[[#This Row],[ServiceEndDate]]),0,IF(MEMBERS[[#This Row],[ServiceStartDate]]&lt;MEMBERS[[#This Row],[ServiceEndDate]],0,1))</f>
        <v>0</v>
      </c>
      <c r="G65" s="57" cm="1">
        <f t="array" aca="1" ref="G65" ca="1">IF(CELL("format",MEMBERS[[#This Row],[ServiceStartDate]])="D1",0,1)+IF(CELL("format",MEMBERS[[#This Row],[ServiceEndDate]])="D1",0,1)</f>
        <v>0</v>
      </c>
      <c r="H6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5" s="57">
        <f>IF(LEN(MEMBERS[[#This Row],[StaffMemberCode]])&lt;100,0,1)</f>
        <v>0</v>
      </c>
      <c r="J65" s="57">
        <f>IF(LEN(MEMBERS[[#This Row],[Title]])&lt;100,0,1)</f>
        <v>0</v>
      </c>
      <c r="K65" s="57">
        <f>COUNTBLANK(MEMBERS[[#This Row],[StaffMemberCode]:[ServiceStartDate]])+COUNTBLANK(MEMBERS[[#This Row],[Apprenticeship]]:MEMBERS[[#This Row],[StaffMemberEnabled]])+COUNTBLANK(MEMBERS[[#This Row],[GenderCode]]:MEMBERS[[#This Row],[Casual]])</f>
        <v>0</v>
      </c>
      <c r="L65" s="57">
        <f>IF(SUBSTITUTE(TEXT(MEMBERS[[#This Row],[StaffMemberCode]],10)," ","")=TEXT(MEMBERS[[#This Row],[StaffMemberCode]],10),0,1)</f>
        <v>0</v>
      </c>
      <c r="M65" s="57">
        <f ca="1">SUM(MEMBERS[[#This Row],[Duplicate NameService Start]:[Space in Code]])</f>
        <v>0</v>
      </c>
      <c r="O65" s="15">
        <v>91073418</v>
      </c>
      <c r="P65" s="15" t="s">
        <v>3188</v>
      </c>
      <c r="Q65" s="15" t="s">
        <v>3501</v>
      </c>
      <c r="R65" s="133" t="str">
        <f>MEMBERS[[#This Row],[FirstName]]&amp;" "&amp;MEMBERS[[#This Row],[LastName]]</f>
        <v>Ashleigh Shearer-Davies</v>
      </c>
      <c r="S65" s="21">
        <v>43656</v>
      </c>
      <c r="U65" s="21">
        <v>36235</v>
      </c>
      <c r="V65" t="b">
        <v>0</v>
      </c>
      <c r="W65" t="b">
        <v>0</v>
      </c>
      <c r="X65" t="b">
        <v>0</v>
      </c>
      <c r="Y65" t="s">
        <v>2275</v>
      </c>
      <c r="Z65" t="b">
        <v>1</v>
      </c>
      <c r="AB65" t="s">
        <v>1571</v>
      </c>
      <c r="AC65" t="b">
        <v>0</v>
      </c>
    </row>
    <row r="66" spans="1:29" x14ac:dyDescent="0.3">
      <c r="A66" s="57" t="str">
        <f>MEMBERS[[#This Row],[Title]]&amp;MEMBERS[[#This Row],[ServiceStartDate]]</f>
        <v>Ashley Owen43388</v>
      </c>
      <c r="B66" s="57">
        <f>IF(COUNTIF(MEMBERS[NameServiceStart],MEMBERS[[#This Row],[NameServiceStart]])=1,0,1)</f>
        <v>0</v>
      </c>
      <c r="C66" s="57">
        <f>IF(COUNTIF(MEMBERS[StaffMemberCode],MEMBERS[[#This Row],[StaffMemberCode]])=1,0,1)</f>
        <v>0</v>
      </c>
      <c r="D66" s="57">
        <f>IF(ISBLANK(MEMBERS[[#This Row],[PayrollLocation]]),0,IF(COUNTIF(SCHOOLS[SchoolCode],MEMBERS[[#This Row],[PayrollLocation]])=1,0,1))</f>
        <v>0</v>
      </c>
      <c r="E66" s="57">
        <f>IF(MEMBERS[[#This Row],[AvailableToAllSchools]]=FALSE,IF(ISBLANK(MEMBERS[[#This Row],[SchoolCodes]]),1,0),IF(MEMBERS[[#This Row],[AvailableToAllSchools]]=TRUE,IF(ISBLANK(MEMBERS[[#This Row],[SchoolCodes]]),0,1)))</f>
        <v>0</v>
      </c>
      <c r="F66" s="57">
        <f>IF(ISBLANK(MEMBERS[[#This Row],[ServiceEndDate]]),0,IF(MEMBERS[[#This Row],[ServiceStartDate]]&lt;MEMBERS[[#This Row],[ServiceEndDate]],0,1))</f>
        <v>0</v>
      </c>
      <c r="G66" s="57" cm="1">
        <f t="array" aca="1" ref="G66" ca="1">IF(CELL("format",MEMBERS[[#This Row],[ServiceStartDate]])="D1",0,1)+IF(CELL("format",MEMBERS[[#This Row],[ServiceEndDate]])="D1",0,1)</f>
        <v>0</v>
      </c>
      <c r="H6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6" s="57">
        <f>IF(LEN(MEMBERS[[#This Row],[StaffMemberCode]])&lt;100,0,1)</f>
        <v>0</v>
      </c>
      <c r="J66" s="57">
        <f>IF(LEN(MEMBERS[[#This Row],[Title]])&lt;100,0,1)</f>
        <v>0</v>
      </c>
      <c r="K66" s="57">
        <f>COUNTBLANK(MEMBERS[[#This Row],[StaffMemberCode]:[ServiceStartDate]])+COUNTBLANK(MEMBERS[[#This Row],[Apprenticeship]]:MEMBERS[[#This Row],[StaffMemberEnabled]])+COUNTBLANK(MEMBERS[[#This Row],[GenderCode]]:MEMBERS[[#This Row],[Casual]])</f>
        <v>0</v>
      </c>
      <c r="L66" s="57">
        <f>IF(SUBSTITUTE(TEXT(MEMBERS[[#This Row],[StaffMemberCode]],10)," ","")=TEXT(MEMBERS[[#This Row],[StaffMemberCode]],10),0,1)</f>
        <v>0</v>
      </c>
      <c r="M66" s="57">
        <f ca="1">SUM(MEMBERS[[#This Row],[Duplicate NameService Start]:[Space in Code]])</f>
        <v>0</v>
      </c>
      <c r="O66" s="15">
        <v>91073908</v>
      </c>
      <c r="P66" s="15" t="s">
        <v>3189</v>
      </c>
      <c r="Q66" s="15" t="s">
        <v>3385</v>
      </c>
      <c r="R66" s="133" t="str">
        <f>MEMBERS[[#This Row],[FirstName]]&amp;" "&amp;MEMBERS[[#This Row],[LastName]]</f>
        <v>Ashley Owen</v>
      </c>
      <c r="S66" s="21">
        <v>43388</v>
      </c>
      <c r="U66" s="21">
        <v>24283</v>
      </c>
      <c r="V66" t="b">
        <v>0</v>
      </c>
      <c r="W66" t="b">
        <v>0</v>
      </c>
      <c r="X66" t="b">
        <v>0</v>
      </c>
      <c r="Y66" t="s">
        <v>51</v>
      </c>
      <c r="Z66" t="b">
        <v>1</v>
      </c>
      <c r="AB66" t="s">
        <v>1571</v>
      </c>
      <c r="AC66" t="b">
        <v>0</v>
      </c>
    </row>
    <row r="67" spans="1:29" x14ac:dyDescent="0.3">
      <c r="A67" s="57" t="str">
        <f>MEMBERS[[#This Row],[Title]]&amp;MEMBERS[[#This Row],[ServiceStartDate]]</f>
        <v>Asma Shah42334</v>
      </c>
      <c r="B67" s="57">
        <f>IF(COUNTIF(MEMBERS[NameServiceStart],MEMBERS[[#This Row],[NameServiceStart]])=1,0,1)</f>
        <v>0</v>
      </c>
      <c r="C67" s="57">
        <f>IF(COUNTIF(MEMBERS[StaffMemberCode],MEMBERS[[#This Row],[StaffMemberCode]])=1,0,1)</f>
        <v>0</v>
      </c>
      <c r="D67" s="57">
        <f>IF(ISBLANK(MEMBERS[[#This Row],[PayrollLocation]]),0,IF(COUNTIF(SCHOOLS[SchoolCode],MEMBERS[[#This Row],[PayrollLocation]])=1,0,1))</f>
        <v>0</v>
      </c>
      <c r="E67" s="57">
        <f>IF(MEMBERS[[#This Row],[AvailableToAllSchools]]=FALSE,IF(ISBLANK(MEMBERS[[#This Row],[SchoolCodes]]),1,0),IF(MEMBERS[[#This Row],[AvailableToAllSchools]]=TRUE,IF(ISBLANK(MEMBERS[[#This Row],[SchoolCodes]]),0,1)))</f>
        <v>0</v>
      </c>
      <c r="F67" s="57">
        <f>IF(ISBLANK(MEMBERS[[#This Row],[ServiceEndDate]]),0,IF(MEMBERS[[#This Row],[ServiceStartDate]]&lt;MEMBERS[[#This Row],[ServiceEndDate]],0,1))</f>
        <v>0</v>
      </c>
      <c r="G67" s="57" cm="1">
        <f t="array" aca="1" ref="G67" ca="1">IF(CELL("format",MEMBERS[[#This Row],[ServiceStartDate]])="D1",0,1)+IF(CELL("format",MEMBERS[[#This Row],[ServiceEndDate]])="D1",0,1)</f>
        <v>0</v>
      </c>
      <c r="H6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7" s="57">
        <f>IF(LEN(MEMBERS[[#This Row],[StaffMemberCode]])&lt;100,0,1)</f>
        <v>0</v>
      </c>
      <c r="J67" s="57">
        <f>IF(LEN(MEMBERS[[#This Row],[Title]])&lt;100,0,1)</f>
        <v>0</v>
      </c>
      <c r="K67" s="57">
        <f>COUNTBLANK(MEMBERS[[#This Row],[StaffMemberCode]:[ServiceStartDate]])+COUNTBLANK(MEMBERS[[#This Row],[Apprenticeship]]:MEMBERS[[#This Row],[StaffMemberEnabled]])+COUNTBLANK(MEMBERS[[#This Row],[GenderCode]]:MEMBERS[[#This Row],[Casual]])</f>
        <v>0</v>
      </c>
      <c r="L67" s="57">
        <f>IF(SUBSTITUTE(TEXT(MEMBERS[[#This Row],[StaffMemberCode]],10)," ","")=TEXT(MEMBERS[[#This Row],[StaffMemberCode]],10),0,1)</f>
        <v>0</v>
      </c>
      <c r="M67" s="57">
        <f ca="1">SUM(MEMBERS[[#This Row],[Duplicate NameService Start]:[Space in Code]])</f>
        <v>0</v>
      </c>
      <c r="O67" s="15">
        <v>91073886</v>
      </c>
      <c r="P67" s="15" t="s">
        <v>3190</v>
      </c>
      <c r="Q67" s="15" t="s">
        <v>3502</v>
      </c>
      <c r="R67" s="133" t="str">
        <f>MEMBERS[[#This Row],[FirstName]]&amp;" "&amp;MEMBERS[[#This Row],[LastName]]</f>
        <v>Asma Shah</v>
      </c>
      <c r="S67" s="21">
        <v>42334</v>
      </c>
      <c r="U67" s="21">
        <v>29119</v>
      </c>
      <c r="V67" t="b">
        <v>0</v>
      </c>
      <c r="W67" t="b">
        <v>0</v>
      </c>
      <c r="X67" t="b">
        <v>0</v>
      </c>
      <c r="Y67" t="s">
        <v>2266</v>
      </c>
      <c r="Z67" t="b">
        <v>1</v>
      </c>
      <c r="AB67" t="s">
        <v>1571</v>
      </c>
      <c r="AC67" t="b">
        <v>0</v>
      </c>
    </row>
    <row r="68" spans="1:29" x14ac:dyDescent="0.3">
      <c r="A68" s="57" t="str">
        <f>MEMBERS[[#This Row],[Title]]&amp;MEMBERS[[#This Row],[ServiceStartDate]]</f>
        <v>Audrey Machin41519</v>
      </c>
      <c r="B68" s="57">
        <f>IF(COUNTIF(MEMBERS[NameServiceStart],MEMBERS[[#This Row],[NameServiceStart]])=1,0,1)</f>
        <v>0</v>
      </c>
      <c r="C68" s="57">
        <f>IF(COUNTIF(MEMBERS[StaffMemberCode],MEMBERS[[#This Row],[StaffMemberCode]])=1,0,1)</f>
        <v>0</v>
      </c>
      <c r="D68" s="57">
        <f>IF(ISBLANK(MEMBERS[[#This Row],[PayrollLocation]]),0,IF(COUNTIF(SCHOOLS[SchoolCode],MEMBERS[[#This Row],[PayrollLocation]])=1,0,1))</f>
        <v>0</v>
      </c>
      <c r="E68" s="57">
        <f>IF(MEMBERS[[#This Row],[AvailableToAllSchools]]=FALSE,IF(ISBLANK(MEMBERS[[#This Row],[SchoolCodes]]),1,0),IF(MEMBERS[[#This Row],[AvailableToAllSchools]]=TRUE,IF(ISBLANK(MEMBERS[[#This Row],[SchoolCodes]]),0,1)))</f>
        <v>0</v>
      </c>
      <c r="F68" s="57">
        <f>IF(ISBLANK(MEMBERS[[#This Row],[ServiceEndDate]]),0,IF(MEMBERS[[#This Row],[ServiceStartDate]]&lt;MEMBERS[[#This Row],[ServiceEndDate]],0,1))</f>
        <v>0</v>
      </c>
      <c r="G68" s="57" cm="1">
        <f t="array" aca="1" ref="G68" ca="1">IF(CELL("format",MEMBERS[[#This Row],[ServiceStartDate]])="D1",0,1)+IF(CELL("format",MEMBERS[[#This Row],[ServiceEndDate]])="D1",0,1)</f>
        <v>0</v>
      </c>
      <c r="H6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8" s="57">
        <f>IF(LEN(MEMBERS[[#This Row],[StaffMemberCode]])&lt;100,0,1)</f>
        <v>0</v>
      </c>
      <c r="J68" s="57">
        <f>IF(LEN(MEMBERS[[#This Row],[Title]])&lt;100,0,1)</f>
        <v>0</v>
      </c>
      <c r="K68" s="57">
        <f>COUNTBLANK(MEMBERS[[#This Row],[StaffMemberCode]:[ServiceStartDate]])+COUNTBLANK(MEMBERS[[#This Row],[Apprenticeship]]:MEMBERS[[#This Row],[StaffMemberEnabled]])+COUNTBLANK(MEMBERS[[#This Row],[GenderCode]]:MEMBERS[[#This Row],[Casual]])</f>
        <v>0</v>
      </c>
      <c r="L68" s="57">
        <f>IF(SUBSTITUTE(TEXT(MEMBERS[[#This Row],[StaffMemberCode]],10)," ","")=TEXT(MEMBERS[[#This Row],[StaffMemberCode]],10),0,1)</f>
        <v>0</v>
      </c>
      <c r="M68" s="57">
        <f ca="1">SUM(MEMBERS[[#This Row],[Duplicate NameService Start]:[Space in Code]])</f>
        <v>0</v>
      </c>
      <c r="O68" s="15">
        <v>91073409</v>
      </c>
      <c r="P68" s="15" t="s">
        <v>3191</v>
      </c>
      <c r="Q68" s="15" t="s">
        <v>3503</v>
      </c>
      <c r="R68" s="133" t="str">
        <f>MEMBERS[[#This Row],[FirstName]]&amp;" "&amp;MEMBERS[[#This Row],[LastName]]</f>
        <v>Audrey Machin</v>
      </c>
      <c r="S68" s="21">
        <v>41519</v>
      </c>
      <c r="U68" s="21">
        <v>23256</v>
      </c>
      <c r="V68" t="b">
        <v>0</v>
      </c>
      <c r="W68" t="b">
        <v>0</v>
      </c>
      <c r="X68" t="b">
        <v>0</v>
      </c>
      <c r="Y68" t="s">
        <v>2275</v>
      </c>
      <c r="Z68" t="b">
        <v>1</v>
      </c>
      <c r="AB68" t="s">
        <v>1571</v>
      </c>
      <c r="AC68" t="b">
        <v>0</v>
      </c>
    </row>
    <row r="69" spans="1:29" x14ac:dyDescent="0.3">
      <c r="A69" s="57" t="str">
        <f>MEMBERS[[#This Row],[Title]]&amp;MEMBERS[[#This Row],[ServiceStartDate]]</f>
        <v>Ava Garrett45859</v>
      </c>
      <c r="B69" s="57">
        <f>IF(COUNTIF(MEMBERS[NameServiceStart],MEMBERS[[#This Row],[NameServiceStart]])=1,0,1)</f>
        <v>0</v>
      </c>
      <c r="C69" s="57">
        <f>IF(COUNTIF(MEMBERS[StaffMemberCode],MEMBERS[[#This Row],[StaffMemberCode]])=1,0,1)</f>
        <v>0</v>
      </c>
      <c r="D69" s="57">
        <f>IF(ISBLANK(MEMBERS[[#This Row],[PayrollLocation]]),0,IF(COUNTIF(SCHOOLS[SchoolCode],MEMBERS[[#This Row],[PayrollLocation]])=1,0,1))</f>
        <v>0</v>
      </c>
      <c r="E69" s="57">
        <f>IF(MEMBERS[[#This Row],[AvailableToAllSchools]]=FALSE,IF(ISBLANK(MEMBERS[[#This Row],[SchoolCodes]]),1,0),IF(MEMBERS[[#This Row],[AvailableToAllSchools]]=TRUE,IF(ISBLANK(MEMBERS[[#This Row],[SchoolCodes]]),0,1)))</f>
        <v>0</v>
      </c>
      <c r="F69" s="57">
        <f>IF(ISBLANK(MEMBERS[[#This Row],[ServiceEndDate]]),0,IF(MEMBERS[[#This Row],[ServiceStartDate]]&lt;MEMBERS[[#This Row],[ServiceEndDate]],0,1))</f>
        <v>0</v>
      </c>
      <c r="G69" s="57" cm="1">
        <f t="array" aca="1" ref="G69" ca="1">IF(CELL("format",MEMBERS[[#This Row],[ServiceStartDate]])="D1",0,1)+IF(CELL("format",MEMBERS[[#This Row],[ServiceEndDate]])="D1",0,1)</f>
        <v>0</v>
      </c>
      <c r="H6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9" s="57">
        <f>IF(LEN(MEMBERS[[#This Row],[StaffMemberCode]])&lt;100,0,1)</f>
        <v>0</v>
      </c>
      <c r="J69" s="57">
        <f>IF(LEN(MEMBERS[[#This Row],[Title]])&lt;100,0,1)</f>
        <v>0</v>
      </c>
      <c r="K69" s="57">
        <f>COUNTBLANK(MEMBERS[[#This Row],[StaffMemberCode]:[ServiceStartDate]])+COUNTBLANK(MEMBERS[[#This Row],[Apprenticeship]]:MEMBERS[[#This Row],[StaffMemberEnabled]])+COUNTBLANK(MEMBERS[[#This Row],[GenderCode]]:MEMBERS[[#This Row],[Casual]])</f>
        <v>0</v>
      </c>
      <c r="L69" s="57">
        <f>IF(SUBSTITUTE(TEXT(MEMBERS[[#This Row],[StaffMemberCode]],10)," ","")=TEXT(MEMBERS[[#This Row],[StaffMemberCode]],10),0,1)</f>
        <v>0</v>
      </c>
      <c r="M69" s="57">
        <f ca="1">SUM(MEMBERS[[#This Row],[Duplicate NameService Start]:[Space in Code]])</f>
        <v>0</v>
      </c>
      <c r="O69" s="15">
        <v>10016183</v>
      </c>
      <c r="P69" s="15" t="s">
        <v>3954</v>
      </c>
      <c r="Q69" s="15" t="s">
        <v>4031</v>
      </c>
      <c r="R69" s="133" t="str">
        <f>MEMBERS[[#This Row],[FirstName]]&amp;" "&amp;MEMBERS[[#This Row],[LastName]]</f>
        <v>Ava Garrett</v>
      </c>
      <c r="S69" s="21">
        <v>45859</v>
      </c>
      <c r="U69" s="21">
        <v>39674</v>
      </c>
      <c r="V69" s="138" t="b">
        <v>0</v>
      </c>
      <c r="W69" t="b">
        <v>0</v>
      </c>
      <c r="X69" t="b">
        <v>0</v>
      </c>
      <c r="Y69" t="s">
        <v>2126</v>
      </c>
      <c r="Z69" t="b">
        <v>1</v>
      </c>
      <c r="AB69" t="s">
        <v>1571</v>
      </c>
      <c r="AC69" t="b">
        <v>1</v>
      </c>
    </row>
    <row r="70" spans="1:29" x14ac:dyDescent="0.3">
      <c r="A70" s="57" t="str">
        <f>MEMBERS[[#This Row],[Title]]&amp;MEMBERS[[#This Row],[ServiceStartDate]]</f>
        <v>Avarni Bassi45536</v>
      </c>
      <c r="B70" s="57">
        <f>IF(COUNTIF(MEMBERS[NameServiceStart],MEMBERS[[#This Row],[NameServiceStart]])=1,0,1)</f>
        <v>0</v>
      </c>
      <c r="C70" s="57">
        <f>IF(COUNTIF(MEMBERS[StaffMemberCode],MEMBERS[[#This Row],[StaffMemberCode]])=1,0,1)</f>
        <v>0</v>
      </c>
      <c r="D70" s="57">
        <f>IF(ISBLANK(MEMBERS[[#This Row],[PayrollLocation]]),0,IF(COUNTIF(SCHOOLS[SchoolCode],MEMBERS[[#This Row],[PayrollLocation]])=1,0,1))</f>
        <v>0</v>
      </c>
      <c r="E70" s="57">
        <f>IF(MEMBERS[[#This Row],[AvailableToAllSchools]]=FALSE,IF(ISBLANK(MEMBERS[[#This Row],[SchoolCodes]]),1,0),IF(MEMBERS[[#This Row],[AvailableToAllSchools]]=TRUE,IF(ISBLANK(MEMBERS[[#This Row],[SchoolCodes]]),0,1)))</f>
        <v>0</v>
      </c>
      <c r="F70" s="57">
        <f>IF(ISBLANK(MEMBERS[[#This Row],[ServiceEndDate]]),0,IF(MEMBERS[[#This Row],[ServiceStartDate]]&lt;MEMBERS[[#This Row],[ServiceEndDate]],0,1))</f>
        <v>0</v>
      </c>
      <c r="G70" s="57" cm="1">
        <f t="array" aca="1" ref="G70" ca="1">IF(CELL("format",MEMBERS[[#This Row],[ServiceStartDate]])="D1",0,1)+IF(CELL("format",MEMBERS[[#This Row],[ServiceEndDate]])="D1",0,1)</f>
        <v>0</v>
      </c>
      <c r="H7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0" s="57">
        <f>IF(LEN(MEMBERS[[#This Row],[StaffMemberCode]])&lt;100,0,1)</f>
        <v>0</v>
      </c>
      <c r="J70" s="57">
        <f>IF(LEN(MEMBERS[[#This Row],[Title]])&lt;100,0,1)</f>
        <v>0</v>
      </c>
      <c r="K70" s="57">
        <f>COUNTBLANK(MEMBERS[[#This Row],[StaffMemberCode]:[ServiceStartDate]])+COUNTBLANK(MEMBERS[[#This Row],[Apprenticeship]]:MEMBERS[[#This Row],[StaffMemberEnabled]])+COUNTBLANK(MEMBERS[[#This Row],[GenderCode]]:MEMBERS[[#This Row],[Casual]])</f>
        <v>0</v>
      </c>
      <c r="L70" s="57">
        <f>IF(SUBSTITUTE(TEXT(MEMBERS[[#This Row],[StaffMemberCode]],10)," ","")=TEXT(MEMBERS[[#This Row],[StaffMemberCode]],10),0,1)</f>
        <v>0</v>
      </c>
      <c r="M70" s="57">
        <f ca="1">SUM(MEMBERS[[#This Row],[Duplicate NameService Start]:[Space in Code]])</f>
        <v>0</v>
      </c>
      <c r="O70" s="15">
        <v>10014648</v>
      </c>
      <c r="P70" s="15" t="s">
        <v>3955</v>
      </c>
      <c r="Q70" s="15" t="s">
        <v>4032</v>
      </c>
      <c r="R70" s="133" t="str">
        <f>MEMBERS[[#This Row],[FirstName]]&amp;" "&amp;MEMBERS[[#This Row],[LastName]]</f>
        <v>Avarni Bassi</v>
      </c>
      <c r="S70" s="21">
        <v>45536</v>
      </c>
      <c r="U70" s="21">
        <v>37139</v>
      </c>
      <c r="V70" s="138" t="b">
        <v>0</v>
      </c>
      <c r="W70" t="b">
        <v>0</v>
      </c>
      <c r="X70" t="b">
        <v>0</v>
      </c>
      <c r="Y70" t="s">
        <v>2126</v>
      </c>
      <c r="Z70" t="b">
        <v>1</v>
      </c>
      <c r="AB70" t="s">
        <v>1571</v>
      </c>
      <c r="AC70" t="b">
        <v>0</v>
      </c>
    </row>
    <row r="71" spans="1:29" x14ac:dyDescent="0.3">
      <c r="A71" s="57" t="str">
        <f>MEMBERS[[#This Row],[Title]]&amp;MEMBERS[[#This Row],[ServiceStartDate]]</f>
        <v>Ayla Freeman45055</v>
      </c>
      <c r="B71" s="57">
        <f>IF(COUNTIF(MEMBERS[NameServiceStart],MEMBERS[[#This Row],[NameServiceStart]])=1,0,1)</f>
        <v>0</v>
      </c>
      <c r="C71" s="57">
        <f>IF(COUNTIF(MEMBERS[StaffMemberCode],MEMBERS[[#This Row],[StaffMemberCode]])=1,0,1)</f>
        <v>0</v>
      </c>
      <c r="D71" s="57">
        <f>IF(ISBLANK(MEMBERS[[#This Row],[PayrollLocation]]),0,IF(COUNTIF(SCHOOLS[SchoolCode],MEMBERS[[#This Row],[PayrollLocation]])=1,0,1))</f>
        <v>0</v>
      </c>
      <c r="E71" s="57">
        <f>IF(MEMBERS[[#This Row],[AvailableToAllSchools]]=FALSE,IF(ISBLANK(MEMBERS[[#This Row],[SchoolCodes]]),1,0),IF(MEMBERS[[#This Row],[AvailableToAllSchools]]=TRUE,IF(ISBLANK(MEMBERS[[#This Row],[SchoolCodes]]),0,1)))</f>
        <v>0</v>
      </c>
      <c r="F71" s="57">
        <f>IF(ISBLANK(MEMBERS[[#This Row],[ServiceEndDate]]),0,IF(MEMBERS[[#This Row],[ServiceStartDate]]&lt;MEMBERS[[#This Row],[ServiceEndDate]],0,1))</f>
        <v>0</v>
      </c>
      <c r="G71" s="57" cm="1">
        <f t="array" aca="1" ref="G71" ca="1">IF(CELL("format",MEMBERS[[#This Row],[ServiceStartDate]])="D1",0,1)+IF(CELL("format",MEMBERS[[#This Row],[ServiceEndDate]])="D1",0,1)</f>
        <v>0</v>
      </c>
      <c r="H7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1" s="57">
        <f>IF(LEN(MEMBERS[[#This Row],[StaffMemberCode]])&lt;100,0,1)</f>
        <v>0</v>
      </c>
      <c r="J71" s="57">
        <f>IF(LEN(MEMBERS[[#This Row],[Title]])&lt;100,0,1)</f>
        <v>0</v>
      </c>
      <c r="K71" s="57">
        <f>COUNTBLANK(MEMBERS[[#This Row],[StaffMemberCode]:[ServiceStartDate]])+COUNTBLANK(MEMBERS[[#This Row],[Apprenticeship]]:MEMBERS[[#This Row],[StaffMemberEnabled]])+COUNTBLANK(MEMBERS[[#This Row],[GenderCode]]:MEMBERS[[#This Row],[Casual]])</f>
        <v>0</v>
      </c>
      <c r="L71" s="57">
        <f>IF(SUBSTITUTE(TEXT(MEMBERS[[#This Row],[StaffMemberCode]],10)," ","")=TEXT(MEMBERS[[#This Row],[StaffMemberCode]],10),0,1)</f>
        <v>0</v>
      </c>
      <c r="M71" s="57">
        <f ca="1">SUM(MEMBERS[[#This Row],[Duplicate NameService Start]:[Space in Code]])</f>
        <v>0</v>
      </c>
      <c r="O71" s="15">
        <v>91073862</v>
      </c>
      <c r="P71" s="15" t="s">
        <v>3192</v>
      </c>
      <c r="Q71" s="15" t="s">
        <v>3504</v>
      </c>
      <c r="R71" s="133" t="str">
        <f>MEMBERS[[#This Row],[FirstName]]&amp;" "&amp;MEMBERS[[#This Row],[LastName]]</f>
        <v>Ayla Freeman</v>
      </c>
      <c r="S71" s="21">
        <v>45055</v>
      </c>
      <c r="U71" s="21">
        <v>37255</v>
      </c>
      <c r="V71" t="b">
        <v>0</v>
      </c>
      <c r="W71" t="b">
        <v>0</v>
      </c>
      <c r="X71" t="b">
        <v>0</v>
      </c>
      <c r="Y71" t="s">
        <v>2266</v>
      </c>
      <c r="Z71" t="b">
        <v>1</v>
      </c>
      <c r="AB71" t="s">
        <v>1571</v>
      </c>
      <c r="AC71" t="b">
        <v>0</v>
      </c>
    </row>
    <row r="72" spans="1:29" x14ac:dyDescent="0.3">
      <c r="A72" s="57" t="str">
        <f>MEMBERS[[#This Row],[Title]]&amp;MEMBERS[[#This Row],[ServiceStartDate]]</f>
        <v>Barbara Pitt38361</v>
      </c>
      <c r="B72" s="57">
        <f>IF(COUNTIF(MEMBERS[NameServiceStart],MEMBERS[[#This Row],[NameServiceStart]])=1,0,1)</f>
        <v>0</v>
      </c>
      <c r="C72" s="57">
        <f>IF(COUNTIF(MEMBERS[StaffMemberCode],MEMBERS[[#This Row],[StaffMemberCode]])=1,0,1)</f>
        <v>0</v>
      </c>
      <c r="D72" s="57">
        <f>IF(ISBLANK(MEMBERS[[#This Row],[PayrollLocation]]),0,IF(COUNTIF(SCHOOLS[SchoolCode],MEMBERS[[#This Row],[PayrollLocation]])=1,0,1))</f>
        <v>0</v>
      </c>
      <c r="E72" s="57">
        <f>IF(MEMBERS[[#This Row],[AvailableToAllSchools]]=FALSE,IF(ISBLANK(MEMBERS[[#This Row],[SchoolCodes]]),1,0),IF(MEMBERS[[#This Row],[AvailableToAllSchools]]=TRUE,IF(ISBLANK(MEMBERS[[#This Row],[SchoolCodes]]),0,1)))</f>
        <v>0</v>
      </c>
      <c r="F72" s="57">
        <f>IF(ISBLANK(MEMBERS[[#This Row],[ServiceEndDate]]),0,IF(MEMBERS[[#This Row],[ServiceStartDate]]&lt;MEMBERS[[#This Row],[ServiceEndDate]],0,1))</f>
        <v>0</v>
      </c>
      <c r="G72" s="57" cm="1">
        <f t="array" aca="1" ref="G72" ca="1">IF(CELL("format",MEMBERS[[#This Row],[ServiceStartDate]])="D1",0,1)+IF(CELL("format",MEMBERS[[#This Row],[ServiceEndDate]])="D1",0,1)</f>
        <v>0</v>
      </c>
      <c r="H7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2" s="57">
        <f>IF(LEN(MEMBERS[[#This Row],[StaffMemberCode]])&lt;100,0,1)</f>
        <v>0</v>
      </c>
      <c r="J72" s="57">
        <f>IF(LEN(MEMBERS[[#This Row],[Title]])&lt;100,0,1)</f>
        <v>0</v>
      </c>
      <c r="K72" s="57">
        <f>COUNTBLANK(MEMBERS[[#This Row],[StaffMemberCode]:[ServiceStartDate]])+COUNTBLANK(MEMBERS[[#This Row],[Apprenticeship]]:MEMBERS[[#This Row],[StaffMemberEnabled]])+COUNTBLANK(MEMBERS[[#This Row],[GenderCode]]:MEMBERS[[#This Row],[Casual]])</f>
        <v>0</v>
      </c>
      <c r="L72" s="57">
        <f>IF(SUBSTITUTE(TEXT(MEMBERS[[#This Row],[StaffMemberCode]],10)," ","")=TEXT(MEMBERS[[#This Row],[StaffMemberCode]],10),0,1)</f>
        <v>0</v>
      </c>
      <c r="M72" s="57">
        <f ca="1">SUM(MEMBERS[[#This Row],[Duplicate NameService Start]:[Space in Code]])</f>
        <v>0</v>
      </c>
      <c r="O72" s="15">
        <v>91073678</v>
      </c>
      <c r="P72" s="15" t="s">
        <v>3193</v>
      </c>
      <c r="Q72" s="15" t="s">
        <v>3505</v>
      </c>
      <c r="R72" s="133" t="str">
        <f>MEMBERS[[#This Row],[FirstName]]&amp;" "&amp;MEMBERS[[#This Row],[LastName]]</f>
        <v>Barbara Pitt</v>
      </c>
      <c r="S72" s="21">
        <v>38361</v>
      </c>
      <c r="U72" s="21">
        <v>22032</v>
      </c>
      <c r="V72" t="b">
        <v>0</v>
      </c>
      <c r="W72" t="b">
        <v>0</v>
      </c>
      <c r="X72" t="b">
        <v>0</v>
      </c>
      <c r="Y72" t="s">
        <v>2082</v>
      </c>
      <c r="Z72" t="b">
        <v>1</v>
      </c>
      <c r="AB72" t="s">
        <v>1571</v>
      </c>
      <c r="AC72" t="b">
        <v>1</v>
      </c>
    </row>
    <row r="73" spans="1:29" x14ac:dyDescent="0.3">
      <c r="A73" s="57" t="str">
        <f>MEMBERS[[#This Row],[Title]]&amp;MEMBERS[[#This Row],[ServiceStartDate]]</f>
        <v>Barbara Sumner44870</v>
      </c>
      <c r="B73" s="57">
        <f>IF(COUNTIF(MEMBERS[NameServiceStart],MEMBERS[[#This Row],[NameServiceStart]])=1,0,1)</f>
        <v>0</v>
      </c>
      <c r="C73" s="57">
        <f>IF(COUNTIF(MEMBERS[StaffMemberCode],MEMBERS[[#This Row],[StaffMemberCode]])=1,0,1)</f>
        <v>0</v>
      </c>
      <c r="D73" s="57">
        <f>IF(ISBLANK(MEMBERS[[#This Row],[PayrollLocation]]),0,IF(COUNTIF(SCHOOLS[SchoolCode],MEMBERS[[#This Row],[PayrollLocation]])=1,0,1))</f>
        <v>0</v>
      </c>
      <c r="E73" s="57">
        <f>IF(MEMBERS[[#This Row],[AvailableToAllSchools]]=FALSE,IF(ISBLANK(MEMBERS[[#This Row],[SchoolCodes]]),1,0),IF(MEMBERS[[#This Row],[AvailableToAllSchools]]=TRUE,IF(ISBLANK(MEMBERS[[#This Row],[SchoolCodes]]),0,1)))</f>
        <v>0</v>
      </c>
      <c r="F73" s="57">
        <f>IF(ISBLANK(MEMBERS[[#This Row],[ServiceEndDate]]),0,IF(MEMBERS[[#This Row],[ServiceStartDate]]&lt;MEMBERS[[#This Row],[ServiceEndDate]],0,1))</f>
        <v>0</v>
      </c>
      <c r="G73" s="57" cm="1">
        <f t="array" aca="1" ref="G73" ca="1">IF(CELL("format",MEMBERS[[#This Row],[ServiceStartDate]])="D1",0,1)+IF(CELL("format",MEMBERS[[#This Row],[ServiceEndDate]])="D1",0,1)</f>
        <v>0</v>
      </c>
      <c r="H7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3" s="57">
        <f>IF(LEN(MEMBERS[[#This Row],[StaffMemberCode]])&lt;100,0,1)</f>
        <v>0</v>
      </c>
      <c r="J73" s="57">
        <f>IF(LEN(MEMBERS[[#This Row],[Title]])&lt;100,0,1)</f>
        <v>0</v>
      </c>
      <c r="K73" s="57">
        <f>COUNTBLANK(MEMBERS[[#This Row],[StaffMemberCode]:[ServiceStartDate]])+COUNTBLANK(MEMBERS[[#This Row],[Apprenticeship]]:MEMBERS[[#This Row],[StaffMemberEnabled]])+COUNTBLANK(MEMBERS[[#This Row],[GenderCode]]:MEMBERS[[#This Row],[Casual]])</f>
        <v>0</v>
      </c>
      <c r="L73" s="57">
        <f>IF(SUBSTITUTE(TEXT(MEMBERS[[#This Row],[StaffMemberCode]],10)," ","")=TEXT(MEMBERS[[#This Row],[StaffMemberCode]],10),0,1)</f>
        <v>0</v>
      </c>
      <c r="M73" s="57">
        <f ca="1">SUM(MEMBERS[[#This Row],[Duplicate NameService Start]:[Space in Code]])</f>
        <v>0</v>
      </c>
      <c r="O73" s="15">
        <v>91073583</v>
      </c>
      <c r="P73" s="15" t="s">
        <v>3193</v>
      </c>
      <c r="Q73" s="15" t="s">
        <v>3506</v>
      </c>
      <c r="R73" s="133" t="str">
        <f>MEMBERS[[#This Row],[FirstName]]&amp;" "&amp;MEMBERS[[#This Row],[LastName]]</f>
        <v>Barbara Sumner</v>
      </c>
      <c r="S73" s="21">
        <v>44870</v>
      </c>
      <c r="U73" s="21">
        <v>18084</v>
      </c>
      <c r="V73" t="b">
        <v>0</v>
      </c>
      <c r="W73" t="b">
        <v>0</v>
      </c>
      <c r="X73" t="b">
        <v>0</v>
      </c>
      <c r="Y73" t="s">
        <v>2094</v>
      </c>
      <c r="Z73" t="b">
        <v>1</v>
      </c>
      <c r="AB73" t="s">
        <v>1571</v>
      </c>
      <c r="AC73" t="b">
        <v>1</v>
      </c>
    </row>
    <row r="74" spans="1:29" x14ac:dyDescent="0.3">
      <c r="A74" s="57" t="str">
        <f>MEMBERS[[#This Row],[Title]]&amp;MEMBERS[[#This Row],[ServiceStartDate]]</f>
        <v>Barrie Pitt43199</v>
      </c>
      <c r="B74" s="57">
        <f>IF(COUNTIF(MEMBERS[NameServiceStart],MEMBERS[[#This Row],[NameServiceStart]])=1,0,1)</f>
        <v>0</v>
      </c>
      <c r="C74" s="57">
        <f>IF(COUNTIF(MEMBERS[StaffMemberCode],MEMBERS[[#This Row],[StaffMemberCode]])=1,0,1)</f>
        <v>0</v>
      </c>
      <c r="D74" s="57">
        <f>IF(ISBLANK(MEMBERS[[#This Row],[PayrollLocation]]),0,IF(COUNTIF(SCHOOLS[SchoolCode],MEMBERS[[#This Row],[PayrollLocation]])=1,0,1))</f>
        <v>0</v>
      </c>
      <c r="E74" s="57">
        <f>IF(MEMBERS[[#This Row],[AvailableToAllSchools]]=FALSE,IF(ISBLANK(MEMBERS[[#This Row],[SchoolCodes]]),1,0),IF(MEMBERS[[#This Row],[AvailableToAllSchools]]=TRUE,IF(ISBLANK(MEMBERS[[#This Row],[SchoolCodes]]),0,1)))</f>
        <v>0</v>
      </c>
      <c r="F74" s="57">
        <f>IF(ISBLANK(MEMBERS[[#This Row],[ServiceEndDate]]),0,IF(MEMBERS[[#This Row],[ServiceStartDate]]&lt;MEMBERS[[#This Row],[ServiceEndDate]],0,1))</f>
        <v>0</v>
      </c>
      <c r="G74" s="57" cm="1">
        <f t="array" aca="1" ref="G74" ca="1">IF(CELL("format",MEMBERS[[#This Row],[ServiceStartDate]])="D1",0,1)+IF(CELL("format",MEMBERS[[#This Row],[ServiceEndDate]])="D1",0,1)</f>
        <v>0</v>
      </c>
      <c r="H7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4" s="57">
        <f>IF(LEN(MEMBERS[[#This Row],[StaffMemberCode]])&lt;100,0,1)</f>
        <v>0</v>
      </c>
      <c r="J74" s="57">
        <f>IF(LEN(MEMBERS[[#This Row],[Title]])&lt;100,0,1)</f>
        <v>0</v>
      </c>
      <c r="K74" s="57">
        <f>COUNTBLANK(MEMBERS[[#This Row],[StaffMemberCode]:[ServiceStartDate]])+COUNTBLANK(MEMBERS[[#This Row],[Apprenticeship]]:MEMBERS[[#This Row],[StaffMemberEnabled]])+COUNTBLANK(MEMBERS[[#This Row],[GenderCode]]:MEMBERS[[#This Row],[Casual]])</f>
        <v>0</v>
      </c>
      <c r="L74" s="57">
        <f>IF(SUBSTITUTE(TEXT(MEMBERS[[#This Row],[StaffMemberCode]],10)," ","")=TEXT(MEMBERS[[#This Row],[StaffMemberCode]],10),0,1)</f>
        <v>0</v>
      </c>
      <c r="M74" s="57">
        <f ca="1">SUM(MEMBERS[[#This Row],[Duplicate NameService Start]:[Space in Code]])</f>
        <v>0</v>
      </c>
      <c r="O74" s="15">
        <v>91073749</v>
      </c>
      <c r="P74" s="15" t="s">
        <v>3194</v>
      </c>
      <c r="Q74" s="15" t="s">
        <v>3505</v>
      </c>
      <c r="R74" s="133" t="str">
        <f>MEMBERS[[#This Row],[FirstName]]&amp;" "&amp;MEMBERS[[#This Row],[LastName]]</f>
        <v>Barrie Pitt</v>
      </c>
      <c r="S74" s="21">
        <v>43199</v>
      </c>
      <c r="U74" s="21">
        <v>21371</v>
      </c>
      <c r="V74" t="b">
        <v>0</v>
      </c>
      <c r="W74" t="b">
        <v>0</v>
      </c>
      <c r="X74" t="b">
        <v>0</v>
      </c>
      <c r="Y74" t="s">
        <v>2082</v>
      </c>
      <c r="Z74" t="b">
        <v>1</v>
      </c>
      <c r="AB74" t="s">
        <v>1572</v>
      </c>
      <c r="AC74" t="b">
        <v>1</v>
      </c>
    </row>
    <row r="75" spans="1:29" x14ac:dyDescent="0.3">
      <c r="A75" s="57" t="str">
        <f>MEMBERS[[#This Row],[Title]]&amp;MEMBERS[[#This Row],[ServiceStartDate]]</f>
        <v>Benjamin Elliot41648</v>
      </c>
      <c r="B75" s="57">
        <f>IF(COUNTIF(MEMBERS[NameServiceStart],MEMBERS[[#This Row],[NameServiceStart]])=1,0,1)</f>
        <v>0</v>
      </c>
      <c r="C75" s="57">
        <f>IF(COUNTIF(MEMBERS[StaffMemberCode],MEMBERS[[#This Row],[StaffMemberCode]])=1,0,1)</f>
        <v>0</v>
      </c>
      <c r="D75" s="57">
        <f>IF(ISBLANK(MEMBERS[[#This Row],[PayrollLocation]]),0,IF(COUNTIF(SCHOOLS[SchoolCode],MEMBERS[[#This Row],[PayrollLocation]])=1,0,1))</f>
        <v>0</v>
      </c>
      <c r="E75" s="57">
        <f>IF(MEMBERS[[#This Row],[AvailableToAllSchools]]=FALSE,IF(ISBLANK(MEMBERS[[#This Row],[SchoolCodes]]),1,0),IF(MEMBERS[[#This Row],[AvailableToAllSchools]]=TRUE,IF(ISBLANK(MEMBERS[[#This Row],[SchoolCodes]]),0,1)))</f>
        <v>0</v>
      </c>
      <c r="F75" s="57">
        <f>IF(ISBLANK(MEMBERS[[#This Row],[ServiceEndDate]]),0,IF(MEMBERS[[#This Row],[ServiceStartDate]]&lt;MEMBERS[[#This Row],[ServiceEndDate]],0,1))</f>
        <v>0</v>
      </c>
      <c r="G75" s="57" cm="1">
        <f t="array" aca="1" ref="G75" ca="1">IF(CELL("format",MEMBERS[[#This Row],[ServiceStartDate]])="D1",0,1)+IF(CELL("format",MEMBERS[[#This Row],[ServiceEndDate]])="D1",0,1)</f>
        <v>0</v>
      </c>
      <c r="H7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5" s="57">
        <f>IF(LEN(MEMBERS[[#This Row],[StaffMemberCode]])&lt;100,0,1)</f>
        <v>0</v>
      </c>
      <c r="J75" s="57">
        <f>IF(LEN(MEMBERS[[#This Row],[Title]])&lt;100,0,1)</f>
        <v>0</v>
      </c>
      <c r="K75" s="57">
        <f>COUNTBLANK(MEMBERS[[#This Row],[StaffMemberCode]:[ServiceStartDate]])+COUNTBLANK(MEMBERS[[#This Row],[Apprenticeship]]:MEMBERS[[#This Row],[StaffMemberEnabled]])+COUNTBLANK(MEMBERS[[#This Row],[GenderCode]]:MEMBERS[[#This Row],[Casual]])</f>
        <v>0</v>
      </c>
      <c r="L75" s="57">
        <f>IF(SUBSTITUTE(TEXT(MEMBERS[[#This Row],[StaffMemberCode]],10)," ","")=TEXT(MEMBERS[[#This Row],[StaffMemberCode]],10),0,1)</f>
        <v>0</v>
      </c>
      <c r="M75" s="57">
        <f ca="1">SUM(MEMBERS[[#This Row],[Duplicate NameService Start]:[Space in Code]])</f>
        <v>0</v>
      </c>
      <c r="O75" s="15">
        <v>91073548</v>
      </c>
      <c r="P75" s="15" t="s">
        <v>3195</v>
      </c>
      <c r="Q75" s="15" t="s">
        <v>3507</v>
      </c>
      <c r="R75" s="133" t="str">
        <f>MEMBERS[[#This Row],[FirstName]]&amp;" "&amp;MEMBERS[[#This Row],[LastName]]</f>
        <v>Benjamin Elliot</v>
      </c>
      <c r="S75" s="21">
        <v>41648</v>
      </c>
      <c r="U75" s="21">
        <v>32689</v>
      </c>
      <c r="V75" t="b">
        <v>0</v>
      </c>
      <c r="W75" t="b">
        <v>0</v>
      </c>
      <c r="X75" t="b">
        <v>0</v>
      </c>
      <c r="Y75" t="s">
        <v>2094</v>
      </c>
      <c r="Z75" t="b">
        <v>1</v>
      </c>
      <c r="AB75" t="s">
        <v>1572</v>
      </c>
      <c r="AC75" t="b">
        <v>0</v>
      </c>
    </row>
    <row r="76" spans="1:29" x14ac:dyDescent="0.3">
      <c r="A76" s="57" t="str">
        <f>MEMBERS[[#This Row],[Title]]&amp;MEMBERS[[#This Row],[ServiceStartDate]]</f>
        <v>Benjamin Pratt44935</v>
      </c>
      <c r="B76" s="57">
        <f>IF(COUNTIF(MEMBERS[NameServiceStart],MEMBERS[[#This Row],[NameServiceStart]])=1,0,1)</f>
        <v>0</v>
      </c>
      <c r="C76" s="57">
        <f>IF(COUNTIF(MEMBERS[StaffMemberCode],MEMBERS[[#This Row],[StaffMemberCode]])=1,0,1)</f>
        <v>0</v>
      </c>
      <c r="D76" s="57">
        <f>IF(ISBLANK(MEMBERS[[#This Row],[PayrollLocation]]),0,IF(COUNTIF(SCHOOLS[SchoolCode],MEMBERS[[#This Row],[PayrollLocation]])=1,0,1))</f>
        <v>0</v>
      </c>
      <c r="E76" s="57">
        <f>IF(MEMBERS[[#This Row],[AvailableToAllSchools]]=FALSE,IF(ISBLANK(MEMBERS[[#This Row],[SchoolCodes]]),1,0),IF(MEMBERS[[#This Row],[AvailableToAllSchools]]=TRUE,IF(ISBLANK(MEMBERS[[#This Row],[SchoolCodes]]),0,1)))</f>
        <v>0</v>
      </c>
      <c r="F76" s="57">
        <f>IF(ISBLANK(MEMBERS[[#This Row],[ServiceEndDate]]),0,IF(MEMBERS[[#This Row],[ServiceStartDate]]&lt;MEMBERS[[#This Row],[ServiceEndDate]],0,1))</f>
        <v>0</v>
      </c>
      <c r="G76" s="57" cm="1">
        <f t="array" aca="1" ref="G76" ca="1">IF(CELL("format",MEMBERS[[#This Row],[ServiceStartDate]])="D1",0,1)+IF(CELL("format",MEMBERS[[#This Row],[ServiceEndDate]])="D1",0,1)</f>
        <v>0</v>
      </c>
      <c r="H7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6" s="57">
        <f>IF(LEN(MEMBERS[[#This Row],[StaffMemberCode]])&lt;100,0,1)</f>
        <v>0</v>
      </c>
      <c r="J76" s="57">
        <f>IF(LEN(MEMBERS[[#This Row],[Title]])&lt;100,0,1)</f>
        <v>0</v>
      </c>
      <c r="K76" s="57">
        <f>COUNTBLANK(MEMBERS[[#This Row],[StaffMemberCode]:[ServiceStartDate]])+COUNTBLANK(MEMBERS[[#This Row],[Apprenticeship]]:MEMBERS[[#This Row],[StaffMemberEnabled]])+COUNTBLANK(MEMBERS[[#This Row],[GenderCode]]:MEMBERS[[#This Row],[Casual]])</f>
        <v>0</v>
      </c>
      <c r="L76" s="57">
        <f>IF(SUBSTITUTE(TEXT(MEMBERS[[#This Row],[StaffMemberCode]],10)," ","")=TEXT(MEMBERS[[#This Row],[StaffMemberCode]],10),0,1)</f>
        <v>0</v>
      </c>
      <c r="M76" s="57">
        <f ca="1">SUM(MEMBERS[[#This Row],[Duplicate NameService Start]:[Space in Code]])</f>
        <v>0</v>
      </c>
      <c r="O76" s="15">
        <v>91073851</v>
      </c>
      <c r="P76" s="15" t="s">
        <v>3195</v>
      </c>
      <c r="Q76" s="15" t="s">
        <v>3508</v>
      </c>
      <c r="R76" s="133" t="str">
        <f>MEMBERS[[#This Row],[FirstName]]&amp;" "&amp;MEMBERS[[#This Row],[LastName]]</f>
        <v>Benjamin Pratt</v>
      </c>
      <c r="S76" s="21">
        <v>44935</v>
      </c>
      <c r="U76" s="21">
        <v>37017</v>
      </c>
      <c r="V76" t="b">
        <v>0</v>
      </c>
      <c r="W76" t="b">
        <v>0</v>
      </c>
      <c r="X76" t="b">
        <v>0</v>
      </c>
      <c r="Y76" t="s">
        <v>2082</v>
      </c>
      <c r="Z76" t="b">
        <v>1</v>
      </c>
      <c r="AB76" t="s">
        <v>1572</v>
      </c>
      <c r="AC76" t="b">
        <v>0</v>
      </c>
    </row>
    <row r="77" spans="1:29" x14ac:dyDescent="0.3">
      <c r="A77" s="57" t="str">
        <f>MEMBERS[[#This Row],[Title]]&amp;MEMBERS[[#This Row],[ServiceStartDate]]</f>
        <v>Benjamin Smith41518</v>
      </c>
      <c r="B77" s="57">
        <f>IF(COUNTIF(MEMBERS[NameServiceStart],MEMBERS[[#This Row],[NameServiceStart]])=1,0,1)</f>
        <v>0</v>
      </c>
      <c r="C77" s="57">
        <f>IF(COUNTIF(MEMBERS[StaffMemberCode],MEMBERS[[#This Row],[StaffMemberCode]])=1,0,1)</f>
        <v>0</v>
      </c>
      <c r="D77" s="57">
        <f>IF(ISBLANK(MEMBERS[[#This Row],[PayrollLocation]]),0,IF(COUNTIF(SCHOOLS[SchoolCode],MEMBERS[[#This Row],[PayrollLocation]])=1,0,1))</f>
        <v>0</v>
      </c>
      <c r="E77" s="57">
        <f>IF(MEMBERS[[#This Row],[AvailableToAllSchools]]=FALSE,IF(ISBLANK(MEMBERS[[#This Row],[SchoolCodes]]),1,0),IF(MEMBERS[[#This Row],[AvailableToAllSchools]]=TRUE,IF(ISBLANK(MEMBERS[[#This Row],[SchoolCodes]]),0,1)))</f>
        <v>0</v>
      </c>
      <c r="F77" s="57">
        <f>IF(ISBLANK(MEMBERS[[#This Row],[ServiceEndDate]]),0,IF(MEMBERS[[#This Row],[ServiceStartDate]]&lt;MEMBERS[[#This Row],[ServiceEndDate]],0,1))</f>
        <v>0</v>
      </c>
      <c r="G77" s="57" cm="1">
        <f t="array" aca="1" ref="G77" ca="1">IF(CELL("format",MEMBERS[[#This Row],[ServiceStartDate]])="D1",0,1)+IF(CELL("format",MEMBERS[[#This Row],[ServiceEndDate]])="D1",0,1)</f>
        <v>0</v>
      </c>
      <c r="H7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7" s="57">
        <f>IF(LEN(MEMBERS[[#This Row],[StaffMemberCode]])&lt;100,0,1)</f>
        <v>0</v>
      </c>
      <c r="J77" s="57">
        <f>IF(LEN(MEMBERS[[#This Row],[Title]])&lt;100,0,1)</f>
        <v>0</v>
      </c>
      <c r="K77" s="57">
        <f>COUNTBLANK(MEMBERS[[#This Row],[StaffMemberCode]:[ServiceStartDate]])+COUNTBLANK(MEMBERS[[#This Row],[Apprenticeship]]:MEMBERS[[#This Row],[StaffMemberEnabled]])+COUNTBLANK(MEMBERS[[#This Row],[GenderCode]]:MEMBERS[[#This Row],[Casual]])</f>
        <v>0</v>
      </c>
      <c r="L77" s="57">
        <f>IF(SUBSTITUTE(TEXT(MEMBERS[[#This Row],[StaffMemberCode]],10)," ","")=TEXT(MEMBERS[[#This Row],[StaffMemberCode]],10),0,1)</f>
        <v>0</v>
      </c>
      <c r="M77" s="57">
        <f ca="1">SUM(MEMBERS[[#This Row],[Duplicate NameService Start]:[Space in Code]])</f>
        <v>0</v>
      </c>
      <c r="O77" s="15">
        <v>10005344</v>
      </c>
      <c r="P77" s="15" t="s">
        <v>3195</v>
      </c>
      <c r="Q77" s="15" t="s">
        <v>3516</v>
      </c>
      <c r="R77" s="133" t="str">
        <f>MEMBERS[[#This Row],[FirstName]]&amp;" "&amp;MEMBERS[[#This Row],[LastName]]</f>
        <v>Benjamin Smith</v>
      </c>
      <c r="S77" s="21">
        <v>41518</v>
      </c>
      <c r="U77" s="21">
        <v>33548</v>
      </c>
      <c r="V77" s="138" t="b">
        <v>0</v>
      </c>
      <c r="W77" t="b">
        <v>0</v>
      </c>
      <c r="X77" t="b">
        <v>0</v>
      </c>
      <c r="Y77" t="s">
        <v>2126</v>
      </c>
      <c r="Z77" t="b">
        <v>1</v>
      </c>
      <c r="AB77" t="s">
        <v>1572</v>
      </c>
      <c r="AC77" t="b">
        <v>0</v>
      </c>
    </row>
    <row r="78" spans="1:29" x14ac:dyDescent="0.3">
      <c r="A78" s="57" t="str">
        <f>MEMBERS[[#This Row],[Title]]&amp;MEMBERS[[#This Row],[ServiceStartDate]]</f>
        <v>Bernadette McCallum44682</v>
      </c>
      <c r="B78" s="57">
        <f>IF(COUNTIF(MEMBERS[NameServiceStart],MEMBERS[[#This Row],[NameServiceStart]])=1,0,1)</f>
        <v>0</v>
      </c>
      <c r="C78" s="57">
        <f>IF(COUNTIF(MEMBERS[StaffMemberCode],MEMBERS[[#This Row],[StaffMemberCode]])=1,0,1)</f>
        <v>0</v>
      </c>
      <c r="D78" s="57">
        <f>IF(ISBLANK(MEMBERS[[#This Row],[PayrollLocation]]),0,IF(COUNTIF(SCHOOLS[SchoolCode],MEMBERS[[#This Row],[PayrollLocation]])=1,0,1))</f>
        <v>0</v>
      </c>
      <c r="E78" s="57">
        <f>IF(MEMBERS[[#This Row],[AvailableToAllSchools]]=FALSE,IF(ISBLANK(MEMBERS[[#This Row],[SchoolCodes]]),1,0),IF(MEMBERS[[#This Row],[AvailableToAllSchools]]=TRUE,IF(ISBLANK(MEMBERS[[#This Row],[SchoolCodes]]),0,1)))</f>
        <v>0</v>
      </c>
      <c r="F78" s="57">
        <f>IF(ISBLANK(MEMBERS[[#This Row],[ServiceEndDate]]),0,IF(MEMBERS[[#This Row],[ServiceStartDate]]&lt;MEMBERS[[#This Row],[ServiceEndDate]],0,1))</f>
        <v>0</v>
      </c>
      <c r="G78" s="57" cm="1">
        <f t="array" aca="1" ref="G78" ca="1">IF(CELL("format",MEMBERS[[#This Row],[ServiceStartDate]])="D1",0,1)+IF(CELL("format",MEMBERS[[#This Row],[ServiceEndDate]])="D1",0,1)</f>
        <v>0</v>
      </c>
      <c r="H7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8" s="57">
        <f>IF(LEN(MEMBERS[[#This Row],[StaffMemberCode]])&lt;100,0,1)</f>
        <v>0</v>
      </c>
      <c r="J78" s="57">
        <f>IF(LEN(MEMBERS[[#This Row],[Title]])&lt;100,0,1)</f>
        <v>0</v>
      </c>
      <c r="K78" s="57">
        <f>COUNTBLANK(MEMBERS[[#This Row],[StaffMemberCode]:[ServiceStartDate]])+COUNTBLANK(MEMBERS[[#This Row],[Apprenticeship]]:MEMBERS[[#This Row],[StaffMemberEnabled]])+COUNTBLANK(MEMBERS[[#This Row],[GenderCode]]:MEMBERS[[#This Row],[Casual]])</f>
        <v>0</v>
      </c>
      <c r="L78" s="57">
        <f>IF(SUBSTITUTE(TEXT(MEMBERS[[#This Row],[StaffMemberCode]],10)," ","")=TEXT(MEMBERS[[#This Row],[StaffMemberCode]],10),0,1)</f>
        <v>0</v>
      </c>
      <c r="M78" s="57">
        <f ca="1">SUM(MEMBERS[[#This Row],[Duplicate NameService Start]:[Space in Code]])</f>
        <v>0</v>
      </c>
      <c r="O78" s="15">
        <v>10010205</v>
      </c>
      <c r="P78" s="15" t="s">
        <v>3956</v>
      </c>
      <c r="Q78" s="15" t="s">
        <v>4033</v>
      </c>
      <c r="R78" s="133" t="str">
        <f>MEMBERS[[#This Row],[FirstName]]&amp;" "&amp;MEMBERS[[#This Row],[LastName]]</f>
        <v>Bernadette McCallum</v>
      </c>
      <c r="S78" s="21">
        <v>44682</v>
      </c>
      <c r="U78" s="21">
        <v>23334</v>
      </c>
      <c r="V78" s="138" t="b">
        <v>0</v>
      </c>
      <c r="W78" t="b">
        <v>0</v>
      </c>
      <c r="X78" t="b">
        <v>0</v>
      </c>
      <c r="Y78" t="s">
        <v>2126</v>
      </c>
      <c r="Z78" t="b">
        <v>1</v>
      </c>
      <c r="AB78" t="s">
        <v>1571</v>
      </c>
      <c r="AC78" t="b">
        <v>1</v>
      </c>
    </row>
    <row r="79" spans="1:29" x14ac:dyDescent="0.3">
      <c r="A79" s="57" t="str">
        <f>MEMBERS[[#This Row],[Title]]&amp;MEMBERS[[#This Row],[ServiceStartDate]]</f>
        <v>Bethan Jones45310</v>
      </c>
      <c r="B79" s="57">
        <f>IF(COUNTIF(MEMBERS[NameServiceStart],MEMBERS[[#This Row],[NameServiceStart]])=1,0,1)</f>
        <v>0</v>
      </c>
      <c r="C79" s="57">
        <f>IF(COUNTIF(MEMBERS[StaffMemberCode],MEMBERS[[#This Row],[StaffMemberCode]])=1,0,1)</f>
        <v>0</v>
      </c>
      <c r="D79" s="57">
        <f>IF(ISBLANK(MEMBERS[[#This Row],[PayrollLocation]]),0,IF(COUNTIF(SCHOOLS[SchoolCode],MEMBERS[[#This Row],[PayrollLocation]])=1,0,1))</f>
        <v>0</v>
      </c>
      <c r="E79" s="57">
        <f>IF(MEMBERS[[#This Row],[AvailableToAllSchools]]=FALSE,IF(ISBLANK(MEMBERS[[#This Row],[SchoolCodes]]),1,0),IF(MEMBERS[[#This Row],[AvailableToAllSchools]]=TRUE,IF(ISBLANK(MEMBERS[[#This Row],[SchoolCodes]]),0,1)))</f>
        <v>0</v>
      </c>
      <c r="F79" s="57">
        <f>IF(ISBLANK(MEMBERS[[#This Row],[ServiceEndDate]]),0,IF(MEMBERS[[#This Row],[ServiceStartDate]]&lt;MEMBERS[[#This Row],[ServiceEndDate]],0,1))</f>
        <v>0</v>
      </c>
      <c r="G79" s="57" cm="1">
        <f t="array" aca="1" ref="G79" ca="1">IF(CELL("format",MEMBERS[[#This Row],[ServiceStartDate]])="D1",0,1)+IF(CELL("format",MEMBERS[[#This Row],[ServiceEndDate]])="D1",0,1)</f>
        <v>0</v>
      </c>
      <c r="H7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9" s="57">
        <f>IF(LEN(MEMBERS[[#This Row],[StaffMemberCode]])&lt;100,0,1)</f>
        <v>0</v>
      </c>
      <c r="J79" s="57">
        <f>IF(LEN(MEMBERS[[#This Row],[Title]])&lt;100,0,1)</f>
        <v>0</v>
      </c>
      <c r="K79" s="57">
        <f>COUNTBLANK(MEMBERS[[#This Row],[StaffMemberCode]:[ServiceStartDate]])+COUNTBLANK(MEMBERS[[#This Row],[Apprenticeship]]:MEMBERS[[#This Row],[StaffMemberEnabled]])+COUNTBLANK(MEMBERS[[#This Row],[GenderCode]]:MEMBERS[[#This Row],[Casual]])</f>
        <v>0</v>
      </c>
      <c r="L79" s="57">
        <f>IF(SUBSTITUTE(TEXT(MEMBERS[[#This Row],[StaffMemberCode]],10)," ","")=TEXT(MEMBERS[[#This Row],[StaffMemberCode]],10),0,1)</f>
        <v>0</v>
      </c>
      <c r="M79" s="57">
        <f ca="1">SUM(MEMBERS[[#This Row],[Duplicate NameService Start]:[Space in Code]])</f>
        <v>0</v>
      </c>
      <c r="O79" s="15">
        <v>10013540</v>
      </c>
      <c r="P79" s="15" t="s">
        <v>3957</v>
      </c>
      <c r="Q79" s="15" t="s">
        <v>3473</v>
      </c>
      <c r="R79" s="133" t="str">
        <f>MEMBERS[[#This Row],[FirstName]]&amp;" "&amp;MEMBERS[[#This Row],[LastName]]</f>
        <v>Bethan Jones</v>
      </c>
      <c r="S79" s="21">
        <v>45310</v>
      </c>
      <c r="U79" s="21">
        <v>36965</v>
      </c>
      <c r="V79" s="138" t="b">
        <v>0</v>
      </c>
      <c r="W79" t="b">
        <v>0</v>
      </c>
      <c r="X79" t="b">
        <v>0</v>
      </c>
      <c r="Y79" t="s">
        <v>2126</v>
      </c>
      <c r="Z79" t="b">
        <v>1</v>
      </c>
      <c r="AB79" t="s">
        <v>1571</v>
      </c>
      <c r="AC79" t="b">
        <v>1</v>
      </c>
    </row>
    <row r="80" spans="1:29" x14ac:dyDescent="0.3">
      <c r="A80" s="57" t="str">
        <f>MEMBERS[[#This Row],[Title]]&amp;MEMBERS[[#This Row],[ServiceStartDate]]</f>
        <v>Bethany Brittain43578</v>
      </c>
      <c r="B80" s="57">
        <f>IF(COUNTIF(MEMBERS[NameServiceStart],MEMBERS[[#This Row],[NameServiceStart]])=1,0,1)</f>
        <v>0</v>
      </c>
      <c r="C80" s="57">
        <f>IF(COUNTIF(MEMBERS[StaffMemberCode],MEMBERS[[#This Row],[StaffMemberCode]])=1,0,1)</f>
        <v>0</v>
      </c>
      <c r="D80" s="57">
        <f>IF(ISBLANK(MEMBERS[[#This Row],[PayrollLocation]]),0,IF(COUNTIF(SCHOOLS[SchoolCode],MEMBERS[[#This Row],[PayrollLocation]])=1,0,1))</f>
        <v>0</v>
      </c>
      <c r="E80" s="57">
        <f>IF(MEMBERS[[#This Row],[AvailableToAllSchools]]=FALSE,IF(ISBLANK(MEMBERS[[#This Row],[SchoolCodes]]),1,0),IF(MEMBERS[[#This Row],[AvailableToAllSchools]]=TRUE,IF(ISBLANK(MEMBERS[[#This Row],[SchoolCodes]]),0,1)))</f>
        <v>0</v>
      </c>
      <c r="F80" s="57">
        <f>IF(ISBLANK(MEMBERS[[#This Row],[ServiceEndDate]]),0,IF(MEMBERS[[#This Row],[ServiceStartDate]]&lt;MEMBERS[[#This Row],[ServiceEndDate]],0,1))</f>
        <v>0</v>
      </c>
      <c r="G80" s="57" cm="1">
        <f t="array" aca="1" ref="G80" ca="1">IF(CELL("format",MEMBERS[[#This Row],[ServiceStartDate]])="D1",0,1)+IF(CELL("format",MEMBERS[[#This Row],[ServiceEndDate]])="D1",0,1)</f>
        <v>0</v>
      </c>
      <c r="H8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0" s="57">
        <f>IF(LEN(MEMBERS[[#This Row],[StaffMemberCode]])&lt;100,0,1)</f>
        <v>0</v>
      </c>
      <c r="J80" s="57">
        <f>IF(LEN(MEMBERS[[#This Row],[Title]])&lt;100,0,1)</f>
        <v>0</v>
      </c>
      <c r="K80" s="57">
        <f>COUNTBLANK(MEMBERS[[#This Row],[StaffMemberCode]:[ServiceStartDate]])+COUNTBLANK(MEMBERS[[#This Row],[Apprenticeship]]:MEMBERS[[#This Row],[StaffMemberEnabled]])+COUNTBLANK(MEMBERS[[#This Row],[GenderCode]]:MEMBERS[[#This Row],[Casual]])</f>
        <v>0</v>
      </c>
      <c r="L80" s="57">
        <f>IF(SUBSTITUTE(TEXT(MEMBERS[[#This Row],[StaffMemberCode]],10)," ","")=TEXT(MEMBERS[[#This Row],[StaffMemberCode]],10),0,1)</f>
        <v>0</v>
      </c>
      <c r="M80" s="57">
        <f ca="1">SUM(MEMBERS[[#This Row],[Duplicate NameService Start]:[Space in Code]])</f>
        <v>0</v>
      </c>
      <c r="O80" s="15">
        <v>91073734</v>
      </c>
      <c r="P80" s="15" t="s">
        <v>3196</v>
      </c>
      <c r="Q80" s="15" t="s">
        <v>3509</v>
      </c>
      <c r="R80" s="133" t="str">
        <f>MEMBERS[[#This Row],[FirstName]]&amp;" "&amp;MEMBERS[[#This Row],[LastName]]</f>
        <v>Bethany Brittain</v>
      </c>
      <c r="S80" s="21">
        <v>43578</v>
      </c>
      <c r="U80" s="21">
        <v>34613</v>
      </c>
      <c r="V80" t="b">
        <v>0</v>
      </c>
      <c r="W80" t="b">
        <v>0</v>
      </c>
      <c r="X80" t="b">
        <v>0</v>
      </c>
      <c r="Y80" t="s">
        <v>2082</v>
      </c>
      <c r="Z80" t="b">
        <v>1</v>
      </c>
      <c r="AB80" t="s">
        <v>1571</v>
      </c>
      <c r="AC80" t="b">
        <v>0</v>
      </c>
    </row>
    <row r="81" spans="1:29" x14ac:dyDescent="0.3">
      <c r="A81" s="57" t="str">
        <f>MEMBERS[[#This Row],[Title]]&amp;MEMBERS[[#This Row],[ServiceStartDate]]</f>
        <v>Bethany Goodwin36795</v>
      </c>
      <c r="B81" s="57">
        <f>IF(COUNTIF(MEMBERS[NameServiceStart],MEMBERS[[#This Row],[NameServiceStart]])=1,0,1)</f>
        <v>0</v>
      </c>
      <c r="C81" s="57">
        <f>IF(COUNTIF(MEMBERS[StaffMemberCode],MEMBERS[[#This Row],[StaffMemberCode]])=1,0,1)</f>
        <v>0</v>
      </c>
      <c r="D81" s="57">
        <f>IF(ISBLANK(MEMBERS[[#This Row],[PayrollLocation]]),0,IF(COUNTIF(SCHOOLS[SchoolCode],MEMBERS[[#This Row],[PayrollLocation]])=1,0,1))</f>
        <v>0</v>
      </c>
      <c r="E81" s="57">
        <f>IF(MEMBERS[[#This Row],[AvailableToAllSchools]]=FALSE,IF(ISBLANK(MEMBERS[[#This Row],[SchoolCodes]]),1,0),IF(MEMBERS[[#This Row],[AvailableToAllSchools]]=TRUE,IF(ISBLANK(MEMBERS[[#This Row],[SchoolCodes]]),0,1)))</f>
        <v>0</v>
      </c>
      <c r="F81" s="57">
        <f>IF(ISBLANK(MEMBERS[[#This Row],[ServiceEndDate]]),0,IF(MEMBERS[[#This Row],[ServiceStartDate]]&lt;MEMBERS[[#This Row],[ServiceEndDate]],0,1))</f>
        <v>0</v>
      </c>
      <c r="G81" s="57" cm="1">
        <f t="array" aca="1" ref="G81" ca="1">IF(CELL("format",MEMBERS[[#This Row],[ServiceStartDate]])="D1",0,1)+IF(CELL("format",MEMBERS[[#This Row],[ServiceEndDate]])="D1",0,1)</f>
        <v>0</v>
      </c>
      <c r="H8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1" s="57">
        <f>IF(LEN(MEMBERS[[#This Row],[StaffMemberCode]])&lt;100,0,1)</f>
        <v>0</v>
      </c>
      <c r="J81" s="57">
        <f>IF(LEN(MEMBERS[[#This Row],[Title]])&lt;100,0,1)</f>
        <v>0</v>
      </c>
      <c r="K81" s="57">
        <f>COUNTBLANK(MEMBERS[[#This Row],[StaffMemberCode]:[ServiceStartDate]])+COUNTBLANK(MEMBERS[[#This Row],[Apprenticeship]]:MEMBERS[[#This Row],[StaffMemberEnabled]])+COUNTBLANK(MEMBERS[[#This Row],[GenderCode]]:MEMBERS[[#This Row],[Casual]])</f>
        <v>0</v>
      </c>
      <c r="L81" s="57">
        <f>IF(SUBSTITUTE(TEXT(MEMBERS[[#This Row],[StaffMemberCode]],10)," ","")=TEXT(MEMBERS[[#This Row],[StaffMemberCode]],10),0,1)</f>
        <v>0</v>
      </c>
      <c r="M81" s="57">
        <f ca="1">SUM(MEMBERS[[#This Row],[Duplicate NameService Start]:[Space in Code]])</f>
        <v>0</v>
      </c>
      <c r="O81" s="15">
        <v>91329637</v>
      </c>
      <c r="P81" s="15" t="s">
        <v>3196</v>
      </c>
      <c r="Q81" s="15" t="s">
        <v>3510</v>
      </c>
      <c r="R81" s="133" t="str">
        <f>MEMBERS[[#This Row],[FirstName]]&amp;" "&amp;MEMBERS[[#This Row],[LastName]]</f>
        <v>Bethany Goodwin</v>
      </c>
      <c r="S81" s="21">
        <v>36795</v>
      </c>
      <c r="U81" s="21">
        <v>36795</v>
      </c>
      <c r="V81" t="b">
        <v>0</v>
      </c>
      <c r="W81" t="b">
        <v>0</v>
      </c>
      <c r="X81" t="b">
        <v>0</v>
      </c>
      <c r="Y81" t="s">
        <v>2299</v>
      </c>
      <c r="Z81" t="b">
        <v>1</v>
      </c>
      <c r="AB81" t="s">
        <v>1571</v>
      </c>
      <c r="AC81" t="b">
        <v>0</v>
      </c>
    </row>
    <row r="82" spans="1:29" x14ac:dyDescent="0.3">
      <c r="A82" s="57" t="str">
        <f>MEMBERS[[#This Row],[Title]]&amp;MEMBERS[[#This Row],[ServiceStartDate]]</f>
        <v>Bethany Lockett45536</v>
      </c>
      <c r="B82" s="57">
        <f>IF(COUNTIF(MEMBERS[NameServiceStart],MEMBERS[[#This Row],[NameServiceStart]])=1,0,1)</f>
        <v>0</v>
      </c>
      <c r="C82" s="57">
        <f>IF(COUNTIF(MEMBERS[StaffMemberCode],MEMBERS[[#This Row],[StaffMemberCode]])=1,0,1)</f>
        <v>0</v>
      </c>
      <c r="D82" s="57">
        <f>IF(ISBLANK(MEMBERS[[#This Row],[PayrollLocation]]),0,IF(COUNTIF(SCHOOLS[SchoolCode],MEMBERS[[#This Row],[PayrollLocation]])=1,0,1))</f>
        <v>0</v>
      </c>
      <c r="E82" s="57">
        <f>IF(MEMBERS[[#This Row],[AvailableToAllSchools]]=FALSE,IF(ISBLANK(MEMBERS[[#This Row],[SchoolCodes]]),1,0),IF(MEMBERS[[#This Row],[AvailableToAllSchools]]=TRUE,IF(ISBLANK(MEMBERS[[#This Row],[SchoolCodes]]),0,1)))</f>
        <v>0</v>
      </c>
      <c r="F82" s="57">
        <f>IF(ISBLANK(MEMBERS[[#This Row],[ServiceEndDate]]),0,IF(MEMBERS[[#This Row],[ServiceStartDate]]&lt;MEMBERS[[#This Row],[ServiceEndDate]],0,1))</f>
        <v>0</v>
      </c>
      <c r="G82" s="57" cm="1">
        <f t="array" aca="1" ref="G82" ca="1">IF(CELL("format",MEMBERS[[#This Row],[ServiceStartDate]])="D1",0,1)+IF(CELL("format",MEMBERS[[#This Row],[ServiceEndDate]])="D1",0,1)</f>
        <v>0</v>
      </c>
      <c r="H8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2" s="57">
        <f>IF(LEN(MEMBERS[[#This Row],[StaffMemberCode]])&lt;100,0,1)</f>
        <v>0</v>
      </c>
      <c r="J82" s="57">
        <f>IF(LEN(MEMBERS[[#This Row],[Title]])&lt;100,0,1)</f>
        <v>0</v>
      </c>
      <c r="K82" s="57">
        <f>COUNTBLANK(MEMBERS[[#This Row],[StaffMemberCode]:[ServiceStartDate]])+COUNTBLANK(MEMBERS[[#This Row],[Apprenticeship]]:MEMBERS[[#This Row],[StaffMemberEnabled]])+COUNTBLANK(MEMBERS[[#This Row],[GenderCode]]:MEMBERS[[#This Row],[Casual]])</f>
        <v>0</v>
      </c>
      <c r="L82" s="57">
        <f>IF(SUBSTITUTE(TEXT(MEMBERS[[#This Row],[StaffMemberCode]],10)," ","")=TEXT(MEMBERS[[#This Row],[StaffMemberCode]],10),0,1)</f>
        <v>0</v>
      </c>
      <c r="M82" s="57">
        <f ca="1">SUM(MEMBERS[[#This Row],[Duplicate NameService Start]:[Space in Code]])</f>
        <v>0</v>
      </c>
      <c r="O82" s="15">
        <v>91323658</v>
      </c>
      <c r="P82" s="15" t="s">
        <v>3196</v>
      </c>
      <c r="Q82" s="15" t="s">
        <v>3511</v>
      </c>
      <c r="R82" s="133" t="str">
        <f>MEMBERS[[#This Row],[FirstName]]&amp;" "&amp;MEMBERS[[#This Row],[LastName]]</f>
        <v>Bethany Lockett</v>
      </c>
      <c r="S82" s="21">
        <v>45536</v>
      </c>
      <c r="U82" s="21">
        <v>37105</v>
      </c>
      <c r="V82" t="b">
        <v>0</v>
      </c>
      <c r="W82" t="b">
        <v>0</v>
      </c>
      <c r="X82" t="b">
        <v>0</v>
      </c>
      <c r="Y82" t="s">
        <v>2094</v>
      </c>
      <c r="Z82" t="b">
        <v>1</v>
      </c>
      <c r="AB82" t="s">
        <v>1571</v>
      </c>
      <c r="AC82" t="b">
        <v>1</v>
      </c>
    </row>
    <row r="83" spans="1:29" x14ac:dyDescent="0.3">
      <c r="A83" s="57" t="str">
        <f>MEMBERS[[#This Row],[Title]]&amp;MEMBERS[[#This Row],[ServiceStartDate]]</f>
        <v>Bobbie Blackman44221</v>
      </c>
      <c r="B83" s="57">
        <f>IF(COUNTIF(MEMBERS[NameServiceStart],MEMBERS[[#This Row],[NameServiceStart]])=1,0,1)</f>
        <v>0</v>
      </c>
      <c r="C83" s="57">
        <f>IF(COUNTIF(MEMBERS[StaffMemberCode],MEMBERS[[#This Row],[StaffMemberCode]])=1,0,1)</f>
        <v>0</v>
      </c>
      <c r="D83" s="57">
        <f>IF(ISBLANK(MEMBERS[[#This Row],[PayrollLocation]]),0,IF(COUNTIF(SCHOOLS[SchoolCode],MEMBERS[[#This Row],[PayrollLocation]])=1,0,1))</f>
        <v>0</v>
      </c>
      <c r="E83" s="57">
        <f>IF(MEMBERS[[#This Row],[AvailableToAllSchools]]=FALSE,IF(ISBLANK(MEMBERS[[#This Row],[SchoolCodes]]),1,0),IF(MEMBERS[[#This Row],[AvailableToAllSchools]]=TRUE,IF(ISBLANK(MEMBERS[[#This Row],[SchoolCodes]]),0,1)))</f>
        <v>0</v>
      </c>
      <c r="F83" s="57">
        <f>IF(ISBLANK(MEMBERS[[#This Row],[ServiceEndDate]]),0,IF(MEMBERS[[#This Row],[ServiceStartDate]]&lt;MEMBERS[[#This Row],[ServiceEndDate]],0,1))</f>
        <v>0</v>
      </c>
      <c r="G83" s="57" cm="1">
        <f t="array" aca="1" ref="G83" ca="1">IF(CELL("format",MEMBERS[[#This Row],[ServiceStartDate]])="D1",0,1)+IF(CELL("format",MEMBERS[[#This Row],[ServiceEndDate]])="D1",0,1)</f>
        <v>0</v>
      </c>
      <c r="H8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3" s="57">
        <f>IF(LEN(MEMBERS[[#This Row],[StaffMemberCode]])&lt;100,0,1)</f>
        <v>0</v>
      </c>
      <c r="J83" s="57">
        <f>IF(LEN(MEMBERS[[#This Row],[Title]])&lt;100,0,1)</f>
        <v>0</v>
      </c>
      <c r="K83" s="57">
        <f>COUNTBLANK(MEMBERS[[#This Row],[StaffMemberCode]:[ServiceStartDate]])+COUNTBLANK(MEMBERS[[#This Row],[Apprenticeship]]:MEMBERS[[#This Row],[StaffMemberEnabled]])+COUNTBLANK(MEMBERS[[#This Row],[GenderCode]]:MEMBERS[[#This Row],[Casual]])</f>
        <v>0</v>
      </c>
      <c r="L83" s="57">
        <f>IF(SUBSTITUTE(TEXT(MEMBERS[[#This Row],[StaffMemberCode]],10)," ","")=TEXT(MEMBERS[[#This Row],[StaffMemberCode]],10),0,1)</f>
        <v>0</v>
      </c>
      <c r="M83" s="57">
        <f ca="1">SUM(MEMBERS[[#This Row],[Duplicate NameService Start]:[Space in Code]])</f>
        <v>0</v>
      </c>
      <c r="O83" s="15">
        <v>10007808</v>
      </c>
      <c r="P83" s="15" t="s">
        <v>3958</v>
      </c>
      <c r="Q83" s="15" t="s">
        <v>4034</v>
      </c>
      <c r="R83" s="133" t="str">
        <f>MEMBERS[[#This Row],[FirstName]]&amp;" "&amp;MEMBERS[[#This Row],[LastName]]</f>
        <v>Bobbie Blackman</v>
      </c>
      <c r="S83" s="21">
        <v>44221</v>
      </c>
      <c r="U83" s="21">
        <v>36122</v>
      </c>
      <c r="V83" s="138" t="b">
        <v>0</v>
      </c>
      <c r="W83" t="b">
        <v>0</v>
      </c>
      <c r="X83" t="b">
        <v>0</v>
      </c>
      <c r="Y83" t="s">
        <v>2126</v>
      </c>
      <c r="Z83" t="b">
        <v>1</v>
      </c>
      <c r="AB83" t="s">
        <v>1571</v>
      </c>
      <c r="AC83" t="b">
        <v>0</v>
      </c>
    </row>
    <row r="84" spans="1:29" x14ac:dyDescent="0.3">
      <c r="A84" s="57" t="str">
        <f>MEMBERS[[#This Row],[Title]]&amp;MEMBERS[[#This Row],[ServiceStartDate]]</f>
        <v>Bradley Hollinshead45017</v>
      </c>
      <c r="B84" s="57">
        <f>IF(COUNTIF(MEMBERS[NameServiceStart],MEMBERS[[#This Row],[NameServiceStart]])=1,0,1)</f>
        <v>0</v>
      </c>
      <c r="C84" s="57">
        <f>IF(COUNTIF(MEMBERS[StaffMemberCode],MEMBERS[[#This Row],[StaffMemberCode]])=1,0,1)</f>
        <v>0</v>
      </c>
      <c r="D84" s="57">
        <f>IF(ISBLANK(MEMBERS[[#This Row],[PayrollLocation]]),0,IF(COUNTIF(SCHOOLS[SchoolCode],MEMBERS[[#This Row],[PayrollLocation]])=1,0,1))</f>
        <v>0</v>
      </c>
      <c r="E84" s="57">
        <f>IF(MEMBERS[[#This Row],[AvailableToAllSchools]]=FALSE,IF(ISBLANK(MEMBERS[[#This Row],[SchoolCodes]]),1,0),IF(MEMBERS[[#This Row],[AvailableToAllSchools]]=TRUE,IF(ISBLANK(MEMBERS[[#This Row],[SchoolCodes]]),0,1)))</f>
        <v>0</v>
      </c>
      <c r="F84" s="57">
        <f>IF(ISBLANK(MEMBERS[[#This Row],[ServiceEndDate]]),0,IF(MEMBERS[[#This Row],[ServiceStartDate]]&lt;MEMBERS[[#This Row],[ServiceEndDate]],0,1))</f>
        <v>0</v>
      </c>
      <c r="G84" s="57" cm="1">
        <f t="array" aca="1" ref="G84" ca="1">IF(CELL("format",MEMBERS[[#This Row],[ServiceStartDate]])="D1",0,1)+IF(CELL("format",MEMBERS[[#This Row],[ServiceEndDate]])="D1",0,1)</f>
        <v>0</v>
      </c>
      <c r="H8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4" s="57">
        <f>IF(LEN(MEMBERS[[#This Row],[StaffMemberCode]])&lt;100,0,1)</f>
        <v>0</v>
      </c>
      <c r="J84" s="57">
        <f>IF(LEN(MEMBERS[[#This Row],[Title]])&lt;100,0,1)</f>
        <v>0</v>
      </c>
      <c r="K84" s="57">
        <f>COUNTBLANK(MEMBERS[[#This Row],[StaffMemberCode]:[ServiceStartDate]])+COUNTBLANK(MEMBERS[[#This Row],[Apprenticeship]]:MEMBERS[[#This Row],[StaffMemberEnabled]])+COUNTBLANK(MEMBERS[[#This Row],[GenderCode]]:MEMBERS[[#This Row],[Casual]])</f>
        <v>0</v>
      </c>
      <c r="L84" s="57">
        <f>IF(SUBSTITUTE(TEXT(MEMBERS[[#This Row],[StaffMemberCode]],10)," ","")=TEXT(MEMBERS[[#This Row],[StaffMemberCode]],10),0,1)</f>
        <v>0</v>
      </c>
      <c r="M84" s="57">
        <f ca="1">SUM(MEMBERS[[#This Row],[Duplicate NameService Start]:[Space in Code]])</f>
        <v>0</v>
      </c>
      <c r="O84" s="15">
        <v>10011990</v>
      </c>
      <c r="P84" s="15" t="s">
        <v>3959</v>
      </c>
      <c r="Q84" s="15" t="s">
        <v>4035</v>
      </c>
      <c r="R84" s="133" t="str">
        <f>MEMBERS[[#This Row],[FirstName]]&amp;" "&amp;MEMBERS[[#This Row],[LastName]]</f>
        <v>Bradley Hollinshead</v>
      </c>
      <c r="S84" s="21">
        <v>45017</v>
      </c>
      <c r="U84" s="21">
        <v>38881</v>
      </c>
      <c r="V84" s="138" t="b">
        <v>1</v>
      </c>
      <c r="W84" t="b">
        <v>0</v>
      </c>
      <c r="X84" t="b">
        <v>0</v>
      </c>
      <c r="Y84" t="s">
        <v>2126</v>
      </c>
      <c r="Z84" t="b">
        <v>1</v>
      </c>
      <c r="AB84" t="s">
        <v>1572</v>
      </c>
      <c r="AC84" t="b">
        <v>0</v>
      </c>
    </row>
    <row r="85" spans="1:29" x14ac:dyDescent="0.3">
      <c r="A85" s="57" t="str">
        <f>MEMBERS[[#This Row],[Title]]&amp;MEMBERS[[#This Row],[ServiceStartDate]]</f>
        <v>Bridie Bonner45292</v>
      </c>
      <c r="B85" s="57">
        <f>IF(COUNTIF(MEMBERS[NameServiceStart],MEMBERS[[#This Row],[NameServiceStart]])=1,0,1)</f>
        <v>0</v>
      </c>
      <c r="C85" s="57">
        <f>IF(COUNTIF(MEMBERS[StaffMemberCode],MEMBERS[[#This Row],[StaffMemberCode]])=1,0,1)</f>
        <v>0</v>
      </c>
      <c r="D85" s="57">
        <f>IF(ISBLANK(MEMBERS[[#This Row],[PayrollLocation]]),0,IF(COUNTIF(SCHOOLS[SchoolCode],MEMBERS[[#This Row],[PayrollLocation]])=1,0,1))</f>
        <v>0</v>
      </c>
      <c r="E85" s="57">
        <f>IF(MEMBERS[[#This Row],[AvailableToAllSchools]]=FALSE,IF(ISBLANK(MEMBERS[[#This Row],[SchoolCodes]]),1,0),IF(MEMBERS[[#This Row],[AvailableToAllSchools]]=TRUE,IF(ISBLANK(MEMBERS[[#This Row],[SchoolCodes]]),0,1)))</f>
        <v>0</v>
      </c>
      <c r="F85" s="57">
        <f>IF(ISBLANK(MEMBERS[[#This Row],[ServiceEndDate]]),0,IF(MEMBERS[[#This Row],[ServiceStartDate]]&lt;MEMBERS[[#This Row],[ServiceEndDate]],0,1))</f>
        <v>0</v>
      </c>
      <c r="G85" s="57" cm="1">
        <f t="array" aca="1" ref="G85" ca="1">IF(CELL("format",MEMBERS[[#This Row],[ServiceStartDate]])="D1",0,1)+IF(CELL("format",MEMBERS[[#This Row],[ServiceEndDate]])="D1",0,1)</f>
        <v>0</v>
      </c>
      <c r="H8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5" s="57">
        <f>IF(LEN(MEMBERS[[#This Row],[StaffMemberCode]])&lt;100,0,1)</f>
        <v>0</v>
      </c>
      <c r="J85" s="57">
        <f>IF(LEN(MEMBERS[[#This Row],[Title]])&lt;100,0,1)</f>
        <v>0</v>
      </c>
      <c r="K85" s="57">
        <f>COUNTBLANK(MEMBERS[[#This Row],[StaffMemberCode]:[ServiceStartDate]])+COUNTBLANK(MEMBERS[[#This Row],[Apprenticeship]]:MEMBERS[[#This Row],[StaffMemberEnabled]])+COUNTBLANK(MEMBERS[[#This Row],[GenderCode]]:MEMBERS[[#This Row],[Casual]])</f>
        <v>0</v>
      </c>
      <c r="L85" s="57">
        <f>IF(SUBSTITUTE(TEXT(MEMBERS[[#This Row],[StaffMemberCode]],10)," ","")=TEXT(MEMBERS[[#This Row],[StaffMemberCode]],10),0,1)</f>
        <v>0</v>
      </c>
      <c r="M85" s="57">
        <f ca="1">SUM(MEMBERS[[#This Row],[Duplicate NameService Start]:[Space in Code]])</f>
        <v>0</v>
      </c>
      <c r="O85" s="15">
        <v>91075773</v>
      </c>
      <c r="P85" s="15" t="s">
        <v>3197</v>
      </c>
      <c r="Q85" s="15" t="s">
        <v>3512</v>
      </c>
      <c r="R85" s="133" t="str">
        <f>MEMBERS[[#This Row],[FirstName]]&amp;" "&amp;MEMBERS[[#This Row],[LastName]]</f>
        <v>Bridie Bonner</v>
      </c>
      <c r="S85" s="21">
        <v>45292</v>
      </c>
      <c r="U85" s="21">
        <v>29663</v>
      </c>
      <c r="V85" t="b">
        <v>0</v>
      </c>
      <c r="W85" t="b">
        <v>0</v>
      </c>
      <c r="X85" t="b">
        <v>0</v>
      </c>
      <c r="Y85" t="s">
        <v>2200</v>
      </c>
      <c r="Z85" t="b">
        <v>1</v>
      </c>
      <c r="AB85" t="s">
        <v>1571</v>
      </c>
      <c r="AC85" t="b">
        <v>0</v>
      </c>
    </row>
    <row r="86" spans="1:29" x14ac:dyDescent="0.3">
      <c r="A86" s="57" t="str">
        <f>MEMBERS[[#This Row],[Title]]&amp;MEMBERS[[#This Row],[ServiceStartDate]]</f>
        <v>Bronwen Jones43474</v>
      </c>
      <c r="B86" s="57">
        <f>IF(COUNTIF(MEMBERS[NameServiceStart],MEMBERS[[#This Row],[NameServiceStart]])=1,0,1)</f>
        <v>0</v>
      </c>
      <c r="C86" s="57">
        <f>IF(COUNTIF(MEMBERS[StaffMemberCode],MEMBERS[[#This Row],[StaffMemberCode]])=1,0,1)</f>
        <v>0</v>
      </c>
      <c r="D86" s="57">
        <f>IF(ISBLANK(MEMBERS[[#This Row],[PayrollLocation]]),0,IF(COUNTIF(SCHOOLS[SchoolCode],MEMBERS[[#This Row],[PayrollLocation]])=1,0,1))</f>
        <v>0</v>
      </c>
      <c r="E86" s="57">
        <f>IF(MEMBERS[[#This Row],[AvailableToAllSchools]]=FALSE,IF(ISBLANK(MEMBERS[[#This Row],[SchoolCodes]]),1,0),IF(MEMBERS[[#This Row],[AvailableToAllSchools]]=TRUE,IF(ISBLANK(MEMBERS[[#This Row],[SchoolCodes]]),0,1)))</f>
        <v>0</v>
      </c>
      <c r="F86" s="57">
        <f>IF(ISBLANK(MEMBERS[[#This Row],[ServiceEndDate]]),0,IF(MEMBERS[[#This Row],[ServiceStartDate]]&lt;MEMBERS[[#This Row],[ServiceEndDate]],0,1))</f>
        <v>0</v>
      </c>
      <c r="G86" s="57" cm="1">
        <f t="array" aca="1" ref="G86" ca="1">IF(CELL("format",MEMBERS[[#This Row],[ServiceStartDate]])="D1",0,1)+IF(CELL("format",MEMBERS[[#This Row],[ServiceEndDate]])="D1",0,1)</f>
        <v>0</v>
      </c>
      <c r="H8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6" s="57">
        <f>IF(LEN(MEMBERS[[#This Row],[StaffMemberCode]])&lt;100,0,1)</f>
        <v>0</v>
      </c>
      <c r="J86" s="57">
        <f>IF(LEN(MEMBERS[[#This Row],[Title]])&lt;100,0,1)</f>
        <v>0</v>
      </c>
      <c r="K86" s="57">
        <f>COUNTBLANK(MEMBERS[[#This Row],[StaffMemberCode]:[ServiceStartDate]])+COUNTBLANK(MEMBERS[[#This Row],[Apprenticeship]]:MEMBERS[[#This Row],[StaffMemberEnabled]])+COUNTBLANK(MEMBERS[[#This Row],[GenderCode]]:MEMBERS[[#This Row],[Casual]])</f>
        <v>0</v>
      </c>
      <c r="L86" s="57">
        <f>IF(SUBSTITUTE(TEXT(MEMBERS[[#This Row],[StaffMemberCode]],10)," ","")=TEXT(MEMBERS[[#This Row],[StaffMemberCode]],10),0,1)</f>
        <v>0</v>
      </c>
      <c r="M86" s="57">
        <f ca="1">SUM(MEMBERS[[#This Row],[Duplicate NameService Start]:[Space in Code]])</f>
        <v>0</v>
      </c>
      <c r="O86" s="15">
        <v>91073652</v>
      </c>
      <c r="P86" s="15" t="s">
        <v>3198</v>
      </c>
      <c r="Q86" s="15" t="s">
        <v>3473</v>
      </c>
      <c r="R86" s="133" t="str">
        <f>MEMBERS[[#This Row],[FirstName]]&amp;" "&amp;MEMBERS[[#This Row],[LastName]]</f>
        <v>Bronwen Jones</v>
      </c>
      <c r="S86" s="21">
        <v>43474</v>
      </c>
      <c r="U86" s="21">
        <v>23997</v>
      </c>
      <c r="V86" t="b">
        <v>0</v>
      </c>
      <c r="W86" t="b">
        <v>0</v>
      </c>
      <c r="X86" t="b">
        <v>0</v>
      </c>
      <c r="Y86" t="s">
        <v>2089</v>
      </c>
      <c r="Z86" t="b">
        <v>1</v>
      </c>
      <c r="AB86" t="s">
        <v>1571</v>
      </c>
      <c r="AC86" t="b">
        <v>0</v>
      </c>
    </row>
    <row r="87" spans="1:29" x14ac:dyDescent="0.3">
      <c r="A87" s="57" t="str">
        <f>MEMBERS[[#This Row],[Title]]&amp;MEMBERS[[#This Row],[ServiceStartDate]]</f>
        <v>Cally Quarterman43668</v>
      </c>
      <c r="B87" s="57">
        <f>IF(COUNTIF(MEMBERS[NameServiceStart],MEMBERS[[#This Row],[NameServiceStart]])=1,0,1)</f>
        <v>0</v>
      </c>
      <c r="C87" s="57">
        <f>IF(COUNTIF(MEMBERS[StaffMemberCode],MEMBERS[[#This Row],[StaffMemberCode]])=1,0,1)</f>
        <v>0</v>
      </c>
      <c r="D87" s="57">
        <f>IF(ISBLANK(MEMBERS[[#This Row],[PayrollLocation]]),0,IF(COUNTIF(SCHOOLS[SchoolCode],MEMBERS[[#This Row],[PayrollLocation]])=1,0,1))</f>
        <v>0</v>
      </c>
      <c r="E87" s="57">
        <f>IF(MEMBERS[[#This Row],[AvailableToAllSchools]]=FALSE,IF(ISBLANK(MEMBERS[[#This Row],[SchoolCodes]]),1,0),IF(MEMBERS[[#This Row],[AvailableToAllSchools]]=TRUE,IF(ISBLANK(MEMBERS[[#This Row],[SchoolCodes]]),0,1)))</f>
        <v>0</v>
      </c>
      <c r="F87" s="57">
        <f>IF(ISBLANK(MEMBERS[[#This Row],[ServiceEndDate]]),0,IF(MEMBERS[[#This Row],[ServiceStartDate]]&lt;MEMBERS[[#This Row],[ServiceEndDate]],0,1))</f>
        <v>0</v>
      </c>
      <c r="G87" s="57" cm="1">
        <f t="array" aca="1" ref="G87" ca="1">IF(CELL("format",MEMBERS[[#This Row],[ServiceStartDate]])="D1",0,1)+IF(CELL("format",MEMBERS[[#This Row],[ServiceEndDate]])="D1",0,1)</f>
        <v>0</v>
      </c>
      <c r="H8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7" s="57">
        <f>IF(LEN(MEMBERS[[#This Row],[StaffMemberCode]])&lt;100,0,1)</f>
        <v>0</v>
      </c>
      <c r="J87" s="57">
        <f>IF(LEN(MEMBERS[[#This Row],[Title]])&lt;100,0,1)</f>
        <v>0</v>
      </c>
      <c r="K87" s="57">
        <f>COUNTBLANK(MEMBERS[[#This Row],[StaffMemberCode]:[ServiceStartDate]])+COUNTBLANK(MEMBERS[[#This Row],[Apprenticeship]]:MEMBERS[[#This Row],[StaffMemberEnabled]])+COUNTBLANK(MEMBERS[[#This Row],[GenderCode]]:MEMBERS[[#This Row],[Casual]])</f>
        <v>0</v>
      </c>
      <c r="L87" s="57">
        <f>IF(SUBSTITUTE(TEXT(MEMBERS[[#This Row],[StaffMemberCode]],10)," ","")=TEXT(MEMBERS[[#This Row],[StaffMemberCode]],10),0,1)</f>
        <v>0</v>
      </c>
      <c r="M87" s="57">
        <f ca="1">SUM(MEMBERS[[#This Row],[Duplicate NameService Start]:[Space in Code]])</f>
        <v>0</v>
      </c>
      <c r="O87" s="15">
        <v>91073521</v>
      </c>
      <c r="P87" s="15" t="s">
        <v>3199</v>
      </c>
      <c r="Q87" s="15" t="s">
        <v>3513</v>
      </c>
      <c r="R87" s="133" t="str">
        <f>MEMBERS[[#This Row],[FirstName]]&amp;" "&amp;MEMBERS[[#This Row],[LastName]]</f>
        <v>Cally Quarterman</v>
      </c>
      <c r="S87" s="21">
        <v>43668</v>
      </c>
      <c r="U87" s="21">
        <v>32748</v>
      </c>
      <c r="V87" t="b">
        <v>0</v>
      </c>
      <c r="W87" t="b">
        <v>0</v>
      </c>
      <c r="X87" t="b">
        <v>0</v>
      </c>
      <c r="Y87" t="s">
        <v>51</v>
      </c>
      <c r="Z87" t="b">
        <v>1</v>
      </c>
      <c r="AB87" t="s">
        <v>1571</v>
      </c>
      <c r="AC87" t="b">
        <v>0</v>
      </c>
    </row>
    <row r="88" spans="1:29" x14ac:dyDescent="0.3">
      <c r="A88" s="57" t="str">
        <f>MEMBERS[[#This Row],[Title]]&amp;MEMBERS[[#This Row],[ServiceStartDate]]</f>
        <v>Cara Roberts44935</v>
      </c>
      <c r="B88" s="57">
        <f>IF(COUNTIF(MEMBERS[NameServiceStart],MEMBERS[[#This Row],[NameServiceStart]])=1,0,1)</f>
        <v>0</v>
      </c>
      <c r="C88" s="57">
        <f>IF(COUNTIF(MEMBERS[StaffMemberCode],MEMBERS[[#This Row],[StaffMemberCode]])=1,0,1)</f>
        <v>0</v>
      </c>
      <c r="D88" s="57">
        <f>IF(ISBLANK(MEMBERS[[#This Row],[PayrollLocation]]),0,IF(COUNTIF(SCHOOLS[SchoolCode],MEMBERS[[#This Row],[PayrollLocation]])=1,0,1))</f>
        <v>0</v>
      </c>
      <c r="E88" s="57">
        <f>IF(MEMBERS[[#This Row],[AvailableToAllSchools]]=FALSE,IF(ISBLANK(MEMBERS[[#This Row],[SchoolCodes]]),1,0),IF(MEMBERS[[#This Row],[AvailableToAllSchools]]=TRUE,IF(ISBLANK(MEMBERS[[#This Row],[SchoolCodes]]),0,1)))</f>
        <v>0</v>
      </c>
      <c r="F88" s="57">
        <f>IF(ISBLANK(MEMBERS[[#This Row],[ServiceEndDate]]),0,IF(MEMBERS[[#This Row],[ServiceStartDate]]&lt;MEMBERS[[#This Row],[ServiceEndDate]],0,1))</f>
        <v>0</v>
      </c>
      <c r="G88" s="57" cm="1">
        <f t="array" aca="1" ref="G88" ca="1">IF(CELL("format",MEMBERS[[#This Row],[ServiceStartDate]])="D1",0,1)+IF(CELL("format",MEMBERS[[#This Row],[ServiceEndDate]])="D1",0,1)</f>
        <v>0</v>
      </c>
      <c r="H8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8" s="57">
        <f>IF(LEN(MEMBERS[[#This Row],[StaffMemberCode]])&lt;100,0,1)</f>
        <v>0</v>
      </c>
      <c r="J88" s="57">
        <f>IF(LEN(MEMBERS[[#This Row],[Title]])&lt;100,0,1)</f>
        <v>0</v>
      </c>
      <c r="K88" s="57">
        <f>COUNTBLANK(MEMBERS[[#This Row],[StaffMemberCode]:[ServiceStartDate]])+COUNTBLANK(MEMBERS[[#This Row],[Apprenticeship]]:MEMBERS[[#This Row],[StaffMemberEnabled]])+COUNTBLANK(MEMBERS[[#This Row],[GenderCode]]:MEMBERS[[#This Row],[Casual]])</f>
        <v>0</v>
      </c>
      <c r="L88" s="57">
        <f>IF(SUBSTITUTE(TEXT(MEMBERS[[#This Row],[StaffMemberCode]],10)," ","")=TEXT(MEMBERS[[#This Row],[StaffMemberCode]],10),0,1)</f>
        <v>0</v>
      </c>
      <c r="M88" s="57">
        <f ca="1">SUM(MEMBERS[[#This Row],[Duplicate NameService Start]:[Space in Code]])</f>
        <v>0</v>
      </c>
      <c r="O88" s="15">
        <v>91073609</v>
      </c>
      <c r="P88" s="15" t="s">
        <v>3200</v>
      </c>
      <c r="Q88" s="15" t="s">
        <v>3514</v>
      </c>
      <c r="R88" s="133" t="str">
        <f>MEMBERS[[#This Row],[FirstName]]&amp;" "&amp;MEMBERS[[#This Row],[LastName]]</f>
        <v>Cara Roberts</v>
      </c>
      <c r="S88" s="21">
        <v>44935</v>
      </c>
      <c r="U88" s="21">
        <v>32304</v>
      </c>
      <c r="V88" t="b">
        <v>0</v>
      </c>
      <c r="W88" t="b">
        <v>0</v>
      </c>
      <c r="X88" t="b">
        <v>0</v>
      </c>
      <c r="Y88" t="s">
        <v>2094</v>
      </c>
      <c r="Z88" t="b">
        <v>1</v>
      </c>
      <c r="AB88" t="s">
        <v>1571</v>
      </c>
      <c r="AC88" t="b">
        <v>0</v>
      </c>
    </row>
    <row r="89" spans="1:29" x14ac:dyDescent="0.3">
      <c r="A89" s="57" t="str">
        <f>MEMBERS[[#This Row],[Title]]&amp;MEMBERS[[#This Row],[ServiceStartDate]]</f>
        <v>Carla Brizell45966</v>
      </c>
      <c r="B89" s="57">
        <f>IF(COUNTIF(MEMBERS[NameServiceStart],MEMBERS[[#This Row],[NameServiceStart]])=1,0,1)</f>
        <v>0</v>
      </c>
      <c r="C89" s="57">
        <f>IF(COUNTIF(MEMBERS[StaffMemberCode],MEMBERS[[#This Row],[StaffMemberCode]])=1,0,1)</f>
        <v>0</v>
      </c>
      <c r="D89" s="57">
        <f>IF(ISBLANK(MEMBERS[[#This Row],[PayrollLocation]]),0,IF(COUNTIF(SCHOOLS[SchoolCode],MEMBERS[[#This Row],[PayrollLocation]])=1,0,1))</f>
        <v>0</v>
      </c>
      <c r="E89" s="57">
        <f>IF(MEMBERS[[#This Row],[AvailableToAllSchools]]=FALSE,IF(ISBLANK(MEMBERS[[#This Row],[SchoolCodes]]),1,0),IF(MEMBERS[[#This Row],[AvailableToAllSchools]]=TRUE,IF(ISBLANK(MEMBERS[[#This Row],[SchoolCodes]]),0,1)))</f>
        <v>0</v>
      </c>
      <c r="F89" s="57">
        <f>IF(ISBLANK(MEMBERS[[#This Row],[ServiceEndDate]]),0,IF(MEMBERS[[#This Row],[ServiceStartDate]]&lt;MEMBERS[[#This Row],[ServiceEndDate]],0,1))</f>
        <v>0</v>
      </c>
      <c r="G89" s="57" cm="1">
        <f t="array" aca="1" ref="G89" ca="1">IF(CELL("format",MEMBERS[[#This Row],[ServiceStartDate]])="D1",0,1)+IF(CELL("format",MEMBERS[[#This Row],[ServiceEndDate]])="D1",0,1)</f>
        <v>0</v>
      </c>
      <c r="H8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9" s="57">
        <f>IF(LEN(MEMBERS[[#This Row],[StaffMemberCode]])&lt;100,0,1)</f>
        <v>0</v>
      </c>
      <c r="J89" s="57">
        <f>IF(LEN(MEMBERS[[#This Row],[Title]])&lt;100,0,1)</f>
        <v>0</v>
      </c>
      <c r="K89" s="57">
        <f>COUNTBLANK(MEMBERS[[#This Row],[StaffMemberCode]:[ServiceStartDate]])+COUNTBLANK(MEMBERS[[#This Row],[Apprenticeship]]:MEMBERS[[#This Row],[StaffMemberEnabled]])+COUNTBLANK(MEMBERS[[#This Row],[GenderCode]]:MEMBERS[[#This Row],[Casual]])</f>
        <v>0</v>
      </c>
      <c r="L89" s="57">
        <f>IF(SUBSTITUTE(TEXT(MEMBERS[[#This Row],[StaffMemberCode]],10)," ","")=TEXT(MEMBERS[[#This Row],[StaffMemberCode]],10),0,1)</f>
        <v>0</v>
      </c>
      <c r="M89" s="57">
        <f ca="1">SUM(MEMBERS[[#This Row],[Duplicate NameService Start]:[Space in Code]])</f>
        <v>0</v>
      </c>
      <c r="O89" s="15" t="s">
        <v>3945</v>
      </c>
      <c r="P89" s="15" t="s">
        <v>3960</v>
      </c>
      <c r="Q89" s="15" t="s">
        <v>4036</v>
      </c>
      <c r="R89" s="133" t="str">
        <f>MEMBERS[[#This Row],[FirstName]]&amp;" "&amp;MEMBERS[[#This Row],[LastName]]</f>
        <v>Carla Brizell</v>
      </c>
      <c r="S89" s="21">
        <v>45966</v>
      </c>
      <c r="U89" s="21">
        <v>30014</v>
      </c>
      <c r="V89" s="138" t="b">
        <v>0</v>
      </c>
      <c r="W89" t="b">
        <v>0</v>
      </c>
      <c r="X89" t="b">
        <v>0</v>
      </c>
      <c r="Y89" t="s">
        <v>2126</v>
      </c>
      <c r="Z89" t="b">
        <v>1</v>
      </c>
      <c r="AB89" t="s">
        <v>1571</v>
      </c>
      <c r="AC89" t="b">
        <v>0</v>
      </c>
    </row>
    <row r="90" spans="1:29" x14ac:dyDescent="0.3">
      <c r="A90" s="57" t="str">
        <f>MEMBERS[[#This Row],[Title]]&amp;MEMBERS[[#This Row],[ServiceStartDate]]</f>
        <v>Carla Scott42979</v>
      </c>
      <c r="B90" s="57">
        <f>IF(COUNTIF(MEMBERS[NameServiceStart],MEMBERS[[#This Row],[NameServiceStart]])=1,0,1)</f>
        <v>0</v>
      </c>
      <c r="C90" s="57">
        <f>IF(COUNTIF(MEMBERS[StaffMemberCode],MEMBERS[[#This Row],[StaffMemberCode]])=1,0,1)</f>
        <v>0</v>
      </c>
      <c r="D90" s="57">
        <f>IF(ISBLANK(MEMBERS[[#This Row],[PayrollLocation]]),0,IF(COUNTIF(SCHOOLS[SchoolCode],MEMBERS[[#This Row],[PayrollLocation]])=1,0,1))</f>
        <v>0</v>
      </c>
      <c r="E90" s="57">
        <f>IF(MEMBERS[[#This Row],[AvailableToAllSchools]]=FALSE,IF(ISBLANK(MEMBERS[[#This Row],[SchoolCodes]]),1,0),IF(MEMBERS[[#This Row],[AvailableToAllSchools]]=TRUE,IF(ISBLANK(MEMBERS[[#This Row],[SchoolCodes]]),0,1)))</f>
        <v>0</v>
      </c>
      <c r="F90" s="57">
        <f>IF(ISBLANK(MEMBERS[[#This Row],[ServiceEndDate]]),0,IF(MEMBERS[[#This Row],[ServiceStartDate]]&lt;MEMBERS[[#This Row],[ServiceEndDate]],0,1))</f>
        <v>0</v>
      </c>
      <c r="G90" s="57" cm="1">
        <f t="array" aca="1" ref="G90" ca="1">IF(CELL("format",MEMBERS[[#This Row],[ServiceStartDate]])="D1",0,1)+IF(CELL("format",MEMBERS[[#This Row],[ServiceEndDate]])="D1",0,1)</f>
        <v>0</v>
      </c>
      <c r="H9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90" s="57">
        <f>IF(LEN(MEMBERS[[#This Row],[StaffMemberCode]])&lt;100,0,1)</f>
        <v>0</v>
      </c>
      <c r="J90" s="57">
        <f>IF(LEN(MEMBERS[[#This Row],[Title]])&lt;100,0,1)</f>
        <v>0</v>
      </c>
      <c r="K90" s="57">
        <f>COUNTBLANK(MEMBERS[[#This Row],[StaffMemberCode]:[ServiceStartDate]])+COUNTBLANK(MEMBERS[[#This Row],[Apprenticeship]]:MEMBERS[[#This Row],[StaffMemberEnabled]])+COUNTBLANK(MEMBERS[[#This Row],[GenderCode]]:MEMBERS[[#This Row],[Casual]])</f>
        <v>0</v>
      </c>
      <c r="L90" s="57">
        <f>IF(SUBSTITUTE(TEXT(MEMBERS[[#This Row],[StaffMemberCode]],10)," ","")=TEXT(MEMBERS[[#This Row],[StaffMemberCode]],10),0,1)</f>
        <v>0</v>
      </c>
      <c r="M90" s="57">
        <f ca="1">SUM(MEMBERS[[#This Row],[Duplicate NameService Start]:[Space in Code]])</f>
        <v>0</v>
      </c>
      <c r="O90" s="15">
        <v>10005395</v>
      </c>
      <c r="P90" s="15" t="s">
        <v>3960</v>
      </c>
      <c r="Q90" s="15" t="s">
        <v>4037</v>
      </c>
      <c r="R90" s="133" t="str">
        <f>MEMBERS[[#This Row],[FirstName]]&amp;" "&amp;MEMBERS[[#This Row],[LastName]]</f>
        <v>Carla Scott</v>
      </c>
      <c r="S90" s="21">
        <v>42979</v>
      </c>
      <c r="U90" s="21">
        <v>34209</v>
      </c>
      <c r="V90" s="138" t="b">
        <v>0</v>
      </c>
      <c r="W90" t="b">
        <v>0</v>
      </c>
      <c r="X90" t="b">
        <v>0</v>
      </c>
      <c r="Y90" t="s">
        <v>2126</v>
      </c>
      <c r="Z90" t="b">
        <v>1</v>
      </c>
      <c r="AB90" t="s">
        <v>1571</v>
      </c>
      <c r="AC90" t="b">
        <v>0</v>
      </c>
    </row>
    <row r="91" spans="1:29" x14ac:dyDescent="0.3">
      <c r="A91" s="57" t="str">
        <f>MEMBERS[[#This Row],[Title]]&amp;MEMBERS[[#This Row],[ServiceStartDate]]</f>
        <v>Carly Logan44375</v>
      </c>
      <c r="B91" s="57">
        <f>IF(COUNTIF(MEMBERS[NameServiceStart],MEMBERS[[#This Row],[NameServiceStart]])=1,0,1)</f>
        <v>0</v>
      </c>
      <c r="C91" s="57">
        <f>IF(COUNTIF(MEMBERS[StaffMemberCode],MEMBERS[[#This Row],[StaffMemberCode]])=1,0,1)</f>
        <v>0</v>
      </c>
      <c r="D91" s="57">
        <f>IF(ISBLANK(MEMBERS[[#This Row],[PayrollLocation]]),0,IF(COUNTIF(SCHOOLS[SchoolCode],MEMBERS[[#This Row],[PayrollLocation]])=1,0,1))</f>
        <v>0</v>
      </c>
      <c r="E91" s="57">
        <f>IF(MEMBERS[[#This Row],[AvailableToAllSchools]]=FALSE,IF(ISBLANK(MEMBERS[[#This Row],[SchoolCodes]]),1,0),IF(MEMBERS[[#This Row],[AvailableToAllSchools]]=TRUE,IF(ISBLANK(MEMBERS[[#This Row],[SchoolCodes]]),0,1)))</f>
        <v>0</v>
      </c>
      <c r="F91" s="57">
        <f>IF(ISBLANK(MEMBERS[[#This Row],[ServiceEndDate]]),0,IF(MEMBERS[[#This Row],[ServiceStartDate]]&lt;MEMBERS[[#This Row],[ServiceEndDate]],0,1))</f>
        <v>0</v>
      </c>
      <c r="G91" s="57" cm="1">
        <f t="array" aca="1" ref="G91" ca="1">IF(CELL("format",MEMBERS[[#This Row],[ServiceStartDate]])="D1",0,1)+IF(CELL("format",MEMBERS[[#This Row],[ServiceEndDate]])="D1",0,1)</f>
        <v>0</v>
      </c>
      <c r="H9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91" s="57">
        <f>IF(LEN(MEMBERS[[#This Row],[StaffMemberCode]])&lt;100,0,1)</f>
        <v>0</v>
      </c>
      <c r="J91" s="57">
        <f>IF(LEN(MEMBERS[[#This Row],[Title]])&lt;100,0,1)</f>
        <v>0</v>
      </c>
      <c r="K91" s="57">
        <f>COUNTBLANK(MEMBERS[[#This Row],[StaffMemberCode]:[ServiceStartDate]])+COUNTBLANK(MEMBERS[[#This Row],[Apprenticeship]]:MEMBERS[[#This Row],[StaffMemberEnabled]])+COUNTBLANK(MEMBERS[[#This Row],[GenderCode]]:MEMBERS[[#This Row],[Casual]])</f>
        <v>0</v>
      </c>
      <c r="L91" s="57">
        <f>IF(SUBSTITUTE(TEXT(MEMBERS[[#This Row],[StaffMemberCode]],10)," ","")=TEXT(MEMBERS[[#This Row],[StaffMemberCode]],10),0,1)</f>
        <v>0</v>
      </c>
      <c r="M91" s="57">
        <f ca="1">SUM(MEMBERS[[#This Row],[Duplicate NameService Start]:[Space in Code]])</f>
        <v>0</v>
      </c>
      <c r="O91" s="15">
        <v>91073942</v>
      </c>
      <c r="P91" s="15" t="s">
        <v>3201</v>
      </c>
      <c r="Q91" s="15" t="s">
        <v>3515</v>
      </c>
      <c r="R91" s="133" t="str">
        <f>MEMBERS[[#This Row],[FirstName]]&amp;" "&amp;MEMBERS[[#This Row],[LastName]]</f>
        <v>Carly Logan</v>
      </c>
      <c r="S91" s="21">
        <v>44375</v>
      </c>
      <c r="U91" s="21">
        <v>27086</v>
      </c>
      <c r="V91" t="b">
        <v>0</v>
      </c>
      <c r="W91" t="b">
        <v>0</v>
      </c>
      <c r="X91" t="b">
        <v>0</v>
      </c>
      <c r="Y91" t="s">
        <v>2299</v>
      </c>
      <c r="Z91" t="b">
        <v>1</v>
      </c>
      <c r="AB91" t="s">
        <v>1571</v>
      </c>
      <c r="AC91" t="b">
        <v>0</v>
      </c>
    </row>
    <row r="92" spans="1:29" x14ac:dyDescent="0.3">
      <c r="A92" s="57" t="str">
        <f>MEMBERS[[#This Row],[Title]]&amp;MEMBERS[[#This Row],[ServiceStartDate]]</f>
        <v>Carly Smith40917</v>
      </c>
      <c r="B92" s="57">
        <f>IF(COUNTIF(MEMBERS[NameServiceStart],MEMBERS[[#This Row],[NameServiceStart]])=1,0,1)</f>
        <v>0</v>
      </c>
      <c r="C92" s="57">
        <f>IF(COUNTIF(MEMBERS[StaffMemberCode],MEMBERS[[#This Row],[StaffMemberCode]])=1,0,1)</f>
        <v>0</v>
      </c>
      <c r="D92" s="57">
        <f>IF(ISBLANK(MEMBERS[[#This Row],[PayrollLocation]]),0,IF(COUNTIF(SCHOOLS[SchoolCode],MEMBERS[[#This Row],[PayrollLocation]])=1,0,1))</f>
        <v>0</v>
      </c>
      <c r="E92" s="57">
        <f>IF(MEMBERS[[#This Row],[AvailableToAllSchools]]=FALSE,IF(ISBLANK(MEMBERS[[#This Row],[SchoolCodes]]),1,0),IF(MEMBERS[[#This Row],[AvailableToAllSchools]]=TRUE,IF(ISBLANK(MEMBERS[[#This Row],[SchoolCodes]]),0,1)))</f>
        <v>0</v>
      </c>
      <c r="F92" s="57">
        <f>IF(ISBLANK(MEMBERS[[#This Row],[ServiceEndDate]]),0,IF(MEMBERS[[#This Row],[ServiceStartDate]]&lt;MEMBERS[[#This Row],[ServiceEndDate]],0,1))</f>
        <v>0</v>
      </c>
      <c r="G92" s="57" cm="1">
        <f t="array" aca="1" ref="G92" ca="1">IF(CELL("format",MEMBERS[[#This Row],[ServiceStartDate]])="D1",0,1)+IF(CELL("format",MEMBERS[[#This Row],[ServiceEndDate]])="D1",0,1)</f>
        <v>0</v>
      </c>
      <c r="H9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92" s="57">
        <f>IF(LEN(MEMBERS[[#This Row],[StaffMemberCode]])&lt;100,0,1)</f>
        <v>0</v>
      </c>
      <c r="J92" s="57">
        <f>IF(LEN(MEMBERS[[#This Row],[Title]])&lt;100,0,1)</f>
        <v>0</v>
      </c>
      <c r="K92" s="57">
        <f>COUNTBLANK(MEMBERS[[#This Row],[StaffMemberCode]:[ServiceStartDate]])+COUNTBLANK(MEMBERS[[#This Row],[Apprenticeship]]:MEMBERS[[#This Row],[StaffMemberEnabled]])+COUNTBLANK(MEMBERS[[#This Row],[GenderCode]]:MEMBERS[[#This Row],[Casual]])</f>
        <v>0</v>
      </c>
      <c r="L92" s="57">
        <f>IF(SUBSTITUTE(TEXT(MEMBERS[[#This Row],[StaffMemberCode]],10)," ","")=TEXT(MEMBERS[[#This Row],[StaffMemberCode]],10),0,1)</f>
        <v>0</v>
      </c>
      <c r="M92" s="57">
        <f ca="1">SUM(MEMBERS[[#This Row],[Duplicate NameService Start]:[Space in Code]])</f>
        <v>0</v>
      </c>
      <c r="O92" s="15">
        <v>91073760</v>
      </c>
      <c r="P92" s="15" t="s">
        <v>3201</v>
      </c>
      <c r="Q92" s="15" t="s">
        <v>3516</v>
      </c>
      <c r="R92" s="133" t="str">
        <f>MEMBERS[[#This Row],[FirstName]]&amp;" "&amp;MEMBERS[[#This Row],[LastName]]</f>
        <v>Carly Smith</v>
      </c>
      <c r="S92" s="21">
        <v>40917</v>
      </c>
      <c r="U92" s="21">
        <v>32877</v>
      </c>
      <c r="V92" t="b">
        <v>0</v>
      </c>
      <c r="W92" t="b">
        <v>0</v>
      </c>
      <c r="X92" t="b">
        <v>0</v>
      </c>
      <c r="Y92" t="s">
        <v>2082</v>
      </c>
      <c r="Z92" t="b">
        <v>1</v>
      </c>
      <c r="AB92" t="s">
        <v>1571</v>
      </c>
      <c r="AC92" t="b">
        <v>0</v>
      </c>
    </row>
    <row r="93" spans="1:29" x14ac:dyDescent="0.3">
      <c r="A93" s="57" t="str">
        <f>MEMBERS[[#This Row],[Title]]&amp;MEMBERS[[#This Row],[ServiceStartDate]]</f>
        <v>Carol Cooper42653</v>
      </c>
      <c r="B93" s="57">
        <f>IF(COUNTIF(MEMBERS[NameServiceStart],MEMBERS[[#This Row],[NameServiceStart]])=1,0,1)</f>
        <v>0</v>
      </c>
      <c r="C93" s="57">
        <f>IF(COUNTIF(MEMBERS[StaffMemberCode],MEMBERS[[#This Row],[StaffMemberCode]])=1,0,1)</f>
        <v>0</v>
      </c>
      <c r="D93" s="57">
        <f>IF(ISBLANK(MEMBERS[[#This Row],[PayrollLocation]]),0,IF(COUNTIF(SCHOOLS[SchoolCode],MEMBERS[[#This Row],[PayrollLocation]])=1,0,1))</f>
        <v>0</v>
      </c>
      <c r="E93" s="57">
        <f>IF(MEMBERS[[#This Row],[AvailableToAllSchools]]=FALSE,IF(ISBLANK(MEMBERS[[#This Row],[SchoolCodes]]),1,0),IF(MEMBERS[[#This Row],[AvailableToAllSchools]]=TRUE,IF(ISBLANK(MEMBERS[[#This Row],[SchoolCodes]]),0,1)))</f>
        <v>0</v>
      </c>
      <c r="F93" s="57">
        <f>IF(ISBLANK(MEMBERS[[#This Row],[ServiceEndDate]]),0,IF(MEMBERS[[#This Row],[ServiceStartDate]]&lt;MEMBERS[[#This Row],[ServiceEndDate]],0,1))</f>
        <v>0</v>
      </c>
      <c r="G93" s="57" cm="1">
        <f t="array" aca="1" ref="G93" ca="1">IF(CELL("format",MEMBERS[[#This Row],[ServiceStartDate]])="D1",0,1)+IF(CELL("format",MEMBERS[[#This Row],[ServiceEndDate]])="D1",0,1)</f>
        <v>0</v>
      </c>
      <c r="H9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93" s="57">
        <f>IF(LEN(MEMBERS[[#This Row],[StaffMemberCode]])&lt;100,0,1)</f>
        <v>0</v>
      </c>
      <c r="J93" s="57">
        <f>IF(LEN(MEMBERS[[#This Row],[Title]])&lt;100,0,1)</f>
        <v>0</v>
      </c>
      <c r="K93" s="57">
        <f>COUNTBLANK(MEMBERS[[#This Row],[StaffMemberCode]:[ServiceStartDate]])+COUNTBLANK(MEMBERS[[#This Row],[Apprenticeship]]:MEMBERS[[#This Row],[StaffMemberEnabled]])+COUNTBLANK(MEMBERS[[#This Row],[GenderCode]]:MEMBERS[[#This Row],[Casual]])</f>
        <v>0</v>
      </c>
      <c r="L93" s="57">
        <f>IF(SUBSTITUTE(TEXT(MEMBERS[[#This Row],[StaffMemberCode]],10)," ","")=TEXT(MEMBERS[[#This Row],[StaffMemberCode]],10),0,1)</f>
        <v>0</v>
      </c>
      <c r="M93" s="57">
        <f ca="1">SUM(MEMBERS[[#This Row],[Duplicate NameService Start]:[Space in Code]])</f>
        <v>0</v>
      </c>
      <c r="O93" s="15">
        <v>91073913</v>
      </c>
      <c r="P93" s="15" t="s">
        <v>3202</v>
      </c>
      <c r="Q93" s="15" t="s">
        <v>3517</v>
      </c>
      <c r="R93" s="133" t="str">
        <f>MEMBERS[[#This Row],[FirstName]]&amp;" "&amp;MEMBERS[[#This Row],[LastName]]</f>
        <v>Carol Cooper</v>
      </c>
      <c r="S93" s="21">
        <v>42653</v>
      </c>
      <c r="U93" s="21">
        <v>25642</v>
      </c>
      <c r="V93" t="b">
        <v>0</v>
      </c>
      <c r="W93" t="b">
        <v>0</v>
      </c>
      <c r="X93" t="b">
        <v>0</v>
      </c>
      <c r="Y93" t="s">
        <v>51</v>
      </c>
      <c r="Z93" t="b">
        <v>1</v>
      </c>
      <c r="AB93" t="s">
        <v>1571</v>
      </c>
      <c r="AC93" t="b">
        <v>0</v>
      </c>
    </row>
    <row r="94" spans="1:29" x14ac:dyDescent="0.3">
      <c r="A94" s="57" t="str">
        <f>MEMBERS[[#This Row],[Title]]&amp;MEMBERS[[#This Row],[ServiceStartDate]]</f>
        <v>Caroline Hodnett45568</v>
      </c>
      <c r="B94" s="57">
        <f>IF(COUNTIF(MEMBERS[NameServiceStart],MEMBERS[[#This Row],[NameServiceStart]])=1,0,1)</f>
        <v>0</v>
      </c>
      <c r="C94" s="57">
        <f>IF(COUNTIF(MEMBERS[StaffMemberCode],MEMBERS[[#This Row],[StaffMemberCode]])=1,0,1)</f>
        <v>0</v>
      </c>
      <c r="D94" s="57">
        <f>IF(ISBLANK(MEMBERS[[#This Row],[PayrollLocation]]),0,IF(COUNTIF(SCHOOLS[SchoolCode],MEMBERS[[#This Row],[PayrollLocation]])=1,0,1))</f>
        <v>0</v>
      </c>
      <c r="E94" s="57">
        <f>IF(MEMBERS[[#This Row],[AvailableToAllSchools]]=FALSE,IF(ISBLANK(MEMBERS[[#This Row],[SchoolCodes]]),1,0),IF(MEMBERS[[#This Row],[AvailableToAllSchools]]=TRUE,IF(ISBLANK(MEMBERS[[#This Row],[SchoolCodes]]),0,1)))</f>
        <v>0</v>
      </c>
      <c r="F94" s="57">
        <f>IF(ISBLANK(MEMBERS[[#This Row],[ServiceEndDate]]),0,IF(MEMBERS[[#This Row],[ServiceStartDate]]&lt;MEMBERS[[#This Row],[ServiceEndDate]],0,1))</f>
        <v>0</v>
      </c>
      <c r="G94" s="57" cm="1">
        <f t="array" aca="1" ref="G94" ca="1">IF(CELL("format",MEMBERS[[#This Row],[ServiceStartDate]])="D1",0,1)+IF(CELL("format",MEMBERS[[#This Row],[ServiceEndDate]])="D1",0,1)</f>
        <v>0</v>
      </c>
      <c r="H9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94" s="57">
        <f>IF(LEN(MEMBERS[[#This Row],[StaffMemberCode]])&lt;100,0,1)</f>
        <v>0</v>
      </c>
      <c r="J94" s="57">
        <f>IF(LEN(MEMBERS[[#This Row],[Title]])&lt;100,0,1)</f>
        <v>0</v>
      </c>
      <c r="K94" s="57">
        <f>COUNTBLANK(MEMBERS[[#This Row],[StaffMemberCode]:[ServiceStartDate]])+COUNTBLANK(MEMBERS[[#This Row],[Apprenticeship]]:MEMBERS[[#This Row],[StaffMemberEnabled]])+COUNTBLANK(MEMBERS[[#This Row],[GenderCode]]:MEMBERS[[#This Row],[Casual]])</f>
        <v>0</v>
      </c>
      <c r="L94" s="57">
        <f>IF(SUBSTITUTE(TEXT(MEMBERS[[#This Row],[StaffMemberCode]],10)," ","")=TEXT(MEMBERS[[#This Row],[StaffMemberCode]],10),0,1)</f>
        <v>0</v>
      </c>
      <c r="M94" s="57">
        <f ca="1">SUM(MEMBERS[[#This Row],[Duplicate NameService Start]:[Space in Code]])</f>
        <v>0</v>
      </c>
      <c r="O94" s="15">
        <v>10014889</v>
      </c>
      <c r="P94" s="15" t="s">
        <v>3203</v>
      </c>
      <c r="Q94" s="15" t="s">
        <v>4038</v>
      </c>
      <c r="R94" s="133" t="str">
        <f>MEMBERS[[#This Row],[FirstName]]&amp;" "&amp;MEMBERS[[#This Row],[LastName]]</f>
        <v>Caroline Hodnett</v>
      </c>
      <c r="S94" s="21">
        <v>45568</v>
      </c>
      <c r="U94" s="21">
        <v>27015</v>
      </c>
      <c r="V94" s="138" t="b">
        <v>0</v>
      </c>
      <c r="W94" t="b">
        <v>0</v>
      </c>
      <c r="X94" t="b">
        <v>0</v>
      </c>
      <c r="Y94" t="s">
        <v>2126</v>
      </c>
      <c r="Z94" t="b">
        <v>1</v>
      </c>
      <c r="AB94" t="s">
        <v>1571</v>
      </c>
      <c r="AC94" t="b">
        <v>0</v>
      </c>
    </row>
    <row r="95" spans="1:29" x14ac:dyDescent="0.3">
      <c r="A95" s="57" t="str">
        <f>MEMBERS[[#This Row],[Title]]&amp;MEMBERS[[#This Row],[ServiceStartDate]]</f>
        <v>Caroline Lambden44986</v>
      </c>
      <c r="B95" s="57">
        <f>IF(COUNTIF(MEMBERS[NameServiceStart],MEMBERS[[#This Row],[NameServiceStart]])=1,0,1)</f>
        <v>0</v>
      </c>
      <c r="C95" s="57">
        <f>IF(COUNTIF(MEMBERS[StaffMemberCode],MEMBERS[[#This Row],[StaffMemberCode]])=1,0,1)</f>
        <v>0</v>
      </c>
      <c r="D95" s="57">
        <f>IF(ISBLANK(MEMBERS[[#This Row],[PayrollLocation]]),0,IF(COUNTIF(SCHOOLS[SchoolCode],MEMBERS[[#This Row],[PayrollLocation]])=1,0,1))</f>
        <v>0</v>
      </c>
      <c r="E95" s="57">
        <f>IF(MEMBERS[[#This Row],[AvailableToAllSchools]]=FALSE,IF(ISBLANK(MEMBERS[[#This Row],[SchoolCodes]]),1,0),IF(MEMBERS[[#This Row],[AvailableToAllSchools]]=TRUE,IF(ISBLANK(MEMBERS[[#This Row],[SchoolCodes]]),0,1)))</f>
        <v>0</v>
      </c>
      <c r="F95" s="57">
        <f>IF(ISBLANK(MEMBERS[[#This Row],[ServiceEndDate]]),0,IF(MEMBERS[[#This Row],[ServiceStartDate]]&lt;MEMBERS[[#This Row],[ServiceEndDate]],0,1))</f>
        <v>0</v>
      </c>
      <c r="G95" s="57" cm="1">
        <f t="array" aca="1" ref="G95" ca="1">IF(CELL("format",MEMBERS[[#This Row],[ServiceStartDate]])="D1",0,1)+IF(CELL("format",MEMBERS[[#This Row],[ServiceEndDate]])="D1",0,1)</f>
        <v>0</v>
      </c>
      <c r="H9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95" s="57">
        <f>IF(LEN(MEMBERS[[#This Row],[StaffMemberCode]])&lt;100,0,1)</f>
        <v>0</v>
      </c>
      <c r="J95" s="57">
        <f>IF(LEN(MEMBERS[[#This Row],[Title]])&lt;100,0,1)</f>
        <v>0</v>
      </c>
      <c r="K95" s="57">
        <f>COUNTBLANK(MEMBERS[[#This Row],[StaffMemberCode]:[ServiceStartDate]])+COUNTBLANK(MEMBERS[[#This Row],[Apprenticeship]]:MEMBERS[[#This Row],[StaffMemberEnabled]])+COUNTBLANK(MEMBERS[[#This Row],[GenderCode]]:MEMBERS[[#This Row],[Casual]])</f>
        <v>0</v>
      </c>
      <c r="L95" s="57">
        <f>IF(SUBSTITUTE(TEXT(MEMBERS[[#This Row],[StaffMemberCode]],10)," ","")=TEXT(MEMBERS[[#This Row],[StaffMemberCode]],10),0,1)</f>
        <v>0</v>
      </c>
      <c r="M95" s="57">
        <f ca="1">SUM(MEMBERS[[#This Row],[Duplicate NameService Start]:[Space in Code]])</f>
        <v>0</v>
      </c>
      <c r="O95" s="15">
        <v>10011405</v>
      </c>
      <c r="P95" s="15" t="s">
        <v>3203</v>
      </c>
      <c r="Q95" s="15" t="s">
        <v>4039</v>
      </c>
      <c r="R95" s="133" t="str">
        <f>MEMBERS[[#This Row],[FirstName]]&amp;" "&amp;MEMBERS[[#This Row],[LastName]]</f>
        <v>Caroline Lambden</v>
      </c>
      <c r="S95" s="21">
        <v>44986</v>
      </c>
      <c r="U95" s="21">
        <v>29311</v>
      </c>
      <c r="V95" s="138" t="b">
        <v>0</v>
      </c>
      <c r="W95" t="b">
        <v>0</v>
      </c>
      <c r="X95" t="b">
        <v>0</v>
      </c>
      <c r="Y95" t="s">
        <v>2126</v>
      </c>
      <c r="Z95" t="b">
        <v>1</v>
      </c>
      <c r="AB95" t="s">
        <v>1571</v>
      </c>
      <c r="AC95" t="b">
        <v>0</v>
      </c>
    </row>
    <row r="96" spans="1:29" x14ac:dyDescent="0.3">
      <c r="A96" s="57" t="str">
        <f>MEMBERS[[#This Row],[Title]]&amp;MEMBERS[[#This Row],[ServiceStartDate]]</f>
        <v>Caroline Vernon39456</v>
      </c>
      <c r="B96" s="57">
        <f>IF(COUNTIF(MEMBERS[NameServiceStart],MEMBERS[[#This Row],[NameServiceStart]])=1,0,1)</f>
        <v>0</v>
      </c>
      <c r="C96" s="57">
        <f>IF(COUNTIF(MEMBERS[StaffMemberCode],MEMBERS[[#This Row],[StaffMemberCode]])=1,0,1)</f>
        <v>0</v>
      </c>
      <c r="D96" s="57">
        <f>IF(ISBLANK(MEMBERS[[#This Row],[PayrollLocation]]),0,IF(COUNTIF(SCHOOLS[SchoolCode],MEMBERS[[#This Row],[PayrollLocation]])=1,0,1))</f>
        <v>0</v>
      </c>
      <c r="E96" s="57">
        <f>IF(MEMBERS[[#This Row],[AvailableToAllSchools]]=FALSE,IF(ISBLANK(MEMBERS[[#This Row],[SchoolCodes]]),1,0),IF(MEMBERS[[#This Row],[AvailableToAllSchools]]=TRUE,IF(ISBLANK(MEMBERS[[#This Row],[SchoolCodes]]),0,1)))</f>
        <v>0</v>
      </c>
      <c r="F96" s="57">
        <f>IF(ISBLANK(MEMBERS[[#This Row],[ServiceEndDate]]),0,IF(MEMBERS[[#This Row],[ServiceStartDate]]&lt;MEMBERS[[#This Row],[ServiceEndDate]],0,1))</f>
        <v>0</v>
      </c>
      <c r="G96" s="57" cm="1">
        <f t="array" aca="1" ref="G96" ca="1">IF(CELL("format",MEMBERS[[#This Row],[ServiceStartDate]])="D1",0,1)+IF(CELL("format",MEMBERS[[#This Row],[ServiceEndDate]])="D1",0,1)</f>
        <v>0</v>
      </c>
      <c r="H9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96" s="57">
        <f>IF(LEN(MEMBERS[[#This Row],[StaffMemberCode]])&lt;100,0,1)</f>
        <v>0</v>
      </c>
      <c r="J96" s="57">
        <f>IF(LEN(MEMBERS[[#This Row],[Title]])&lt;100,0,1)</f>
        <v>0</v>
      </c>
      <c r="K96" s="57">
        <f>COUNTBLANK(MEMBERS[[#This Row],[StaffMemberCode]:[ServiceStartDate]])+COUNTBLANK(MEMBERS[[#This Row],[Apprenticeship]]:MEMBERS[[#This Row],[StaffMemberEnabled]])+COUNTBLANK(MEMBERS[[#This Row],[GenderCode]]:MEMBERS[[#This Row],[Casual]])</f>
        <v>0</v>
      </c>
      <c r="L96" s="57">
        <f>IF(SUBSTITUTE(TEXT(MEMBERS[[#This Row],[StaffMemberCode]],10)," ","")=TEXT(MEMBERS[[#This Row],[StaffMemberCode]],10),0,1)</f>
        <v>0</v>
      </c>
      <c r="M96" s="57">
        <f ca="1">SUM(MEMBERS[[#This Row],[Duplicate NameService Start]:[Space in Code]])</f>
        <v>0</v>
      </c>
      <c r="O96" s="15">
        <v>91073449</v>
      </c>
      <c r="P96" s="15" t="s">
        <v>3203</v>
      </c>
      <c r="Q96" s="15" t="s">
        <v>3518</v>
      </c>
      <c r="R96" s="133" t="str">
        <f>MEMBERS[[#This Row],[FirstName]]&amp;" "&amp;MEMBERS[[#This Row],[LastName]]</f>
        <v>Caroline Vernon</v>
      </c>
      <c r="S96" s="21">
        <v>39456</v>
      </c>
      <c r="U96" s="21">
        <v>26116</v>
      </c>
      <c r="V96" t="b">
        <v>0</v>
      </c>
      <c r="W96" t="b">
        <v>0</v>
      </c>
      <c r="X96" t="b">
        <v>0</v>
      </c>
      <c r="Y96" t="s">
        <v>2094</v>
      </c>
      <c r="Z96" t="b">
        <v>1</v>
      </c>
      <c r="AB96" t="s">
        <v>1571</v>
      </c>
      <c r="AC96" t="b">
        <v>0</v>
      </c>
    </row>
    <row r="97" spans="1:29" x14ac:dyDescent="0.3">
      <c r="A97" s="57" t="str">
        <f>MEMBERS[[#This Row],[Title]]&amp;MEMBERS[[#This Row],[ServiceStartDate]]</f>
        <v>Carolynne Robinson37995</v>
      </c>
      <c r="B97" s="57">
        <f>IF(COUNTIF(MEMBERS[NameServiceStart],MEMBERS[[#This Row],[NameServiceStart]])=1,0,1)</f>
        <v>0</v>
      </c>
      <c r="C97" s="57">
        <f>IF(COUNTIF(MEMBERS[StaffMemberCode],MEMBERS[[#This Row],[StaffMemberCode]])=1,0,1)</f>
        <v>0</v>
      </c>
      <c r="D97" s="57">
        <f>IF(ISBLANK(MEMBERS[[#This Row],[PayrollLocation]]),0,IF(COUNTIF(SCHOOLS[SchoolCode],MEMBERS[[#This Row],[PayrollLocation]])=1,0,1))</f>
        <v>0</v>
      </c>
      <c r="E97" s="57">
        <f>IF(MEMBERS[[#This Row],[AvailableToAllSchools]]=FALSE,IF(ISBLANK(MEMBERS[[#This Row],[SchoolCodes]]),1,0),IF(MEMBERS[[#This Row],[AvailableToAllSchools]]=TRUE,IF(ISBLANK(MEMBERS[[#This Row],[SchoolCodes]]),0,1)))</f>
        <v>0</v>
      </c>
      <c r="F97" s="57">
        <f>IF(ISBLANK(MEMBERS[[#This Row],[ServiceEndDate]]),0,IF(MEMBERS[[#This Row],[ServiceStartDate]]&lt;MEMBERS[[#This Row],[ServiceEndDate]],0,1))</f>
        <v>0</v>
      </c>
      <c r="G97" s="57" cm="1">
        <f t="array" aca="1" ref="G97" ca="1">IF(CELL("format",MEMBERS[[#This Row],[ServiceStartDate]])="D1",0,1)+IF(CELL("format",MEMBERS[[#This Row],[ServiceEndDate]])="D1",0,1)</f>
        <v>0</v>
      </c>
      <c r="H9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97" s="57">
        <f>IF(LEN(MEMBERS[[#This Row],[StaffMemberCode]])&lt;100,0,1)</f>
        <v>0</v>
      </c>
      <c r="J97" s="57">
        <f>IF(LEN(MEMBERS[[#This Row],[Title]])&lt;100,0,1)</f>
        <v>0</v>
      </c>
      <c r="K97" s="57">
        <f>COUNTBLANK(MEMBERS[[#This Row],[StaffMemberCode]:[ServiceStartDate]])+COUNTBLANK(MEMBERS[[#This Row],[Apprenticeship]]:MEMBERS[[#This Row],[StaffMemberEnabled]])+COUNTBLANK(MEMBERS[[#This Row],[GenderCode]]:MEMBERS[[#This Row],[Casual]])</f>
        <v>0</v>
      </c>
      <c r="L97" s="57">
        <f>IF(SUBSTITUTE(TEXT(MEMBERS[[#This Row],[StaffMemberCode]],10)," ","")=TEXT(MEMBERS[[#This Row],[StaffMemberCode]],10),0,1)</f>
        <v>0</v>
      </c>
      <c r="M97" s="57">
        <f ca="1">SUM(MEMBERS[[#This Row],[Duplicate NameService Start]:[Space in Code]])</f>
        <v>0</v>
      </c>
      <c r="O97" s="15">
        <v>91073874</v>
      </c>
      <c r="P97" s="15" t="s">
        <v>3204</v>
      </c>
      <c r="Q97" s="15" t="s">
        <v>3519</v>
      </c>
      <c r="R97" s="133" t="str">
        <f>MEMBERS[[#This Row],[FirstName]]&amp;" "&amp;MEMBERS[[#This Row],[LastName]]</f>
        <v>Carolynne Robinson</v>
      </c>
      <c r="S97" s="21">
        <v>37995</v>
      </c>
      <c r="U97" s="21">
        <v>25871</v>
      </c>
      <c r="V97" t="b">
        <v>0</v>
      </c>
      <c r="W97" t="b">
        <v>0</v>
      </c>
      <c r="X97" t="b">
        <v>0</v>
      </c>
      <c r="Y97" t="s">
        <v>2266</v>
      </c>
      <c r="Z97" t="b">
        <v>1</v>
      </c>
      <c r="AB97" t="s">
        <v>1571</v>
      </c>
      <c r="AC97" t="b">
        <v>0</v>
      </c>
    </row>
    <row r="98" spans="1:29" x14ac:dyDescent="0.3">
      <c r="A98" s="57" t="str">
        <f>MEMBERS[[#This Row],[Title]]&amp;MEMBERS[[#This Row],[ServiceStartDate]]</f>
        <v>Carrie-Ann Morris42614</v>
      </c>
      <c r="B98" s="57">
        <f>IF(COUNTIF(MEMBERS[NameServiceStart],MEMBERS[[#This Row],[NameServiceStart]])=1,0,1)</f>
        <v>0</v>
      </c>
      <c r="C98" s="57">
        <f>IF(COUNTIF(MEMBERS[StaffMemberCode],MEMBERS[[#This Row],[StaffMemberCode]])=1,0,1)</f>
        <v>0</v>
      </c>
      <c r="D98" s="57">
        <f>IF(ISBLANK(MEMBERS[[#This Row],[PayrollLocation]]),0,IF(COUNTIF(SCHOOLS[SchoolCode],MEMBERS[[#This Row],[PayrollLocation]])=1,0,1))</f>
        <v>0</v>
      </c>
      <c r="E98" s="57">
        <f>IF(MEMBERS[[#This Row],[AvailableToAllSchools]]=FALSE,IF(ISBLANK(MEMBERS[[#This Row],[SchoolCodes]]),1,0),IF(MEMBERS[[#This Row],[AvailableToAllSchools]]=TRUE,IF(ISBLANK(MEMBERS[[#This Row],[SchoolCodes]]),0,1)))</f>
        <v>0</v>
      </c>
      <c r="F98" s="57">
        <f>IF(ISBLANK(MEMBERS[[#This Row],[ServiceEndDate]]),0,IF(MEMBERS[[#This Row],[ServiceStartDate]]&lt;MEMBERS[[#This Row],[ServiceEndDate]],0,1))</f>
        <v>0</v>
      </c>
      <c r="G98" s="57" cm="1">
        <f t="array" aca="1" ref="G98" ca="1">IF(CELL("format",MEMBERS[[#This Row],[ServiceStartDate]])="D1",0,1)+IF(CELL("format",MEMBERS[[#This Row],[ServiceEndDate]])="D1",0,1)</f>
        <v>0</v>
      </c>
      <c r="H9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98" s="57">
        <f>IF(LEN(MEMBERS[[#This Row],[StaffMemberCode]])&lt;100,0,1)</f>
        <v>0</v>
      </c>
      <c r="J98" s="57">
        <f>IF(LEN(MEMBERS[[#This Row],[Title]])&lt;100,0,1)</f>
        <v>0</v>
      </c>
      <c r="K98" s="57">
        <f>COUNTBLANK(MEMBERS[[#This Row],[StaffMemberCode]:[ServiceStartDate]])+COUNTBLANK(MEMBERS[[#This Row],[Apprenticeship]]:MEMBERS[[#This Row],[StaffMemberEnabled]])+COUNTBLANK(MEMBERS[[#This Row],[GenderCode]]:MEMBERS[[#This Row],[Casual]])</f>
        <v>0</v>
      </c>
      <c r="L98" s="57">
        <f>IF(SUBSTITUTE(TEXT(MEMBERS[[#This Row],[StaffMemberCode]],10)," ","")=TEXT(MEMBERS[[#This Row],[StaffMemberCode]],10),0,1)</f>
        <v>0</v>
      </c>
      <c r="M98" s="57">
        <f ca="1">SUM(MEMBERS[[#This Row],[Duplicate NameService Start]:[Space in Code]])</f>
        <v>0</v>
      </c>
      <c r="O98" s="15">
        <v>91075762</v>
      </c>
      <c r="P98" s="15" t="s">
        <v>3205</v>
      </c>
      <c r="Q98" s="15" t="s">
        <v>3520</v>
      </c>
      <c r="R98" s="133" t="str">
        <f>MEMBERS[[#This Row],[FirstName]]&amp;" "&amp;MEMBERS[[#This Row],[LastName]]</f>
        <v>Carrie-Ann Morris</v>
      </c>
      <c r="S98" s="21">
        <v>42614</v>
      </c>
      <c r="U98" s="21">
        <v>29449</v>
      </c>
      <c r="V98" t="b">
        <v>0</v>
      </c>
      <c r="W98" t="b">
        <v>0</v>
      </c>
      <c r="X98" t="b">
        <v>0</v>
      </c>
      <c r="Y98" t="s">
        <v>2200</v>
      </c>
      <c r="Z98" t="b">
        <v>1</v>
      </c>
      <c r="AB98" t="s">
        <v>1571</v>
      </c>
      <c r="AC98" t="b">
        <v>0</v>
      </c>
    </row>
    <row r="99" spans="1:29" x14ac:dyDescent="0.3">
      <c r="A99" s="57" t="str">
        <f>MEMBERS[[#This Row],[Title]]&amp;MEMBERS[[#This Row],[ServiceStartDate]]</f>
        <v>Caryn Appleyard38724</v>
      </c>
      <c r="B99" s="57">
        <f>IF(COUNTIF(MEMBERS[NameServiceStart],MEMBERS[[#This Row],[NameServiceStart]])=1,0,1)</f>
        <v>0</v>
      </c>
      <c r="C99" s="57">
        <f>IF(COUNTIF(MEMBERS[StaffMemberCode],MEMBERS[[#This Row],[StaffMemberCode]])=1,0,1)</f>
        <v>0</v>
      </c>
      <c r="D99" s="57">
        <f>IF(ISBLANK(MEMBERS[[#This Row],[PayrollLocation]]),0,IF(COUNTIF(SCHOOLS[SchoolCode],MEMBERS[[#This Row],[PayrollLocation]])=1,0,1))</f>
        <v>0</v>
      </c>
      <c r="E99" s="57">
        <f>IF(MEMBERS[[#This Row],[AvailableToAllSchools]]=FALSE,IF(ISBLANK(MEMBERS[[#This Row],[SchoolCodes]]),1,0),IF(MEMBERS[[#This Row],[AvailableToAllSchools]]=TRUE,IF(ISBLANK(MEMBERS[[#This Row],[SchoolCodes]]),0,1)))</f>
        <v>0</v>
      </c>
      <c r="F99" s="57">
        <f>IF(ISBLANK(MEMBERS[[#This Row],[ServiceEndDate]]),0,IF(MEMBERS[[#This Row],[ServiceStartDate]]&lt;MEMBERS[[#This Row],[ServiceEndDate]],0,1))</f>
        <v>0</v>
      </c>
      <c r="G99" s="57" cm="1">
        <f t="array" aca="1" ref="G99" ca="1">IF(CELL("format",MEMBERS[[#This Row],[ServiceStartDate]])="D1",0,1)+IF(CELL("format",MEMBERS[[#This Row],[ServiceEndDate]])="D1",0,1)</f>
        <v>0</v>
      </c>
      <c r="H9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99" s="57">
        <f>IF(LEN(MEMBERS[[#This Row],[StaffMemberCode]])&lt;100,0,1)</f>
        <v>0</v>
      </c>
      <c r="J99" s="57">
        <f>IF(LEN(MEMBERS[[#This Row],[Title]])&lt;100,0,1)</f>
        <v>0</v>
      </c>
      <c r="K99" s="57">
        <f>COUNTBLANK(MEMBERS[[#This Row],[StaffMemberCode]:[ServiceStartDate]])+COUNTBLANK(MEMBERS[[#This Row],[Apprenticeship]]:MEMBERS[[#This Row],[StaffMemberEnabled]])+COUNTBLANK(MEMBERS[[#This Row],[GenderCode]]:MEMBERS[[#This Row],[Casual]])</f>
        <v>0</v>
      </c>
      <c r="L99" s="57">
        <f>IF(SUBSTITUTE(TEXT(MEMBERS[[#This Row],[StaffMemberCode]],10)," ","")=TEXT(MEMBERS[[#This Row],[StaffMemberCode]],10),0,1)</f>
        <v>0</v>
      </c>
      <c r="M99" s="57">
        <f ca="1">SUM(MEMBERS[[#This Row],[Duplicate NameService Start]:[Space in Code]])</f>
        <v>0</v>
      </c>
      <c r="O99" s="15">
        <v>91073670</v>
      </c>
      <c r="P99" s="15" t="s">
        <v>3206</v>
      </c>
      <c r="Q99" s="15" t="s">
        <v>3521</v>
      </c>
      <c r="R99" s="133" t="str">
        <f>MEMBERS[[#This Row],[FirstName]]&amp;" "&amp;MEMBERS[[#This Row],[LastName]]</f>
        <v>Caryn Appleyard</v>
      </c>
      <c r="S99" s="21">
        <v>38724</v>
      </c>
      <c r="U99" s="21">
        <v>22796</v>
      </c>
      <c r="V99" t="b">
        <v>0</v>
      </c>
      <c r="W99" t="b">
        <v>0</v>
      </c>
      <c r="X99" t="b">
        <v>0</v>
      </c>
      <c r="Y99" t="s">
        <v>2082</v>
      </c>
      <c r="Z99" t="b">
        <v>1</v>
      </c>
      <c r="AB99" t="s">
        <v>1571</v>
      </c>
      <c r="AC99" t="b">
        <v>0</v>
      </c>
    </row>
    <row r="100" spans="1:29" x14ac:dyDescent="0.3">
      <c r="A100" s="57" t="str">
        <f>MEMBERS[[#This Row],[Title]]&amp;MEMBERS[[#This Row],[ServiceStartDate]]</f>
        <v>Catherine Biddulph42758</v>
      </c>
      <c r="B100" s="57">
        <f>IF(COUNTIF(MEMBERS[NameServiceStart],MEMBERS[[#This Row],[NameServiceStart]])=1,0,1)</f>
        <v>0</v>
      </c>
      <c r="C100" s="57">
        <f>IF(COUNTIF(MEMBERS[StaffMemberCode],MEMBERS[[#This Row],[StaffMemberCode]])=1,0,1)</f>
        <v>0</v>
      </c>
      <c r="D100" s="57">
        <f>IF(ISBLANK(MEMBERS[[#This Row],[PayrollLocation]]),0,IF(COUNTIF(SCHOOLS[SchoolCode],MEMBERS[[#This Row],[PayrollLocation]])=1,0,1))</f>
        <v>0</v>
      </c>
      <c r="E100" s="57">
        <f>IF(MEMBERS[[#This Row],[AvailableToAllSchools]]=FALSE,IF(ISBLANK(MEMBERS[[#This Row],[SchoolCodes]]),1,0),IF(MEMBERS[[#This Row],[AvailableToAllSchools]]=TRUE,IF(ISBLANK(MEMBERS[[#This Row],[SchoolCodes]]),0,1)))</f>
        <v>0</v>
      </c>
      <c r="F100" s="57">
        <f>IF(ISBLANK(MEMBERS[[#This Row],[ServiceEndDate]]),0,IF(MEMBERS[[#This Row],[ServiceStartDate]]&lt;MEMBERS[[#This Row],[ServiceEndDate]],0,1))</f>
        <v>0</v>
      </c>
      <c r="G100" s="57" cm="1">
        <f t="array" aca="1" ref="G100" ca="1">IF(CELL("format",MEMBERS[[#This Row],[ServiceStartDate]])="D1",0,1)+IF(CELL("format",MEMBERS[[#This Row],[ServiceEndDate]])="D1",0,1)</f>
        <v>0</v>
      </c>
      <c r="H10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00" s="57">
        <f>IF(LEN(MEMBERS[[#This Row],[StaffMemberCode]])&lt;100,0,1)</f>
        <v>0</v>
      </c>
      <c r="J100" s="57">
        <f>IF(LEN(MEMBERS[[#This Row],[Title]])&lt;100,0,1)</f>
        <v>0</v>
      </c>
      <c r="K100" s="57">
        <f>COUNTBLANK(MEMBERS[[#This Row],[StaffMemberCode]:[ServiceStartDate]])+COUNTBLANK(MEMBERS[[#This Row],[Apprenticeship]]:MEMBERS[[#This Row],[StaffMemberEnabled]])+COUNTBLANK(MEMBERS[[#This Row],[GenderCode]]:MEMBERS[[#This Row],[Casual]])</f>
        <v>0</v>
      </c>
      <c r="L100" s="57">
        <f>IF(SUBSTITUTE(TEXT(MEMBERS[[#This Row],[StaffMemberCode]],10)," ","")=TEXT(MEMBERS[[#This Row],[StaffMemberCode]],10),0,1)</f>
        <v>0</v>
      </c>
      <c r="M100" s="57">
        <f ca="1">SUM(MEMBERS[[#This Row],[Duplicate NameService Start]:[Space in Code]])</f>
        <v>0</v>
      </c>
      <c r="O100" s="15">
        <v>91073723</v>
      </c>
      <c r="P100" s="15" t="s">
        <v>3207</v>
      </c>
      <c r="Q100" s="15" t="s">
        <v>3522</v>
      </c>
      <c r="R100" s="133" t="str">
        <f>MEMBERS[[#This Row],[FirstName]]&amp;" "&amp;MEMBERS[[#This Row],[LastName]]</f>
        <v>Catherine Biddulph</v>
      </c>
      <c r="S100" s="21">
        <v>42758</v>
      </c>
      <c r="U100" s="21">
        <v>28216</v>
      </c>
      <c r="V100" t="b">
        <v>0</v>
      </c>
      <c r="W100" t="b">
        <v>0</v>
      </c>
      <c r="X100" t="b">
        <v>0</v>
      </c>
      <c r="Y100" t="s">
        <v>2082</v>
      </c>
      <c r="Z100" t="b">
        <v>1</v>
      </c>
      <c r="AB100" t="s">
        <v>1571</v>
      </c>
      <c r="AC100" t="b">
        <v>0</v>
      </c>
    </row>
    <row r="101" spans="1:29" x14ac:dyDescent="0.3">
      <c r="A101" s="57" t="str">
        <f>MEMBERS[[#This Row],[Title]]&amp;MEMBERS[[#This Row],[ServiceStartDate]]</f>
        <v>Catherine Edwards44928</v>
      </c>
      <c r="B101" s="57">
        <f>IF(COUNTIF(MEMBERS[NameServiceStart],MEMBERS[[#This Row],[NameServiceStart]])=1,0,1)</f>
        <v>0</v>
      </c>
      <c r="C101" s="57">
        <f>IF(COUNTIF(MEMBERS[StaffMemberCode],MEMBERS[[#This Row],[StaffMemberCode]])=1,0,1)</f>
        <v>0</v>
      </c>
      <c r="D101" s="57">
        <f>IF(ISBLANK(MEMBERS[[#This Row],[PayrollLocation]]),0,IF(COUNTIF(SCHOOLS[SchoolCode],MEMBERS[[#This Row],[PayrollLocation]])=1,0,1))</f>
        <v>0</v>
      </c>
      <c r="E101" s="57">
        <f>IF(MEMBERS[[#This Row],[AvailableToAllSchools]]=FALSE,IF(ISBLANK(MEMBERS[[#This Row],[SchoolCodes]]),1,0),IF(MEMBERS[[#This Row],[AvailableToAllSchools]]=TRUE,IF(ISBLANK(MEMBERS[[#This Row],[SchoolCodes]]),0,1)))</f>
        <v>0</v>
      </c>
      <c r="F101" s="57">
        <f>IF(ISBLANK(MEMBERS[[#This Row],[ServiceEndDate]]),0,IF(MEMBERS[[#This Row],[ServiceStartDate]]&lt;MEMBERS[[#This Row],[ServiceEndDate]],0,1))</f>
        <v>0</v>
      </c>
      <c r="G101" s="57" cm="1">
        <f t="array" aca="1" ref="G101" ca="1">IF(CELL("format",MEMBERS[[#This Row],[ServiceStartDate]])="D1",0,1)+IF(CELL("format",MEMBERS[[#This Row],[ServiceEndDate]])="D1",0,1)</f>
        <v>0</v>
      </c>
      <c r="H10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01" s="57">
        <f>IF(LEN(MEMBERS[[#This Row],[StaffMemberCode]])&lt;100,0,1)</f>
        <v>0</v>
      </c>
      <c r="J101" s="57">
        <f>IF(LEN(MEMBERS[[#This Row],[Title]])&lt;100,0,1)</f>
        <v>0</v>
      </c>
      <c r="K101" s="57">
        <f>COUNTBLANK(MEMBERS[[#This Row],[StaffMemberCode]:[ServiceStartDate]])+COUNTBLANK(MEMBERS[[#This Row],[Apprenticeship]]:MEMBERS[[#This Row],[StaffMemberEnabled]])+COUNTBLANK(MEMBERS[[#This Row],[GenderCode]]:MEMBERS[[#This Row],[Casual]])</f>
        <v>0</v>
      </c>
      <c r="L101" s="57">
        <f>IF(SUBSTITUTE(TEXT(MEMBERS[[#This Row],[StaffMemberCode]],10)," ","")=TEXT(MEMBERS[[#This Row],[StaffMemberCode]],10),0,1)</f>
        <v>0</v>
      </c>
      <c r="M101" s="57">
        <f ca="1">SUM(MEMBERS[[#This Row],[Duplicate NameService Start]:[Space in Code]])</f>
        <v>0</v>
      </c>
      <c r="O101" s="15">
        <v>10011243</v>
      </c>
      <c r="P101" s="15" t="s">
        <v>3207</v>
      </c>
      <c r="Q101" s="15" t="s">
        <v>3677</v>
      </c>
      <c r="R101" s="133" t="str">
        <f>MEMBERS[[#This Row],[FirstName]]&amp;" "&amp;MEMBERS[[#This Row],[LastName]]</f>
        <v>Catherine Edwards</v>
      </c>
      <c r="S101" s="21">
        <v>44928</v>
      </c>
      <c r="U101" s="21">
        <v>22449</v>
      </c>
      <c r="V101" s="138" t="b">
        <v>0</v>
      </c>
      <c r="W101" t="b">
        <v>0</v>
      </c>
      <c r="X101" t="b">
        <v>0</v>
      </c>
      <c r="Y101" t="s">
        <v>2126</v>
      </c>
      <c r="Z101" t="b">
        <v>1</v>
      </c>
      <c r="AB101" t="s">
        <v>1571</v>
      </c>
      <c r="AC101" t="b">
        <v>1</v>
      </c>
    </row>
    <row r="102" spans="1:29" x14ac:dyDescent="0.3">
      <c r="A102" s="57" t="str">
        <f>MEMBERS[[#This Row],[Title]]&amp;MEMBERS[[#This Row],[ServiceStartDate]]</f>
        <v>Cathy Hewitson40188</v>
      </c>
      <c r="B102" s="57">
        <f>IF(COUNTIF(MEMBERS[NameServiceStart],MEMBERS[[#This Row],[NameServiceStart]])=1,0,1)</f>
        <v>0</v>
      </c>
      <c r="C102" s="57">
        <f>IF(COUNTIF(MEMBERS[StaffMemberCode],MEMBERS[[#This Row],[StaffMemberCode]])=1,0,1)</f>
        <v>0</v>
      </c>
      <c r="D102" s="57">
        <f>IF(ISBLANK(MEMBERS[[#This Row],[PayrollLocation]]),0,IF(COUNTIF(SCHOOLS[SchoolCode],MEMBERS[[#This Row],[PayrollLocation]])=1,0,1))</f>
        <v>0</v>
      </c>
      <c r="E102" s="57">
        <f>IF(MEMBERS[[#This Row],[AvailableToAllSchools]]=FALSE,IF(ISBLANK(MEMBERS[[#This Row],[SchoolCodes]]),1,0),IF(MEMBERS[[#This Row],[AvailableToAllSchools]]=TRUE,IF(ISBLANK(MEMBERS[[#This Row],[SchoolCodes]]),0,1)))</f>
        <v>0</v>
      </c>
      <c r="F102" s="57">
        <f>IF(ISBLANK(MEMBERS[[#This Row],[ServiceEndDate]]),0,IF(MEMBERS[[#This Row],[ServiceStartDate]]&lt;MEMBERS[[#This Row],[ServiceEndDate]],0,1))</f>
        <v>0</v>
      </c>
      <c r="G102" s="57" cm="1">
        <f t="array" aca="1" ref="G102" ca="1">IF(CELL("format",MEMBERS[[#This Row],[ServiceStartDate]])="D1",0,1)+IF(CELL("format",MEMBERS[[#This Row],[ServiceEndDate]])="D1",0,1)</f>
        <v>0</v>
      </c>
      <c r="H10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02" s="57">
        <f>IF(LEN(MEMBERS[[#This Row],[StaffMemberCode]])&lt;100,0,1)</f>
        <v>0</v>
      </c>
      <c r="J102" s="57">
        <f>IF(LEN(MEMBERS[[#This Row],[Title]])&lt;100,0,1)</f>
        <v>0</v>
      </c>
      <c r="K102" s="57">
        <f>COUNTBLANK(MEMBERS[[#This Row],[StaffMemberCode]:[ServiceStartDate]])+COUNTBLANK(MEMBERS[[#This Row],[Apprenticeship]]:MEMBERS[[#This Row],[StaffMemberEnabled]])+COUNTBLANK(MEMBERS[[#This Row],[GenderCode]]:MEMBERS[[#This Row],[Casual]])</f>
        <v>0</v>
      </c>
      <c r="L102" s="57">
        <f>IF(SUBSTITUTE(TEXT(MEMBERS[[#This Row],[StaffMemberCode]],10)," ","")=TEXT(MEMBERS[[#This Row],[StaffMemberCode]],10),0,1)</f>
        <v>0</v>
      </c>
      <c r="M102" s="57">
        <f ca="1">SUM(MEMBERS[[#This Row],[Duplicate NameService Start]:[Space in Code]])</f>
        <v>0</v>
      </c>
      <c r="O102" s="15">
        <v>91073700</v>
      </c>
      <c r="P102" s="15" t="s">
        <v>3208</v>
      </c>
      <c r="Q102" s="15" t="s">
        <v>3523</v>
      </c>
      <c r="R102" s="133" t="str">
        <f>MEMBERS[[#This Row],[FirstName]]&amp;" "&amp;MEMBERS[[#This Row],[LastName]]</f>
        <v>Cathy Hewitson</v>
      </c>
      <c r="S102" s="21">
        <v>40188</v>
      </c>
      <c r="U102" s="21">
        <v>25947</v>
      </c>
      <c r="V102" t="b">
        <v>0</v>
      </c>
      <c r="W102" t="b">
        <v>0</v>
      </c>
      <c r="X102" t="b">
        <v>0</v>
      </c>
      <c r="Y102" t="s">
        <v>2082</v>
      </c>
      <c r="Z102" t="b">
        <v>1</v>
      </c>
      <c r="AB102" t="s">
        <v>1571</v>
      </c>
      <c r="AC102" t="b">
        <v>0</v>
      </c>
    </row>
    <row r="103" spans="1:29" x14ac:dyDescent="0.3">
      <c r="A103" s="57" t="str">
        <f>MEMBERS[[#This Row],[Title]]&amp;MEMBERS[[#This Row],[ServiceStartDate]]</f>
        <v>Ceri Richardson39091</v>
      </c>
      <c r="B103" s="57">
        <f>IF(COUNTIF(MEMBERS[NameServiceStart],MEMBERS[[#This Row],[NameServiceStart]])=1,0,1)</f>
        <v>0</v>
      </c>
      <c r="C103" s="57">
        <f>IF(COUNTIF(MEMBERS[StaffMemberCode],MEMBERS[[#This Row],[StaffMemberCode]])=1,0,1)</f>
        <v>0</v>
      </c>
      <c r="D103" s="57">
        <f>IF(ISBLANK(MEMBERS[[#This Row],[PayrollLocation]]),0,IF(COUNTIF(SCHOOLS[SchoolCode],MEMBERS[[#This Row],[PayrollLocation]])=1,0,1))</f>
        <v>0</v>
      </c>
      <c r="E103" s="57">
        <f>IF(MEMBERS[[#This Row],[AvailableToAllSchools]]=FALSE,IF(ISBLANK(MEMBERS[[#This Row],[SchoolCodes]]),1,0),IF(MEMBERS[[#This Row],[AvailableToAllSchools]]=TRUE,IF(ISBLANK(MEMBERS[[#This Row],[SchoolCodes]]),0,1)))</f>
        <v>0</v>
      </c>
      <c r="F103" s="57">
        <f>IF(ISBLANK(MEMBERS[[#This Row],[ServiceEndDate]]),0,IF(MEMBERS[[#This Row],[ServiceStartDate]]&lt;MEMBERS[[#This Row],[ServiceEndDate]],0,1))</f>
        <v>0</v>
      </c>
      <c r="G103" s="57" cm="1">
        <f t="array" aca="1" ref="G103" ca="1">IF(CELL("format",MEMBERS[[#This Row],[ServiceStartDate]])="D1",0,1)+IF(CELL("format",MEMBERS[[#This Row],[ServiceEndDate]])="D1",0,1)</f>
        <v>0</v>
      </c>
      <c r="H10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03" s="57">
        <f>IF(LEN(MEMBERS[[#This Row],[StaffMemberCode]])&lt;100,0,1)</f>
        <v>0</v>
      </c>
      <c r="J103" s="57">
        <f>IF(LEN(MEMBERS[[#This Row],[Title]])&lt;100,0,1)</f>
        <v>0</v>
      </c>
      <c r="K103" s="57">
        <f>COUNTBLANK(MEMBERS[[#This Row],[StaffMemberCode]:[ServiceStartDate]])+COUNTBLANK(MEMBERS[[#This Row],[Apprenticeship]]:MEMBERS[[#This Row],[StaffMemberEnabled]])+COUNTBLANK(MEMBERS[[#This Row],[GenderCode]]:MEMBERS[[#This Row],[Casual]])</f>
        <v>0</v>
      </c>
      <c r="L103" s="57">
        <f>IF(SUBSTITUTE(TEXT(MEMBERS[[#This Row],[StaffMemberCode]],10)," ","")=TEXT(MEMBERS[[#This Row],[StaffMemberCode]],10),0,1)</f>
        <v>0</v>
      </c>
      <c r="M103" s="57">
        <f ca="1">SUM(MEMBERS[[#This Row],[Duplicate NameService Start]:[Space in Code]])</f>
        <v>0</v>
      </c>
      <c r="O103" s="15">
        <v>91073861</v>
      </c>
      <c r="P103" s="15" t="s">
        <v>3209</v>
      </c>
      <c r="Q103" s="15" t="s">
        <v>3524</v>
      </c>
      <c r="R103" s="133" t="str">
        <f>MEMBERS[[#This Row],[FirstName]]&amp;" "&amp;MEMBERS[[#This Row],[LastName]]</f>
        <v>Ceri Richardson</v>
      </c>
      <c r="S103" s="21">
        <v>39091</v>
      </c>
      <c r="U103" s="21">
        <v>28420</v>
      </c>
      <c r="V103" t="b">
        <v>0</v>
      </c>
      <c r="W103" t="b">
        <v>0</v>
      </c>
      <c r="X103" t="b">
        <v>0</v>
      </c>
      <c r="Y103" t="s">
        <v>2082</v>
      </c>
      <c r="Z103" t="b">
        <v>1</v>
      </c>
      <c r="AB103" t="s">
        <v>1571</v>
      </c>
      <c r="AC103" t="b">
        <v>0</v>
      </c>
    </row>
    <row r="104" spans="1:29" x14ac:dyDescent="0.3">
      <c r="A104" s="57" t="str">
        <f>MEMBERS[[#This Row],[Title]]&amp;MEMBERS[[#This Row],[ServiceStartDate]]</f>
        <v>Ceridwen Whitehead37739</v>
      </c>
      <c r="B104" s="57">
        <f>IF(COUNTIF(MEMBERS[NameServiceStart],MEMBERS[[#This Row],[NameServiceStart]])=1,0,1)</f>
        <v>0</v>
      </c>
      <c r="C104" s="57">
        <f>IF(COUNTIF(MEMBERS[StaffMemberCode],MEMBERS[[#This Row],[StaffMemberCode]])=1,0,1)</f>
        <v>0</v>
      </c>
      <c r="D104" s="57">
        <f>IF(ISBLANK(MEMBERS[[#This Row],[PayrollLocation]]),0,IF(COUNTIF(SCHOOLS[SchoolCode],MEMBERS[[#This Row],[PayrollLocation]])=1,0,1))</f>
        <v>0</v>
      </c>
      <c r="E104" s="57">
        <f>IF(MEMBERS[[#This Row],[AvailableToAllSchools]]=FALSE,IF(ISBLANK(MEMBERS[[#This Row],[SchoolCodes]]),1,0),IF(MEMBERS[[#This Row],[AvailableToAllSchools]]=TRUE,IF(ISBLANK(MEMBERS[[#This Row],[SchoolCodes]]),0,1)))</f>
        <v>0</v>
      </c>
      <c r="F104" s="57">
        <f>IF(ISBLANK(MEMBERS[[#This Row],[ServiceEndDate]]),0,IF(MEMBERS[[#This Row],[ServiceStartDate]]&lt;MEMBERS[[#This Row],[ServiceEndDate]],0,1))</f>
        <v>0</v>
      </c>
      <c r="G104" s="57" cm="1">
        <f t="array" aca="1" ref="G104" ca="1">IF(CELL("format",MEMBERS[[#This Row],[ServiceStartDate]])="D1",0,1)+IF(CELL("format",MEMBERS[[#This Row],[ServiceEndDate]])="D1",0,1)</f>
        <v>0</v>
      </c>
      <c r="H10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04" s="57">
        <f>IF(LEN(MEMBERS[[#This Row],[StaffMemberCode]])&lt;100,0,1)</f>
        <v>0</v>
      </c>
      <c r="J104" s="57">
        <f>IF(LEN(MEMBERS[[#This Row],[Title]])&lt;100,0,1)</f>
        <v>0</v>
      </c>
      <c r="K104" s="57">
        <f>COUNTBLANK(MEMBERS[[#This Row],[StaffMemberCode]:[ServiceStartDate]])+COUNTBLANK(MEMBERS[[#This Row],[Apprenticeship]]:MEMBERS[[#This Row],[StaffMemberEnabled]])+COUNTBLANK(MEMBERS[[#This Row],[GenderCode]]:MEMBERS[[#This Row],[Casual]])</f>
        <v>0</v>
      </c>
      <c r="L104" s="57">
        <f>IF(SUBSTITUTE(TEXT(MEMBERS[[#This Row],[StaffMemberCode]],10)," ","")=TEXT(MEMBERS[[#This Row],[StaffMemberCode]],10),0,1)</f>
        <v>0</v>
      </c>
      <c r="M104" s="57">
        <f ca="1">SUM(MEMBERS[[#This Row],[Duplicate NameService Start]:[Space in Code]])</f>
        <v>0</v>
      </c>
      <c r="O104" s="15">
        <v>91075742</v>
      </c>
      <c r="P104" s="15" t="s">
        <v>3210</v>
      </c>
      <c r="Q104" s="15" t="s">
        <v>3525</v>
      </c>
      <c r="R104" s="133" t="str">
        <f>MEMBERS[[#This Row],[FirstName]]&amp;" "&amp;MEMBERS[[#This Row],[LastName]]</f>
        <v>Ceridwen Whitehead</v>
      </c>
      <c r="S104" s="21">
        <v>37739</v>
      </c>
      <c r="U104" s="21">
        <v>23429</v>
      </c>
      <c r="V104" t="b">
        <v>0</v>
      </c>
      <c r="W104" t="b">
        <v>0</v>
      </c>
      <c r="X104" t="b">
        <v>0</v>
      </c>
      <c r="Y104" t="s">
        <v>2200</v>
      </c>
      <c r="Z104" t="b">
        <v>1</v>
      </c>
      <c r="AB104" t="s">
        <v>1571</v>
      </c>
      <c r="AC104" t="b">
        <v>0</v>
      </c>
    </row>
    <row r="105" spans="1:29" x14ac:dyDescent="0.3">
      <c r="A105" s="57" t="str">
        <f>MEMBERS[[#This Row],[Title]]&amp;MEMBERS[[#This Row],[ServiceStartDate]]</f>
        <v>Cerys Lally45025</v>
      </c>
      <c r="B105" s="57">
        <f>IF(COUNTIF(MEMBERS[NameServiceStart],MEMBERS[[#This Row],[NameServiceStart]])=1,0,1)</f>
        <v>0</v>
      </c>
      <c r="C105" s="57">
        <f>IF(COUNTIF(MEMBERS[StaffMemberCode],MEMBERS[[#This Row],[StaffMemberCode]])=1,0,1)</f>
        <v>0</v>
      </c>
      <c r="D105" s="57">
        <f>IF(ISBLANK(MEMBERS[[#This Row],[PayrollLocation]]),0,IF(COUNTIF(SCHOOLS[SchoolCode],MEMBERS[[#This Row],[PayrollLocation]])=1,0,1))</f>
        <v>0</v>
      </c>
      <c r="E105" s="57">
        <f>IF(MEMBERS[[#This Row],[AvailableToAllSchools]]=FALSE,IF(ISBLANK(MEMBERS[[#This Row],[SchoolCodes]]),1,0),IF(MEMBERS[[#This Row],[AvailableToAllSchools]]=TRUE,IF(ISBLANK(MEMBERS[[#This Row],[SchoolCodes]]),0,1)))</f>
        <v>0</v>
      </c>
      <c r="F105" s="57">
        <f>IF(ISBLANK(MEMBERS[[#This Row],[ServiceEndDate]]),0,IF(MEMBERS[[#This Row],[ServiceStartDate]]&lt;MEMBERS[[#This Row],[ServiceEndDate]],0,1))</f>
        <v>0</v>
      </c>
      <c r="G105" s="57" cm="1">
        <f t="array" aca="1" ref="G105" ca="1">IF(CELL("format",MEMBERS[[#This Row],[ServiceStartDate]])="D1",0,1)+IF(CELL("format",MEMBERS[[#This Row],[ServiceEndDate]])="D1",0,1)</f>
        <v>0</v>
      </c>
      <c r="H10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05" s="57">
        <f>IF(LEN(MEMBERS[[#This Row],[StaffMemberCode]])&lt;100,0,1)</f>
        <v>0</v>
      </c>
      <c r="J105" s="57">
        <f>IF(LEN(MEMBERS[[#This Row],[Title]])&lt;100,0,1)</f>
        <v>0</v>
      </c>
      <c r="K105" s="57">
        <f>COUNTBLANK(MEMBERS[[#This Row],[StaffMemberCode]:[ServiceStartDate]])+COUNTBLANK(MEMBERS[[#This Row],[Apprenticeship]]:MEMBERS[[#This Row],[StaffMemberEnabled]])+COUNTBLANK(MEMBERS[[#This Row],[GenderCode]]:MEMBERS[[#This Row],[Casual]])</f>
        <v>0</v>
      </c>
      <c r="L105" s="57">
        <f>IF(SUBSTITUTE(TEXT(MEMBERS[[#This Row],[StaffMemberCode]],10)," ","")=TEXT(MEMBERS[[#This Row],[StaffMemberCode]],10),0,1)</f>
        <v>0</v>
      </c>
      <c r="M105" s="57">
        <f ca="1">SUM(MEMBERS[[#This Row],[Duplicate NameService Start]:[Space in Code]])</f>
        <v>0</v>
      </c>
      <c r="O105" s="15">
        <v>91073859</v>
      </c>
      <c r="P105" s="15" t="s">
        <v>3211</v>
      </c>
      <c r="Q105" s="15" t="s">
        <v>3526</v>
      </c>
      <c r="R105" s="133" t="str">
        <f>MEMBERS[[#This Row],[FirstName]]&amp;" "&amp;MEMBERS[[#This Row],[LastName]]</f>
        <v>Cerys Lally</v>
      </c>
      <c r="S105" s="21">
        <v>45025</v>
      </c>
      <c r="U105" s="21">
        <v>36994</v>
      </c>
      <c r="V105" t="b">
        <v>0</v>
      </c>
      <c r="W105" t="b">
        <v>0</v>
      </c>
      <c r="X105" t="b">
        <v>0</v>
      </c>
      <c r="Y105" t="s">
        <v>2082</v>
      </c>
      <c r="Z105" t="b">
        <v>1</v>
      </c>
      <c r="AB105" t="s">
        <v>1571</v>
      </c>
      <c r="AC105" t="b">
        <v>0</v>
      </c>
    </row>
    <row r="106" spans="1:29" x14ac:dyDescent="0.3">
      <c r="A106" s="57" t="str">
        <f>MEMBERS[[#This Row],[Title]]&amp;MEMBERS[[#This Row],[ServiceStartDate]]</f>
        <v>Cesar Cepeda Medianero40011</v>
      </c>
      <c r="B106" s="57">
        <f>IF(COUNTIF(MEMBERS[NameServiceStart],MEMBERS[[#This Row],[NameServiceStart]])=1,0,1)</f>
        <v>0</v>
      </c>
      <c r="C106" s="57">
        <f>IF(COUNTIF(MEMBERS[StaffMemberCode],MEMBERS[[#This Row],[StaffMemberCode]])=1,0,1)</f>
        <v>0</v>
      </c>
      <c r="D106" s="57">
        <f>IF(ISBLANK(MEMBERS[[#This Row],[PayrollLocation]]),0,IF(COUNTIF(SCHOOLS[SchoolCode],MEMBERS[[#This Row],[PayrollLocation]])=1,0,1))</f>
        <v>0</v>
      </c>
      <c r="E106" s="57">
        <f>IF(MEMBERS[[#This Row],[AvailableToAllSchools]]=FALSE,IF(ISBLANK(MEMBERS[[#This Row],[SchoolCodes]]),1,0),IF(MEMBERS[[#This Row],[AvailableToAllSchools]]=TRUE,IF(ISBLANK(MEMBERS[[#This Row],[SchoolCodes]]),0,1)))</f>
        <v>0</v>
      </c>
      <c r="F106" s="57">
        <f>IF(ISBLANK(MEMBERS[[#This Row],[ServiceEndDate]]),0,IF(MEMBERS[[#This Row],[ServiceStartDate]]&lt;MEMBERS[[#This Row],[ServiceEndDate]],0,1))</f>
        <v>0</v>
      </c>
      <c r="G106" s="57" cm="1">
        <f t="array" aca="1" ref="G106" ca="1">IF(CELL("format",MEMBERS[[#This Row],[ServiceStartDate]])="D1",0,1)+IF(CELL("format",MEMBERS[[#This Row],[ServiceEndDate]])="D1",0,1)</f>
        <v>0</v>
      </c>
      <c r="H10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06" s="57">
        <f>IF(LEN(MEMBERS[[#This Row],[StaffMemberCode]])&lt;100,0,1)</f>
        <v>0</v>
      </c>
      <c r="J106" s="57">
        <f>IF(LEN(MEMBERS[[#This Row],[Title]])&lt;100,0,1)</f>
        <v>0</v>
      </c>
      <c r="K106" s="57">
        <f>COUNTBLANK(MEMBERS[[#This Row],[StaffMemberCode]:[ServiceStartDate]])+COUNTBLANK(MEMBERS[[#This Row],[Apprenticeship]]:MEMBERS[[#This Row],[StaffMemberEnabled]])+COUNTBLANK(MEMBERS[[#This Row],[GenderCode]]:MEMBERS[[#This Row],[Casual]])</f>
        <v>0</v>
      </c>
      <c r="L106" s="57">
        <f>IF(SUBSTITUTE(TEXT(MEMBERS[[#This Row],[StaffMemberCode]],10)," ","")=TEXT(MEMBERS[[#This Row],[StaffMemberCode]],10),0,1)</f>
        <v>0</v>
      </c>
      <c r="M106" s="57">
        <f ca="1">SUM(MEMBERS[[#This Row],[Duplicate NameService Start]:[Space in Code]])</f>
        <v>0</v>
      </c>
      <c r="O106" s="15">
        <v>91850056</v>
      </c>
      <c r="P106" s="15" t="s">
        <v>3212</v>
      </c>
      <c r="Q106" s="15" t="s">
        <v>3527</v>
      </c>
      <c r="R106" s="133" t="str">
        <f>MEMBERS[[#This Row],[FirstName]]&amp;" "&amp;MEMBERS[[#This Row],[LastName]]</f>
        <v>Cesar Cepeda Medianero</v>
      </c>
      <c r="S106" s="21">
        <v>40011</v>
      </c>
      <c r="U106" s="21">
        <v>28417</v>
      </c>
      <c r="V106" t="b">
        <v>0</v>
      </c>
      <c r="W106" t="b">
        <v>0</v>
      </c>
      <c r="X106" t="b">
        <v>0</v>
      </c>
      <c r="Y106" t="s">
        <v>2094</v>
      </c>
      <c r="Z106" t="b">
        <v>1</v>
      </c>
      <c r="AB106" t="s">
        <v>1572</v>
      </c>
      <c r="AC106" t="b">
        <v>0</v>
      </c>
    </row>
    <row r="107" spans="1:29" x14ac:dyDescent="0.3">
      <c r="A107" s="57" t="str">
        <f>MEMBERS[[#This Row],[Title]]&amp;MEMBERS[[#This Row],[ServiceStartDate]]</f>
        <v>Charlie Wyatt44805</v>
      </c>
      <c r="B107" s="57">
        <f>IF(COUNTIF(MEMBERS[NameServiceStart],MEMBERS[[#This Row],[NameServiceStart]])=1,0,1)</f>
        <v>0</v>
      </c>
      <c r="C107" s="57">
        <f>IF(COUNTIF(MEMBERS[StaffMemberCode],MEMBERS[[#This Row],[StaffMemberCode]])=1,0,1)</f>
        <v>0</v>
      </c>
      <c r="D107" s="57">
        <f>IF(ISBLANK(MEMBERS[[#This Row],[PayrollLocation]]),0,IF(COUNTIF(SCHOOLS[SchoolCode],MEMBERS[[#This Row],[PayrollLocation]])=1,0,1))</f>
        <v>0</v>
      </c>
      <c r="E107" s="57">
        <f>IF(MEMBERS[[#This Row],[AvailableToAllSchools]]=FALSE,IF(ISBLANK(MEMBERS[[#This Row],[SchoolCodes]]),1,0),IF(MEMBERS[[#This Row],[AvailableToAllSchools]]=TRUE,IF(ISBLANK(MEMBERS[[#This Row],[SchoolCodes]]),0,1)))</f>
        <v>0</v>
      </c>
      <c r="F107" s="57">
        <f>IF(ISBLANK(MEMBERS[[#This Row],[ServiceEndDate]]),0,IF(MEMBERS[[#This Row],[ServiceStartDate]]&lt;MEMBERS[[#This Row],[ServiceEndDate]],0,1))</f>
        <v>0</v>
      </c>
      <c r="G107" s="57" cm="1">
        <f t="array" aca="1" ref="G107" ca="1">IF(CELL("format",MEMBERS[[#This Row],[ServiceStartDate]])="D1",0,1)+IF(CELL("format",MEMBERS[[#This Row],[ServiceEndDate]])="D1",0,1)</f>
        <v>0</v>
      </c>
      <c r="H10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07" s="57">
        <f>IF(LEN(MEMBERS[[#This Row],[StaffMemberCode]])&lt;100,0,1)</f>
        <v>0</v>
      </c>
      <c r="J107" s="57">
        <f>IF(LEN(MEMBERS[[#This Row],[Title]])&lt;100,0,1)</f>
        <v>0</v>
      </c>
      <c r="K107" s="57">
        <f>COUNTBLANK(MEMBERS[[#This Row],[StaffMemberCode]:[ServiceStartDate]])+COUNTBLANK(MEMBERS[[#This Row],[Apprenticeship]]:MEMBERS[[#This Row],[StaffMemberEnabled]])+COUNTBLANK(MEMBERS[[#This Row],[GenderCode]]:MEMBERS[[#This Row],[Casual]])</f>
        <v>0</v>
      </c>
      <c r="L107" s="57">
        <f>IF(SUBSTITUTE(TEXT(MEMBERS[[#This Row],[StaffMemberCode]],10)," ","")=TEXT(MEMBERS[[#This Row],[StaffMemberCode]],10),0,1)</f>
        <v>0</v>
      </c>
      <c r="M107" s="57">
        <f ca="1">SUM(MEMBERS[[#This Row],[Duplicate NameService Start]:[Space in Code]])</f>
        <v>0</v>
      </c>
      <c r="O107" s="15">
        <v>10010505</v>
      </c>
      <c r="P107" s="15" t="s">
        <v>3961</v>
      </c>
      <c r="Q107" s="15" t="s">
        <v>4040</v>
      </c>
      <c r="R107" s="133" t="str">
        <f>MEMBERS[[#This Row],[FirstName]]&amp;" "&amp;MEMBERS[[#This Row],[LastName]]</f>
        <v>Charlie Wyatt</v>
      </c>
      <c r="S107" s="21">
        <v>44805</v>
      </c>
      <c r="U107" s="21">
        <v>36538</v>
      </c>
      <c r="V107" s="138" t="b">
        <v>0</v>
      </c>
      <c r="W107" t="b">
        <v>0</v>
      </c>
      <c r="X107" t="b">
        <v>0</v>
      </c>
      <c r="Y107" t="s">
        <v>2126</v>
      </c>
      <c r="Z107" t="b">
        <v>1</v>
      </c>
      <c r="AB107" t="s">
        <v>1571</v>
      </c>
      <c r="AC107" t="b">
        <v>0</v>
      </c>
    </row>
    <row r="108" spans="1:29" x14ac:dyDescent="0.3">
      <c r="A108" s="57" t="str">
        <f>MEMBERS[[#This Row],[Title]]&amp;MEMBERS[[#This Row],[ServiceStartDate]]</f>
        <v>Charlotte Armitt39823</v>
      </c>
      <c r="B108" s="57">
        <f>IF(COUNTIF(MEMBERS[NameServiceStart],MEMBERS[[#This Row],[NameServiceStart]])=1,0,1)</f>
        <v>0</v>
      </c>
      <c r="C108" s="57">
        <f>IF(COUNTIF(MEMBERS[StaffMemberCode],MEMBERS[[#This Row],[StaffMemberCode]])=1,0,1)</f>
        <v>0</v>
      </c>
      <c r="D108" s="57">
        <f>IF(ISBLANK(MEMBERS[[#This Row],[PayrollLocation]]),0,IF(COUNTIF(SCHOOLS[SchoolCode],MEMBERS[[#This Row],[PayrollLocation]])=1,0,1))</f>
        <v>0</v>
      </c>
      <c r="E108" s="57">
        <f>IF(MEMBERS[[#This Row],[AvailableToAllSchools]]=FALSE,IF(ISBLANK(MEMBERS[[#This Row],[SchoolCodes]]),1,0),IF(MEMBERS[[#This Row],[AvailableToAllSchools]]=TRUE,IF(ISBLANK(MEMBERS[[#This Row],[SchoolCodes]]),0,1)))</f>
        <v>0</v>
      </c>
      <c r="F108" s="57">
        <f>IF(ISBLANK(MEMBERS[[#This Row],[ServiceEndDate]]),0,IF(MEMBERS[[#This Row],[ServiceStartDate]]&lt;MEMBERS[[#This Row],[ServiceEndDate]],0,1))</f>
        <v>0</v>
      </c>
      <c r="G108" s="57" cm="1">
        <f t="array" aca="1" ref="G108" ca="1">IF(CELL("format",MEMBERS[[#This Row],[ServiceStartDate]])="D1",0,1)+IF(CELL("format",MEMBERS[[#This Row],[ServiceEndDate]])="D1",0,1)</f>
        <v>0</v>
      </c>
      <c r="H10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08" s="57">
        <f>IF(LEN(MEMBERS[[#This Row],[StaffMemberCode]])&lt;100,0,1)</f>
        <v>0</v>
      </c>
      <c r="J108" s="57">
        <f>IF(LEN(MEMBERS[[#This Row],[Title]])&lt;100,0,1)</f>
        <v>0</v>
      </c>
      <c r="K108" s="57">
        <f>COUNTBLANK(MEMBERS[[#This Row],[StaffMemberCode]:[ServiceStartDate]])+COUNTBLANK(MEMBERS[[#This Row],[Apprenticeship]]:MEMBERS[[#This Row],[StaffMemberEnabled]])+COUNTBLANK(MEMBERS[[#This Row],[GenderCode]]:MEMBERS[[#This Row],[Casual]])</f>
        <v>0</v>
      </c>
      <c r="L108" s="57">
        <f>IF(SUBSTITUTE(TEXT(MEMBERS[[#This Row],[StaffMemberCode]],10)," ","")=TEXT(MEMBERS[[#This Row],[StaffMemberCode]],10),0,1)</f>
        <v>0</v>
      </c>
      <c r="M108" s="57">
        <f ca="1">SUM(MEMBERS[[#This Row],[Duplicate NameService Start]:[Space in Code]])</f>
        <v>0</v>
      </c>
      <c r="O108" s="15">
        <v>91073406</v>
      </c>
      <c r="P108" s="15" t="s">
        <v>3213</v>
      </c>
      <c r="Q108" s="15" t="s">
        <v>3528</v>
      </c>
      <c r="R108" s="133" t="str">
        <f>MEMBERS[[#This Row],[FirstName]]&amp;" "&amp;MEMBERS[[#This Row],[LastName]]</f>
        <v>Charlotte Armitt</v>
      </c>
      <c r="S108" s="21">
        <v>39823</v>
      </c>
      <c r="U108" s="21">
        <v>34053</v>
      </c>
      <c r="V108" t="b">
        <v>0</v>
      </c>
      <c r="W108" t="b">
        <v>0</v>
      </c>
      <c r="X108" t="b">
        <v>0</v>
      </c>
      <c r="Y108" t="s">
        <v>2275</v>
      </c>
      <c r="Z108" t="b">
        <v>1</v>
      </c>
      <c r="AB108" t="s">
        <v>1571</v>
      </c>
      <c r="AC108" t="b">
        <v>0</v>
      </c>
    </row>
    <row r="109" spans="1:29" x14ac:dyDescent="0.3">
      <c r="A109" s="57" t="str">
        <f>MEMBERS[[#This Row],[Title]]&amp;MEMBERS[[#This Row],[ServiceStartDate]]</f>
        <v>Charlotte Frost45170</v>
      </c>
      <c r="B109" s="57">
        <f>IF(COUNTIF(MEMBERS[NameServiceStart],MEMBERS[[#This Row],[NameServiceStart]])=1,0,1)</f>
        <v>0</v>
      </c>
      <c r="C109" s="57">
        <f>IF(COUNTIF(MEMBERS[StaffMemberCode],MEMBERS[[#This Row],[StaffMemberCode]])=1,0,1)</f>
        <v>0</v>
      </c>
      <c r="D109" s="57">
        <f>IF(ISBLANK(MEMBERS[[#This Row],[PayrollLocation]]),0,IF(COUNTIF(SCHOOLS[SchoolCode],MEMBERS[[#This Row],[PayrollLocation]])=1,0,1))</f>
        <v>0</v>
      </c>
      <c r="E109" s="57">
        <f>IF(MEMBERS[[#This Row],[AvailableToAllSchools]]=FALSE,IF(ISBLANK(MEMBERS[[#This Row],[SchoolCodes]]),1,0),IF(MEMBERS[[#This Row],[AvailableToAllSchools]]=TRUE,IF(ISBLANK(MEMBERS[[#This Row],[SchoolCodes]]),0,1)))</f>
        <v>0</v>
      </c>
      <c r="F109" s="57">
        <f>IF(ISBLANK(MEMBERS[[#This Row],[ServiceEndDate]]),0,IF(MEMBERS[[#This Row],[ServiceStartDate]]&lt;MEMBERS[[#This Row],[ServiceEndDate]],0,1))</f>
        <v>0</v>
      </c>
      <c r="G109" s="57" cm="1">
        <f t="array" aca="1" ref="G109" ca="1">IF(CELL("format",MEMBERS[[#This Row],[ServiceStartDate]])="D1",0,1)+IF(CELL("format",MEMBERS[[#This Row],[ServiceEndDate]])="D1",0,1)</f>
        <v>0</v>
      </c>
      <c r="H10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09" s="57">
        <f>IF(LEN(MEMBERS[[#This Row],[StaffMemberCode]])&lt;100,0,1)</f>
        <v>0</v>
      </c>
      <c r="J109" s="57">
        <f>IF(LEN(MEMBERS[[#This Row],[Title]])&lt;100,0,1)</f>
        <v>0</v>
      </c>
      <c r="K109" s="57">
        <f>COUNTBLANK(MEMBERS[[#This Row],[StaffMemberCode]:[ServiceStartDate]])+COUNTBLANK(MEMBERS[[#This Row],[Apprenticeship]]:MEMBERS[[#This Row],[StaffMemberEnabled]])+COUNTBLANK(MEMBERS[[#This Row],[GenderCode]]:MEMBERS[[#This Row],[Casual]])</f>
        <v>0</v>
      </c>
      <c r="L109" s="57">
        <f>IF(SUBSTITUTE(TEXT(MEMBERS[[#This Row],[StaffMemberCode]],10)," ","")=TEXT(MEMBERS[[#This Row],[StaffMemberCode]],10),0,1)</f>
        <v>0</v>
      </c>
      <c r="M109" s="57">
        <f ca="1">SUM(MEMBERS[[#This Row],[Duplicate NameService Start]:[Space in Code]])</f>
        <v>0</v>
      </c>
      <c r="O109" s="15">
        <v>10012804</v>
      </c>
      <c r="P109" s="15" t="s">
        <v>3213</v>
      </c>
      <c r="Q109" s="15" t="s">
        <v>4041</v>
      </c>
      <c r="R109" s="133" t="str">
        <f>MEMBERS[[#This Row],[FirstName]]&amp;" "&amp;MEMBERS[[#This Row],[LastName]]</f>
        <v>Charlotte Frost</v>
      </c>
      <c r="S109" s="21">
        <v>45170</v>
      </c>
      <c r="U109" s="21">
        <v>36485</v>
      </c>
      <c r="V109" s="138" t="b">
        <v>0</v>
      </c>
      <c r="W109" t="b">
        <v>0</v>
      </c>
      <c r="X109" t="b">
        <v>0</v>
      </c>
      <c r="Y109" t="s">
        <v>2126</v>
      </c>
      <c r="Z109" t="b">
        <v>1</v>
      </c>
      <c r="AB109" t="s">
        <v>1571</v>
      </c>
      <c r="AC109" t="b">
        <v>0</v>
      </c>
    </row>
    <row r="110" spans="1:29" x14ac:dyDescent="0.3">
      <c r="A110" s="57" t="str">
        <f>MEMBERS[[#This Row],[Title]]&amp;MEMBERS[[#This Row],[ServiceStartDate]]</f>
        <v>Charlotte Gibbs45769</v>
      </c>
      <c r="B110" s="57">
        <f>IF(COUNTIF(MEMBERS[NameServiceStart],MEMBERS[[#This Row],[NameServiceStart]])=1,0,1)</f>
        <v>0</v>
      </c>
      <c r="C110" s="57">
        <f>IF(COUNTIF(MEMBERS[StaffMemberCode],MEMBERS[[#This Row],[StaffMemberCode]])=1,0,1)</f>
        <v>0</v>
      </c>
      <c r="D110" s="57">
        <f>IF(ISBLANK(MEMBERS[[#This Row],[PayrollLocation]]),0,IF(COUNTIF(SCHOOLS[SchoolCode],MEMBERS[[#This Row],[PayrollLocation]])=1,0,1))</f>
        <v>0</v>
      </c>
      <c r="E110" s="57">
        <f>IF(MEMBERS[[#This Row],[AvailableToAllSchools]]=FALSE,IF(ISBLANK(MEMBERS[[#This Row],[SchoolCodes]]),1,0),IF(MEMBERS[[#This Row],[AvailableToAllSchools]]=TRUE,IF(ISBLANK(MEMBERS[[#This Row],[SchoolCodes]]),0,1)))</f>
        <v>0</v>
      </c>
      <c r="F110" s="57">
        <f>IF(ISBLANK(MEMBERS[[#This Row],[ServiceEndDate]]),0,IF(MEMBERS[[#This Row],[ServiceStartDate]]&lt;MEMBERS[[#This Row],[ServiceEndDate]],0,1))</f>
        <v>0</v>
      </c>
      <c r="G110" s="57" cm="1">
        <f t="array" aca="1" ref="G110" ca="1">IF(CELL("format",MEMBERS[[#This Row],[ServiceStartDate]])="D1",0,1)+IF(CELL("format",MEMBERS[[#This Row],[ServiceEndDate]])="D1",0,1)</f>
        <v>0</v>
      </c>
      <c r="H11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10" s="57">
        <f>IF(LEN(MEMBERS[[#This Row],[StaffMemberCode]])&lt;100,0,1)</f>
        <v>0</v>
      </c>
      <c r="J110" s="57">
        <f>IF(LEN(MEMBERS[[#This Row],[Title]])&lt;100,0,1)</f>
        <v>0</v>
      </c>
      <c r="K110" s="57">
        <f>COUNTBLANK(MEMBERS[[#This Row],[StaffMemberCode]:[ServiceStartDate]])+COUNTBLANK(MEMBERS[[#This Row],[Apprenticeship]]:MEMBERS[[#This Row],[StaffMemberEnabled]])+COUNTBLANK(MEMBERS[[#This Row],[GenderCode]]:MEMBERS[[#This Row],[Casual]])</f>
        <v>0</v>
      </c>
      <c r="L110" s="57">
        <f>IF(SUBSTITUTE(TEXT(MEMBERS[[#This Row],[StaffMemberCode]],10)," ","")=TEXT(MEMBERS[[#This Row],[StaffMemberCode]],10),0,1)</f>
        <v>0</v>
      </c>
      <c r="M110" s="57">
        <f ca="1">SUM(MEMBERS[[#This Row],[Duplicate NameService Start]:[Space in Code]])</f>
        <v>0</v>
      </c>
      <c r="O110" s="15">
        <v>91850010</v>
      </c>
      <c r="P110" s="15" t="s">
        <v>3213</v>
      </c>
      <c r="Q110" s="15" t="s">
        <v>3529</v>
      </c>
      <c r="R110" s="133" t="str">
        <f>MEMBERS[[#This Row],[FirstName]]&amp;" "&amp;MEMBERS[[#This Row],[LastName]]</f>
        <v>Charlotte Gibbs</v>
      </c>
      <c r="S110" s="21">
        <v>45769</v>
      </c>
      <c r="U110" s="21">
        <v>37823</v>
      </c>
      <c r="V110" t="b">
        <v>0</v>
      </c>
      <c r="W110" t="b">
        <v>0</v>
      </c>
      <c r="X110" t="b">
        <v>0</v>
      </c>
      <c r="Y110" t="s">
        <v>2094</v>
      </c>
      <c r="Z110" t="b">
        <v>1</v>
      </c>
      <c r="AB110" t="s">
        <v>1571</v>
      </c>
      <c r="AC110" t="b">
        <v>0</v>
      </c>
    </row>
    <row r="111" spans="1:29" x14ac:dyDescent="0.3">
      <c r="A111" s="57" t="str">
        <f>MEMBERS[[#This Row],[Title]]&amp;MEMBERS[[#This Row],[ServiceStartDate]]</f>
        <v>Charlotte Hilditch42744</v>
      </c>
      <c r="B111" s="57">
        <f>IF(COUNTIF(MEMBERS[NameServiceStart],MEMBERS[[#This Row],[NameServiceStart]])=1,0,1)</f>
        <v>0</v>
      </c>
      <c r="C111" s="57">
        <f>IF(COUNTIF(MEMBERS[StaffMemberCode],MEMBERS[[#This Row],[StaffMemberCode]])=1,0,1)</f>
        <v>0</v>
      </c>
      <c r="D111" s="57">
        <f>IF(ISBLANK(MEMBERS[[#This Row],[PayrollLocation]]),0,IF(COUNTIF(SCHOOLS[SchoolCode],MEMBERS[[#This Row],[PayrollLocation]])=1,0,1))</f>
        <v>0</v>
      </c>
      <c r="E111" s="57">
        <f>IF(MEMBERS[[#This Row],[AvailableToAllSchools]]=FALSE,IF(ISBLANK(MEMBERS[[#This Row],[SchoolCodes]]),1,0),IF(MEMBERS[[#This Row],[AvailableToAllSchools]]=TRUE,IF(ISBLANK(MEMBERS[[#This Row],[SchoolCodes]]),0,1)))</f>
        <v>0</v>
      </c>
      <c r="F111" s="57">
        <f>IF(ISBLANK(MEMBERS[[#This Row],[ServiceEndDate]]),0,IF(MEMBERS[[#This Row],[ServiceStartDate]]&lt;MEMBERS[[#This Row],[ServiceEndDate]],0,1))</f>
        <v>0</v>
      </c>
      <c r="G111" s="57" cm="1">
        <f t="array" aca="1" ref="G111" ca="1">IF(CELL("format",MEMBERS[[#This Row],[ServiceStartDate]])="D1",0,1)+IF(CELL("format",MEMBERS[[#This Row],[ServiceEndDate]])="D1",0,1)</f>
        <v>0</v>
      </c>
      <c r="H11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11" s="57">
        <f>IF(LEN(MEMBERS[[#This Row],[StaffMemberCode]])&lt;100,0,1)</f>
        <v>0</v>
      </c>
      <c r="J111" s="57">
        <f>IF(LEN(MEMBERS[[#This Row],[Title]])&lt;100,0,1)</f>
        <v>0</v>
      </c>
      <c r="K111" s="57">
        <f>COUNTBLANK(MEMBERS[[#This Row],[StaffMemberCode]:[ServiceStartDate]])+COUNTBLANK(MEMBERS[[#This Row],[Apprenticeship]]:MEMBERS[[#This Row],[StaffMemberEnabled]])+COUNTBLANK(MEMBERS[[#This Row],[GenderCode]]:MEMBERS[[#This Row],[Casual]])</f>
        <v>0</v>
      </c>
      <c r="L111" s="57">
        <f>IF(SUBSTITUTE(TEXT(MEMBERS[[#This Row],[StaffMemberCode]],10)," ","")=TEXT(MEMBERS[[#This Row],[StaffMemberCode]],10),0,1)</f>
        <v>0</v>
      </c>
      <c r="M111" s="57">
        <f ca="1">SUM(MEMBERS[[#This Row],[Duplicate NameService Start]:[Space in Code]])</f>
        <v>0</v>
      </c>
      <c r="O111" s="15">
        <v>91073732</v>
      </c>
      <c r="P111" s="15" t="s">
        <v>3213</v>
      </c>
      <c r="Q111" s="15" t="s">
        <v>3530</v>
      </c>
      <c r="R111" s="133" t="str">
        <f>MEMBERS[[#This Row],[FirstName]]&amp;" "&amp;MEMBERS[[#This Row],[LastName]]</f>
        <v>Charlotte Hilditch</v>
      </c>
      <c r="S111" s="21">
        <v>42744</v>
      </c>
      <c r="U111" s="21">
        <v>25003</v>
      </c>
      <c r="V111" t="b">
        <v>0</v>
      </c>
      <c r="W111" t="b">
        <v>0</v>
      </c>
      <c r="X111" t="b">
        <v>0</v>
      </c>
      <c r="Y111" t="s">
        <v>2082</v>
      </c>
      <c r="Z111" t="b">
        <v>1</v>
      </c>
      <c r="AB111" t="s">
        <v>1571</v>
      </c>
      <c r="AC111" t="b">
        <v>0</v>
      </c>
    </row>
    <row r="112" spans="1:29" x14ac:dyDescent="0.3">
      <c r="A112" s="57" t="str">
        <f>MEMBERS[[#This Row],[Title]]&amp;MEMBERS[[#This Row],[ServiceStartDate]]</f>
        <v>Charlotte Lean38816</v>
      </c>
      <c r="B112" s="57">
        <f>IF(COUNTIF(MEMBERS[NameServiceStart],MEMBERS[[#This Row],[NameServiceStart]])=1,0,1)</f>
        <v>0</v>
      </c>
      <c r="C112" s="57">
        <f>IF(COUNTIF(MEMBERS[StaffMemberCode],MEMBERS[[#This Row],[StaffMemberCode]])=1,0,1)</f>
        <v>0</v>
      </c>
      <c r="D112" s="57">
        <f>IF(ISBLANK(MEMBERS[[#This Row],[PayrollLocation]]),0,IF(COUNTIF(SCHOOLS[SchoolCode],MEMBERS[[#This Row],[PayrollLocation]])=1,0,1))</f>
        <v>0</v>
      </c>
      <c r="E112" s="57">
        <f>IF(MEMBERS[[#This Row],[AvailableToAllSchools]]=FALSE,IF(ISBLANK(MEMBERS[[#This Row],[SchoolCodes]]),1,0),IF(MEMBERS[[#This Row],[AvailableToAllSchools]]=TRUE,IF(ISBLANK(MEMBERS[[#This Row],[SchoolCodes]]),0,1)))</f>
        <v>0</v>
      </c>
      <c r="F112" s="57">
        <f>IF(ISBLANK(MEMBERS[[#This Row],[ServiceEndDate]]),0,IF(MEMBERS[[#This Row],[ServiceStartDate]]&lt;MEMBERS[[#This Row],[ServiceEndDate]],0,1))</f>
        <v>0</v>
      </c>
      <c r="G112" s="57" cm="1">
        <f t="array" aca="1" ref="G112" ca="1">IF(CELL("format",MEMBERS[[#This Row],[ServiceStartDate]])="D1",0,1)+IF(CELL("format",MEMBERS[[#This Row],[ServiceEndDate]])="D1",0,1)</f>
        <v>0</v>
      </c>
      <c r="H11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12" s="57">
        <f>IF(LEN(MEMBERS[[#This Row],[StaffMemberCode]])&lt;100,0,1)</f>
        <v>0</v>
      </c>
      <c r="J112" s="57">
        <f>IF(LEN(MEMBERS[[#This Row],[Title]])&lt;100,0,1)</f>
        <v>0</v>
      </c>
      <c r="K112" s="57">
        <f>COUNTBLANK(MEMBERS[[#This Row],[StaffMemberCode]:[ServiceStartDate]])+COUNTBLANK(MEMBERS[[#This Row],[Apprenticeship]]:MEMBERS[[#This Row],[StaffMemberEnabled]])+COUNTBLANK(MEMBERS[[#This Row],[GenderCode]]:MEMBERS[[#This Row],[Casual]])</f>
        <v>0</v>
      </c>
      <c r="L112" s="57">
        <f>IF(SUBSTITUTE(TEXT(MEMBERS[[#This Row],[StaffMemberCode]],10)," ","")=TEXT(MEMBERS[[#This Row],[StaffMemberCode]],10),0,1)</f>
        <v>0</v>
      </c>
      <c r="M112" s="57">
        <f ca="1">SUM(MEMBERS[[#This Row],[Duplicate NameService Start]:[Space in Code]])</f>
        <v>0</v>
      </c>
      <c r="O112" s="15">
        <v>91073588</v>
      </c>
      <c r="P112" s="15" t="s">
        <v>3213</v>
      </c>
      <c r="Q112" s="15" t="s">
        <v>3531</v>
      </c>
      <c r="R112" s="133" t="str">
        <f>MEMBERS[[#This Row],[FirstName]]&amp;" "&amp;MEMBERS[[#This Row],[LastName]]</f>
        <v>Charlotte Lean</v>
      </c>
      <c r="S112" s="21">
        <v>38816</v>
      </c>
      <c r="U112" s="21">
        <v>30487</v>
      </c>
      <c r="V112" t="b">
        <v>0</v>
      </c>
      <c r="W112" t="b">
        <v>0</v>
      </c>
      <c r="X112" t="b">
        <v>0</v>
      </c>
      <c r="Y112" t="s">
        <v>2094</v>
      </c>
      <c r="Z112" t="b">
        <v>1</v>
      </c>
      <c r="AB112" t="s">
        <v>1571</v>
      </c>
      <c r="AC112" t="b">
        <v>0</v>
      </c>
    </row>
    <row r="113" spans="1:29" x14ac:dyDescent="0.3">
      <c r="A113" s="57" t="str">
        <f>MEMBERS[[#This Row],[Title]]&amp;MEMBERS[[#This Row],[ServiceStartDate]]</f>
        <v>Charlotte Neilson39083</v>
      </c>
      <c r="B113" s="57">
        <f>IF(COUNTIF(MEMBERS[NameServiceStart],MEMBERS[[#This Row],[NameServiceStart]])=1,0,1)</f>
        <v>0</v>
      </c>
      <c r="C113" s="57">
        <f>IF(COUNTIF(MEMBERS[StaffMemberCode],MEMBERS[[#This Row],[StaffMemberCode]])=1,0,1)</f>
        <v>0</v>
      </c>
      <c r="D113" s="57">
        <f>IF(ISBLANK(MEMBERS[[#This Row],[PayrollLocation]]),0,IF(COUNTIF(SCHOOLS[SchoolCode],MEMBERS[[#This Row],[PayrollLocation]])=1,0,1))</f>
        <v>0</v>
      </c>
      <c r="E113" s="57">
        <f>IF(MEMBERS[[#This Row],[AvailableToAllSchools]]=FALSE,IF(ISBLANK(MEMBERS[[#This Row],[SchoolCodes]]),1,0),IF(MEMBERS[[#This Row],[AvailableToAllSchools]]=TRUE,IF(ISBLANK(MEMBERS[[#This Row],[SchoolCodes]]),0,1)))</f>
        <v>0</v>
      </c>
      <c r="F113" s="57">
        <f>IF(ISBLANK(MEMBERS[[#This Row],[ServiceEndDate]]),0,IF(MEMBERS[[#This Row],[ServiceStartDate]]&lt;MEMBERS[[#This Row],[ServiceEndDate]],0,1))</f>
        <v>0</v>
      </c>
      <c r="G113" s="57" cm="1">
        <f t="array" aca="1" ref="G113" ca="1">IF(CELL("format",MEMBERS[[#This Row],[ServiceStartDate]])="D1",0,1)+IF(CELL("format",MEMBERS[[#This Row],[ServiceEndDate]])="D1",0,1)</f>
        <v>0</v>
      </c>
      <c r="H11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13" s="57">
        <f>IF(LEN(MEMBERS[[#This Row],[StaffMemberCode]])&lt;100,0,1)</f>
        <v>0</v>
      </c>
      <c r="J113" s="57">
        <f>IF(LEN(MEMBERS[[#This Row],[Title]])&lt;100,0,1)</f>
        <v>0</v>
      </c>
      <c r="K113" s="57">
        <f>COUNTBLANK(MEMBERS[[#This Row],[StaffMemberCode]:[ServiceStartDate]])+COUNTBLANK(MEMBERS[[#This Row],[Apprenticeship]]:MEMBERS[[#This Row],[StaffMemberEnabled]])+COUNTBLANK(MEMBERS[[#This Row],[GenderCode]]:MEMBERS[[#This Row],[Casual]])</f>
        <v>0</v>
      </c>
      <c r="L113" s="57">
        <f>IF(SUBSTITUTE(TEXT(MEMBERS[[#This Row],[StaffMemberCode]],10)," ","")=TEXT(MEMBERS[[#This Row],[StaffMemberCode]],10),0,1)</f>
        <v>0</v>
      </c>
      <c r="M113" s="57">
        <f ca="1">SUM(MEMBERS[[#This Row],[Duplicate NameService Start]:[Space in Code]])</f>
        <v>0</v>
      </c>
      <c r="O113" s="15">
        <v>91073451</v>
      </c>
      <c r="P113" s="15" t="s">
        <v>3213</v>
      </c>
      <c r="Q113" s="15" t="s">
        <v>3532</v>
      </c>
      <c r="R113" s="133" t="str">
        <f>MEMBERS[[#This Row],[FirstName]]&amp;" "&amp;MEMBERS[[#This Row],[LastName]]</f>
        <v>Charlotte Neilson</v>
      </c>
      <c r="S113" s="21">
        <v>39083</v>
      </c>
      <c r="U113" s="21">
        <v>28864</v>
      </c>
      <c r="V113" t="b">
        <v>0</v>
      </c>
      <c r="W113" t="b">
        <v>0</v>
      </c>
      <c r="X113" t="b">
        <v>0</v>
      </c>
      <c r="Y113" t="s">
        <v>2094</v>
      </c>
      <c r="Z113" t="b">
        <v>1</v>
      </c>
      <c r="AB113" t="s">
        <v>1571</v>
      </c>
      <c r="AC113" t="b">
        <v>0</v>
      </c>
    </row>
    <row r="114" spans="1:29" x14ac:dyDescent="0.3">
      <c r="A114" s="57" t="str">
        <f>MEMBERS[[#This Row],[Title]]&amp;MEMBERS[[#This Row],[ServiceStartDate]]</f>
        <v>Charlotte Smallwood44354</v>
      </c>
      <c r="B114" s="57">
        <f>IF(COUNTIF(MEMBERS[NameServiceStart],MEMBERS[[#This Row],[NameServiceStart]])=1,0,1)</f>
        <v>0</v>
      </c>
      <c r="C114" s="57">
        <f>IF(COUNTIF(MEMBERS[StaffMemberCode],MEMBERS[[#This Row],[StaffMemberCode]])=1,0,1)</f>
        <v>0</v>
      </c>
      <c r="D114" s="57">
        <f>IF(ISBLANK(MEMBERS[[#This Row],[PayrollLocation]]),0,IF(COUNTIF(SCHOOLS[SchoolCode],MEMBERS[[#This Row],[PayrollLocation]])=1,0,1))</f>
        <v>0</v>
      </c>
      <c r="E114" s="57">
        <f>IF(MEMBERS[[#This Row],[AvailableToAllSchools]]=FALSE,IF(ISBLANK(MEMBERS[[#This Row],[SchoolCodes]]),1,0),IF(MEMBERS[[#This Row],[AvailableToAllSchools]]=TRUE,IF(ISBLANK(MEMBERS[[#This Row],[SchoolCodes]]),0,1)))</f>
        <v>0</v>
      </c>
      <c r="F114" s="57">
        <f>IF(ISBLANK(MEMBERS[[#This Row],[ServiceEndDate]]),0,IF(MEMBERS[[#This Row],[ServiceStartDate]]&lt;MEMBERS[[#This Row],[ServiceEndDate]],0,1))</f>
        <v>0</v>
      </c>
      <c r="G114" s="57" cm="1">
        <f t="array" aca="1" ref="G114" ca="1">IF(CELL("format",MEMBERS[[#This Row],[ServiceStartDate]])="D1",0,1)+IF(CELL("format",MEMBERS[[#This Row],[ServiceEndDate]])="D1",0,1)</f>
        <v>0</v>
      </c>
      <c r="H11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14" s="57">
        <f>IF(LEN(MEMBERS[[#This Row],[StaffMemberCode]])&lt;100,0,1)</f>
        <v>0</v>
      </c>
      <c r="J114" s="57">
        <f>IF(LEN(MEMBERS[[#This Row],[Title]])&lt;100,0,1)</f>
        <v>0</v>
      </c>
      <c r="K114" s="57">
        <f>COUNTBLANK(MEMBERS[[#This Row],[StaffMemberCode]:[ServiceStartDate]])+COUNTBLANK(MEMBERS[[#This Row],[Apprenticeship]]:MEMBERS[[#This Row],[StaffMemberEnabled]])+COUNTBLANK(MEMBERS[[#This Row],[GenderCode]]:MEMBERS[[#This Row],[Casual]])</f>
        <v>0</v>
      </c>
      <c r="L114" s="57">
        <f>IF(SUBSTITUTE(TEXT(MEMBERS[[#This Row],[StaffMemberCode]],10)," ","")=TEXT(MEMBERS[[#This Row],[StaffMemberCode]],10),0,1)</f>
        <v>0</v>
      </c>
      <c r="M114" s="57">
        <f ca="1">SUM(MEMBERS[[#This Row],[Duplicate NameService Start]:[Space in Code]])</f>
        <v>0</v>
      </c>
      <c r="O114" s="15">
        <v>10015577</v>
      </c>
      <c r="P114" s="15" t="s">
        <v>3213</v>
      </c>
      <c r="Q114" s="15" t="s">
        <v>4042</v>
      </c>
      <c r="R114" s="133" t="str">
        <f>MEMBERS[[#This Row],[FirstName]]&amp;" "&amp;MEMBERS[[#This Row],[LastName]]</f>
        <v>Charlotte Smallwood</v>
      </c>
      <c r="S114" s="21">
        <v>44354</v>
      </c>
      <c r="U114" s="21">
        <v>33401</v>
      </c>
      <c r="V114" s="138" t="b">
        <v>0</v>
      </c>
      <c r="W114" t="b">
        <v>0</v>
      </c>
      <c r="X114" t="b">
        <v>0</v>
      </c>
      <c r="Y114" t="s">
        <v>2126</v>
      </c>
      <c r="Z114" t="b">
        <v>1</v>
      </c>
      <c r="AB114" t="s">
        <v>1571</v>
      </c>
      <c r="AC114" t="b">
        <v>0</v>
      </c>
    </row>
    <row r="115" spans="1:29" x14ac:dyDescent="0.3">
      <c r="A115" s="57" t="str">
        <f>MEMBERS[[#This Row],[Title]]&amp;MEMBERS[[#This Row],[ServiceStartDate]]</f>
        <v>Cheryl Ann Kay45566</v>
      </c>
      <c r="B115" s="57">
        <f>IF(COUNTIF(MEMBERS[NameServiceStart],MEMBERS[[#This Row],[NameServiceStart]])=1,0,1)</f>
        <v>0</v>
      </c>
      <c r="C115" s="57">
        <f>IF(COUNTIF(MEMBERS[StaffMemberCode],MEMBERS[[#This Row],[StaffMemberCode]])=1,0,1)</f>
        <v>0</v>
      </c>
      <c r="D115" s="57">
        <f>IF(ISBLANK(MEMBERS[[#This Row],[PayrollLocation]]),0,IF(COUNTIF(SCHOOLS[SchoolCode],MEMBERS[[#This Row],[PayrollLocation]])=1,0,1))</f>
        <v>0</v>
      </c>
      <c r="E115" s="57">
        <f>IF(MEMBERS[[#This Row],[AvailableToAllSchools]]=FALSE,IF(ISBLANK(MEMBERS[[#This Row],[SchoolCodes]]),1,0),IF(MEMBERS[[#This Row],[AvailableToAllSchools]]=TRUE,IF(ISBLANK(MEMBERS[[#This Row],[SchoolCodes]]),0,1)))</f>
        <v>0</v>
      </c>
      <c r="F115" s="57">
        <f>IF(ISBLANK(MEMBERS[[#This Row],[ServiceEndDate]]),0,IF(MEMBERS[[#This Row],[ServiceStartDate]]&lt;MEMBERS[[#This Row],[ServiceEndDate]],0,1))</f>
        <v>0</v>
      </c>
      <c r="G115" s="57" cm="1">
        <f t="array" aca="1" ref="G115" ca="1">IF(CELL("format",MEMBERS[[#This Row],[ServiceStartDate]])="D1",0,1)+IF(CELL("format",MEMBERS[[#This Row],[ServiceEndDate]])="D1",0,1)</f>
        <v>0</v>
      </c>
      <c r="H11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15" s="57">
        <f>IF(LEN(MEMBERS[[#This Row],[StaffMemberCode]])&lt;100,0,1)</f>
        <v>0</v>
      </c>
      <c r="J115" s="57">
        <f>IF(LEN(MEMBERS[[#This Row],[Title]])&lt;100,0,1)</f>
        <v>0</v>
      </c>
      <c r="K115" s="57">
        <f>COUNTBLANK(MEMBERS[[#This Row],[StaffMemberCode]:[ServiceStartDate]])+COUNTBLANK(MEMBERS[[#This Row],[Apprenticeship]]:MEMBERS[[#This Row],[StaffMemberEnabled]])+COUNTBLANK(MEMBERS[[#This Row],[GenderCode]]:MEMBERS[[#This Row],[Casual]])</f>
        <v>0</v>
      </c>
      <c r="L115" s="57">
        <f>IF(SUBSTITUTE(TEXT(MEMBERS[[#This Row],[StaffMemberCode]],10)," ","")=TEXT(MEMBERS[[#This Row],[StaffMemberCode]],10),0,1)</f>
        <v>0</v>
      </c>
      <c r="M115" s="57">
        <f ca="1">SUM(MEMBERS[[#This Row],[Duplicate NameService Start]:[Space in Code]])</f>
        <v>0</v>
      </c>
      <c r="O115" s="15">
        <v>91328014</v>
      </c>
      <c r="P115" s="15" t="s">
        <v>3214</v>
      </c>
      <c r="Q115" s="15" t="s">
        <v>3533</v>
      </c>
      <c r="R115" s="133" t="str">
        <f>MEMBERS[[#This Row],[FirstName]]&amp;" "&amp;MEMBERS[[#This Row],[LastName]]</f>
        <v>Cheryl Ann Kay</v>
      </c>
      <c r="S115" s="21">
        <v>45566</v>
      </c>
      <c r="U115" s="21">
        <v>29593</v>
      </c>
      <c r="V115" t="b">
        <v>0</v>
      </c>
      <c r="W115" t="b">
        <v>0</v>
      </c>
      <c r="X115" t="b">
        <v>0</v>
      </c>
      <c r="Y115" t="s">
        <v>2299</v>
      </c>
      <c r="Z115" t="b">
        <v>1</v>
      </c>
      <c r="AB115" t="s">
        <v>1571</v>
      </c>
      <c r="AC115" t="b">
        <v>0</v>
      </c>
    </row>
    <row r="116" spans="1:29" x14ac:dyDescent="0.3">
      <c r="A116" s="57" t="str">
        <f>MEMBERS[[#This Row],[Title]]&amp;MEMBERS[[#This Row],[ServiceStartDate]]</f>
        <v>Chi Ming Choi45664</v>
      </c>
      <c r="B116" s="57">
        <f>IF(COUNTIF(MEMBERS[NameServiceStart],MEMBERS[[#This Row],[NameServiceStart]])=1,0,1)</f>
        <v>0</v>
      </c>
      <c r="C116" s="57">
        <f>IF(COUNTIF(MEMBERS[StaffMemberCode],MEMBERS[[#This Row],[StaffMemberCode]])=1,0,1)</f>
        <v>0</v>
      </c>
      <c r="D116" s="57">
        <f>IF(ISBLANK(MEMBERS[[#This Row],[PayrollLocation]]),0,IF(COUNTIF(SCHOOLS[SchoolCode],MEMBERS[[#This Row],[PayrollLocation]])=1,0,1))</f>
        <v>0</v>
      </c>
      <c r="E116" s="57">
        <f>IF(MEMBERS[[#This Row],[AvailableToAllSchools]]=FALSE,IF(ISBLANK(MEMBERS[[#This Row],[SchoolCodes]]),1,0),IF(MEMBERS[[#This Row],[AvailableToAllSchools]]=TRUE,IF(ISBLANK(MEMBERS[[#This Row],[SchoolCodes]]),0,1)))</f>
        <v>0</v>
      </c>
      <c r="F116" s="57">
        <f>IF(ISBLANK(MEMBERS[[#This Row],[ServiceEndDate]]),0,IF(MEMBERS[[#This Row],[ServiceStartDate]]&lt;MEMBERS[[#This Row],[ServiceEndDate]],0,1))</f>
        <v>0</v>
      </c>
      <c r="G116" s="57" cm="1">
        <f t="array" aca="1" ref="G116" ca="1">IF(CELL("format",MEMBERS[[#This Row],[ServiceStartDate]])="D1",0,1)+IF(CELL("format",MEMBERS[[#This Row],[ServiceEndDate]])="D1",0,1)</f>
        <v>0</v>
      </c>
      <c r="H11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16" s="57">
        <f>IF(LEN(MEMBERS[[#This Row],[StaffMemberCode]])&lt;100,0,1)</f>
        <v>0</v>
      </c>
      <c r="J116" s="57">
        <f>IF(LEN(MEMBERS[[#This Row],[Title]])&lt;100,0,1)</f>
        <v>0</v>
      </c>
      <c r="K116" s="57">
        <f>COUNTBLANK(MEMBERS[[#This Row],[StaffMemberCode]:[ServiceStartDate]])+COUNTBLANK(MEMBERS[[#This Row],[Apprenticeship]]:MEMBERS[[#This Row],[StaffMemberEnabled]])+COUNTBLANK(MEMBERS[[#This Row],[GenderCode]]:MEMBERS[[#This Row],[Casual]])</f>
        <v>0</v>
      </c>
      <c r="L116" s="57">
        <f>IF(SUBSTITUTE(TEXT(MEMBERS[[#This Row],[StaffMemberCode]],10)," ","")=TEXT(MEMBERS[[#This Row],[StaffMemberCode]],10),0,1)</f>
        <v>0</v>
      </c>
      <c r="M116" s="57">
        <f ca="1">SUM(MEMBERS[[#This Row],[Duplicate NameService Start]:[Space in Code]])</f>
        <v>0</v>
      </c>
      <c r="O116" s="15">
        <v>91330410</v>
      </c>
      <c r="P116" s="15" t="s">
        <v>3215</v>
      </c>
      <c r="Q116" s="15" t="s">
        <v>3534</v>
      </c>
      <c r="R116" s="133" t="str">
        <f>MEMBERS[[#This Row],[FirstName]]&amp;" "&amp;MEMBERS[[#This Row],[LastName]]</f>
        <v>Chi Ming Choi</v>
      </c>
      <c r="S116" s="21">
        <v>45664</v>
      </c>
      <c r="U116" s="21">
        <v>27825</v>
      </c>
      <c r="V116" t="b">
        <v>0</v>
      </c>
      <c r="W116" t="b">
        <v>0</v>
      </c>
      <c r="X116" t="b">
        <v>0</v>
      </c>
      <c r="Y116" t="s">
        <v>2082</v>
      </c>
      <c r="Z116" t="b">
        <v>1</v>
      </c>
      <c r="AB116" t="s">
        <v>1572</v>
      </c>
      <c r="AC116" t="b">
        <v>0</v>
      </c>
    </row>
    <row r="117" spans="1:29" x14ac:dyDescent="0.3">
      <c r="A117" s="57" t="str">
        <f>MEMBERS[[#This Row],[Title]]&amp;MEMBERS[[#This Row],[ServiceStartDate]]</f>
        <v>Chloe Fitton44927</v>
      </c>
      <c r="B117" s="57">
        <f>IF(COUNTIF(MEMBERS[NameServiceStart],MEMBERS[[#This Row],[NameServiceStart]])=1,0,1)</f>
        <v>0</v>
      </c>
      <c r="C117" s="57">
        <f>IF(COUNTIF(MEMBERS[StaffMemberCode],MEMBERS[[#This Row],[StaffMemberCode]])=1,0,1)</f>
        <v>0</v>
      </c>
      <c r="D117" s="57">
        <f>IF(ISBLANK(MEMBERS[[#This Row],[PayrollLocation]]),0,IF(COUNTIF(SCHOOLS[SchoolCode],MEMBERS[[#This Row],[PayrollLocation]])=1,0,1))</f>
        <v>0</v>
      </c>
      <c r="E117" s="57">
        <f>IF(MEMBERS[[#This Row],[AvailableToAllSchools]]=FALSE,IF(ISBLANK(MEMBERS[[#This Row],[SchoolCodes]]),1,0),IF(MEMBERS[[#This Row],[AvailableToAllSchools]]=TRUE,IF(ISBLANK(MEMBERS[[#This Row],[SchoolCodes]]),0,1)))</f>
        <v>0</v>
      </c>
      <c r="F117" s="57">
        <f>IF(ISBLANK(MEMBERS[[#This Row],[ServiceEndDate]]),0,IF(MEMBERS[[#This Row],[ServiceStartDate]]&lt;MEMBERS[[#This Row],[ServiceEndDate]],0,1))</f>
        <v>0</v>
      </c>
      <c r="G117" s="57" cm="1">
        <f t="array" aca="1" ref="G117" ca="1">IF(CELL("format",MEMBERS[[#This Row],[ServiceStartDate]])="D1",0,1)+IF(CELL("format",MEMBERS[[#This Row],[ServiceEndDate]])="D1",0,1)</f>
        <v>0</v>
      </c>
      <c r="H11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17" s="57">
        <f>IF(LEN(MEMBERS[[#This Row],[StaffMemberCode]])&lt;100,0,1)</f>
        <v>0</v>
      </c>
      <c r="J117" s="57">
        <f>IF(LEN(MEMBERS[[#This Row],[Title]])&lt;100,0,1)</f>
        <v>0</v>
      </c>
      <c r="K117" s="57">
        <f>COUNTBLANK(MEMBERS[[#This Row],[StaffMemberCode]:[ServiceStartDate]])+COUNTBLANK(MEMBERS[[#This Row],[Apprenticeship]]:MEMBERS[[#This Row],[StaffMemberEnabled]])+COUNTBLANK(MEMBERS[[#This Row],[GenderCode]]:MEMBERS[[#This Row],[Casual]])</f>
        <v>0</v>
      </c>
      <c r="L117" s="57">
        <f>IF(SUBSTITUTE(TEXT(MEMBERS[[#This Row],[StaffMemberCode]],10)," ","")=TEXT(MEMBERS[[#This Row],[StaffMemberCode]],10),0,1)</f>
        <v>0</v>
      </c>
      <c r="M117" s="57">
        <f ca="1">SUM(MEMBERS[[#This Row],[Duplicate NameService Start]:[Space in Code]])</f>
        <v>0</v>
      </c>
      <c r="O117" s="15">
        <v>91075772</v>
      </c>
      <c r="P117" s="15" t="s">
        <v>3216</v>
      </c>
      <c r="Q117" s="15" t="s">
        <v>3535</v>
      </c>
      <c r="R117" s="133" t="str">
        <f>MEMBERS[[#This Row],[FirstName]]&amp;" "&amp;MEMBERS[[#This Row],[LastName]]</f>
        <v>Chloe Fitton</v>
      </c>
      <c r="S117" s="21">
        <v>44927</v>
      </c>
      <c r="U117" s="21">
        <v>37319</v>
      </c>
      <c r="V117" t="b">
        <v>0</v>
      </c>
      <c r="W117" t="b">
        <v>0</v>
      </c>
      <c r="X117" t="b">
        <v>0</v>
      </c>
      <c r="Y117" t="s">
        <v>2200</v>
      </c>
      <c r="Z117" t="b">
        <v>1</v>
      </c>
      <c r="AB117" t="s">
        <v>1571</v>
      </c>
      <c r="AC117" t="b">
        <v>0</v>
      </c>
    </row>
    <row r="118" spans="1:29" x14ac:dyDescent="0.3">
      <c r="A118" s="57" t="str">
        <f>MEMBERS[[#This Row],[Title]]&amp;MEMBERS[[#This Row],[ServiceStartDate]]</f>
        <v>Christian Marper44323</v>
      </c>
      <c r="B118" s="57">
        <f>IF(COUNTIF(MEMBERS[NameServiceStart],MEMBERS[[#This Row],[NameServiceStart]])=1,0,1)</f>
        <v>0</v>
      </c>
      <c r="C118" s="57">
        <f>IF(COUNTIF(MEMBERS[StaffMemberCode],MEMBERS[[#This Row],[StaffMemberCode]])=1,0,1)</f>
        <v>0</v>
      </c>
      <c r="D118" s="57">
        <f>IF(ISBLANK(MEMBERS[[#This Row],[PayrollLocation]]),0,IF(COUNTIF(SCHOOLS[SchoolCode],MEMBERS[[#This Row],[PayrollLocation]])=1,0,1))</f>
        <v>0</v>
      </c>
      <c r="E118" s="57">
        <f>IF(MEMBERS[[#This Row],[AvailableToAllSchools]]=FALSE,IF(ISBLANK(MEMBERS[[#This Row],[SchoolCodes]]),1,0),IF(MEMBERS[[#This Row],[AvailableToAllSchools]]=TRUE,IF(ISBLANK(MEMBERS[[#This Row],[SchoolCodes]]),0,1)))</f>
        <v>0</v>
      </c>
      <c r="F118" s="57">
        <f>IF(ISBLANK(MEMBERS[[#This Row],[ServiceEndDate]]),0,IF(MEMBERS[[#This Row],[ServiceStartDate]]&lt;MEMBERS[[#This Row],[ServiceEndDate]],0,1))</f>
        <v>0</v>
      </c>
      <c r="G118" s="57" cm="1">
        <f t="array" aca="1" ref="G118" ca="1">IF(CELL("format",MEMBERS[[#This Row],[ServiceStartDate]])="D1",0,1)+IF(CELL("format",MEMBERS[[#This Row],[ServiceEndDate]])="D1",0,1)</f>
        <v>0</v>
      </c>
      <c r="H11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18" s="57">
        <f>IF(LEN(MEMBERS[[#This Row],[StaffMemberCode]])&lt;100,0,1)</f>
        <v>0</v>
      </c>
      <c r="J118" s="57">
        <f>IF(LEN(MEMBERS[[#This Row],[Title]])&lt;100,0,1)</f>
        <v>0</v>
      </c>
      <c r="K118" s="57">
        <f>COUNTBLANK(MEMBERS[[#This Row],[StaffMemberCode]:[ServiceStartDate]])+COUNTBLANK(MEMBERS[[#This Row],[Apprenticeship]]:MEMBERS[[#This Row],[StaffMemberEnabled]])+COUNTBLANK(MEMBERS[[#This Row],[GenderCode]]:MEMBERS[[#This Row],[Casual]])</f>
        <v>0</v>
      </c>
      <c r="L118" s="57">
        <f>IF(SUBSTITUTE(TEXT(MEMBERS[[#This Row],[StaffMemberCode]],10)," ","")=TEXT(MEMBERS[[#This Row],[StaffMemberCode]],10),0,1)</f>
        <v>0</v>
      </c>
      <c r="M118" s="57">
        <f ca="1">SUM(MEMBERS[[#This Row],[Duplicate NameService Start]:[Space in Code]])</f>
        <v>0</v>
      </c>
      <c r="O118" s="15">
        <v>91073782</v>
      </c>
      <c r="P118" s="15" t="s">
        <v>3217</v>
      </c>
      <c r="Q118" s="15" t="s">
        <v>3536</v>
      </c>
      <c r="R118" s="133" t="str">
        <f>MEMBERS[[#This Row],[FirstName]]&amp;" "&amp;MEMBERS[[#This Row],[LastName]]</f>
        <v>Christian Marper</v>
      </c>
      <c r="S118" s="21">
        <v>44323</v>
      </c>
      <c r="U118" s="21">
        <v>25685</v>
      </c>
      <c r="V118" t="b">
        <v>0</v>
      </c>
      <c r="W118" t="b">
        <v>0</v>
      </c>
      <c r="X118" t="b">
        <v>0</v>
      </c>
      <c r="Y118" t="s">
        <v>2082</v>
      </c>
      <c r="Z118" t="b">
        <v>1</v>
      </c>
      <c r="AB118" t="s">
        <v>1572</v>
      </c>
      <c r="AC118" t="b">
        <v>0</v>
      </c>
    </row>
    <row r="119" spans="1:29" x14ac:dyDescent="0.3">
      <c r="A119" s="57" t="str">
        <f>MEMBERS[[#This Row],[Title]]&amp;MEMBERS[[#This Row],[ServiceStartDate]]</f>
        <v>Christina Barrow45663</v>
      </c>
      <c r="B119" s="57">
        <f>IF(COUNTIF(MEMBERS[NameServiceStart],MEMBERS[[#This Row],[NameServiceStart]])=1,0,1)</f>
        <v>0</v>
      </c>
      <c r="C119" s="57">
        <f>IF(COUNTIF(MEMBERS[StaffMemberCode],MEMBERS[[#This Row],[StaffMemberCode]])=1,0,1)</f>
        <v>0</v>
      </c>
      <c r="D119" s="57">
        <f>IF(ISBLANK(MEMBERS[[#This Row],[PayrollLocation]]),0,IF(COUNTIF(SCHOOLS[SchoolCode],MEMBERS[[#This Row],[PayrollLocation]])=1,0,1))</f>
        <v>0</v>
      </c>
      <c r="E119" s="57">
        <f>IF(MEMBERS[[#This Row],[AvailableToAllSchools]]=FALSE,IF(ISBLANK(MEMBERS[[#This Row],[SchoolCodes]]),1,0),IF(MEMBERS[[#This Row],[AvailableToAllSchools]]=TRUE,IF(ISBLANK(MEMBERS[[#This Row],[SchoolCodes]]),0,1)))</f>
        <v>0</v>
      </c>
      <c r="F119" s="57">
        <f>IF(ISBLANK(MEMBERS[[#This Row],[ServiceEndDate]]),0,IF(MEMBERS[[#This Row],[ServiceStartDate]]&lt;MEMBERS[[#This Row],[ServiceEndDate]],0,1))</f>
        <v>0</v>
      </c>
      <c r="G119" s="57" cm="1">
        <f t="array" aca="1" ref="G119" ca="1">IF(CELL("format",MEMBERS[[#This Row],[ServiceStartDate]])="D1",0,1)+IF(CELL("format",MEMBERS[[#This Row],[ServiceEndDate]])="D1",0,1)</f>
        <v>0</v>
      </c>
      <c r="H11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19" s="57">
        <f>IF(LEN(MEMBERS[[#This Row],[StaffMemberCode]])&lt;100,0,1)</f>
        <v>0</v>
      </c>
      <c r="J119" s="57">
        <f>IF(LEN(MEMBERS[[#This Row],[Title]])&lt;100,0,1)</f>
        <v>0</v>
      </c>
      <c r="K119" s="57">
        <f>COUNTBLANK(MEMBERS[[#This Row],[StaffMemberCode]:[ServiceStartDate]])+COUNTBLANK(MEMBERS[[#This Row],[Apprenticeship]]:MEMBERS[[#This Row],[StaffMemberEnabled]])+COUNTBLANK(MEMBERS[[#This Row],[GenderCode]]:MEMBERS[[#This Row],[Casual]])</f>
        <v>0</v>
      </c>
      <c r="L119" s="57">
        <f>IF(SUBSTITUTE(TEXT(MEMBERS[[#This Row],[StaffMemberCode]],10)," ","")=TEXT(MEMBERS[[#This Row],[StaffMemberCode]],10),0,1)</f>
        <v>0</v>
      </c>
      <c r="M119" s="57">
        <f ca="1">SUM(MEMBERS[[#This Row],[Duplicate NameService Start]:[Space in Code]])</f>
        <v>0</v>
      </c>
      <c r="O119" s="15">
        <v>91330327</v>
      </c>
      <c r="P119" s="15" t="s">
        <v>3218</v>
      </c>
      <c r="Q119" s="15" t="s">
        <v>3537</v>
      </c>
      <c r="R119" s="133" t="str">
        <f>MEMBERS[[#This Row],[FirstName]]&amp;" "&amp;MEMBERS[[#This Row],[LastName]]</f>
        <v>Christina Barrow</v>
      </c>
      <c r="S119" s="21">
        <v>45663</v>
      </c>
      <c r="U119" s="21">
        <v>32843</v>
      </c>
      <c r="V119" t="b">
        <v>0</v>
      </c>
      <c r="W119" t="b">
        <v>0</v>
      </c>
      <c r="X119" t="b">
        <v>0</v>
      </c>
      <c r="Y119" t="s">
        <v>2299</v>
      </c>
      <c r="Z119" t="b">
        <v>1</v>
      </c>
      <c r="AB119" t="s">
        <v>1571</v>
      </c>
      <c r="AC119" t="b">
        <v>0</v>
      </c>
    </row>
    <row r="120" spans="1:29" x14ac:dyDescent="0.3">
      <c r="A120" s="57" t="str">
        <f>MEMBERS[[#This Row],[Title]]&amp;MEMBERS[[#This Row],[ServiceStartDate]]</f>
        <v>Christine Dennel44570</v>
      </c>
      <c r="B120" s="57">
        <f>IF(COUNTIF(MEMBERS[NameServiceStart],MEMBERS[[#This Row],[NameServiceStart]])=1,0,1)</f>
        <v>0</v>
      </c>
      <c r="C120" s="57">
        <f>IF(COUNTIF(MEMBERS[StaffMemberCode],MEMBERS[[#This Row],[StaffMemberCode]])=1,0,1)</f>
        <v>0</v>
      </c>
      <c r="D120" s="57">
        <f>IF(ISBLANK(MEMBERS[[#This Row],[PayrollLocation]]),0,IF(COUNTIF(SCHOOLS[SchoolCode],MEMBERS[[#This Row],[PayrollLocation]])=1,0,1))</f>
        <v>0</v>
      </c>
      <c r="E120" s="57">
        <f>IF(MEMBERS[[#This Row],[AvailableToAllSchools]]=FALSE,IF(ISBLANK(MEMBERS[[#This Row],[SchoolCodes]]),1,0),IF(MEMBERS[[#This Row],[AvailableToAllSchools]]=TRUE,IF(ISBLANK(MEMBERS[[#This Row],[SchoolCodes]]),0,1)))</f>
        <v>0</v>
      </c>
      <c r="F120" s="57">
        <f>IF(ISBLANK(MEMBERS[[#This Row],[ServiceEndDate]]),0,IF(MEMBERS[[#This Row],[ServiceStartDate]]&lt;MEMBERS[[#This Row],[ServiceEndDate]],0,1))</f>
        <v>0</v>
      </c>
      <c r="G120" s="57" cm="1">
        <f t="array" aca="1" ref="G120" ca="1">IF(CELL("format",MEMBERS[[#This Row],[ServiceStartDate]])="D1",0,1)+IF(CELL("format",MEMBERS[[#This Row],[ServiceEndDate]])="D1",0,1)</f>
        <v>0</v>
      </c>
      <c r="H12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20" s="57">
        <f>IF(LEN(MEMBERS[[#This Row],[StaffMemberCode]])&lt;100,0,1)</f>
        <v>0</v>
      </c>
      <c r="J120" s="57">
        <f>IF(LEN(MEMBERS[[#This Row],[Title]])&lt;100,0,1)</f>
        <v>0</v>
      </c>
      <c r="K120" s="57">
        <f>COUNTBLANK(MEMBERS[[#This Row],[StaffMemberCode]:[ServiceStartDate]])+COUNTBLANK(MEMBERS[[#This Row],[Apprenticeship]]:MEMBERS[[#This Row],[StaffMemberEnabled]])+COUNTBLANK(MEMBERS[[#This Row],[GenderCode]]:MEMBERS[[#This Row],[Casual]])</f>
        <v>0</v>
      </c>
      <c r="L120" s="57">
        <f>IF(SUBSTITUTE(TEXT(MEMBERS[[#This Row],[StaffMemberCode]],10)," ","")=TEXT(MEMBERS[[#This Row],[StaffMemberCode]],10),0,1)</f>
        <v>0</v>
      </c>
      <c r="M120" s="57">
        <f ca="1">SUM(MEMBERS[[#This Row],[Duplicate NameService Start]:[Space in Code]])</f>
        <v>0</v>
      </c>
      <c r="O120" s="15">
        <v>91073498</v>
      </c>
      <c r="P120" s="15" t="s">
        <v>3219</v>
      </c>
      <c r="Q120" s="15" t="s">
        <v>3538</v>
      </c>
      <c r="R120" s="133" t="str">
        <f>MEMBERS[[#This Row],[FirstName]]&amp;" "&amp;MEMBERS[[#This Row],[LastName]]</f>
        <v>Christine Dennel</v>
      </c>
      <c r="S120" s="21">
        <v>44570</v>
      </c>
      <c r="U120" s="21">
        <v>17906</v>
      </c>
      <c r="V120" t="b">
        <v>0</v>
      </c>
      <c r="W120" t="b">
        <v>0</v>
      </c>
      <c r="X120" t="b">
        <v>0</v>
      </c>
      <c r="Y120" t="s">
        <v>2094</v>
      </c>
      <c r="Z120" t="b">
        <v>1</v>
      </c>
      <c r="AB120" t="s">
        <v>1571</v>
      </c>
      <c r="AC120" t="b">
        <v>1</v>
      </c>
    </row>
    <row r="121" spans="1:29" x14ac:dyDescent="0.3">
      <c r="A121" s="57" t="str">
        <f>MEMBERS[[#This Row],[Title]]&amp;MEMBERS[[#This Row],[ServiceStartDate]]</f>
        <v>Christine Marsh44570</v>
      </c>
      <c r="B121" s="57">
        <f>IF(COUNTIF(MEMBERS[NameServiceStart],MEMBERS[[#This Row],[NameServiceStart]])=1,0,1)</f>
        <v>0</v>
      </c>
      <c r="C121" s="57">
        <f>IF(COUNTIF(MEMBERS[StaffMemberCode],MEMBERS[[#This Row],[StaffMemberCode]])=1,0,1)</f>
        <v>0</v>
      </c>
      <c r="D121" s="57">
        <f>IF(ISBLANK(MEMBERS[[#This Row],[PayrollLocation]]),0,IF(COUNTIF(SCHOOLS[SchoolCode],MEMBERS[[#This Row],[PayrollLocation]])=1,0,1))</f>
        <v>0</v>
      </c>
      <c r="E121" s="57">
        <f>IF(MEMBERS[[#This Row],[AvailableToAllSchools]]=FALSE,IF(ISBLANK(MEMBERS[[#This Row],[SchoolCodes]]),1,0),IF(MEMBERS[[#This Row],[AvailableToAllSchools]]=TRUE,IF(ISBLANK(MEMBERS[[#This Row],[SchoolCodes]]),0,1)))</f>
        <v>0</v>
      </c>
      <c r="F121" s="57">
        <f>IF(ISBLANK(MEMBERS[[#This Row],[ServiceEndDate]]),0,IF(MEMBERS[[#This Row],[ServiceStartDate]]&lt;MEMBERS[[#This Row],[ServiceEndDate]],0,1))</f>
        <v>0</v>
      </c>
      <c r="G121" s="57" cm="1">
        <f t="array" aca="1" ref="G121" ca="1">IF(CELL("format",MEMBERS[[#This Row],[ServiceStartDate]])="D1",0,1)+IF(CELL("format",MEMBERS[[#This Row],[ServiceEndDate]])="D1",0,1)</f>
        <v>0</v>
      </c>
      <c r="H12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21" s="57">
        <f>IF(LEN(MEMBERS[[#This Row],[StaffMemberCode]])&lt;100,0,1)</f>
        <v>0</v>
      </c>
      <c r="J121" s="57">
        <f>IF(LEN(MEMBERS[[#This Row],[Title]])&lt;100,0,1)</f>
        <v>0</v>
      </c>
      <c r="K121" s="57">
        <f>COUNTBLANK(MEMBERS[[#This Row],[StaffMemberCode]:[ServiceStartDate]])+COUNTBLANK(MEMBERS[[#This Row],[Apprenticeship]]:MEMBERS[[#This Row],[StaffMemberEnabled]])+COUNTBLANK(MEMBERS[[#This Row],[GenderCode]]:MEMBERS[[#This Row],[Casual]])</f>
        <v>0</v>
      </c>
      <c r="L121" s="57">
        <f>IF(SUBSTITUTE(TEXT(MEMBERS[[#This Row],[StaffMemberCode]],10)," ","")=TEXT(MEMBERS[[#This Row],[StaffMemberCode]],10),0,1)</f>
        <v>0</v>
      </c>
      <c r="M121" s="57">
        <f ca="1">SUM(MEMBERS[[#This Row],[Duplicate NameService Start]:[Space in Code]])</f>
        <v>0</v>
      </c>
      <c r="O121" s="15">
        <v>91073709</v>
      </c>
      <c r="P121" s="15" t="s">
        <v>3219</v>
      </c>
      <c r="Q121" s="15" t="s">
        <v>3539</v>
      </c>
      <c r="R121" s="133" t="str">
        <f>MEMBERS[[#This Row],[FirstName]]&amp;" "&amp;MEMBERS[[#This Row],[LastName]]</f>
        <v>Christine Marsh</v>
      </c>
      <c r="S121" s="21">
        <v>44570</v>
      </c>
      <c r="U121" s="21">
        <v>19209</v>
      </c>
      <c r="V121" t="b">
        <v>0</v>
      </c>
      <c r="W121" t="b">
        <v>0</v>
      </c>
      <c r="X121" t="b">
        <v>0</v>
      </c>
      <c r="Y121" t="s">
        <v>2082</v>
      </c>
      <c r="Z121" t="b">
        <v>1</v>
      </c>
      <c r="AB121" t="s">
        <v>1571</v>
      </c>
      <c r="AC121" t="b">
        <v>1</v>
      </c>
    </row>
    <row r="122" spans="1:29" x14ac:dyDescent="0.3">
      <c r="A122" s="57" t="str">
        <f>MEMBERS[[#This Row],[Title]]&amp;MEMBERS[[#This Row],[ServiceStartDate]]</f>
        <v>Christine Morrison37265</v>
      </c>
      <c r="B122" s="57">
        <f>IF(COUNTIF(MEMBERS[NameServiceStart],MEMBERS[[#This Row],[NameServiceStart]])=1,0,1)</f>
        <v>0</v>
      </c>
      <c r="C122" s="57">
        <f>IF(COUNTIF(MEMBERS[StaffMemberCode],MEMBERS[[#This Row],[StaffMemberCode]])=1,0,1)</f>
        <v>0</v>
      </c>
      <c r="D122" s="57">
        <f>IF(ISBLANK(MEMBERS[[#This Row],[PayrollLocation]]),0,IF(COUNTIF(SCHOOLS[SchoolCode],MEMBERS[[#This Row],[PayrollLocation]])=1,0,1))</f>
        <v>0</v>
      </c>
      <c r="E122" s="57">
        <f>IF(MEMBERS[[#This Row],[AvailableToAllSchools]]=FALSE,IF(ISBLANK(MEMBERS[[#This Row],[SchoolCodes]]),1,0),IF(MEMBERS[[#This Row],[AvailableToAllSchools]]=TRUE,IF(ISBLANK(MEMBERS[[#This Row],[SchoolCodes]]),0,1)))</f>
        <v>0</v>
      </c>
      <c r="F122" s="57">
        <f>IF(ISBLANK(MEMBERS[[#This Row],[ServiceEndDate]]),0,IF(MEMBERS[[#This Row],[ServiceStartDate]]&lt;MEMBERS[[#This Row],[ServiceEndDate]],0,1))</f>
        <v>0</v>
      </c>
      <c r="G122" s="57" cm="1">
        <f t="array" aca="1" ref="G122" ca="1">IF(CELL("format",MEMBERS[[#This Row],[ServiceStartDate]])="D1",0,1)+IF(CELL("format",MEMBERS[[#This Row],[ServiceEndDate]])="D1",0,1)</f>
        <v>0</v>
      </c>
      <c r="H12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22" s="57">
        <f>IF(LEN(MEMBERS[[#This Row],[StaffMemberCode]])&lt;100,0,1)</f>
        <v>0</v>
      </c>
      <c r="J122" s="57">
        <f>IF(LEN(MEMBERS[[#This Row],[Title]])&lt;100,0,1)</f>
        <v>0</v>
      </c>
      <c r="K122" s="57">
        <f>COUNTBLANK(MEMBERS[[#This Row],[StaffMemberCode]:[ServiceStartDate]])+COUNTBLANK(MEMBERS[[#This Row],[Apprenticeship]]:MEMBERS[[#This Row],[StaffMemberEnabled]])+COUNTBLANK(MEMBERS[[#This Row],[GenderCode]]:MEMBERS[[#This Row],[Casual]])</f>
        <v>0</v>
      </c>
      <c r="L122" s="57">
        <f>IF(SUBSTITUTE(TEXT(MEMBERS[[#This Row],[StaffMemberCode]],10)," ","")=TEXT(MEMBERS[[#This Row],[StaffMemberCode]],10),0,1)</f>
        <v>0</v>
      </c>
      <c r="M122" s="57">
        <f ca="1">SUM(MEMBERS[[#This Row],[Duplicate NameService Start]:[Space in Code]])</f>
        <v>0</v>
      </c>
      <c r="O122" s="15">
        <v>91073842</v>
      </c>
      <c r="P122" s="15" t="s">
        <v>3219</v>
      </c>
      <c r="Q122" s="15" t="s">
        <v>3540</v>
      </c>
      <c r="R122" s="133" t="str">
        <f>MEMBERS[[#This Row],[FirstName]]&amp;" "&amp;MEMBERS[[#This Row],[LastName]]</f>
        <v>Christine Morrison</v>
      </c>
      <c r="S122" s="21">
        <v>37265</v>
      </c>
      <c r="U122" s="21">
        <v>28534</v>
      </c>
      <c r="V122" t="b">
        <v>0</v>
      </c>
      <c r="W122" t="b">
        <v>0</v>
      </c>
      <c r="X122" t="b">
        <v>0</v>
      </c>
      <c r="Y122" t="s">
        <v>2082</v>
      </c>
      <c r="Z122" t="b">
        <v>1</v>
      </c>
      <c r="AB122" t="s">
        <v>1571</v>
      </c>
      <c r="AC122" t="b">
        <v>0</v>
      </c>
    </row>
    <row r="123" spans="1:29" x14ac:dyDescent="0.3">
      <c r="A123" s="57" t="str">
        <f>MEMBERS[[#This Row],[Title]]&amp;MEMBERS[[#This Row],[ServiceStartDate]]</f>
        <v>Christine Smith45901</v>
      </c>
      <c r="B123" s="57">
        <f>IF(COUNTIF(MEMBERS[NameServiceStart],MEMBERS[[#This Row],[NameServiceStart]])=1,0,1)</f>
        <v>0</v>
      </c>
      <c r="C123" s="57">
        <f>IF(COUNTIF(MEMBERS[StaffMemberCode],MEMBERS[[#This Row],[StaffMemberCode]])=1,0,1)</f>
        <v>0</v>
      </c>
      <c r="D123" s="57">
        <f>IF(ISBLANK(MEMBERS[[#This Row],[PayrollLocation]]),0,IF(COUNTIF(SCHOOLS[SchoolCode],MEMBERS[[#This Row],[PayrollLocation]])=1,0,1))</f>
        <v>0</v>
      </c>
      <c r="E123" s="57">
        <f>IF(MEMBERS[[#This Row],[AvailableToAllSchools]]=FALSE,IF(ISBLANK(MEMBERS[[#This Row],[SchoolCodes]]),1,0),IF(MEMBERS[[#This Row],[AvailableToAllSchools]]=TRUE,IF(ISBLANK(MEMBERS[[#This Row],[SchoolCodes]]),0,1)))</f>
        <v>0</v>
      </c>
      <c r="F123" s="57">
        <f>IF(ISBLANK(MEMBERS[[#This Row],[ServiceEndDate]]),0,IF(MEMBERS[[#This Row],[ServiceStartDate]]&lt;MEMBERS[[#This Row],[ServiceEndDate]],0,1))</f>
        <v>0</v>
      </c>
      <c r="G123" s="57" cm="1">
        <f t="array" aca="1" ref="G123" ca="1">IF(CELL("format",MEMBERS[[#This Row],[ServiceStartDate]])="D1",0,1)+IF(CELL("format",MEMBERS[[#This Row],[ServiceEndDate]])="D1",0,1)</f>
        <v>0</v>
      </c>
      <c r="H12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23" s="57">
        <f>IF(LEN(MEMBERS[[#This Row],[StaffMemberCode]])&lt;100,0,1)</f>
        <v>0</v>
      </c>
      <c r="J123" s="57">
        <f>IF(LEN(MEMBERS[[#This Row],[Title]])&lt;100,0,1)</f>
        <v>0</v>
      </c>
      <c r="K123" s="57">
        <f>COUNTBLANK(MEMBERS[[#This Row],[StaffMemberCode]:[ServiceStartDate]])+COUNTBLANK(MEMBERS[[#This Row],[Apprenticeship]]:MEMBERS[[#This Row],[StaffMemberEnabled]])+COUNTBLANK(MEMBERS[[#This Row],[GenderCode]]:MEMBERS[[#This Row],[Casual]])</f>
        <v>0</v>
      </c>
      <c r="L123" s="57">
        <f>IF(SUBSTITUTE(TEXT(MEMBERS[[#This Row],[StaffMemberCode]],10)," ","")=TEXT(MEMBERS[[#This Row],[StaffMemberCode]],10),0,1)</f>
        <v>0</v>
      </c>
      <c r="M123" s="57">
        <f ca="1">SUM(MEMBERS[[#This Row],[Duplicate NameService Start]:[Space in Code]])</f>
        <v>0</v>
      </c>
      <c r="O123" s="15">
        <v>91850061</v>
      </c>
      <c r="P123" s="15" t="s">
        <v>3219</v>
      </c>
      <c r="Q123" s="15" t="s">
        <v>3516</v>
      </c>
      <c r="R123" s="133" t="str">
        <f>MEMBERS[[#This Row],[FirstName]]&amp;" "&amp;MEMBERS[[#This Row],[LastName]]</f>
        <v>Christine Smith</v>
      </c>
      <c r="S123" s="21">
        <v>45901</v>
      </c>
      <c r="U123" s="21">
        <v>23611</v>
      </c>
      <c r="V123" t="b">
        <v>0</v>
      </c>
      <c r="W123" t="b">
        <v>0</v>
      </c>
      <c r="X123" t="b">
        <v>0</v>
      </c>
      <c r="Y123" t="s">
        <v>2094</v>
      </c>
      <c r="Z123" t="b">
        <v>1</v>
      </c>
      <c r="AB123" t="s">
        <v>1571</v>
      </c>
      <c r="AC123" t="b">
        <v>1</v>
      </c>
    </row>
    <row r="124" spans="1:29" x14ac:dyDescent="0.3">
      <c r="A124" s="57" t="str">
        <f>MEMBERS[[#This Row],[Title]]&amp;MEMBERS[[#This Row],[ServiceStartDate]]</f>
        <v>Christine Watts43533</v>
      </c>
      <c r="B124" s="57">
        <f>IF(COUNTIF(MEMBERS[NameServiceStart],MEMBERS[[#This Row],[NameServiceStart]])=1,0,1)</f>
        <v>0</v>
      </c>
      <c r="C124" s="57">
        <f>IF(COUNTIF(MEMBERS[StaffMemberCode],MEMBERS[[#This Row],[StaffMemberCode]])=1,0,1)</f>
        <v>0</v>
      </c>
      <c r="D124" s="57">
        <f>IF(ISBLANK(MEMBERS[[#This Row],[PayrollLocation]]),0,IF(COUNTIF(SCHOOLS[SchoolCode],MEMBERS[[#This Row],[PayrollLocation]])=1,0,1))</f>
        <v>0</v>
      </c>
      <c r="E124" s="57">
        <f>IF(MEMBERS[[#This Row],[AvailableToAllSchools]]=FALSE,IF(ISBLANK(MEMBERS[[#This Row],[SchoolCodes]]),1,0),IF(MEMBERS[[#This Row],[AvailableToAllSchools]]=TRUE,IF(ISBLANK(MEMBERS[[#This Row],[SchoolCodes]]),0,1)))</f>
        <v>0</v>
      </c>
      <c r="F124" s="57">
        <f>IF(ISBLANK(MEMBERS[[#This Row],[ServiceEndDate]]),0,IF(MEMBERS[[#This Row],[ServiceStartDate]]&lt;MEMBERS[[#This Row],[ServiceEndDate]],0,1))</f>
        <v>0</v>
      </c>
      <c r="G124" s="57" cm="1">
        <f t="array" aca="1" ref="G124" ca="1">IF(CELL("format",MEMBERS[[#This Row],[ServiceStartDate]])="D1",0,1)+IF(CELL("format",MEMBERS[[#This Row],[ServiceEndDate]])="D1",0,1)</f>
        <v>0</v>
      </c>
      <c r="H12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24" s="57">
        <f>IF(LEN(MEMBERS[[#This Row],[StaffMemberCode]])&lt;100,0,1)</f>
        <v>0</v>
      </c>
      <c r="J124" s="57">
        <f>IF(LEN(MEMBERS[[#This Row],[Title]])&lt;100,0,1)</f>
        <v>0</v>
      </c>
      <c r="K124" s="57">
        <f>COUNTBLANK(MEMBERS[[#This Row],[StaffMemberCode]:[ServiceStartDate]])+COUNTBLANK(MEMBERS[[#This Row],[Apprenticeship]]:MEMBERS[[#This Row],[StaffMemberEnabled]])+COUNTBLANK(MEMBERS[[#This Row],[GenderCode]]:MEMBERS[[#This Row],[Casual]])</f>
        <v>0</v>
      </c>
      <c r="L124" s="57">
        <f>IF(SUBSTITUTE(TEXT(MEMBERS[[#This Row],[StaffMemberCode]],10)," ","")=TEXT(MEMBERS[[#This Row],[StaffMemberCode]],10),0,1)</f>
        <v>0</v>
      </c>
      <c r="M124" s="57">
        <f ca="1">SUM(MEMBERS[[#This Row],[Duplicate NameService Start]:[Space in Code]])</f>
        <v>0</v>
      </c>
      <c r="O124" s="15">
        <v>91073888</v>
      </c>
      <c r="P124" s="15" t="s">
        <v>3219</v>
      </c>
      <c r="Q124" s="15" t="s">
        <v>3541</v>
      </c>
      <c r="R124" s="133" t="str">
        <f>MEMBERS[[#This Row],[FirstName]]&amp;" "&amp;MEMBERS[[#This Row],[LastName]]</f>
        <v>Christine Watts</v>
      </c>
      <c r="S124" s="21">
        <v>43533</v>
      </c>
      <c r="U124" s="21">
        <v>22128</v>
      </c>
      <c r="V124" t="b">
        <v>0</v>
      </c>
      <c r="W124" t="b">
        <v>0</v>
      </c>
      <c r="X124" t="b">
        <v>0</v>
      </c>
      <c r="Y124" t="s">
        <v>2266</v>
      </c>
      <c r="Z124" t="b">
        <v>1</v>
      </c>
      <c r="AB124" t="s">
        <v>1571</v>
      </c>
      <c r="AC124" t="b">
        <v>0</v>
      </c>
    </row>
    <row r="125" spans="1:29" x14ac:dyDescent="0.3">
      <c r="A125" s="57" t="str">
        <f>MEMBERS[[#This Row],[Title]]&amp;MEMBERS[[#This Row],[ServiceStartDate]]</f>
        <v>Christopher Barker39822</v>
      </c>
      <c r="B125" s="57">
        <f>IF(COUNTIF(MEMBERS[NameServiceStart],MEMBERS[[#This Row],[NameServiceStart]])=1,0,1)</f>
        <v>0</v>
      </c>
      <c r="C125" s="57">
        <f>IF(COUNTIF(MEMBERS[StaffMemberCode],MEMBERS[[#This Row],[StaffMemberCode]])=1,0,1)</f>
        <v>0</v>
      </c>
      <c r="D125" s="57">
        <f>IF(ISBLANK(MEMBERS[[#This Row],[PayrollLocation]]),0,IF(COUNTIF(SCHOOLS[SchoolCode],MEMBERS[[#This Row],[PayrollLocation]])=1,0,1))</f>
        <v>0</v>
      </c>
      <c r="E125" s="57">
        <f>IF(MEMBERS[[#This Row],[AvailableToAllSchools]]=FALSE,IF(ISBLANK(MEMBERS[[#This Row],[SchoolCodes]]),1,0),IF(MEMBERS[[#This Row],[AvailableToAllSchools]]=TRUE,IF(ISBLANK(MEMBERS[[#This Row],[SchoolCodes]]),0,1)))</f>
        <v>0</v>
      </c>
      <c r="F125" s="57">
        <f>IF(ISBLANK(MEMBERS[[#This Row],[ServiceEndDate]]),0,IF(MEMBERS[[#This Row],[ServiceStartDate]]&lt;MEMBERS[[#This Row],[ServiceEndDate]],0,1))</f>
        <v>0</v>
      </c>
      <c r="G125" s="57" cm="1">
        <f t="array" aca="1" ref="G125" ca="1">IF(CELL("format",MEMBERS[[#This Row],[ServiceStartDate]])="D1",0,1)+IF(CELL("format",MEMBERS[[#This Row],[ServiceEndDate]])="D1",0,1)</f>
        <v>0</v>
      </c>
      <c r="H12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25" s="57">
        <f>IF(LEN(MEMBERS[[#This Row],[StaffMemberCode]])&lt;100,0,1)</f>
        <v>0</v>
      </c>
      <c r="J125" s="57">
        <f>IF(LEN(MEMBERS[[#This Row],[Title]])&lt;100,0,1)</f>
        <v>0</v>
      </c>
      <c r="K125" s="57">
        <f>COUNTBLANK(MEMBERS[[#This Row],[StaffMemberCode]:[ServiceStartDate]])+COUNTBLANK(MEMBERS[[#This Row],[Apprenticeship]]:MEMBERS[[#This Row],[StaffMemberEnabled]])+COUNTBLANK(MEMBERS[[#This Row],[GenderCode]]:MEMBERS[[#This Row],[Casual]])</f>
        <v>0</v>
      </c>
      <c r="L125" s="57">
        <f>IF(SUBSTITUTE(TEXT(MEMBERS[[#This Row],[StaffMemberCode]],10)," ","")=TEXT(MEMBERS[[#This Row],[StaffMemberCode]],10),0,1)</f>
        <v>0</v>
      </c>
      <c r="M125" s="57">
        <f ca="1">SUM(MEMBERS[[#This Row],[Duplicate NameService Start]:[Space in Code]])</f>
        <v>0</v>
      </c>
      <c r="O125" s="15">
        <v>91073484</v>
      </c>
      <c r="P125" s="15" t="s">
        <v>3220</v>
      </c>
      <c r="Q125" s="15" t="s">
        <v>3542</v>
      </c>
      <c r="R125" s="133" t="str">
        <f>MEMBERS[[#This Row],[FirstName]]&amp;" "&amp;MEMBERS[[#This Row],[LastName]]</f>
        <v>Christopher Barker</v>
      </c>
      <c r="S125" s="21">
        <v>39822</v>
      </c>
      <c r="U125" s="21">
        <v>32008</v>
      </c>
      <c r="V125" t="b">
        <v>0</v>
      </c>
      <c r="W125" t="b">
        <v>0</v>
      </c>
      <c r="X125" t="b">
        <v>0</v>
      </c>
      <c r="Y125" t="s">
        <v>2094</v>
      </c>
      <c r="Z125" t="b">
        <v>1</v>
      </c>
      <c r="AB125" t="s">
        <v>1572</v>
      </c>
      <c r="AC125" t="b">
        <v>0</v>
      </c>
    </row>
    <row r="126" spans="1:29" x14ac:dyDescent="0.3">
      <c r="A126" s="57" t="str">
        <f>MEMBERS[[#This Row],[Title]]&amp;MEMBERS[[#This Row],[ServiceStartDate]]</f>
        <v>Christopher Cooney40187</v>
      </c>
      <c r="B126" s="57">
        <f>IF(COUNTIF(MEMBERS[NameServiceStart],MEMBERS[[#This Row],[NameServiceStart]])=1,0,1)</f>
        <v>0</v>
      </c>
      <c r="C126" s="57">
        <f>IF(COUNTIF(MEMBERS[StaffMemberCode],MEMBERS[[#This Row],[StaffMemberCode]])=1,0,1)</f>
        <v>0</v>
      </c>
      <c r="D126" s="57">
        <f>IF(ISBLANK(MEMBERS[[#This Row],[PayrollLocation]]),0,IF(COUNTIF(SCHOOLS[SchoolCode],MEMBERS[[#This Row],[PayrollLocation]])=1,0,1))</f>
        <v>0</v>
      </c>
      <c r="E126" s="57">
        <f>IF(MEMBERS[[#This Row],[AvailableToAllSchools]]=FALSE,IF(ISBLANK(MEMBERS[[#This Row],[SchoolCodes]]),1,0),IF(MEMBERS[[#This Row],[AvailableToAllSchools]]=TRUE,IF(ISBLANK(MEMBERS[[#This Row],[SchoolCodes]]),0,1)))</f>
        <v>0</v>
      </c>
      <c r="F126" s="57">
        <f>IF(ISBLANK(MEMBERS[[#This Row],[ServiceEndDate]]),0,IF(MEMBERS[[#This Row],[ServiceStartDate]]&lt;MEMBERS[[#This Row],[ServiceEndDate]],0,1))</f>
        <v>0</v>
      </c>
      <c r="G126" s="57" cm="1">
        <f t="array" aca="1" ref="G126" ca="1">IF(CELL("format",MEMBERS[[#This Row],[ServiceStartDate]])="D1",0,1)+IF(CELL("format",MEMBERS[[#This Row],[ServiceEndDate]])="D1",0,1)</f>
        <v>0</v>
      </c>
      <c r="H12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26" s="57">
        <f>IF(LEN(MEMBERS[[#This Row],[StaffMemberCode]])&lt;100,0,1)</f>
        <v>0</v>
      </c>
      <c r="J126" s="57">
        <f>IF(LEN(MEMBERS[[#This Row],[Title]])&lt;100,0,1)</f>
        <v>0</v>
      </c>
      <c r="K126" s="57">
        <f>COUNTBLANK(MEMBERS[[#This Row],[StaffMemberCode]:[ServiceStartDate]])+COUNTBLANK(MEMBERS[[#This Row],[Apprenticeship]]:MEMBERS[[#This Row],[StaffMemberEnabled]])+COUNTBLANK(MEMBERS[[#This Row],[GenderCode]]:MEMBERS[[#This Row],[Casual]])</f>
        <v>0</v>
      </c>
      <c r="L126" s="57">
        <f>IF(SUBSTITUTE(TEXT(MEMBERS[[#This Row],[StaffMemberCode]],10)," ","")=TEXT(MEMBERS[[#This Row],[StaffMemberCode]],10),0,1)</f>
        <v>0</v>
      </c>
      <c r="M126" s="57">
        <f ca="1">SUM(MEMBERS[[#This Row],[Duplicate NameService Start]:[Space in Code]])</f>
        <v>0</v>
      </c>
      <c r="O126" s="15">
        <v>91073490</v>
      </c>
      <c r="P126" s="15" t="s">
        <v>3220</v>
      </c>
      <c r="Q126" s="15" t="s">
        <v>3543</v>
      </c>
      <c r="R126" s="133" t="str">
        <f>MEMBERS[[#This Row],[FirstName]]&amp;" "&amp;MEMBERS[[#This Row],[LastName]]</f>
        <v>Christopher Cooney</v>
      </c>
      <c r="S126" s="21">
        <v>40187</v>
      </c>
      <c r="U126" s="21">
        <v>31402</v>
      </c>
      <c r="V126" t="b">
        <v>0</v>
      </c>
      <c r="W126" t="b">
        <v>0</v>
      </c>
      <c r="X126" t="b">
        <v>0</v>
      </c>
      <c r="Y126" t="s">
        <v>2094</v>
      </c>
      <c r="Z126" t="b">
        <v>1</v>
      </c>
      <c r="AB126" t="s">
        <v>1572</v>
      </c>
      <c r="AC126" t="b">
        <v>0</v>
      </c>
    </row>
    <row r="127" spans="1:29" x14ac:dyDescent="0.3">
      <c r="A127" s="57" t="str">
        <f>MEMBERS[[#This Row],[Title]]&amp;MEMBERS[[#This Row],[ServiceStartDate]]</f>
        <v>Christopher Pollard36534</v>
      </c>
      <c r="B127" s="57">
        <f>IF(COUNTIF(MEMBERS[NameServiceStart],MEMBERS[[#This Row],[NameServiceStart]])=1,0,1)</f>
        <v>0</v>
      </c>
      <c r="C127" s="57">
        <f>IF(COUNTIF(MEMBERS[StaffMemberCode],MEMBERS[[#This Row],[StaffMemberCode]])=1,0,1)</f>
        <v>0</v>
      </c>
      <c r="D127" s="57">
        <f>IF(ISBLANK(MEMBERS[[#This Row],[PayrollLocation]]),0,IF(COUNTIF(SCHOOLS[SchoolCode],MEMBERS[[#This Row],[PayrollLocation]])=1,0,1))</f>
        <v>0</v>
      </c>
      <c r="E127" s="57">
        <f>IF(MEMBERS[[#This Row],[AvailableToAllSchools]]=FALSE,IF(ISBLANK(MEMBERS[[#This Row],[SchoolCodes]]),1,0),IF(MEMBERS[[#This Row],[AvailableToAllSchools]]=TRUE,IF(ISBLANK(MEMBERS[[#This Row],[SchoolCodes]]),0,1)))</f>
        <v>0</v>
      </c>
      <c r="F127" s="57">
        <f>IF(ISBLANK(MEMBERS[[#This Row],[ServiceEndDate]]),0,IF(MEMBERS[[#This Row],[ServiceStartDate]]&lt;MEMBERS[[#This Row],[ServiceEndDate]],0,1))</f>
        <v>0</v>
      </c>
      <c r="G127" s="57" cm="1">
        <f t="array" aca="1" ref="G127" ca="1">IF(CELL("format",MEMBERS[[#This Row],[ServiceStartDate]])="D1",0,1)+IF(CELL("format",MEMBERS[[#This Row],[ServiceEndDate]])="D1",0,1)</f>
        <v>0</v>
      </c>
      <c r="H12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27" s="57">
        <f>IF(LEN(MEMBERS[[#This Row],[StaffMemberCode]])&lt;100,0,1)</f>
        <v>0</v>
      </c>
      <c r="J127" s="57">
        <f>IF(LEN(MEMBERS[[#This Row],[Title]])&lt;100,0,1)</f>
        <v>0</v>
      </c>
      <c r="K127" s="57">
        <f>COUNTBLANK(MEMBERS[[#This Row],[StaffMemberCode]:[ServiceStartDate]])+COUNTBLANK(MEMBERS[[#This Row],[Apprenticeship]]:MEMBERS[[#This Row],[StaffMemberEnabled]])+COUNTBLANK(MEMBERS[[#This Row],[GenderCode]]:MEMBERS[[#This Row],[Casual]])</f>
        <v>0</v>
      </c>
      <c r="L127" s="57">
        <f>IF(SUBSTITUTE(TEXT(MEMBERS[[#This Row],[StaffMemberCode]],10)," ","")=TEXT(MEMBERS[[#This Row],[StaffMemberCode]],10),0,1)</f>
        <v>0</v>
      </c>
      <c r="M127" s="57">
        <f ca="1">SUM(MEMBERS[[#This Row],[Duplicate NameService Start]:[Space in Code]])</f>
        <v>0</v>
      </c>
      <c r="O127" s="15">
        <v>91073559</v>
      </c>
      <c r="P127" s="15" t="s">
        <v>3220</v>
      </c>
      <c r="Q127" s="15" t="s">
        <v>3544</v>
      </c>
      <c r="R127" s="133" t="str">
        <f>MEMBERS[[#This Row],[FirstName]]&amp;" "&amp;MEMBERS[[#This Row],[LastName]]</f>
        <v>Christopher Pollard</v>
      </c>
      <c r="S127" s="21">
        <v>36534</v>
      </c>
      <c r="U127" s="21">
        <v>26057</v>
      </c>
      <c r="V127" t="b">
        <v>0</v>
      </c>
      <c r="W127" t="b">
        <v>0</v>
      </c>
      <c r="X127" t="b">
        <v>0</v>
      </c>
      <c r="Y127" t="s">
        <v>2094</v>
      </c>
      <c r="Z127" t="b">
        <v>1</v>
      </c>
      <c r="AB127" t="s">
        <v>1572</v>
      </c>
      <c r="AC127" t="b">
        <v>0</v>
      </c>
    </row>
    <row r="128" spans="1:29" x14ac:dyDescent="0.3">
      <c r="A128" s="57" t="str">
        <f>MEMBERS[[#This Row],[Title]]&amp;MEMBERS[[#This Row],[ServiceStartDate]]</f>
        <v>Christopher Yew39386</v>
      </c>
      <c r="B128" s="57">
        <f>IF(COUNTIF(MEMBERS[NameServiceStart],MEMBERS[[#This Row],[NameServiceStart]])=1,0,1)</f>
        <v>0</v>
      </c>
      <c r="C128" s="57">
        <f>IF(COUNTIF(MEMBERS[StaffMemberCode],MEMBERS[[#This Row],[StaffMemberCode]])=1,0,1)</f>
        <v>0</v>
      </c>
      <c r="D128" s="57">
        <f>IF(ISBLANK(MEMBERS[[#This Row],[PayrollLocation]]),0,IF(COUNTIF(SCHOOLS[SchoolCode],MEMBERS[[#This Row],[PayrollLocation]])=1,0,1))</f>
        <v>0</v>
      </c>
      <c r="E128" s="57">
        <f>IF(MEMBERS[[#This Row],[AvailableToAllSchools]]=FALSE,IF(ISBLANK(MEMBERS[[#This Row],[SchoolCodes]]),1,0),IF(MEMBERS[[#This Row],[AvailableToAllSchools]]=TRUE,IF(ISBLANK(MEMBERS[[#This Row],[SchoolCodes]]),0,1)))</f>
        <v>0</v>
      </c>
      <c r="F128" s="57">
        <f>IF(ISBLANK(MEMBERS[[#This Row],[ServiceEndDate]]),0,IF(MEMBERS[[#This Row],[ServiceStartDate]]&lt;MEMBERS[[#This Row],[ServiceEndDate]],0,1))</f>
        <v>0</v>
      </c>
      <c r="G128" s="57" cm="1">
        <f t="array" aca="1" ref="G128" ca="1">IF(CELL("format",MEMBERS[[#This Row],[ServiceStartDate]])="D1",0,1)+IF(CELL("format",MEMBERS[[#This Row],[ServiceEndDate]])="D1",0,1)</f>
        <v>0</v>
      </c>
      <c r="H12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28" s="57">
        <f>IF(LEN(MEMBERS[[#This Row],[StaffMemberCode]])&lt;100,0,1)</f>
        <v>0</v>
      </c>
      <c r="J128" s="57">
        <f>IF(LEN(MEMBERS[[#This Row],[Title]])&lt;100,0,1)</f>
        <v>0</v>
      </c>
      <c r="K128" s="57">
        <f>COUNTBLANK(MEMBERS[[#This Row],[StaffMemberCode]:[ServiceStartDate]])+COUNTBLANK(MEMBERS[[#This Row],[Apprenticeship]]:MEMBERS[[#This Row],[StaffMemberEnabled]])+COUNTBLANK(MEMBERS[[#This Row],[GenderCode]]:MEMBERS[[#This Row],[Casual]])</f>
        <v>0</v>
      </c>
      <c r="L128" s="57">
        <f>IF(SUBSTITUTE(TEXT(MEMBERS[[#This Row],[StaffMemberCode]],10)," ","")=TEXT(MEMBERS[[#This Row],[StaffMemberCode]],10),0,1)</f>
        <v>0</v>
      </c>
      <c r="M128" s="57">
        <f ca="1">SUM(MEMBERS[[#This Row],[Duplicate NameService Start]:[Space in Code]])</f>
        <v>0</v>
      </c>
      <c r="O128" s="15">
        <v>10005318</v>
      </c>
      <c r="P128" s="15" t="s">
        <v>3220</v>
      </c>
      <c r="Q128" s="15" t="s">
        <v>4043</v>
      </c>
      <c r="R128" s="133" t="str">
        <f>MEMBERS[[#This Row],[FirstName]]&amp;" "&amp;MEMBERS[[#This Row],[LastName]]</f>
        <v>Christopher Yew</v>
      </c>
      <c r="S128" s="21">
        <v>39386</v>
      </c>
      <c r="U128" s="21">
        <v>29897</v>
      </c>
      <c r="V128" s="138" t="b">
        <v>0</v>
      </c>
      <c r="W128" t="b">
        <v>0</v>
      </c>
      <c r="X128" t="b">
        <v>0</v>
      </c>
      <c r="Y128" t="s">
        <v>2126</v>
      </c>
      <c r="Z128" t="b">
        <v>1</v>
      </c>
      <c r="AB128" t="s">
        <v>1572</v>
      </c>
      <c r="AC128" t="b">
        <v>0</v>
      </c>
    </row>
    <row r="129" spans="1:29" x14ac:dyDescent="0.3">
      <c r="A129" s="57" t="str">
        <f>MEMBERS[[#This Row],[Title]]&amp;MEMBERS[[#This Row],[ServiceStartDate]]</f>
        <v>Christopher Young45536</v>
      </c>
      <c r="B129" s="57">
        <f>IF(COUNTIF(MEMBERS[NameServiceStart],MEMBERS[[#This Row],[NameServiceStart]])=1,0,1)</f>
        <v>0</v>
      </c>
      <c r="C129" s="57">
        <f>IF(COUNTIF(MEMBERS[StaffMemberCode],MEMBERS[[#This Row],[StaffMemberCode]])=1,0,1)</f>
        <v>0</v>
      </c>
      <c r="D129" s="57">
        <f>IF(ISBLANK(MEMBERS[[#This Row],[PayrollLocation]]),0,IF(COUNTIF(SCHOOLS[SchoolCode],MEMBERS[[#This Row],[PayrollLocation]])=1,0,1))</f>
        <v>0</v>
      </c>
      <c r="E129" s="57">
        <f>IF(MEMBERS[[#This Row],[AvailableToAllSchools]]=FALSE,IF(ISBLANK(MEMBERS[[#This Row],[SchoolCodes]]),1,0),IF(MEMBERS[[#This Row],[AvailableToAllSchools]]=TRUE,IF(ISBLANK(MEMBERS[[#This Row],[SchoolCodes]]),0,1)))</f>
        <v>0</v>
      </c>
      <c r="F129" s="57">
        <f>IF(ISBLANK(MEMBERS[[#This Row],[ServiceEndDate]]),0,IF(MEMBERS[[#This Row],[ServiceStartDate]]&lt;MEMBERS[[#This Row],[ServiceEndDate]],0,1))</f>
        <v>0</v>
      </c>
      <c r="G129" s="57" cm="1">
        <f t="array" aca="1" ref="G129" ca="1">IF(CELL("format",MEMBERS[[#This Row],[ServiceStartDate]])="D1",0,1)+IF(CELL("format",MEMBERS[[#This Row],[ServiceEndDate]])="D1",0,1)</f>
        <v>0</v>
      </c>
      <c r="H12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29" s="57">
        <f>IF(LEN(MEMBERS[[#This Row],[StaffMemberCode]])&lt;100,0,1)</f>
        <v>0</v>
      </c>
      <c r="J129" s="57">
        <f>IF(LEN(MEMBERS[[#This Row],[Title]])&lt;100,0,1)</f>
        <v>0</v>
      </c>
      <c r="K129" s="57">
        <f>COUNTBLANK(MEMBERS[[#This Row],[StaffMemberCode]:[ServiceStartDate]])+COUNTBLANK(MEMBERS[[#This Row],[Apprenticeship]]:MEMBERS[[#This Row],[StaffMemberEnabled]])+COUNTBLANK(MEMBERS[[#This Row],[GenderCode]]:MEMBERS[[#This Row],[Casual]])</f>
        <v>0</v>
      </c>
      <c r="L129" s="57">
        <f>IF(SUBSTITUTE(TEXT(MEMBERS[[#This Row],[StaffMemberCode]],10)," ","")=TEXT(MEMBERS[[#This Row],[StaffMemberCode]],10),0,1)</f>
        <v>0</v>
      </c>
      <c r="M129" s="57">
        <f ca="1">SUM(MEMBERS[[#This Row],[Duplicate NameService Start]:[Space in Code]])</f>
        <v>0</v>
      </c>
      <c r="O129" s="15">
        <v>91323689</v>
      </c>
      <c r="P129" s="15" t="s">
        <v>3220</v>
      </c>
      <c r="Q129" s="15" t="s">
        <v>3545</v>
      </c>
      <c r="R129" s="133" t="str">
        <f>MEMBERS[[#This Row],[FirstName]]&amp;" "&amp;MEMBERS[[#This Row],[LastName]]</f>
        <v>Christopher Young</v>
      </c>
      <c r="S129" s="21">
        <v>45536</v>
      </c>
      <c r="U129" s="21">
        <v>29879</v>
      </c>
      <c r="V129" t="b">
        <v>0</v>
      </c>
      <c r="W129" t="b">
        <v>0</v>
      </c>
      <c r="X129" t="b">
        <v>0</v>
      </c>
      <c r="Y129" t="s">
        <v>2094</v>
      </c>
      <c r="Z129" t="b">
        <v>1</v>
      </c>
      <c r="AB129" t="s">
        <v>1572</v>
      </c>
      <c r="AC129" t="b">
        <v>0</v>
      </c>
    </row>
    <row r="130" spans="1:29" x14ac:dyDescent="0.3">
      <c r="A130" s="57" t="str">
        <f>MEMBERS[[#This Row],[Title]]&amp;MEMBERS[[#This Row],[ServiceStartDate]]</f>
        <v>Claire Butler45943</v>
      </c>
      <c r="B130" s="57">
        <f>IF(COUNTIF(MEMBERS[NameServiceStart],MEMBERS[[#This Row],[NameServiceStart]])=1,0,1)</f>
        <v>0</v>
      </c>
      <c r="C130" s="57">
        <f>IF(COUNTIF(MEMBERS[StaffMemberCode],MEMBERS[[#This Row],[StaffMemberCode]])=1,0,1)</f>
        <v>0</v>
      </c>
      <c r="D130" s="57">
        <f>IF(ISBLANK(MEMBERS[[#This Row],[PayrollLocation]]),0,IF(COUNTIF(SCHOOLS[SchoolCode],MEMBERS[[#This Row],[PayrollLocation]])=1,0,1))</f>
        <v>0</v>
      </c>
      <c r="E130" s="57">
        <f>IF(MEMBERS[[#This Row],[AvailableToAllSchools]]=FALSE,IF(ISBLANK(MEMBERS[[#This Row],[SchoolCodes]]),1,0),IF(MEMBERS[[#This Row],[AvailableToAllSchools]]=TRUE,IF(ISBLANK(MEMBERS[[#This Row],[SchoolCodes]]),0,1)))</f>
        <v>0</v>
      </c>
      <c r="F130" s="57">
        <f>IF(ISBLANK(MEMBERS[[#This Row],[ServiceEndDate]]),0,IF(MEMBERS[[#This Row],[ServiceStartDate]]&lt;MEMBERS[[#This Row],[ServiceEndDate]],0,1))</f>
        <v>0</v>
      </c>
      <c r="G130" s="57" cm="1">
        <f t="array" aca="1" ref="G130" ca="1">IF(CELL("format",MEMBERS[[#This Row],[ServiceStartDate]])="D1",0,1)+IF(CELL("format",MEMBERS[[#This Row],[ServiceEndDate]])="D1",0,1)</f>
        <v>0</v>
      </c>
      <c r="H13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30" s="57">
        <f>IF(LEN(MEMBERS[[#This Row],[StaffMemberCode]])&lt;100,0,1)</f>
        <v>0</v>
      </c>
      <c r="J130" s="57">
        <f>IF(LEN(MEMBERS[[#This Row],[Title]])&lt;100,0,1)</f>
        <v>0</v>
      </c>
      <c r="K130" s="57">
        <f>COUNTBLANK(MEMBERS[[#This Row],[StaffMemberCode]:[ServiceStartDate]])+COUNTBLANK(MEMBERS[[#This Row],[Apprenticeship]]:MEMBERS[[#This Row],[StaffMemberEnabled]])+COUNTBLANK(MEMBERS[[#This Row],[GenderCode]]:MEMBERS[[#This Row],[Casual]])</f>
        <v>0</v>
      </c>
      <c r="L130" s="57">
        <f>IF(SUBSTITUTE(TEXT(MEMBERS[[#This Row],[StaffMemberCode]],10)," ","")=TEXT(MEMBERS[[#This Row],[StaffMemberCode]],10),0,1)</f>
        <v>0</v>
      </c>
      <c r="M130" s="57">
        <f ca="1">SUM(MEMBERS[[#This Row],[Duplicate NameService Start]:[Space in Code]])</f>
        <v>0</v>
      </c>
      <c r="O130" s="15">
        <v>91850064</v>
      </c>
      <c r="P130" s="15" t="s">
        <v>3221</v>
      </c>
      <c r="Q130" s="15" t="s">
        <v>3546</v>
      </c>
      <c r="R130" s="133" t="str">
        <f>MEMBERS[[#This Row],[FirstName]]&amp;" "&amp;MEMBERS[[#This Row],[LastName]]</f>
        <v>Claire Butler</v>
      </c>
      <c r="S130" s="21">
        <v>45943</v>
      </c>
      <c r="U130" s="21">
        <v>29334</v>
      </c>
      <c r="V130" t="b">
        <v>0</v>
      </c>
      <c r="W130" t="b">
        <v>0</v>
      </c>
      <c r="X130" t="b">
        <v>0</v>
      </c>
      <c r="Y130" t="s">
        <v>2082</v>
      </c>
      <c r="Z130" t="b">
        <v>1</v>
      </c>
      <c r="AB130" t="s">
        <v>1571</v>
      </c>
      <c r="AC130" t="b">
        <v>0</v>
      </c>
    </row>
    <row r="131" spans="1:29" x14ac:dyDescent="0.3">
      <c r="A131" s="57" t="str">
        <f>MEMBERS[[#This Row],[Title]]&amp;MEMBERS[[#This Row],[ServiceStartDate]]</f>
        <v>Claire Casewell39934</v>
      </c>
      <c r="B131" s="57">
        <f>IF(COUNTIF(MEMBERS[NameServiceStart],MEMBERS[[#This Row],[NameServiceStart]])=1,0,1)</f>
        <v>0</v>
      </c>
      <c r="C131" s="57">
        <f>IF(COUNTIF(MEMBERS[StaffMemberCode],MEMBERS[[#This Row],[StaffMemberCode]])=1,0,1)</f>
        <v>0</v>
      </c>
      <c r="D131" s="57">
        <f>IF(ISBLANK(MEMBERS[[#This Row],[PayrollLocation]]),0,IF(COUNTIF(SCHOOLS[SchoolCode],MEMBERS[[#This Row],[PayrollLocation]])=1,0,1))</f>
        <v>0</v>
      </c>
      <c r="E131" s="57">
        <f>IF(MEMBERS[[#This Row],[AvailableToAllSchools]]=FALSE,IF(ISBLANK(MEMBERS[[#This Row],[SchoolCodes]]),1,0),IF(MEMBERS[[#This Row],[AvailableToAllSchools]]=TRUE,IF(ISBLANK(MEMBERS[[#This Row],[SchoolCodes]]),0,1)))</f>
        <v>0</v>
      </c>
      <c r="F131" s="57">
        <f>IF(ISBLANK(MEMBERS[[#This Row],[ServiceEndDate]]),0,IF(MEMBERS[[#This Row],[ServiceStartDate]]&lt;MEMBERS[[#This Row],[ServiceEndDate]],0,1))</f>
        <v>0</v>
      </c>
      <c r="G131" s="57" cm="1">
        <f t="array" aca="1" ref="G131" ca="1">IF(CELL("format",MEMBERS[[#This Row],[ServiceStartDate]])="D1",0,1)+IF(CELL("format",MEMBERS[[#This Row],[ServiceEndDate]])="D1",0,1)</f>
        <v>0</v>
      </c>
      <c r="H13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31" s="57">
        <f>IF(LEN(MEMBERS[[#This Row],[StaffMemberCode]])&lt;100,0,1)</f>
        <v>0</v>
      </c>
      <c r="J131" s="57">
        <f>IF(LEN(MEMBERS[[#This Row],[Title]])&lt;100,0,1)</f>
        <v>0</v>
      </c>
      <c r="K131" s="57">
        <f>COUNTBLANK(MEMBERS[[#This Row],[StaffMemberCode]:[ServiceStartDate]])+COUNTBLANK(MEMBERS[[#This Row],[Apprenticeship]]:MEMBERS[[#This Row],[StaffMemberEnabled]])+COUNTBLANK(MEMBERS[[#This Row],[GenderCode]]:MEMBERS[[#This Row],[Casual]])</f>
        <v>0</v>
      </c>
      <c r="L131" s="57">
        <f>IF(SUBSTITUTE(TEXT(MEMBERS[[#This Row],[StaffMemberCode]],10)," ","")=TEXT(MEMBERS[[#This Row],[StaffMemberCode]],10),0,1)</f>
        <v>0</v>
      </c>
      <c r="M131" s="57">
        <f ca="1">SUM(MEMBERS[[#This Row],[Duplicate NameService Start]:[Space in Code]])</f>
        <v>0</v>
      </c>
      <c r="O131" s="15">
        <v>91073705</v>
      </c>
      <c r="P131" s="15" t="s">
        <v>3221</v>
      </c>
      <c r="Q131" s="15" t="s">
        <v>3547</v>
      </c>
      <c r="R131" s="133" t="str">
        <f>MEMBERS[[#This Row],[FirstName]]&amp;" "&amp;MEMBERS[[#This Row],[LastName]]</f>
        <v>Claire Casewell</v>
      </c>
      <c r="S131" s="21">
        <v>39934</v>
      </c>
      <c r="U131" s="21">
        <v>27336</v>
      </c>
      <c r="V131" t="b">
        <v>0</v>
      </c>
      <c r="W131" t="b">
        <v>0</v>
      </c>
      <c r="X131" t="b">
        <v>0</v>
      </c>
      <c r="Y131" t="s">
        <v>2082</v>
      </c>
      <c r="Z131" t="b">
        <v>1</v>
      </c>
      <c r="AB131" t="s">
        <v>1571</v>
      </c>
      <c r="AC131" t="b">
        <v>0</v>
      </c>
    </row>
    <row r="132" spans="1:29" x14ac:dyDescent="0.3">
      <c r="A132" s="57" t="str">
        <f>MEMBERS[[#This Row],[Title]]&amp;MEMBERS[[#This Row],[ServiceStartDate]]</f>
        <v>Claire Clarke43961</v>
      </c>
      <c r="B132" s="57">
        <f>IF(COUNTIF(MEMBERS[NameServiceStart],MEMBERS[[#This Row],[NameServiceStart]])=1,0,1)</f>
        <v>0</v>
      </c>
      <c r="C132" s="57">
        <f>IF(COUNTIF(MEMBERS[StaffMemberCode],MEMBERS[[#This Row],[StaffMemberCode]])=1,0,1)</f>
        <v>0</v>
      </c>
      <c r="D132" s="57">
        <f>IF(ISBLANK(MEMBERS[[#This Row],[PayrollLocation]]),0,IF(COUNTIF(SCHOOLS[SchoolCode],MEMBERS[[#This Row],[PayrollLocation]])=1,0,1))</f>
        <v>0</v>
      </c>
      <c r="E132" s="57">
        <f>IF(MEMBERS[[#This Row],[AvailableToAllSchools]]=FALSE,IF(ISBLANK(MEMBERS[[#This Row],[SchoolCodes]]),1,0),IF(MEMBERS[[#This Row],[AvailableToAllSchools]]=TRUE,IF(ISBLANK(MEMBERS[[#This Row],[SchoolCodes]]),0,1)))</f>
        <v>0</v>
      </c>
      <c r="F132" s="57">
        <f>IF(ISBLANK(MEMBERS[[#This Row],[ServiceEndDate]]),0,IF(MEMBERS[[#This Row],[ServiceStartDate]]&lt;MEMBERS[[#This Row],[ServiceEndDate]],0,1))</f>
        <v>0</v>
      </c>
      <c r="G132" s="57" cm="1">
        <f t="array" aca="1" ref="G132" ca="1">IF(CELL("format",MEMBERS[[#This Row],[ServiceStartDate]])="D1",0,1)+IF(CELL("format",MEMBERS[[#This Row],[ServiceEndDate]])="D1",0,1)</f>
        <v>0</v>
      </c>
      <c r="H13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32" s="57">
        <f>IF(LEN(MEMBERS[[#This Row],[StaffMemberCode]])&lt;100,0,1)</f>
        <v>0</v>
      </c>
      <c r="J132" s="57">
        <f>IF(LEN(MEMBERS[[#This Row],[Title]])&lt;100,0,1)</f>
        <v>0</v>
      </c>
      <c r="K132" s="57">
        <f>COUNTBLANK(MEMBERS[[#This Row],[StaffMemberCode]:[ServiceStartDate]])+COUNTBLANK(MEMBERS[[#This Row],[Apprenticeship]]:MEMBERS[[#This Row],[StaffMemberEnabled]])+COUNTBLANK(MEMBERS[[#This Row],[GenderCode]]:MEMBERS[[#This Row],[Casual]])</f>
        <v>0</v>
      </c>
      <c r="L132" s="57">
        <f>IF(SUBSTITUTE(TEXT(MEMBERS[[#This Row],[StaffMemberCode]],10)," ","")=TEXT(MEMBERS[[#This Row],[StaffMemberCode]],10),0,1)</f>
        <v>0</v>
      </c>
      <c r="M132" s="57">
        <f ca="1">SUM(MEMBERS[[#This Row],[Duplicate NameService Start]:[Space in Code]])</f>
        <v>0</v>
      </c>
      <c r="O132" s="15">
        <v>91073912</v>
      </c>
      <c r="P132" s="15" t="s">
        <v>3221</v>
      </c>
      <c r="Q132" s="15" t="s">
        <v>3548</v>
      </c>
      <c r="R132" s="133" t="str">
        <f>MEMBERS[[#This Row],[FirstName]]&amp;" "&amp;MEMBERS[[#This Row],[LastName]]</f>
        <v>Claire Clarke</v>
      </c>
      <c r="S132" s="21">
        <v>43961</v>
      </c>
      <c r="U132" s="21">
        <v>26786</v>
      </c>
      <c r="V132" t="b">
        <v>0</v>
      </c>
      <c r="W132" t="b">
        <v>0</v>
      </c>
      <c r="X132" t="b">
        <v>0</v>
      </c>
      <c r="Y132" t="s">
        <v>2094</v>
      </c>
      <c r="Z132" t="b">
        <v>1</v>
      </c>
      <c r="AB132" t="s">
        <v>1571</v>
      </c>
      <c r="AC132" t="b">
        <v>0</v>
      </c>
    </row>
    <row r="133" spans="1:29" x14ac:dyDescent="0.3">
      <c r="A133" s="57" t="str">
        <f>MEMBERS[[#This Row],[Title]]&amp;MEMBERS[[#This Row],[ServiceStartDate]]</f>
        <v>Claire Ellis42373</v>
      </c>
      <c r="B133" s="57">
        <f>IF(COUNTIF(MEMBERS[NameServiceStart],MEMBERS[[#This Row],[NameServiceStart]])=1,0,1)</f>
        <v>0</v>
      </c>
      <c r="C133" s="57">
        <f>IF(COUNTIF(MEMBERS[StaffMemberCode],MEMBERS[[#This Row],[StaffMemberCode]])=1,0,1)</f>
        <v>0</v>
      </c>
      <c r="D133" s="57">
        <f>IF(ISBLANK(MEMBERS[[#This Row],[PayrollLocation]]),0,IF(COUNTIF(SCHOOLS[SchoolCode],MEMBERS[[#This Row],[PayrollLocation]])=1,0,1))</f>
        <v>0</v>
      </c>
      <c r="E133" s="57">
        <f>IF(MEMBERS[[#This Row],[AvailableToAllSchools]]=FALSE,IF(ISBLANK(MEMBERS[[#This Row],[SchoolCodes]]),1,0),IF(MEMBERS[[#This Row],[AvailableToAllSchools]]=TRUE,IF(ISBLANK(MEMBERS[[#This Row],[SchoolCodes]]),0,1)))</f>
        <v>0</v>
      </c>
      <c r="F133" s="57">
        <f>IF(ISBLANK(MEMBERS[[#This Row],[ServiceEndDate]]),0,IF(MEMBERS[[#This Row],[ServiceStartDate]]&lt;MEMBERS[[#This Row],[ServiceEndDate]],0,1))</f>
        <v>0</v>
      </c>
      <c r="G133" s="57" cm="1">
        <f t="array" aca="1" ref="G133" ca="1">IF(CELL("format",MEMBERS[[#This Row],[ServiceStartDate]])="D1",0,1)+IF(CELL("format",MEMBERS[[#This Row],[ServiceEndDate]])="D1",0,1)</f>
        <v>0</v>
      </c>
      <c r="H13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33" s="57">
        <f>IF(LEN(MEMBERS[[#This Row],[StaffMemberCode]])&lt;100,0,1)</f>
        <v>0</v>
      </c>
      <c r="J133" s="57">
        <f>IF(LEN(MEMBERS[[#This Row],[Title]])&lt;100,0,1)</f>
        <v>0</v>
      </c>
      <c r="K133" s="57">
        <f>COUNTBLANK(MEMBERS[[#This Row],[StaffMemberCode]:[ServiceStartDate]])+COUNTBLANK(MEMBERS[[#This Row],[Apprenticeship]]:MEMBERS[[#This Row],[StaffMemberEnabled]])+COUNTBLANK(MEMBERS[[#This Row],[GenderCode]]:MEMBERS[[#This Row],[Casual]])</f>
        <v>0</v>
      </c>
      <c r="L133" s="57">
        <f>IF(SUBSTITUTE(TEXT(MEMBERS[[#This Row],[StaffMemberCode]],10)," ","")=TEXT(MEMBERS[[#This Row],[StaffMemberCode]],10),0,1)</f>
        <v>0</v>
      </c>
      <c r="M133" s="57">
        <f ca="1">SUM(MEMBERS[[#This Row],[Duplicate NameService Start]:[Space in Code]])</f>
        <v>0</v>
      </c>
      <c r="O133" s="15">
        <v>91073893</v>
      </c>
      <c r="P133" s="15" t="s">
        <v>3221</v>
      </c>
      <c r="Q133" s="15" t="s">
        <v>3549</v>
      </c>
      <c r="R133" s="133" t="str">
        <f>MEMBERS[[#This Row],[FirstName]]&amp;" "&amp;MEMBERS[[#This Row],[LastName]]</f>
        <v>Claire Ellis</v>
      </c>
      <c r="S133" s="21">
        <v>42373</v>
      </c>
      <c r="U133" s="21">
        <v>29229</v>
      </c>
      <c r="V133" t="b">
        <v>0</v>
      </c>
      <c r="W133" t="b">
        <v>0</v>
      </c>
      <c r="X133" t="b">
        <v>0</v>
      </c>
      <c r="Y133" t="s">
        <v>2266</v>
      </c>
      <c r="Z133" t="b">
        <v>1</v>
      </c>
      <c r="AB133" t="s">
        <v>1571</v>
      </c>
      <c r="AC133" t="b">
        <v>0</v>
      </c>
    </row>
    <row r="134" spans="1:29" x14ac:dyDescent="0.3">
      <c r="A134" s="57" t="str">
        <f>MEMBERS[[#This Row],[Title]]&amp;MEMBERS[[#This Row],[ServiceStartDate]]</f>
        <v>Claire Holdcroft45474</v>
      </c>
      <c r="B134" s="57">
        <f>IF(COUNTIF(MEMBERS[NameServiceStart],MEMBERS[[#This Row],[NameServiceStart]])=1,0,1)</f>
        <v>0</v>
      </c>
      <c r="C134" s="57">
        <f>IF(COUNTIF(MEMBERS[StaffMemberCode],MEMBERS[[#This Row],[StaffMemberCode]])=1,0,1)</f>
        <v>0</v>
      </c>
      <c r="D134" s="57">
        <f>IF(ISBLANK(MEMBERS[[#This Row],[PayrollLocation]]),0,IF(COUNTIF(SCHOOLS[SchoolCode],MEMBERS[[#This Row],[PayrollLocation]])=1,0,1))</f>
        <v>0</v>
      </c>
      <c r="E134" s="57">
        <f>IF(MEMBERS[[#This Row],[AvailableToAllSchools]]=FALSE,IF(ISBLANK(MEMBERS[[#This Row],[SchoolCodes]]),1,0),IF(MEMBERS[[#This Row],[AvailableToAllSchools]]=TRUE,IF(ISBLANK(MEMBERS[[#This Row],[SchoolCodes]]),0,1)))</f>
        <v>0</v>
      </c>
      <c r="F134" s="57">
        <f>IF(ISBLANK(MEMBERS[[#This Row],[ServiceEndDate]]),0,IF(MEMBERS[[#This Row],[ServiceStartDate]]&lt;MEMBERS[[#This Row],[ServiceEndDate]],0,1))</f>
        <v>0</v>
      </c>
      <c r="G134" s="57" cm="1">
        <f t="array" aca="1" ref="G134" ca="1">IF(CELL("format",MEMBERS[[#This Row],[ServiceStartDate]])="D1",0,1)+IF(CELL("format",MEMBERS[[#This Row],[ServiceEndDate]])="D1",0,1)</f>
        <v>0</v>
      </c>
      <c r="H13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34" s="57">
        <f>IF(LEN(MEMBERS[[#This Row],[StaffMemberCode]])&lt;100,0,1)</f>
        <v>0</v>
      </c>
      <c r="J134" s="57">
        <f>IF(LEN(MEMBERS[[#This Row],[Title]])&lt;100,0,1)</f>
        <v>0</v>
      </c>
      <c r="K134" s="57">
        <f>COUNTBLANK(MEMBERS[[#This Row],[StaffMemberCode]:[ServiceStartDate]])+COUNTBLANK(MEMBERS[[#This Row],[Apprenticeship]]:MEMBERS[[#This Row],[StaffMemberEnabled]])+COUNTBLANK(MEMBERS[[#This Row],[GenderCode]]:MEMBERS[[#This Row],[Casual]])</f>
        <v>0</v>
      </c>
      <c r="L134" s="57">
        <f>IF(SUBSTITUTE(TEXT(MEMBERS[[#This Row],[StaffMemberCode]],10)," ","")=TEXT(MEMBERS[[#This Row],[StaffMemberCode]],10),0,1)</f>
        <v>0</v>
      </c>
      <c r="M134" s="57">
        <f ca="1">SUM(MEMBERS[[#This Row],[Duplicate NameService Start]:[Space in Code]])</f>
        <v>0</v>
      </c>
      <c r="O134" s="15">
        <v>91324778</v>
      </c>
      <c r="P134" s="15" t="s">
        <v>3221</v>
      </c>
      <c r="Q134" s="15" t="s">
        <v>3550</v>
      </c>
      <c r="R134" s="133" t="str">
        <f>MEMBERS[[#This Row],[FirstName]]&amp;" "&amp;MEMBERS[[#This Row],[LastName]]</f>
        <v>Claire Holdcroft</v>
      </c>
      <c r="S134" s="21">
        <v>45474</v>
      </c>
      <c r="U134" s="21">
        <v>24039</v>
      </c>
      <c r="V134" t="b">
        <v>0</v>
      </c>
      <c r="W134" t="b">
        <v>0</v>
      </c>
      <c r="X134" t="b">
        <v>0</v>
      </c>
      <c r="Y134" t="s">
        <v>2082</v>
      </c>
      <c r="Z134" t="b">
        <v>1</v>
      </c>
      <c r="AB134" t="s">
        <v>1571</v>
      </c>
      <c r="AC134" t="b">
        <v>1</v>
      </c>
    </row>
    <row r="135" spans="1:29" x14ac:dyDescent="0.3">
      <c r="A135" s="57" t="str">
        <f>MEMBERS[[#This Row],[Title]]&amp;MEMBERS[[#This Row],[ServiceStartDate]]</f>
        <v>Claire Knight31413</v>
      </c>
      <c r="B135" s="57">
        <f>IF(COUNTIF(MEMBERS[NameServiceStart],MEMBERS[[#This Row],[NameServiceStart]])=1,0,1)</f>
        <v>0</v>
      </c>
      <c r="C135" s="57">
        <f>IF(COUNTIF(MEMBERS[StaffMemberCode],MEMBERS[[#This Row],[StaffMemberCode]])=1,0,1)</f>
        <v>0</v>
      </c>
      <c r="D135" s="57">
        <f>IF(ISBLANK(MEMBERS[[#This Row],[PayrollLocation]]),0,IF(COUNTIF(SCHOOLS[SchoolCode],MEMBERS[[#This Row],[PayrollLocation]])=1,0,1))</f>
        <v>0</v>
      </c>
      <c r="E135" s="57">
        <f>IF(MEMBERS[[#This Row],[AvailableToAllSchools]]=FALSE,IF(ISBLANK(MEMBERS[[#This Row],[SchoolCodes]]),1,0),IF(MEMBERS[[#This Row],[AvailableToAllSchools]]=TRUE,IF(ISBLANK(MEMBERS[[#This Row],[SchoolCodes]]),0,1)))</f>
        <v>0</v>
      </c>
      <c r="F135" s="57">
        <f>IF(ISBLANK(MEMBERS[[#This Row],[ServiceEndDate]]),0,IF(MEMBERS[[#This Row],[ServiceStartDate]]&lt;MEMBERS[[#This Row],[ServiceEndDate]],0,1))</f>
        <v>0</v>
      </c>
      <c r="G135" s="57" cm="1">
        <f t="array" aca="1" ref="G135" ca="1">IF(CELL("format",MEMBERS[[#This Row],[ServiceStartDate]])="D1",0,1)+IF(CELL("format",MEMBERS[[#This Row],[ServiceEndDate]])="D1",0,1)</f>
        <v>0</v>
      </c>
      <c r="H13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35" s="57">
        <f>IF(LEN(MEMBERS[[#This Row],[StaffMemberCode]])&lt;100,0,1)</f>
        <v>0</v>
      </c>
      <c r="J135" s="57">
        <f>IF(LEN(MEMBERS[[#This Row],[Title]])&lt;100,0,1)</f>
        <v>0</v>
      </c>
      <c r="K135" s="57">
        <f>COUNTBLANK(MEMBERS[[#This Row],[StaffMemberCode]:[ServiceStartDate]])+COUNTBLANK(MEMBERS[[#This Row],[Apprenticeship]]:MEMBERS[[#This Row],[StaffMemberEnabled]])+COUNTBLANK(MEMBERS[[#This Row],[GenderCode]]:MEMBERS[[#This Row],[Casual]])</f>
        <v>0</v>
      </c>
      <c r="L135" s="57">
        <f>IF(SUBSTITUTE(TEXT(MEMBERS[[#This Row],[StaffMemberCode]],10)," ","")=TEXT(MEMBERS[[#This Row],[StaffMemberCode]],10),0,1)</f>
        <v>0</v>
      </c>
      <c r="M135" s="57">
        <f ca="1">SUM(MEMBERS[[#This Row],[Duplicate NameService Start]:[Space in Code]])</f>
        <v>0</v>
      </c>
      <c r="O135" s="15">
        <v>10005289</v>
      </c>
      <c r="P135" s="15" t="s">
        <v>3221</v>
      </c>
      <c r="Q135" s="15" t="s">
        <v>4044</v>
      </c>
      <c r="R135" s="133" t="str">
        <f>MEMBERS[[#This Row],[FirstName]]&amp;" "&amp;MEMBERS[[#This Row],[LastName]]</f>
        <v>Claire Knight</v>
      </c>
      <c r="S135" s="21">
        <v>31413</v>
      </c>
      <c r="U135" s="21">
        <v>22097</v>
      </c>
      <c r="V135" s="138" t="b">
        <v>0</v>
      </c>
      <c r="W135" t="b">
        <v>0</v>
      </c>
      <c r="X135" t="b">
        <v>0</v>
      </c>
      <c r="Y135" t="s">
        <v>2126</v>
      </c>
      <c r="Z135" t="b">
        <v>1</v>
      </c>
      <c r="AB135" t="s">
        <v>1571</v>
      </c>
      <c r="AC135" t="b">
        <v>0</v>
      </c>
    </row>
    <row r="136" spans="1:29" x14ac:dyDescent="0.3">
      <c r="A136" s="57" t="str">
        <f>MEMBERS[[#This Row],[Title]]&amp;MEMBERS[[#This Row],[ServiceStartDate]]</f>
        <v>Claire Perks45962</v>
      </c>
      <c r="B136" s="57">
        <f>IF(COUNTIF(MEMBERS[NameServiceStart],MEMBERS[[#This Row],[NameServiceStart]])=1,0,1)</f>
        <v>0</v>
      </c>
      <c r="C136" s="57">
        <f>IF(COUNTIF(MEMBERS[StaffMemberCode],MEMBERS[[#This Row],[StaffMemberCode]])=1,0,1)</f>
        <v>0</v>
      </c>
      <c r="D136" s="57">
        <f>IF(ISBLANK(MEMBERS[[#This Row],[PayrollLocation]]),0,IF(COUNTIF(SCHOOLS[SchoolCode],MEMBERS[[#This Row],[PayrollLocation]])=1,0,1))</f>
        <v>0</v>
      </c>
      <c r="E136" s="57">
        <f>IF(MEMBERS[[#This Row],[AvailableToAllSchools]]=FALSE,IF(ISBLANK(MEMBERS[[#This Row],[SchoolCodes]]),1,0),IF(MEMBERS[[#This Row],[AvailableToAllSchools]]=TRUE,IF(ISBLANK(MEMBERS[[#This Row],[SchoolCodes]]),0,1)))</f>
        <v>0</v>
      </c>
      <c r="F136" s="57">
        <f>IF(ISBLANK(MEMBERS[[#This Row],[ServiceEndDate]]),0,IF(MEMBERS[[#This Row],[ServiceStartDate]]&lt;MEMBERS[[#This Row],[ServiceEndDate]],0,1))</f>
        <v>0</v>
      </c>
      <c r="G136" s="57" cm="1">
        <f t="array" aca="1" ref="G136" ca="1">IF(CELL("format",MEMBERS[[#This Row],[ServiceStartDate]])="D1",0,1)+IF(CELL("format",MEMBERS[[#This Row],[ServiceEndDate]])="D1",0,1)</f>
        <v>0</v>
      </c>
      <c r="H13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36" s="57">
        <f>IF(LEN(MEMBERS[[#This Row],[StaffMemberCode]])&lt;100,0,1)</f>
        <v>0</v>
      </c>
      <c r="J136" s="57">
        <f>IF(LEN(MEMBERS[[#This Row],[Title]])&lt;100,0,1)</f>
        <v>0</v>
      </c>
      <c r="K136" s="57">
        <f>COUNTBLANK(MEMBERS[[#This Row],[StaffMemberCode]:[ServiceStartDate]])+COUNTBLANK(MEMBERS[[#This Row],[Apprenticeship]]:MEMBERS[[#This Row],[StaffMemberEnabled]])+COUNTBLANK(MEMBERS[[#This Row],[GenderCode]]:MEMBERS[[#This Row],[Casual]])</f>
        <v>0</v>
      </c>
      <c r="L136" s="57">
        <f>IF(SUBSTITUTE(TEXT(MEMBERS[[#This Row],[StaffMemberCode]],10)," ","")=TEXT(MEMBERS[[#This Row],[StaffMemberCode]],10),0,1)</f>
        <v>0</v>
      </c>
      <c r="M136" s="57">
        <f ca="1">SUM(MEMBERS[[#This Row],[Duplicate NameService Start]:[Space in Code]])</f>
        <v>0</v>
      </c>
      <c r="O136" s="15">
        <v>91850071</v>
      </c>
      <c r="P136" s="15" t="s">
        <v>3221</v>
      </c>
      <c r="Q136" s="15" t="s">
        <v>3551</v>
      </c>
      <c r="R136" s="133" t="str">
        <f>MEMBERS[[#This Row],[FirstName]]&amp;" "&amp;MEMBERS[[#This Row],[LastName]]</f>
        <v>Claire Perks</v>
      </c>
      <c r="S136" s="21">
        <v>45962</v>
      </c>
      <c r="U136" s="21">
        <v>26205</v>
      </c>
      <c r="V136" t="b">
        <v>0</v>
      </c>
      <c r="W136" t="b">
        <v>0</v>
      </c>
      <c r="X136" t="b">
        <v>0</v>
      </c>
      <c r="Y136" t="s">
        <v>2094</v>
      </c>
      <c r="Z136" t="b">
        <v>1</v>
      </c>
      <c r="AB136" t="s">
        <v>1571</v>
      </c>
      <c r="AC136" t="b">
        <v>0</v>
      </c>
    </row>
    <row r="137" spans="1:29" x14ac:dyDescent="0.3">
      <c r="A137" s="57" t="str">
        <f>MEMBERS[[#This Row],[Title]]&amp;MEMBERS[[#This Row],[ServiceStartDate]]</f>
        <v>Claire Radcliffe45962</v>
      </c>
      <c r="B137" s="57">
        <f>IF(COUNTIF(MEMBERS[NameServiceStart],MEMBERS[[#This Row],[NameServiceStart]])=1,0,1)</f>
        <v>0</v>
      </c>
      <c r="C137" s="57">
        <f>IF(COUNTIF(MEMBERS[StaffMemberCode],MEMBERS[[#This Row],[StaffMemberCode]])=1,0,1)</f>
        <v>0</v>
      </c>
      <c r="D137" s="57">
        <f>IF(ISBLANK(MEMBERS[[#This Row],[PayrollLocation]]),0,IF(COUNTIF(SCHOOLS[SchoolCode],MEMBERS[[#This Row],[PayrollLocation]])=1,0,1))</f>
        <v>0</v>
      </c>
      <c r="E137" s="57">
        <f>IF(MEMBERS[[#This Row],[AvailableToAllSchools]]=FALSE,IF(ISBLANK(MEMBERS[[#This Row],[SchoolCodes]]),1,0),IF(MEMBERS[[#This Row],[AvailableToAllSchools]]=TRUE,IF(ISBLANK(MEMBERS[[#This Row],[SchoolCodes]]),0,1)))</f>
        <v>0</v>
      </c>
      <c r="F137" s="57">
        <f>IF(ISBLANK(MEMBERS[[#This Row],[ServiceEndDate]]),0,IF(MEMBERS[[#This Row],[ServiceStartDate]]&lt;MEMBERS[[#This Row],[ServiceEndDate]],0,1))</f>
        <v>0</v>
      </c>
      <c r="G137" s="57" cm="1">
        <f t="array" aca="1" ref="G137" ca="1">IF(CELL("format",MEMBERS[[#This Row],[ServiceStartDate]])="D1",0,1)+IF(CELL("format",MEMBERS[[#This Row],[ServiceEndDate]])="D1",0,1)</f>
        <v>0</v>
      </c>
      <c r="H13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37" s="57">
        <f>IF(LEN(MEMBERS[[#This Row],[StaffMemberCode]])&lt;100,0,1)</f>
        <v>0</v>
      </c>
      <c r="J137" s="57">
        <f>IF(LEN(MEMBERS[[#This Row],[Title]])&lt;100,0,1)</f>
        <v>0</v>
      </c>
      <c r="K137" s="57">
        <f>COUNTBLANK(MEMBERS[[#This Row],[StaffMemberCode]:[ServiceStartDate]])+COUNTBLANK(MEMBERS[[#This Row],[Apprenticeship]]:MEMBERS[[#This Row],[StaffMemberEnabled]])+COUNTBLANK(MEMBERS[[#This Row],[GenderCode]]:MEMBERS[[#This Row],[Casual]])</f>
        <v>0</v>
      </c>
      <c r="L137" s="57">
        <f>IF(SUBSTITUTE(TEXT(MEMBERS[[#This Row],[StaffMemberCode]],10)," ","")=TEXT(MEMBERS[[#This Row],[StaffMemberCode]],10),0,1)</f>
        <v>0</v>
      </c>
      <c r="M137" s="57">
        <f ca="1">SUM(MEMBERS[[#This Row],[Duplicate NameService Start]:[Space in Code]])</f>
        <v>0</v>
      </c>
      <c r="O137" s="15">
        <v>91850072</v>
      </c>
      <c r="P137" s="15" t="s">
        <v>3221</v>
      </c>
      <c r="Q137" s="15" t="s">
        <v>3552</v>
      </c>
      <c r="R137" s="133" t="str">
        <f>MEMBERS[[#This Row],[FirstName]]&amp;" "&amp;MEMBERS[[#This Row],[LastName]]</f>
        <v>Claire Radcliffe</v>
      </c>
      <c r="S137" s="21">
        <v>45962</v>
      </c>
      <c r="U137" s="21">
        <v>26748</v>
      </c>
      <c r="V137" t="b">
        <v>0</v>
      </c>
      <c r="W137" t="b">
        <v>0</v>
      </c>
      <c r="X137" t="b">
        <v>0</v>
      </c>
      <c r="Y137" t="s">
        <v>2094</v>
      </c>
      <c r="Z137" t="b">
        <v>1</v>
      </c>
      <c r="AB137" t="s">
        <v>1571</v>
      </c>
      <c r="AC137" t="b">
        <v>0</v>
      </c>
    </row>
    <row r="138" spans="1:29" x14ac:dyDescent="0.3">
      <c r="A138" s="57" t="str">
        <f>MEMBERS[[#This Row],[Title]]&amp;MEMBERS[[#This Row],[ServiceStartDate]]</f>
        <v>Claire Terry39456</v>
      </c>
      <c r="B138" s="57">
        <f>IF(COUNTIF(MEMBERS[NameServiceStart],MEMBERS[[#This Row],[NameServiceStart]])=1,0,1)</f>
        <v>0</v>
      </c>
      <c r="C138" s="57">
        <f>IF(COUNTIF(MEMBERS[StaffMemberCode],MEMBERS[[#This Row],[StaffMemberCode]])=1,0,1)</f>
        <v>0</v>
      </c>
      <c r="D138" s="57">
        <f>IF(ISBLANK(MEMBERS[[#This Row],[PayrollLocation]]),0,IF(COUNTIF(SCHOOLS[SchoolCode],MEMBERS[[#This Row],[PayrollLocation]])=1,0,1))</f>
        <v>0</v>
      </c>
      <c r="E138" s="57">
        <f>IF(MEMBERS[[#This Row],[AvailableToAllSchools]]=FALSE,IF(ISBLANK(MEMBERS[[#This Row],[SchoolCodes]]),1,0),IF(MEMBERS[[#This Row],[AvailableToAllSchools]]=TRUE,IF(ISBLANK(MEMBERS[[#This Row],[SchoolCodes]]),0,1)))</f>
        <v>0</v>
      </c>
      <c r="F138" s="57">
        <f>IF(ISBLANK(MEMBERS[[#This Row],[ServiceEndDate]]),0,IF(MEMBERS[[#This Row],[ServiceStartDate]]&lt;MEMBERS[[#This Row],[ServiceEndDate]],0,1))</f>
        <v>0</v>
      </c>
      <c r="G138" s="57" cm="1">
        <f t="array" aca="1" ref="G138" ca="1">IF(CELL("format",MEMBERS[[#This Row],[ServiceStartDate]])="D1",0,1)+IF(CELL("format",MEMBERS[[#This Row],[ServiceEndDate]])="D1",0,1)</f>
        <v>0</v>
      </c>
      <c r="H13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38" s="57">
        <f>IF(LEN(MEMBERS[[#This Row],[StaffMemberCode]])&lt;100,0,1)</f>
        <v>0</v>
      </c>
      <c r="J138" s="57">
        <f>IF(LEN(MEMBERS[[#This Row],[Title]])&lt;100,0,1)</f>
        <v>0</v>
      </c>
      <c r="K138" s="57">
        <f>COUNTBLANK(MEMBERS[[#This Row],[StaffMemberCode]:[ServiceStartDate]])+COUNTBLANK(MEMBERS[[#This Row],[Apprenticeship]]:MEMBERS[[#This Row],[StaffMemberEnabled]])+COUNTBLANK(MEMBERS[[#This Row],[GenderCode]]:MEMBERS[[#This Row],[Casual]])</f>
        <v>0</v>
      </c>
      <c r="L138" s="57">
        <f>IF(SUBSTITUTE(TEXT(MEMBERS[[#This Row],[StaffMemberCode]],10)," ","")=TEXT(MEMBERS[[#This Row],[StaffMemberCode]],10),0,1)</f>
        <v>0</v>
      </c>
      <c r="M138" s="57">
        <f ca="1">SUM(MEMBERS[[#This Row],[Duplicate NameService Start]:[Space in Code]])</f>
        <v>0</v>
      </c>
      <c r="O138" s="15">
        <v>91073687</v>
      </c>
      <c r="P138" s="15" t="s">
        <v>3221</v>
      </c>
      <c r="Q138" s="15" t="s">
        <v>3553</v>
      </c>
      <c r="R138" s="133" t="str">
        <f>MEMBERS[[#This Row],[FirstName]]&amp;" "&amp;MEMBERS[[#This Row],[LastName]]</f>
        <v>Claire Terry</v>
      </c>
      <c r="S138" s="21">
        <v>39456</v>
      </c>
      <c r="U138" s="21">
        <v>30636</v>
      </c>
      <c r="V138" t="b">
        <v>0</v>
      </c>
      <c r="W138" t="b">
        <v>0</v>
      </c>
      <c r="X138" t="b">
        <v>0</v>
      </c>
      <c r="Y138" t="s">
        <v>2082</v>
      </c>
      <c r="Z138" t="b">
        <v>1</v>
      </c>
      <c r="AB138" t="s">
        <v>1571</v>
      </c>
      <c r="AC138" t="b">
        <v>0</v>
      </c>
    </row>
    <row r="139" spans="1:29" x14ac:dyDescent="0.3">
      <c r="A139" s="57" t="str">
        <f>MEMBERS[[#This Row],[Title]]&amp;MEMBERS[[#This Row],[ServiceStartDate]]</f>
        <v>Claire Thompson43475</v>
      </c>
      <c r="B139" s="57">
        <f>IF(COUNTIF(MEMBERS[NameServiceStart],MEMBERS[[#This Row],[NameServiceStart]])=1,0,1)</f>
        <v>0</v>
      </c>
      <c r="C139" s="57">
        <f>IF(COUNTIF(MEMBERS[StaffMemberCode],MEMBERS[[#This Row],[StaffMemberCode]])=1,0,1)</f>
        <v>0</v>
      </c>
      <c r="D139" s="57">
        <f>IF(ISBLANK(MEMBERS[[#This Row],[PayrollLocation]]),0,IF(COUNTIF(SCHOOLS[SchoolCode],MEMBERS[[#This Row],[PayrollLocation]])=1,0,1))</f>
        <v>0</v>
      </c>
      <c r="E139" s="57">
        <f>IF(MEMBERS[[#This Row],[AvailableToAllSchools]]=FALSE,IF(ISBLANK(MEMBERS[[#This Row],[SchoolCodes]]),1,0),IF(MEMBERS[[#This Row],[AvailableToAllSchools]]=TRUE,IF(ISBLANK(MEMBERS[[#This Row],[SchoolCodes]]),0,1)))</f>
        <v>0</v>
      </c>
      <c r="F139" s="57">
        <f>IF(ISBLANK(MEMBERS[[#This Row],[ServiceEndDate]]),0,IF(MEMBERS[[#This Row],[ServiceStartDate]]&lt;MEMBERS[[#This Row],[ServiceEndDate]],0,1))</f>
        <v>0</v>
      </c>
      <c r="G139" s="57" cm="1">
        <f t="array" aca="1" ref="G139" ca="1">IF(CELL("format",MEMBERS[[#This Row],[ServiceStartDate]])="D1",0,1)+IF(CELL("format",MEMBERS[[#This Row],[ServiceEndDate]])="D1",0,1)</f>
        <v>0</v>
      </c>
      <c r="H13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39" s="57">
        <f>IF(LEN(MEMBERS[[#This Row],[StaffMemberCode]])&lt;100,0,1)</f>
        <v>0</v>
      </c>
      <c r="J139" s="57">
        <f>IF(LEN(MEMBERS[[#This Row],[Title]])&lt;100,0,1)</f>
        <v>0</v>
      </c>
      <c r="K139" s="57">
        <f>COUNTBLANK(MEMBERS[[#This Row],[StaffMemberCode]:[ServiceStartDate]])+COUNTBLANK(MEMBERS[[#This Row],[Apprenticeship]]:MEMBERS[[#This Row],[StaffMemberEnabled]])+COUNTBLANK(MEMBERS[[#This Row],[GenderCode]]:MEMBERS[[#This Row],[Casual]])</f>
        <v>0</v>
      </c>
      <c r="L139" s="57">
        <f>IF(SUBSTITUTE(TEXT(MEMBERS[[#This Row],[StaffMemberCode]],10)," ","")=TEXT(MEMBERS[[#This Row],[StaffMemberCode]],10),0,1)</f>
        <v>0</v>
      </c>
      <c r="M139" s="57">
        <f ca="1">SUM(MEMBERS[[#This Row],[Duplicate NameService Start]:[Space in Code]])</f>
        <v>0</v>
      </c>
      <c r="O139" s="15">
        <v>91073785</v>
      </c>
      <c r="P139" s="15" t="s">
        <v>3221</v>
      </c>
      <c r="Q139" s="15" t="s">
        <v>3554</v>
      </c>
      <c r="R139" s="133" t="str">
        <f>MEMBERS[[#This Row],[FirstName]]&amp;" "&amp;MEMBERS[[#This Row],[LastName]]</f>
        <v>Claire Thompson</v>
      </c>
      <c r="S139" s="21">
        <v>43475</v>
      </c>
      <c r="U139" s="21">
        <v>28397</v>
      </c>
      <c r="V139" t="b">
        <v>0</v>
      </c>
      <c r="W139" t="b">
        <v>0</v>
      </c>
      <c r="X139" t="b">
        <v>0</v>
      </c>
      <c r="Y139" t="s">
        <v>2082</v>
      </c>
      <c r="Z139" t="b">
        <v>1</v>
      </c>
      <c r="AB139" t="s">
        <v>1571</v>
      </c>
      <c r="AC139" t="b">
        <v>0</v>
      </c>
    </row>
    <row r="140" spans="1:29" x14ac:dyDescent="0.3">
      <c r="A140" s="57" t="str">
        <f>MEMBERS[[#This Row],[Title]]&amp;MEMBERS[[#This Row],[ServiceStartDate]]</f>
        <v>Claire Wright44986</v>
      </c>
      <c r="B140" s="57">
        <f>IF(COUNTIF(MEMBERS[NameServiceStart],MEMBERS[[#This Row],[NameServiceStart]])=1,0,1)</f>
        <v>0</v>
      </c>
      <c r="C140" s="57">
        <f>IF(COUNTIF(MEMBERS[StaffMemberCode],MEMBERS[[#This Row],[StaffMemberCode]])=1,0,1)</f>
        <v>0</v>
      </c>
      <c r="D140" s="57">
        <f>IF(ISBLANK(MEMBERS[[#This Row],[PayrollLocation]]),0,IF(COUNTIF(SCHOOLS[SchoolCode],MEMBERS[[#This Row],[PayrollLocation]])=1,0,1))</f>
        <v>0</v>
      </c>
      <c r="E140" s="57">
        <f>IF(MEMBERS[[#This Row],[AvailableToAllSchools]]=FALSE,IF(ISBLANK(MEMBERS[[#This Row],[SchoolCodes]]),1,0),IF(MEMBERS[[#This Row],[AvailableToAllSchools]]=TRUE,IF(ISBLANK(MEMBERS[[#This Row],[SchoolCodes]]),0,1)))</f>
        <v>0</v>
      </c>
      <c r="F140" s="57">
        <f>IF(ISBLANK(MEMBERS[[#This Row],[ServiceEndDate]]),0,IF(MEMBERS[[#This Row],[ServiceStartDate]]&lt;MEMBERS[[#This Row],[ServiceEndDate]],0,1))</f>
        <v>0</v>
      </c>
      <c r="G140" s="57" cm="1">
        <f t="array" aca="1" ref="G140" ca="1">IF(CELL("format",MEMBERS[[#This Row],[ServiceStartDate]])="D1",0,1)+IF(CELL("format",MEMBERS[[#This Row],[ServiceEndDate]])="D1",0,1)</f>
        <v>0</v>
      </c>
      <c r="H14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40" s="57">
        <f>IF(LEN(MEMBERS[[#This Row],[StaffMemberCode]])&lt;100,0,1)</f>
        <v>0</v>
      </c>
      <c r="J140" s="57">
        <f>IF(LEN(MEMBERS[[#This Row],[Title]])&lt;100,0,1)</f>
        <v>0</v>
      </c>
      <c r="K140" s="57">
        <f>COUNTBLANK(MEMBERS[[#This Row],[StaffMemberCode]:[ServiceStartDate]])+COUNTBLANK(MEMBERS[[#This Row],[Apprenticeship]]:MEMBERS[[#This Row],[StaffMemberEnabled]])+COUNTBLANK(MEMBERS[[#This Row],[GenderCode]]:MEMBERS[[#This Row],[Casual]])</f>
        <v>0</v>
      </c>
      <c r="L140" s="57">
        <f>IF(SUBSTITUTE(TEXT(MEMBERS[[#This Row],[StaffMemberCode]],10)," ","")=TEXT(MEMBERS[[#This Row],[StaffMemberCode]],10),0,1)</f>
        <v>0</v>
      </c>
      <c r="M140" s="57">
        <f ca="1">SUM(MEMBERS[[#This Row],[Duplicate NameService Start]:[Space in Code]])</f>
        <v>0</v>
      </c>
      <c r="O140" s="15">
        <v>10011404</v>
      </c>
      <c r="P140" s="15" t="s">
        <v>3221</v>
      </c>
      <c r="Q140" s="15" t="s">
        <v>3671</v>
      </c>
      <c r="R140" s="133" t="str">
        <f>MEMBERS[[#This Row],[FirstName]]&amp;" "&amp;MEMBERS[[#This Row],[LastName]]</f>
        <v>Claire Wright</v>
      </c>
      <c r="S140" s="21">
        <v>44986</v>
      </c>
      <c r="U140" s="21">
        <v>28406</v>
      </c>
      <c r="V140" s="138" t="b">
        <v>0</v>
      </c>
      <c r="W140" t="b">
        <v>0</v>
      </c>
      <c r="X140" t="b">
        <v>0</v>
      </c>
      <c r="Y140" t="s">
        <v>2126</v>
      </c>
      <c r="Z140" t="b">
        <v>1</v>
      </c>
      <c r="AB140" t="s">
        <v>1571</v>
      </c>
      <c r="AC140" t="b">
        <v>1</v>
      </c>
    </row>
    <row r="141" spans="1:29" x14ac:dyDescent="0.3">
      <c r="A141" s="57" t="str">
        <f>MEMBERS[[#This Row],[Title]]&amp;MEMBERS[[#This Row],[ServiceStartDate]]</f>
        <v>Clara Kemp43640</v>
      </c>
      <c r="B141" s="57">
        <f>IF(COUNTIF(MEMBERS[NameServiceStart],MEMBERS[[#This Row],[NameServiceStart]])=1,0,1)</f>
        <v>0</v>
      </c>
      <c r="C141" s="57">
        <f>IF(COUNTIF(MEMBERS[StaffMemberCode],MEMBERS[[#This Row],[StaffMemberCode]])=1,0,1)</f>
        <v>0</v>
      </c>
      <c r="D141" s="57">
        <f>IF(ISBLANK(MEMBERS[[#This Row],[PayrollLocation]]),0,IF(COUNTIF(SCHOOLS[SchoolCode],MEMBERS[[#This Row],[PayrollLocation]])=1,0,1))</f>
        <v>0</v>
      </c>
      <c r="E141" s="57">
        <f>IF(MEMBERS[[#This Row],[AvailableToAllSchools]]=FALSE,IF(ISBLANK(MEMBERS[[#This Row],[SchoolCodes]]),1,0),IF(MEMBERS[[#This Row],[AvailableToAllSchools]]=TRUE,IF(ISBLANK(MEMBERS[[#This Row],[SchoolCodes]]),0,1)))</f>
        <v>0</v>
      </c>
      <c r="F141" s="57">
        <f>IF(ISBLANK(MEMBERS[[#This Row],[ServiceEndDate]]),0,IF(MEMBERS[[#This Row],[ServiceStartDate]]&lt;MEMBERS[[#This Row],[ServiceEndDate]],0,1))</f>
        <v>0</v>
      </c>
      <c r="G141" s="57" cm="1">
        <f t="array" aca="1" ref="G141" ca="1">IF(CELL("format",MEMBERS[[#This Row],[ServiceStartDate]])="D1",0,1)+IF(CELL("format",MEMBERS[[#This Row],[ServiceEndDate]])="D1",0,1)</f>
        <v>0</v>
      </c>
      <c r="H14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41" s="57">
        <f>IF(LEN(MEMBERS[[#This Row],[StaffMemberCode]])&lt;100,0,1)</f>
        <v>0</v>
      </c>
      <c r="J141" s="57">
        <f>IF(LEN(MEMBERS[[#This Row],[Title]])&lt;100,0,1)</f>
        <v>0</v>
      </c>
      <c r="K141" s="57">
        <f>COUNTBLANK(MEMBERS[[#This Row],[StaffMemberCode]:[ServiceStartDate]])+COUNTBLANK(MEMBERS[[#This Row],[Apprenticeship]]:MEMBERS[[#This Row],[StaffMemberEnabled]])+COUNTBLANK(MEMBERS[[#This Row],[GenderCode]]:MEMBERS[[#This Row],[Casual]])</f>
        <v>0</v>
      </c>
      <c r="L141" s="57">
        <f>IF(SUBSTITUTE(TEXT(MEMBERS[[#This Row],[StaffMemberCode]],10)," ","")=TEXT(MEMBERS[[#This Row],[StaffMemberCode]],10),0,1)</f>
        <v>0</v>
      </c>
      <c r="M141" s="57">
        <f ca="1">SUM(MEMBERS[[#This Row],[Duplicate NameService Start]:[Space in Code]])</f>
        <v>0</v>
      </c>
      <c r="O141" s="15">
        <v>91073647</v>
      </c>
      <c r="P141" s="15" t="s">
        <v>3222</v>
      </c>
      <c r="Q141" s="15" t="s">
        <v>3555</v>
      </c>
      <c r="R141" s="133" t="str">
        <f>MEMBERS[[#This Row],[FirstName]]&amp;" "&amp;MEMBERS[[#This Row],[LastName]]</f>
        <v>Clara Kemp</v>
      </c>
      <c r="S141" s="21">
        <v>43640</v>
      </c>
      <c r="U141" s="21">
        <v>30200</v>
      </c>
      <c r="V141" t="b">
        <v>0</v>
      </c>
      <c r="W141" t="b">
        <v>0</v>
      </c>
      <c r="X141" t="b">
        <v>0</v>
      </c>
      <c r="Y141" t="s">
        <v>2089</v>
      </c>
      <c r="Z141" t="b">
        <v>1</v>
      </c>
      <c r="AB141" t="s">
        <v>1571</v>
      </c>
      <c r="AC141" t="b">
        <v>0</v>
      </c>
    </row>
    <row r="142" spans="1:29" x14ac:dyDescent="0.3">
      <c r="A142" s="57" t="str">
        <f>MEMBERS[[#This Row],[Title]]&amp;MEMBERS[[#This Row],[ServiceStartDate]]</f>
        <v>Clare Lyons39091</v>
      </c>
      <c r="B142" s="57">
        <f>IF(COUNTIF(MEMBERS[NameServiceStart],MEMBERS[[#This Row],[NameServiceStart]])=1,0,1)</f>
        <v>0</v>
      </c>
      <c r="C142" s="57">
        <f>IF(COUNTIF(MEMBERS[StaffMemberCode],MEMBERS[[#This Row],[StaffMemberCode]])=1,0,1)</f>
        <v>0</v>
      </c>
      <c r="D142" s="57">
        <f>IF(ISBLANK(MEMBERS[[#This Row],[PayrollLocation]]),0,IF(COUNTIF(SCHOOLS[SchoolCode],MEMBERS[[#This Row],[PayrollLocation]])=1,0,1))</f>
        <v>0</v>
      </c>
      <c r="E142" s="57">
        <f>IF(MEMBERS[[#This Row],[AvailableToAllSchools]]=FALSE,IF(ISBLANK(MEMBERS[[#This Row],[SchoolCodes]]),1,0),IF(MEMBERS[[#This Row],[AvailableToAllSchools]]=TRUE,IF(ISBLANK(MEMBERS[[#This Row],[SchoolCodes]]),0,1)))</f>
        <v>0</v>
      </c>
      <c r="F142" s="57">
        <f>IF(ISBLANK(MEMBERS[[#This Row],[ServiceEndDate]]),0,IF(MEMBERS[[#This Row],[ServiceStartDate]]&lt;MEMBERS[[#This Row],[ServiceEndDate]],0,1))</f>
        <v>0</v>
      </c>
      <c r="G142" s="57" cm="1">
        <f t="array" aca="1" ref="G142" ca="1">IF(CELL("format",MEMBERS[[#This Row],[ServiceStartDate]])="D1",0,1)+IF(CELL("format",MEMBERS[[#This Row],[ServiceEndDate]])="D1",0,1)</f>
        <v>0</v>
      </c>
      <c r="H14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42" s="57">
        <f>IF(LEN(MEMBERS[[#This Row],[StaffMemberCode]])&lt;100,0,1)</f>
        <v>0</v>
      </c>
      <c r="J142" s="57">
        <f>IF(LEN(MEMBERS[[#This Row],[Title]])&lt;100,0,1)</f>
        <v>0</v>
      </c>
      <c r="K142" s="57">
        <f>COUNTBLANK(MEMBERS[[#This Row],[StaffMemberCode]:[ServiceStartDate]])+COUNTBLANK(MEMBERS[[#This Row],[Apprenticeship]]:MEMBERS[[#This Row],[StaffMemberEnabled]])+COUNTBLANK(MEMBERS[[#This Row],[GenderCode]]:MEMBERS[[#This Row],[Casual]])</f>
        <v>0</v>
      </c>
      <c r="L142" s="57">
        <f>IF(SUBSTITUTE(TEXT(MEMBERS[[#This Row],[StaffMemberCode]],10)," ","")=TEXT(MEMBERS[[#This Row],[StaffMemberCode]],10),0,1)</f>
        <v>0</v>
      </c>
      <c r="M142" s="57">
        <f ca="1">SUM(MEMBERS[[#This Row],[Duplicate NameService Start]:[Space in Code]])</f>
        <v>0</v>
      </c>
      <c r="O142" s="15">
        <v>91073682</v>
      </c>
      <c r="P142" s="15" t="s">
        <v>3223</v>
      </c>
      <c r="Q142" s="15" t="s">
        <v>3556</v>
      </c>
      <c r="R142" s="133" t="str">
        <f>MEMBERS[[#This Row],[FirstName]]&amp;" "&amp;MEMBERS[[#This Row],[LastName]]</f>
        <v>Clare Lyons</v>
      </c>
      <c r="S142" s="21">
        <v>39091</v>
      </c>
      <c r="U142" s="21">
        <v>29802</v>
      </c>
      <c r="V142" t="b">
        <v>0</v>
      </c>
      <c r="W142" t="b">
        <v>0</v>
      </c>
      <c r="X142" t="b">
        <v>0</v>
      </c>
      <c r="Y142" t="s">
        <v>2082</v>
      </c>
      <c r="Z142" t="b">
        <v>1</v>
      </c>
      <c r="AB142" t="s">
        <v>1571</v>
      </c>
      <c r="AC142" t="b">
        <v>0</v>
      </c>
    </row>
    <row r="143" spans="1:29" x14ac:dyDescent="0.3">
      <c r="A143" s="57" t="str">
        <f>MEMBERS[[#This Row],[Title]]&amp;MEMBERS[[#This Row],[ServiceStartDate]]</f>
        <v>Clare Marsh42979</v>
      </c>
      <c r="B143" s="57">
        <f>IF(COUNTIF(MEMBERS[NameServiceStart],MEMBERS[[#This Row],[NameServiceStart]])=1,0,1)</f>
        <v>0</v>
      </c>
      <c r="C143" s="57">
        <f>IF(COUNTIF(MEMBERS[StaffMemberCode],MEMBERS[[#This Row],[StaffMemberCode]])=1,0,1)</f>
        <v>0</v>
      </c>
      <c r="D143" s="57">
        <f>IF(ISBLANK(MEMBERS[[#This Row],[PayrollLocation]]),0,IF(COUNTIF(SCHOOLS[SchoolCode],MEMBERS[[#This Row],[PayrollLocation]])=1,0,1))</f>
        <v>0</v>
      </c>
      <c r="E143" s="57">
        <f>IF(MEMBERS[[#This Row],[AvailableToAllSchools]]=FALSE,IF(ISBLANK(MEMBERS[[#This Row],[SchoolCodes]]),1,0),IF(MEMBERS[[#This Row],[AvailableToAllSchools]]=TRUE,IF(ISBLANK(MEMBERS[[#This Row],[SchoolCodes]]),0,1)))</f>
        <v>0</v>
      </c>
      <c r="F143" s="57">
        <f>IF(ISBLANK(MEMBERS[[#This Row],[ServiceEndDate]]),0,IF(MEMBERS[[#This Row],[ServiceStartDate]]&lt;MEMBERS[[#This Row],[ServiceEndDate]],0,1))</f>
        <v>0</v>
      </c>
      <c r="G143" s="57" cm="1">
        <f t="array" aca="1" ref="G143" ca="1">IF(CELL("format",MEMBERS[[#This Row],[ServiceStartDate]])="D1",0,1)+IF(CELL("format",MEMBERS[[#This Row],[ServiceEndDate]])="D1",0,1)</f>
        <v>0</v>
      </c>
      <c r="H14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43" s="57">
        <f>IF(LEN(MEMBERS[[#This Row],[StaffMemberCode]])&lt;100,0,1)</f>
        <v>0</v>
      </c>
      <c r="J143" s="57">
        <f>IF(LEN(MEMBERS[[#This Row],[Title]])&lt;100,0,1)</f>
        <v>0</v>
      </c>
      <c r="K143" s="57">
        <f>COUNTBLANK(MEMBERS[[#This Row],[StaffMemberCode]:[ServiceStartDate]])+COUNTBLANK(MEMBERS[[#This Row],[Apprenticeship]]:MEMBERS[[#This Row],[StaffMemberEnabled]])+COUNTBLANK(MEMBERS[[#This Row],[GenderCode]]:MEMBERS[[#This Row],[Casual]])</f>
        <v>0</v>
      </c>
      <c r="L143" s="57">
        <f>IF(SUBSTITUTE(TEXT(MEMBERS[[#This Row],[StaffMemberCode]],10)," ","")=TEXT(MEMBERS[[#This Row],[StaffMemberCode]],10),0,1)</f>
        <v>0</v>
      </c>
      <c r="M143" s="57">
        <f ca="1">SUM(MEMBERS[[#This Row],[Duplicate NameService Start]:[Space in Code]])</f>
        <v>0</v>
      </c>
      <c r="O143" s="15">
        <v>10005510</v>
      </c>
      <c r="P143" s="15" t="s">
        <v>3223</v>
      </c>
      <c r="Q143" s="15" t="s">
        <v>3539</v>
      </c>
      <c r="R143" s="133" t="str">
        <f>MEMBERS[[#This Row],[FirstName]]&amp;" "&amp;MEMBERS[[#This Row],[LastName]]</f>
        <v>Clare Marsh</v>
      </c>
      <c r="S143" s="21">
        <v>42979</v>
      </c>
      <c r="U143" s="21">
        <v>28620</v>
      </c>
      <c r="V143" s="138" t="b">
        <v>0</v>
      </c>
      <c r="W143" t="b">
        <v>0</v>
      </c>
      <c r="X143" t="b">
        <v>0</v>
      </c>
      <c r="Y143" t="s">
        <v>2126</v>
      </c>
      <c r="Z143" t="b">
        <v>1</v>
      </c>
      <c r="AB143" t="s">
        <v>1571</v>
      </c>
      <c r="AC143" t="b">
        <v>0</v>
      </c>
    </row>
    <row r="144" spans="1:29" x14ac:dyDescent="0.3">
      <c r="A144" s="57" t="str">
        <f>MEMBERS[[#This Row],[Title]]&amp;MEMBERS[[#This Row],[ServiceStartDate]]</f>
        <v>Clare Mitchell38361</v>
      </c>
      <c r="B144" s="57">
        <f>IF(COUNTIF(MEMBERS[NameServiceStart],MEMBERS[[#This Row],[NameServiceStart]])=1,0,1)</f>
        <v>0</v>
      </c>
      <c r="C144" s="57">
        <f>IF(COUNTIF(MEMBERS[StaffMemberCode],MEMBERS[[#This Row],[StaffMemberCode]])=1,0,1)</f>
        <v>0</v>
      </c>
      <c r="D144" s="57">
        <f>IF(ISBLANK(MEMBERS[[#This Row],[PayrollLocation]]),0,IF(COUNTIF(SCHOOLS[SchoolCode],MEMBERS[[#This Row],[PayrollLocation]])=1,0,1))</f>
        <v>0</v>
      </c>
      <c r="E144" s="57">
        <f>IF(MEMBERS[[#This Row],[AvailableToAllSchools]]=FALSE,IF(ISBLANK(MEMBERS[[#This Row],[SchoolCodes]]),1,0),IF(MEMBERS[[#This Row],[AvailableToAllSchools]]=TRUE,IF(ISBLANK(MEMBERS[[#This Row],[SchoolCodes]]),0,1)))</f>
        <v>0</v>
      </c>
      <c r="F144" s="57">
        <f>IF(ISBLANK(MEMBERS[[#This Row],[ServiceEndDate]]),0,IF(MEMBERS[[#This Row],[ServiceStartDate]]&lt;MEMBERS[[#This Row],[ServiceEndDate]],0,1))</f>
        <v>0</v>
      </c>
      <c r="G144" s="57" cm="1">
        <f t="array" aca="1" ref="G144" ca="1">IF(CELL("format",MEMBERS[[#This Row],[ServiceStartDate]])="D1",0,1)+IF(CELL("format",MEMBERS[[#This Row],[ServiceEndDate]])="D1",0,1)</f>
        <v>0</v>
      </c>
      <c r="H14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44" s="57">
        <f>IF(LEN(MEMBERS[[#This Row],[StaffMemberCode]])&lt;100,0,1)</f>
        <v>0</v>
      </c>
      <c r="J144" s="57">
        <f>IF(LEN(MEMBERS[[#This Row],[Title]])&lt;100,0,1)</f>
        <v>0</v>
      </c>
      <c r="K144" s="57">
        <f>COUNTBLANK(MEMBERS[[#This Row],[StaffMemberCode]:[ServiceStartDate]])+COUNTBLANK(MEMBERS[[#This Row],[Apprenticeship]]:MEMBERS[[#This Row],[StaffMemberEnabled]])+COUNTBLANK(MEMBERS[[#This Row],[GenderCode]]:MEMBERS[[#This Row],[Casual]])</f>
        <v>0</v>
      </c>
      <c r="L144" s="57">
        <f>IF(SUBSTITUTE(TEXT(MEMBERS[[#This Row],[StaffMemberCode]],10)," ","")=TEXT(MEMBERS[[#This Row],[StaffMemberCode]],10),0,1)</f>
        <v>0</v>
      </c>
      <c r="M144" s="57">
        <f ca="1">SUM(MEMBERS[[#This Row],[Duplicate NameService Start]:[Space in Code]])</f>
        <v>0</v>
      </c>
      <c r="O144" s="15">
        <v>91073673</v>
      </c>
      <c r="P144" s="15" t="s">
        <v>3223</v>
      </c>
      <c r="Q144" s="15" t="s">
        <v>3557</v>
      </c>
      <c r="R144" s="133" t="str">
        <f>MEMBERS[[#This Row],[FirstName]]&amp;" "&amp;MEMBERS[[#This Row],[LastName]]</f>
        <v>Clare Mitchell</v>
      </c>
      <c r="S144" s="21">
        <v>38361</v>
      </c>
      <c r="U144" s="21">
        <v>29768</v>
      </c>
      <c r="V144" t="b">
        <v>0</v>
      </c>
      <c r="W144" t="b">
        <v>0</v>
      </c>
      <c r="X144" t="b">
        <v>0</v>
      </c>
      <c r="Y144" t="s">
        <v>2082</v>
      </c>
      <c r="Z144" t="b">
        <v>1</v>
      </c>
      <c r="AB144" t="s">
        <v>1571</v>
      </c>
      <c r="AC144" t="b">
        <v>0</v>
      </c>
    </row>
    <row r="145" spans="1:29" x14ac:dyDescent="0.3">
      <c r="A145" s="57" t="str">
        <f>MEMBERS[[#This Row],[Title]]&amp;MEMBERS[[#This Row],[ServiceStartDate]]</f>
        <v>Clare Shufflebotham45271</v>
      </c>
      <c r="B145" s="57">
        <f>IF(COUNTIF(MEMBERS[NameServiceStart],MEMBERS[[#This Row],[NameServiceStart]])=1,0,1)</f>
        <v>0</v>
      </c>
      <c r="C145" s="57">
        <f>IF(COUNTIF(MEMBERS[StaffMemberCode],MEMBERS[[#This Row],[StaffMemberCode]])=1,0,1)</f>
        <v>0</v>
      </c>
      <c r="D145" s="57">
        <f>IF(ISBLANK(MEMBERS[[#This Row],[PayrollLocation]]),0,IF(COUNTIF(SCHOOLS[SchoolCode],MEMBERS[[#This Row],[PayrollLocation]])=1,0,1))</f>
        <v>0</v>
      </c>
      <c r="E145" s="57">
        <f>IF(MEMBERS[[#This Row],[AvailableToAllSchools]]=FALSE,IF(ISBLANK(MEMBERS[[#This Row],[SchoolCodes]]),1,0),IF(MEMBERS[[#This Row],[AvailableToAllSchools]]=TRUE,IF(ISBLANK(MEMBERS[[#This Row],[SchoolCodes]]),0,1)))</f>
        <v>0</v>
      </c>
      <c r="F145" s="57">
        <f>IF(ISBLANK(MEMBERS[[#This Row],[ServiceEndDate]]),0,IF(MEMBERS[[#This Row],[ServiceStartDate]]&lt;MEMBERS[[#This Row],[ServiceEndDate]],0,1))</f>
        <v>0</v>
      </c>
      <c r="G145" s="57" cm="1">
        <f t="array" aca="1" ref="G145" ca="1">IF(CELL("format",MEMBERS[[#This Row],[ServiceStartDate]])="D1",0,1)+IF(CELL("format",MEMBERS[[#This Row],[ServiceEndDate]])="D1",0,1)</f>
        <v>0</v>
      </c>
      <c r="H14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45" s="57">
        <f>IF(LEN(MEMBERS[[#This Row],[StaffMemberCode]])&lt;100,0,1)</f>
        <v>0</v>
      </c>
      <c r="J145" s="57">
        <f>IF(LEN(MEMBERS[[#This Row],[Title]])&lt;100,0,1)</f>
        <v>0</v>
      </c>
      <c r="K145" s="57">
        <f>COUNTBLANK(MEMBERS[[#This Row],[StaffMemberCode]:[ServiceStartDate]])+COUNTBLANK(MEMBERS[[#This Row],[Apprenticeship]]:MEMBERS[[#This Row],[StaffMemberEnabled]])+COUNTBLANK(MEMBERS[[#This Row],[GenderCode]]:MEMBERS[[#This Row],[Casual]])</f>
        <v>0</v>
      </c>
      <c r="L145" s="57">
        <f>IF(SUBSTITUTE(TEXT(MEMBERS[[#This Row],[StaffMemberCode]],10)," ","")=TEXT(MEMBERS[[#This Row],[StaffMemberCode]],10),0,1)</f>
        <v>0</v>
      </c>
      <c r="M145" s="57">
        <f ca="1">SUM(MEMBERS[[#This Row],[Duplicate NameService Start]:[Space in Code]])</f>
        <v>0</v>
      </c>
      <c r="O145" s="15">
        <v>10013383</v>
      </c>
      <c r="P145" s="15" t="s">
        <v>3223</v>
      </c>
      <c r="Q145" s="15" t="s">
        <v>4045</v>
      </c>
      <c r="R145" s="133" t="str">
        <f>MEMBERS[[#This Row],[FirstName]]&amp;" "&amp;MEMBERS[[#This Row],[LastName]]</f>
        <v>Clare Shufflebotham</v>
      </c>
      <c r="S145" s="21">
        <v>45271</v>
      </c>
      <c r="U145" s="21">
        <v>28710</v>
      </c>
      <c r="V145" s="138" t="b">
        <v>0</v>
      </c>
      <c r="W145" t="b">
        <v>0</v>
      </c>
      <c r="X145" t="b">
        <v>0</v>
      </c>
      <c r="Y145" t="s">
        <v>2126</v>
      </c>
      <c r="Z145" t="b">
        <v>1</v>
      </c>
      <c r="AB145" t="s">
        <v>1571</v>
      </c>
      <c r="AC145" t="b">
        <v>0</v>
      </c>
    </row>
    <row r="146" spans="1:29" x14ac:dyDescent="0.3">
      <c r="A146" s="57" t="str">
        <f>MEMBERS[[#This Row],[Title]]&amp;MEMBERS[[#This Row],[ServiceStartDate]]</f>
        <v>Claude Chimhandamba40917</v>
      </c>
      <c r="B146" s="57">
        <f>IF(COUNTIF(MEMBERS[NameServiceStart],MEMBERS[[#This Row],[NameServiceStart]])=1,0,1)</f>
        <v>0</v>
      </c>
      <c r="C146" s="57">
        <f>IF(COUNTIF(MEMBERS[StaffMemberCode],MEMBERS[[#This Row],[StaffMemberCode]])=1,0,1)</f>
        <v>0</v>
      </c>
      <c r="D146" s="57">
        <f>IF(ISBLANK(MEMBERS[[#This Row],[PayrollLocation]]),0,IF(COUNTIF(SCHOOLS[SchoolCode],MEMBERS[[#This Row],[PayrollLocation]])=1,0,1))</f>
        <v>0</v>
      </c>
      <c r="E146" s="57">
        <f>IF(MEMBERS[[#This Row],[AvailableToAllSchools]]=FALSE,IF(ISBLANK(MEMBERS[[#This Row],[SchoolCodes]]),1,0),IF(MEMBERS[[#This Row],[AvailableToAllSchools]]=TRUE,IF(ISBLANK(MEMBERS[[#This Row],[SchoolCodes]]),0,1)))</f>
        <v>0</v>
      </c>
      <c r="F146" s="57">
        <f>IF(ISBLANK(MEMBERS[[#This Row],[ServiceEndDate]]),0,IF(MEMBERS[[#This Row],[ServiceStartDate]]&lt;MEMBERS[[#This Row],[ServiceEndDate]],0,1))</f>
        <v>0</v>
      </c>
      <c r="G146" s="57" cm="1">
        <f t="array" aca="1" ref="G146" ca="1">IF(CELL("format",MEMBERS[[#This Row],[ServiceStartDate]])="D1",0,1)+IF(CELL("format",MEMBERS[[#This Row],[ServiceEndDate]])="D1",0,1)</f>
        <v>0</v>
      </c>
      <c r="H14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46" s="57">
        <f>IF(LEN(MEMBERS[[#This Row],[StaffMemberCode]])&lt;100,0,1)</f>
        <v>0</v>
      </c>
      <c r="J146" s="57">
        <f>IF(LEN(MEMBERS[[#This Row],[Title]])&lt;100,0,1)</f>
        <v>0</v>
      </c>
      <c r="K146" s="57">
        <f>COUNTBLANK(MEMBERS[[#This Row],[StaffMemberCode]:[ServiceStartDate]])+COUNTBLANK(MEMBERS[[#This Row],[Apprenticeship]]:MEMBERS[[#This Row],[StaffMemberEnabled]])+COUNTBLANK(MEMBERS[[#This Row],[GenderCode]]:MEMBERS[[#This Row],[Casual]])</f>
        <v>0</v>
      </c>
      <c r="L146" s="57">
        <f>IF(SUBSTITUTE(TEXT(MEMBERS[[#This Row],[StaffMemberCode]],10)," ","")=TEXT(MEMBERS[[#This Row],[StaffMemberCode]],10),0,1)</f>
        <v>0</v>
      </c>
      <c r="M146" s="57">
        <f ca="1">SUM(MEMBERS[[#This Row],[Duplicate NameService Start]:[Space in Code]])</f>
        <v>0</v>
      </c>
      <c r="O146" s="15">
        <v>91073847</v>
      </c>
      <c r="P146" s="15" t="s">
        <v>3224</v>
      </c>
      <c r="Q146" s="15" t="s">
        <v>3558</v>
      </c>
      <c r="R146" s="133" t="str">
        <f>MEMBERS[[#This Row],[FirstName]]&amp;" "&amp;MEMBERS[[#This Row],[LastName]]</f>
        <v>Claude Chimhandamba</v>
      </c>
      <c r="S146" s="21">
        <v>40917</v>
      </c>
      <c r="U146" s="21">
        <v>25362</v>
      </c>
      <c r="V146" t="b">
        <v>0</v>
      </c>
      <c r="W146" t="b">
        <v>0</v>
      </c>
      <c r="X146" t="b">
        <v>0</v>
      </c>
      <c r="Y146" t="s">
        <v>2082</v>
      </c>
      <c r="Z146" t="b">
        <v>1</v>
      </c>
      <c r="AB146" t="s">
        <v>1572</v>
      </c>
      <c r="AC146" t="b">
        <v>0</v>
      </c>
    </row>
    <row r="147" spans="1:29" x14ac:dyDescent="0.3">
      <c r="A147" s="57" t="str">
        <f>MEMBERS[[#This Row],[Title]]&amp;MEMBERS[[#This Row],[ServiceStartDate]]</f>
        <v>Clodagh Rogerson44736</v>
      </c>
      <c r="B147" s="57">
        <f>IF(COUNTIF(MEMBERS[NameServiceStart],MEMBERS[[#This Row],[NameServiceStart]])=1,0,1)</f>
        <v>0</v>
      </c>
      <c r="C147" s="57">
        <f>IF(COUNTIF(MEMBERS[StaffMemberCode],MEMBERS[[#This Row],[StaffMemberCode]])=1,0,1)</f>
        <v>0</v>
      </c>
      <c r="D147" s="57">
        <f>IF(ISBLANK(MEMBERS[[#This Row],[PayrollLocation]]),0,IF(COUNTIF(SCHOOLS[SchoolCode],MEMBERS[[#This Row],[PayrollLocation]])=1,0,1))</f>
        <v>0</v>
      </c>
      <c r="E147" s="57">
        <f>IF(MEMBERS[[#This Row],[AvailableToAllSchools]]=FALSE,IF(ISBLANK(MEMBERS[[#This Row],[SchoolCodes]]),1,0),IF(MEMBERS[[#This Row],[AvailableToAllSchools]]=TRUE,IF(ISBLANK(MEMBERS[[#This Row],[SchoolCodes]]),0,1)))</f>
        <v>0</v>
      </c>
      <c r="F147" s="57">
        <f>IF(ISBLANK(MEMBERS[[#This Row],[ServiceEndDate]]),0,IF(MEMBERS[[#This Row],[ServiceStartDate]]&lt;MEMBERS[[#This Row],[ServiceEndDate]],0,1))</f>
        <v>0</v>
      </c>
      <c r="G147" s="57" cm="1">
        <f t="array" aca="1" ref="G147" ca="1">IF(CELL("format",MEMBERS[[#This Row],[ServiceStartDate]])="D1",0,1)+IF(CELL("format",MEMBERS[[#This Row],[ServiceEndDate]])="D1",0,1)</f>
        <v>0</v>
      </c>
      <c r="H14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47" s="57">
        <f>IF(LEN(MEMBERS[[#This Row],[StaffMemberCode]])&lt;100,0,1)</f>
        <v>0</v>
      </c>
      <c r="J147" s="57">
        <f>IF(LEN(MEMBERS[[#This Row],[Title]])&lt;100,0,1)</f>
        <v>0</v>
      </c>
      <c r="K147" s="57">
        <f>COUNTBLANK(MEMBERS[[#This Row],[StaffMemberCode]:[ServiceStartDate]])+COUNTBLANK(MEMBERS[[#This Row],[Apprenticeship]]:MEMBERS[[#This Row],[StaffMemberEnabled]])+COUNTBLANK(MEMBERS[[#This Row],[GenderCode]]:MEMBERS[[#This Row],[Casual]])</f>
        <v>0</v>
      </c>
      <c r="L147" s="57">
        <f>IF(SUBSTITUTE(TEXT(MEMBERS[[#This Row],[StaffMemberCode]],10)," ","")=TEXT(MEMBERS[[#This Row],[StaffMemberCode]],10),0,1)</f>
        <v>0</v>
      </c>
      <c r="M147" s="57">
        <f ca="1">SUM(MEMBERS[[#This Row],[Duplicate NameService Start]:[Space in Code]])</f>
        <v>0</v>
      </c>
      <c r="O147" s="15">
        <v>10010393</v>
      </c>
      <c r="P147" s="15" t="s">
        <v>3962</v>
      </c>
      <c r="Q147" s="15" t="s">
        <v>3941</v>
      </c>
      <c r="R147" s="133" t="str">
        <f>MEMBERS[[#This Row],[FirstName]]&amp;" "&amp;MEMBERS[[#This Row],[LastName]]</f>
        <v>Clodagh Rogerson</v>
      </c>
      <c r="S147" s="21">
        <v>44736</v>
      </c>
      <c r="U147" s="21">
        <v>26585</v>
      </c>
      <c r="V147" s="138" t="b">
        <v>0</v>
      </c>
      <c r="W147" t="b">
        <v>0</v>
      </c>
      <c r="X147" t="b">
        <v>0</v>
      </c>
      <c r="Y147" t="s">
        <v>2126</v>
      </c>
      <c r="Z147" t="b">
        <v>1</v>
      </c>
      <c r="AB147" t="s">
        <v>1571</v>
      </c>
      <c r="AC147" t="b">
        <v>0</v>
      </c>
    </row>
    <row r="148" spans="1:29" x14ac:dyDescent="0.3">
      <c r="A148" s="57" t="str">
        <f>MEMBERS[[#This Row],[Title]]&amp;MEMBERS[[#This Row],[ServiceStartDate]]</f>
        <v>Codie Rogerson45082</v>
      </c>
      <c r="B148" s="57">
        <f>IF(COUNTIF(MEMBERS[NameServiceStart],MEMBERS[[#This Row],[NameServiceStart]])=1,0,1)</f>
        <v>0</v>
      </c>
      <c r="C148" s="57">
        <f>IF(COUNTIF(MEMBERS[StaffMemberCode],MEMBERS[[#This Row],[StaffMemberCode]])=1,0,1)</f>
        <v>0</v>
      </c>
      <c r="D148" s="57">
        <f>IF(ISBLANK(MEMBERS[[#This Row],[PayrollLocation]]),0,IF(COUNTIF(SCHOOLS[SchoolCode],MEMBERS[[#This Row],[PayrollLocation]])=1,0,1))</f>
        <v>0</v>
      </c>
      <c r="E148" s="57">
        <f>IF(MEMBERS[[#This Row],[AvailableToAllSchools]]=FALSE,IF(ISBLANK(MEMBERS[[#This Row],[SchoolCodes]]),1,0),IF(MEMBERS[[#This Row],[AvailableToAllSchools]]=TRUE,IF(ISBLANK(MEMBERS[[#This Row],[SchoolCodes]]),0,1)))</f>
        <v>0</v>
      </c>
      <c r="F148" s="57">
        <f>IF(ISBLANK(MEMBERS[[#This Row],[ServiceEndDate]]),0,IF(MEMBERS[[#This Row],[ServiceStartDate]]&lt;MEMBERS[[#This Row],[ServiceEndDate]],0,1))</f>
        <v>0</v>
      </c>
      <c r="G148" s="57" cm="1">
        <f t="array" aca="1" ref="G148" ca="1">IF(CELL("format",MEMBERS[[#This Row],[ServiceStartDate]])="D1",0,1)+IF(CELL("format",MEMBERS[[#This Row],[ServiceEndDate]])="D1",0,1)</f>
        <v>0</v>
      </c>
      <c r="H14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48" s="57">
        <f>IF(LEN(MEMBERS[[#This Row],[StaffMemberCode]])&lt;100,0,1)</f>
        <v>0</v>
      </c>
      <c r="J148" s="57">
        <f>IF(LEN(MEMBERS[[#This Row],[Title]])&lt;100,0,1)</f>
        <v>0</v>
      </c>
      <c r="K148" s="57">
        <f>COUNTBLANK(MEMBERS[[#This Row],[StaffMemberCode]:[ServiceStartDate]])+COUNTBLANK(MEMBERS[[#This Row],[Apprenticeship]]:MEMBERS[[#This Row],[StaffMemberEnabled]])+COUNTBLANK(MEMBERS[[#This Row],[GenderCode]]:MEMBERS[[#This Row],[Casual]])</f>
        <v>0</v>
      </c>
      <c r="L148" s="57">
        <f>IF(SUBSTITUTE(TEXT(MEMBERS[[#This Row],[StaffMemberCode]],10)," ","")=TEXT(MEMBERS[[#This Row],[StaffMemberCode]],10),0,1)</f>
        <v>0</v>
      </c>
      <c r="M148" s="57">
        <f ca="1">SUM(MEMBERS[[#This Row],[Duplicate NameService Start]:[Space in Code]])</f>
        <v>0</v>
      </c>
      <c r="O148" s="15">
        <v>10012679</v>
      </c>
      <c r="P148" s="15" t="s">
        <v>3963</v>
      </c>
      <c r="Q148" s="15" t="s">
        <v>3941</v>
      </c>
      <c r="R148" s="133" t="str">
        <f>MEMBERS[[#This Row],[FirstName]]&amp;" "&amp;MEMBERS[[#This Row],[LastName]]</f>
        <v>Codie Rogerson</v>
      </c>
      <c r="S148" s="21">
        <v>45082</v>
      </c>
      <c r="U148" s="21">
        <v>38539</v>
      </c>
      <c r="V148" s="138" t="b">
        <v>0</v>
      </c>
      <c r="W148" t="b">
        <v>0</v>
      </c>
      <c r="X148" t="b">
        <v>0</v>
      </c>
      <c r="Y148" t="s">
        <v>2126</v>
      </c>
      <c r="Z148" t="b">
        <v>1</v>
      </c>
      <c r="AB148" t="s">
        <v>1571</v>
      </c>
      <c r="AC148" t="b">
        <v>0</v>
      </c>
    </row>
    <row r="149" spans="1:29" x14ac:dyDescent="0.3">
      <c r="A149" s="57" t="str">
        <f>MEMBERS[[#This Row],[Title]]&amp;MEMBERS[[#This Row],[ServiceStartDate]]</f>
        <v>Colette Platt43771</v>
      </c>
      <c r="B149" s="57">
        <f>IF(COUNTIF(MEMBERS[NameServiceStart],MEMBERS[[#This Row],[NameServiceStart]])=1,0,1)</f>
        <v>0</v>
      </c>
      <c r="C149" s="57">
        <f>IF(COUNTIF(MEMBERS[StaffMemberCode],MEMBERS[[#This Row],[StaffMemberCode]])=1,0,1)</f>
        <v>0</v>
      </c>
      <c r="D149" s="57">
        <f>IF(ISBLANK(MEMBERS[[#This Row],[PayrollLocation]]),0,IF(COUNTIF(SCHOOLS[SchoolCode],MEMBERS[[#This Row],[PayrollLocation]])=1,0,1))</f>
        <v>0</v>
      </c>
      <c r="E149" s="57">
        <f>IF(MEMBERS[[#This Row],[AvailableToAllSchools]]=FALSE,IF(ISBLANK(MEMBERS[[#This Row],[SchoolCodes]]),1,0),IF(MEMBERS[[#This Row],[AvailableToAllSchools]]=TRUE,IF(ISBLANK(MEMBERS[[#This Row],[SchoolCodes]]),0,1)))</f>
        <v>0</v>
      </c>
      <c r="F149" s="57">
        <f>IF(ISBLANK(MEMBERS[[#This Row],[ServiceEndDate]]),0,IF(MEMBERS[[#This Row],[ServiceStartDate]]&lt;MEMBERS[[#This Row],[ServiceEndDate]],0,1))</f>
        <v>0</v>
      </c>
      <c r="G149" s="57" cm="1">
        <f t="array" aca="1" ref="G149" ca="1">IF(CELL("format",MEMBERS[[#This Row],[ServiceStartDate]])="D1",0,1)+IF(CELL("format",MEMBERS[[#This Row],[ServiceEndDate]])="D1",0,1)</f>
        <v>0</v>
      </c>
      <c r="H14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49" s="57">
        <f>IF(LEN(MEMBERS[[#This Row],[StaffMemberCode]])&lt;100,0,1)</f>
        <v>0</v>
      </c>
      <c r="J149" s="57">
        <f>IF(LEN(MEMBERS[[#This Row],[Title]])&lt;100,0,1)</f>
        <v>0</v>
      </c>
      <c r="K149" s="57">
        <f>COUNTBLANK(MEMBERS[[#This Row],[StaffMemberCode]:[ServiceStartDate]])+COUNTBLANK(MEMBERS[[#This Row],[Apprenticeship]]:MEMBERS[[#This Row],[StaffMemberEnabled]])+COUNTBLANK(MEMBERS[[#This Row],[GenderCode]]:MEMBERS[[#This Row],[Casual]])</f>
        <v>0</v>
      </c>
      <c r="L149" s="57">
        <f>IF(SUBSTITUTE(TEXT(MEMBERS[[#This Row],[StaffMemberCode]],10)," ","")=TEXT(MEMBERS[[#This Row],[StaffMemberCode]],10),0,1)</f>
        <v>0</v>
      </c>
      <c r="M149" s="57">
        <f ca="1">SUM(MEMBERS[[#This Row],[Duplicate NameService Start]:[Space in Code]])</f>
        <v>0</v>
      </c>
      <c r="O149" s="15">
        <v>91073564</v>
      </c>
      <c r="P149" s="15" t="s">
        <v>3225</v>
      </c>
      <c r="Q149" s="15" t="s">
        <v>3490</v>
      </c>
      <c r="R149" s="133" t="str">
        <f>MEMBERS[[#This Row],[FirstName]]&amp;" "&amp;MEMBERS[[#This Row],[LastName]]</f>
        <v>Colette Platt</v>
      </c>
      <c r="S149" s="21">
        <v>43771</v>
      </c>
      <c r="U149" s="21">
        <v>24376</v>
      </c>
      <c r="V149" t="b">
        <v>0</v>
      </c>
      <c r="W149" t="b">
        <v>0</v>
      </c>
      <c r="X149" t="b">
        <v>0</v>
      </c>
      <c r="Y149" t="s">
        <v>2094</v>
      </c>
      <c r="Z149" t="b">
        <v>1</v>
      </c>
      <c r="AB149" t="s">
        <v>1571</v>
      </c>
      <c r="AC149" t="b">
        <v>0</v>
      </c>
    </row>
    <row r="150" spans="1:29" x14ac:dyDescent="0.3">
      <c r="A150" s="57" t="str">
        <f>MEMBERS[[#This Row],[Title]]&amp;MEMBERS[[#This Row],[ServiceStartDate]]</f>
        <v>Constance Seiler45350</v>
      </c>
      <c r="B150" s="57">
        <f>IF(COUNTIF(MEMBERS[NameServiceStart],MEMBERS[[#This Row],[NameServiceStart]])=1,0,1)</f>
        <v>0</v>
      </c>
      <c r="C150" s="57">
        <f>IF(COUNTIF(MEMBERS[StaffMemberCode],MEMBERS[[#This Row],[StaffMemberCode]])=1,0,1)</f>
        <v>0</v>
      </c>
      <c r="D150" s="57">
        <f>IF(ISBLANK(MEMBERS[[#This Row],[PayrollLocation]]),0,IF(COUNTIF(SCHOOLS[SchoolCode],MEMBERS[[#This Row],[PayrollLocation]])=1,0,1))</f>
        <v>0</v>
      </c>
      <c r="E150" s="57">
        <f>IF(MEMBERS[[#This Row],[AvailableToAllSchools]]=FALSE,IF(ISBLANK(MEMBERS[[#This Row],[SchoolCodes]]),1,0),IF(MEMBERS[[#This Row],[AvailableToAllSchools]]=TRUE,IF(ISBLANK(MEMBERS[[#This Row],[SchoolCodes]]),0,1)))</f>
        <v>0</v>
      </c>
      <c r="F150" s="57">
        <f>IF(ISBLANK(MEMBERS[[#This Row],[ServiceEndDate]]),0,IF(MEMBERS[[#This Row],[ServiceStartDate]]&lt;MEMBERS[[#This Row],[ServiceEndDate]],0,1))</f>
        <v>0</v>
      </c>
      <c r="G150" s="57" cm="1">
        <f t="array" aca="1" ref="G150" ca="1">IF(CELL("format",MEMBERS[[#This Row],[ServiceStartDate]])="D1",0,1)+IF(CELL("format",MEMBERS[[#This Row],[ServiceEndDate]])="D1",0,1)</f>
        <v>0</v>
      </c>
      <c r="H15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50" s="57">
        <f>IF(LEN(MEMBERS[[#This Row],[StaffMemberCode]])&lt;100,0,1)</f>
        <v>0</v>
      </c>
      <c r="J150" s="57">
        <f>IF(LEN(MEMBERS[[#This Row],[Title]])&lt;100,0,1)</f>
        <v>0</v>
      </c>
      <c r="K150" s="57">
        <f>COUNTBLANK(MEMBERS[[#This Row],[StaffMemberCode]:[ServiceStartDate]])+COUNTBLANK(MEMBERS[[#This Row],[Apprenticeship]]:MEMBERS[[#This Row],[StaffMemberEnabled]])+COUNTBLANK(MEMBERS[[#This Row],[GenderCode]]:MEMBERS[[#This Row],[Casual]])</f>
        <v>0</v>
      </c>
      <c r="L150" s="57">
        <f>IF(SUBSTITUTE(TEXT(MEMBERS[[#This Row],[StaffMemberCode]],10)," ","")=TEXT(MEMBERS[[#This Row],[StaffMemberCode]],10),0,1)</f>
        <v>0</v>
      </c>
      <c r="M150" s="57">
        <f ca="1">SUM(MEMBERS[[#This Row],[Duplicate NameService Start]:[Space in Code]])</f>
        <v>0</v>
      </c>
      <c r="O150" s="15">
        <v>91324769</v>
      </c>
      <c r="P150" s="15" t="s">
        <v>3226</v>
      </c>
      <c r="Q150" s="15" t="s">
        <v>3559</v>
      </c>
      <c r="R150" s="133" t="str">
        <f>MEMBERS[[#This Row],[FirstName]]&amp;" "&amp;MEMBERS[[#This Row],[LastName]]</f>
        <v>Constance Seiler</v>
      </c>
      <c r="S150" s="21">
        <v>45350</v>
      </c>
      <c r="U150" s="21">
        <v>37162</v>
      </c>
      <c r="V150" t="b">
        <v>0</v>
      </c>
      <c r="W150" t="b">
        <v>0</v>
      </c>
      <c r="X150" t="b">
        <v>0</v>
      </c>
      <c r="Y150" t="s">
        <v>2082</v>
      </c>
      <c r="Z150" t="b">
        <v>1</v>
      </c>
      <c r="AB150" t="s">
        <v>1571</v>
      </c>
      <c r="AC150" t="b">
        <v>0</v>
      </c>
    </row>
    <row r="151" spans="1:29" x14ac:dyDescent="0.3">
      <c r="A151" s="57" t="str">
        <f>MEMBERS[[#This Row],[Title]]&amp;MEMBERS[[#This Row],[ServiceStartDate]]</f>
        <v>Cory Evans45901</v>
      </c>
      <c r="B151" s="57">
        <f>IF(COUNTIF(MEMBERS[NameServiceStart],MEMBERS[[#This Row],[NameServiceStart]])=1,0,1)</f>
        <v>0</v>
      </c>
      <c r="C151" s="57">
        <f>IF(COUNTIF(MEMBERS[StaffMemberCode],MEMBERS[[#This Row],[StaffMemberCode]])=1,0,1)</f>
        <v>0</v>
      </c>
      <c r="D151" s="57">
        <f>IF(ISBLANK(MEMBERS[[#This Row],[PayrollLocation]]),0,IF(COUNTIF(SCHOOLS[SchoolCode],MEMBERS[[#This Row],[PayrollLocation]])=1,0,1))</f>
        <v>0</v>
      </c>
      <c r="E151" s="57">
        <f>IF(MEMBERS[[#This Row],[AvailableToAllSchools]]=FALSE,IF(ISBLANK(MEMBERS[[#This Row],[SchoolCodes]]),1,0),IF(MEMBERS[[#This Row],[AvailableToAllSchools]]=TRUE,IF(ISBLANK(MEMBERS[[#This Row],[SchoolCodes]]),0,1)))</f>
        <v>0</v>
      </c>
      <c r="F151" s="57">
        <f>IF(ISBLANK(MEMBERS[[#This Row],[ServiceEndDate]]),0,IF(MEMBERS[[#This Row],[ServiceStartDate]]&lt;MEMBERS[[#This Row],[ServiceEndDate]],0,1))</f>
        <v>0</v>
      </c>
      <c r="G151" s="57" cm="1">
        <f t="array" aca="1" ref="G151" ca="1">IF(CELL("format",MEMBERS[[#This Row],[ServiceStartDate]])="D1",0,1)+IF(CELL("format",MEMBERS[[#This Row],[ServiceEndDate]])="D1",0,1)</f>
        <v>0</v>
      </c>
      <c r="H15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51" s="57">
        <f>IF(LEN(MEMBERS[[#This Row],[StaffMemberCode]])&lt;100,0,1)</f>
        <v>0</v>
      </c>
      <c r="J151" s="57">
        <f>IF(LEN(MEMBERS[[#This Row],[Title]])&lt;100,0,1)</f>
        <v>0</v>
      </c>
      <c r="K151" s="57">
        <f>COUNTBLANK(MEMBERS[[#This Row],[StaffMemberCode]:[ServiceStartDate]])+COUNTBLANK(MEMBERS[[#This Row],[Apprenticeship]]:MEMBERS[[#This Row],[StaffMemberEnabled]])+COUNTBLANK(MEMBERS[[#This Row],[GenderCode]]:MEMBERS[[#This Row],[Casual]])</f>
        <v>0</v>
      </c>
      <c r="L151" s="57">
        <f>IF(SUBSTITUTE(TEXT(MEMBERS[[#This Row],[StaffMemberCode]],10)," ","")=TEXT(MEMBERS[[#This Row],[StaffMemberCode]],10),0,1)</f>
        <v>0</v>
      </c>
      <c r="M151" s="57">
        <f ca="1">SUM(MEMBERS[[#This Row],[Duplicate NameService Start]:[Space in Code]])</f>
        <v>0</v>
      </c>
      <c r="O151" s="15">
        <v>91850025</v>
      </c>
      <c r="P151" s="15" t="s">
        <v>3227</v>
      </c>
      <c r="Q151" s="15" t="s">
        <v>3485</v>
      </c>
      <c r="R151" s="133" t="str">
        <f>MEMBERS[[#This Row],[FirstName]]&amp;" "&amp;MEMBERS[[#This Row],[LastName]]</f>
        <v>Cory Evans</v>
      </c>
      <c r="S151" s="21">
        <v>45901</v>
      </c>
      <c r="U151" s="21">
        <v>37441</v>
      </c>
      <c r="V151" t="b">
        <v>0</v>
      </c>
      <c r="W151" t="b">
        <v>0</v>
      </c>
      <c r="X151" t="b">
        <v>0</v>
      </c>
      <c r="Y151" t="s">
        <v>2094</v>
      </c>
      <c r="Z151" t="b">
        <v>1</v>
      </c>
      <c r="AB151" t="s">
        <v>1572</v>
      </c>
      <c r="AC151" t="b">
        <v>0</v>
      </c>
    </row>
    <row r="152" spans="1:29" x14ac:dyDescent="0.3">
      <c r="A152" s="57" t="str">
        <f>MEMBERS[[#This Row],[Title]]&amp;MEMBERS[[#This Row],[ServiceStartDate]]</f>
        <v>Craig Howell45005</v>
      </c>
      <c r="B152" s="57">
        <f>IF(COUNTIF(MEMBERS[NameServiceStart],MEMBERS[[#This Row],[NameServiceStart]])=1,0,1)</f>
        <v>0</v>
      </c>
      <c r="C152" s="57">
        <f>IF(COUNTIF(MEMBERS[StaffMemberCode],MEMBERS[[#This Row],[StaffMemberCode]])=1,0,1)</f>
        <v>0</v>
      </c>
      <c r="D152" s="57">
        <f>IF(ISBLANK(MEMBERS[[#This Row],[PayrollLocation]]),0,IF(COUNTIF(SCHOOLS[SchoolCode],MEMBERS[[#This Row],[PayrollLocation]])=1,0,1))</f>
        <v>0</v>
      </c>
      <c r="E152" s="57">
        <f>IF(MEMBERS[[#This Row],[AvailableToAllSchools]]=FALSE,IF(ISBLANK(MEMBERS[[#This Row],[SchoolCodes]]),1,0),IF(MEMBERS[[#This Row],[AvailableToAllSchools]]=TRUE,IF(ISBLANK(MEMBERS[[#This Row],[SchoolCodes]]),0,1)))</f>
        <v>0</v>
      </c>
      <c r="F152" s="57">
        <f>IF(ISBLANK(MEMBERS[[#This Row],[ServiceEndDate]]),0,IF(MEMBERS[[#This Row],[ServiceStartDate]]&lt;MEMBERS[[#This Row],[ServiceEndDate]],0,1))</f>
        <v>0</v>
      </c>
      <c r="G152" s="57" cm="1">
        <f t="array" aca="1" ref="G152" ca="1">IF(CELL("format",MEMBERS[[#This Row],[ServiceStartDate]])="D1",0,1)+IF(CELL("format",MEMBERS[[#This Row],[ServiceEndDate]])="D1",0,1)</f>
        <v>0</v>
      </c>
      <c r="H15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52" s="57">
        <f>IF(LEN(MEMBERS[[#This Row],[StaffMemberCode]])&lt;100,0,1)</f>
        <v>0</v>
      </c>
      <c r="J152" s="57">
        <f>IF(LEN(MEMBERS[[#This Row],[Title]])&lt;100,0,1)</f>
        <v>0</v>
      </c>
      <c r="K152" s="57">
        <f>COUNTBLANK(MEMBERS[[#This Row],[StaffMemberCode]:[ServiceStartDate]])+COUNTBLANK(MEMBERS[[#This Row],[Apprenticeship]]:MEMBERS[[#This Row],[StaffMemberEnabled]])+COUNTBLANK(MEMBERS[[#This Row],[GenderCode]]:MEMBERS[[#This Row],[Casual]])</f>
        <v>0</v>
      </c>
      <c r="L152" s="57">
        <f>IF(SUBSTITUTE(TEXT(MEMBERS[[#This Row],[StaffMemberCode]],10)," ","")=TEXT(MEMBERS[[#This Row],[StaffMemberCode]],10),0,1)</f>
        <v>0</v>
      </c>
      <c r="M152" s="57">
        <f ca="1">SUM(MEMBERS[[#This Row],[Duplicate NameService Start]:[Space in Code]])</f>
        <v>0</v>
      </c>
      <c r="O152" s="15">
        <v>91073833</v>
      </c>
      <c r="P152" s="15" t="s">
        <v>3228</v>
      </c>
      <c r="Q152" s="15" t="s">
        <v>3492</v>
      </c>
      <c r="R152" s="133" t="str">
        <f>MEMBERS[[#This Row],[FirstName]]&amp;" "&amp;MEMBERS[[#This Row],[LastName]]</f>
        <v>Craig Howell</v>
      </c>
      <c r="S152" s="21">
        <v>45005</v>
      </c>
      <c r="U152" s="21">
        <v>24601</v>
      </c>
      <c r="V152" t="b">
        <v>0</v>
      </c>
      <c r="W152" t="b">
        <v>0</v>
      </c>
      <c r="X152" t="b">
        <v>0</v>
      </c>
      <c r="Y152" t="s">
        <v>2082</v>
      </c>
      <c r="Z152" t="b">
        <v>1</v>
      </c>
      <c r="AB152" t="s">
        <v>1572</v>
      </c>
      <c r="AC152" t="b">
        <v>1</v>
      </c>
    </row>
    <row r="153" spans="1:29" x14ac:dyDescent="0.3">
      <c r="A153" s="57" t="str">
        <f>MEMBERS[[#This Row],[Title]]&amp;MEMBERS[[#This Row],[ServiceStartDate]]</f>
        <v>Craig Robinson43570</v>
      </c>
      <c r="B153" s="57">
        <f>IF(COUNTIF(MEMBERS[NameServiceStart],MEMBERS[[#This Row],[NameServiceStart]])=1,0,1)</f>
        <v>0</v>
      </c>
      <c r="C153" s="57">
        <f>IF(COUNTIF(MEMBERS[StaffMemberCode],MEMBERS[[#This Row],[StaffMemberCode]])=1,0,1)</f>
        <v>0</v>
      </c>
      <c r="D153" s="57">
        <f>IF(ISBLANK(MEMBERS[[#This Row],[PayrollLocation]]),0,IF(COUNTIF(SCHOOLS[SchoolCode],MEMBERS[[#This Row],[PayrollLocation]])=1,0,1))</f>
        <v>0</v>
      </c>
      <c r="E153" s="57">
        <f>IF(MEMBERS[[#This Row],[AvailableToAllSchools]]=FALSE,IF(ISBLANK(MEMBERS[[#This Row],[SchoolCodes]]),1,0),IF(MEMBERS[[#This Row],[AvailableToAllSchools]]=TRUE,IF(ISBLANK(MEMBERS[[#This Row],[SchoolCodes]]),0,1)))</f>
        <v>0</v>
      </c>
      <c r="F153" s="57">
        <f>IF(ISBLANK(MEMBERS[[#This Row],[ServiceEndDate]]),0,IF(MEMBERS[[#This Row],[ServiceStartDate]]&lt;MEMBERS[[#This Row],[ServiceEndDate]],0,1))</f>
        <v>0</v>
      </c>
      <c r="G153" s="57" cm="1">
        <f t="array" aca="1" ref="G153" ca="1">IF(CELL("format",MEMBERS[[#This Row],[ServiceStartDate]])="D1",0,1)+IF(CELL("format",MEMBERS[[#This Row],[ServiceEndDate]])="D1",0,1)</f>
        <v>0</v>
      </c>
      <c r="H15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53" s="57">
        <f>IF(LEN(MEMBERS[[#This Row],[StaffMemberCode]])&lt;100,0,1)</f>
        <v>0</v>
      </c>
      <c r="J153" s="57">
        <f>IF(LEN(MEMBERS[[#This Row],[Title]])&lt;100,0,1)</f>
        <v>0</v>
      </c>
      <c r="K153" s="57">
        <f>COUNTBLANK(MEMBERS[[#This Row],[StaffMemberCode]:[ServiceStartDate]])+COUNTBLANK(MEMBERS[[#This Row],[Apprenticeship]]:MEMBERS[[#This Row],[StaffMemberEnabled]])+COUNTBLANK(MEMBERS[[#This Row],[GenderCode]]:MEMBERS[[#This Row],[Casual]])</f>
        <v>0</v>
      </c>
      <c r="L153" s="57">
        <f>IF(SUBSTITUTE(TEXT(MEMBERS[[#This Row],[StaffMemberCode]],10)," ","")=TEXT(MEMBERS[[#This Row],[StaffMemberCode]],10),0,1)</f>
        <v>0</v>
      </c>
      <c r="M153" s="57">
        <f ca="1">SUM(MEMBERS[[#This Row],[Duplicate NameService Start]:[Space in Code]])</f>
        <v>0</v>
      </c>
      <c r="O153" s="15">
        <v>10006388</v>
      </c>
      <c r="P153" s="15" t="s">
        <v>3228</v>
      </c>
      <c r="Q153" s="15" t="s">
        <v>3519</v>
      </c>
      <c r="R153" s="133" t="str">
        <f>MEMBERS[[#This Row],[FirstName]]&amp;" "&amp;MEMBERS[[#This Row],[LastName]]</f>
        <v>Craig Robinson</v>
      </c>
      <c r="S153" s="21">
        <v>43570</v>
      </c>
      <c r="U153" s="21">
        <v>27945</v>
      </c>
      <c r="V153" s="138" t="b">
        <v>0</v>
      </c>
      <c r="W153" t="b">
        <v>0</v>
      </c>
      <c r="X153" t="b">
        <v>0</v>
      </c>
      <c r="Y153" t="s">
        <v>2126</v>
      </c>
      <c r="Z153" t="b">
        <v>1</v>
      </c>
      <c r="AB153" t="s">
        <v>1572</v>
      </c>
      <c r="AC153" t="b">
        <v>0</v>
      </c>
    </row>
    <row r="154" spans="1:29" x14ac:dyDescent="0.3">
      <c r="A154" s="57" t="str">
        <f>MEMBERS[[#This Row],[Title]]&amp;MEMBERS[[#This Row],[ServiceStartDate]]</f>
        <v>Cristina Bourne42646</v>
      </c>
      <c r="B154" s="57">
        <f>IF(COUNTIF(MEMBERS[NameServiceStart],MEMBERS[[#This Row],[NameServiceStart]])=1,0,1)</f>
        <v>0</v>
      </c>
      <c r="C154" s="57">
        <f>IF(COUNTIF(MEMBERS[StaffMemberCode],MEMBERS[[#This Row],[StaffMemberCode]])=1,0,1)</f>
        <v>0</v>
      </c>
      <c r="D154" s="57">
        <f>IF(ISBLANK(MEMBERS[[#This Row],[PayrollLocation]]),0,IF(COUNTIF(SCHOOLS[SchoolCode],MEMBERS[[#This Row],[PayrollLocation]])=1,0,1))</f>
        <v>0</v>
      </c>
      <c r="E154" s="57">
        <f>IF(MEMBERS[[#This Row],[AvailableToAllSchools]]=FALSE,IF(ISBLANK(MEMBERS[[#This Row],[SchoolCodes]]),1,0),IF(MEMBERS[[#This Row],[AvailableToAllSchools]]=TRUE,IF(ISBLANK(MEMBERS[[#This Row],[SchoolCodes]]),0,1)))</f>
        <v>0</v>
      </c>
      <c r="F154" s="57">
        <f>IF(ISBLANK(MEMBERS[[#This Row],[ServiceEndDate]]),0,IF(MEMBERS[[#This Row],[ServiceStartDate]]&lt;MEMBERS[[#This Row],[ServiceEndDate]],0,1))</f>
        <v>0</v>
      </c>
      <c r="G154" s="57" cm="1">
        <f t="array" aca="1" ref="G154" ca="1">IF(CELL("format",MEMBERS[[#This Row],[ServiceStartDate]])="D1",0,1)+IF(CELL("format",MEMBERS[[#This Row],[ServiceEndDate]])="D1",0,1)</f>
        <v>0</v>
      </c>
      <c r="H15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54" s="57">
        <f>IF(LEN(MEMBERS[[#This Row],[StaffMemberCode]])&lt;100,0,1)</f>
        <v>0</v>
      </c>
      <c r="J154" s="57">
        <f>IF(LEN(MEMBERS[[#This Row],[Title]])&lt;100,0,1)</f>
        <v>0</v>
      </c>
      <c r="K154" s="57">
        <f>COUNTBLANK(MEMBERS[[#This Row],[StaffMemberCode]:[ServiceStartDate]])+COUNTBLANK(MEMBERS[[#This Row],[Apprenticeship]]:MEMBERS[[#This Row],[StaffMemberEnabled]])+COUNTBLANK(MEMBERS[[#This Row],[GenderCode]]:MEMBERS[[#This Row],[Casual]])</f>
        <v>0</v>
      </c>
      <c r="L154" s="57">
        <f>IF(SUBSTITUTE(TEXT(MEMBERS[[#This Row],[StaffMemberCode]],10)," ","")=TEXT(MEMBERS[[#This Row],[StaffMemberCode]],10),0,1)</f>
        <v>0</v>
      </c>
      <c r="M154" s="57">
        <f ca="1">SUM(MEMBERS[[#This Row],[Duplicate NameService Start]:[Space in Code]])</f>
        <v>0</v>
      </c>
      <c r="O154" s="15">
        <v>10005319</v>
      </c>
      <c r="P154" s="15" t="s">
        <v>3964</v>
      </c>
      <c r="Q154" s="15" t="s">
        <v>3664</v>
      </c>
      <c r="R154" s="133" t="str">
        <f>MEMBERS[[#This Row],[FirstName]]&amp;" "&amp;MEMBERS[[#This Row],[LastName]]</f>
        <v>Cristina Bourne</v>
      </c>
      <c r="S154" s="21">
        <v>42646</v>
      </c>
      <c r="U154" s="21">
        <v>22013</v>
      </c>
      <c r="V154" s="138" t="b">
        <v>0</v>
      </c>
      <c r="W154" t="b">
        <v>0</v>
      </c>
      <c r="X154" t="b">
        <v>0</v>
      </c>
      <c r="Y154" t="s">
        <v>2126</v>
      </c>
      <c r="Z154" t="b">
        <v>1</v>
      </c>
      <c r="AB154" t="s">
        <v>1571</v>
      </c>
      <c r="AC154" t="b">
        <v>0</v>
      </c>
    </row>
    <row r="155" spans="1:29" x14ac:dyDescent="0.3">
      <c r="A155" s="57" t="str">
        <f>MEMBERS[[#This Row],[Title]]&amp;MEMBERS[[#This Row],[ServiceStartDate]]</f>
        <v>Daniel Gibson43344</v>
      </c>
      <c r="B155" s="57">
        <f>IF(COUNTIF(MEMBERS[NameServiceStart],MEMBERS[[#This Row],[NameServiceStart]])=1,0,1)</f>
        <v>0</v>
      </c>
      <c r="C155" s="57">
        <f>IF(COUNTIF(MEMBERS[StaffMemberCode],MEMBERS[[#This Row],[StaffMemberCode]])=1,0,1)</f>
        <v>0</v>
      </c>
      <c r="D155" s="57">
        <f>IF(ISBLANK(MEMBERS[[#This Row],[PayrollLocation]]),0,IF(COUNTIF(SCHOOLS[SchoolCode],MEMBERS[[#This Row],[PayrollLocation]])=1,0,1))</f>
        <v>0</v>
      </c>
      <c r="E155" s="57">
        <f>IF(MEMBERS[[#This Row],[AvailableToAllSchools]]=FALSE,IF(ISBLANK(MEMBERS[[#This Row],[SchoolCodes]]),1,0),IF(MEMBERS[[#This Row],[AvailableToAllSchools]]=TRUE,IF(ISBLANK(MEMBERS[[#This Row],[SchoolCodes]]),0,1)))</f>
        <v>0</v>
      </c>
      <c r="F155" s="57">
        <f>IF(ISBLANK(MEMBERS[[#This Row],[ServiceEndDate]]),0,IF(MEMBERS[[#This Row],[ServiceStartDate]]&lt;MEMBERS[[#This Row],[ServiceEndDate]],0,1))</f>
        <v>0</v>
      </c>
      <c r="G155" s="57" cm="1">
        <f t="array" aca="1" ref="G155" ca="1">IF(CELL("format",MEMBERS[[#This Row],[ServiceStartDate]])="D1",0,1)+IF(CELL("format",MEMBERS[[#This Row],[ServiceEndDate]])="D1",0,1)</f>
        <v>0</v>
      </c>
      <c r="H15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55" s="57">
        <f>IF(LEN(MEMBERS[[#This Row],[StaffMemberCode]])&lt;100,0,1)</f>
        <v>0</v>
      </c>
      <c r="J155" s="57">
        <f>IF(LEN(MEMBERS[[#This Row],[Title]])&lt;100,0,1)</f>
        <v>0</v>
      </c>
      <c r="K155" s="57">
        <f>COUNTBLANK(MEMBERS[[#This Row],[StaffMemberCode]:[ServiceStartDate]])+COUNTBLANK(MEMBERS[[#This Row],[Apprenticeship]]:MEMBERS[[#This Row],[StaffMemberEnabled]])+COUNTBLANK(MEMBERS[[#This Row],[GenderCode]]:MEMBERS[[#This Row],[Casual]])</f>
        <v>0</v>
      </c>
      <c r="L155" s="57">
        <f>IF(SUBSTITUTE(TEXT(MEMBERS[[#This Row],[StaffMemberCode]],10)," ","")=TEXT(MEMBERS[[#This Row],[StaffMemberCode]],10),0,1)</f>
        <v>0</v>
      </c>
      <c r="M155" s="57">
        <f ca="1">SUM(MEMBERS[[#This Row],[Duplicate NameService Start]:[Space in Code]])</f>
        <v>0</v>
      </c>
      <c r="O155" s="15">
        <v>91850007</v>
      </c>
      <c r="P155" s="15" t="s">
        <v>3229</v>
      </c>
      <c r="Q155" s="15" t="s">
        <v>3560</v>
      </c>
      <c r="R155" s="133" t="str">
        <f>MEMBERS[[#This Row],[FirstName]]&amp;" "&amp;MEMBERS[[#This Row],[LastName]]</f>
        <v>Daniel Gibson</v>
      </c>
      <c r="S155" s="21">
        <v>43344</v>
      </c>
      <c r="U155" s="21">
        <v>35412</v>
      </c>
      <c r="V155" t="b">
        <v>0</v>
      </c>
      <c r="W155" t="b">
        <v>0</v>
      </c>
      <c r="X155" t="b">
        <v>0</v>
      </c>
      <c r="Y155" t="s">
        <v>2275</v>
      </c>
      <c r="Z155" t="b">
        <v>1</v>
      </c>
      <c r="AB155" t="s">
        <v>1572</v>
      </c>
      <c r="AC155" t="b">
        <v>0</v>
      </c>
    </row>
    <row r="156" spans="1:29" x14ac:dyDescent="0.3">
      <c r="A156" s="57" t="str">
        <f>MEMBERS[[#This Row],[Title]]&amp;MEMBERS[[#This Row],[ServiceStartDate]]</f>
        <v>Daniel Rooney45901</v>
      </c>
      <c r="B156" s="57">
        <f>IF(COUNTIF(MEMBERS[NameServiceStart],MEMBERS[[#This Row],[NameServiceStart]])=1,0,1)</f>
        <v>0</v>
      </c>
      <c r="C156" s="57">
        <f>IF(COUNTIF(MEMBERS[StaffMemberCode],MEMBERS[[#This Row],[StaffMemberCode]])=1,0,1)</f>
        <v>0</v>
      </c>
      <c r="D156" s="57">
        <f>IF(ISBLANK(MEMBERS[[#This Row],[PayrollLocation]]),0,IF(COUNTIF(SCHOOLS[SchoolCode],MEMBERS[[#This Row],[PayrollLocation]])=1,0,1))</f>
        <v>0</v>
      </c>
      <c r="E156" s="57">
        <f>IF(MEMBERS[[#This Row],[AvailableToAllSchools]]=FALSE,IF(ISBLANK(MEMBERS[[#This Row],[SchoolCodes]]),1,0),IF(MEMBERS[[#This Row],[AvailableToAllSchools]]=TRUE,IF(ISBLANK(MEMBERS[[#This Row],[SchoolCodes]]),0,1)))</f>
        <v>0</v>
      </c>
      <c r="F156" s="57">
        <f>IF(ISBLANK(MEMBERS[[#This Row],[ServiceEndDate]]),0,IF(MEMBERS[[#This Row],[ServiceStartDate]]&lt;MEMBERS[[#This Row],[ServiceEndDate]],0,1))</f>
        <v>0</v>
      </c>
      <c r="G156" s="57" cm="1">
        <f t="array" aca="1" ref="G156" ca="1">IF(CELL("format",MEMBERS[[#This Row],[ServiceStartDate]])="D1",0,1)+IF(CELL("format",MEMBERS[[#This Row],[ServiceEndDate]])="D1",0,1)</f>
        <v>0</v>
      </c>
      <c r="H15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56" s="57">
        <f>IF(LEN(MEMBERS[[#This Row],[StaffMemberCode]])&lt;100,0,1)</f>
        <v>0</v>
      </c>
      <c r="J156" s="57">
        <f>IF(LEN(MEMBERS[[#This Row],[Title]])&lt;100,0,1)</f>
        <v>0</v>
      </c>
      <c r="K156" s="57">
        <f>COUNTBLANK(MEMBERS[[#This Row],[StaffMemberCode]:[ServiceStartDate]])+COUNTBLANK(MEMBERS[[#This Row],[Apprenticeship]]:MEMBERS[[#This Row],[StaffMemberEnabled]])+COUNTBLANK(MEMBERS[[#This Row],[GenderCode]]:MEMBERS[[#This Row],[Casual]])</f>
        <v>0</v>
      </c>
      <c r="L156" s="57">
        <f>IF(SUBSTITUTE(TEXT(MEMBERS[[#This Row],[StaffMemberCode]],10)," ","")=TEXT(MEMBERS[[#This Row],[StaffMemberCode]],10),0,1)</f>
        <v>0</v>
      </c>
      <c r="M156" s="57">
        <f ca="1">SUM(MEMBERS[[#This Row],[Duplicate NameService Start]:[Space in Code]])</f>
        <v>0</v>
      </c>
      <c r="O156" s="15">
        <v>91850017</v>
      </c>
      <c r="P156" s="15" t="s">
        <v>3229</v>
      </c>
      <c r="Q156" s="15" t="s">
        <v>3561</v>
      </c>
      <c r="R156" s="133" t="str">
        <f>MEMBERS[[#This Row],[FirstName]]&amp;" "&amp;MEMBERS[[#This Row],[LastName]]</f>
        <v>Daniel Rooney</v>
      </c>
      <c r="S156" s="21">
        <v>45901</v>
      </c>
      <c r="U156" s="21">
        <v>35203</v>
      </c>
      <c r="V156" t="b">
        <v>0</v>
      </c>
      <c r="W156" t="b">
        <v>0</v>
      </c>
      <c r="X156" t="b">
        <v>0</v>
      </c>
      <c r="Y156" t="s">
        <v>2094</v>
      </c>
      <c r="Z156" t="b">
        <v>1</v>
      </c>
      <c r="AB156" t="s">
        <v>1571</v>
      </c>
      <c r="AC156" t="b">
        <v>0</v>
      </c>
    </row>
    <row r="157" spans="1:29" x14ac:dyDescent="0.3">
      <c r="A157" s="57" t="str">
        <f>MEMBERS[[#This Row],[Title]]&amp;MEMBERS[[#This Row],[ServiceStartDate]]</f>
        <v>Daniel Whitehouse44570</v>
      </c>
      <c r="B157" s="57">
        <f>IF(COUNTIF(MEMBERS[NameServiceStart],MEMBERS[[#This Row],[NameServiceStart]])=1,0,1)</f>
        <v>0</v>
      </c>
      <c r="C157" s="57">
        <f>IF(COUNTIF(MEMBERS[StaffMemberCode],MEMBERS[[#This Row],[StaffMemberCode]])=1,0,1)</f>
        <v>0</v>
      </c>
      <c r="D157" s="57">
        <f>IF(ISBLANK(MEMBERS[[#This Row],[PayrollLocation]]),0,IF(COUNTIF(SCHOOLS[SchoolCode],MEMBERS[[#This Row],[PayrollLocation]])=1,0,1))</f>
        <v>0</v>
      </c>
      <c r="E157" s="57">
        <f>IF(MEMBERS[[#This Row],[AvailableToAllSchools]]=FALSE,IF(ISBLANK(MEMBERS[[#This Row],[SchoolCodes]]),1,0),IF(MEMBERS[[#This Row],[AvailableToAllSchools]]=TRUE,IF(ISBLANK(MEMBERS[[#This Row],[SchoolCodes]]),0,1)))</f>
        <v>0</v>
      </c>
      <c r="F157" s="57">
        <f>IF(ISBLANK(MEMBERS[[#This Row],[ServiceEndDate]]),0,IF(MEMBERS[[#This Row],[ServiceStartDate]]&lt;MEMBERS[[#This Row],[ServiceEndDate]],0,1))</f>
        <v>0</v>
      </c>
      <c r="G157" s="57" cm="1">
        <f t="array" aca="1" ref="G157" ca="1">IF(CELL("format",MEMBERS[[#This Row],[ServiceStartDate]])="D1",0,1)+IF(CELL("format",MEMBERS[[#This Row],[ServiceEndDate]])="D1",0,1)</f>
        <v>0</v>
      </c>
      <c r="H15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57" s="57">
        <f>IF(LEN(MEMBERS[[#This Row],[StaffMemberCode]])&lt;100,0,1)</f>
        <v>0</v>
      </c>
      <c r="J157" s="57">
        <f>IF(LEN(MEMBERS[[#This Row],[Title]])&lt;100,0,1)</f>
        <v>0</v>
      </c>
      <c r="K157" s="57">
        <f>COUNTBLANK(MEMBERS[[#This Row],[StaffMemberCode]:[ServiceStartDate]])+COUNTBLANK(MEMBERS[[#This Row],[Apprenticeship]]:MEMBERS[[#This Row],[StaffMemberEnabled]])+COUNTBLANK(MEMBERS[[#This Row],[GenderCode]]:MEMBERS[[#This Row],[Casual]])</f>
        <v>0</v>
      </c>
      <c r="L157" s="57">
        <f>IF(SUBSTITUTE(TEXT(MEMBERS[[#This Row],[StaffMemberCode]],10)," ","")=TEXT(MEMBERS[[#This Row],[StaffMemberCode]],10),0,1)</f>
        <v>0</v>
      </c>
      <c r="M157" s="57">
        <f ca="1">SUM(MEMBERS[[#This Row],[Duplicate NameService Start]:[Space in Code]])</f>
        <v>0</v>
      </c>
      <c r="O157" s="15">
        <v>91073807</v>
      </c>
      <c r="P157" s="15" t="s">
        <v>3229</v>
      </c>
      <c r="Q157" s="15" t="s">
        <v>3562</v>
      </c>
      <c r="R157" s="133" t="str">
        <f>MEMBERS[[#This Row],[FirstName]]&amp;" "&amp;MEMBERS[[#This Row],[LastName]]</f>
        <v>Daniel Whitehouse</v>
      </c>
      <c r="S157" s="21">
        <v>44570</v>
      </c>
      <c r="U157" s="21">
        <v>35988</v>
      </c>
      <c r="V157" t="b">
        <v>0</v>
      </c>
      <c r="W157" t="b">
        <v>0</v>
      </c>
      <c r="X157" t="b">
        <v>0</v>
      </c>
      <c r="Y157" t="s">
        <v>2082</v>
      </c>
      <c r="Z157" t="b">
        <v>1</v>
      </c>
      <c r="AB157" t="s">
        <v>1572</v>
      </c>
      <c r="AC157" t="b">
        <v>0</v>
      </c>
    </row>
    <row r="158" spans="1:29" x14ac:dyDescent="0.3">
      <c r="A158" s="57" t="str">
        <f>MEMBERS[[#This Row],[Title]]&amp;MEMBERS[[#This Row],[ServiceStartDate]]</f>
        <v>Daniela Nicklin45383</v>
      </c>
      <c r="B158" s="57">
        <f>IF(COUNTIF(MEMBERS[NameServiceStart],MEMBERS[[#This Row],[NameServiceStart]])=1,0,1)</f>
        <v>0</v>
      </c>
      <c r="C158" s="57">
        <f>IF(COUNTIF(MEMBERS[StaffMemberCode],MEMBERS[[#This Row],[StaffMemberCode]])=1,0,1)</f>
        <v>0</v>
      </c>
      <c r="D158" s="57">
        <f>IF(ISBLANK(MEMBERS[[#This Row],[PayrollLocation]]),0,IF(COUNTIF(SCHOOLS[SchoolCode],MEMBERS[[#This Row],[PayrollLocation]])=1,0,1))</f>
        <v>0</v>
      </c>
      <c r="E158" s="57">
        <f>IF(MEMBERS[[#This Row],[AvailableToAllSchools]]=FALSE,IF(ISBLANK(MEMBERS[[#This Row],[SchoolCodes]]),1,0),IF(MEMBERS[[#This Row],[AvailableToAllSchools]]=TRUE,IF(ISBLANK(MEMBERS[[#This Row],[SchoolCodes]]),0,1)))</f>
        <v>0</v>
      </c>
      <c r="F158" s="57">
        <f>IF(ISBLANK(MEMBERS[[#This Row],[ServiceEndDate]]),0,IF(MEMBERS[[#This Row],[ServiceStartDate]]&lt;MEMBERS[[#This Row],[ServiceEndDate]],0,1))</f>
        <v>0</v>
      </c>
      <c r="G158" s="57" cm="1">
        <f t="array" aca="1" ref="G158" ca="1">IF(CELL("format",MEMBERS[[#This Row],[ServiceStartDate]])="D1",0,1)+IF(CELL("format",MEMBERS[[#This Row],[ServiceEndDate]])="D1",0,1)</f>
        <v>0</v>
      </c>
      <c r="H15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58" s="57">
        <f>IF(LEN(MEMBERS[[#This Row],[StaffMemberCode]])&lt;100,0,1)</f>
        <v>0</v>
      </c>
      <c r="J158" s="57">
        <f>IF(LEN(MEMBERS[[#This Row],[Title]])&lt;100,0,1)</f>
        <v>0</v>
      </c>
      <c r="K158" s="57">
        <f>COUNTBLANK(MEMBERS[[#This Row],[StaffMemberCode]:[ServiceStartDate]])+COUNTBLANK(MEMBERS[[#This Row],[Apprenticeship]]:MEMBERS[[#This Row],[StaffMemberEnabled]])+COUNTBLANK(MEMBERS[[#This Row],[GenderCode]]:MEMBERS[[#This Row],[Casual]])</f>
        <v>0</v>
      </c>
      <c r="L158" s="57">
        <f>IF(SUBSTITUTE(TEXT(MEMBERS[[#This Row],[StaffMemberCode]],10)," ","")=TEXT(MEMBERS[[#This Row],[StaffMemberCode]],10),0,1)</f>
        <v>0</v>
      </c>
      <c r="M158" s="57">
        <f ca="1">SUM(MEMBERS[[#This Row],[Duplicate NameService Start]:[Space in Code]])</f>
        <v>0</v>
      </c>
      <c r="O158" s="15">
        <v>91328983</v>
      </c>
      <c r="P158" s="15" t="s">
        <v>3230</v>
      </c>
      <c r="Q158" s="15" t="s">
        <v>3563</v>
      </c>
      <c r="R158" s="133" t="str">
        <f>MEMBERS[[#This Row],[FirstName]]&amp;" "&amp;MEMBERS[[#This Row],[LastName]]</f>
        <v>Daniela Nicklin</v>
      </c>
      <c r="S158" s="21">
        <v>45383</v>
      </c>
      <c r="U158" s="21">
        <v>29787</v>
      </c>
      <c r="V158" t="b">
        <v>0</v>
      </c>
      <c r="W158" t="b">
        <v>0</v>
      </c>
      <c r="X158" t="b">
        <v>0</v>
      </c>
      <c r="Y158" t="s">
        <v>2275</v>
      </c>
      <c r="Z158" t="b">
        <v>1</v>
      </c>
      <c r="AB158" t="s">
        <v>1571</v>
      </c>
      <c r="AC158" t="b">
        <v>1</v>
      </c>
    </row>
    <row r="159" spans="1:29" x14ac:dyDescent="0.3">
      <c r="A159" s="57" t="str">
        <f>MEMBERS[[#This Row],[Title]]&amp;MEMBERS[[#This Row],[ServiceStartDate]]</f>
        <v>Daniella Painter45950</v>
      </c>
      <c r="B159" s="57">
        <f>IF(COUNTIF(MEMBERS[NameServiceStart],MEMBERS[[#This Row],[NameServiceStart]])=1,0,1)</f>
        <v>0</v>
      </c>
      <c r="C159" s="57">
        <f>IF(COUNTIF(MEMBERS[StaffMemberCode],MEMBERS[[#This Row],[StaffMemberCode]])=1,0,1)</f>
        <v>0</v>
      </c>
      <c r="D159" s="57">
        <f>IF(ISBLANK(MEMBERS[[#This Row],[PayrollLocation]]),0,IF(COUNTIF(SCHOOLS[SchoolCode],MEMBERS[[#This Row],[PayrollLocation]])=1,0,1))</f>
        <v>0</v>
      </c>
      <c r="E159" s="57">
        <f>IF(MEMBERS[[#This Row],[AvailableToAllSchools]]=FALSE,IF(ISBLANK(MEMBERS[[#This Row],[SchoolCodes]]),1,0),IF(MEMBERS[[#This Row],[AvailableToAllSchools]]=TRUE,IF(ISBLANK(MEMBERS[[#This Row],[SchoolCodes]]),0,1)))</f>
        <v>0</v>
      </c>
      <c r="F159" s="57">
        <f>IF(ISBLANK(MEMBERS[[#This Row],[ServiceEndDate]]),0,IF(MEMBERS[[#This Row],[ServiceStartDate]]&lt;MEMBERS[[#This Row],[ServiceEndDate]],0,1))</f>
        <v>0</v>
      </c>
      <c r="G159" s="57" cm="1">
        <f t="array" aca="1" ref="G159" ca="1">IF(CELL("format",MEMBERS[[#This Row],[ServiceStartDate]])="D1",0,1)+IF(CELL("format",MEMBERS[[#This Row],[ServiceEndDate]])="D1",0,1)</f>
        <v>0</v>
      </c>
      <c r="H15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59" s="57">
        <f>IF(LEN(MEMBERS[[#This Row],[StaffMemberCode]])&lt;100,0,1)</f>
        <v>0</v>
      </c>
      <c r="J159" s="57">
        <f>IF(LEN(MEMBERS[[#This Row],[Title]])&lt;100,0,1)</f>
        <v>0</v>
      </c>
      <c r="K159" s="57">
        <f>COUNTBLANK(MEMBERS[[#This Row],[StaffMemberCode]:[ServiceStartDate]])+COUNTBLANK(MEMBERS[[#This Row],[Apprenticeship]]:MEMBERS[[#This Row],[StaffMemberEnabled]])+COUNTBLANK(MEMBERS[[#This Row],[GenderCode]]:MEMBERS[[#This Row],[Casual]])</f>
        <v>0</v>
      </c>
      <c r="L159" s="57">
        <f>IF(SUBSTITUTE(TEXT(MEMBERS[[#This Row],[StaffMemberCode]],10)," ","")=TEXT(MEMBERS[[#This Row],[StaffMemberCode]],10),0,1)</f>
        <v>0</v>
      </c>
      <c r="M159" s="57">
        <f ca="1">SUM(MEMBERS[[#This Row],[Duplicate NameService Start]:[Space in Code]])</f>
        <v>0</v>
      </c>
      <c r="O159" s="15">
        <v>91850063</v>
      </c>
      <c r="P159" s="15" t="s">
        <v>3231</v>
      </c>
      <c r="Q159" s="15" t="s">
        <v>3489</v>
      </c>
      <c r="R159" s="133" t="str">
        <f>MEMBERS[[#This Row],[FirstName]]&amp;" "&amp;MEMBERS[[#This Row],[LastName]]</f>
        <v>Daniella Painter</v>
      </c>
      <c r="S159" s="21">
        <v>45950</v>
      </c>
      <c r="U159" s="21">
        <v>38414</v>
      </c>
      <c r="V159" t="b">
        <v>0</v>
      </c>
      <c r="W159" t="b">
        <v>0</v>
      </c>
      <c r="X159" t="b">
        <v>0</v>
      </c>
      <c r="Y159" t="s">
        <v>2082</v>
      </c>
      <c r="Z159" t="b">
        <v>1</v>
      </c>
      <c r="AB159" t="s">
        <v>1571</v>
      </c>
      <c r="AC159" t="b">
        <v>0</v>
      </c>
    </row>
    <row r="160" spans="1:29" x14ac:dyDescent="0.3">
      <c r="A160" s="57" t="str">
        <f>MEMBERS[[#This Row],[Title]]&amp;MEMBERS[[#This Row],[ServiceStartDate]]</f>
        <v>Danielle Baskerville42744</v>
      </c>
      <c r="B160" s="57">
        <f>IF(COUNTIF(MEMBERS[NameServiceStart],MEMBERS[[#This Row],[NameServiceStart]])=1,0,1)</f>
        <v>0</v>
      </c>
      <c r="C160" s="57">
        <f>IF(COUNTIF(MEMBERS[StaffMemberCode],MEMBERS[[#This Row],[StaffMemberCode]])=1,0,1)</f>
        <v>0</v>
      </c>
      <c r="D160" s="57">
        <f>IF(ISBLANK(MEMBERS[[#This Row],[PayrollLocation]]),0,IF(COUNTIF(SCHOOLS[SchoolCode],MEMBERS[[#This Row],[PayrollLocation]])=1,0,1))</f>
        <v>0</v>
      </c>
      <c r="E160" s="57">
        <f>IF(MEMBERS[[#This Row],[AvailableToAllSchools]]=FALSE,IF(ISBLANK(MEMBERS[[#This Row],[SchoolCodes]]),1,0),IF(MEMBERS[[#This Row],[AvailableToAllSchools]]=TRUE,IF(ISBLANK(MEMBERS[[#This Row],[SchoolCodes]]),0,1)))</f>
        <v>0</v>
      </c>
      <c r="F160" s="57">
        <f>IF(ISBLANK(MEMBERS[[#This Row],[ServiceEndDate]]),0,IF(MEMBERS[[#This Row],[ServiceStartDate]]&lt;MEMBERS[[#This Row],[ServiceEndDate]],0,1))</f>
        <v>0</v>
      </c>
      <c r="G160" s="57" cm="1">
        <f t="array" aca="1" ref="G160" ca="1">IF(CELL("format",MEMBERS[[#This Row],[ServiceStartDate]])="D1",0,1)+IF(CELL("format",MEMBERS[[#This Row],[ServiceEndDate]])="D1",0,1)</f>
        <v>0</v>
      </c>
      <c r="H16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60" s="57">
        <f>IF(LEN(MEMBERS[[#This Row],[StaffMemberCode]])&lt;100,0,1)</f>
        <v>0</v>
      </c>
      <c r="J160" s="57">
        <f>IF(LEN(MEMBERS[[#This Row],[Title]])&lt;100,0,1)</f>
        <v>0</v>
      </c>
      <c r="K160" s="57">
        <f>COUNTBLANK(MEMBERS[[#This Row],[StaffMemberCode]:[ServiceStartDate]])+COUNTBLANK(MEMBERS[[#This Row],[Apprenticeship]]:MEMBERS[[#This Row],[StaffMemberEnabled]])+COUNTBLANK(MEMBERS[[#This Row],[GenderCode]]:MEMBERS[[#This Row],[Casual]])</f>
        <v>0</v>
      </c>
      <c r="L160" s="57">
        <f>IF(SUBSTITUTE(TEXT(MEMBERS[[#This Row],[StaffMemberCode]],10)," ","")=TEXT(MEMBERS[[#This Row],[StaffMemberCode]],10),0,1)</f>
        <v>0</v>
      </c>
      <c r="M160" s="57">
        <f ca="1">SUM(MEMBERS[[#This Row],[Duplicate NameService Start]:[Space in Code]])</f>
        <v>0</v>
      </c>
      <c r="O160" s="15">
        <v>91073726</v>
      </c>
      <c r="P160" s="15" t="s">
        <v>3232</v>
      </c>
      <c r="Q160" s="15" t="s">
        <v>3564</v>
      </c>
      <c r="R160" s="133" t="str">
        <f>MEMBERS[[#This Row],[FirstName]]&amp;" "&amp;MEMBERS[[#This Row],[LastName]]</f>
        <v>Danielle Baskerville</v>
      </c>
      <c r="S160" s="21">
        <v>42744</v>
      </c>
      <c r="U160" s="21">
        <v>34334</v>
      </c>
      <c r="V160" t="b">
        <v>0</v>
      </c>
      <c r="W160" t="b">
        <v>0</v>
      </c>
      <c r="X160" t="b">
        <v>0</v>
      </c>
      <c r="Y160" t="s">
        <v>2082</v>
      </c>
      <c r="Z160" t="b">
        <v>1</v>
      </c>
      <c r="AB160" t="s">
        <v>1571</v>
      </c>
      <c r="AC160" t="b">
        <v>0</v>
      </c>
    </row>
    <row r="161" spans="1:29" x14ac:dyDescent="0.3">
      <c r="A161" s="57" t="str">
        <f>MEMBERS[[#This Row],[Title]]&amp;MEMBERS[[#This Row],[ServiceStartDate]]</f>
        <v>Danielle Brindley44935</v>
      </c>
      <c r="B161" s="57">
        <f>IF(COUNTIF(MEMBERS[NameServiceStart],MEMBERS[[#This Row],[NameServiceStart]])=1,0,1)</f>
        <v>0</v>
      </c>
      <c r="C161" s="57">
        <f>IF(COUNTIF(MEMBERS[StaffMemberCode],MEMBERS[[#This Row],[StaffMemberCode]])=1,0,1)</f>
        <v>0</v>
      </c>
      <c r="D161" s="57">
        <f>IF(ISBLANK(MEMBERS[[#This Row],[PayrollLocation]]),0,IF(COUNTIF(SCHOOLS[SchoolCode],MEMBERS[[#This Row],[PayrollLocation]])=1,0,1))</f>
        <v>0</v>
      </c>
      <c r="E161" s="57">
        <f>IF(MEMBERS[[#This Row],[AvailableToAllSchools]]=FALSE,IF(ISBLANK(MEMBERS[[#This Row],[SchoolCodes]]),1,0),IF(MEMBERS[[#This Row],[AvailableToAllSchools]]=TRUE,IF(ISBLANK(MEMBERS[[#This Row],[SchoolCodes]]),0,1)))</f>
        <v>0</v>
      </c>
      <c r="F161" s="57">
        <f>IF(ISBLANK(MEMBERS[[#This Row],[ServiceEndDate]]),0,IF(MEMBERS[[#This Row],[ServiceStartDate]]&lt;MEMBERS[[#This Row],[ServiceEndDate]],0,1))</f>
        <v>0</v>
      </c>
      <c r="G161" s="57" cm="1">
        <f t="array" aca="1" ref="G161" ca="1">IF(CELL("format",MEMBERS[[#This Row],[ServiceStartDate]])="D1",0,1)+IF(CELL("format",MEMBERS[[#This Row],[ServiceEndDate]])="D1",0,1)</f>
        <v>0</v>
      </c>
      <c r="H16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61" s="57">
        <f>IF(LEN(MEMBERS[[#This Row],[StaffMemberCode]])&lt;100,0,1)</f>
        <v>0</v>
      </c>
      <c r="J161" s="57">
        <f>IF(LEN(MEMBERS[[#This Row],[Title]])&lt;100,0,1)</f>
        <v>0</v>
      </c>
      <c r="K161" s="57">
        <f>COUNTBLANK(MEMBERS[[#This Row],[StaffMemberCode]:[ServiceStartDate]])+COUNTBLANK(MEMBERS[[#This Row],[Apprenticeship]]:MEMBERS[[#This Row],[StaffMemberEnabled]])+COUNTBLANK(MEMBERS[[#This Row],[GenderCode]]:MEMBERS[[#This Row],[Casual]])</f>
        <v>0</v>
      </c>
      <c r="L161" s="57">
        <f>IF(SUBSTITUTE(TEXT(MEMBERS[[#This Row],[StaffMemberCode]],10)," ","")=TEXT(MEMBERS[[#This Row],[StaffMemberCode]],10),0,1)</f>
        <v>0</v>
      </c>
      <c r="M161" s="57">
        <f ca="1">SUM(MEMBERS[[#This Row],[Duplicate NameService Start]:[Space in Code]])</f>
        <v>0</v>
      </c>
      <c r="O161" s="15">
        <v>91073608</v>
      </c>
      <c r="P161" s="15" t="s">
        <v>3232</v>
      </c>
      <c r="Q161" s="15" t="s">
        <v>3565</v>
      </c>
      <c r="R161" s="133" t="str">
        <f>MEMBERS[[#This Row],[FirstName]]&amp;" "&amp;MEMBERS[[#This Row],[LastName]]</f>
        <v>Danielle Brindley</v>
      </c>
      <c r="S161" s="21">
        <v>44935</v>
      </c>
      <c r="U161" s="21">
        <v>34955</v>
      </c>
      <c r="V161" t="b">
        <v>0</v>
      </c>
      <c r="W161" t="b">
        <v>0</v>
      </c>
      <c r="X161" t="b">
        <v>0</v>
      </c>
      <c r="Y161" t="s">
        <v>2094</v>
      </c>
      <c r="Z161" t="b">
        <v>1</v>
      </c>
      <c r="AB161" t="s">
        <v>1571</v>
      </c>
      <c r="AC161" t="b">
        <v>0</v>
      </c>
    </row>
    <row r="162" spans="1:29" x14ac:dyDescent="0.3">
      <c r="A162" s="57" t="str">
        <f>MEMBERS[[#This Row],[Title]]&amp;MEMBERS[[#This Row],[ServiceStartDate]]</f>
        <v>Danielle Brookes44238</v>
      </c>
      <c r="B162" s="57">
        <f>IF(COUNTIF(MEMBERS[NameServiceStart],MEMBERS[[#This Row],[NameServiceStart]])=1,0,1)</f>
        <v>0</v>
      </c>
      <c r="C162" s="57">
        <f>IF(COUNTIF(MEMBERS[StaffMemberCode],MEMBERS[[#This Row],[StaffMemberCode]])=1,0,1)</f>
        <v>0</v>
      </c>
      <c r="D162" s="57">
        <f>IF(ISBLANK(MEMBERS[[#This Row],[PayrollLocation]]),0,IF(COUNTIF(SCHOOLS[SchoolCode],MEMBERS[[#This Row],[PayrollLocation]])=1,0,1))</f>
        <v>0</v>
      </c>
      <c r="E162" s="57">
        <f>IF(MEMBERS[[#This Row],[AvailableToAllSchools]]=FALSE,IF(ISBLANK(MEMBERS[[#This Row],[SchoolCodes]]),1,0),IF(MEMBERS[[#This Row],[AvailableToAllSchools]]=TRUE,IF(ISBLANK(MEMBERS[[#This Row],[SchoolCodes]]),0,1)))</f>
        <v>0</v>
      </c>
      <c r="F162" s="57">
        <f>IF(ISBLANK(MEMBERS[[#This Row],[ServiceEndDate]]),0,IF(MEMBERS[[#This Row],[ServiceStartDate]]&lt;MEMBERS[[#This Row],[ServiceEndDate]],0,1))</f>
        <v>0</v>
      </c>
      <c r="G162" s="57" cm="1">
        <f t="array" aca="1" ref="G162" ca="1">IF(CELL("format",MEMBERS[[#This Row],[ServiceStartDate]])="D1",0,1)+IF(CELL("format",MEMBERS[[#This Row],[ServiceEndDate]])="D1",0,1)</f>
        <v>0</v>
      </c>
      <c r="H16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62" s="57">
        <f>IF(LEN(MEMBERS[[#This Row],[StaffMemberCode]])&lt;100,0,1)</f>
        <v>0</v>
      </c>
      <c r="J162" s="57">
        <f>IF(LEN(MEMBERS[[#This Row],[Title]])&lt;100,0,1)</f>
        <v>0</v>
      </c>
      <c r="K162" s="57">
        <f>COUNTBLANK(MEMBERS[[#This Row],[StaffMemberCode]:[ServiceStartDate]])+COUNTBLANK(MEMBERS[[#This Row],[Apprenticeship]]:MEMBERS[[#This Row],[StaffMemberEnabled]])+COUNTBLANK(MEMBERS[[#This Row],[GenderCode]]:MEMBERS[[#This Row],[Casual]])</f>
        <v>0</v>
      </c>
      <c r="L162" s="57">
        <f>IF(SUBSTITUTE(TEXT(MEMBERS[[#This Row],[StaffMemberCode]],10)," ","")=TEXT(MEMBERS[[#This Row],[StaffMemberCode]],10),0,1)</f>
        <v>0</v>
      </c>
      <c r="M162" s="57">
        <f ca="1">SUM(MEMBERS[[#This Row],[Duplicate NameService Start]:[Space in Code]])</f>
        <v>0</v>
      </c>
      <c r="O162" s="15">
        <v>91073656</v>
      </c>
      <c r="P162" s="15" t="s">
        <v>3232</v>
      </c>
      <c r="Q162" s="15" t="s">
        <v>3566</v>
      </c>
      <c r="R162" s="133" t="str">
        <f>MEMBERS[[#This Row],[FirstName]]&amp;" "&amp;MEMBERS[[#This Row],[LastName]]</f>
        <v>Danielle Brookes</v>
      </c>
      <c r="S162" s="21">
        <v>44238</v>
      </c>
      <c r="U162" s="21">
        <v>34077</v>
      </c>
      <c r="V162" t="b">
        <v>0</v>
      </c>
      <c r="W162" t="b">
        <v>0</v>
      </c>
      <c r="X162" t="b">
        <v>0</v>
      </c>
      <c r="Y162" t="s">
        <v>2089</v>
      </c>
      <c r="Z162" t="b">
        <v>1</v>
      </c>
      <c r="AB162" t="s">
        <v>1571</v>
      </c>
      <c r="AC162" t="b">
        <v>0</v>
      </c>
    </row>
    <row r="163" spans="1:29" x14ac:dyDescent="0.3">
      <c r="A163" s="57" t="str">
        <f>MEMBERS[[#This Row],[Title]]&amp;MEMBERS[[#This Row],[ServiceStartDate]]</f>
        <v>Danilo Oliynik44606</v>
      </c>
      <c r="B163" s="57">
        <f>IF(COUNTIF(MEMBERS[NameServiceStart],MEMBERS[[#This Row],[NameServiceStart]])=1,0,1)</f>
        <v>0</v>
      </c>
      <c r="C163" s="57">
        <f>IF(COUNTIF(MEMBERS[StaffMemberCode],MEMBERS[[#This Row],[StaffMemberCode]])=1,0,1)</f>
        <v>0</v>
      </c>
      <c r="D163" s="57">
        <f>IF(ISBLANK(MEMBERS[[#This Row],[PayrollLocation]]),0,IF(COUNTIF(SCHOOLS[SchoolCode],MEMBERS[[#This Row],[PayrollLocation]])=1,0,1))</f>
        <v>0</v>
      </c>
      <c r="E163" s="57">
        <f>IF(MEMBERS[[#This Row],[AvailableToAllSchools]]=FALSE,IF(ISBLANK(MEMBERS[[#This Row],[SchoolCodes]]),1,0),IF(MEMBERS[[#This Row],[AvailableToAllSchools]]=TRUE,IF(ISBLANK(MEMBERS[[#This Row],[SchoolCodes]]),0,1)))</f>
        <v>0</v>
      </c>
      <c r="F163" s="57">
        <f>IF(ISBLANK(MEMBERS[[#This Row],[ServiceEndDate]]),0,IF(MEMBERS[[#This Row],[ServiceStartDate]]&lt;MEMBERS[[#This Row],[ServiceEndDate]],0,1))</f>
        <v>0</v>
      </c>
      <c r="G163" s="57" cm="1">
        <f t="array" aca="1" ref="G163" ca="1">IF(CELL("format",MEMBERS[[#This Row],[ServiceStartDate]])="D1",0,1)+IF(CELL("format",MEMBERS[[#This Row],[ServiceEndDate]])="D1",0,1)</f>
        <v>0</v>
      </c>
      <c r="H16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63" s="57">
        <f>IF(LEN(MEMBERS[[#This Row],[StaffMemberCode]])&lt;100,0,1)</f>
        <v>0</v>
      </c>
      <c r="J163" s="57">
        <f>IF(LEN(MEMBERS[[#This Row],[Title]])&lt;100,0,1)</f>
        <v>0</v>
      </c>
      <c r="K163" s="57">
        <f>COUNTBLANK(MEMBERS[[#This Row],[StaffMemberCode]:[ServiceStartDate]])+COUNTBLANK(MEMBERS[[#This Row],[Apprenticeship]]:MEMBERS[[#This Row],[StaffMemberEnabled]])+COUNTBLANK(MEMBERS[[#This Row],[GenderCode]]:MEMBERS[[#This Row],[Casual]])</f>
        <v>0</v>
      </c>
      <c r="L163" s="57">
        <f>IF(SUBSTITUTE(TEXT(MEMBERS[[#This Row],[StaffMemberCode]],10)," ","")=TEXT(MEMBERS[[#This Row],[StaffMemberCode]],10),0,1)</f>
        <v>0</v>
      </c>
      <c r="M163" s="57">
        <f ca="1">SUM(MEMBERS[[#This Row],[Duplicate NameService Start]:[Space in Code]])</f>
        <v>0</v>
      </c>
      <c r="O163" s="15">
        <v>91073574</v>
      </c>
      <c r="P163" s="15" t="s">
        <v>3233</v>
      </c>
      <c r="Q163" s="15" t="s">
        <v>3567</v>
      </c>
      <c r="R163" s="133" t="str">
        <f>MEMBERS[[#This Row],[FirstName]]&amp;" "&amp;MEMBERS[[#This Row],[LastName]]</f>
        <v>Danilo Oliynik</v>
      </c>
      <c r="S163" s="21">
        <v>44606</v>
      </c>
      <c r="U163" s="21">
        <v>21355</v>
      </c>
      <c r="V163" t="b">
        <v>0</v>
      </c>
      <c r="W163" t="b">
        <v>0</v>
      </c>
      <c r="X163" t="b">
        <v>0</v>
      </c>
      <c r="Y163" t="s">
        <v>2094</v>
      </c>
      <c r="Z163" t="b">
        <v>1</v>
      </c>
      <c r="AB163" t="s">
        <v>1572</v>
      </c>
      <c r="AC163" t="b">
        <v>1</v>
      </c>
    </row>
    <row r="164" spans="1:29" x14ac:dyDescent="0.3">
      <c r="A164" s="57" t="str">
        <f>MEMBERS[[#This Row],[Title]]&amp;MEMBERS[[#This Row],[ServiceStartDate]]</f>
        <v>Darren Hodgkinson43558</v>
      </c>
      <c r="B164" s="57">
        <f>IF(COUNTIF(MEMBERS[NameServiceStart],MEMBERS[[#This Row],[NameServiceStart]])=1,0,1)</f>
        <v>0</v>
      </c>
      <c r="C164" s="57">
        <f>IF(COUNTIF(MEMBERS[StaffMemberCode],MEMBERS[[#This Row],[StaffMemberCode]])=1,0,1)</f>
        <v>0</v>
      </c>
      <c r="D164" s="57">
        <f>IF(ISBLANK(MEMBERS[[#This Row],[PayrollLocation]]),0,IF(COUNTIF(SCHOOLS[SchoolCode],MEMBERS[[#This Row],[PayrollLocation]])=1,0,1))</f>
        <v>0</v>
      </c>
      <c r="E164" s="57">
        <f>IF(MEMBERS[[#This Row],[AvailableToAllSchools]]=FALSE,IF(ISBLANK(MEMBERS[[#This Row],[SchoolCodes]]),1,0),IF(MEMBERS[[#This Row],[AvailableToAllSchools]]=TRUE,IF(ISBLANK(MEMBERS[[#This Row],[SchoolCodes]]),0,1)))</f>
        <v>0</v>
      </c>
      <c r="F164" s="57">
        <f>IF(ISBLANK(MEMBERS[[#This Row],[ServiceEndDate]]),0,IF(MEMBERS[[#This Row],[ServiceStartDate]]&lt;MEMBERS[[#This Row],[ServiceEndDate]],0,1))</f>
        <v>0</v>
      </c>
      <c r="G164" s="57" cm="1">
        <f t="array" aca="1" ref="G164" ca="1">IF(CELL("format",MEMBERS[[#This Row],[ServiceStartDate]])="D1",0,1)+IF(CELL("format",MEMBERS[[#This Row],[ServiceEndDate]])="D1",0,1)</f>
        <v>0</v>
      </c>
      <c r="H16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64" s="57">
        <f>IF(LEN(MEMBERS[[#This Row],[StaffMemberCode]])&lt;100,0,1)</f>
        <v>0</v>
      </c>
      <c r="J164" s="57">
        <f>IF(LEN(MEMBERS[[#This Row],[Title]])&lt;100,0,1)</f>
        <v>0</v>
      </c>
      <c r="K164" s="57">
        <f>COUNTBLANK(MEMBERS[[#This Row],[StaffMemberCode]:[ServiceStartDate]])+COUNTBLANK(MEMBERS[[#This Row],[Apprenticeship]]:MEMBERS[[#This Row],[StaffMemberEnabled]])+COUNTBLANK(MEMBERS[[#This Row],[GenderCode]]:MEMBERS[[#This Row],[Casual]])</f>
        <v>0</v>
      </c>
      <c r="L164" s="57">
        <f>IF(SUBSTITUTE(TEXT(MEMBERS[[#This Row],[StaffMemberCode]],10)," ","")=TEXT(MEMBERS[[#This Row],[StaffMemberCode]],10),0,1)</f>
        <v>0</v>
      </c>
      <c r="M164" s="57">
        <f ca="1">SUM(MEMBERS[[#This Row],[Duplicate NameService Start]:[Space in Code]])</f>
        <v>0</v>
      </c>
      <c r="O164" s="15">
        <v>91073748</v>
      </c>
      <c r="P164" s="15" t="s">
        <v>3234</v>
      </c>
      <c r="Q164" s="15" t="s">
        <v>3568</v>
      </c>
      <c r="R164" s="133" t="str">
        <f>MEMBERS[[#This Row],[FirstName]]&amp;" "&amp;MEMBERS[[#This Row],[LastName]]</f>
        <v>Darren Hodgkinson</v>
      </c>
      <c r="S164" s="21">
        <v>43558</v>
      </c>
      <c r="U164" s="21">
        <v>31680</v>
      </c>
      <c r="V164" t="b">
        <v>0</v>
      </c>
      <c r="W164" t="b">
        <v>0</v>
      </c>
      <c r="X164" t="b">
        <v>0</v>
      </c>
      <c r="Y164" t="s">
        <v>2082</v>
      </c>
      <c r="Z164" t="b">
        <v>1</v>
      </c>
      <c r="AB164" t="s">
        <v>1572</v>
      </c>
      <c r="AC164" t="b">
        <v>0</v>
      </c>
    </row>
    <row r="165" spans="1:29" x14ac:dyDescent="0.3">
      <c r="A165" s="57" t="str">
        <f>MEMBERS[[#This Row],[Title]]&amp;MEMBERS[[#This Row],[ServiceStartDate]]</f>
        <v>David Green45078</v>
      </c>
      <c r="B165" s="57">
        <f>IF(COUNTIF(MEMBERS[NameServiceStart],MEMBERS[[#This Row],[NameServiceStart]])=1,0,1)</f>
        <v>0</v>
      </c>
      <c r="C165" s="57">
        <f>IF(COUNTIF(MEMBERS[StaffMemberCode],MEMBERS[[#This Row],[StaffMemberCode]])=1,0,1)</f>
        <v>0</v>
      </c>
      <c r="D165" s="57">
        <f>IF(ISBLANK(MEMBERS[[#This Row],[PayrollLocation]]),0,IF(COUNTIF(SCHOOLS[SchoolCode],MEMBERS[[#This Row],[PayrollLocation]])=1,0,1))</f>
        <v>0</v>
      </c>
      <c r="E165" s="57">
        <f>IF(MEMBERS[[#This Row],[AvailableToAllSchools]]=FALSE,IF(ISBLANK(MEMBERS[[#This Row],[SchoolCodes]]),1,0),IF(MEMBERS[[#This Row],[AvailableToAllSchools]]=TRUE,IF(ISBLANK(MEMBERS[[#This Row],[SchoolCodes]]),0,1)))</f>
        <v>0</v>
      </c>
      <c r="F165" s="57">
        <f>IF(ISBLANK(MEMBERS[[#This Row],[ServiceEndDate]]),0,IF(MEMBERS[[#This Row],[ServiceStartDate]]&lt;MEMBERS[[#This Row],[ServiceEndDate]],0,1))</f>
        <v>0</v>
      </c>
      <c r="G165" s="57" cm="1">
        <f t="array" aca="1" ref="G165" ca="1">IF(CELL("format",MEMBERS[[#This Row],[ServiceStartDate]])="D1",0,1)+IF(CELL("format",MEMBERS[[#This Row],[ServiceEndDate]])="D1",0,1)</f>
        <v>0</v>
      </c>
      <c r="H16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65" s="57">
        <f>IF(LEN(MEMBERS[[#This Row],[StaffMemberCode]])&lt;100,0,1)</f>
        <v>0</v>
      </c>
      <c r="J165" s="57">
        <f>IF(LEN(MEMBERS[[#This Row],[Title]])&lt;100,0,1)</f>
        <v>0</v>
      </c>
      <c r="K165" s="57">
        <f>COUNTBLANK(MEMBERS[[#This Row],[StaffMemberCode]:[ServiceStartDate]])+COUNTBLANK(MEMBERS[[#This Row],[Apprenticeship]]:MEMBERS[[#This Row],[StaffMemberEnabled]])+COUNTBLANK(MEMBERS[[#This Row],[GenderCode]]:MEMBERS[[#This Row],[Casual]])</f>
        <v>0</v>
      </c>
      <c r="L165" s="57">
        <f>IF(SUBSTITUTE(TEXT(MEMBERS[[#This Row],[StaffMemberCode]],10)," ","")=TEXT(MEMBERS[[#This Row],[StaffMemberCode]],10),0,1)</f>
        <v>0</v>
      </c>
      <c r="M165" s="57">
        <f ca="1">SUM(MEMBERS[[#This Row],[Duplicate NameService Start]:[Space in Code]])</f>
        <v>0</v>
      </c>
      <c r="O165" s="15">
        <v>10007973</v>
      </c>
      <c r="P165" s="15" t="s">
        <v>3235</v>
      </c>
      <c r="Q165" s="15" t="s">
        <v>3682</v>
      </c>
      <c r="R165" s="133" t="str">
        <f>MEMBERS[[#This Row],[FirstName]]&amp;" "&amp;MEMBERS[[#This Row],[LastName]]</f>
        <v>David Green</v>
      </c>
      <c r="S165" s="21">
        <v>45078</v>
      </c>
      <c r="U165" s="21">
        <v>24529</v>
      </c>
      <c r="V165" s="138" t="b">
        <v>0</v>
      </c>
      <c r="W165" t="b">
        <v>0</v>
      </c>
      <c r="X165" t="b">
        <v>0</v>
      </c>
      <c r="Y165" t="s">
        <v>2126</v>
      </c>
      <c r="Z165" t="b">
        <v>1</v>
      </c>
      <c r="AB165" t="s">
        <v>1572</v>
      </c>
      <c r="AC165" t="b">
        <v>0</v>
      </c>
    </row>
    <row r="166" spans="1:29" x14ac:dyDescent="0.3">
      <c r="A166" s="57" t="str">
        <f>MEMBERS[[#This Row],[Title]]&amp;MEMBERS[[#This Row],[ServiceStartDate]]</f>
        <v>David Hulse45413</v>
      </c>
      <c r="B166" s="57">
        <f>IF(COUNTIF(MEMBERS[NameServiceStart],MEMBERS[[#This Row],[NameServiceStart]])=1,0,1)</f>
        <v>0</v>
      </c>
      <c r="C166" s="57">
        <f>IF(COUNTIF(MEMBERS[StaffMemberCode],MEMBERS[[#This Row],[StaffMemberCode]])=1,0,1)</f>
        <v>0</v>
      </c>
      <c r="D166" s="57">
        <f>IF(ISBLANK(MEMBERS[[#This Row],[PayrollLocation]]),0,IF(COUNTIF(SCHOOLS[SchoolCode],MEMBERS[[#This Row],[PayrollLocation]])=1,0,1))</f>
        <v>0</v>
      </c>
      <c r="E166" s="57">
        <f>IF(MEMBERS[[#This Row],[AvailableToAllSchools]]=FALSE,IF(ISBLANK(MEMBERS[[#This Row],[SchoolCodes]]),1,0),IF(MEMBERS[[#This Row],[AvailableToAllSchools]]=TRUE,IF(ISBLANK(MEMBERS[[#This Row],[SchoolCodes]]),0,1)))</f>
        <v>0</v>
      </c>
      <c r="F166" s="57">
        <f>IF(ISBLANK(MEMBERS[[#This Row],[ServiceEndDate]]),0,IF(MEMBERS[[#This Row],[ServiceStartDate]]&lt;MEMBERS[[#This Row],[ServiceEndDate]],0,1))</f>
        <v>0</v>
      </c>
      <c r="G166" s="57" cm="1">
        <f t="array" aca="1" ref="G166" ca="1">IF(CELL("format",MEMBERS[[#This Row],[ServiceStartDate]])="D1",0,1)+IF(CELL("format",MEMBERS[[#This Row],[ServiceEndDate]])="D1",0,1)</f>
        <v>0</v>
      </c>
      <c r="H16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66" s="57">
        <f>IF(LEN(MEMBERS[[#This Row],[StaffMemberCode]])&lt;100,0,1)</f>
        <v>0</v>
      </c>
      <c r="J166" s="57">
        <f>IF(LEN(MEMBERS[[#This Row],[Title]])&lt;100,0,1)</f>
        <v>0</v>
      </c>
      <c r="K166" s="57">
        <f>COUNTBLANK(MEMBERS[[#This Row],[StaffMemberCode]:[ServiceStartDate]])+COUNTBLANK(MEMBERS[[#This Row],[Apprenticeship]]:MEMBERS[[#This Row],[StaffMemberEnabled]])+COUNTBLANK(MEMBERS[[#This Row],[GenderCode]]:MEMBERS[[#This Row],[Casual]])</f>
        <v>0</v>
      </c>
      <c r="L166" s="57">
        <f>IF(SUBSTITUTE(TEXT(MEMBERS[[#This Row],[StaffMemberCode]],10)," ","")=TEXT(MEMBERS[[#This Row],[StaffMemberCode]],10),0,1)</f>
        <v>0</v>
      </c>
      <c r="M166" s="57">
        <f ca="1">SUM(MEMBERS[[#This Row],[Duplicate NameService Start]:[Space in Code]])</f>
        <v>0</v>
      </c>
      <c r="O166" s="15">
        <v>10013919</v>
      </c>
      <c r="P166" s="15" t="s">
        <v>3235</v>
      </c>
      <c r="Q166" s="15" t="s">
        <v>4046</v>
      </c>
      <c r="R166" s="133" t="str">
        <f>MEMBERS[[#This Row],[FirstName]]&amp;" "&amp;MEMBERS[[#This Row],[LastName]]</f>
        <v>David Hulse</v>
      </c>
      <c r="S166" s="21">
        <v>45413</v>
      </c>
      <c r="U166" s="21">
        <v>21526</v>
      </c>
      <c r="V166" s="138" t="b">
        <v>0</v>
      </c>
      <c r="W166" t="b">
        <v>0</v>
      </c>
      <c r="X166" t="b">
        <v>0</v>
      </c>
      <c r="Y166" t="s">
        <v>2126</v>
      </c>
      <c r="Z166" t="b">
        <v>1</v>
      </c>
      <c r="AB166" t="s">
        <v>1572</v>
      </c>
      <c r="AC166" t="b">
        <v>1</v>
      </c>
    </row>
    <row r="167" spans="1:29" x14ac:dyDescent="0.3">
      <c r="A167" s="57" t="str">
        <f>MEMBERS[[#This Row],[Title]]&amp;MEMBERS[[#This Row],[ServiceStartDate]]</f>
        <v>David Olivant39083</v>
      </c>
      <c r="B167" s="57">
        <f>IF(COUNTIF(MEMBERS[NameServiceStart],MEMBERS[[#This Row],[NameServiceStart]])=1,0,1)</f>
        <v>0</v>
      </c>
      <c r="C167" s="57">
        <f>IF(COUNTIF(MEMBERS[StaffMemberCode],MEMBERS[[#This Row],[StaffMemberCode]])=1,0,1)</f>
        <v>0</v>
      </c>
      <c r="D167" s="57">
        <f>IF(ISBLANK(MEMBERS[[#This Row],[PayrollLocation]]),0,IF(COUNTIF(SCHOOLS[SchoolCode],MEMBERS[[#This Row],[PayrollLocation]])=1,0,1))</f>
        <v>0</v>
      </c>
      <c r="E167" s="57">
        <f>IF(MEMBERS[[#This Row],[AvailableToAllSchools]]=FALSE,IF(ISBLANK(MEMBERS[[#This Row],[SchoolCodes]]),1,0),IF(MEMBERS[[#This Row],[AvailableToAllSchools]]=TRUE,IF(ISBLANK(MEMBERS[[#This Row],[SchoolCodes]]),0,1)))</f>
        <v>0</v>
      </c>
      <c r="F167" s="57">
        <f>IF(ISBLANK(MEMBERS[[#This Row],[ServiceEndDate]]),0,IF(MEMBERS[[#This Row],[ServiceStartDate]]&lt;MEMBERS[[#This Row],[ServiceEndDate]],0,1))</f>
        <v>0</v>
      </c>
      <c r="G167" s="57" cm="1">
        <f t="array" aca="1" ref="G167" ca="1">IF(CELL("format",MEMBERS[[#This Row],[ServiceStartDate]])="D1",0,1)+IF(CELL("format",MEMBERS[[#This Row],[ServiceEndDate]])="D1",0,1)</f>
        <v>0</v>
      </c>
      <c r="H16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67" s="57">
        <f>IF(LEN(MEMBERS[[#This Row],[StaffMemberCode]])&lt;100,0,1)</f>
        <v>0</v>
      </c>
      <c r="J167" s="57">
        <f>IF(LEN(MEMBERS[[#This Row],[Title]])&lt;100,0,1)</f>
        <v>0</v>
      </c>
      <c r="K167" s="57">
        <f>COUNTBLANK(MEMBERS[[#This Row],[StaffMemberCode]:[ServiceStartDate]])+COUNTBLANK(MEMBERS[[#This Row],[Apprenticeship]]:MEMBERS[[#This Row],[StaffMemberEnabled]])+COUNTBLANK(MEMBERS[[#This Row],[GenderCode]]:MEMBERS[[#This Row],[Casual]])</f>
        <v>0</v>
      </c>
      <c r="L167" s="57">
        <f>IF(SUBSTITUTE(TEXT(MEMBERS[[#This Row],[StaffMemberCode]],10)," ","")=TEXT(MEMBERS[[#This Row],[StaffMemberCode]],10),0,1)</f>
        <v>0</v>
      </c>
      <c r="M167" s="57">
        <f ca="1">SUM(MEMBERS[[#This Row],[Duplicate NameService Start]:[Space in Code]])</f>
        <v>0</v>
      </c>
      <c r="O167" s="15">
        <v>91073681</v>
      </c>
      <c r="P167" s="15" t="s">
        <v>3235</v>
      </c>
      <c r="Q167" s="15" t="s">
        <v>3569</v>
      </c>
      <c r="R167" s="133" t="str">
        <f>MEMBERS[[#This Row],[FirstName]]&amp;" "&amp;MEMBERS[[#This Row],[LastName]]</f>
        <v>David Olivant</v>
      </c>
      <c r="S167" s="21">
        <v>39083</v>
      </c>
      <c r="U167" s="21">
        <v>23417</v>
      </c>
      <c r="V167" t="b">
        <v>0</v>
      </c>
      <c r="W167" t="b">
        <v>0</v>
      </c>
      <c r="X167" t="b">
        <v>0</v>
      </c>
      <c r="Y167" t="s">
        <v>2082</v>
      </c>
      <c r="Z167" t="b">
        <v>1</v>
      </c>
      <c r="AB167" t="s">
        <v>1572</v>
      </c>
      <c r="AC167" t="b">
        <v>0</v>
      </c>
    </row>
    <row r="168" spans="1:29" x14ac:dyDescent="0.3">
      <c r="A168" s="57" t="str">
        <f>MEMBERS[[#This Row],[Title]]&amp;MEMBERS[[#This Row],[ServiceStartDate]]</f>
        <v>David Shaw34218</v>
      </c>
      <c r="B168" s="57">
        <f>IF(COUNTIF(MEMBERS[NameServiceStart],MEMBERS[[#This Row],[NameServiceStart]])=1,0,1)</f>
        <v>0</v>
      </c>
      <c r="C168" s="57">
        <f>IF(COUNTIF(MEMBERS[StaffMemberCode],MEMBERS[[#This Row],[StaffMemberCode]])=1,0,1)</f>
        <v>0</v>
      </c>
      <c r="D168" s="57">
        <f>IF(ISBLANK(MEMBERS[[#This Row],[PayrollLocation]]),0,IF(COUNTIF(SCHOOLS[SchoolCode],MEMBERS[[#This Row],[PayrollLocation]])=1,0,1))</f>
        <v>0</v>
      </c>
      <c r="E168" s="57">
        <f>IF(MEMBERS[[#This Row],[AvailableToAllSchools]]=FALSE,IF(ISBLANK(MEMBERS[[#This Row],[SchoolCodes]]),1,0),IF(MEMBERS[[#This Row],[AvailableToAllSchools]]=TRUE,IF(ISBLANK(MEMBERS[[#This Row],[SchoolCodes]]),0,1)))</f>
        <v>0</v>
      </c>
      <c r="F168" s="57">
        <f>IF(ISBLANK(MEMBERS[[#This Row],[ServiceEndDate]]),0,IF(MEMBERS[[#This Row],[ServiceStartDate]]&lt;MEMBERS[[#This Row],[ServiceEndDate]],0,1))</f>
        <v>0</v>
      </c>
      <c r="G168" s="57" cm="1">
        <f t="array" aca="1" ref="G168" ca="1">IF(CELL("format",MEMBERS[[#This Row],[ServiceStartDate]])="D1",0,1)+IF(CELL("format",MEMBERS[[#This Row],[ServiceEndDate]])="D1",0,1)</f>
        <v>0</v>
      </c>
      <c r="H16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68" s="57">
        <f>IF(LEN(MEMBERS[[#This Row],[StaffMemberCode]])&lt;100,0,1)</f>
        <v>0</v>
      </c>
      <c r="J168" s="57">
        <f>IF(LEN(MEMBERS[[#This Row],[Title]])&lt;100,0,1)</f>
        <v>0</v>
      </c>
      <c r="K168" s="57">
        <f>COUNTBLANK(MEMBERS[[#This Row],[StaffMemberCode]:[ServiceStartDate]])+COUNTBLANK(MEMBERS[[#This Row],[Apprenticeship]]:MEMBERS[[#This Row],[StaffMemberEnabled]])+COUNTBLANK(MEMBERS[[#This Row],[GenderCode]]:MEMBERS[[#This Row],[Casual]])</f>
        <v>0</v>
      </c>
      <c r="L168" s="57">
        <f>IF(SUBSTITUTE(TEXT(MEMBERS[[#This Row],[StaffMemberCode]],10)," ","")=TEXT(MEMBERS[[#This Row],[StaffMemberCode]],10),0,1)</f>
        <v>0</v>
      </c>
      <c r="M168" s="57">
        <f ca="1">SUM(MEMBERS[[#This Row],[Duplicate NameService Start]:[Space in Code]])</f>
        <v>0</v>
      </c>
      <c r="O168" s="15">
        <v>10005313</v>
      </c>
      <c r="P168" s="15" t="s">
        <v>3235</v>
      </c>
      <c r="Q168" s="15" t="s">
        <v>3902</v>
      </c>
      <c r="R168" s="133" t="str">
        <f>MEMBERS[[#This Row],[FirstName]]&amp;" "&amp;MEMBERS[[#This Row],[LastName]]</f>
        <v>David Shaw</v>
      </c>
      <c r="S168" s="21">
        <v>34218</v>
      </c>
      <c r="U168" s="21">
        <v>25123</v>
      </c>
      <c r="V168" s="138" t="b">
        <v>0</v>
      </c>
      <c r="W168" t="b">
        <v>0</v>
      </c>
      <c r="X168" t="b">
        <v>0</v>
      </c>
      <c r="Y168" t="s">
        <v>2126</v>
      </c>
      <c r="Z168" t="b">
        <v>1</v>
      </c>
      <c r="AB168" t="s">
        <v>1572</v>
      </c>
      <c r="AC168" t="b">
        <v>0</v>
      </c>
    </row>
    <row r="169" spans="1:29" x14ac:dyDescent="0.3">
      <c r="A169" s="57" t="str">
        <f>MEMBERS[[#This Row],[Title]]&amp;MEMBERS[[#This Row],[ServiceStartDate]]</f>
        <v>David Shepherd34943</v>
      </c>
      <c r="B169" s="57">
        <f>IF(COUNTIF(MEMBERS[NameServiceStart],MEMBERS[[#This Row],[NameServiceStart]])=1,0,1)</f>
        <v>0</v>
      </c>
      <c r="C169" s="57">
        <f>IF(COUNTIF(MEMBERS[StaffMemberCode],MEMBERS[[#This Row],[StaffMemberCode]])=1,0,1)</f>
        <v>0</v>
      </c>
      <c r="D169" s="57">
        <f>IF(ISBLANK(MEMBERS[[#This Row],[PayrollLocation]]),0,IF(COUNTIF(SCHOOLS[SchoolCode],MEMBERS[[#This Row],[PayrollLocation]])=1,0,1))</f>
        <v>0</v>
      </c>
      <c r="E169" s="57">
        <f>IF(MEMBERS[[#This Row],[AvailableToAllSchools]]=FALSE,IF(ISBLANK(MEMBERS[[#This Row],[SchoolCodes]]),1,0),IF(MEMBERS[[#This Row],[AvailableToAllSchools]]=TRUE,IF(ISBLANK(MEMBERS[[#This Row],[SchoolCodes]]),0,1)))</f>
        <v>0</v>
      </c>
      <c r="F169" s="57">
        <f>IF(ISBLANK(MEMBERS[[#This Row],[ServiceEndDate]]),0,IF(MEMBERS[[#This Row],[ServiceStartDate]]&lt;MEMBERS[[#This Row],[ServiceEndDate]],0,1))</f>
        <v>0</v>
      </c>
      <c r="G169" s="57" cm="1">
        <f t="array" aca="1" ref="G169" ca="1">IF(CELL("format",MEMBERS[[#This Row],[ServiceStartDate]])="D1",0,1)+IF(CELL("format",MEMBERS[[#This Row],[ServiceEndDate]])="D1",0,1)</f>
        <v>0</v>
      </c>
      <c r="H16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69" s="57">
        <f>IF(LEN(MEMBERS[[#This Row],[StaffMemberCode]])&lt;100,0,1)</f>
        <v>0</v>
      </c>
      <c r="J169" s="57">
        <f>IF(LEN(MEMBERS[[#This Row],[Title]])&lt;100,0,1)</f>
        <v>0</v>
      </c>
      <c r="K169" s="57">
        <f>COUNTBLANK(MEMBERS[[#This Row],[StaffMemberCode]:[ServiceStartDate]])+COUNTBLANK(MEMBERS[[#This Row],[Apprenticeship]]:MEMBERS[[#This Row],[StaffMemberEnabled]])+COUNTBLANK(MEMBERS[[#This Row],[GenderCode]]:MEMBERS[[#This Row],[Casual]])</f>
        <v>0</v>
      </c>
      <c r="L169" s="57">
        <f>IF(SUBSTITUTE(TEXT(MEMBERS[[#This Row],[StaffMemberCode]],10)," ","")=TEXT(MEMBERS[[#This Row],[StaffMemberCode]],10),0,1)</f>
        <v>0</v>
      </c>
      <c r="M169" s="57">
        <f ca="1">SUM(MEMBERS[[#This Row],[Duplicate NameService Start]:[Space in Code]])</f>
        <v>0</v>
      </c>
      <c r="O169" s="15">
        <v>10005286</v>
      </c>
      <c r="P169" s="15" t="s">
        <v>3235</v>
      </c>
      <c r="Q169" s="15" t="s">
        <v>3758</v>
      </c>
      <c r="R169" s="133" t="str">
        <f>MEMBERS[[#This Row],[FirstName]]&amp;" "&amp;MEMBERS[[#This Row],[LastName]]</f>
        <v>David Shepherd</v>
      </c>
      <c r="S169" s="21">
        <v>34943</v>
      </c>
      <c r="U169" s="21">
        <v>25127</v>
      </c>
      <c r="V169" s="138" t="b">
        <v>0</v>
      </c>
      <c r="W169" t="b">
        <v>0</v>
      </c>
      <c r="X169" t="b">
        <v>0</v>
      </c>
      <c r="Y169" t="s">
        <v>2126</v>
      </c>
      <c r="Z169" t="b">
        <v>1</v>
      </c>
      <c r="AB169" t="s">
        <v>1572</v>
      </c>
      <c r="AC169" t="b">
        <v>0</v>
      </c>
    </row>
    <row r="170" spans="1:29" x14ac:dyDescent="0.3">
      <c r="A170" s="57" t="str">
        <f>MEMBERS[[#This Row],[Title]]&amp;MEMBERS[[#This Row],[ServiceStartDate]]</f>
        <v>David Slinn43645</v>
      </c>
      <c r="B170" s="57">
        <f>IF(COUNTIF(MEMBERS[NameServiceStart],MEMBERS[[#This Row],[NameServiceStart]])=1,0,1)</f>
        <v>0</v>
      </c>
      <c r="C170" s="57">
        <f>IF(COUNTIF(MEMBERS[StaffMemberCode],MEMBERS[[#This Row],[StaffMemberCode]])=1,0,1)</f>
        <v>0</v>
      </c>
      <c r="D170" s="57">
        <f>IF(ISBLANK(MEMBERS[[#This Row],[PayrollLocation]]),0,IF(COUNTIF(SCHOOLS[SchoolCode],MEMBERS[[#This Row],[PayrollLocation]])=1,0,1))</f>
        <v>0</v>
      </c>
      <c r="E170" s="57">
        <f>IF(MEMBERS[[#This Row],[AvailableToAllSchools]]=FALSE,IF(ISBLANK(MEMBERS[[#This Row],[SchoolCodes]]),1,0),IF(MEMBERS[[#This Row],[AvailableToAllSchools]]=TRUE,IF(ISBLANK(MEMBERS[[#This Row],[SchoolCodes]]),0,1)))</f>
        <v>0</v>
      </c>
      <c r="F170" s="57">
        <f>IF(ISBLANK(MEMBERS[[#This Row],[ServiceEndDate]]),0,IF(MEMBERS[[#This Row],[ServiceStartDate]]&lt;MEMBERS[[#This Row],[ServiceEndDate]],0,1))</f>
        <v>0</v>
      </c>
      <c r="G170" s="57" cm="1">
        <f t="array" aca="1" ref="G170" ca="1">IF(CELL("format",MEMBERS[[#This Row],[ServiceStartDate]])="D1",0,1)+IF(CELL("format",MEMBERS[[#This Row],[ServiceEndDate]])="D1",0,1)</f>
        <v>0</v>
      </c>
      <c r="H17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70" s="57">
        <f>IF(LEN(MEMBERS[[#This Row],[StaffMemberCode]])&lt;100,0,1)</f>
        <v>0</v>
      </c>
      <c r="J170" s="57">
        <f>IF(LEN(MEMBERS[[#This Row],[Title]])&lt;100,0,1)</f>
        <v>0</v>
      </c>
      <c r="K170" s="57">
        <f>COUNTBLANK(MEMBERS[[#This Row],[StaffMemberCode]:[ServiceStartDate]])+COUNTBLANK(MEMBERS[[#This Row],[Apprenticeship]]:MEMBERS[[#This Row],[StaffMemberEnabled]])+COUNTBLANK(MEMBERS[[#This Row],[GenderCode]]:MEMBERS[[#This Row],[Casual]])</f>
        <v>0</v>
      </c>
      <c r="L170" s="57">
        <f>IF(SUBSTITUTE(TEXT(MEMBERS[[#This Row],[StaffMemberCode]],10)," ","")=TEXT(MEMBERS[[#This Row],[StaffMemberCode]],10),0,1)</f>
        <v>0</v>
      </c>
      <c r="M170" s="57">
        <f ca="1">SUM(MEMBERS[[#This Row],[Duplicate NameService Start]:[Space in Code]])</f>
        <v>0</v>
      </c>
      <c r="O170" s="15">
        <v>91073541</v>
      </c>
      <c r="P170" s="15" t="s">
        <v>3235</v>
      </c>
      <c r="Q170" s="15" t="s">
        <v>3570</v>
      </c>
      <c r="R170" s="133" t="str">
        <f>MEMBERS[[#This Row],[FirstName]]&amp;" "&amp;MEMBERS[[#This Row],[LastName]]</f>
        <v>David Slinn</v>
      </c>
      <c r="S170" s="21">
        <v>43645</v>
      </c>
      <c r="U170" s="21">
        <v>23436</v>
      </c>
      <c r="V170" t="b">
        <v>0</v>
      </c>
      <c r="W170" t="b">
        <v>0</v>
      </c>
      <c r="X170" t="b">
        <v>0</v>
      </c>
      <c r="Y170" t="s">
        <v>2094</v>
      </c>
      <c r="Z170" t="b">
        <v>1</v>
      </c>
      <c r="AB170" t="s">
        <v>1572</v>
      </c>
      <c r="AC170" t="b">
        <v>0</v>
      </c>
    </row>
    <row r="171" spans="1:29" x14ac:dyDescent="0.3">
      <c r="A171" s="57" t="str">
        <f>MEMBERS[[#This Row],[Title]]&amp;MEMBERS[[#This Row],[ServiceStartDate]]</f>
        <v>David Storer43344</v>
      </c>
      <c r="B171" s="57">
        <f>IF(COUNTIF(MEMBERS[NameServiceStart],MEMBERS[[#This Row],[NameServiceStart]])=1,0,1)</f>
        <v>0</v>
      </c>
      <c r="C171" s="57">
        <f>IF(COUNTIF(MEMBERS[StaffMemberCode],MEMBERS[[#This Row],[StaffMemberCode]])=1,0,1)</f>
        <v>0</v>
      </c>
      <c r="D171" s="57">
        <f>IF(ISBLANK(MEMBERS[[#This Row],[PayrollLocation]]),0,IF(COUNTIF(SCHOOLS[SchoolCode],MEMBERS[[#This Row],[PayrollLocation]])=1,0,1))</f>
        <v>0</v>
      </c>
      <c r="E171" s="57">
        <f>IF(MEMBERS[[#This Row],[AvailableToAllSchools]]=FALSE,IF(ISBLANK(MEMBERS[[#This Row],[SchoolCodes]]),1,0),IF(MEMBERS[[#This Row],[AvailableToAllSchools]]=TRUE,IF(ISBLANK(MEMBERS[[#This Row],[SchoolCodes]]),0,1)))</f>
        <v>0</v>
      </c>
      <c r="F171" s="57">
        <f>IF(ISBLANK(MEMBERS[[#This Row],[ServiceEndDate]]),0,IF(MEMBERS[[#This Row],[ServiceStartDate]]&lt;MEMBERS[[#This Row],[ServiceEndDate]],0,1))</f>
        <v>0</v>
      </c>
      <c r="G171" s="57" cm="1">
        <f t="array" aca="1" ref="G171" ca="1">IF(CELL("format",MEMBERS[[#This Row],[ServiceStartDate]])="D1",0,1)+IF(CELL("format",MEMBERS[[#This Row],[ServiceEndDate]])="D1",0,1)</f>
        <v>0</v>
      </c>
      <c r="H17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71" s="57">
        <f>IF(LEN(MEMBERS[[#This Row],[StaffMemberCode]])&lt;100,0,1)</f>
        <v>0</v>
      </c>
      <c r="J171" s="57">
        <f>IF(LEN(MEMBERS[[#This Row],[Title]])&lt;100,0,1)</f>
        <v>0</v>
      </c>
      <c r="K171" s="57">
        <f>COUNTBLANK(MEMBERS[[#This Row],[StaffMemberCode]:[ServiceStartDate]])+COUNTBLANK(MEMBERS[[#This Row],[Apprenticeship]]:MEMBERS[[#This Row],[StaffMemberEnabled]])+COUNTBLANK(MEMBERS[[#This Row],[GenderCode]]:MEMBERS[[#This Row],[Casual]])</f>
        <v>0</v>
      </c>
      <c r="L171" s="57">
        <f>IF(SUBSTITUTE(TEXT(MEMBERS[[#This Row],[StaffMemberCode]],10)," ","")=TEXT(MEMBERS[[#This Row],[StaffMemberCode]],10),0,1)</f>
        <v>0</v>
      </c>
      <c r="M171" s="57">
        <f ca="1">SUM(MEMBERS[[#This Row],[Duplicate NameService Start]:[Space in Code]])</f>
        <v>0</v>
      </c>
      <c r="O171" s="15">
        <v>10006100</v>
      </c>
      <c r="P171" s="15" t="s">
        <v>3235</v>
      </c>
      <c r="Q171" s="15" t="s">
        <v>4047</v>
      </c>
      <c r="R171" s="133" t="str">
        <f>MEMBERS[[#This Row],[FirstName]]&amp;" "&amp;MEMBERS[[#This Row],[LastName]]</f>
        <v>David Storer</v>
      </c>
      <c r="S171" s="21">
        <v>43344</v>
      </c>
      <c r="U171" s="21">
        <v>24202</v>
      </c>
      <c r="V171" s="138" t="b">
        <v>0</v>
      </c>
      <c r="W171" t="b">
        <v>0</v>
      </c>
      <c r="X171" t="b">
        <v>0</v>
      </c>
      <c r="Y171" t="s">
        <v>2126</v>
      </c>
      <c r="Z171" t="b">
        <v>1</v>
      </c>
      <c r="AB171" t="s">
        <v>1572</v>
      </c>
      <c r="AC171" t="b">
        <v>0</v>
      </c>
    </row>
    <row r="172" spans="1:29" x14ac:dyDescent="0.3">
      <c r="A172" s="57" t="str">
        <f>MEMBERS[[#This Row],[Title]]&amp;MEMBERS[[#This Row],[ServiceStartDate]]</f>
        <v>Dawn Dodd44986</v>
      </c>
      <c r="B172" s="57">
        <f>IF(COUNTIF(MEMBERS[NameServiceStart],MEMBERS[[#This Row],[NameServiceStart]])=1,0,1)</f>
        <v>0</v>
      </c>
      <c r="C172" s="57">
        <f>IF(COUNTIF(MEMBERS[StaffMemberCode],MEMBERS[[#This Row],[StaffMemberCode]])=1,0,1)</f>
        <v>0</v>
      </c>
      <c r="D172" s="57">
        <f>IF(ISBLANK(MEMBERS[[#This Row],[PayrollLocation]]),0,IF(COUNTIF(SCHOOLS[SchoolCode],MEMBERS[[#This Row],[PayrollLocation]])=1,0,1))</f>
        <v>0</v>
      </c>
      <c r="E172" s="57">
        <f>IF(MEMBERS[[#This Row],[AvailableToAllSchools]]=FALSE,IF(ISBLANK(MEMBERS[[#This Row],[SchoolCodes]]),1,0),IF(MEMBERS[[#This Row],[AvailableToAllSchools]]=TRUE,IF(ISBLANK(MEMBERS[[#This Row],[SchoolCodes]]),0,1)))</f>
        <v>0</v>
      </c>
      <c r="F172" s="57">
        <f>IF(ISBLANK(MEMBERS[[#This Row],[ServiceEndDate]]),0,IF(MEMBERS[[#This Row],[ServiceStartDate]]&lt;MEMBERS[[#This Row],[ServiceEndDate]],0,1))</f>
        <v>0</v>
      </c>
      <c r="G172" s="57" cm="1">
        <f t="array" aca="1" ref="G172" ca="1">IF(CELL("format",MEMBERS[[#This Row],[ServiceStartDate]])="D1",0,1)+IF(CELL("format",MEMBERS[[#This Row],[ServiceEndDate]])="D1",0,1)</f>
        <v>0</v>
      </c>
      <c r="H17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72" s="57">
        <f>IF(LEN(MEMBERS[[#This Row],[StaffMemberCode]])&lt;100,0,1)</f>
        <v>0</v>
      </c>
      <c r="J172" s="57">
        <f>IF(LEN(MEMBERS[[#This Row],[Title]])&lt;100,0,1)</f>
        <v>0</v>
      </c>
      <c r="K172" s="57">
        <f>COUNTBLANK(MEMBERS[[#This Row],[StaffMemberCode]:[ServiceStartDate]])+COUNTBLANK(MEMBERS[[#This Row],[Apprenticeship]]:MEMBERS[[#This Row],[StaffMemberEnabled]])+COUNTBLANK(MEMBERS[[#This Row],[GenderCode]]:MEMBERS[[#This Row],[Casual]])</f>
        <v>0</v>
      </c>
      <c r="L172" s="57">
        <f>IF(SUBSTITUTE(TEXT(MEMBERS[[#This Row],[StaffMemberCode]],10)," ","")=TEXT(MEMBERS[[#This Row],[StaffMemberCode]],10),0,1)</f>
        <v>0</v>
      </c>
      <c r="M172" s="57">
        <f ca="1">SUM(MEMBERS[[#This Row],[Duplicate NameService Start]:[Space in Code]])</f>
        <v>0</v>
      </c>
      <c r="O172" s="15">
        <v>10013088</v>
      </c>
      <c r="P172" s="15" t="s">
        <v>3236</v>
      </c>
      <c r="Q172" s="15" t="s">
        <v>3639</v>
      </c>
      <c r="R172" s="133" t="str">
        <f>MEMBERS[[#This Row],[FirstName]]&amp;" "&amp;MEMBERS[[#This Row],[LastName]]</f>
        <v>Dawn Dodd</v>
      </c>
      <c r="S172" s="21">
        <v>44986</v>
      </c>
      <c r="U172" s="21">
        <v>25438</v>
      </c>
      <c r="V172" s="138" t="b">
        <v>0</v>
      </c>
      <c r="W172" t="b">
        <v>0</v>
      </c>
      <c r="X172" t="b">
        <v>0</v>
      </c>
      <c r="Y172" t="s">
        <v>2126</v>
      </c>
      <c r="Z172" t="b">
        <v>1</v>
      </c>
      <c r="AB172" t="s">
        <v>1571</v>
      </c>
      <c r="AC172" t="b">
        <v>0</v>
      </c>
    </row>
    <row r="173" spans="1:29" x14ac:dyDescent="0.3">
      <c r="A173" s="57" t="str">
        <f>MEMBERS[[#This Row],[Title]]&amp;MEMBERS[[#This Row],[ServiceStartDate]]</f>
        <v>Dawn Fisher33632</v>
      </c>
      <c r="B173" s="57">
        <f>IF(COUNTIF(MEMBERS[NameServiceStart],MEMBERS[[#This Row],[NameServiceStart]])=1,0,1)</f>
        <v>0</v>
      </c>
      <c r="C173" s="57">
        <f>IF(COUNTIF(MEMBERS[StaffMemberCode],MEMBERS[[#This Row],[StaffMemberCode]])=1,0,1)</f>
        <v>0</v>
      </c>
      <c r="D173" s="57">
        <f>IF(ISBLANK(MEMBERS[[#This Row],[PayrollLocation]]),0,IF(COUNTIF(SCHOOLS[SchoolCode],MEMBERS[[#This Row],[PayrollLocation]])=1,0,1))</f>
        <v>0</v>
      </c>
      <c r="E173" s="57">
        <f>IF(MEMBERS[[#This Row],[AvailableToAllSchools]]=FALSE,IF(ISBLANK(MEMBERS[[#This Row],[SchoolCodes]]),1,0),IF(MEMBERS[[#This Row],[AvailableToAllSchools]]=TRUE,IF(ISBLANK(MEMBERS[[#This Row],[SchoolCodes]]),0,1)))</f>
        <v>0</v>
      </c>
      <c r="F173" s="57">
        <f>IF(ISBLANK(MEMBERS[[#This Row],[ServiceEndDate]]),0,IF(MEMBERS[[#This Row],[ServiceStartDate]]&lt;MEMBERS[[#This Row],[ServiceEndDate]],0,1))</f>
        <v>0</v>
      </c>
      <c r="G173" s="57" cm="1">
        <f t="array" aca="1" ref="G173" ca="1">IF(CELL("format",MEMBERS[[#This Row],[ServiceStartDate]])="D1",0,1)+IF(CELL("format",MEMBERS[[#This Row],[ServiceEndDate]])="D1",0,1)</f>
        <v>0</v>
      </c>
      <c r="H17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73" s="57">
        <f>IF(LEN(MEMBERS[[#This Row],[StaffMemberCode]])&lt;100,0,1)</f>
        <v>0</v>
      </c>
      <c r="J173" s="57">
        <f>IF(LEN(MEMBERS[[#This Row],[Title]])&lt;100,0,1)</f>
        <v>0</v>
      </c>
      <c r="K173" s="57">
        <f>COUNTBLANK(MEMBERS[[#This Row],[StaffMemberCode]:[ServiceStartDate]])+COUNTBLANK(MEMBERS[[#This Row],[Apprenticeship]]:MEMBERS[[#This Row],[StaffMemberEnabled]])+COUNTBLANK(MEMBERS[[#This Row],[GenderCode]]:MEMBERS[[#This Row],[Casual]])</f>
        <v>0</v>
      </c>
      <c r="L173" s="57">
        <f>IF(SUBSTITUTE(TEXT(MEMBERS[[#This Row],[StaffMemberCode]],10)," ","")=TEXT(MEMBERS[[#This Row],[StaffMemberCode]],10),0,1)</f>
        <v>0</v>
      </c>
      <c r="M173" s="57">
        <f ca="1">SUM(MEMBERS[[#This Row],[Duplicate NameService Start]:[Space in Code]])</f>
        <v>0</v>
      </c>
      <c r="O173" s="15">
        <v>10005276</v>
      </c>
      <c r="P173" s="15" t="s">
        <v>3236</v>
      </c>
      <c r="Q173" s="15" t="s">
        <v>4048</v>
      </c>
      <c r="R173" s="133" t="str">
        <f>MEMBERS[[#This Row],[FirstName]]&amp;" "&amp;MEMBERS[[#This Row],[LastName]]</f>
        <v>Dawn Fisher</v>
      </c>
      <c r="S173" s="21">
        <v>33632</v>
      </c>
      <c r="U173" s="21">
        <v>23962</v>
      </c>
      <c r="V173" s="138" t="b">
        <v>0</v>
      </c>
      <c r="W173" t="b">
        <v>0</v>
      </c>
      <c r="X173" t="b">
        <v>0</v>
      </c>
      <c r="Y173" t="s">
        <v>2126</v>
      </c>
      <c r="Z173" t="b">
        <v>1</v>
      </c>
      <c r="AB173" t="s">
        <v>1571</v>
      </c>
      <c r="AC173" t="b">
        <v>0</v>
      </c>
    </row>
    <row r="174" spans="1:29" x14ac:dyDescent="0.3">
      <c r="A174" s="57" t="str">
        <f>MEMBERS[[#This Row],[Title]]&amp;MEMBERS[[#This Row],[ServiceStartDate]]</f>
        <v>Dawn Hancock37995</v>
      </c>
      <c r="B174" s="57">
        <f>IF(COUNTIF(MEMBERS[NameServiceStart],MEMBERS[[#This Row],[NameServiceStart]])=1,0,1)</f>
        <v>0</v>
      </c>
      <c r="C174" s="57">
        <f>IF(COUNTIF(MEMBERS[StaffMemberCode],MEMBERS[[#This Row],[StaffMemberCode]])=1,0,1)</f>
        <v>0</v>
      </c>
      <c r="D174" s="57">
        <f>IF(ISBLANK(MEMBERS[[#This Row],[PayrollLocation]]),0,IF(COUNTIF(SCHOOLS[SchoolCode],MEMBERS[[#This Row],[PayrollLocation]])=1,0,1))</f>
        <v>0</v>
      </c>
      <c r="E174" s="57">
        <f>IF(MEMBERS[[#This Row],[AvailableToAllSchools]]=FALSE,IF(ISBLANK(MEMBERS[[#This Row],[SchoolCodes]]),1,0),IF(MEMBERS[[#This Row],[AvailableToAllSchools]]=TRUE,IF(ISBLANK(MEMBERS[[#This Row],[SchoolCodes]]),0,1)))</f>
        <v>0</v>
      </c>
      <c r="F174" s="57">
        <f>IF(ISBLANK(MEMBERS[[#This Row],[ServiceEndDate]]),0,IF(MEMBERS[[#This Row],[ServiceStartDate]]&lt;MEMBERS[[#This Row],[ServiceEndDate]],0,1))</f>
        <v>0</v>
      </c>
      <c r="G174" s="57" cm="1">
        <f t="array" aca="1" ref="G174" ca="1">IF(CELL("format",MEMBERS[[#This Row],[ServiceStartDate]])="D1",0,1)+IF(CELL("format",MEMBERS[[#This Row],[ServiceEndDate]])="D1",0,1)</f>
        <v>0</v>
      </c>
      <c r="H17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74" s="57">
        <f>IF(LEN(MEMBERS[[#This Row],[StaffMemberCode]])&lt;100,0,1)</f>
        <v>0</v>
      </c>
      <c r="J174" s="57">
        <f>IF(LEN(MEMBERS[[#This Row],[Title]])&lt;100,0,1)</f>
        <v>0</v>
      </c>
      <c r="K174" s="57">
        <f>COUNTBLANK(MEMBERS[[#This Row],[StaffMemberCode]:[ServiceStartDate]])+COUNTBLANK(MEMBERS[[#This Row],[Apprenticeship]]:MEMBERS[[#This Row],[StaffMemberEnabled]])+COUNTBLANK(MEMBERS[[#This Row],[GenderCode]]:MEMBERS[[#This Row],[Casual]])</f>
        <v>0</v>
      </c>
      <c r="L174" s="57">
        <f>IF(SUBSTITUTE(TEXT(MEMBERS[[#This Row],[StaffMemberCode]],10)," ","")=TEXT(MEMBERS[[#This Row],[StaffMemberCode]],10),0,1)</f>
        <v>0</v>
      </c>
      <c r="M174" s="57">
        <f ca="1">SUM(MEMBERS[[#This Row],[Duplicate NameService Start]:[Space in Code]])</f>
        <v>0</v>
      </c>
      <c r="O174" s="15">
        <v>91073875</v>
      </c>
      <c r="P174" s="15" t="s">
        <v>3236</v>
      </c>
      <c r="Q174" s="15" t="s">
        <v>3571</v>
      </c>
      <c r="R174" s="133" t="str">
        <f>MEMBERS[[#This Row],[FirstName]]&amp;" "&amp;MEMBERS[[#This Row],[LastName]]</f>
        <v>Dawn Hancock</v>
      </c>
      <c r="S174" s="21">
        <v>37995</v>
      </c>
      <c r="U174" s="21">
        <v>24298</v>
      </c>
      <c r="V174" t="b">
        <v>0</v>
      </c>
      <c r="W174" t="b">
        <v>0</v>
      </c>
      <c r="X174" t="b">
        <v>0</v>
      </c>
      <c r="Y174" t="s">
        <v>2266</v>
      </c>
      <c r="Z174" t="b">
        <v>1</v>
      </c>
      <c r="AB174" t="s">
        <v>1571</v>
      </c>
      <c r="AC174" t="b">
        <v>0</v>
      </c>
    </row>
    <row r="175" spans="1:29" x14ac:dyDescent="0.3">
      <c r="A175" s="57" t="str">
        <f>MEMBERS[[#This Row],[Title]]&amp;MEMBERS[[#This Row],[ServiceStartDate]]</f>
        <v>Dean Richards41283</v>
      </c>
      <c r="B175" s="57">
        <f>IF(COUNTIF(MEMBERS[NameServiceStart],MEMBERS[[#This Row],[NameServiceStart]])=1,0,1)</f>
        <v>0</v>
      </c>
      <c r="C175" s="57">
        <f>IF(COUNTIF(MEMBERS[StaffMemberCode],MEMBERS[[#This Row],[StaffMemberCode]])=1,0,1)</f>
        <v>0</v>
      </c>
      <c r="D175" s="57">
        <f>IF(ISBLANK(MEMBERS[[#This Row],[PayrollLocation]]),0,IF(COUNTIF(SCHOOLS[SchoolCode],MEMBERS[[#This Row],[PayrollLocation]])=1,0,1))</f>
        <v>0</v>
      </c>
      <c r="E175" s="57">
        <f>IF(MEMBERS[[#This Row],[AvailableToAllSchools]]=FALSE,IF(ISBLANK(MEMBERS[[#This Row],[SchoolCodes]]),1,0),IF(MEMBERS[[#This Row],[AvailableToAllSchools]]=TRUE,IF(ISBLANK(MEMBERS[[#This Row],[SchoolCodes]]),0,1)))</f>
        <v>0</v>
      </c>
      <c r="F175" s="57">
        <f>IF(ISBLANK(MEMBERS[[#This Row],[ServiceEndDate]]),0,IF(MEMBERS[[#This Row],[ServiceStartDate]]&lt;MEMBERS[[#This Row],[ServiceEndDate]],0,1))</f>
        <v>0</v>
      </c>
      <c r="G175" s="57" cm="1">
        <f t="array" aca="1" ref="G175" ca="1">IF(CELL("format",MEMBERS[[#This Row],[ServiceStartDate]])="D1",0,1)+IF(CELL("format",MEMBERS[[#This Row],[ServiceEndDate]])="D1",0,1)</f>
        <v>0</v>
      </c>
      <c r="H17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75" s="57">
        <f>IF(LEN(MEMBERS[[#This Row],[StaffMemberCode]])&lt;100,0,1)</f>
        <v>0</v>
      </c>
      <c r="J175" s="57">
        <f>IF(LEN(MEMBERS[[#This Row],[Title]])&lt;100,0,1)</f>
        <v>0</v>
      </c>
      <c r="K175" s="57">
        <f>COUNTBLANK(MEMBERS[[#This Row],[StaffMemberCode]:[ServiceStartDate]])+COUNTBLANK(MEMBERS[[#This Row],[Apprenticeship]]:MEMBERS[[#This Row],[StaffMemberEnabled]])+COUNTBLANK(MEMBERS[[#This Row],[GenderCode]]:MEMBERS[[#This Row],[Casual]])</f>
        <v>0</v>
      </c>
      <c r="L175" s="57">
        <f>IF(SUBSTITUTE(TEXT(MEMBERS[[#This Row],[StaffMemberCode]],10)," ","")=TEXT(MEMBERS[[#This Row],[StaffMemberCode]],10),0,1)</f>
        <v>0</v>
      </c>
      <c r="M175" s="57">
        <f ca="1">SUM(MEMBERS[[#This Row],[Duplicate NameService Start]:[Space in Code]])</f>
        <v>0</v>
      </c>
      <c r="O175" s="15">
        <v>91073410</v>
      </c>
      <c r="P175" s="15" t="s">
        <v>3237</v>
      </c>
      <c r="Q175" s="15" t="s">
        <v>3572</v>
      </c>
      <c r="R175" s="133" t="str">
        <f>MEMBERS[[#This Row],[FirstName]]&amp;" "&amp;MEMBERS[[#This Row],[LastName]]</f>
        <v>Dean Richards</v>
      </c>
      <c r="S175" s="21">
        <v>41283</v>
      </c>
      <c r="U175" s="21">
        <v>33271</v>
      </c>
      <c r="V175" t="b">
        <v>0</v>
      </c>
      <c r="W175" t="b">
        <v>0</v>
      </c>
      <c r="X175" t="b">
        <v>0</v>
      </c>
      <c r="Y175" t="s">
        <v>2275</v>
      </c>
      <c r="Z175" t="b">
        <v>1</v>
      </c>
      <c r="AB175" t="s">
        <v>1572</v>
      </c>
      <c r="AC175" t="b">
        <v>0</v>
      </c>
    </row>
    <row r="176" spans="1:29" x14ac:dyDescent="0.3">
      <c r="A176" s="57" t="str">
        <f>MEMBERS[[#This Row],[Title]]&amp;MEMBERS[[#This Row],[ServiceStartDate]]</f>
        <v>Deboarah Stonier45292</v>
      </c>
      <c r="B176" s="57">
        <f>IF(COUNTIF(MEMBERS[NameServiceStart],MEMBERS[[#This Row],[NameServiceStart]])=1,0,1)</f>
        <v>0</v>
      </c>
      <c r="C176" s="57">
        <f>IF(COUNTIF(MEMBERS[StaffMemberCode],MEMBERS[[#This Row],[StaffMemberCode]])=1,0,1)</f>
        <v>0</v>
      </c>
      <c r="D176" s="57">
        <f>IF(ISBLANK(MEMBERS[[#This Row],[PayrollLocation]]),0,IF(COUNTIF(SCHOOLS[SchoolCode],MEMBERS[[#This Row],[PayrollLocation]])=1,0,1))</f>
        <v>0</v>
      </c>
      <c r="E176" s="57">
        <f>IF(MEMBERS[[#This Row],[AvailableToAllSchools]]=FALSE,IF(ISBLANK(MEMBERS[[#This Row],[SchoolCodes]]),1,0),IF(MEMBERS[[#This Row],[AvailableToAllSchools]]=TRUE,IF(ISBLANK(MEMBERS[[#This Row],[SchoolCodes]]),0,1)))</f>
        <v>0</v>
      </c>
      <c r="F176" s="57">
        <f>IF(ISBLANK(MEMBERS[[#This Row],[ServiceEndDate]]),0,IF(MEMBERS[[#This Row],[ServiceStartDate]]&lt;MEMBERS[[#This Row],[ServiceEndDate]],0,1))</f>
        <v>0</v>
      </c>
      <c r="G176" s="57" cm="1">
        <f t="array" aca="1" ref="G176" ca="1">IF(CELL("format",MEMBERS[[#This Row],[ServiceStartDate]])="D1",0,1)+IF(CELL("format",MEMBERS[[#This Row],[ServiceEndDate]])="D1",0,1)</f>
        <v>0</v>
      </c>
      <c r="H17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76" s="57">
        <f>IF(LEN(MEMBERS[[#This Row],[StaffMemberCode]])&lt;100,0,1)</f>
        <v>0</v>
      </c>
      <c r="J176" s="57">
        <f>IF(LEN(MEMBERS[[#This Row],[Title]])&lt;100,0,1)</f>
        <v>0</v>
      </c>
      <c r="K176" s="57">
        <f>COUNTBLANK(MEMBERS[[#This Row],[StaffMemberCode]:[ServiceStartDate]])+COUNTBLANK(MEMBERS[[#This Row],[Apprenticeship]]:MEMBERS[[#This Row],[StaffMemberEnabled]])+COUNTBLANK(MEMBERS[[#This Row],[GenderCode]]:MEMBERS[[#This Row],[Casual]])</f>
        <v>0</v>
      </c>
      <c r="L176" s="57">
        <f>IF(SUBSTITUTE(TEXT(MEMBERS[[#This Row],[StaffMemberCode]],10)," ","")=TEXT(MEMBERS[[#This Row],[StaffMemberCode]],10),0,1)</f>
        <v>0</v>
      </c>
      <c r="M176" s="57">
        <f ca="1">SUM(MEMBERS[[#This Row],[Duplicate NameService Start]:[Space in Code]])</f>
        <v>0</v>
      </c>
      <c r="O176" s="15">
        <v>91075777</v>
      </c>
      <c r="P176" s="15" t="s">
        <v>3238</v>
      </c>
      <c r="Q176" s="15" t="s">
        <v>3573</v>
      </c>
      <c r="R176" s="133" t="str">
        <f>MEMBERS[[#This Row],[FirstName]]&amp;" "&amp;MEMBERS[[#This Row],[LastName]]</f>
        <v>Deboarah Stonier</v>
      </c>
      <c r="S176" s="21">
        <v>45292</v>
      </c>
      <c r="U176" s="21">
        <v>27864</v>
      </c>
      <c r="V176" t="b">
        <v>0</v>
      </c>
      <c r="W176" t="b">
        <v>0</v>
      </c>
      <c r="X176" t="b">
        <v>0</v>
      </c>
      <c r="Y176" t="s">
        <v>2200</v>
      </c>
      <c r="Z176" t="b">
        <v>1</v>
      </c>
      <c r="AB176" t="s">
        <v>1571</v>
      </c>
      <c r="AC176" t="b">
        <v>0</v>
      </c>
    </row>
    <row r="177" spans="1:29" x14ac:dyDescent="0.3">
      <c r="A177" s="57" t="str">
        <f>MEMBERS[[#This Row],[Title]]&amp;MEMBERS[[#This Row],[ServiceStartDate]]</f>
        <v>Debora Coxon42744</v>
      </c>
      <c r="B177" s="57">
        <f>IF(COUNTIF(MEMBERS[NameServiceStart],MEMBERS[[#This Row],[NameServiceStart]])=1,0,1)</f>
        <v>0</v>
      </c>
      <c r="C177" s="57">
        <f>IF(COUNTIF(MEMBERS[StaffMemberCode],MEMBERS[[#This Row],[StaffMemberCode]])=1,0,1)</f>
        <v>0</v>
      </c>
      <c r="D177" s="57">
        <f>IF(ISBLANK(MEMBERS[[#This Row],[PayrollLocation]]),0,IF(COUNTIF(SCHOOLS[SchoolCode],MEMBERS[[#This Row],[PayrollLocation]])=1,0,1))</f>
        <v>0</v>
      </c>
      <c r="E177" s="57">
        <f>IF(MEMBERS[[#This Row],[AvailableToAllSchools]]=FALSE,IF(ISBLANK(MEMBERS[[#This Row],[SchoolCodes]]),1,0),IF(MEMBERS[[#This Row],[AvailableToAllSchools]]=TRUE,IF(ISBLANK(MEMBERS[[#This Row],[SchoolCodes]]),0,1)))</f>
        <v>0</v>
      </c>
      <c r="F177" s="57">
        <f>IF(ISBLANK(MEMBERS[[#This Row],[ServiceEndDate]]),0,IF(MEMBERS[[#This Row],[ServiceStartDate]]&lt;MEMBERS[[#This Row],[ServiceEndDate]],0,1))</f>
        <v>0</v>
      </c>
      <c r="G177" s="57" cm="1">
        <f t="array" aca="1" ref="G177" ca="1">IF(CELL("format",MEMBERS[[#This Row],[ServiceStartDate]])="D1",0,1)+IF(CELL("format",MEMBERS[[#This Row],[ServiceEndDate]])="D1",0,1)</f>
        <v>0</v>
      </c>
      <c r="H17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77" s="57">
        <f>IF(LEN(MEMBERS[[#This Row],[StaffMemberCode]])&lt;100,0,1)</f>
        <v>0</v>
      </c>
      <c r="J177" s="57">
        <f>IF(LEN(MEMBERS[[#This Row],[Title]])&lt;100,0,1)</f>
        <v>0</v>
      </c>
      <c r="K177" s="57">
        <f>COUNTBLANK(MEMBERS[[#This Row],[StaffMemberCode]:[ServiceStartDate]])+COUNTBLANK(MEMBERS[[#This Row],[Apprenticeship]]:MEMBERS[[#This Row],[StaffMemberEnabled]])+COUNTBLANK(MEMBERS[[#This Row],[GenderCode]]:MEMBERS[[#This Row],[Casual]])</f>
        <v>0</v>
      </c>
      <c r="L177" s="57">
        <f>IF(SUBSTITUTE(TEXT(MEMBERS[[#This Row],[StaffMemberCode]],10)," ","")=TEXT(MEMBERS[[#This Row],[StaffMemberCode]],10),0,1)</f>
        <v>0</v>
      </c>
      <c r="M177" s="57">
        <f ca="1">SUM(MEMBERS[[#This Row],[Duplicate NameService Start]:[Space in Code]])</f>
        <v>0</v>
      </c>
      <c r="O177" s="15">
        <v>91073729</v>
      </c>
      <c r="P177" s="15" t="s">
        <v>3239</v>
      </c>
      <c r="Q177" s="15" t="s">
        <v>3574</v>
      </c>
      <c r="R177" s="133" t="str">
        <f>MEMBERS[[#This Row],[FirstName]]&amp;" "&amp;MEMBERS[[#This Row],[LastName]]</f>
        <v>Debora Coxon</v>
      </c>
      <c r="S177" s="21">
        <v>42744</v>
      </c>
      <c r="U177" s="21">
        <v>27529</v>
      </c>
      <c r="V177" t="b">
        <v>0</v>
      </c>
      <c r="W177" t="b">
        <v>0</v>
      </c>
      <c r="X177" t="b">
        <v>0</v>
      </c>
      <c r="Y177" t="s">
        <v>2082</v>
      </c>
      <c r="Z177" t="b">
        <v>1</v>
      </c>
      <c r="AB177" t="s">
        <v>1571</v>
      </c>
      <c r="AC177" t="b">
        <v>0</v>
      </c>
    </row>
    <row r="178" spans="1:29" x14ac:dyDescent="0.3">
      <c r="A178" s="57" t="str">
        <f>MEMBERS[[#This Row],[Title]]&amp;MEMBERS[[#This Row],[ServiceStartDate]]</f>
        <v>Deborah Fowler44927</v>
      </c>
      <c r="B178" s="57">
        <f>IF(COUNTIF(MEMBERS[NameServiceStart],MEMBERS[[#This Row],[NameServiceStart]])=1,0,1)</f>
        <v>0</v>
      </c>
      <c r="C178" s="57">
        <f>IF(COUNTIF(MEMBERS[StaffMemberCode],MEMBERS[[#This Row],[StaffMemberCode]])=1,0,1)</f>
        <v>0</v>
      </c>
      <c r="D178" s="57">
        <f>IF(ISBLANK(MEMBERS[[#This Row],[PayrollLocation]]),0,IF(COUNTIF(SCHOOLS[SchoolCode],MEMBERS[[#This Row],[PayrollLocation]])=1,0,1))</f>
        <v>0</v>
      </c>
      <c r="E178" s="57">
        <f>IF(MEMBERS[[#This Row],[AvailableToAllSchools]]=FALSE,IF(ISBLANK(MEMBERS[[#This Row],[SchoolCodes]]),1,0),IF(MEMBERS[[#This Row],[AvailableToAllSchools]]=TRUE,IF(ISBLANK(MEMBERS[[#This Row],[SchoolCodes]]),0,1)))</f>
        <v>0</v>
      </c>
      <c r="F178" s="57">
        <f>IF(ISBLANK(MEMBERS[[#This Row],[ServiceEndDate]]),0,IF(MEMBERS[[#This Row],[ServiceStartDate]]&lt;MEMBERS[[#This Row],[ServiceEndDate]],0,1))</f>
        <v>0</v>
      </c>
      <c r="G178" s="57" cm="1">
        <f t="array" aca="1" ref="G178" ca="1">IF(CELL("format",MEMBERS[[#This Row],[ServiceStartDate]])="D1",0,1)+IF(CELL("format",MEMBERS[[#This Row],[ServiceEndDate]])="D1",0,1)</f>
        <v>0</v>
      </c>
      <c r="H17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78" s="57">
        <f>IF(LEN(MEMBERS[[#This Row],[StaffMemberCode]])&lt;100,0,1)</f>
        <v>0</v>
      </c>
      <c r="J178" s="57">
        <f>IF(LEN(MEMBERS[[#This Row],[Title]])&lt;100,0,1)</f>
        <v>0</v>
      </c>
      <c r="K178" s="57">
        <f>COUNTBLANK(MEMBERS[[#This Row],[StaffMemberCode]:[ServiceStartDate]])+COUNTBLANK(MEMBERS[[#This Row],[Apprenticeship]]:MEMBERS[[#This Row],[StaffMemberEnabled]])+COUNTBLANK(MEMBERS[[#This Row],[GenderCode]]:MEMBERS[[#This Row],[Casual]])</f>
        <v>0</v>
      </c>
      <c r="L178" s="57">
        <f>IF(SUBSTITUTE(TEXT(MEMBERS[[#This Row],[StaffMemberCode]],10)," ","")=TEXT(MEMBERS[[#This Row],[StaffMemberCode]],10),0,1)</f>
        <v>0</v>
      </c>
      <c r="M178" s="57">
        <f ca="1">SUM(MEMBERS[[#This Row],[Duplicate NameService Start]:[Space in Code]])</f>
        <v>0</v>
      </c>
      <c r="O178" s="15">
        <v>91073828</v>
      </c>
      <c r="P178" s="15" t="s">
        <v>3240</v>
      </c>
      <c r="Q178" s="15" t="s">
        <v>3575</v>
      </c>
      <c r="R178" s="133" t="str">
        <f>MEMBERS[[#This Row],[FirstName]]&amp;" "&amp;MEMBERS[[#This Row],[LastName]]</f>
        <v>Deborah Fowler</v>
      </c>
      <c r="S178" s="21">
        <v>44927</v>
      </c>
      <c r="U178" s="21">
        <v>27288</v>
      </c>
      <c r="V178" t="b">
        <v>0</v>
      </c>
      <c r="W178" t="b">
        <v>0</v>
      </c>
      <c r="X178" t="b">
        <v>0</v>
      </c>
      <c r="Y178" t="s">
        <v>2082</v>
      </c>
      <c r="Z178" t="b">
        <v>1</v>
      </c>
      <c r="AB178" t="s">
        <v>1571</v>
      </c>
      <c r="AC178" t="b">
        <v>0</v>
      </c>
    </row>
    <row r="179" spans="1:29" x14ac:dyDescent="0.3">
      <c r="A179" s="57" t="str">
        <f>MEMBERS[[#This Row],[Title]]&amp;MEMBERS[[#This Row],[ServiceStartDate]]</f>
        <v>Deborah Hankey44529</v>
      </c>
      <c r="B179" s="57">
        <f>IF(COUNTIF(MEMBERS[NameServiceStart],MEMBERS[[#This Row],[NameServiceStart]])=1,0,1)</f>
        <v>0</v>
      </c>
      <c r="C179" s="57">
        <f>IF(COUNTIF(MEMBERS[StaffMemberCode],MEMBERS[[#This Row],[StaffMemberCode]])=1,0,1)</f>
        <v>0</v>
      </c>
      <c r="D179" s="57">
        <f>IF(ISBLANK(MEMBERS[[#This Row],[PayrollLocation]]),0,IF(COUNTIF(SCHOOLS[SchoolCode],MEMBERS[[#This Row],[PayrollLocation]])=1,0,1))</f>
        <v>0</v>
      </c>
      <c r="E179" s="57">
        <f>IF(MEMBERS[[#This Row],[AvailableToAllSchools]]=FALSE,IF(ISBLANK(MEMBERS[[#This Row],[SchoolCodes]]),1,0),IF(MEMBERS[[#This Row],[AvailableToAllSchools]]=TRUE,IF(ISBLANK(MEMBERS[[#This Row],[SchoolCodes]]),0,1)))</f>
        <v>0</v>
      </c>
      <c r="F179" s="57">
        <f>IF(ISBLANK(MEMBERS[[#This Row],[ServiceEndDate]]),0,IF(MEMBERS[[#This Row],[ServiceStartDate]]&lt;MEMBERS[[#This Row],[ServiceEndDate]],0,1))</f>
        <v>0</v>
      </c>
      <c r="G179" s="57" cm="1">
        <f t="array" aca="1" ref="G179" ca="1">IF(CELL("format",MEMBERS[[#This Row],[ServiceStartDate]])="D1",0,1)+IF(CELL("format",MEMBERS[[#This Row],[ServiceEndDate]])="D1",0,1)</f>
        <v>0</v>
      </c>
      <c r="H17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79" s="57">
        <f>IF(LEN(MEMBERS[[#This Row],[StaffMemberCode]])&lt;100,0,1)</f>
        <v>0</v>
      </c>
      <c r="J179" s="57">
        <f>IF(LEN(MEMBERS[[#This Row],[Title]])&lt;100,0,1)</f>
        <v>0</v>
      </c>
      <c r="K179" s="57">
        <f>COUNTBLANK(MEMBERS[[#This Row],[StaffMemberCode]:[ServiceStartDate]])+COUNTBLANK(MEMBERS[[#This Row],[Apprenticeship]]:MEMBERS[[#This Row],[StaffMemberEnabled]])+COUNTBLANK(MEMBERS[[#This Row],[GenderCode]]:MEMBERS[[#This Row],[Casual]])</f>
        <v>0</v>
      </c>
      <c r="L179" s="57">
        <f>IF(SUBSTITUTE(TEXT(MEMBERS[[#This Row],[StaffMemberCode]],10)," ","")=TEXT(MEMBERS[[#This Row],[StaffMemberCode]],10),0,1)</f>
        <v>0</v>
      </c>
      <c r="M179" s="57">
        <f ca="1">SUM(MEMBERS[[#This Row],[Duplicate NameService Start]:[Space in Code]])</f>
        <v>0</v>
      </c>
      <c r="O179" s="15">
        <v>91073561</v>
      </c>
      <c r="P179" s="15" t="s">
        <v>3240</v>
      </c>
      <c r="Q179" s="15" t="s">
        <v>3576</v>
      </c>
      <c r="R179" s="133" t="str">
        <f>MEMBERS[[#This Row],[FirstName]]&amp;" "&amp;MEMBERS[[#This Row],[LastName]]</f>
        <v>Deborah Hankey</v>
      </c>
      <c r="S179" s="21">
        <v>44529</v>
      </c>
      <c r="U179" s="21">
        <v>26498</v>
      </c>
      <c r="V179" t="b">
        <v>0</v>
      </c>
      <c r="W179" t="b">
        <v>0</v>
      </c>
      <c r="X179" t="b">
        <v>0</v>
      </c>
      <c r="Y179" t="s">
        <v>2094</v>
      </c>
      <c r="Z179" t="b">
        <v>1</v>
      </c>
      <c r="AB179" t="s">
        <v>1571</v>
      </c>
      <c r="AC179" t="b">
        <v>1</v>
      </c>
    </row>
    <row r="180" spans="1:29" x14ac:dyDescent="0.3">
      <c r="A180" s="57" t="str">
        <f>MEMBERS[[#This Row],[Title]]&amp;MEMBERS[[#This Row],[ServiceStartDate]]</f>
        <v>Deborah Preston44208</v>
      </c>
      <c r="B180" s="57">
        <f>IF(COUNTIF(MEMBERS[NameServiceStart],MEMBERS[[#This Row],[NameServiceStart]])=1,0,1)</f>
        <v>0</v>
      </c>
      <c r="C180" s="57">
        <f>IF(COUNTIF(MEMBERS[StaffMemberCode],MEMBERS[[#This Row],[StaffMemberCode]])=1,0,1)</f>
        <v>0</v>
      </c>
      <c r="D180" s="57">
        <f>IF(ISBLANK(MEMBERS[[#This Row],[PayrollLocation]]),0,IF(COUNTIF(SCHOOLS[SchoolCode],MEMBERS[[#This Row],[PayrollLocation]])=1,0,1))</f>
        <v>0</v>
      </c>
      <c r="E180" s="57">
        <f>IF(MEMBERS[[#This Row],[AvailableToAllSchools]]=FALSE,IF(ISBLANK(MEMBERS[[#This Row],[SchoolCodes]]),1,0),IF(MEMBERS[[#This Row],[AvailableToAllSchools]]=TRUE,IF(ISBLANK(MEMBERS[[#This Row],[SchoolCodes]]),0,1)))</f>
        <v>0</v>
      </c>
      <c r="F180" s="57">
        <f>IF(ISBLANK(MEMBERS[[#This Row],[ServiceEndDate]]),0,IF(MEMBERS[[#This Row],[ServiceStartDate]]&lt;MEMBERS[[#This Row],[ServiceEndDate]],0,1))</f>
        <v>0</v>
      </c>
      <c r="G180" s="57" cm="1">
        <f t="array" aca="1" ref="G180" ca="1">IF(CELL("format",MEMBERS[[#This Row],[ServiceStartDate]])="D1",0,1)+IF(CELL("format",MEMBERS[[#This Row],[ServiceEndDate]])="D1",0,1)</f>
        <v>0</v>
      </c>
      <c r="H18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80" s="57">
        <f>IF(LEN(MEMBERS[[#This Row],[StaffMemberCode]])&lt;100,0,1)</f>
        <v>0</v>
      </c>
      <c r="J180" s="57">
        <f>IF(LEN(MEMBERS[[#This Row],[Title]])&lt;100,0,1)</f>
        <v>0</v>
      </c>
      <c r="K180" s="57">
        <f>COUNTBLANK(MEMBERS[[#This Row],[StaffMemberCode]:[ServiceStartDate]])+COUNTBLANK(MEMBERS[[#This Row],[Apprenticeship]]:MEMBERS[[#This Row],[StaffMemberEnabled]])+COUNTBLANK(MEMBERS[[#This Row],[GenderCode]]:MEMBERS[[#This Row],[Casual]])</f>
        <v>0</v>
      </c>
      <c r="L180" s="57">
        <f>IF(SUBSTITUTE(TEXT(MEMBERS[[#This Row],[StaffMemberCode]],10)," ","")=TEXT(MEMBERS[[#This Row],[StaffMemberCode]],10),0,1)</f>
        <v>0</v>
      </c>
      <c r="M180" s="57">
        <f ca="1">SUM(MEMBERS[[#This Row],[Duplicate NameService Start]:[Space in Code]])</f>
        <v>0</v>
      </c>
      <c r="O180" s="15">
        <v>91073792</v>
      </c>
      <c r="P180" s="15" t="s">
        <v>3240</v>
      </c>
      <c r="Q180" s="15" t="s">
        <v>3499</v>
      </c>
      <c r="R180" s="133" t="str">
        <f>MEMBERS[[#This Row],[FirstName]]&amp;" "&amp;MEMBERS[[#This Row],[LastName]]</f>
        <v>Deborah Preston</v>
      </c>
      <c r="S180" s="21">
        <v>44208</v>
      </c>
      <c r="U180" s="21">
        <v>22803</v>
      </c>
      <c r="V180" t="b">
        <v>0</v>
      </c>
      <c r="W180" t="b">
        <v>0</v>
      </c>
      <c r="X180" t="b">
        <v>0</v>
      </c>
      <c r="Y180" t="s">
        <v>2082</v>
      </c>
      <c r="Z180" t="b">
        <v>1</v>
      </c>
      <c r="AB180" t="s">
        <v>1571</v>
      </c>
      <c r="AC180" t="b">
        <v>1</v>
      </c>
    </row>
    <row r="181" spans="1:29" x14ac:dyDescent="0.3">
      <c r="A181" s="57" t="str">
        <f>MEMBERS[[#This Row],[Title]]&amp;MEMBERS[[#This Row],[ServiceStartDate]]</f>
        <v>Deborah Robson39120</v>
      </c>
      <c r="B181" s="57">
        <f>IF(COUNTIF(MEMBERS[NameServiceStart],MEMBERS[[#This Row],[NameServiceStart]])=1,0,1)</f>
        <v>0</v>
      </c>
      <c r="C181" s="57">
        <f>IF(COUNTIF(MEMBERS[StaffMemberCode],MEMBERS[[#This Row],[StaffMemberCode]])=1,0,1)</f>
        <v>0</v>
      </c>
      <c r="D181" s="57">
        <f>IF(ISBLANK(MEMBERS[[#This Row],[PayrollLocation]]),0,IF(COUNTIF(SCHOOLS[SchoolCode],MEMBERS[[#This Row],[PayrollLocation]])=1,0,1))</f>
        <v>0</v>
      </c>
      <c r="E181" s="57">
        <f>IF(MEMBERS[[#This Row],[AvailableToAllSchools]]=FALSE,IF(ISBLANK(MEMBERS[[#This Row],[SchoolCodes]]),1,0),IF(MEMBERS[[#This Row],[AvailableToAllSchools]]=TRUE,IF(ISBLANK(MEMBERS[[#This Row],[SchoolCodes]]),0,1)))</f>
        <v>0</v>
      </c>
      <c r="F181" s="57">
        <f>IF(ISBLANK(MEMBERS[[#This Row],[ServiceEndDate]]),0,IF(MEMBERS[[#This Row],[ServiceStartDate]]&lt;MEMBERS[[#This Row],[ServiceEndDate]],0,1))</f>
        <v>0</v>
      </c>
      <c r="G181" s="57" cm="1">
        <f t="array" aca="1" ref="G181" ca="1">IF(CELL("format",MEMBERS[[#This Row],[ServiceStartDate]])="D1",0,1)+IF(CELL("format",MEMBERS[[#This Row],[ServiceEndDate]])="D1",0,1)</f>
        <v>0</v>
      </c>
      <c r="H18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81" s="57">
        <f>IF(LEN(MEMBERS[[#This Row],[StaffMemberCode]])&lt;100,0,1)</f>
        <v>0</v>
      </c>
      <c r="J181" s="57">
        <f>IF(LEN(MEMBERS[[#This Row],[Title]])&lt;100,0,1)</f>
        <v>0</v>
      </c>
      <c r="K181" s="57">
        <f>COUNTBLANK(MEMBERS[[#This Row],[StaffMemberCode]:[ServiceStartDate]])+COUNTBLANK(MEMBERS[[#This Row],[Apprenticeship]]:MEMBERS[[#This Row],[StaffMemberEnabled]])+COUNTBLANK(MEMBERS[[#This Row],[GenderCode]]:MEMBERS[[#This Row],[Casual]])</f>
        <v>0</v>
      </c>
      <c r="L181" s="57">
        <f>IF(SUBSTITUTE(TEXT(MEMBERS[[#This Row],[StaffMemberCode]],10)," ","")=TEXT(MEMBERS[[#This Row],[StaffMemberCode]],10),0,1)</f>
        <v>0</v>
      </c>
      <c r="M181" s="57">
        <f ca="1">SUM(MEMBERS[[#This Row],[Duplicate NameService Start]:[Space in Code]])</f>
        <v>0</v>
      </c>
      <c r="O181" s="15">
        <v>91073471</v>
      </c>
      <c r="P181" s="15" t="s">
        <v>3240</v>
      </c>
      <c r="Q181" s="15" t="s">
        <v>3577</v>
      </c>
      <c r="R181" s="133" t="str">
        <f>MEMBERS[[#This Row],[FirstName]]&amp;" "&amp;MEMBERS[[#This Row],[LastName]]</f>
        <v>Deborah Robson</v>
      </c>
      <c r="S181" s="21">
        <v>39120</v>
      </c>
      <c r="U181" s="21">
        <v>25591</v>
      </c>
      <c r="V181" t="b">
        <v>0</v>
      </c>
      <c r="W181" t="b">
        <v>0</v>
      </c>
      <c r="X181" t="b">
        <v>0</v>
      </c>
      <c r="Y181" t="s">
        <v>2094</v>
      </c>
      <c r="Z181" t="b">
        <v>1</v>
      </c>
      <c r="AB181" t="s">
        <v>1571</v>
      </c>
      <c r="AC181" t="b">
        <v>0</v>
      </c>
    </row>
    <row r="182" spans="1:29" x14ac:dyDescent="0.3">
      <c r="A182" s="57" t="str">
        <f>MEMBERS[[#This Row],[Title]]&amp;MEMBERS[[#This Row],[ServiceStartDate]]</f>
        <v>Deborah Swallow42744</v>
      </c>
      <c r="B182" s="57">
        <f>IF(COUNTIF(MEMBERS[NameServiceStart],MEMBERS[[#This Row],[NameServiceStart]])=1,0,1)</f>
        <v>0</v>
      </c>
      <c r="C182" s="57">
        <f>IF(COUNTIF(MEMBERS[StaffMemberCode],MEMBERS[[#This Row],[StaffMemberCode]])=1,0,1)</f>
        <v>0</v>
      </c>
      <c r="D182" s="57">
        <f>IF(ISBLANK(MEMBERS[[#This Row],[PayrollLocation]]),0,IF(COUNTIF(SCHOOLS[SchoolCode],MEMBERS[[#This Row],[PayrollLocation]])=1,0,1))</f>
        <v>0</v>
      </c>
      <c r="E182" s="57">
        <f>IF(MEMBERS[[#This Row],[AvailableToAllSchools]]=FALSE,IF(ISBLANK(MEMBERS[[#This Row],[SchoolCodes]]),1,0),IF(MEMBERS[[#This Row],[AvailableToAllSchools]]=TRUE,IF(ISBLANK(MEMBERS[[#This Row],[SchoolCodes]]),0,1)))</f>
        <v>0</v>
      </c>
      <c r="F182" s="57">
        <f>IF(ISBLANK(MEMBERS[[#This Row],[ServiceEndDate]]),0,IF(MEMBERS[[#This Row],[ServiceStartDate]]&lt;MEMBERS[[#This Row],[ServiceEndDate]],0,1))</f>
        <v>0</v>
      </c>
      <c r="G182" s="57" cm="1">
        <f t="array" aca="1" ref="G182" ca="1">IF(CELL("format",MEMBERS[[#This Row],[ServiceStartDate]])="D1",0,1)+IF(CELL("format",MEMBERS[[#This Row],[ServiceEndDate]])="D1",0,1)</f>
        <v>0</v>
      </c>
      <c r="H18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82" s="57">
        <f>IF(LEN(MEMBERS[[#This Row],[StaffMemberCode]])&lt;100,0,1)</f>
        <v>0</v>
      </c>
      <c r="J182" s="57">
        <f>IF(LEN(MEMBERS[[#This Row],[Title]])&lt;100,0,1)</f>
        <v>0</v>
      </c>
      <c r="K182" s="57">
        <f>COUNTBLANK(MEMBERS[[#This Row],[StaffMemberCode]:[ServiceStartDate]])+COUNTBLANK(MEMBERS[[#This Row],[Apprenticeship]]:MEMBERS[[#This Row],[StaffMemberEnabled]])+COUNTBLANK(MEMBERS[[#This Row],[GenderCode]]:MEMBERS[[#This Row],[Casual]])</f>
        <v>0</v>
      </c>
      <c r="L182" s="57">
        <f>IF(SUBSTITUTE(TEXT(MEMBERS[[#This Row],[StaffMemberCode]],10)," ","")=TEXT(MEMBERS[[#This Row],[StaffMemberCode]],10),0,1)</f>
        <v>0</v>
      </c>
      <c r="M182" s="57">
        <f ca="1">SUM(MEMBERS[[#This Row],[Duplicate NameService Start]:[Space in Code]])</f>
        <v>0</v>
      </c>
      <c r="O182" s="15">
        <v>91073931</v>
      </c>
      <c r="P182" s="15" t="s">
        <v>3240</v>
      </c>
      <c r="Q182" s="15" t="s">
        <v>3578</v>
      </c>
      <c r="R182" s="133" t="str">
        <f>MEMBERS[[#This Row],[FirstName]]&amp;" "&amp;MEMBERS[[#This Row],[LastName]]</f>
        <v>Deborah Swallow</v>
      </c>
      <c r="S182" s="21">
        <v>42744</v>
      </c>
      <c r="U182" s="21">
        <v>30999</v>
      </c>
      <c r="V182" t="b">
        <v>0</v>
      </c>
      <c r="W182" t="b">
        <v>0</v>
      </c>
      <c r="X182" t="b">
        <v>0</v>
      </c>
      <c r="Y182" t="s">
        <v>2299</v>
      </c>
      <c r="Z182" t="b">
        <v>1</v>
      </c>
      <c r="AB182" t="s">
        <v>1571</v>
      </c>
      <c r="AC182" t="b">
        <v>0</v>
      </c>
    </row>
    <row r="183" spans="1:29" x14ac:dyDescent="0.3">
      <c r="A183" s="57" t="str">
        <f>MEMBERS[[#This Row],[Title]]&amp;MEMBERS[[#This Row],[ServiceStartDate]]</f>
        <v>Deborah Taylor45610</v>
      </c>
      <c r="B183" s="57">
        <f>IF(COUNTIF(MEMBERS[NameServiceStart],MEMBERS[[#This Row],[NameServiceStart]])=1,0,1)</f>
        <v>0</v>
      </c>
      <c r="C183" s="57">
        <f>IF(COUNTIF(MEMBERS[StaffMemberCode],MEMBERS[[#This Row],[StaffMemberCode]])=1,0,1)</f>
        <v>0</v>
      </c>
      <c r="D183" s="57">
        <f>IF(ISBLANK(MEMBERS[[#This Row],[PayrollLocation]]),0,IF(COUNTIF(SCHOOLS[SchoolCode],MEMBERS[[#This Row],[PayrollLocation]])=1,0,1))</f>
        <v>0</v>
      </c>
      <c r="E183" s="57">
        <f>IF(MEMBERS[[#This Row],[AvailableToAllSchools]]=FALSE,IF(ISBLANK(MEMBERS[[#This Row],[SchoolCodes]]),1,0),IF(MEMBERS[[#This Row],[AvailableToAllSchools]]=TRUE,IF(ISBLANK(MEMBERS[[#This Row],[SchoolCodes]]),0,1)))</f>
        <v>0</v>
      </c>
      <c r="F183" s="57">
        <f>IF(ISBLANK(MEMBERS[[#This Row],[ServiceEndDate]]),0,IF(MEMBERS[[#This Row],[ServiceStartDate]]&lt;MEMBERS[[#This Row],[ServiceEndDate]],0,1))</f>
        <v>0</v>
      </c>
      <c r="G183" s="57" cm="1">
        <f t="array" aca="1" ref="G183" ca="1">IF(CELL("format",MEMBERS[[#This Row],[ServiceStartDate]])="D1",0,1)+IF(CELL("format",MEMBERS[[#This Row],[ServiceEndDate]])="D1",0,1)</f>
        <v>0</v>
      </c>
      <c r="H18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83" s="57">
        <f>IF(LEN(MEMBERS[[#This Row],[StaffMemberCode]])&lt;100,0,1)</f>
        <v>0</v>
      </c>
      <c r="J183" s="57">
        <f>IF(LEN(MEMBERS[[#This Row],[Title]])&lt;100,0,1)</f>
        <v>0</v>
      </c>
      <c r="K183" s="57">
        <f>COUNTBLANK(MEMBERS[[#This Row],[StaffMemberCode]:[ServiceStartDate]])+COUNTBLANK(MEMBERS[[#This Row],[Apprenticeship]]:MEMBERS[[#This Row],[StaffMemberEnabled]])+COUNTBLANK(MEMBERS[[#This Row],[GenderCode]]:MEMBERS[[#This Row],[Casual]])</f>
        <v>0</v>
      </c>
      <c r="L183" s="57">
        <f>IF(SUBSTITUTE(TEXT(MEMBERS[[#This Row],[StaffMemberCode]],10)," ","")=TEXT(MEMBERS[[#This Row],[StaffMemberCode]],10),0,1)</f>
        <v>0</v>
      </c>
      <c r="M183" s="57">
        <f ca="1">SUM(MEMBERS[[#This Row],[Duplicate NameService Start]:[Space in Code]])</f>
        <v>0</v>
      </c>
      <c r="O183" s="15">
        <v>91328872</v>
      </c>
      <c r="P183" s="15" t="s">
        <v>3240</v>
      </c>
      <c r="Q183" s="15" t="s">
        <v>3436</v>
      </c>
      <c r="R183" s="133" t="str">
        <f>MEMBERS[[#This Row],[FirstName]]&amp;" "&amp;MEMBERS[[#This Row],[LastName]]</f>
        <v>Deborah Taylor</v>
      </c>
      <c r="S183" s="21">
        <v>45610</v>
      </c>
      <c r="U183" s="21">
        <v>25061</v>
      </c>
      <c r="V183" t="b">
        <v>0</v>
      </c>
      <c r="W183" t="b">
        <v>0</v>
      </c>
      <c r="X183" t="b">
        <v>0</v>
      </c>
      <c r="Y183" t="s">
        <v>2094</v>
      </c>
      <c r="Z183" t="b">
        <v>1</v>
      </c>
      <c r="AB183" t="s">
        <v>1571</v>
      </c>
      <c r="AC183" t="b">
        <v>0</v>
      </c>
    </row>
    <row r="184" spans="1:29" x14ac:dyDescent="0.3">
      <c r="A184" s="57" t="str">
        <f>MEMBERS[[#This Row],[Title]]&amp;MEMBERS[[#This Row],[ServiceStartDate]]</f>
        <v>Debra Bracegirdle44732</v>
      </c>
      <c r="B184" s="57">
        <f>IF(COUNTIF(MEMBERS[NameServiceStart],MEMBERS[[#This Row],[NameServiceStart]])=1,0,1)</f>
        <v>0</v>
      </c>
      <c r="C184" s="57">
        <f>IF(COUNTIF(MEMBERS[StaffMemberCode],MEMBERS[[#This Row],[StaffMemberCode]])=1,0,1)</f>
        <v>0</v>
      </c>
      <c r="D184" s="57">
        <f>IF(ISBLANK(MEMBERS[[#This Row],[PayrollLocation]]),0,IF(COUNTIF(SCHOOLS[SchoolCode],MEMBERS[[#This Row],[PayrollLocation]])=1,0,1))</f>
        <v>0</v>
      </c>
      <c r="E184" s="57">
        <f>IF(MEMBERS[[#This Row],[AvailableToAllSchools]]=FALSE,IF(ISBLANK(MEMBERS[[#This Row],[SchoolCodes]]),1,0),IF(MEMBERS[[#This Row],[AvailableToAllSchools]]=TRUE,IF(ISBLANK(MEMBERS[[#This Row],[SchoolCodes]]),0,1)))</f>
        <v>0</v>
      </c>
      <c r="F184" s="57">
        <f>IF(ISBLANK(MEMBERS[[#This Row],[ServiceEndDate]]),0,IF(MEMBERS[[#This Row],[ServiceStartDate]]&lt;MEMBERS[[#This Row],[ServiceEndDate]],0,1))</f>
        <v>0</v>
      </c>
      <c r="G184" s="57" cm="1">
        <f t="array" aca="1" ref="G184" ca="1">IF(CELL("format",MEMBERS[[#This Row],[ServiceStartDate]])="D1",0,1)+IF(CELL("format",MEMBERS[[#This Row],[ServiceEndDate]])="D1",0,1)</f>
        <v>0</v>
      </c>
      <c r="H18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84" s="57">
        <f>IF(LEN(MEMBERS[[#This Row],[StaffMemberCode]])&lt;100,0,1)</f>
        <v>0</v>
      </c>
      <c r="J184" s="57">
        <f>IF(LEN(MEMBERS[[#This Row],[Title]])&lt;100,0,1)</f>
        <v>0</v>
      </c>
      <c r="K184" s="57">
        <f>COUNTBLANK(MEMBERS[[#This Row],[StaffMemberCode]:[ServiceStartDate]])+COUNTBLANK(MEMBERS[[#This Row],[Apprenticeship]]:MEMBERS[[#This Row],[StaffMemberEnabled]])+COUNTBLANK(MEMBERS[[#This Row],[GenderCode]]:MEMBERS[[#This Row],[Casual]])</f>
        <v>0</v>
      </c>
      <c r="L184" s="57">
        <f>IF(SUBSTITUTE(TEXT(MEMBERS[[#This Row],[StaffMemberCode]],10)," ","")=TEXT(MEMBERS[[#This Row],[StaffMemberCode]],10),0,1)</f>
        <v>0</v>
      </c>
      <c r="M184" s="57">
        <f ca="1">SUM(MEMBERS[[#This Row],[Duplicate NameService Start]:[Space in Code]])</f>
        <v>0</v>
      </c>
      <c r="O184" s="15">
        <v>91073585</v>
      </c>
      <c r="P184" s="15" t="s">
        <v>3241</v>
      </c>
      <c r="Q184" s="15" t="s">
        <v>3579</v>
      </c>
      <c r="R184" s="133" t="str">
        <f>MEMBERS[[#This Row],[FirstName]]&amp;" "&amp;MEMBERS[[#This Row],[LastName]]</f>
        <v>Debra Bracegirdle</v>
      </c>
      <c r="S184" s="21">
        <v>44732</v>
      </c>
      <c r="U184" s="21">
        <v>31497</v>
      </c>
      <c r="V184" t="b">
        <v>0</v>
      </c>
      <c r="W184" t="b">
        <v>0</v>
      </c>
      <c r="X184" t="b">
        <v>0</v>
      </c>
      <c r="Y184" t="s">
        <v>2094</v>
      </c>
      <c r="Z184" t="b">
        <v>1</v>
      </c>
      <c r="AB184" t="s">
        <v>1571</v>
      </c>
      <c r="AC184" t="b">
        <v>0</v>
      </c>
    </row>
    <row r="185" spans="1:29" x14ac:dyDescent="0.3">
      <c r="A185" s="57" t="str">
        <f>MEMBERS[[#This Row],[Title]]&amp;MEMBERS[[#This Row],[ServiceStartDate]]</f>
        <v>Declan Bailey45474</v>
      </c>
      <c r="B185" s="57">
        <f>IF(COUNTIF(MEMBERS[NameServiceStart],MEMBERS[[#This Row],[NameServiceStart]])=1,0,1)</f>
        <v>0</v>
      </c>
      <c r="C185" s="57">
        <f>IF(COUNTIF(MEMBERS[StaffMemberCode],MEMBERS[[#This Row],[StaffMemberCode]])=1,0,1)</f>
        <v>0</v>
      </c>
      <c r="D185" s="57">
        <f>IF(ISBLANK(MEMBERS[[#This Row],[PayrollLocation]]),0,IF(COUNTIF(SCHOOLS[SchoolCode],MEMBERS[[#This Row],[PayrollLocation]])=1,0,1))</f>
        <v>0</v>
      </c>
      <c r="E185" s="57">
        <f>IF(MEMBERS[[#This Row],[AvailableToAllSchools]]=FALSE,IF(ISBLANK(MEMBERS[[#This Row],[SchoolCodes]]),1,0),IF(MEMBERS[[#This Row],[AvailableToAllSchools]]=TRUE,IF(ISBLANK(MEMBERS[[#This Row],[SchoolCodes]]),0,1)))</f>
        <v>0</v>
      </c>
      <c r="F185" s="57">
        <f>IF(ISBLANK(MEMBERS[[#This Row],[ServiceEndDate]]),0,IF(MEMBERS[[#This Row],[ServiceStartDate]]&lt;MEMBERS[[#This Row],[ServiceEndDate]],0,1))</f>
        <v>0</v>
      </c>
      <c r="G185" s="57" cm="1">
        <f t="array" aca="1" ref="G185" ca="1">IF(CELL("format",MEMBERS[[#This Row],[ServiceStartDate]])="D1",0,1)+IF(CELL("format",MEMBERS[[#This Row],[ServiceEndDate]])="D1",0,1)</f>
        <v>0</v>
      </c>
      <c r="H18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85" s="57">
        <f>IF(LEN(MEMBERS[[#This Row],[StaffMemberCode]])&lt;100,0,1)</f>
        <v>0</v>
      </c>
      <c r="J185" s="57">
        <f>IF(LEN(MEMBERS[[#This Row],[Title]])&lt;100,0,1)</f>
        <v>0</v>
      </c>
      <c r="K185" s="57">
        <f>COUNTBLANK(MEMBERS[[#This Row],[StaffMemberCode]:[ServiceStartDate]])+COUNTBLANK(MEMBERS[[#This Row],[Apprenticeship]]:MEMBERS[[#This Row],[StaffMemberEnabled]])+COUNTBLANK(MEMBERS[[#This Row],[GenderCode]]:MEMBERS[[#This Row],[Casual]])</f>
        <v>0</v>
      </c>
      <c r="L185" s="57">
        <f>IF(SUBSTITUTE(TEXT(MEMBERS[[#This Row],[StaffMemberCode]],10)," ","")=TEXT(MEMBERS[[#This Row],[StaffMemberCode]],10),0,1)</f>
        <v>0</v>
      </c>
      <c r="M185" s="57">
        <f ca="1">SUM(MEMBERS[[#This Row],[Duplicate NameService Start]:[Space in Code]])</f>
        <v>0</v>
      </c>
      <c r="O185" s="15">
        <v>91323554</v>
      </c>
      <c r="P185" s="15" t="s">
        <v>3242</v>
      </c>
      <c r="Q185" s="15" t="s">
        <v>3463</v>
      </c>
      <c r="R185" s="133" t="str">
        <f>MEMBERS[[#This Row],[FirstName]]&amp;" "&amp;MEMBERS[[#This Row],[LastName]]</f>
        <v>Declan Bailey</v>
      </c>
      <c r="S185" s="21">
        <v>45474</v>
      </c>
      <c r="U185" s="21">
        <v>35870</v>
      </c>
      <c r="V185" t="b">
        <v>0</v>
      </c>
      <c r="W185" t="b">
        <v>0</v>
      </c>
      <c r="X185" t="b">
        <v>0</v>
      </c>
      <c r="Y185" t="s">
        <v>51</v>
      </c>
      <c r="Z185" t="b">
        <v>1</v>
      </c>
      <c r="AB185" t="s">
        <v>1572</v>
      </c>
      <c r="AC185" t="b">
        <v>0</v>
      </c>
    </row>
    <row r="186" spans="1:29" x14ac:dyDescent="0.3">
      <c r="A186" s="57" t="str">
        <f>MEMBERS[[#This Row],[Title]]&amp;MEMBERS[[#This Row],[ServiceStartDate]]</f>
        <v>Deeanna Young45903</v>
      </c>
      <c r="B186" s="57">
        <f>IF(COUNTIF(MEMBERS[NameServiceStart],MEMBERS[[#This Row],[NameServiceStart]])=1,0,1)</f>
        <v>0</v>
      </c>
      <c r="C186" s="57">
        <f>IF(COUNTIF(MEMBERS[StaffMemberCode],MEMBERS[[#This Row],[StaffMemberCode]])=1,0,1)</f>
        <v>0</v>
      </c>
      <c r="D186" s="57">
        <f>IF(ISBLANK(MEMBERS[[#This Row],[PayrollLocation]]),0,IF(COUNTIF(SCHOOLS[SchoolCode],MEMBERS[[#This Row],[PayrollLocation]])=1,0,1))</f>
        <v>0</v>
      </c>
      <c r="E186" s="57">
        <f>IF(MEMBERS[[#This Row],[AvailableToAllSchools]]=FALSE,IF(ISBLANK(MEMBERS[[#This Row],[SchoolCodes]]),1,0),IF(MEMBERS[[#This Row],[AvailableToAllSchools]]=TRUE,IF(ISBLANK(MEMBERS[[#This Row],[SchoolCodes]]),0,1)))</f>
        <v>0</v>
      </c>
      <c r="F186" s="57">
        <f>IF(ISBLANK(MEMBERS[[#This Row],[ServiceEndDate]]),0,IF(MEMBERS[[#This Row],[ServiceStartDate]]&lt;MEMBERS[[#This Row],[ServiceEndDate]],0,1))</f>
        <v>0</v>
      </c>
      <c r="G186" s="57" cm="1">
        <f t="array" aca="1" ref="G186" ca="1">IF(CELL("format",MEMBERS[[#This Row],[ServiceStartDate]])="D1",0,1)+IF(CELL("format",MEMBERS[[#This Row],[ServiceEndDate]])="D1",0,1)</f>
        <v>0</v>
      </c>
      <c r="H18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86" s="57">
        <f>IF(LEN(MEMBERS[[#This Row],[StaffMemberCode]])&lt;100,0,1)</f>
        <v>0</v>
      </c>
      <c r="J186" s="57">
        <f>IF(LEN(MEMBERS[[#This Row],[Title]])&lt;100,0,1)</f>
        <v>0</v>
      </c>
      <c r="K186" s="57">
        <f>COUNTBLANK(MEMBERS[[#This Row],[StaffMemberCode]:[ServiceStartDate]])+COUNTBLANK(MEMBERS[[#This Row],[Apprenticeship]]:MEMBERS[[#This Row],[StaffMemberEnabled]])+COUNTBLANK(MEMBERS[[#This Row],[GenderCode]]:MEMBERS[[#This Row],[Casual]])</f>
        <v>0</v>
      </c>
      <c r="L186" s="57">
        <f>IF(SUBSTITUTE(TEXT(MEMBERS[[#This Row],[StaffMemberCode]],10)," ","")=TEXT(MEMBERS[[#This Row],[StaffMemberCode]],10),0,1)</f>
        <v>0</v>
      </c>
      <c r="M186" s="57">
        <f ca="1">SUM(MEMBERS[[#This Row],[Duplicate NameService Start]:[Space in Code]])</f>
        <v>0</v>
      </c>
      <c r="O186" s="15">
        <v>91850046</v>
      </c>
      <c r="P186" s="15" t="s">
        <v>3243</v>
      </c>
      <c r="Q186" s="15" t="s">
        <v>3545</v>
      </c>
      <c r="R186" s="133" t="str">
        <f>MEMBERS[[#This Row],[FirstName]]&amp;" "&amp;MEMBERS[[#This Row],[LastName]]</f>
        <v>Deeanna Young</v>
      </c>
      <c r="S186" s="21">
        <v>45903</v>
      </c>
      <c r="U186" s="21">
        <v>34096</v>
      </c>
      <c r="V186" t="b">
        <v>0</v>
      </c>
      <c r="W186" t="b">
        <v>0</v>
      </c>
      <c r="X186" t="b">
        <v>0</v>
      </c>
      <c r="Y186" t="s">
        <v>2275</v>
      </c>
      <c r="Z186" t="b">
        <v>1</v>
      </c>
      <c r="AB186" t="s">
        <v>1571</v>
      </c>
      <c r="AC186" t="b">
        <v>0</v>
      </c>
    </row>
    <row r="187" spans="1:29" x14ac:dyDescent="0.3">
      <c r="A187" s="57" t="str">
        <f>MEMBERS[[#This Row],[Title]]&amp;MEMBERS[[#This Row],[ServiceStartDate]]</f>
        <v>Denise Allen41883</v>
      </c>
      <c r="B187" s="57">
        <f>IF(COUNTIF(MEMBERS[NameServiceStart],MEMBERS[[#This Row],[NameServiceStart]])=1,0,1)</f>
        <v>0</v>
      </c>
      <c r="C187" s="57">
        <f>IF(COUNTIF(MEMBERS[StaffMemberCode],MEMBERS[[#This Row],[StaffMemberCode]])=1,0,1)</f>
        <v>0</v>
      </c>
      <c r="D187" s="57">
        <f>IF(ISBLANK(MEMBERS[[#This Row],[PayrollLocation]]),0,IF(COUNTIF(SCHOOLS[SchoolCode],MEMBERS[[#This Row],[PayrollLocation]])=1,0,1))</f>
        <v>0</v>
      </c>
      <c r="E187" s="57">
        <f>IF(MEMBERS[[#This Row],[AvailableToAllSchools]]=FALSE,IF(ISBLANK(MEMBERS[[#This Row],[SchoolCodes]]),1,0),IF(MEMBERS[[#This Row],[AvailableToAllSchools]]=TRUE,IF(ISBLANK(MEMBERS[[#This Row],[SchoolCodes]]),0,1)))</f>
        <v>0</v>
      </c>
      <c r="F187" s="57">
        <f>IF(ISBLANK(MEMBERS[[#This Row],[ServiceEndDate]]),0,IF(MEMBERS[[#This Row],[ServiceStartDate]]&lt;MEMBERS[[#This Row],[ServiceEndDate]],0,1))</f>
        <v>0</v>
      </c>
      <c r="G187" s="57" cm="1">
        <f t="array" aca="1" ref="G187" ca="1">IF(CELL("format",MEMBERS[[#This Row],[ServiceStartDate]])="D1",0,1)+IF(CELL("format",MEMBERS[[#This Row],[ServiceEndDate]])="D1",0,1)</f>
        <v>0</v>
      </c>
      <c r="H18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87" s="57">
        <f>IF(LEN(MEMBERS[[#This Row],[StaffMemberCode]])&lt;100,0,1)</f>
        <v>0</v>
      </c>
      <c r="J187" s="57">
        <f>IF(LEN(MEMBERS[[#This Row],[Title]])&lt;100,0,1)</f>
        <v>0</v>
      </c>
      <c r="K187" s="57">
        <f>COUNTBLANK(MEMBERS[[#This Row],[StaffMemberCode]:[ServiceStartDate]])+COUNTBLANK(MEMBERS[[#This Row],[Apprenticeship]]:MEMBERS[[#This Row],[StaffMemberEnabled]])+COUNTBLANK(MEMBERS[[#This Row],[GenderCode]]:MEMBERS[[#This Row],[Casual]])</f>
        <v>0</v>
      </c>
      <c r="L187" s="57">
        <f>IF(SUBSTITUTE(TEXT(MEMBERS[[#This Row],[StaffMemberCode]],10)," ","")=TEXT(MEMBERS[[#This Row],[StaffMemberCode]],10),0,1)</f>
        <v>0</v>
      </c>
      <c r="M187" s="57">
        <f ca="1">SUM(MEMBERS[[#This Row],[Duplicate NameService Start]:[Space in Code]])</f>
        <v>0</v>
      </c>
      <c r="O187" s="15">
        <v>91075751</v>
      </c>
      <c r="P187" s="15" t="s">
        <v>3244</v>
      </c>
      <c r="Q187" s="15" t="s">
        <v>3491</v>
      </c>
      <c r="R187" s="133" t="str">
        <f>MEMBERS[[#This Row],[FirstName]]&amp;" "&amp;MEMBERS[[#This Row],[LastName]]</f>
        <v>Denise Allen</v>
      </c>
      <c r="S187" s="21">
        <v>41883</v>
      </c>
      <c r="U187" s="21">
        <v>25592</v>
      </c>
      <c r="V187" t="b">
        <v>0</v>
      </c>
      <c r="W187" t="b">
        <v>0</v>
      </c>
      <c r="X187" t="b">
        <v>0</v>
      </c>
      <c r="Y187" t="s">
        <v>2200</v>
      </c>
      <c r="Z187" t="b">
        <v>1</v>
      </c>
      <c r="AB187" t="s">
        <v>1571</v>
      </c>
      <c r="AC187" t="b">
        <v>0</v>
      </c>
    </row>
    <row r="188" spans="1:29" x14ac:dyDescent="0.3">
      <c r="A188" s="57" t="str">
        <f>MEMBERS[[#This Row],[Title]]&amp;MEMBERS[[#This Row],[ServiceStartDate]]</f>
        <v>Denise Bayman44570</v>
      </c>
      <c r="B188" s="57">
        <f>IF(COUNTIF(MEMBERS[NameServiceStart],MEMBERS[[#This Row],[NameServiceStart]])=1,0,1)</f>
        <v>0</v>
      </c>
      <c r="C188" s="57">
        <f>IF(COUNTIF(MEMBERS[StaffMemberCode],MEMBERS[[#This Row],[StaffMemberCode]])=1,0,1)</f>
        <v>0</v>
      </c>
      <c r="D188" s="57">
        <f>IF(ISBLANK(MEMBERS[[#This Row],[PayrollLocation]]),0,IF(COUNTIF(SCHOOLS[SchoolCode],MEMBERS[[#This Row],[PayrollLocation]])=1,0,1))</f>
        <v>0</v>
      </c>
      <c r="E188" s="57">
        <f>IF(MEMBERS[[#This Row],[AvailableToAllSchools]]=FALSE,IF(ISBLANK(MEMBERS[[#This Row],[SchoolCodes]]),1,0),IF(MEMBERS[[#This Row],[AvailableToAllSchools]]=TRUE,IF(ISBLANK(MEMBERS[[#This Row],[SchoolCodes]]),0,1)))</f>
        <v>0</v>
      </c>
      <c r="F188" s="57">
        <f>IF(ISBLANK(MEMBERS[[#This Row],[ServiceEndDate]]),0,IF(MEMBERS[[#This Row],[ServiceStartDate]]&lt;MEMBERS[[#This Row],[ServiceEndDate]],0,1))</f>
        <v>0</v>
      </c>
      <c r="G188" s="57" cm="1">
        <f t="array" aca="1" ref="G188" ca="1">IF(CELL("format",MEMBERS[[#This Row],[ServiceStartDate]])="D1",0,1)+IF(CELL("format",MEMBERS[[#This Row],[ServiceEndDate]])="D1",0,1)</f>
        <v>0</v>
      </c>
      <c r="H18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88" s="57">
        <f>IF(LEN(MEMBERS[[#This Row],[StaffMemberCode]])&lt;100,0,1)</f>
        <v>0</v>
      </c>
      <c r="J188" s="57">
        <f>IF(LEN(MEMBERS[[#This Row],[Title]])&lt;100,0,1)</f>
        <v>0</v>
      </c>
      <c r="K188" s="57">
        <f>COUNTBLANK(MEMBERS[[#This Row],[StaffMemberCode]:[ServiceStartDate]])+COUNTBLANK(MEMBERS[[#This Row],[Apprenticeship]]:MEMBERS[[#This Row],[StaffMemberEnabled]])+COUNTBLANK(MEMBERS[[#This Row],[GenderCode]]:MEMBERS[[#This Row],[Casual]])</f>
        <v>0</v>
      </c>
      <c r="L188" s="57">
        <f>IF(SUBSTITUTE(TEXT(MEMBERS[[#This Row],[StaffMemberCode]],10)," ","")=TEXT(MEMBERS[[#This Row],[StaffMemberCode]],10),0,1)</f>
        <v>0</v>
      </c>
      <c r="M188" s="57">
        <f ca="1">SUM(MEMBERS[[#This Row],[Duplicate NameService Start]:[Space in Code]])</f>
        <v>0</v>
      </c>
      <c r="O188" s="15">
        <v>91073511</v>
      </c>
      <c r="P188" s="15" t="s">
        <v>3244</v>
      </c>
      <c r="Q188" s="15" t="s">
        <v>3580</v>
      </c>
      <c r="R188" s="133" t="str">
        <f>MEMBERS[[#This Row],[FirstName]]&amp;" "&amp;MEMBERS[[#This Row],[LastName]]</f>
        <v>Denise Bayman</v>
      </c>
      <c r="S188" s="21">
        <v>44570</v>
      </c>
      <c r="U188" s="21">
        <v>21105</v>
      </c>
      <c r="V188" t="b">
        <v>0</v>
      </c>
      <c r="W188" t="b">
        <v>0</v>
      </c>
      <c r="X188" t="b">
        <v>0</v>
      </c>
      <c r="Y188" t="s">
        <v>2094</v>
      </c>
      <c r="Z188" t="b">
        <v>1</v>
      </c>
      <c r="AB188" t="s">
        <v>1571</v>
      </c>
      <c r="AC188" t="b">
        <v>1</v>
      </c>
    </row>
    <row r="189" spans="1:29" x14ac:dyDescent="0.3">
      <c r="A189" s="57" t="str">
        <f>MEMBERS[[#This Row],[Title]]&amp;MEMBERS[[#This Row],[ServiceStartDate]]</f>
        <v>Derek Nyland41220</v>
      </c>
      <c r="B189" s="57">
        <f>IF(COUNTIF(MEMBERS[NameServiceStart],MEMBERS[[#This Row],[NameServiceStart]])=1,0,1)</f>
        <v>0</v>
      </c>
      <c r="C189" s="57">
        <f>IF(COUNTIF(MEMBERS[StaffMemberCode],MEMBERS[[#This Row],[StaffMemberCode]])=1,0,1)</f>
        <v>0</v>
      </c>
      <c r="D189" s="57">
        <f>IF(ISBLANK(MEMBERS[[#This Row],[PayrollLocation]]),0,IF(COUNTIF(SCHOOLS[SchoolCode],MEMBERS[[#This Row],[PayrollLocation]])=1,0,1))</f>
        <v>0</v>
      </c>
      <c r="E189" s="57">
        <f>IF(MEMBERS[[#This Row],[AvailableToAllSchools]]=FALSE,IF(ISBLANK(MEMBERS[[#This Row],[SchoolCodes]]),1,0),IF(MEMBERS[[#This Row],[AvailableToAllSchools]]=TRUE,IF(ISBLANK(MEMBERS[[#This Row],[SchoolCodes]]),0,1)))</f>
        <v>0</v>
      </c>
      <c r="F189" s="57">
        <f>IF(ISBLANK(MEMBERS[[#This Row],[ServiceEndDate]]),0,IF(MEMBERS[[#This Row],[ServiceStartDate]]&lt;MEMBERS[[#This Row],[ServiceEndDate]],0,1))</f>
        <v>0</v>
      </c>
      <c r="G189" s="57" cm="1">
        <f t="array" aca="1" ref="G189" ca="1">IF(CELL("format",MEMBERS[[#This Row],[ServiceStartDate]])="D1",0,1)+IF(CELL("format",MEMBERS[[#This Row],[ServiceEndDate]])="D1",0,1)</f>
        <v>0</v>
      </c>
      <c r="H18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89" s="57">
        <f>IF(LEN(MEMBERS[[#This Row],[StaffMemberCode]])&lt;100,0,1)</f>
        <v>0</v>
      </c>
      <c r="J189" s="57">
        <f>IF(LEN(MEMBERS[[#This Row],[Title]])&lt;100,0,1)</f>
        <v>0</v>
      </c>
      <c r="K189" s="57">
        <f>COUNTBLANK(MEMBERS[[#This Row],[StaffMemberCode]:[ServiceStartDate]])+COUNTBLANK(MEMBERS[[#This Row],[Apprenticeship]]:MEMBERS[[#This Row],[StaffMemberEnabled]])+COUNTBLANK(MEMBERS[[#This Row],[GenderCode]]:MEMBERS[[#This Row],[Casual]])</f>
        <v>0</v>
      </c>
      <c r="L189" s="57">
        <f>IF(SUBSTITUTE(TEXT(MEMBERS[[#This Row],[StaffMemberCode]],10)," ","")=TEXT(MEMBERS[[#This Row],[StaffMemberCode]],10),0,1)</f>
        <v>0</v>
      </c>
      <c r="M189" s="57">
        <f ca="1">SUM(MEMBERS[[#This Row],[Duplicate NameService Start]:[Space in Code]])</f>
        <v>0</v>
      </c>
      <c r="O189" s="15">
        <v>91073711</v>
      </c>
      <c r="P189" s="15" t="s">
        <v>3245</v>
      </c>
      <c r="Q189" s="15" t="s">
        <v>3581</v>
      </c>
      <c r="R189" s="133" t="str">
        <f>MEMBERS[[#This Row],[FirstName]]&amp;" "&amp;MEMBERS[[#This Row],[LastName]]</f>
        <v>Derek Nyland</v>
      </c>
      <c r="S189" s="21">
        <v>41220</v>
      </c>
      <c r="U189" s="21">
        <v>18652</v>
      </c>
      <c r="V189" t="b">
        <v>0</v>
      </c>
      <c r="W189" t="b">
        <v>0</v>
      </c>
      <c r="X189" t="b">
        <v>0</v>
      </c>
      <c r="Y189" t="s">
        <v>2082</v>
      </c>
      <c r="Z189" t="b">
        <v>1</v>
      </c>
      <c r="AB189" t="s">
        <v>1572</v>
      </c>
      <c r="AC189" t="b">
        <v>1</v>
      </c>
    </row>
    <row r="190" spans="1:29" x14ac:dyDescent="0.3">
      <c r="A190" s="57" t="str">
        <f>MEMBERS[[#This Row],[Title]]&amp;MEMBERS[[#This Row],[ServiceStartDate]]</f>
        <v>Diana Reynolds44570</v>
      </c>
      <c r="B190" s="57">
        <f>IF(COUNTIF(MEMBERS[NameServiceStart],MEMBERS[[#This Row],[NameServiceStart]])=1,0,1)</f>
        <v>0</v>
      </c>
      <c r="C190" s="57">
        <f>IF(COUNTIF(MEMBERS[StaffMemberCode],MEMBERS[[#This Row],[StaffMemberCode]])=1,0,1)</f>
        <v>0</v>
      </c>
      <c r="D190" s="57">
        <f>IF(ISBLANK(MEMBERS[[#This Row],[PayrollLocation]]),0,IF(COUNTIF(SCHOOLS[SchoolCode],MEMBERS[[#This Row],[PayrollLocation]])=1,0,1))</f>
        <v>0</v>
      </c>
      <c r="E190" s="57">
        <f>IF(MEMBERS[[#This Row],[AvailableToAllSchools]]=FALSE,IF(ISBLANK(MEMBERS[[#This Row],[SchoolCodes]]),1,0),IF(MEMBERS[[#This Row],[AvailableToAllSchools]]=TRUE,IF(ISBLANK(MEMBERS[[#This Row],[SchoolCodes]]),0,1)))</f>
        <v>0</v>
      </c>
      <c r="F190" s="57">
        <f>IF(ISBLANK(MEMBERS[[#This Row],[ServiceEndDate]]),0,IF(MEMBERS[[#This Row],[ServiceStartDate]]&lt;MEMBERS[[#This Row],[ServiceEndDate]],0,1))</f>
        <v>0</v>
      </c>
      <c r="G190" s="57" cm="1">
        <f t="array" aca="1" ref="G190" ca="1">IF(CELL("format",MEMBERS[[#This Row],[ServiceStartDate]])="D1",0,1)+IF(CELL("format",MEMBERS[[#This Row],[ServiceEndDate]])="D1",0,1)</f>
        <v>0</v>
      </c>
      <c r="H19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90" s="57">
        <f>IF(LEN(MEMBERS[[#This Row],[StaffMemberCode]])&lt;100,0,1)</f>
        <v>0</v>
      </c>
      <c r="J190" s="57">
        <f>IF(LEN(MEMBERS[[#This Row],[Title]])&lt;100,0,1)</f>
        <v>0</v>
      </c>
      <c r="K190" s="57">
        <f>COUNTBLANK(MEMBERS[[#This Row],[StaffMemberCode]:[ServiceStartDate]])+COUNTBLANK(MEMBERS[[#This Row],[Apprenticeship]]:MEMBERS[[#This Row],[StaffMemberEnabled]])+COUNTBLANK(MEMBERS[[#This Row],[GenderCode]]:MEMBERS[[#This Row],[Casual]])</f>
        <v>0</v>
      </c>
      <c r="L190" s="57">
        <f>IF(SUBSTITUTE(TEXT(MEMBERS[[#This Row],[StaffMemberCode]],10)," ","")=TEXT(MEMBERS[[#This Row],[StaffMemberCode]],10),0,1)</f>
        <v>0</v>
      </c>
      <c r="M190" s="57">
        <f ca="1">SUM(MEMBERS[[#This Row],[Duplicate NameService Start]:[Space in Code]])</f>
        <v>0</v>
      </c>
      <c r="O190" s="15">
        <v>91073510</v>
      </c>
      <c r="P190" s="15" t="s">
        <v>3246</v>
      </c>
      <c r="Q190" s="15" t="s">
        <v>3582</v>
      </c>
      <c r="R190" s="133" t="str">
        <f>MEMBERS[[#This Row],[FirstName]]&amp;" "&amp;MEMBERS[[#This Row],[LastName]]</f>
        <v>Diana Reynolds</v>
      </c>
      <c r="S190" s="21">
        <v>44570</v>
      </c>
      <c r="U190" s="21">
        <v>20038</v>
      </c>
      <c r="V190" t="b">
        <v>0</v>
      </c>
      <c r="W190" t="b">
        <v>0</v>
      </c>
      <c r="X190" t="b">
        <v>0</v>
      </c>
      <c r="Y190" t="s">
        <v>2094</v>
      </c>
      <c r="Z190" t="b">
        <v>1</v>
      </c>
      <c r="AB190" t="s">
        <v>1571</v>
      </c>
      <c r="AC190" t="b">
        <v>1</v>
      </c>
    </row>
    <row r="191" spans="1:29" x14ac:dyDescent="0.3">
      <c r="A191" s="57" t="str">
        <f>MEMBERS[[#This Row],[Title]]&amp;MEMBERS[[#This Row],[ServiceStartDate]]</f>
        <v>Donna Sheppard44323</v>
      </c>
      <c r="B191" s="57">
        <f>IF(COUNTIF(MEMBERS[NameServiceStart],MEMBERS[[#This Row],[NameServiceStart]])=1,0,1)</f>
        <v>0</v>
      </c>
      <c r="C191" s="57">
        <f>IF(COUNTIF(MEMBERS[StaffMemberCode],MEMBERS[[#This Row],[StaffMemberCode]])=1,0,1)</f>
        <v>0</v>
      </c>
      <c r="D191" s="57">
        <f>IF(ISBLANK(MEMBERS[[#This Row],[PayrollLocation]]),0,IF(COUNTIF(SCHOOLS[SchoolCode],MEMBERS[[#This Row],[PayrollLocation]])=1,0,1))</f>
        <v>0</v>
      </c>
      <c r="E191" s="57">
        <f>IF(MEMBERS[[#This Row],[AvailableToAllSchools]]=FALSE,IF(ISBLANK(MEMBERS[[#This Row],[SchoolCodes]]),1,0),IF(MEMBERS[[#This Row],[AvailableToAllSchools]]=TRUE,IF(ISBLANK(MEMBERS[[#This Row],[SchoolCodes]]),0,1)))</f>
        <v>0</v>
      </c>
      <c r="F191" s="57">
        <f>IF(ISBLANK(MEMBERS[[#This Row],[ServiceEndDate]]),0,IF(MEMBERS[[#This Row],[ServiceStartDate]]&lt;MEMBERS[[#This Row],[ServiceEndDate]],0,1))</f>
        <v>0</v>
      </c>
      <c r="G191" s="57" cm="1">
        <f t="array" aca="1" ref="G191" ca="1">IF(CELL("format",MEMBERS[[#This Row],[ServiceStartDate]])="D1",0,1)+IF(CELL("format",MEMBERS[[#This Row],[ServiceEndDate]])="D1",0,1)</f>
        <v>0</v>
      </c>
      <c r="H19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91" s="57">
        <f>IF(LEN(MEMBERS[[#This Row],[StaffMemberCode]])&lt;100,0,1)</f>
        <v>0</v>
      </c>
      <c r="J191" s="57">
        <f>IF(LEN(MEMBERS[[#This Row],[Title]])&lt;100,0,1)</f>
        <v>0</v>
      </c>
      <c r="K191" s="57">
        <f>COUNTBLANK(MEMBERS[[#This Row],[StaffMemberCode]:[ServiceStartDate]])+COUNTBLANK(MEMBERS[[#This Row],[Apprenticeship]]:MEMBERS[[#This Row],[StaffMemberEnabled]])+COUNTBLANK(MEMBERS[[#This Row],[GenderCode]]:MEMBERS[[#This Row],[Casual]])</f>
        <v>0</v>
      </c>
      <c r="L191" s="57">
        <f>IF(SUBSTITUTE(TEXT(MEMBERS[[#This Row],[StaffMemberCode]],10)," ","")=TEXT(MEMBERS[[#This Row],[StaffMemberCode]],10),0,1)</f>
        <v>0</v>
      </c>
      <c r="M191" s="57">
        <f ca="1">SUM(MEMBERS[[#This Row],[Duplicate NameService Start]:[Space in Code]])</f>
        <v>0</v>
      </c>
      <c r="O191" s="15">
        <v>91073941</v>
      </c>
      <c r="P191" s="15" t="s">
        <v>3247</v>
      </c>
      <c r="Q191" s="15" t="s">
        <v>3583</v>
      </c>
      <c r="R191" s="133" t="str">
        <f>MEMBERS[[#This Row],[FirstName]]&amp;" "&amp;MEMBERS[[#This Row],[LastName]]</f>
        <v>Donna Sheppard</v>
      </c>
      <c r="S191" s="21">
        <v>44323</v>
      </c>
      <c r="U191" s="21">
        <v>26649</v>
      </c>
      <c r="V191" t="b">
        <v>0</v>
      </c>
      <c r="W191" t="b">
        <v>0</v>
      </c>
      <c r="X191" t="b">
        <v>0</v>
      </c>
      <c r="Y191" t="s">
        <v>2299</v>
      </c>
      <c r="Z191" t="b">
        <v>1</v>
      </c>
      <c r="AB191" t="s">
        <v>1571</v>
      </c>
      <c r="AC191" t="b">
        <v>0</v>
      </c>
    </row>
    <row r="192" spans="1:29" x14ac:dyDescent="0.3">
      <c r="A192" s="57" t="str">
        <f>MEMBERS[[#This Row],[Title]]&amp;MEMBERS[[#This Row],[ServiceStartDate]]</f>
        <v>Edward Douglas45310</v>
      </c>
      <c r="B192" s="57">
        <f>IF(COUNTIF(MEMBERS[NameServiceStart],MEMBERS[[#This Row],[NameServiceStart]])=1,0,1)</f>
        <v>0</v>
      </c>
      <c r="C192" s="57">
        <f>IF(COUNTIF(MEMBERS[StaffMemberCode],MEMBERS[[#This Row],[StaffMemberCode]])=1,0,1)</f>
        <v>0</v>
      </c>
      <c r="D192" s="57">
        <f>IF(ISBLANK(MEMBERS[[#This Row],[PayrollLocation]]),0,IF(COUNTIF(SCHOOLS[SchoolCode],MEMBERS[[#This Row],[PayrollLocation]])=1,0,1))</f>
        <v>0</v>
      </c>
      <c r="E192" s="57">
        <f>IF(MEMBERS[[#This Row],[AvailableToAllSchools]]=FALSE,IF(ISBLANK(MEMBERS[[#This Row],[SchoolCodes]]),1,0),IF(MEMBERS[[#This Row],[AvailableToAllSchools]]=TRUE,IF(ISBLANK(MEMBERS[[#This Row],[SchoolCodes]]),0,1)))</f>
        <v>0</v>
      </c>
      <c r="F192" s="57">
        <f>IF(ISBLANK(MEMBERS[[#This Row],[ServiceEndDate]]),0,IF(MEMBERS[[#This Row],[ServiceStartDate]]&lt;MEMBERS[[#This Row],[ServiceEndDate]],0,1))</f>
        <v>0</v>
      </c>
      <c r="G192" s="57" cm="1">
        <f t="array" aca="1" ref="G192" ca="1">IF(CELL("format",MEMBERS[[#This Row],[ServiceStartDate]])="D1",0,1)+IF(CELL("format",MEMBERS[[#This Row],[ServiceEndDate]])="D1",0,1)</f>
        <v>0</v>
      </c>
      <c r="H19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92" s="57">
        <f>IF(LEN(MEMBERS[[#This Row],[StaffMemberCode]])&lt;100,0,1)</f>
        <v>0</v>
      </c>
      <c r="J192" s="57">
        <f>IF(LEN(MEMBERS[[#This Row],[Title]])&lt;100,0,1)</f>
        <v>0</v>
      </c>
      <c r="K192" s="57">
        <f>COUNTBLANK(MEMBERS[[#This Row],[StaffMemberCode]:[ServiceStartDate]])+COUNTBLANK(MEMBERS[[#This Row],[Apprenticeship]]:MEMBERS[[#This Row],[StaffMemberEnabled]])+COUNTBLANK(MEMBERS[[#This Row],[GenderCode]]:MEMBERS[[#This Row],[Casual]])</f>
        <v>0</v>
      </c>
      <c r="L192" s="57">
        <f>IF(SUBSTITUTE(TEXT(MEMBERS[[#This Row],[StaffMemberCode]],10)," ","")=TEXT(MEMBERS[[#This Row],[StaffMemberCode]],10),0,1)</f>
        <v>0</v>
      </c>
      <c r="M192" s="57">
        <f ca="1">SUM(MEMBERS[[#This Row],[Duplicate NameService Start]:[Space in Code]])</f>
        <v>0</v>
      </c>
      <c r="O192" s="15">
        <v>10013545</v>
      </c>
      <c r="P192" s="15" t="s">
        <v>3248</v>
      </c>
      <c r="Q192" s="15" t="s">
        <v>4049</v>
      </c>
      <c r="R192" s="133" t="str">
        <f>MEMBERS[[#This Row],[FirstName]]&amp;" "&amp;MEMBERS[[#This Row],[LastName]]</f>
        <v>Edward Douglas</v>
      </c>
      <c r="S192" s="21">
        <v>45310</v>
      </c>
      <c r="U192" s="21">
        <v>21592</v>
      </c>
      <c r="V192" s="138" t="b">
        <v>0</v>
      </c>
      <c r="W192" t="b">
        <v>0</v>
      </c>
      <c r="X192" t="b">
        <v>0</v>
      </c>
      <c r="Y192" t="s">
        <v>2126</v>
      </c>
      <c r="Z192" t="b">
        <v>1</v>
      </c>
      <c r="AB192" t="s">
        <v>1572</v>
      </c>
      <c r="AC192" t="b">
        <v>1</v>
      </c>
    </row>
    <row r="193" spans="1:29" x14ac:dyDescent="0.3">
      <c r="A193" s="57" t="str">
        <f>MEMBERS[[#This Row],[Title]]&amp;MEMBERS[[#This Row],[ServiceStartDate]]</f>
        <v>Edward Passmore45901</v>
      </c>
      <c r="B193" s="57">
        <f>IF(COUNTIF(MEMBERS[NameServiceStart],MEMBERS[[#This Row],[NameServiceStart]])=1,0,1)</f>
        <v>0</v>
      </c>
      <c r="C193" s="57">
        <f>IF(COUNTIF(MEMBERS[StaffMemberCode],MEMBERS[[#This Row],[StaffMemberCode]])=1,0,1)</f>
        <v>0</v>
      </c>
      <c r="D193" s="57">
        <f>IF(ISBLANK(MEMBERS[[#This Row],[PayrollLocation]]),0,IF(COUNTIF(SCHOOLS[SchoolCode],MEMBERS[[#This Row],[PayrollLocation]])=1,0,1))</f>
        <v>0</v>
      </c>
      <c r="E193" s="57">
        <f>IF(MEMBERS[[#This Row],[AvailableToAllSchools]]=FALSE,IF(ISBLANK(MEMBERS[[#This Row],[SchoolCodes]]),1,0),IF(MEMBERS[[#This Row],[AvailableToAllSchools]]=TRUE,IF(ISBLANK(MEMBERS[[#This Row],[SchoolCodes]]),0,1)))</f>
        <v>0</v>
      </c>
      <c r="F193" s="57">
        <f>IF(ISBLANK(MEMBERS[[#This Row],[ServiceEndDate]]),0,IF(MEMBERS[[#This Row],[ServiceStartDate]]&lt;MEMBERS[[#This Row],[ServiceEndDate]],0,1))</f>
        <v>0</v>
      </c>
      <c r="G193" s="57" cm="1">
        <f t="array" aca="1" ref="G193" ca="1">IF(CELL("format",MEMBERS[[#This Row],[ServiceStartDate]])="D1",0,1)+IF(CELL("format",MEMBERS[[#This Row],[ServiceEndDate]])="D1",0,1)</f>
        <v>0</v>
      </c>
      <c r="H19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93" s="57">
        <f>IF(LEN(MEMBERS[[#This Row],[StaffMemberCode]])&lt;100,0,1)</f>
        <v>0</v>
      </c>
      <c r="J193" s="57">
        <f>IF(LEN(MEMBERS[[#This Row],[Title]])&lt;100,0,1)</f>
        <v>0</v>
      </c>
      <c r="K193" s="57">
        <f>COUNTBLANK(MEMBERS[[#This Row],[StaffMemberCode]:[ServiceStartDate]])+COUNTBLANK(MEMBERS[[#This Row],[Apprenticeship]]:MEMBERS[[#This Row],[StaffMemberEnabled]])+COUNTBLANK(MEMBERS[[#This Row],[GenderCode]]:MEMBERS[[#This Row],[Casual]])</f>
        <v>0</v>
      </c>
      <c r="L193" s="57">
        <f>IF(SUBSTITUTE(TEXT(MEMBERS[[#This Row],[StaffMemberCode]],10)," ","")=TEXT(MEMBERS[[#This Row],[StaffMemberCode]],10),0,1)</f>
        <v>0</v>
      </c>
      <c r="M193" s="57">
        <f ca="1">SUM(MEMBERS[[#This Row],[Duplicate NameService Start]:[Space in Code]])</f>
        <v>0</v>
      </c>
      <c r="O193" s="15">
        <v>91850019</v>
      </c>
      <c r="P193" s="15" t="s">
        <v>3248</v>
      </c>
      <c r="Q193" s="15" t="s">
        <v>3584</v>
      </c>
      <c r="R193" s="133" t="str">
        <f>MEMBERS[[#This Row],[FirstName]]&amp;" "&amp;MEMBERS[[#This Row],[LastName]]</f>
        <v>Edward Passmore</v>
      </c>
      <c r="S193" s="21">
        <v>45901</v>
      </c>
      <c r="U193" s="21">
        <v>32442</v>
      </c>
      <c r="V193" t="b">
        <v>0</v>
      </c>
      <c r="W193" t="b">
        <v>0</v>
      </c>
      <c r="X193" t="b">
        <v>0</v>
      </c>
      <c r="Y193" t="s">
        <v>2094</v>
      </c>
      <c r="Z193" t="b">
        <v>1</v>
      </c>
      <c r="AB193" t="s">
        <v>1572</v>
      </c>
      <c r="AC193" t="b">
        <v>0</v>
      </c>
    </row>
    <row r="194" spans="1:29" x14ac:dyDescent="0.3">
      <c r="A194" s="57" t="str">
        <f>MEMBERS[[#This Row],[Title]]&amp;MEMBERS[[#This Row],[ServiceStartDate]]</f>
        <v>Elaine Abbott45537</v>
      </c>
      <c r="B194" s="57">
        <f>IF(COUNTIF(MEMBERS[NameServiceStart],MEMBERS[[#This Row],[NameServiceStart]])=1,0,1)</f>
        <v>0</v>
      </c>
      <c r="C194" s="57">
        <f>IF(COUNTIF(MEMBERS[StaffMemberCode],MEMBERS[[#This Row],[StaffMemberCode]])=1,0,1)</f>
        <v>0</v>
      </c>
      <c r="D194" s="57">
        <f>IF(ISBLANK(MEMBERS[[#This Row],[PayrollLocation]]),0,IF(COUNTIF(SCHOOLS[SchoolCode],MEMBERS[[#This Row],[PayrollLocation]])=1,0,1))</f>
        <v>0</v>
      </c>
      <c r="E194" s="57">
        <f>IF(MEMBERS[[#This Row],[AvailableToAllSchools]]=FALSE,IF(ISBLANK(MEMBERS[[#This Row],[SchoolCodes]]),1,0),IF(MEMBERS[[#This Row],[AvailableToAllSchools]]=TRUE,IF(ISBLANK(MEMBERS[[#This Row],[SchoolCodes]]),0,1)))</f>
        <v>0</v>
      </c>
      <c r="F194" s="57">
        <f>IF(ISBLANK(MEMBERS[[#This Row],[ServiceEndDate]]),0,IF(MEMBERS[[#This Row],[ServiceStartDate]]&lt;MEMBERS[[#This Row],[ServiceEndDate]],0,1))</f>
        <v>0</v>
      </c>
      <c r="G194" s="57" cm="1">
        <f t="array" aca="1" ref="G194" ca="1">IF(CELL("format",MEMBERS[[#This Row],[ServiceStartDate]])="D1",0,1)+IF(CELL("format",MEMBERS[[#This Row],[ServiceEndDate]])="D1",0,1)</f>
        <v>0</v>
      </c>
      <c r="H19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94" s="57">
        <f>IF(LEN(MEMBERS[[#This Row],[StaffMemberCode]])&lt;100,0,1)</f>
        <v>0</v>
      </c>
      <c r="J194" s="57">
        <f>IF(LEN(MEMBERS[[#This Row],[Title]])&lt;100,0,1)</f>
        <v>0</v>
      </c>
      <c r="K194" s="57">
        <f>COUNTBLANK(MEMBERS[[#This Row],[StaffMemberCode]:[ServiceStartDate]])+COUNTBLANK(MEMBERS[[#This Row],[Apprenticeship]]:MEMBERS[[#This Row],[StaffMemberEnabled]])+COUNTBLANK(MEMBERS[[#This Row],[GenderCode]]:MEMBERS[[#This Row],[Casual]])</f>
        <v>0</v>
      </c>
      <c r="L194" s="57">
        <f>IF(SUBSTITUTE(TEXT(MEMBERS[[#This Row],[StaffMemberCode]],10)," ","")=TEXT(MEMBERS[[#This Row],[StaffMemberCode]],10),0,1)</f>
        <v>0</v>
      </c>
      <c r="M194" s="57">
        <f ca="1">SUM(MEMBERS[[#This Row],[Duplicate NameService Start]:[Space in Code]])</f>
        <v>0</v>
      </c>
      <c r="O194" s="15">
        <v>91324723</v>
      </c>
      <c r="P194" s="15" t="s">
        <v>3249</v>
      </c>
      <c r="Q194" s="15" t="s">
        <v>3585</v>
      </c>
      <c r="R194" s="133" t="str">
        <f>MEMBERS[[#This Row],[FirstName]]&amp;" "&amp;MEMBERS[[#This Row],[LastName]]</f>
        <v>Elaine Abbott</v>
      </c>
      <c r="S194" s="21">
        <v>45537</v>
      </c>
      <c r="U194" s="21">
        <v>23335</v>
      </c>
      <c r="V194" t="b">
        <v>0</v>
      </c>
      <c r="W194" t="b">
        <v>0</v>
      </c>
      <c r="X194" t="b">
        <v>0</v>
      </c>
      <c r="Y194" t="s">
        <v>2082</v>
      </c>
      <c r="Z194" t="b">
        <v>1</v>
      </c>
      <c r="AB194" t="s">
        <v>1571</v>
      </c>
      <c r="AC194" t="b">
        <v>0</v>
      </c>
    </row>
    <row r="195" spans="1:29" x14ac:dyDescent="0.3">
      <c r="A195" s="57" t="str">
        <f>MEMBERS[[#This Row],[Title]]&amp;MEMBERS[[#This Row],[ServiceStartDate]]</f>
        <v>Elaine Fenech36169</v>
      </c>
      <c r="B195" s="57">
        <f>IF(COUNTIF(MEMBERS[NameServiceStart],MEMBERS[[#This Row],[NameServiceStart]])=1,0,1)</f>
        <v>0</v>
      </c>
      <c r="C195" s="57">
        <f>IF(COUNTIF(MEMBERS[StaffMemberCode],MEMBERS[[#This Row],[StaffMemberCode]])=1,0,1)</f>
        <v>0</v>
      </c>
      <c r="D195" s="57">
        <f>IF(ISBLANK(MEMBERS[[#This Row],[PayrollLocation]]),0,IF(COUNTIF(SCHOOLS[SchoolCode],MEMBERS[[#This Row],[PayrollLocation]])=1,0,1))</f>
        <v>0</v>
      </c>
      <c r="E195" s="57">
        <f>IF(MEMBERS[[#This Row],[AvailableToAllSchools]]=FALSE,IF(ISBLANK(MEMBERS[[#This Row],[SchoolCodes]]),1,0),IF(MEMBERS[[#This Row],[AvailableToAllSchools]]=TRUE,IF(ISBLANK(MEMBERS[[#This Row],[SchoolCodes]]),0,1)))</f>
        <v>0</v>
      </c>
      <c r="F195" s="57">
        <f>IF(ISBLANK(MEMBERS[[#This Row],[ServiceEndDate]]),0,IF(MEMBERS[[#This Row],[ServiceStartDate]]&lt;MEMBERS[[#This Row],[ServiceEndDate]],0,1))</f>
        <v>0</v>
      </c>
      <c r="G195" s="57" cm="1">
        <f t="array" aca="1" ref="G195" ca="1">IF(CELL("format",MEMBERS[[#This Row],[ServiceStartDate]])="D1",0,1)+IF(CELL("format",MEMBERS[[#This Row],[ServiceEndDate]])="D1",0,1)</f>
        <v>0</v>
      </c>
      <c r="H19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95" s="57">
        <f>IF(LEN(MEMBERS[[#This Row],[StaffMemberCode]])&lt;100,0,1)</f>
        <v>0</v>
      </c>
      <c r="J195" s="57">
        <f>IF(LEN(MEMBERS[[#This Row],[Title]])&lt;100,0,1)</f>
        <v>0</v>
      </c>
      <c r="K195" s="57">
        <f>COUNTBLANK(MEMBERS[[#This Row],[StaffMemberCode]:[ServiceStartDate]])+COUNTBLANK(MEMBERS[[#This Row],[Apprenticeship]]:MEMBERS[[#This Row],[StaffMemberEnabled]])+COUNTBLANK(MEMBERS[[#This Row],[GenderCode]]:MEMBERS[[#This Row],[Casual]])</f>
        <v>0</v>
      </c>
      <c r="L195" s="57">
        <f>IF(SUBSTITUTE(TEXT(MEMBERS[[#This Row],[StaffMemberCode]],10)," ","")=TEXT(MEMBERS[[#This Row],[StaffMemberCode]],10),0,1)</f>
        <v>0</v>
      </c>
      <c r="M195" s="57">
        <f ca="1">SUM(MEMBERS[[#This Row],[Duplicate NameService Start]:[Space in Code]])</f>
        <v>0</v>
      </c>
      <c r="O195" s="15">
        <v>91073457</v>
      </c>
      <c r="P195" s="15" t="s">
        <v>3249</v>
      </c>
      <c r="Q195" s="15" t="s">
        <v>3586</v>
      </c>
      <c r="R195" s="133" t="str">
        <f>MEMBERS[[#This Row],[FirstName]]&amp;" "&amp;MEMBERS[[#This Row],[LastName]]</f>
        <v>Elaine Fenech</v>
      </c>
      <c r="S195" s="21">
        <v>36169</v>
      </c>
      <c r="U195" s="21">
        <v>22555</v>
      </c>
      <c r="V195" t="b">
        <v>0</v>
      </c>
      <c r="W195" t="b">
        <v>0</v>
      </c>
      <c r="X195" t="b">
        <v>0</v>
      </c>
      <c r="Y195" t="s">
        <v>2094</v>
      </c>
      <c r="Z195" t="b">
        <v>1</v>
      </c>
      <c r="AB195" t="s">
        <v>1571</v>
      </c>
      <c r="AC195" t="b">
        <v>0</v>
      </c>
    </row>
    <row r="196" spans="1:29" x14ac:dyDescent="0.3">
      <c r="A196" s="57" t="str">
        <f>MEMBERS[[#This Row],[Title]]&amp;MEMBERS[[#This Row],[ServiceStartDate]]</f>
        <v>Elaine Mason44570</v>
      </c>
      <c r="B196" s="57">
        <f>IF(COUNTIF(MEMBERS[NameServiceStart],MEMBERS[[#This Row],[NameServiceStart]])=1,0,1)</f>
        <v>0</v>
      </c>
      <c r="C196" s="57">
        <f>IF(COUNTIF(MEMBERS[StaffMemberCode],MEMBERS[[#This Row],[StaffMemberCode]])=1,0,1)</f>
        <v>0</v>
      </c>
      <c r="D196" s="57">
        <f>IF(ISBLANK(MEMBERS[[#This Row],[PayrollLocation]]),0,IF(COUNTIF(SCHOOLS[SchoolCode],MEMBERS[[#This Row],[PayrollLocation]])=1,0,1))</f>
        <v>0</v>
      </c>
      <c r="E196" s="57">
        <f>IF(MEMBERS[[#This Row],[AvailableToAllSchools]]=FALSE,IF(ISBLANK(MEMBERS[[#This Row],[SchoolCodes]]),1,0),IF(MEMBERS[[#This Row],[AvailableToAllSchools]]=TRUE,IF(ISBLANK(MEMBERS[[#This Row],[SchoolCodes]]),0,1)))</f>
        <v>0</v>
      </c>
      <c r="F196" s="57">
        <f>IF(ISBLANK(MEMBERS[[#This Row],[ServiceEndDate]]),0,IF(MEMBERS[[#This Row],[ServiceStartDate]]&lt;MEMBERS[[#This Row],[ServiceEndDate]],0,1))</f>
        <v>0</v>
      </c>
      <c r="G196" s="57" cm="1">
        <f t="array" aca="1" ref="G196" ca="1">IF(CELL("format",MEMBERS[[#This Row],[ServiceStartDate]])="D1",0,1)+IF(CELL("format",MEMBERS[[#This Row],[ServiceEndDate]])="D1",0,1)</f>
        <v>0</v>
      </c>
      <c r="H19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96" s="57">
        <f>IF(LEN(MEMBERS[[#This Row],[StaffMemberCode]])&lt;100,0,1)</f>
        <v>0</v>
      </c>
      <c r="J196" s="57">
        <f>IF(LEN(MEMBERS[[#This Row],[Title]])&lt;100,0,1)</f>
        <v>0</v>
      </c>
      <c r="K196" s="57">
        <f>COUNTBLANK(MEMBERS[[#This Row],[StaffMemberCode]:[ServiceStartDate]])+COUNTBLANK(MEMBERS[[#This Row],[Apprenticeship]]:MEMBERS[[#This Row],[StaffMemberEnabled]])+COUNTBLANK(MEMBERS[[#This Row],[GenderCode]]:MEMBERS[[#This Row],[Casual]])</f>
        <v>0</v>
      </c>
      <c r="L196" s="57">
        <f>IF(SUBSTITUTE(TEXT(MEMBERS[[#This Row],[StaffMemberCode]],10)," ","")=TEXT(MEMBERS[[#This Row],[StaffMemberCode]],10),0,1)</f>
        <v>0</v>
      </c>
      <c r="M196" s="57">
        <f ca="1">SUM(MEMBERS[[#This Row],[Duplicate NameService Start]:[Space in Code]])</f>
        <v>0</v>
      </c>
      <c r="O196" s="15">
        <v>91073508</v>
      </c>
      <c r="P196" s="15" t="s">
        <v>3249</v>
      </c>
      <c r="Q196" s="15" t="s">
        <v>3587</v>
      </c>
      <c r="R196" s="133" t="str">
        <f>MEMBERS[[#This Row],[FirstName]]&amp;" "&amp;MEMBERS[[#This Row],[LastName]]</f>
        <v>Elaine Mason</v>
      </c>
      <c r="S196" s="21">
        <v>44570</v>
      </c>
      <c r="U196" s="21">
        <v>24061</v>
      </c>
      <c r="V196" t="b">
        <v>0</v>
      </c>
      <c r="W196" t="b">
        <v>0</v>
      </c>
      <c r="X196" t="b">
        <v>0</v>
      </c>
      <c r="Y196" t="s">
        <v>2094</v>
      </c>
      <c r="Z196" t="b">
        <v>1</v>
      </c>
      <c r="AB196" t="s">
        <v>1571</v>
      </c>
      <c r="AC196" t="b">
        <v>1</v>
      </c>
    </row>
    <row r="197" spans="1:29" x14ac:dyDescent="0.3">
      <c r="A197" s="57" t="str">
        <f>MEMBERS[[#This Row],[Title]]&amp;MEMBERS[[#This Row],[ServiceStartDate]]</f>
        <v>Elaine Tatham40187</v>
      </c>
      <c r="B197" s="57">
        <f>IF(COUNTIF(MEMBERS[NameServiceStart],MEMBERS[[#This Row],[NameServiceStart]])=1,0,1)</f>
        <v>0</v>
      </c>
      <c r="C197" s="57">
        <f>IF(COUNTIF(MEMBERS[StaffMemberCode],MEMBERS[[#This Row],[StaffMemberCode]])=1,0,1)</f>
        <v>0</v>
      </c>
      <c r="D197" s="57">
        <f>IF(ISBLANK(MEMBERS[[#This Row],[PayrollLocation]]),0,IF(COUNTIF(SCHOOLS[SchoolCode],MEMBERS[[#This Row],[PayrollLocation]])=1,0,1))</f>
        <v>0</v>
      </c>
      <c r="E197" s="57">
        <f>IF(MEMBERS[[#This Row],[AvailableToAllSchools]]=FALSE,IF(ISBLANK(MEMBERS[[#This Row],[SchoolCodes]]),1,0),IF(MEMBERS[[#This Row],[AvailableToAllSchools]]=TRUE,IF(ISBLANK(MEMBERS[[#This Row],[SchoolCodes]]),0,1)))</f>
        <v>0</v>
      </c>
      <c r="F197" s="57">
        <f>IF(ISBLANK(MEMBERS[[#This Row],[ServiceEndDate]]),0,IF(MEMBERS[[#This Row],[ServiceStartDate]]&lt;MEMBERS[[#This Row],[ServiceEndDate]],0,1))</f>
        <v>0</v>
      </c>
      <c r="G197" s="57" cm="1">
        <f t="array" aca="1" ref="G197" ca="1">IF(CELL("format",MEMBERS[[#This Row],[ServiceStartDate]])="D1",0,1)+IF(CELL("format",MEMBERS[[#This Row],[ServiceEndDate]])="D1",0,1)</f>
        <v>0</v>
      </c>
      <c r="H19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97" s="57">
        <f>IF(LEN(MEMBERS[[#This Row],[StaffMemberCode]])&lt;100,0,1)</f>
        <v>0</v>
      </c>
      <c r="J197" s="57">
        <f>IF(LEN(MEMBERS[[#This Row],[Title]])&lt;100,0,1)</f>
        <v>0</v>
      </c>
      <c r="K197" s="57">
        <f>COUNTBLANK(MEMBERS[[#This Row],[StaffMemberCode]:[ServiceStartDate]])+COUNTBLANK(MEMBERS[[#This Row],[Apprenticeship]]:MEMBERS[[#This Row],[StaffMemberEnabled]])+COUNTBLANK(MEMBERS[[#This Row],[GenderCode]]:MEMBERS[[#This Row],[Casual]])</f>
        <v>0</v>
      </c>
      <c r="L197" s="57">
        <f>IF(SUBSTITUTE(TEXT(MEMBERS[[#This Row],[StaffMemberCode]],10)," ","")=TEXT(MEMBERS[[#This Row],[StaffMemberCode]],10),0,1)</f>
        <v>0</v>
      </c>
      <c r="M197" s="57">
        <f ca="1">SUM(MEMBERS[[#This Row],[Duplicate NameService Start]:[Space in Code]])</f>
        <v>0</v>
      </c>
      <c r="O197" s="15">
        <v>91073811</v>
      </c>
      <c r="P197" s="15" t="s">
        <v>3249</v>
      </c>
      <c r="Q197" s="15" t="s">
        <v>3588</v>
      </c>
      <c r="R197" s="133" t="str">
        <f>MEMBERS[[#This Row],[FirstName]]&amp;" "&amp;MEMBERS[[#This Row],[LastName]]</f>
        <v>Elaine Tatham</v>
      </c>
      <c r="S197" s="21">
        <v>40187</v>
      </c>
      <c r="U197" s="21">
        <v>28018</v>
      </c>
      <c r="V197" t="b">
        <v>0</v>
      </c>
      <c r="W197" t="b">
        <v>0</v>
      </c>
      <c r="X197" t="b">
        <v>0</v>
      </c>
      <c r="Y197" t="s">
        <v>2082</v>
      </c>
      <c r="Z197" t="b">
        <v>1</v>
      </c>
      <c r="AB197" t="s">
        <v>1571</v>
      </c>
      <c r="AC197" t="b">
        <v>0</v>
      </c>
    </row>
    <row r="198" spans="1:29" x14ac:dyDescent="0.3">
      <c r="A198" s="57" t="str">
        <f>MEMBERS[[#This Row],[Title]]&amp;MEMBERS[[#This Row],[ServiceStartDate]]</f>
        <v>Eleanor Emberson45536</v>
      </c>
      <c r="B198" s="57">
        <f>IF(COUNTIF(MEMBERS[NameServiceStart],MEMBERS[[#This Row],[NameServiceStart]])=1,0,1)</f>
        <v>0</v>
      </c>
      <c r="C198" s="57">
        <f>IF(COUNTIF(MEMBERS[StaffMemberCode],MEMBERS[[#This Row],[StaffMemberCode]])=1,0,1)</f>
        <v>0</v>
      </c>
      <c r="D198" s="57">
        <f>IF(ISBLANK(MEMBERS[[#This Row],[PayrollLocation]]),0,IF(COUNTIF(SCHOOLS[SchoolCode],MEMBERS[[#This Row],[PayrollLocation]])=1,0,1))</f>
        <v>0</v>
      </c>
      <c r="E198" s="57">
        <f>IF(MEMBERS[[#This Row],[AvailableToAllSchools]]=FALSE,IF(ISBLANK(MEMBERS[[#This Row],[SchoolCodes]]),1,0),IF(MEMBERS[[#This Row],[AvailableToAllSchools]]=TRUE,IF(ISBLANK(MEMBERS[[#This Row],[SchoolCodes]]),0,1)))</f>
        <v>0</v>
      </c>
      <c r="F198" s="57">
        <f>IF(ISBLANK(MEMBERS[[#This Row],[ServiceEndDate]]),0,IF(MEMBERS[[#This Row],[ServiceStartDate]]&lt;MEMBERS[[#This Row],[ServiceEndDate]],0,1))</f>
        <v>0</v>
      </c>
      <c r="G198" s="57" cm="1">
        <f t="array" aca="1" ref="G198" ca="1">IF(CELL("format",MEMBERS[[#This Row],[ServiceStartDate]])="D1",0,1)+IF(CELL("format",MEMBERS[[#This Row],[ServiceEndDate]])="D1",0,1)</f>
        <v>0</v>
      </c>
      <c r="H19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98" s="57">
        <f>IF(LEN(MEMBERS[[#This Row],[StaffMemberCode]])&lt;100,0,1)</f>
        <v>0</v>
      </c>
      <c r="J198" s="57">
        <f>IF(LEN(MEMBERS[[#This Row],[Title]])&lt;100,0,1)</f>
        <v>0</v>
      </c>
      <c r="K198" s="57">
        <f>COUNTBLANK(MEMBERS[[#This Row],[StaffMemberCode]:[ServiceStartDate]])+COUNTBLANK(MEMBERS[[#This Row],[Apprenticeship]]:MEMBERS[[#This Row],[StaffMemberEnabled]])+COUNTBLANK(MEMBERS[[#This Row],[GenderCode]]:MEMBERS[[#This Row],[Casual]])</f>
        <v>0</v>
      </c>
      <c r="L198" s="57">
        <f>IF(SUBSTITUTE(TEXT(MEMBERS[[#This Row],[StaffMemberCode]],10)," ","")=TEXT(MEMBERS[[#This Row],[StaffMemberCode]],10),0,1)</f>
        <v>0</v>
      </c>
      <c r="M198" s="57">
        <f ca="1">SUM(MEMBERS[[#This Row],[Duplicate NameService Start]:[Space in Code]])</f>
        <v>0</v>
      </c>
      <c r="O198" s="15">
        <v>91324760</v>
      </c>
      <c r="P198" s="15" t="s">
        <v>3250</v>
      </c>
      <c r="Q198" s="15" t="s">
        <v>3589</v>
      </c>
      <c r="R198" s="133" t="str">
        <f>MEMBERS[[#This Row],[FirstName]]&amp;" "&amp;MEMBERS[[#This Row],[LastName]]</f>
        <v>Eleanor Emberson</v>
      </c>
      <c r="S198" s="21">
        <v>45536</v>
      </c>
      <c r="U198" s="21">
        <v>36650</v>
      </c>
      <c r="V198" t="b">
        <v>0</v>
      </c>
      <c r="W198" t="b">
        <v>0</v>
      </c>
      <c r="X198" t="b">
        <v>0</v>
      </c>
      <c r="Y198" t="s">
        <v>2082</v>
      </c>
      <c r="Z198" t="b">
        <v>1</v>
      </c>
      <c r="AB198" t="s">
        <v>1571</v>
      </c>
      <c r="AC198" t="b">
        <v>0</v>
      </c>
    </row>
    <row r="199" spans="1:29" x14ac:dyDescent="0.3">
      <c r="A199" s="57" t="str">
        <f>MEMBERS[[#This Row],[Title]]&amp;MEMBERS[[#This Row],[ServiceStartDate]]</f>
        <v>Eleanor Hampson37845</v>
      </c>
      <c r="B199" s="57">
        <f>IF(COUNTIF(MEMBERS[NameServiceStart],MEMBERS[[#This Row],[NameServiceStart]])=1,0,1)</f>
        <v>0</v>
      </c>
      <c r="C199" s="57">
        <f>IF(COUNTIF(MEMBERS[StaffMemberCode],MEMBERS[[#This Row],[StaffMemberCode]])=1,0,1)</f>
        <v>0</v>
      </c>
      <c r="D199" s="57">
        <f>IF(ISBLANK(MEMBERS[[#This Row],[PayrollLocation]]),0,IF(COUNTIF(SCHOOLS[SchoolCode],MEMBERS[[#This Row],[PayrollLocation]])=1,0,1))</f>
        <v>0</v>
      </c>
      <c r="E199" s="57">
        <f>IF(MEMBERS[[#This Row],[AvailableToAllSchools]]=FALSE,IF(ISBLANK(MEMBERS[[#This Row],[SchoolCodes]]),1,0),IF(MEMBERS[[#This Row],[AvailableToAllSchools]]=TRUE,IF(ISBLANK(MEMBERS[[#This Row],[SchoolCodes]]),0,1)))</f>
        <v>0</v>
      </c>
      <c r="F199" s="57">
        <f>IF(ISBLANK(MEMBERS[[#This Row],[ServiceEndDate]]),0,IF(MEMBERS[[#This Row],[ServiceStartDate]]&lt;MEMBERS[[#This Row],[ServiceEndDate]],0,1))</f>
        <v>0</v>
      </c>
      <c r="G199" s="57" cm="1">
        <f t="array" aca="1" ref="G199" ca="1">IF(CELL("format",MEMBERS[[#This Row],[ServiceStartDate]])="D1",0,1)+IF(CELL("format",MEMBERS[[#This Row],[ServiceEndDate]])="D1",0,1)</f>
        <v>0</v>
      </c>
      <c r="H19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199" s="57">
        <f>IF(LEN(MEMBERS[[#This Row],[StaffMemberCode]])&lt;100,0,1)</f>
        <v>0</v>
      </c>
      <c r="J199" s="57">
        <f>IF(LEN(MEMBERS[[#This Row],[Title]])&lt;100,0,1)</f>
        <v>0</v>
      </c>
      <c r="K199" s="57">
        <f>COUNTBLANK(MEMBERS[[#This Row],[StaffMemberCode]:[ServiceStartDate]])+COUNTBLANK(MEMBERS[[#This Row],[Apprenticeship]]:MEMBERS[[#This Row],[StaffMemberEnabled]])+COUNTBLANK(MEMBERS[[#This Row],[GenderCode]]:MEMBERS[[#This Row],[Casual]])</f>
        <v>0</v>
      </c>
      <c r="L199" s="57">
        <f>IF(SUBSTITUTE(TEXT(MEMBERS[[#This Row],[StaffMemberCode]],10)," ","")=TEXT(MEMBERS[[#This Row],[StaffMemberCode]],10),0,1)</f>
        <v>0</v>
      </c>
      <c r="M199" s="57">
        <f ca="1">SUM(MEMBERS[[#This Row],[Duplicate NameService Start]:[Space in Code]])</f>
        <v>0</v>
      </c>
      <c r="O199" s="15">
        <v>91073594</v>
      </c>
      <c r="P199" s="15" t="s">
        <v>3250</v>
      </c>
      <c r="Q199" s="15" t="s">
        <v>3590</v>
      </c>
      <c r="R199" s="133" t="str">
        <f>MEMBERS[[#This Row],[FirstName]]&amp;" "&amp;MEMBERS[[#This Row],[LastName]]</f>
        <v>Eleanor Hampson</v>
      </c>
      <c r="S199" s="21">
        <v>37845</v>
      </c>
      <c r="U199" s="21">
        <v>21970</v>
      </c>
      <c r="V199" t="b">
        <v>0</v>
      </c>
      <c r="W199" t="b">
        <v>0</v>
      </c>
      <c r="X199" t="b">
        <v>0</v>
      </c>
      <c r="Y199" t="s">
        <v>2094</v>
      </c>
      <c r="Z199" t="b">
        <v>1</v>
      </c>
      <c r="AB199" t="s">
        <v>1571</v>
      </c>
      <c r="AC199" t="b">
        <v>0</v>
      </c>
    </row>
    <row r="200" spans="1:29" x14ac:dyDescent="0.3">
      <c r="A200" s="57" t="str">
        <f>MEMBERS[[#This Row],[Title]]&amp;MEMBERS[[#This Row],[ServiceStartDate]]</f>
        <v>Elena Iancu45909</v>
      </c>
      <c r="B200" s="57">
        <f>IF(COUNTIF(MEMBERS[NameServiceStart],MEMBERS[[#This Row],[NameServiceStart]])=1,0,1)</f>
        <v>0</v>
      </c>
      <c r="C200" s="57">
        <f>IF(COUNTIF(MEMBERS[StaffMemberCode],MEMBERS[[#This Row],[StaffMemberCode]])=1,0,1)</f>
        <v>0</v>
      </c>
      <c r="D200" s="57">
        <f>IF(ISBLANK(MEMBERS[[#This Row],[PayrollLocation]]),0,IF(COUNTIF(SCHOOLS[SchoolCode],MEMBERS[[#This Row],[PayrollLocation]])=1,0,1))</f>
        <v>0</v>
      </c>
      <c r="E200" s="57">
        <f>IF(MEMBERS[[#This Row],[AvailableToAllSchools]]=FALSE,IF(ISBLANK(MEMBERS[[#This Row],[SchoolCodes]]),1,0),IF(MEMBERS[[#This Row],[AvailableToAllSchools]]=TRUE,IF(ISBLANK(MEMBERS[[#This Row],[SchoolCodes]]),0,1)))</f>
        <v>0</v>
      </c>
      <c r="F200" s="57">
        <f>IF(ISBLANK(MEMBERS[[#This Row],[ServiceEndDate]]),0,IF(MEMBERS[[#This Row],[ServiceStartDate]]&lt;MEMBERS[[#This Row],[ServiceEndDate]],0,1))</f>
        <v>0</v>
      </c>
      <c r="G200" s="57" cm="1">
        <f t="array" aca="1" ref="G200" ca="1">IF(CELL("format",MEMBERS[[#This Row],[ServiceStartDate]])="D1",0,1)+IF(CELL("format",MEMBERS[[#This Row],[ServiceEndDate]])="D1",0,1)</f>
        <v>0</v>
      </c>
      <c r="H20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00" s="57">
        <f>IF(LEN(MEMBERS[[#This Row],[StaffMemberCode]])&lt;100,0,1)</f>
        <v>0</v>
      </c>
      <c r="J200" s="57">
        <f>IF(LEN(MEMBERS[[#This Row],[Title]])&lt;100,0,1)</f>
        <v>0</v>
      </c>
      <c r="K200" s="57">
        <f>COUNTBLANK(MEMBERS[[#This Row],[StaffMemberCode]:[ServiceStartDate]])+COUNTBLANK(MEMBERS[[#This Row],[Apprenticeship]]:MEMBERS[[#This Row],[StaffMemberEnabled]])+COUNTBLANK(MEMBERS[[#This Row],[GenderCode]]:MEMBERS[[#This Row],[Casual]])</f>
        <v>0</v>
      </c>
      <c r="L200" s="57">
        <f>IF(SUBSTITUTE(TEXT(MEMBERS[[#This Row],[StaffMemberCode]],10)," ","")=TEXT(MEMBERS[[#This Row],[StaffMemberCode]],10),0,1)</f>
        <v>0</v>
      </c>
      <c r="M200" s="57">
        <f ca="1">SUM(MEMBERS[[#This Row],[Duplicate NameService Start]:[Space in Code]])</f>
        <v>0</v>
      </c>
      <c r="O200" s="15">
        <v>10016364</v>
      </c>
      <c r="P200" s="15" t="s">
        <v>3965</v>
      </c>
      <c r="Q200" s="15" t="s">
        <v>4050</v>
      </c>
      <c r="R200" s="133" t="str">
        <f>MEMBERS[[#This Row],[FirstName]]&amp;" "&amp;MEMBERS[[#This Row],[LastName]]</f>
        <v>Elena Iancu</v>
      </c>
      <c r="S200" s="21">
        <v>45909</v>
      </c>
      <c r="U200" s="21">
        <v>30670</v>
      </c>
      <c r="V200" s="138" t="b">
        <v>0</v>
      </c>
      <c r="W200" t="b">
        <v>0</v>
      </c>
      <c r="X200" t="b">
        <v>0</v>
      </c>
      <c r="Y200" t="s">
        <v>2126</v>
      </c>
      <c r="Z200" t="b">
        <v>1</v>
      </c>
      <c r="AB200" t="s">
        <v>1571</v>
      </c>
      <c r="AC200" t="b">
        <v>0</v>
      </c>
    </row>
    <row r="201" spans="1:29" x14ac:dyDescent="0.3">
      <c r="A201" s="57" t="str">
        <f>MEMBERS[[#This Row],[Title]]&amp;MEMBERS[[#This Row],[ServiceStartDate]]</f>
        <v>Elise Bailey45901</v>
      </c>
      <c r="B201" s="57">
        <f>IF(COUNTIF(MEMBERS[NameServiceStart],MEMBERS[[#This Row],[NameServiceStart]])=1,0,1)</f>
        <v>0</v>
      </c>
      <c r="C201" s="57">
        <f>IF(COUNTIF(MEMBERS[StaffMemberCode],MEMBERS[[#This Row],[StaffMemberCode]])=1,0,1)</f>
        <v>0</v>
      </c>
      <c r="D201" s="57">
        <f>IF(ISBLANK(MEMBERS[[#This Row],[PayrollLocation]]),0,IF(COUNTIF(SCHOOLS[SchoolCode],MEMBERS[[#This Row],[PayrollLocation]])=1,0,1))</f>
        <v>0</v>
      </c>
      <c r="E201" s="57">
        <f>IF(MEMBERS[[#This Row],[AvailableToAllSchools]]=FALSE,IF(ISBLANK(MEMBERS[[#This Row],[SchoolCodes]]),1,0),IF(MEMBERS[[#This Row],[AvailableToAllSchools]]=TRUE,IF(ISBLANK(MEMBERS[[#This Row],[SchoolCodes]]),0,1)))</f>
        <v>0</v>
      </c>
      <c r="F201" s="57">
        <f>IF(ISBLANK(MEMBERS[[#This Row],[ServiceEndDate]]),0,IF(MEMBERS[[#This Row],[ServiceStartDate]]&lt;MEMBERS[[#This Row],[ServiceEndDate]],0,1))</f>
        <v>0</v>
      </c>
      <c r="G201" s="57" cm="1">
        <f t="array" aca="1" ref="G201" ca="1">IF(CELL("format",MEMBERS[[#This Row],[ServiceStartDate]])="D1",0,1)+IF(CELL("format",MEMBERS[[#This Row],[ServiceEndDate]])="D1",0,1)</f>
        <v>0</v>
      </c>
      <c r="H20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01" s="57">
        <f>IF(LEN(MEMBERS[[#This Row],[StaffMemberCode]])&lt;100,0,1)</f>
        <v>0</v>
      </c>
      <c r="J201" s="57">
        <f>IF(LEN(MEMBERS[[#This Row],[Title]])&lt;100,0,1)</f>
        <v>0</v>
      </c>
      <c r="K201" s="57">
        <f>COUNTBLANK(MEMBERS[[#This Row],[StaffMemberCode]:[ServiceStartDate]])+COUNTBLANK(MEMBERS[[#This Row],[Apprenticeship]]:MEMBERS[[#This Row],[StaffMemberEnabled]])+COUNTBLANK(MEMBERS[[#This Row],[GenderCode]]:MEMBERS[[#This Row],[Casual]])</f>
        <v>0</v>
      </c>
      <c r="L201" s="57">
        <f>IF(SUBSTITUTE(TEXT(MEMBERS[[#This Row],[StaffMemberCode]],10)," ","")=TEXT(MEMBERS[[#This Row],[StaffMemberCode]],10),0,1)</f>
        <v>0</v>
      </c>
      <c r="M201" s="57">
        <f ca="1">SUM(MEMBERS[[#This Row],[Duplicate NameService Start]:[Space in Code]])</f>
        <v>0</v>
      </c>
      <c r="O201" s="15">
        <v>91850035</v>
      </c>
      <c r="P201" s="15" t="s">
        <v>3251</v>
      </c>
      <c r="Q201" s="15" t="s">
        <v>3463</v>
      </c>
      <c r="R201" s="133" t="str">
        <f>MEMBERS[[#This Row],[FirstName]]&amp;" "&amp;MEMBERS[[#This Row],[LastName]]</f>
        <v>Elise Bailey</v>
      </c>
      <c r="S201" s="21">
        <v>45901</v>
      </c>
      <c r="U201" s="21">
        <v>36358</v>
      </c>
      <c r="V201" t="b">
        <v>0</v>
      </c>
      <c r="W201" t="b">
        <v>0</v>
      </c>
      <c r="X201" t="b">
        <v>0</v>
      </c>
      <c r="Y201" t="s">
        <v>2089</v>
      </c>
      <c r="Z201" t="b">
        <v>1</v>
      </c>
      <c r="AB201" t="s">
        <v>1571</v>
      </c>
      <c r="AC201" t="b">
        <v>0</v>
      </c>
    </row>
    <row r="202" spans="1:29" x14ac:dyDescent="0.3">
      <c r="A202" s="57" t="str">
        <f>MEMBERS[[#This Row],[Title]]&amp;MEMBERS[[#This Row],[ServiceStartDate]]</f>
        <v>Elizabeth Brazier40917</v>
      </c>
      <c r="B202" s="57">
        <f>IF(COUNTIF(MEMBERS[NameServiceStart],MEMBERS[[#This Row],[NameServiceStart]])=1,0,1)</f>
        <v>0</v>
      </c>
      <c r="C202" s="57">
        <f>IF(COUNTIF(MEMBERS[StaffMemberCode],MEMBERS[[#This Row],[StaffMemberCode]])=1,0,1)</f>
        <v>0</v>
      </c>
      <c r="D202" s="57">
        <f>IF(ISBLANK(MEMBERS[[#This Row],[PayrollLocation]]),0,IF(COUNTIF(SCHOOLS[SchoolCode],MEMBERS[[#This Row],[PayrollLocation]])=1,0,1))</f>
        <v>0</v>
      </c>
      <c r="E202" s="57">
        <f>IF(MEMBERS[[#This Row],[AvailableToAllSchools]]=FALSE,IF(ISBLANK(MEMBERS[[#This Row],[SchoolCodes]]),1,0),IF(MEMBERS[[#This Row],[AvailableToAllSchools]]=TRUE,IF(ISBLANK(MEMBERS[[#This Row],[SchoolCodes]]),0,1)))</f>
        <v>0</v>
      </c>
      <c r="F202" s="57">
        <f>IF(ISBLANK(MEMBERS[[#This Row],[ServiceEndDate]]),0,IF(MEMBERS[[#This Row],[ServiceStartDate]]&lt;MEMBERS[[#This Row],[ServiceEndDate]],0,1))</f>
        <v>0</v>
      </c>
      <c r="G202" s="57" cm="1">
        <f t="array" aca="1" ref="G202" ca="1">IF(CELL("format",MEMBERS[[#This Row],[ServiceStartDate]])="D1",0,1)+IF(CELL("format",MEMBERS[[#This Row],[ServiceEndDate]])="D1",0,1)</f>
        <v>0</v>
      </c>
      <c r="H20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02" s="57">
        <f>IF(LEN(MEMBERS[[#This Row],[StaffMemberCode]])&lt;100,0,1)</f>
        <v>0</v>
      </c>
      <c r="J202" s="57">
        <f>IF(LEN(MEMBERS[[#This Row],[Title]])&lt;100,0,1)</f>
        <v>0</v>
      </c>
      <c r="K202" s="57">
        <f>COUNTBLANK(MEMBERS[[#This Row],[StaffMemberCode]:[ServiceStartDate]])+COUNTBLANK(MEMBERS[[#This Row],[Apprenticeship]]:MEMBERS[[#This Row],[StaffMemberEnabled]])+COUNTBLANK(MEMBERS[[#This Row],[GenderCode]]:MEMBERS[[#This Row],[Casual]])</f>
        <v>0</v>
      </c>
      <c r="L202" s="57">
        <f>IF(SUBSTITUTE(TEXT(MEMBERS[[#This Row],[StaffMemberCode]],10)," ","")=TEXT(MEMBERS[[#This Row],[StaffMemberCode]],10),0,1)</f>
        <v>0</v>
      </c>
      <c r="M202" s="57">
        <f ca="1">SUM(MEMBERS[[#This Row],[Duplicate NameService Start]:[Space in Code]])</f>
        <v>0</v>
      </c>
      <c r="O202" s="15">
        <v>91073703</v>
      </c>
      <c r="P202" s="15" t="s">
        <v>3252</v>
      </c>
      <c r="Q202" s="15" t="s">
        <v>3591</v>
      </c>
      <c r="R202" s="133" t="str">
        <f>MEMBERS[[#This Row],[FirstName]]&amp;" "&amp;MEMBERS[[#This Row],[LastName]]</f>
        <v>Elizabeth Brazier</v>
      </c>
      <c r="S202" s="21">
        <v>40917</v>
      </c>
      <c r="U202" s="21">
        <v>24405</v>
      </c>
      <c r="V202" t="b">
        <v>0</v>
      </c>
      <c r="W202" t="b">
        <v>0</v>
      </c>
      <c r="X202" t="b">
        <v>0</v>
      </c>
      <c r="Y202" t="s">
        <v>2082</v>
      </c>
      <c r="Z202" t="b">
        <v>1</v>
      </c>
      <c r="AB202" t="s">
        <v>1571</v>
      </c>
      <c r="AC202" t="b">
        <v>0</v>
      </c>
    </row>
    <row r="203" spans="1:29" x14ac:dyDescent="0.3">
      <c r="A203" s="57" t="str">
        <f>MEMBERS[[#This Row],[Title]]&amp;MEMBERS[[#This Row],[ServiceStartDate]]</f>
        <v>Elizabeth Mitchell40187</v>
      </c>
      <c r="B203" s="57">
        <f>IF(COUNTIF(MEMBERS[NameServiceStart],MEMBERS[[#This Row],[NameServiceStart]])=1,0,1)</f>
        <v>0</v>
      </c>
      <c r="C203" s="57">
        <f>IF(COUNTIF(MEMBERS[StaffMemberCode],MEMBERS[[#This Row],[StaffMemberCode]])=1,0,1)</f>
        <v>0</v>
      </c>
      <c r="D203" s="57">
        <f>IF(ISBLANK(MEMBERS[[#This Row],[PayrollLocation]]),0,IF(COUNTIF(SCHOOLS[SchoolCode],MEMBERS[[#This Row],[PayrollLocation]])=1,0,1))</f>
        <v>0</v>
      </c>
      <c r="E203" s="57">
        <f>IF(MEMBERS[[#This Row],[AvailableToAllSchools]]=FALSE,IF(ISBLANK(MEMBERS[[#This Row],[SchoolCodes]]),1,0),IF(MEMBERS[[#This Row],[AvailableToAllSchools]]=TRUE,IF(ISBLANK(MEMBERS[[#This Row],[SchoolCodes]]),0,1)))</f>
        <v>0</v>
      </c>
      <c r="F203" s="57">
        <f>IF(ISBLANK(MEMBERS[[#This Row],[ServiceEndDate]]),0,IF(MEMBERS[[#This Row],[ServiceStartDate]]&lt;MEMBERS[[#This Row],[ServiceEndDate]],0,1))</f>
        <v>0</v>
      </c>
      <c r="G203" s="57" cm="1">
        <f t="array" aca="1" ref="G203" ca="1">IF(CELL("format",MEMBERS[[#This Row],[ServiceStartDate]])="D1",0,1)+IF(CELL("format",MEMBERS[[#This Row],[ServiceEndDate]])="D1",0,1)</f>
        <v>0</v>
      </c>
      <c r="H20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03" s="57">
        <f>IF(LEN(MEMBERS[[#This Row],[StaffMemberCode]])&lt;100,0,1)</f>
        <v>0</v>
      </c>
      <c r="J203" s="57">
        <f>IF(LEN(MEMBERS[[#This Row],[Title]])&lt;100,0,1)</f>
        <v>0</v>
      </c>
      <c r="K203" s="57">
        <f>COUNTBLANK(MEMBERS[[#This Row],[StaffMemberCode]:[ServiceStartDate]])+COUNTBLANK(MEMBERS[[#This Row],[Apprenticeship]]:MEMBERS[[#This Row],[StaffMemberEnabled]])+COUNTBLANK(MEMBERS[[#This Row],[GenderCode]]:MEMBERS[[#This Row],[Casual]])</f>
        <v>0</v>
      </c>
      <c r="L203" s="57">
        <f>IF(SUBSTITUTE(TEXT(MEMBERS[[#This Row],[StaffMemberCode]],10)," ","")=TEXT(MEMBERS[[#This Row],[StaffMemberCode]],10),0,1)</f>
        <v>0</v>
      </c>
      <c r="M203" s="57">
        <f ca="1">SUM(MEMBERS[[#This Row],[Duplicate NameService Start]:[Space in Code]])</f>
        <v>0</v>
      </c>
      <c r="O203" s="15">
        <v>91073485</v>
      </c>
      <c r="P203" s="15" t="s">
        <v>3252</v>
      </c>
      <c r="Q203" s="15" t="s">
        <v>3557</v>
      </c>
      <c r="R203" s="133" t="str">
        <f>MEMBERS[[#This Row],[FirstName]]&amp;" "&amp;MEMBERS[[#This Row],[LastName]]</f>
        <v>Elizabeth Mitchell</v>
      </c>
      <c r="S203" s="21">
        <v>40187</v>
      </c>
      <c r="U203" s="21">
        <v>31130</v>
      </c>
      <c r="V203" t="b">
        <v>0</v>
      </c>
      <c r="W203" t="b">
        <v>0</v>
      </c>
      <c r="X203" t="b">
        <v>0</v>
      </c>
      <c r="Y203" t="s">
        <v>2094</v>
      </c>
      <c r="Z203" t="b">
        <v>1</v>
      </c>
      <c r="AB203" t="s">
        <v>1571</v>
      </c>
      <c r="AC203" t="b">
        <v>0</v>
      </c>
    </row>
    <row r="204" spans="1:29" x14ac:dyDescent="0.3">
      <c r="A204" s="57" t="str">
        <f>MEMBERS[[#This Row],[Title]]&amp;MEMBERS[[#This Row],[ServiceStartDate]]</f>
        <v>Elizabeth Morris43474</v>
      </c>
      <c r="B204" s="57">
        <f>IF(COUNTIF(MEMBERS[NameServiceStart],MEMBERS[[#This Row],[NameServiceStart]])=1,0,1)</f>
        <v>0</v>
      </c>
      <c r="C204" s="57">
        <f>IF(COUNTIF(MEMBERS[StaffMemberCode],MEMBERS[[#This Row],[StaffMemberCode]])=1,0,1)</f>
        <v>0</v>
      </c>
      <c r="D204" s="57">
        <f>IF(ISBLANK(MEMBERS[[#This Row],[PayrollLocation]]),0,IF(COUNTIF(SCHOOLS[SchoolCode],MEMBERS[[#This Row],[PayrollLocation]])=1,0,1))</f>
        <v>0</v>
      </c>
      <c r="E204" s="57">
        <f>IF(MEMBERS[[#This Row],[AvailableToAllSchools]]=FALSE,IF(ISBLANK(MEMBERS[[#This Row],[SchoolCodes]]),1,0),IF(MEMBERS[[#This Row],[AvailableToAllSchools]]=TRUE,IF(ISBLANK(MEMBERS[[#This Row],[SchoolCodes]]),0,1)))</f>
        <v>0</v>
      </c>
      <c r="F204" s="57">
        <f>IF(ISBLANK(MEMBERS[[#This Row],[ServiceEndDate]]),0,IF(MEMBERS[[#This Row],[ServiceStartDate]]&lt;MEMBERS[[#This Row],[ServiceEndDate]],0,1))</f>
        <v>0</v>
      </c>
      <c r="G204" s="57" cm="1">
        <f t="array" aca="1" ref="G204" ca="1">IF(CELL("format",MEMBERS[[#This Row],[ServiceStartDate]])="D1",0,1)+IF(CELL("format",MEMBERS[[#This Row],[ServiceEndDate]])="D1",0,1)</f>
        <v>0</v>
      </c>
      <c r="H20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04" s="57">
        <f>IF(LEN(MEMBERS[[#This Row],[StaffMemberCode]])&lt;100,0,1)</f>
        <v>0</v>
      </c>
      <c r="J204" s="57">
        <f>IF(LEN(MEMBERS[[#This Row],[Title]])&lt;100,0,1)</f>
        <v>0</v>
      </c>
      <c r="K204" s="57">
        <f>COUNTBLANK(MEMBERS[[#This Row],[StaffMemberCode]:[ServiceStartDate]])+COUNTBLANK(MEMBERS[[#This Row],[Apprenticeship]]:MEMBERS[[#This Row],[StaffMemberEnabled]])+COUNTBLANK(MEMBERS[[#This Row],[GenderCode]]:MEMBERS[[#This Row],[Casual]])</f>
        <v>0</v>
      </c>
      <c r="L204" s="57">
        <f>IF(SUBSTITUTE(TEXT(MEMBERS[[#This Row],[StaffMemberCode]],10)," ","")=TEXT(MEMBERS[[#This Row],[StaffMemberCode]],10),0,1)</f>
        <v>0</v>
      </c>
      <c r="M204" s="57">
        <f ca="1">SUM(MEMBERS[[#This Row],[Duplicate NameService Start]:[Space in Code]])</f>
        <v>0</v>
      </c>
      <c r="O204" s="15">
        <v>91073653</v>
      </c>
      <c r="P204" s="15" t="s">
        <v>3252</v>
      </c>
      <c r="Q204" s="15" t="s">
        <v>3520</v>
      </c>
      <c r="R204" s="133" t="str">
        <f>MEMBERS[[#This Row],[FirstName]]&amp;" "&amp;MEMBERS[[#This Row],[LastName]]</f>
        <v>Elizabeth Morris</v>
      </c>
      <c r="S204" s="21">
        <v>43474</v>
      </c>
      <c r="U204" s="21">
        <v>32213</v>
      </c>
      <c r="V204" t="b">
        <v>0</v>
      </c>
      <c r="W204" t="b">
        <v>0</v>
      </c>
      <c r="X204" t="b">
        <v>0</v>
      </c>
      <c r="Y204" t="s">
        <v>2089</v>
      </c>
      <c r="Z204" t="b">
        <v>1</v>
      </c>
      <c r="AB204" t="s">
        <v>1571</v>
      </c>
      <c r="AC204" t="b">
        <v>0</v>
      </c>
    </row>
    <row r="205" spans="1:29" x14ac:dyDescent="0.3">
      <c r="A205" s="57" t="str">
        <f>MEMBERS[[#This Row],[Title]]&amp;MEMBERS[[#This Row],[ServiceStartDate]]</f>
        <v>Elizabeth Riding36900</v>
      </c>
      <c r="B205" s="57">
        <f>IF(COUNTIF(MEMBERS[NameServiceStart],MEMBERS[[#This Row],[NameServiceStart]])=1,0,1)</f>
        <v>0</v>
      </c>
      <c r="C205" s="57">
        <f>IF(COUNTIF(MEMBERS[StaffMemberCode],MEMBERS[[#This Row],[StaffMemberCode]])=1,0,1)</f>
        <v>0</v>
      </c>
      <c r="D205" s="57">
        <f>IF(ISBLANK(MEMBERS[[#This Row],[PayrollLocation]]),0,IF(COUNTIF(SCHOOLS[SchoolCode],MEMBERS[[#This Row],[PayrollLocation]])=1,0,1))</f>
        <v>0</v>
      </c>
      <c r="E205" s="57">
        <f>IF(MEMBERS[[#This Row],[AvailableToAllSchools]]=FALSE,IF(ISBLANK(MEMBERS[[#This Row],[SchoolCodes]]),1,0),IF(MEMBERS[[#This Row],[AvailableToAllSchools]]=TRUE,IF(ISBLANK(MEMBERS[[#This Row],[SchoolCodes]]),0,1)))</f>
        <v>0</v>
      </c>
      <c r="F205" s="57">
        <f>IF(ISBLANK(MEMBERS[[#This Row],[ServiceEndDate]]),0,IF(MEMBERS[[#This Row],[ServiceStartDate]]&lt;MEMBERS[[#This Row],[ServiceEndDate]],0,1))</f>
        <v>0</v>
      </c>
      <c r="G205" s="57" cm="1">
        <f t="array" aca="1" ref="G205" ca="1">IF(CELL("format",MEMBERS[[#This Row],[ServiceStartDate]])="D1",0,1)+IF(CELL("format",MEMBERS[[#This Row],[ServiceEndDate]])="D1",0,1)</f>
        <v>0</v>
      </c>
      <c r="H20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05" s="57">
        <f>IF(LEN(MEMBERS[[#This Row],[StaffMemberCode]])&lt;100,0,1)</f>
        <v>0</v>
      </c>
      <c r="J205" s="57">
        <f>IF(LEN(MEMBERS[[#This Row],[Title]])&lt;100,0,1)</f>
        <v>0</v>
      </c>
      <c r="K205" s="57">
        <f>COUNTBLANK(MEMBERS[[#This Row],[StaffMemberCode]:[ServiceStartDate]])+COUNTBLANK(MEMBERS[[#This Row],[Apprenticeship]]:MEMBERS[[#This Row],[StaffMemberEnabled]])+COUNTBLANK(MEMBERS[[#This Row],[GenderCode]]:MEMBERS[[#This Row],[Casual]])</f>
        <v>0</v>
      </c>
      <c r="L205" s="57">
        <f>IF(SUBSTITUTE(TEXT(MEMBERS[[#This Row],[StaffMemberCode]],10)," ","")=TEXT(MEMBERS[[#This Row],[StaffMemberCode]],10),0,1)</f>
        <v>0</v>
      </c>
      <c r="M205" s="57">
        <f ca="1">SUM(MEMBERS[[#This Row],[Duplicate NameService Start]:[Space in Code]])</f>
        <v>0</v>
      </c>
      <c r="O205" s="15">
        <v>91073664</v>
      </c>
      <c r="P205" s="15" t="s">
        <v>3252</v>
      </c>
      <c r="Q205" s="15" t="s">
        <v>3592</v>
      </c>
      <c r="R205" s="133" t="str">
        <f>MEMBERS[[#This Row],[FirstName]]&amp;" "&amp;MEMBERS[[#This Row],[LastName]]</f>
        <v>Elizabeth Riding</v>
      </c>
      <c r="S205" s="21">
        <v>36900</v>
      </c>
      <c r="U205" s="21">
        <v>28231</v>
      </c>
      <c r="V205" t="b">
        <v>0</v>
      </c>
      <c r="W205" t="b">
        <v>0</v>
      </c>
      <c r="X205" t="b">
        <v>0</v>
      </c>
      <c r="Y205" t="s">
        <v>2082</v>
      </c>
      <c r="Z205" t="b">
        <v>1</v>
      </c>
      <c r="AB205" t="s">
        <v>1571</v>
      </c>
      <c r="AC205" t="b">
        <v>0</v>
      </c>
    </row>
    <row r="206" spans="1:29" x14ac:dyDescent="0.3">
      <c r="A206" s="57" t="str">
        <f>MEMBERS[[#This Row],[Title]]&amp;MEMBERS[[#This Row],[ServiceStartDate]]</f>
        <v>Ella Hampshire44205</v>
      </c>
      <c r="B206" s="57">
        <f>IF(COUNTIF(MEMBERS[NameServiceStart],MEMBERS[[#This Row],[NameServiceStart]])=1,0,1)</f>
        <v>0</v>
      </c>
      <c r="C206" s="57">
        <f>IF(COUNTIF(MEMBERS[StaffMemberCode],MEMBERS[[#This Row],[StaffMemberCode]])=1,0,1)</f>
        <v>0</v>
      </c>
      <c r="D206" s="57">
        <f>IF(ISBLANK(MEMBERS[[#This Row],[PayrollLocation]]),0,IF(COUNTIF(SCHOOLS[SchoolCode],MEMBERS[[#This Row],[PayrollLocation]])=1,0,1))</f>
        <v>0</v>
      </c>
      <c r="E206" s="57">
        <f>IF(MEMBERS[[#This Row],[AvailableToAllSchools]]=FALSE,IF(ISBLANK(MEMBERS[[#This Row],[SchoolCodes]]),1,0),IF(MEMBERS[[#This Row],[AvailableToAllSchools]]=TRUE,IF(ISBLANK(MEMBERS[[#This Row],[SchoolCodes]]),0,1)))</f>
        <v>0</v>
      </c>
      <c r="F206" s="57">
        <f>IF(ISBLANK(MEMBERS[[#This Row],[ServiceEndDate]]),0,IF(MEMBERS[[#This Row],[ServiceStartDate]]&lt;MEMBERS[[#This Row],[ServiceEndDate]],0,1))</f>
        <v>0</v>
      </c>
      <c r="G206" s="57" cm="1">
        <f t="array" aca="1" ref="G206" ca="1">IF(CELL("format",MEMBERS[[#This Row],[ServiceStartDate]])="D1",0,1)+IF(CELL("format",MEMBERS[[#This Row],[ServiceEndDate]])="D1",0,1)</f>
        <v>0</v>
      </c>
      <c r="H20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06" s="57">
        <f>IF(LEN(MEMBERS[[#This Row],[StaffMemberCode]])&lt;100,0,1)</f>
        <v>0</v>
      </c>
      <c r="J206" s="57">
        <f>IF(LEN(MEMBERS[[#This Row],[Title]])&lt;100,0,1)</f>
        <v>0</v>
      </c>
      <c r="K206" s="57">
        <f>COUNTBLANK(MEMBERS[[#This Row],[StaffMemberCode]:[ServiceStartDate]])+COUNTBLANK(MEMBERS[[#This Row],[Apprenticeship]]:MEMBERS[[#This Row],[StaffMemberEnabled]])+COUNTBLANK(MEMBERS[[#This Row],[GenderCode]]:MEMBERS[[#This Row],[Casual]])</f>
        <v>0</v>
      </c>
      <c r="L206" s="57">
        <f>IF(SUBSTITUTE(TEXT(MEMBERS[[#This Row],[StaffMemberCode]],10)," ","")=TEXT(MEMBERS[[#This Row],[StaffMemberCode]],10),0,1)</f>
        <v>0</v>
      </c>
      <c r="M206" s="57">
        <f ca="1">SUM(MEMBERS[[#This Row],[Duplicate NameService Start]:[Space in Code]])</f>
        <v>0</v>
      </c>
      <c r="O206" s="15">
        <v>91073783</v>
      </c>
      <c r="P206" s="15" t="s">
        <v>3253</v>
      </c>
      <c r="Q206" s="15" t="s">
        <v>3593</v>
      </c>
      <c r="R206" s="133" t="str">
        <f>MEMBERS[[#This Row],[FirstName]]&amp;" "&amp;MEMBERS[[#This Row],[LastName]]</f>
        <v>Ella Hampshire</v>
      </c>
      <c r="S206" s="21">
        <v>44205</v>
      </c>
      <c r="U206" s="21">
        <v>36177</v>
      </c>
      <c r="V206" t="b">
        <v>0</v>
      </c>
      <c r="W206" t="b">
        <v>0</v>
      </c>
      <c r="X206" t="b">
        <v>0</v>
      </c>
      <c r="Y206" t="s">
        <v>2082</v>
      </c>
      <c r="Z206" t="b">
        <v>1</v>
      </c>
      <c r="AB206" t="s">
        <v>1571</v>
      </c>
      <c r="AC206" t="b">
        <v>0</v>
      </c>
    </row>
    <row r="207" spans="1:29" x14ac:dyDescent="0.3">
      <c r="A207" s="57" t="str">
        <f>MEMBERS[[#This Row],[Title]]&amp;MEMBERS[[#This Row],[ServiceStartDate]]</f>
        <v>Ella Harrison45679</v>
      </c>
      <c r="B207" s="57">
        <f>IF(COUNTIF(MEMBERS[NameServiceStart],MEMBERS[[#This Row],[NameServiceStart]])=1,0,1)</f>
        <v>0</v>
      </c>
      <c r="C207" s="57">
        <f>IF(COUNTIF(MEMBERS[StaffMemberCode],MEMBERS[[#This Row],[StaffMemberCode]])=1,0,1)</f>
        <v>0</v>
      </c>
      <c r="D207" s="57">
        <f>IF(ISBLANK(MEMBERS[[#This Row],[PayrollLocation]]),0,IF(COUNTIF(SCHOOLS[SchoolCode],MEMBERS[[#This Row],[PayrollLocation]])=1,0,1))</f>
        <v>0</v>
      </c>
      <c r="E207" s="57">
        <f>IF(MEMBERS[[#This Row],[AvailableToAllSchools]]=FALSE,IF(ISBLANK(MEMBERS[[#This Row],[SchoolCodes]]),1,0),IF(MEMBERS[[#This Row],[AvailableToAllSchools]]=TRUE,IF(ISBLANK(MEMBERS[[#This Row],[SchoolCodes]]),0,1)))</f>
        <v>0</v>
      </c>
      <c r="F207" s="57">
        <f>IF(ISBLANK(MEMBERS[[#This Row],[ServiceEndDate]]),0,IF(MEMBERS[[#This Row],[ServiceStartDate]]&lt;MEMBERS[[#This Row],[ServiceEndDate]],0,1))</f>
        <v>0</v>
      </c>
      <c r="G207" s="57" cm="1">
        <f t="array" aca="1" ref="G207" ca="1">IF(CELL("format",MEMBERS[[#This Row],[ServiceStartDate]])="D1",0,1)+IF(CELL("format",MEMBERS[[#This Row],[ServiceEndDate]])="D1",0,1)</f>
        <v>0</v>
      </c>
      <c r="H20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07" s="57">
        <f>IF(LEN(MEMBERS[[#This Row],[StaffMemberCode]])&lt;100,0,1)</f>
        <v>0</v>
      </c>
      <c r="J207" s="57">
        <f>IF(LEN(MEMBERS[[#This Row],[Title]])&lt;100,0,1)</f>
        <v>0</v>
      </c>
      <c r="K207" s="57">
        <f>COUNTBLANK(MEMBERS[[#This Row],[StaffMemberCode]:[ServiceStartDate]])+COUNTBLANK(MEMBERS[[#This Row],[Apprenticeship]]:MEMBERS[[#This Row],[StaffMemberEnabled]])+COUNTBLANK(MEMBERS[[#This Row],[GenderCode]]:MEMBERS[[#This Row],[Casual]])</f>
        <v>0</v>
      </c>
      <c r="L207" s="57">
        <f>IF(SUBSTITUTE(TEXT(MEMBERS[[#This Row],[StaffMemberCode]],10)," ","")=TEXT(MEMBERS[[#This Row],[StaffMemberCode]],10),0,1)</f>
        <v>0</v>
      </c>
      <c r="M207" s="57">
        <f ca="1">SUM(MEMBERS[[#This Row],[Duplicate NameService Start]:[Space in Code]])</f>
        <v>0</v>
      </c>
      <c r="O207" s="15">
        <v>91330547</v>
      </c>
      <c r="P207" s="15" t="s">
        <v>3253</v>
      </c>
      <c r="Q207" s="15" t="s">
        <v>3277</v>
      </c>
      <c r="R207" s="133" t="str">
        <f>MEMBERS[[#This Row],[FirstName]]&amp;" "&amp;MEMBERS[[#This Row],[LastName]]</f>
        <v>Ella Harrison</v>
      </c>
      <c r="S207" s="21">
        <v>45679</v>
      </c>
      <c r="U207" s="21">
        <v>39543</v>
      </c>
      <c r="V207" t="b">
        <v>0</v>
      </c>
      <c r="W207" t="b">
        <v>0</v>
      </c>
      <c r="X207" t="b">
        <v>0</v>
      </c>
      <c r="Y207" t="s">
        <v>2094</v>
      </c>
      <c r="Z207" t="b">
        <v>1</v>
      </c>
      <c r="AB207" t="s">
        <v>1571</v>
      </c>
      <c r="AC207" t="b">
        <v>1</v>
      </c>
    </row>
    <row r="208" spans="1:29" x14ac:dyDescent="0.3">
      <c r="A208" s="57" t="str">
        <f>MEMBERS[[#This Row],[Title]]&amp;MEMBERS[[#This Row],[ServiceStartDate]]</f>
        <v>Ella Holden45581</v>
      </c>
      <c r="B208" s="57">
        <f>IF(COUNTIF(MEMBERS[NameServiceStart],MEMBERS[[#This Row],[NameServiceStart]])=1,0,1)</f>
        <v>0</v>
      </c>
      <c r="C208" s="57">
        <f>IF(COUNTIF(MEMBERS[StaffMemberCode],MEMBERS[[#This Row],[StaffMemberCode]])=1,0,1)</f>
        <v>0</v>
      </c>
      <c r="D208" s="57">
        <f>IF(ISBLANK(MEMBERS[[#This Row],[PayrollLocation]]),0,IF(COUNTIF(SCHOOLS[SchoolCode],MEMBERS[[#This Row],[PayrollLocation]])=1,0,1))</f>
        <v>0</v>
      </c>
      <c r="E208" s="57">
        <f>IF(MEMBERS[[#This Row],[AvailableToAllSchools]]=FALSE,IF(ISBLANK(MEMBERS[[#This Row],[SchoolCodes]]),1,0),IF(MEMBERS[[#This Row],[AvailableToAllSchools]]=TRUE,IF(ISBLANK(MEMBERS[[#This Row],[SchoolCodes]]),0,1)))</f>
        <v>0</v>
      </c>
      <c r="F208" s="57">
        <f>IF(ISBLANK(MEMBERS[[#This Row],[ServiceEndDate]]),0,IF(MEMBERS[[#This Row],[ServiceStartDate]]&lt;MEMBERS[[#This Row],[ServiceEndDate]],0,1))</f>
        <v>0</v>
      </c>
      <c r="G208" s="57" cm="1">
        <f t="array" aca="1" ref="G208" ca="1">IF(CELL("format",MEMBERS[[#This Row],[ServiceStartDate]])="D1",0,1)+IF(CELL("format",MEMBERS[[#This Row],[ServiceEndDate]])="D1",0,1)</f>
        <v>0</v>
      </c>
      <c r="H20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08" s="57">
        <f>IF(LEN(MEMBERS[[#This Row],[StaffMemberCode]])&lt;100,0,1)</f>
        <v>0</v>
      </c>
      <c r="J208" s="57">
        <f>IF(LEN(MEMBERS[[#This Row],[Title]])&lt;100,0,1)</f>
        <v>0</v>
      </c>
      <c r="K208" s="57">
        <f>COUNTBLANK(MEMBERS[[#This Row],[StaffMemberCode]:[ServiceStartDate]])+COUNTBLANK(MEMBERS[[#This Row],[Apprenticeship]]:MEMBERS[[#This Row],[StaffMemberEnabled]])+COUNTBLANK(MEMBERS[[#This Row],[GenderCode]]:MEMBERS[[#This Row],[Casual]])</f>
        <v>0</v>
      </c>
      <c r="L208" s="57">
        <f>IF(SUBSTITUTE(TEXT(MEMBERS[[#This Row],[StaffMemberCode]],10)," ","")=TEXT(MEMBERS[[#This Row],[StaffMemberCode]],10),0,1)</f>
        <v>0</v>
      </c>
      <c r="M208" s="57">
        <f ca="1">SUM(MEMBERS[[#This Row],[Duplicate NameService Start]:[Space in Code]])</f>
        <v>0</v>
      </c>
      <c r="O208" s="15">
        <v>91075784</v>
      </c>
      <c r="P208" s="15" t="s">
        <v>3253</v>
      </c>
      <c r="Q208" s="15" t="s">
        <v>3594</v>
      </c>
      <c r="R208" s="133" t="str">
        <f>MEMBERS[[#This Row],[FirstName]]&amp;" "&amp;MEMBERS[[#This Row],[LastName]]</f>
        <v>Ella Holden</v>
      </c>
      <c r="S208" s="21">
        <v>45581</v>
      </c>
      <c r="U208" s="21">
        <v>39113</v>
      </c>
      <c r="V208" t="b">
        <v>0</v>
      </c>
      <c r="W208" t="b">
        <v>0</v>
      </c>
      <c r="X208" t="b">
        <v>0</v>
      </c>
      <c r="Y208" t="s">
        <v>2200</v>
      </c>
      <c r="Z208" t="b">
        <v>1</v>
      </c>
      <c r="AB208" t="s">
        <v>1571</v>
      </c>
      <c r="AC208" t="b">
        <v>1</v>
      </c>
    </row>
    <row r="209" spans="1:29" x14ac:dyDescent="0.3">
      <c r="A209" s="57" t="str">
        <f>MEMBERS[[#This Row],[Title]]&amp;MEMBERS[[#This Row],[ServiceStartDate]]</f>
        <v>Ella Robinson42013</v>
      </c>
      <c r="B209" s="57">
        <f>IF(COUNTIF(MEMBERS[NameServiceStart],MEMBERS[[#This Row],[NameServiceStart]])=1,0,1)</f>
        <v>0</v>
      </c>
      <c r="C209" s="57">
        <f>IF(COUNTIF(MEMBERS[StaffMemberCode],MEMBERS[[#This Row],[StaffMemberCode]])=1,0,1)</f>
        <v>0</v>
      </c>
      <c r="D209" s="57">
        <f>IF(ISBLANK(MEMBERS[[#This Row],[PayrollLocation]]),0,IF(COUNTIF(SCHOOLS[SchoolCode],MEMBERS[[#This Row],[PayrollLocation]])=1,0,1))</f>
        <v>0</v>
      </c>
      <c r="E209" s="57">
        <f>IF(MEMBERS[[#This Row],[AvailableToAllSchools]]=FALSE,IF(ISBLANK(MEMBERS[[#This Row],[SchoolCodes]]),1,0),IF(MEMBERS[[#This Row],[AvailableToAllSchools]]=TRUE,IF(ISBLANK(MEMBERS[[#This Row],[SchoolCodes]]),0,1)))</f>
        <v>0</v>
      </c>
      <c r="F209" s="57">
        <f>IF(ISBLANK(MEMBERS[[#This Row],[ServiceEndDate]]),0,IF(MEMBERS[[#This Row],[ServiceStartDate]]&lt;MEMBERS[[#This Row],[ServiceEndDate]],0,1))</f>
        <v>0</v>
      </c>
      <c r="G209" s="57" cm="1">
        <f t="array" aca="1" ref="G209" ca="1">IF(CELL("format",MEMBERS[[#This Row],[ServiceStartDate]])="D1",0,1)+IF(CELL("format",MEMBERS[[#This Row],[ServiceEndDate]])="D1",0,1)</f>
        <v>0</v>
      </c>
      <c r="H20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09" s="57">
        <f>IF(LEN(MEMBERS[[#This Row],[StaffMemberCode]])&lt;100,0,1)</f>
        <v>0</v>
      </c>
      <c r="J209" s="57">
        <f>IF(LEN(MEMBERS[[#This Row],[Title]])&lt;100,0,1)</f>
        <v>0</v>
      </c>
      <c r="K209" s="57">
        <f>COUNTBLANK(MEMBERS[[#This Row],[StaffMemberCode]:[ServiceStartDate]])+COUNTBLANK(MEMBERS[[#This Row],[Apprenticeship]]:MEMBERS[[#This Row],[StaffMemberEnabled]])+COUNTBLANK(MEMBERS[[#This Row],[GenderCode]]:MEMBERS[[#This Row],[Casual]])</f>
        <v>0</v>
      </c>
      <c r="L209" s="57">
        <f>IF(SUBSTITUTE(TEXT(MEMBERS[[#This Row],[StaffMemberCode]],10)," ","")=TEXT(MEMBERS[[#This Row],[StaffMemberCode]],10),0,1)</f>
        <v>0</v>
      </c>
      <c r="M209" s="57">
        <f ca="1">SUM(MEMBERS[[#This Row],[Duplicate NameService Start]:[Space in Code]])</f>
        <v>0</v>
      </c>
      <c r="O209" s="15">
        <v>91073444</v>
      </c>
      <c r="P209" s="15" t="s">
        <v>3253</v>
      </c>
      <c r="Q209" s="15" t="s">
        <v>3519</v>
      </c>
      <c r="R209" s="133" t="str">
        <f>MEMBERS[[#This Row],[FirstName]]&amp;" "&amp;MEMBERS[[#This Row],[LastName]]</f>
        <v>Ella Robinson</v>
      </c>
      <c r="S209" s="21">
        <v>42013</v>
      </c>
      <c r="U209" s="21">
        <v>34149</v>
      </c>
      <c r="V209" t="b">
        <v>0</v>
      </c>
      <c r="W209" t="b">
        <v>0</v>
      </c>
      <c r="X209" t="b">
        <v>0</v>
      </c>
      <c r="Y209" t="s">
        <v>2094</v>
      </c>
      <c r="Z209" t="b">
        <v>1</v>
      </c>
      <c r="AB209" t="s">
        <v>1571</v>
      </c>
      <c r="AC209" t="b">
        <v>0</v>
      </c>
    </row>
    <row r="210" spans="1:29" x14ac:dyDescent="0.3">
      <c r="A210" s="57" t="str">
        <f>MEMBERS[[#This Row],[Title]]&amp;MEMBERS[[#This Row],[ServiceStartDate]]</f>
        <v>Ellen Craven44572</v>
      </c>
      <c r="B210" s="57">
        <f>IF(COUNTIF(MEMBERS[NameServiceStart],MEMBERS[[#This Row],[NameServiceStart]])=1,0,1)</f>
        <v>0</v>
      </c>
      <c r="C210" s="57">
        <f>IF(COUNTIF(MEMBERS[StaffMemberCode],MEMBERS[[#This Row],[StaffMemberCode]])=1,0,1)</f>
        <v>0</v>
      </c>
      <c r="D210" s="57">
        <f>IF(ISBLANK(MEMBERS[[#This Row],[PayrollLocation]]),0,IF(COUNTIF(SCHOOLS[SchoolCode],MEMBERS[[#This Row],[PayrollLocation]])=1,0,1))</f>
        <v>0</v>
      </c>
      <c r="E210" s="57">
        <f>IF(MEMBERS[[#This Row],[AvailableToAllSchools]]=FALSE,IF(ISBLANK(MEMBERS[[#This Row],[SchoolCodes]]),1,0),IF(MEMBERS[[#This Row],[AvailableToAllSchools]]=TRUE,IF(ISBLANK(MEMBERS[[#This Row],[SchoolCodes]]),0,1)))</f>
        <v>0</v>
      </c>
      <c r="F210" s="57">
        <f>IF(ISBLANK(MEMBERS[[#This Row],[ServiceEndDate]]),0,IF(MEMBERS[[#This Row],[ServiceStartDate]]&lt;MEMBERS[[#This Row],[ServiceEndDate]],0,1))</f>
        <v>0</v>
      </c>
      <c r="G210" s="57" cm="1">
        <f t="array" aca="1" ref="G210" ca="1">IF(CELL("format",MEMBERS[[#This Row],[ServiceStartDate]])="D1",0,1)+IF(CELL("format",MEMBERS[[#This Row],[ServiceEndDate]])="D1",0,1)</f>
        <v>0</v>
      </c>
      <c r="H21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10" s="57">
        <f>IF(LEN(MEMBERS[[#This Row],[StaffMemberCode]])&lt;100,0,1)</f>
        <v>0</v>
      </c>
      <c r="J210" s="57">
        <f>IF(LEN(MEMBERS[[#This Row],[Title]])&lt;100,0,1)</f>
        <v>0</v>
      </c>
      <c r="K210" s="57">
        <f>COUNTBLANK(MEMBERS[[#This Row],[StaffMemberCode]:[ServiceStartDate]])+COUNTBLANK(MEMBERS[[#This Row],[Apprenticeship]]:MEMBERS[[#This Row],[StaffMemberEnabled]])+COUNTBLANK(MEMBERS[[#This Row],[GenderCode]]:MEMBERS[[#This Row],[Casual]])</f>
        <v>0</v>
      </c>
      <c r="L210" s="57">
        <f>IF(SUBSTITUTE(TEXT(MEMBERS[[#This Row],[StaffMemberCode]],10)," ","")=TEXT(MEMBERS[[#This Row],[StaffMemberCode]],10),0,1)</f>
        <v>0</v>
      </c>
      <c r="M210" s="57">
        <f ca="1">SUM(MEMBERS[[#This Row],[Duplicate NameService Start]:[Space in Code]])</f>
        <v>0</v>
      </c>
      <c r="O210" s="15">
        <v>91073947</v>
      </c>
      <c r="P210" s="15" t="s">
        <v>3254</v>
      </c>
      <c r="Q210" s="15" t="s">
        <v>3595</v>
      </c>
      <c r="R210" s="133" t="str">
        <f>MEMBERS[[#This Row],[FirstName]]&amp;" "&amp;MEMBERS[[#This Row],[LastName]]</f>
        <v>Ellen Craven</v>
      </c>
      <c r="S210" s="21">
        <v>44572</v>
      </c>
      <c r="U210" s="21">
        <v>28653</v>
      </c>
      <c r="V210" t="b">
        <v>0</v>
      </c>
      <c r="W210" t="b">
        <v>0</v>
      </c>
      <c r="X210" t="b">
        <v>0</v>
      </c>
      <c r="Y210" t="s">
        <v>2299</v>
      </c>
      <c r="Z210" t="b">
        <v>1</v>
      </c>
      <c r="AB210" t="s">
        <v>1571</v>
      </c>
      <c r="AC210" t="b">
        <v>1</v>
      </c>
    </row>
    <row r="211" spans="1:29" x14ac:dyDescent="0.3">
      <c r="A211" s="57" t="str">
        <f>MEMBERS[[#This Row],[Title]]&amp;MEMBERS[[#This Row],[ServiceStartDate]]</f>
        <v>Ellie Claughton44935</v>
      </c>
      <c r="B211" s="57">
        <f>IF(COUNTIF(MEMBERS[NameServiceStart],MEMBERS[[#This Row],[NameServiceStart]])=1,0,1)</f>
        <v>0</v>
      </c>
      <c r="C211" s="57">
        <f>IF(COUNTIF(MEMBERS[StaffMemberCode],MEMBERS[[#This Row],[StaffMemberCode]])=1,0,1)</f>
        <v>0</v>
      </c>
      <c r="D211" s="57">
        <f>IF(ISBLANK(MEMBERS[[#This Row],[PayrollLocation]]),0,IF(COUNTIF(SCHOOLS[SchoolCode],MEMBERS[[#This Row],[PayrollLocation]])=1,0,1))</f>
        <v>0</v>
      </c>
      <c r="E211" s="57">
        <f>IF(MEMBERS[[#This Row],[AvailableToAllSchools]]=FALSE,IF(ISBLANK(MEMBERS[[#This Row],[SchoolCodes]]),1,0),IF(MEMBERS[[#This Row],[AvailableToAllSchools]]=TRUE,IF(ISBLANK(MEMBERS[[#This Row],[SchoolCodes]]),0,1)))</f>
        <v>0</v>
      </c>
      <c r="F211" s="57">
        <f>IF(ISBLANK(MEMBERS[[#This Row],[ServiceEndDate]]),0,IF(MEMBERS[[#This Row],[ServiceStartDate]]&lt;MEMBERS[[#This Row],[ServiceEndDate]],0,1))</f>
        <v>0</v>
      </c>
      <c r="G211" s="57" cm="1">
        <f t="array" aca="1" ref="G211" ca="1">IF(CELL("format",MEMBERS[[#This Row],[ServiceStartDate]])="D1",0,1)+IF(CELL("format",MEMBERS[[#This Row],[ServiceEndDate]])="D1",0,1)</f>
        <v>0</v>
      </c>
      <c r="H21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11" s="57">
        <f>IF(LEN(MEMBERS[[#This Row],[StaffMemberCode]])&lt;100,0,1)</f>
        <v>0</v>
      </c>
      <c r="J211" s="57">
        <f>IF(LEN(MEMBERS[[#This Row],[Title]])&lt;100,0,1)</f>
        <v>0</v>
      </c>
      <c r="K211" s="57">
        <f>COUNTBLANK(MEMBERS[[#This Row],[StaffMemberCode]:[ServiceStartDate]])+COUNTBLANK(MEMBERS[[#This Row],[Apprenticeship]]:MEMBERS[[#This Row],[StaffMemberEnabled]])+COUNTBLANK(MEMBERS[[#This Row],[GenderCode]]:MEMBERS[[#This Row],[Casual]])</f>
        <v>0</v>
      </c>
      <c r="L211" s="57">
        <f>IF(SUBSTITUTE(TEXT(MEMBERS[[#This Row],[StaffMemberCode]],10)," ","")=TEXT(MEMBERS[[#This Row],[StaffMemberCode]],10),0,1)</f>
        <v>0</v>
      </c>
      <c r="M211" s="57">
        <f ca="1">SUM(MEMBERS[[#This Row],[Duplicate NameService Start]:[Space in Code]])</f>
        <v>0</v>
      </c>
      <c r="O211" s="15">
        <v>91073614</v>
      </c>
      <c r="P211" s="15" t="s">
        <v>3255</v>
      </c>
      <c r="Q211" s="15" t="s">
        <v>3596</v>
      </c>
      <c r="R211" s="133" t="str">
        <f>MEMBERS[[#This Row],[FirstName]]&amp;" "&amp;MEMBERS[[#This Row],[LastName]]</f>
        <v>Ellie Claughton</v>
      </c>
      <c r="S211" s="21">
        <v>44935</v>
      </c>
      <c r="U211" s="21">
        <v>35387</v>
      </c>
      <c r="V211" t="b">
        <v>0</v>
      </c>
      <c r="W211" t="b">
        <v>0</v>
      </c>
      <c r="X211" t="b">
        <v>0</v>
      </c>
      <c r="Y211" t="s">
        <v>2094</v>
      </c>
      <c r="Z211" t="b">
        <v>1</v>
      </c>
      <c r="AB211" t="s">
        <v>1571</v>
      </c>
      <c r="AC211" t="b">
        <v>0</v>
      </c>
    </row>
    <row r="212" spans="1:29" x14ac:dyDescent="0.3">
      <c r="A212" s="57" t="str">
        <f>MEMBERS[[#This Row],[Title]]&amp;MEMBERS[[#This Row],[ServiceStartDate]]</f>
        <v>Ellie Woodcock45505</v>
      </c>
      <c r="B212" s="57">
        <f>IF(COUNTIF(MEMBERS[NameServiceStart],MEMBERS[[#This Row],[NameServiceStart]])=1,0,1)</f>
        <v>0</v>
      </c>
      <c r="C212" s="57">
        <f>IF(COUNTIF(MEMBERS[StaffMemberCode],MEMBERS[[#This Row],[StaffMemberCode]])=1,0,1)</f>
        <v>0</v>
      </c>
      <c r="D212" s="57">
        <f>IF(ISBLANK(MEMBERS[[#This Row],[PayrollLocation]]),0,IF(COUNTIF(SCHOOLS[SchoolCode],MEMBERS[[#This Row],[PayrollLocation]])=1,0,1))</f>
        <v>0</v>
      </c>
      <c r="E212" s="57">
        <f>IF(MEMBERS[[#This Row],[AvailableToAllSchools]]=FALSE,IF(ISBLANK(MEMBERS[[#This Row],[SchoolCodes]]),1,0),IF(MEMBERS[[#This Row],[AvailableToAllSchools]]=TRUE,IF(ISBLANK(MEMBERS[[#This Row],[SchoolCodes]]),0,1)))</f>
        <v>0</v>
      </c>
      <c r="F212" s="57">
        <f>IF(ISBLANK(MEMBERS[[#This Row],[ServiceEndDate]]),0,IF(MEMBERS[[#This Row],[ServiceStartDate]]&lt;MEMBERS[[#This Row],[ServiceEndDate]],0,1))</f>
        <v>0</v>
      </c>
      <c r="G212" s="57" cm="1">
        <f t="array" aca="1" ref="G212" ca="1">IF(CELL("format",MEMBERS[[#This Row],[ServiceStartDate]])="D1",0,1)+IF(CELL("format",MEMBERS[[#This Row],[ServiceEndDate]])="D1",0,1)</f>
        <v>0</v>
      </c>
      <c r="H21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12" s="57">
        <f>IF(LEN(MEMBERS[[#This Row],[StaffMemberCode]])&lt;100,0,1)</f>
        <v>0</v>
      </c>
      <c r="J212" s="57">
        <f>IF(LEN(MEMBERS[[#This Row],[Title]])&lt;100,0,1)</f>
        <v>0</v>
      </c>
      <c r="K212" s="57">
        <f>COUNTBLANK(MEMBERS[[#This Row],[StaffMemberCode]:[ServiceStartDate]])+COUNTBLANK(MEMBERS[[#This Row],[Apprenticeship]]:MEMBERS[[#This Row],[StaffMemberEnabled]])+COUNTBLANK(MEMBERS[[#This Row],[GenderCode]]:MEMBERS[[#This Row],[Casual]])</f>
        <v>0</v>
      </c>
      <c r="L212" s="57">
        <f>IF(SUBSTITUTE(TEXT(MEMBERS[[#This Row],[StaffMemberCode]],10)," ","")=TEXT(MEMBERS[[#This Row],[StaffMemberCode]],10),0,1)</f>
        <v>0</v>
      </c>
      <c r="M212" s="57">
        <f ca="1">SUM(MEMBERS[[#This Row],[Duplicate NameService Start]:[Space in Code]])</f>
        <v>0</v>
      </c>
      <c r="O212" s="15">
        <v>10014638</v>
      </c>
      <c r="P212" s="15" t="s">
        <v>3255</v>
      </c>
      <c r="Q212" s="15" t="s">
        <v>4051</v>
      </c>
      <c r="R212" s="133" t="str">
        <f>MEMBERS[[#This Row],[FirstName]]&amp;" "&amp;MEMBERS[[#This Row],[LastName]]</f>
        <v>Ellie Woodcock</v>
      </c>
      <c r="S212" s="21">
        <v>45505</v>
      </c>
      <c r="U212" s="21">
        <v>39450</v>
      </c>
      <c r="V212" s="138" t="b">
        <v>0</v>
      </c>
      <c r="W212" t="b">
        <v>0</v>
      </c>
      <c r="X212" t="b">
        <v>0</v>
      </c>
      <c r="Y212" t="s">
        <v>2126</v>
      </c>
      <c r="Z212" t="b">
        <v>1</v>
      </c>
      <c r="AB212" t="s">
        <v>1571</v>
      </c>
      <c r="AC212" t="b">
        <v>1</v>
      </c>
    </row>
    <row r="213" spans="1:29" x14ac:dyDescent="0.3">
      <c r="A213" s="57" t="str">
        <f>MEMBERS[[#This Row],[Title]]&amp;MEMBERS[[#This Row],[ServiceStartDate]]</f>
        <v>Emily Doherty45901</v>
      </c>
      <c r="B213" s="57">
        <f>IF(COUNTIF(MEMBERS[NameServiceStart],MEMBERS[[#This Row],[NameServiceStart]])=1,0,1)</f>
        <v>0</v>
      </c>
      <c r="C213" s="57">
        <f>IF(COUNTIF(MEMBERS[StaffMemberCode],MEMBERS[[#This Row],[StaffMemberCode]])=1,0,1)</f>
        <v>0</v>
      </c>
      <c r="D213" s="57">
        <f>IF(ISBLANK(MEMBERS[[#This Row],[PayrollLocation]]),0,IF(COUNTIF(SCHOOLS[SchoolCode],MEMBERS[[#This Row],[PayrollLocation]])=1,0,1))</f>
        <v>0</v>
      </c>
      <c r="E213" s="57">
        <f>IF(MEMBERS[[#This Row],[AvailableToAllSchools]]=FALSE,IF(ISBLANK(MEMBERS[[#This Row],[SchoolCodes]]),1,0),IF(MEMBERS[[#This Row],[AvailableToAllSchools]]=TRUE,IF(ISBLANK(MEMBERS[[#This Row],[SchoolCodes]]),0,1)))</f>
        <v>0</v>
      </c>
      <c r="F213" s="57">
        <f>IF(ISBLANK(MEMBERS[[#This Row],[ServiceEndDate]]),0,IF(MEMBERS[[#This Row],[ServiceStartDate]]&lt;MEMBERS[[#This Row],[ServiceEndDate]],0,1))</f>
        <v>0</v>
      </c>
      <c r="G213" s="57" cm="1">
        <f t="array" aca="1" ref="G213" ca="1">IF(CELL("format",MEMBERS[[#This Row],[ServiceStartDate]])="D1",0,1)+IF(CELL("format",MEMBERS[[#This Row],[ServiceEndDate]])="D1",0,1)</f>
        <v>0</v>
      </c>
      <c r="H21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13" s="57">
        <f>IF(LEN(MEMBERS[[#This Row],[StaffMemberCode]])&lt;100,0,1)</f>
        <v>0</v>
      </c>
      <c r="J213" s="57">
        <f>IF(LEN(MEMBERS[[#This Row],[Title]])&lt;100,0,1)</f>
        <v>0</v>
      </c>
      <c r="K213" s="57">
        <f>COUNTBLANK(MEMBERS[[#This Row],[StaffMemberCode]:[ServiceStartDate]])+COUNTBLANK(MEMBERS[[#This Row],[Apprenticeship]]:MEMBERS[[#This Row],[StaffMemberEnabled]])+COUNTBLANK(MEMBERS[[#This Row],[GenderCode]]:MEMBERS[[#This Row],[Casual]])</f>
        <v>0</v>
      </c>
      <c r="L213" s="57">
        <f>IF(SUBSTITUTE(TEXT(MEMBERS[[#This Row],[StaffMemberCode]],10)," ","")=TEXT(MEMBERS[[#This Row],[StaffMemberCode]],10),0,1)</f>
        <v>0</v>
      </c>
      <c r="M213" s="57">
        <f ca="1">SUM(MEMBERS[[#This Row],[Duplicate NameService Start]:[Space in Code]])</f>
        <v>0</v>
      </c>
      <c r="O213" s="15">
        <v>10016225</v>
      </c>
      <c r="P213" s="15" t="s">
        <v>3256</v>
      </c>
      <c r="Q213" s="15" t="s">
        <v>4052</v>
      </c>
      <c r="R213" s="133" t="str">
        <f>MEMBERS[[#This Row],[FirstName]]&amp;" "&amp;MEMBERS[[#This Row],[LastName]]</f>
        <v>Emily Doherty</v>
      </c>
      <c r="S213" s="21">
        <v>45901</v>
      </c>
      <c r="U213" s="21">
        <v>36897</v>
      </c>
      <c r="V213" s="138" t="b">
        <v>0</v>
      </c>
      <c r="W213" t="b">
        <v>0</v>
      </c>
      <c r="X213" t="b">
        <v>0</v>
      </c>
      <c r="Y213" t="s">
        <v>2126</v>
      </c>
      <c r="Z213" t="b">
        <v>1</v>
      </c>
      <c r="AB213" t="s">
        <v>1571</v>
      </c>
      <c r="AC213" t="b">
        <v>0</v>
      </c>
    </row>
    <row r="214" spans="1:29" x14ac:dyDescent="0.3">
      <c r="A214" s="57" t="str">
        <f>MEMBERS[[#This Row],[Title]]&amp;MEMBERS[[#This Row],[ServiceStartDate]]</f>
        <v>Emily Farmer44440</v>
      </c>
      <c r="B214" s="57">
        <f>IF(COUNTIF(MEMBERS[NameServiceStart],MEMBERS[[#This Row],[NameServiceStart]])=1,0,1)</f>
        <v>0</v>
      </c>
      <c r="C214" s="57">
        <f>IF(COUNTIF(MEMBERS[StaffMemberCode],MEMBERS[[#This Row],[StaffMemberCode]])=1,0,1)</f>
        <v>0</v>
      </c>
      <c r="D214" s="57">
        <f>IF(ISBLANK(MEMBERS[[#This Row],[PayrollLocation]]),0,IF(COUNTIF(SCHOOLS[SchoolCode],MEMBERS[[#This Row],[PayrollLocation]])=1,0,1))</f>
        <v>0</v>
      </c>
      <c r="E214" s="57">
        <f>IF(MEMBERS[[#This Row],[AvailableToAllSchools]]=FALSE,IF(ISBLANK(MEMBERS[[#This Row],[SchoolCodes]]),1,0),IF(MEMBERS[[#This Row],[AvailableToAllSchools]]=TRUE,IF(ISBLANK(MEMBERS[[#This Row],[SchoolCodes]]),0,1)))</f>
        <v>0</v>
      </c>
      <c r="F214" s="57">
        <f>IF(ISBLANK(MEMBERS[[#This Row],[ServiceEndDate]]),0,IF(MEMBERS[[#This Row],[ServiceStartDate]]&lt;MEMBERS[[#This Row],[ServiceEndDate]],0,1))</f>
        <v>0</v>
      </c>
      <c r="G214" s="57" cm="1">
        <f t="array" aca="1" ref="G214" ca="1">IF(CELL("format",MEMBERS[[#This Row],[ServiceStartDate]])="D1",0,1)+IF(CELL("format",MEMBERS[[#This Row],[ServiceEndDate]])="D1",0,1)</f>
        <v>0</v>
      </c>
      <c r="H21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14" s="57">
        <f>IF(LEN(MEMBERS[[#This Row],[StaffMemberCode]])&lt;100,0,1)</f>
        <v>0</v>
      </c>
      <c r="J214" s="57">
        <f>IF(LEN(MEMBERS[[#This Row],[Title]])&lt;100,0,1)</f>
        <v>0</v>
      </c>
      <c r="K214" s="57">
        <f>COUNTBLANK(MEMBERS[[#This Row],[StaffMemberCode]:[ServiceStartDate]])+COUNTBLANK(MEMBERS[[#This Row],[Apprenticeship]]:MEMBERS[[#This Row],[StaffMemberEnabled]])+COUNTBLANK(MEMBERS[[#This Row],[GenderCode]]:MEMBERS[[#This Row],[Casual]])</f>
        <v>0</v>
      </c>
      <c r="L214" s="57">
        <f>IF(SUBSTITUTE(TEXT(MEMBERS[[#This Row],[StaffMemberCode]],10)," ","")=TEXT(MEMBERS[[#This Row],[StaffMemberCode]],10),0,1)</f>
        <v>0</v>
      </c>
      <c r="M214" s="57">
        <f ca="1">SUM(MEMBERS[[#This Row],[Duplicate NameService Start]:[Space in Code]])</f>
        <v>0</v>
      </c>
      <c r="O214" s="15">
        <v>10009122</v>
      </c>
      <c r="P214" s="15" t="s">
        <v>3256</v>
      </c>
      <c r="Q214" s="15" t="s">
        <v>4053</v>
      </c>
      <c r="R214" s="133" t="str">
        <f>MEMBERS[[#This Row],[FirstName]]&amp;" "&amp;MEMBERS[[#This Row],[LastName]]</f>
        <v>Emily Farmer</v>
      </c>
      <c r="S214" s="21">
        <v>44440</v>
      </c>
      <c r="U214" s="21">
        <v>36657</v>
      </c>
      <c r="V214" s="138" t="b">
        <v>0</v>
      </c>
      <c r="W214" t="b">
        <v>0</v>
      </c>
      <c r="X214" t="b">
        <v>0</v>
      </c>
      <c r="Y214" t="s">
        <v>2126</v>
      </c>
      <c r="Z214" t="b">
        <v>1</v>
      </c>
      <c r="AB214" t="s">
        <v>1571</v>
      </c>
      <c r="AC214" t="b">
        <v>0</v>
      </c>
    </row>
    <row r="215" spans="1:29" x14ac:dyDescent="0.3">
      <c r="A215" s="57" t="str">
        <f>MEMBERS[[#This Row],[Title]]&amp;MEMBERS[[#This Row],[ServiceStartDate]]</f>
        <v>Emily Shephard43839</v>
      </c>
      <c r="B215" s="57">
        <f>IF(COUNTIF(MEMBERS[NameServiceStart],MEMBERS[[#This Row],[NameServiceStart]])=1,0,1)</f>
        <v>0</v>
      </c>
      <c r="C215" s="57">
        <f>IF(COUNTIF(MEMBERS[StaffMemberCode],MEMBERS[[#This Row],[StaffMemberCode]])=1,0,1)</f>
        <v>0</v>
      </c>
      <c r="D215" s="57">
        <f>IF(ISBLANK(MEMBERS[[#This Row],[PayrollLocation]]),0,IF(COUNTIF(SCHOOLS[SchoolCode],MEMBERS[[#This Row],[PayrollLocation]])=1,0,1))</f>
        <v>0</v>
      </c>
      <c r="E215" s="57">
        <f>IF(MEMBERS[[#This Row],[AvailableToAllSchools]]=FALSE,IF(ISBLANK(MEMBERS[[#This Row],[SchoolCodes]]),1,0),IF(MEMBERS[[#This Row],[AvailableToAllSchools]]=TRUE,IF(ISBLANK(MEMBERS[[#This Row],[SchoolCodes]]),0,1)))</f>
        <v>0</v>
      </c>
      <c r="F215" s="57">
        <f>IF(ISBLANK(MEMBERS[[#This Row],[ServiceEndDate]]),0,IF(MEMBERS[[#This Row],[ServiceStartDate]]&lt;MEMBERS[[#This Row],[ServiceEndDate]],0,1))</f>
        <v>0</v>
      </c>
      <c r="G215" s="57" cm="1">
        <f t="array" aca="1" ref="G215" ca="1">IF(CELL("format",MEMBERS[[#This Row],[ServiceStartDate]])="D1",0,1)+IF(CELL("format",MEMBERS[[#This Row],[ServiceEndDate]])="D1",0,1)</f>
        <v>0</v>
      </c>
      <c r="H21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15" s="57">
        <f>IF(LEN(MEMBERS[[#This Row],[StaffMemberCode]])&lt;100,0,1)</f>
        <v>0</v>
      </c>
      <c r="J215" s="57">
        <f>IF(LEN(MEMBERS[[#This Row],[Title]])&lt;100,0,1)</f>
        <v>0</v>
      </c>
      <c r="K215" s="57">
        <f>COUNTBLANK(MEMBERS[[#This Row],[StaffMemberCode]:[ServiceStartDate]])+COUNTBLANK(MEMBERS[[#This Row],[Apprenticeship]]:MEMBERS[[#This Row],[StaffMemberEnabled]])+COUNTBLANK(MEMBERS[[#This Row],[GenderCode]]:MEMBERS[[#This Row],[Casual]])</f>
        <v>0</v>
      </c>
      <c r="L215" s="57">
        <f>IF(SUBSTITUTE(TEXT(MEMBERS[[#This Row],[StaffMemberCode]],10)," ","")=TEXT(MEMBERS[[#This Row],[StaffMemberCode]],10),0,1)</f>
        <v>0</v>
      </c>
      <c r="M215" s="57">
        <f ca="1">SUM(MEMBERS[[#This Row],[Duplicate NameService Start]:[Space in Code]])</f>
        <v>0</v>
      </c>
      <c r="O215" s="15">
        <v>91073936</v>
      </c>
      <c r="P215" s="15" t="s">
        <v>3256</v>
      </c>
      <c r="Q215" s="15" t="s">
        <v>3597</v>
      </c>
      <c r="R215" s="133" t="str">
        <f>MEMBERS[[#This Row],[FirstName]]&amp;" "&amp;MEMBERS[[#This Row],[LastName]]</f>
        <v>Emily Shephard</v>
      </c>
      <c r="S215" s="21">
        <v>43839</v>
      </c>
      <c r="U215" s="21">
        <v>33638</v>
      </c>
      <c r="V215" t="b">
        <v>0</v>
      </c>
      <c r="W215" t="b">
        <v>0</v>
      </c>
      <c r="X215" t="b">
        <v>0</v>
      </c>
      <c r="Y215" t="s">
        <v>2299</v>
      </c>
      <c r="Z215" t="b">
        <v>1</v>
      </c>
      <c r="AB215" t="s">
        <v>1571</v>
      </c>
      <c r="AC215" t="b">
        <v>0</v>
      </c>
    </row>
    <row r="216" spans="1:29" x14ac:dyDescent="0.3">
      <c r="A216" s="57" t="str">
        <f>MEMBERS[[#This Row],[Title]]&amp;MEMBERS[[#This Row],[ServiceStartDate]]</f>
        <v>Emily Vernon45600</v>
      </c>
      <c r="B216" s="57">
        <f>IF(COUNTIF(MEMBERS[NameServiceStart],MEMBERS[[#This Row],[NameServiceStart]])=1,0,1)</f>
        <v>0</v>
      </c>
      <c r="C216" s="57">
        <f>IF(COUNTIF(MEMBERS[StaffMemberCode],MEMBERS[[#This Row],[StaffMemberCode]])=1,0,1)</f>
        <v>0</v>
      </c>
      <c r="D216" s="57">
        <f>IF(ISBLANK(MEMBERS[[#This Row],[PayrollLocation]]),0,IF(COUNTIF(SCHOOLS[SchoolCode],MEMBERS[[#This Row],[PayrollLocation]])=1,0,1))</f>
        <v>0</v>
      </c>
      <c r="E216" s="57">
        <f>IF(MEMBERS[[#This Row],[AvailableToAllSchools]]=FALSE,IF(ISBLANK(MEMBERS[[#This Row],[SchoolCodes]]),1,0),IF(MEMBERS[[#This Row],[AvailableToAllSchools]]=TRUE,IF(ISBLANK(MEMBERS[[#This Row],[SchoolCodes]]),0,1)))</f>
        <v>0</v>
      </c>
      <c r="F216" s="57">
        <f>IF(ISBLANK(MEMBERS[[#This Row],[ServiceEndDate]]),0,IF(MEMBERS[[#This Row],[ServiceStartDate]]&lt;MEMBERS[[#This Row],[ServiceEndDate]],0,1))</f>
        <v>0</v>
      </c>
      <c r="G216" s="57" cm="1">
        <f t="array" aca="1" ref="G216" ca="1">IF(CELL("format",MEMBERS[[#This Row],[ServiceStartDate]])="D1",0,1)+IF(CELL("format",MEMBERS[[#This Row],[ServiceEndDate]])="D1",0,1)</f>
        <v>0</v>
      </c>
      <c r="H21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16" s="57">
        <f>IF(LEN(MEMBERS[[#This Row],[StaffMemberCode]])&lt;100,0,1)</f>
        <v>0</v>
      </c>
      <c r="J216" s="57">
        <f>IF(LEN(MEMBERS[[#This Row],[Title]])&lt;100,0,1)</f>
        <v>0</v>
      </c>
      <c r="K216" s="57">
        <f>COUNTBLANK(MEMBERS[[#This Row],[StaffMemberCode]:[ServiceStartDate]])+COUNTBLANK(MEMBERS[[#This Row],[Apprenticeship]]:MEMBERS[[#This Row],[StaffMemberEnabled]])+COUNTBLANK(MEMBERS[[#This Row],[GenderCode]]:MEMBERS[[#This Row],[Casual]])</f>
        <v>0</v>
      </c>
      <c r="L216" s="57">
        <f>IF(SUBSTITUTE(TEXT(MEMBERS[[#This Row],[StaffMemberCode]],10)," ","")=TEXT(MEMBERS[[#This Row],[StaffMemberCode]],10),0,1)</f>
        <v>0</v>
      </c>
      <c r="M216" s="57">
        <f ca="1">SUM(MEMBERS[[#This Row],[Duplicate NameService Start]:[Space in Code]])</f>
        <v>0</v>
      </c>
      <c r="O216" s="15">
        <v>91328087</v>
      </c>
      <c r="P216" s="15" t="s">
        <v>3256</v>
      </c>
      <c r="Q216" s="15" t="s">
        <v>3518</v>
      </c>
      <c r="R216" s="133" t="str">
        <f>MEMBERS[[#This Row],[FirstName]]&amp;" "&amp;MEMBERS[[#This Row],[LastName]]</f>
        <v>Emily Vernon</v>
      </c>
      <c r="S216" s="21">
        <v>45600</v>
      </c>
      <c r="U216" s="21">
        <v>37498</v>
      </c>
      <c r="V216" t="b">
        <v>0</v>
      </c>
      <c r="W216" t="b">
        <v>0</v>
      </c>
      <c r="X216" t="b">
        <v>0</v>
      </c>
      <c r="Y216" t="s">
        <v>2094</v>
      </c>
      <c r="Z216" t="b">
        <v>1</v>
      </c>
      <c r="AB216" t="s">
        <v>1571</v>
      </c>
      <c r="AC216" t="b">
        <v>0</v>
      </c>
    </row>
    <row r="217" spans="1:29" x14ac:dyDescent="0.3">
      <c r="A217" s="57" t="str">
        <f>MEMBERS[[#This Row],[Title]]&amp;MEMBERS[[#This Row],[ServiceStartDate]]</f>
        <v>Emma Addy45170</v>
      </c>
      <c r="B217" s="57">
        <f>IF(COUNTIF(MEMBERS[NameServiceStart],MEMBERS[[#This Row],[NameServiceStart]])=1,0,1)</f>
        <v>0</v>
      </c>
      <c r="C217" s="57">
        <f>IF(COUNTIF(MEMBERS[StaffMemberCode],MEMBERS[[#This Row],[StaffMemberCode]])=1,0,1)</f>
        <v>0</v>
      </c>
      <c r="D217" s="57">
        <f>IF(ISBLANK(MEMBERS[[#This Row],[PayrollLocation]]),0,IF(COUNTIF(SCHOOLS[SchoolCode],MEMBERS[[#This Row],[PayrollLocation]])=1,0,1))</f>
        <v>0</v>
      </c>
      <c r="E217" s="57">
        <f>IF(MEMBERS[[#This Row],[AvailableToAllSchools]]=FALSE,IF(ISBLANK(MEMBERS[[#This Row],[SchoolCodes]]),1,0),IF(MEMBERS[[#This Row],[AvailableToAllSchools]]=TRUE,IF(ISBLANK(MEMBERS[[#This Row],[SchoolCodes]]),0,1)))</f>
        <v>0</v>
      </c>
      <c r="F217" s="57">
        <f>IF(ISBLANK(MEMBERS[[#This Row],[ServiceEndDate]]),0,IF(MEMBERS[[#This Row],[ServiceStartDate]]&lt;MEMBERS[[#This Row],[ServiceEndDate]],0,1))</f>
        <v>0</v>
      </c>
      <c r="G217" s="57" cm="1">
        <f t="array" aca="1" ref="G217" ca="1">IF(CELL("format",MEMBERS[[#This Row],[ServiceStartDate]])="D1",0,1)+IF(CELL("format",MEMBERS[[#This Row],[ServiceEndDate]])="D1",0,1)</f>
        <v>0</v>
      </c>
      <c r="H21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17" s="57">
        <f>IF(LEN(MEMBERS[[#This Row],[StaffMemberCode]])&lt;100,0,1)</f>
        <v>0</v>
      </c>
      <c r="J217" s="57">
        <f>IF(LEN(MEMBERS[[#This Row],[Title]])&lt;100,0,1)</f>
        <v>0</v>
      </c>
      <c r="K217" s="57">
        <f>COUNTBLANK(MEMBERS[[#This Row],[StaffMemberCode]:[ServiceStartDate]])+COUNTBLANK(MEMBERS[[#This Row],[Apprenticeship]]:MEMBERS[[#This Row],[StaffMemberEnabled]])+COUNTBLANK(MEMBERS[[#This Row],[GenderCode]]:MEMBERS[[#This Row],[Casual]])</f>
        <v>0</v>
      </c>
      <c r="L217" s="57">
        <f>IF(SUBSTITUTE(TEXT(MEMBERS[[#This Row],[StaffMemberCode]],10)," ","")=TEXT(MEMBERS[[#This Row],[StaffMemberCode]],10),0,1)</f>
        <v>0</v>
      </c>
      <c r="M217" s="57">
        <f ca="1">SUM(MEMBERS[[#This Row],[Duplicate NameService Start]:[Space in Code]])</f>
        <v>0</v>
      </c>
      <c r="O217" s="15">
        <v>10012810</v>
      </c>
      <c r="P217" s="15" t="s">
        <v>3257</v>
      </c>
      <c r="Q217" s="15" t="s">
        <v>4054</v>
      </c>
      <c r="R217" s="133" t="str">
        <f>MEMBERS[[#This Row],[FirstName]]&amp;" "&amp;MEMBERS[[#This Row],[LastName]]</f>
        <v>Emma Addy</v>
      </c>
      <c r="S217" s="21">
        <v>45170</v>
      </c>
      <c r="U217" s="21">
        <v>31826</v>
      </c>
      <c r="V217" s="138" t="b">
        <v>0</v>
      </c>
      <c r="W217" t="b">
        <v>0</v>
      </c>
      <c r="X217" t="b">
        <v>0</v>
      </c>
      <c r="Y217" t="s">
        <v>2126</v>
      </c>
      <c r="Z217" t="b">
        <v>1</v>
      </c>
      <c r="AB217" t="s">
        <v>1571</v>
      </c>
      <c r="AC217" t="b">
        <v>0</v>
      </c>
    </row>
    <row r="218" spans="1:29" x14ac:dyDescent="0.3">
      <c r="A218" s="57" t="str">
        <f>MEMBERS[[#This Row],[Title]]&amp;MEMBERS[[#This Row],[ServiceStartDate]]</f>
        <v>Emma Austin38596</v>
      </c>
      <c r="B218" s="57">
        <f>IF(COUNTIF(MEMBERS[NameServiceStart],MEMBERS[[#This Row],[NameServiceStart]])=1,0,1)</f>
        <v>0</v>
      </c>
      <c r="C218" s="57">
        <f>IF(COUNTIF(MEMBERS[StaffMemberCode],MEMBERS[[#This Row],[StaffMemberCode]])=1,0,1)</f>
        <v>0</v>
      </c>
      <c r="D218" s="57">
        <f>IF(ISBLANK(MEMBERS[[#This Row],[PayrollLocation]]),0,IF(COUNTIF(SCHOOLS[SchoolCode],MEMBERS[[#This Row],[PayrollLocation]])=1,0,1))</f>
        <v>0</v>
      </c>
      <c r="E218" s="57">
        <f>IF(MEMBERS[[#This Row],[AvailableToAllSchools]]=FALSE,IF(ISBLANK(MEMBERS[[#This Row],[SchoolCodes]]),1,0),IF(MEMBERS[[#This Row],[AvailableToAllSchools]]=TRUE,IF(ISBLANK(MEMBERS[[#This Row],[SchoolCodes]]),0,1)))</f>
        <v>0</v>
      </c>
      <c r="F218" s="57">
        <f>IF(ISBLANK(MEMBERS[[#This Row],[ServiceEndDate]]),0,IF(MEMBERS[[#This Row],[ServiceStartDate]]&lt;MEMBERS[[#This Row],[ServiceEndDate]],0,1))</f>
        <v>0</v>
      </c>
      <c r="G218" s="57" cm="1">
        <f t="array" aca="1" ref="G218" ca="1">IF(CELL("format",MEMBERS[[#This Row],[ServiceStartDate]])="D1",0,1)+IF(CELL("format",MEMBERS[[#This Row],[ServiceEndDate]])="D1",0,1)</f>
        <v>0</v>
      </c>
      <c r="H21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18" s="57">
        <f>IF(LEN(MEMBERS[[#This Row],[StaffMemberCode]])&lt;100,0,1)</f>
        <v>0</v>
      </c>
      <c r="J218" s="57">
        <f>IF(LEN(MEMBERS[[#This Row],[Title]])&lt;100,0,1)</f>
        <v>0</v>
      </c>
      <c r="K218" s="57">
        <f>COUNTBLANK(MEMBERS[[#This Row],[StaffMemberCode]:[ServiceStartDate]])+COUNTBLANK(MEMBERS[[#This Row],[Apprenticeship]]:MEMBERS[[#This Row],[StaffMemberEnabled]])+COUNTBLANK(MEMBERS[[#This Row],[GenderCode]]:MEMBERS[[#This Row],[Casual]])</f>
        <v>0</v>
      </c>
      <c r="L218" s="57">
        <f>IF(SUBSTITUTE(TEXT(MEMBERS[[#This Row],[StaffMemberCode]],10)," ","")=TEXT(MEMBERS[[#This Row],[StaffMemberCode]],10),0,1)</f>
        <v>0</v>
      </c>
      <c r="M218" s="57">
        <f ca="1">SUM(MEMBERS[[#This Row],[Duplicate NameService Start]:[Space in Code]])</f>
        <v>0</v>
      </c>
      <c r="O218" s="15">
        <v>10014614</v>
      </c>
      <c r="P218" s="15" t="s">
        <v>3257</v>
      </c>
      <c r="Q218" s="15" t="s">
        <v>4055</v>
      </c>
      <c r="R218" s="133" t="str">
        <f>MEMBERS[[#This Row],[FirstName]]&amp;" "&amp;MEMBERS[[#This Row],[LastName]]</f>
        <v>Emma Austin</v>
      </c>
      <c r="S218" s="21">
        <v>38596</v>
      </c>
      <c r="U218" s="21">
        <v>27040</v>
      </c>
      <c r="V218" s="138" t="b">
        <v>0</v>
      </c>
      <c r="W218" t="b">
        <v>0</v>
      </c>
      <c r="X218" t="b">
        <v>0</v>
      </c>
      <c r="Y218" t="s">
        <v>2126</v>
      </c>
      <c r="Z218" t="b">
        <v>1</v>
      </c>
      <c r="AB218" t="s">
        <v>1571</v>
      </c>
      <c r="AC218" t="b">
        <v>0</v>
      </c>
    </row>
    <row r="219" spans="1:29" x14ac:dyDescent="0.3">
      <c r="A219" s="57" t="str">
        <f>MEMBERS[[#This Row],[Title]]&amp;MEMBERS[[#This Row],[ServiceStartDate]]</f>
        <v>Emma Dunning41648</v>
      </c>
      <c r="B219" s="57">
        <f>IF(COUNTIF(MEMBERS[NameServiceStart],MEMBERS[[#This Row],[NameServiceStart]])=1,0,1)</f>
        <v>0</v>
      </c>
      <c r="C219" s="57">
        <f>IF(COUNTIF(MEMBERS[StaffMemberCode],MEMBERS[[#This Row],[StaffMemberCode]])=1,0,1)</f>
        <v>0</v>
      </c>
      <c r="D219" s="57">
        <f>IF(ISBLANK(MEMBERS[[#This Row],[PayrollLocation]]),0,IF(COUNTIF(SCHOOLS[SchoolCode],MEMBERS[[#This Row],[PayrollLocation]])=1,0,1))</f>
        <v>0</v>
      </c>
      <c r="E219" s="57">
        <f>IF(MEMBERS[[#This Row],[AvailableToAllSchools]]=FALSE,IF(ISBLANK(MEMBERS[[#This Row],[SchoolCodes]]),1,0),IF(MEMBERS[[#This Row],[AvailableToAllSchools]]=TRUE,IF(ISBLANK(MEMBERS[[#This Row],[SchoolCodes]]),0,1)))</f>
        <v>0</v>
      </c>
      <c r="F219" s="57">
        <f>IF(ISBLANK(MEMBERS[[#This Row],[ServiceEndDate]]),0,IF(MEMBERS[[#This Row],[ServiceStartDate]]&lt;MEMBERS[[#This Row],[ServiceEndDate]],0,1))</f>
        <v>0</v>
      </c>
      <c r="G219" s="57" cm="1">
        <f t="array" aca="1" ref="G219" ca="1">IF(CELL("format",MEMBERS[[#This Row],[ServiceStartDate]])="D1",0,1)+IF(CELL("format",MEMBERS[[#This Row],[ServiceEndDate]])="D1",0,1)</f>
        <v>0</v>
      </c>
      <c r="H21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19" s="57">
        <f>IF(LEN(MEMBERS[[#This Row],[StaffMemberCode]])&lt;100,0,1)</f>
        <v>0</v>
      </c>
      <c r="J219" s="57">
        <f>IF(LEN(MEMBERS[[#This Row],[Title]])&lt;100,0,1)</f>
        <v>0</v>
      </c>
      <c r="K219" s="57">
        <f>COUNTBLANK(MEMBERS[[#This Row],[StaffMemberCode]:[ServiceStartDate]])+COUNTBLANK(MEMBERS[[#This Row],[Apprenticeship]]:MEMBERS[[#This Row],[StaffMemberEnabled]])+COUNTBLANK(MEMBERS[[#This Row],[GenderCode]]:MEMBERS[[#This Row],[Casual]])</f>
        <v>0</v>
      </c>
      <c r="L219" s="57">
        <f>IF(SUBSTITUTE(TEXT(MEMBERS[[#This Row],[StaffMemberCode]],10)," ","")=TEXT(MEMBERS[[#This Row],[StaffMemberCode]],10),0,1)</f>
        <v>0</v>
      </c>
      <c r="M219" s="57">
        <f ca="1">SUM(MEMBERS[[#This Row],[Duplicate NameService Start]:[Space in Code]])</f>
        <v>0</v>
      </c>
      <c r="O219" s="15">
        <v>91073540</v>
      </c>
      <c r="P219" s="15" t="s">
        <v>3257</v>
      </c>
      <c r="Q219" s="15" t="s">
        <v>3598</v>
      </c>
      <c r="R219" s="133" t="str">
        <f>MEMBERS[[#This Row],[FirstName]]&amp;" "&amp;MEMBERS[[#This Row],[LastName]]</f>
        <v>Emma Dunning</v>
      </c>
      <c r="S219" s="21">
        <v>41648</v>
      </c>
      <c r="U219" s="21">
        <v>29486</v>
      </c>
      <c r="V219" t="b">
        <v>0</v>
      </c>
      <c r="W219" t="b">
        <v>0</v>
      </c>
      <c r="X219" t="b">
        <v>0</v>
      </c>
      <c r="Y219" t="s">
        <v>2094</v>
      </c>
      <c r="Z219" t="b">
        <v>1</v>
      </c>
      <c r="AB219" t="s">
        <v>1571</v>
      </c>
      <c r="AC219" t="b">
        <v>0</v>
      </c>
    </row>
    <row r="220" spans="1:29" x14ac:dyDescent="0.3">
      <c r="A220" s="57" t="str">
        <f>MEMBERS[[#This Row],[Title]]&amp;MEMBERS[[#This Row],[ServiceStartDate]]</f>
        <v>Emma Flanagan45740</v>
      </c>
      <c r="B220" s="57">
        <f>IF(COUNTIF(MEMBERS[NameServiceStart],MEMBERS[[#This Row],[NameServiceStart]])=1,0,1)</f>
        <v>0</v>
      </c>
      <c r="C220" s="57">
        <f>IF(COUNTIF(MEMBERS[StaffMemberCode],MEMBERS[[#This Row],[StaffMemberCode]])=1,0,1)</f>
        <v>0</v>
      </c>
      <c r="D220" s="57">
        <f>IF(ISBLANK(MEMBERS[[#This Row],[PayrollLocation]]),0,IF(COUNTIF(SCHOOLS[SchoolCode],MEMBERS[[#This Row],[PayrollLocation]])=1,0,1))</f>
        <v>0</v>
      </c>
      <c r="E220" s="57">
        <f>IF(MEMBERS[[#This Row],[AvailableToAllSchools]]=FALSE,IF(ISBLANK(MEMBERS[[#This Row],[SchoolCodes]]),1,0),IF(MEMBERS[[#This Row],[AvailableToAllSchools]]=TRUE,IF(ISBLANK(MEMBERS[[#This Row],[SchoolCodes]]),0,1)))</f>
        <v>0</v>
      </c>
      <c r="F220" s="57">
        <f>IF(ISBLANK(MEMBERS[[#This Row],[ServiceEndDate]]),0,IF(MEMBERS[[#This Row],[ServiceStartDate]]&lt;MEMBERS[[#This Row],[ServiceEndDate]],0,1))</f>
        <v>0</v>
      </c>
      <c r="G220" s="57" cm="1">
        <f t="array" aca="1" ref="G220" ca="1">IF(CELL("format",MEMBERS[[#This Row],[ServiceStartDate]])="D1",0,1)+IF(CELL("format",MEMBERS[[#This Row],[ServiceEndDate]])="D1",0,1)</f>
        <v>0</v>
      </c>
      <c r="H22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20" s="57">
        <f>IF(LEN(MEMBERS[[#This Row],[StaffMemberCode]])&lt;100,0,1)</f>
        <v>0</v>
      </c>
      <c r="J220" s="57">
        <f>IF(LEN(MEMBERS[[#This Row],[Title]])&lt;100,0,1)</f>
        <v>0</v>
      </c>
      <c r="K220" s="57">
        <f>COUNTBLANK(MEMBERS[[#This Row],[StaffMemberCode]:[ServiceStartDate]])+COUNTBLANK(MEMBERS[[#This Row],[Apprenticeship]]:MEMBERS[[#This Row],[StaffMemberEnabled]])+COUNTBLANK(MEMBERS[[#This Row],[GenderCode]]:MEMBERS[[#This Row],[Casual]])</f>
        <v>0</v>
      </c>
      <c r="L220" s="57">
        <f>IF(SUBSTITUTE(TEXT(MEMBERS[[#This Row],[StaffMemberCode]],10)," ","")=TEXT(MEMBERS[[#This Row],[StaffMemberCode]],10),0,1)</f>
        <v>0</v>
      </c>
      <c r="M220" s="57">
        <f ca="1">SUM(MEMBERS[[#This Row],[Duplicate NameService Start]:[Space in Code]])</f>
        <v>0</v>
      </c>
      <c r="O220" s="15">
        <v>91850004</v>
      </c>
      <c r="P220" s="15" t="s">
        <v>3257</v>
      </c>
      <c r="Q220" s="15" t="s">
        <v>3599</v>
      </c>
      <c r="R220" s="133" t="str">
        <f>MEMBERS[[#This Row],[FirstName]]&amp;" "&amp;MEMBERS[[#This Row],[LastName]]</f>
        <v>Emma Flanagan</v>
      </c>
      <c r="S220" s="21">
        <v>45740</v>
      </c>
      <c r="U220" s="21">
        <v>29552</v>
      </c>
      <c r="V220" t="b">
        <v>0</v>
      </c>
      <c r="W220" t="b">
        <v>0</v>
      </c>
      <c r="X220" t="b">
        <v>0</v>
      </c>
      <c r="Y220" t="s">
        <v>2082</v>
      </c>
      <c r="Z220" t="b">
        <v>1</v>
      </c>
      <c r="AB220" t="s">
        <v>1571</v>
      </c>
      <c r="AC220" t="b">
        <v>0</v>
      </c>
    </row>
    <row r="221" spans="1:29" x14ac:dyDescent="0.3">
      <c r="A221" s="57" t="str">
        <f>MEMBERS[[#This Row],[Title]]&amp;MEMBERS[[#This Row],[ServiceStartDate]]</f>
        <v>Emma Foster44570</v>
      </c>
      <c r="B221" s="57">
        <f>IF(COUNTIF(MEMBERS[NameServiceStart],MEMBERS[[#This Row],[NameServiceStart]])=1,0,1)</f>
        <v>0</v>
      </c>
      <c r="C221" s="57">
        <f>IF(COUNTIF(MEMBERS[StaffMemberCode],MEMBERS[[#This Row],[StaffMemberCode]])=1,0,1)</f>
        <v>0</v>
      </c>
      <c r="D221" s="57">
        <f>IF(ISBLANK(MEMBERS[[#This Row],[PayrollLocation]]),0,IF(COUNTIF(SCHOOLS[SchoolCode],MEMBERS[[#This Row],[PayrollLocation]])=1,0,1))</f>
        <v>0</v>
      </c>
      <c r="E221" s="57">
        <f>IF(MEMBERS[[#This Row],[AvailableToAllSchools]]=FALSE,IF(ISBLANK(MEMBERS[[#This Row],[SchoolCodes]]),1,0),IF(MEMBERS[[#This Row],[AvailableToAllSchools]]=TRUE,IF(ISBLANK(MEMBERS[[#This Row],[SchoolCodes]]),0,1)))</f>
        <v>0</v>
      </c>
      <c r="F221" s="57">
        <f>IF(ISBLANK(MEMBERS[[#This Row],[ServiceEndDate]]),0,IF(MEMBERS[[#This Row],[ServiceStartDate]]&lt;MEMBERS[[#This Row],[ServiceEndDate]],0,1))</f>
        <v>0</v>
      </c>
      <c r="G221" s="57" cm="1">
        <f t="array" aca="1" ref="G221" ca="1">IF(CELL("format",MEMBERS[[#This Row],[ServiceStartDate]])="D1",0,1)+IF(CELL("format",MEMBERS[[#This Row],[ServiceEndDate]])="D1",0,1)</f>
        <v>0</v>
      </c>
      <c r="H22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21" s="57">
        <f>IF(LEN(MEMBERS[[#This Row],[StaffMemberCode]])&lt;100,0,1)</f>
        <v>0</v>
      </c>
      <c r="J221" s="57">
        <f>IF(LEN(MEMBERS[[#This Row],[Title]])&lt;100,0,1)</f>
        <v>0</v>
      </c>
      <c r="K221" s="57">
        <f>COUNTBLANK(MEMBERS[[#This Row],[StaffMemberCode]:[ServiceStartDate]])+COUNTBLANK(MEMBERS[[#This Row],[Apprenticeship]]:MEMBERS[[#This Row],[StaffMemberEnabled]])+COUNTBLANK(MEMBERS[[#This Row],[GenderCode]]:MEMBERS[[#This Row],[Casual]])</f>
        <v>0</v>
      </c>
      <c r="L221" s="57">
        <f>IF(SUBSTITUTE(TEXT(MEMBERS[[#This Row],[StaffMemberCode]],10)," ","")=TEXT(MEMBERS[[#This Row],[StaffMemberCode]],10),0,1)</f>
        <v>0</v>
      </c>
      <c r="M221" s="57">
        <f ca="1">SUM(MEMBERS[[#This Row],[Duplicate NameService Start]:[Space in Code]])</f>
        <v>0</v>
      </c>
      <c r="O221" s="15">
        <v>91073438</v>
      </c>
      <c r="P221" s="15" t="s">
        <v>3257</v>
      </c>
      <c r="Q221" s="15" t="s">
        <v>3600</v>
      </c>
      <c r="R221" s="133" t="str">
        <f>MEMBERS[[#This Row],[FirstName]]&amp;" "&amp;MEMBERS[[#This Row],[LastName]]</f>
        <v>Emma Foster</v>
      </c>
      <c r="S221" s="21">
        <v>44570</v>
      </c>
      <c r="U221" s="21">
        <v>27196</v>
      </c>
      <c r="V221" t="b">
        <v>0</v>
      </c>
      <c r="W221" t="b">
        <v>0</v>
      </c>
      <c r="X221" t="b">
        <v>0</v>
      </c>
      <c r="Y221" t="s">
        <v>2094</v>
      </c>
      <c r="Z221" t="b">
        <v>1</v>
      </c>
      <c r="AB221" t="s">
        <v>1571</v>
      </c>
      <c r="AC221" t="b">
        <v>0</v>
      </c>
    </row>
    <row r="222" spans="1:29" x14ac:dyDescent="0.3">
      <c r="A222" s="57" t="str">
        <f>MEMBERS[[#This Row],[Title]]&amp;MEMBERS[[#This Row],[ServiceStartDate]]</f>
        <v>Emma Grindley43109</v>
      </c>
      <c r="B222" s="57">
        <f>IF(COUNTIF(MEMBERS[NameServiceStart],MEMBERS[[#This Row],[NameServiceStart]])=1,0,1)</f>
        <v>0</v>
      </c>
      <c r="C222" s="57">
        <f>IF(COUNTIF(MEMBERS[StaffMemberCode],MEMBERS[[#This Row],[StaffMemberCode]])=1,0,1)</f>
        <v>0</v>
      </c>
      <c r="D222" s="57">
        <f>IF(ISBLANK(MEMBERS[[#This Row],[PayrollLocation]]),0,IF(COUNTIF(SCHOOLS[SchoolCode],MEMBERS[[#This Row],[PayrollLocation]])=1,0,1))</f>
        <v>0</v>
      </c>
      <c r="E222" s="57">
        <f>IF(MEMBERS[[#This Row],[AvailableToAllSchools]]=FALSE,IF(ISBLANK(MEMBERS[[#This Row],[SchoolCodes]]),1,0),IF(MEMBERS[[#This Row],[AvailableToAllSchools]]=TRUE,IF(ISBLANK(MEMBERS[[#This Row],[SchoolCodes]]),0,1)))</f>
        <v>0</v>
      </c>
      <c r="F222" s="57">
        <f>IF(ISBLANK(MEMBERS[[#This Row],[ServiceEndDate]]),0,IF(MEMBERS[[#This Row],[ServiceStartDate]]&lt;MEMBERS[[#This Row],[ServiceEndDate]],0,1))</f>
        <v>0</v>
      </c>
      <c r="G222" s="57" cm="1">
        <f t="array" aca="1" ref="G222" ca="1">IF(CELL("format",MEMBERS[[#This Row],[ServiceStartDate]])="D1",0,1)+IF(CELL("format",MEMBERS[[#This Row],[ServiceEndDate]])="D1",0,1)</f>
        <v>0</v>
      </c>
      <c r="H22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22" s="57">
        <f>IF(LEN(MEMBERS[[#This Row],[StaffMemberCode]])&lt;100,0,1)</f>
        <v>0</v>
      </c>
      <c r="J222" s="57">
        <f>IF(LEN(MEMBERS[[#This Row],[Title]])&lt;100,0,1)</f>
        <v>0</v>
      </c>
      <c r="K222" s="57">
        <f>COUNTBLANK(MEMBERS[[#This Row],[StaffMemberCode]:[ServiceStartDate]])+COUNTBLANK(MEMBERS[[#This Row],[Apprenticeship]]:MEMBERS[[#This Row],[StaffMemberEnabled]])+COUNTBLANK(MEMBERS[[#This Row],[GenderCode]]:MEMBERS[[#This Row],[Casual]])</f>
        <v>0</v>
      </c>
      <c r="L222" s="57">
        <f>IF(SUBSTITUTE(TEXT(MEMBERS[[#This Row],[StaffMemberCode]],10)," ","")=TEXT(MEMBERS[[#This Row],[StaffMemberCode]],10),0,1)</f>
        <v>0</v>
      </c>
      <c r="M222" s="57">
        <f ca="1">SUM(MEMBERS[[#This Row],[Duplicate NameService Start]:[Space in Code]])</f>
        <v>0</v>
      </c>
      <c r="O222" s="15">
        <v>91073415</v>
      </c>
      <c r="P222" s="15" t="s">
        <v>3257</v>
      </c>
      <c r="Q222" s="15" t="s">
        <v>3601</v>
      </c>
      <c r="R222" s="133" t="str">
        <f>MEMBERS[[#This Row],[FirstName]]&amp;" "&amp;MEMBERS[[#This Row],[LastName]]</f>
        <v>Emma Grindley</v>
      </c>
      <c r="S222" s="21">
        <v>43109</v>
      </c>
      <c r="U222" s="21">
        <v>31271</v>
      </c>
      <c r="V222" t="b">
        <v>0</v>
      </c>
      <c r="W222" t="b">
        <v>0</v>
      </c>
      <c r="X222" t="b">
        <v>0</v>
      </c>
      <c r="Y222" t="s">
        <v>2275</v>
      </c>
      <c r="Z222" t="b">
        <v>1</v>
      </c>
      <c r="AB222" t="s">
        <v>1571</v>
      </c>
      <c r="AC222" t="b">
        <v>0</v>
      </c>
    </row>
    <row r="223" spans="1:29" x14ac:dyDescent="0.3">
      <c r="A223" s="57" t="str">
        <f>MEMBERS[[#This Row],[Title]]&amp;MEMBERS[[#This Row],[ServiceStartDate]]</f>
        <v>Emma Horsfield44205</v>
      </c>
      <c r="B223" s="57">
        <f>IF(COUNTIF(MEMBERS[NameServiceStart],MEMBERS[[#This Row],[NameServiceStart]])=1,0,1)</f>
        <v>0</v>
      </c>
      <c r="C223" s="57">
        <f>IF(COUNTIF(MEMBERS[StaffMemberCode],MEMBERS[[#This Row],[StaffMemberCode]])=1,0,1)</f>
        <v>0</v>
      </c>
      <c r="D223" s="57">
        <f>IF(ISBLANK(MEMBERS[[#This Row],[PayrollLocation]]),0,IF(COUNTIF(SCHOOLS[SchoolCode],MEMBERS[[#This Row],[PayrollLocation]])=1,0,1))</f>
        <v>0</v>
      </c>
      <c r="E223" s="57">
        <f>IF(MEMBERS[[#This Row],[AvailableToAllSchools]]=FALSE,IF(ISBLANK(MEMBERS[[#This Row],[SchoolCodes]]),1,0),IF(MEMBERS[[#This Row],[AvailableToAllSchools]]=TRUE,IF(ISBLANK(MEMBERS[[#This Row],[SchoolCodes]]),0,1)))</f>
        <v>0</v>
      </c>
      <c r="F223" s="57">
        <f>IF(ISBLANK(MEMBERS[[#This Row],[ServiceEndDate]]),0,IF(MEMBERS[[#This Row],[ServiceStartDate]]&lt;MEMBERS[[#This Row],[ServiceEndDate]],0,1))</f>
        <v>0</v>
      </c>
      <c r="G223" s="57" cm="1">
        <f t="array" aca="1" ref="G223" ca="1">IF(CELL("format",MEMBERS[[#This Row],[ServiceStartDate]])="D1",0,1)+IF(CELL("format",MEMBERS[[#This Row],[ServiceEndDate]])="D1",0,1)</f>
        <v>0</v>
      </c>
      <c r="H22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23" s="57">
        <f>IF(LEN(MEMBERS[[#This Row],[StaffMemberCode]])&lt;100,0,1)</f>
        <v>0</v>
      </c>
      <c r="J223" s="57">
        <f>IF(LEN(MEMBERS[[#This Row],[Title]])&lt;100,0,1)</f>
        <v>0</v>
      </c>
      <c r="K223" s="57">
        <f>COUNTBLANK(MEMBERS[[#This Row],[StaffMemberCode]:[ServiceStartDate]])+COUNTBLANK(MEMBERS[[#This Row],[Apprenticeship]]:MEMBERS[[#This Row],[StaffMemberEnabled]])+COUNTBLANK(MEMBERS[[#This Row],[GenderCode]]:MEMBERS[[#This Row],[Casual]])</f>
        <v>0</v>
      </c>
      <c r="L223" s="57">
        <f>IF(SUBSTITUTE(TEXT(MEMBERS[[#This Row],[StaffMemberCode]],10)," ","")=TEXT(MEMBERS[[#This Row],[StaffMemberCode]],10),0,1)</f>
        <v>0</v>
      </c>
      <c r="M223" s="57">
        <f ca="1">SUM(MEMBERS[[#This Row],[Duplicate NameService Start]:[Space in Code]])</f>
        <v>0</v>
      </c>
      <c r="O223" s="15">
        <v>91073542</v>
      </c>
      <c r="P223" s="15" t="s">
        <v>3257</v>
      </c>
      <c r="Q223" s="15" t="s">
        <v>3602</v>
      </c>
      <c r="R223" s="133" t="str">
        <f>MEMBERS[[#This Row],[FirstName]]&amp;" "&amp;MEMBERS[[#This Row],[LastName]]</f>
        <v>Emma Horsfield</v>
      </c>
      <c r="S223" s="21">
        <v>44205</v>
      </c>
      <c r="U223" s="21">
        <v>35703</v>
      </c>
      <c r="V223" t="b">
        <v>0</v>
      </c>
      <c r="W223" t="b">
        <v>0</v>
      </c>
      <c r="X223" t="b">
        <v>0</v>
      </c>
      <c r="Y223" t="s">
        <v>2094</v>
      </c>
      <c r="Z223" t="b">
        <v>1</v>
      </c>
      <c r="AB223" t="s">
        <v>1571</v>
      </c>
      <c r="AC223" t="b">
        <v>0</v>
      </c>
    </row>
    <row r="224" spans="1:29" x14ac:dyDescent="0.3">
      <c r="A224" s="57" t="str">
        <f>MEMBERS[[#This Row],[Title]]&amp;MEMBERS[[#This Row],[ServiceStartDate]]</f>
        <v>Emma Latham38726</v>
      </c>
      <c r="B224" s="57">
        <f>IF(COUNTIF(MEMBERS[NameServiceStart],MEMBERS[[#This Row],[NameServiceStart]])=1,0,1)</f>
        <v>0</v>
      </c>
      <c r="C224" s="57">
        <f>IF(COUNTIF(MEMBERS[StaffMemberCode],MEMBERS[[#This Row],[StaffMemberCode]])=1,0,1)</f>
        <v>0</v>
      </c>
      <c r="D224" s="57">
        <f>IF(ISBLANK(MEMBERS[[#This Row],[PayrollLocation]]),0,IF(COUNTIF(SCHOOLS[SchoolCode],MEMBERS[[#This Row],[PayrollLocation]])=1,0,1))</f>
        <v>0</v>
      </c>
      <c r="E224" s="57">
        <f>IF(MEMBERS[[#This Row],[AvailableToAllSchools]]=FALSE,IF(ISBLANK(MEMBERS[[#This Row],[SchoolCodes]]),1,0),IF(MEMBERS[[#This Row],[AvailableToAllSchools]]=TRUE,IF(ISBLANK(MEMBERS[[#This Row],[SchoolCodes]]),0,1)))</f>
        <v>0</v>
      </c>
      <c r="F224" s="57">
        <f>IF(ISBLANK(MEMBERS[[#This Row],[ServiceEndDate]]),0,IF(MEMBERS[[#This Row],[ServiceStartDate]]&lt;MEMBERS[[#This Row],[ServiceEndDate]],0,1))</f>
        <v>0</v>
      </c>
      <c r="G224" s="57" cm="1">
        <f t="array" aca="1" ref="G224" ca="1">IF(CELL("format",MEMBERS[[#This Row],[ServiceStartDate]])="D1",0,1)+IF(CELL("format",MEMBERS[[#This Row],[ServiceEndDate]])="D1",0,1)</f>
        <v>0</v>
      </c>
      <c r="H22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24" s="57">
        <f>IF(LEN(MEMBERS[[#This Row],[StaffMemberCode]])&lt;100,0,1)</f>
        <v>0</v>
      </c>
      <c r="J224" s="57">
        <f>IF(LEN(MEMBERS[[#This Row],[Title]])&lt;100,0,1)</f>
        <v>0</v>
      </c>
      <c r="K224" s="57">
        <f>COUNTBLANK(MEMBERS[[#This Row],[StaffMemberCode]:[ServiceStartDate]])+COUNTBLANK(MEMBERS[[#This Row],[Apprenticeship]]:MEMBERS[[#This Row],[StaffMemberEnabled]])+COUNTBLANK(MEMBERS[[#This Row],[GenderCode]]:MEMBERS[[#This Row],[Casual]])</f>
        <v>0</v>
      </c>
      <c r="L224" s="57">
        <f>IF(SUBSTITUTE(TEXT(MEMBERS[[#This Row],[StaffMemberCode]],10)," ","")=TEXT(MEMBERS[[#This Row],[StaffMemberCode]],10),0,1)</f>
        <v>0</v>
      </c>
      <c r="M224" s="57">
        <f ca="1">SUM(MEMBERS[[#This Row],[Duplicate NameService Start]:[Space in Code]])</f>
        <v>0</v>
      </c>
      <c r="O224" s="15">
        <v>91073468</v>
      </c>
      <c r="P224" s="15" t="s">
        <v>3257</v>
      </c>
      <c r="Q224" s="15" t="s">
        <v>3603</v>
      </c>
      <c r="R224" s="133" t="str">
        <f>MEMBERS[[#This Row],[FirstName]]&amp;" "&amp;MEMBERS[[#This Row],[LastName]]</f>
        <v>Emma Latham</v>
      </c>
      <c r="S224" s="21">
        <v>38726</v>
      </c>
      <c r="U224" s="21">
        <v>30183</v>
      </c>
      <c r="V224" t="b">
        <v>0</v>
      </c>
      <c r="W224" t="b">
        <v>0</v>
      </c>
      <c r="X224" t="b">
        <v>0</v>
      </c>
      <c r="Y224" t="s">
        <v>2094</v>
      </c>
      <c r="Z224" t="b">
        <v>1</v>
      </c>
      <c r="AB224" t="s">
        <v>1571</v>
      </c>
      <c r="AC224" t="b">
        <v>0</v>
      </c>
    </row>
    <row r="225" spans="1:29" x14ac:dyDescent="0.3">
      <c r="A225" s="57" t="str">
        <f>MEMBERS[[#This Row],[Title]]&amp;MEMBERS[[#This Row],[ServiceStartDate]]</f>
        <v>Emma Loveland42378</v>
      </c>
      <c r="B225" s="57">
        <f>IF(COUNTIF(MEMBERS[NameServiceStart],MEMBERS[[#This Row],[NameServiceStart]])=1,0,1)</f>
        <v>0</v>
      </c>
      <c r="C225" s="57">
        <f>IF(COUNTIF(MEMBERS[StaffMemberCode],MEMBERS[[#This Row],[StaffMemberCode]])=1,0,1)</f>
        <v>0</v>
      </c>
      <c r="D225" s="57">
        <f>IF(ISBLANK(MEMBERS[[#This Row],[PayrollLocation]]),0,IF(COUNTIF(SCHOOLS[SchoolCode],MEMBERS[[#This Row],[PayrollLocation]])=1,0,1))</f>
        <v>0</v>
      </c>
      <c r="E225" s="57">
        <f>IF(MEMBERS[[#This Row],[AvailableToAllSchools]]=FALSE,IF(ISBLANK(MEMBERS[[#This Row],[SchoolCodes]]),1,0),IF(MEMBERS[[#This Row],[AvailableToAllSchools]]=TRUE,IF(ISBLANK(MEMBERS[[#This Row],[SchoolCodes]]),0,1)))</f>
        <v>0</v>
      </c>
      <c r="F225" s="57">
        <f>IF(ISBLANK(MEMBERS[[#This Row],[ServiceEndDate]]),0,IF(MEMBERS[[#This Row],[ServiceStartDate]]&lt;MEMBERS[[#This Row],[ServiceEndDate]],0,1))</f>
        <v>0</v>
      </c>
      <c r="G225" s="57" cm="1">
        <f t="array" aca="1" ref="G225" ca="1">IF(CELL("format",MEMBERS[[#This Row],[ServiceStartDate]])="D1",0,1)+IF(CELL("format",MEMBERS[[#This Row],[ServiceEndDate]])="D1",0,1)</f>
        <v>0</v>
      </c>
      <c r="H22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25" s="57">
        <f>IF(LEN(MEMBERS[[#This Row],[StaffMemberCode]])&lt;100,0,1)</f>
        <v>0</v>
      </c>
      <c r="J225" s="57">
        <f>IF(LEN(MEMBERS[[#This Row],[Title]])&lt;100,0,1)</f>
        <v>0</v>
      </c>
      <c r="K225" s="57">
        <f>COUNTBLANK(MEMBERS[[#This Row],[StaffMemberCode]:[ServiceStartDate]])+COUNTBLANK(MEMBERS[[#This Row],[Apprenticeship]]:MEMBERS[[#This Row],[StaffMemberEnabled]])+COUNTBLANK(MEMBERS[[#This Row],[GenderCode]]:MEMBERS[[#This Row],[Casual]])</f>
        <v>0</v>
      </c>
      <c r="L225" s="57">
        <f>IF(SUBSTITUTE(TEXT(MEMBERS[[#This Row],[StaffMemberCode]],10)," ","")=TEXT(MEMBERS[[#This Row],[StaffMemberCode]],10),0,1)</f>
        <v>0</v>
      </c>
      <c r="M225" s="57">
        <f ca="1">SUM(MEMBERS[[#This Row],[Duplicate NameService Start]:[Space in Code]])</f>
        <v>0</v>
      </c>
      <c r="O225" s="15">
        <v>91073414</v>
      </c>
      <c r="P225" s="15" t="s">
        <v>3257</v>
      </c>
      <c r="Q225" s="15" t="s">
        <v>3604</v>
      </c>
      <c r="R225" s="133" t="str">
        <f>MEMBERS[[#This Row],[FirstName]]&amp;" "&amp;MEMBERS[[#This Row],[LastName]]</f>
        <v>Emma Loveland</v>
      </c>
      <c r="S225" s="21">
        <v>42378</v>
      </c>
      <c r="U225" s="21">
        <v>30662</v>
      </c>
      <c r="V225" t="b">
        <v>0</v>
      </c>
      <c r="W225" t="b">
        <v>0</v>
      </c>
      <c r="X225" t="b">
        <v>0</v>
      </c>
      <c r="Y225" t="s">
        <v>2275</v>
      </c>
      <c r="Z225" t="b">
        <v>1</v>
      </c>
      <c r="AB225" t="s">
        <v>1571</v>
      </c>
      <c r="AC225" t="b">
        <v>0</v>
      </c>
    </row>
    <row r="226" spans="1:29" x14ac:dyDescent="0.3">
      <c r="A226" s="57" t="str">
        <f>MEMBERS[[#This Row],[Title]]&amp;MEMBERS[[#This Row],[ServiceStartDate]]</f>
        <v>Emma Martin44731</v>
      </c>
      <c r="B226" s="57">
        <f>IF(COUNTIF(MEMBERS[NameServiceStart],MEMBERS[[#This Row],[NameServiceStart]])=1,0,1)</f>
        <v>0</v>
      </c>
      <c r="C226" s="57">
        <f>IF(COUNTIF(MEMBERS[StaffMemberCode],MEMBERS[[#This Row],[StaffMemberCode]])=1,0,1)</f>
        <v>0</v>
      </c>
      <c r="D226" s="57">
        <f>IF(ISBLANK(MEMBERS[[#This Row],[PayrollLocation]]),0,IF(COUNTIF(SCHOOLS[SchoolCode],MEMBERS[[#This Row],[PayrollLocation]])=1,0,1))</f>
        <v>0</v>
      </c>
      <c r="E226" s="57">
        <f>IF(MEMBERS[[#This Row],[AvailableToAllSchools]]=FALSE,IF(ISBLANK(MEMBERS[[#This Row],[SchoolCodes]]),1,0),IF(MEMBERS[[#This Row],[AvailableToAllSchools]]=TRUE,IF(ISBLANK(MEMBERS[[#This Row],[SchoolCodes]]),0,1)))</f>
        <v>0</v>
      </c>
      <c r="F226" s="57">
        <f>IF(ISBLANK(MEMBERS[[#This Row],[ServiceEndDate]]),0,IF(MEMBERS[[#This Row],[ServiceStartDate]]&lt;MEMBERS[[#This Row],[ServiceEndDate]],0,1))</f>
        <v>0</v>
      </c>
      <c r="G226" s="57" cm="1">
        <f t="array" aca="1" ref="G226" ca="1">IF(CELL("format",MEMBERS[[#This Row],[ServiceStartDate]])="D1",0,1)+IF(CELL("format",MEMBERS[[#This Row],[ServiceEndDate]])="D1",0,1)</f>
        <v>0</v>
      </c>
      <c r="H22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26" s="57">
        <f>IF(LEN(MEMBERS[[#This Row],[StaffMemberCode]])&lt;100,0,1)</f>
        <v>0</v>
      </c>
      <c r="J226" s="57">
        <f>IF(LEN(MEMBERS[[#This Row],[Title]])&lt;100,0,1)</f>
        <v>0</v>
      </c>
      <c r="K226" s="57">
        <f>COUNTBLANK(MEMBERS[[#This Row],[StaffMemberCode]:[ServiceStartDate]])+COUNTBLANK(MEMBERS[[#This Row],[Apprenticeship]]:MEMBERS[[#This Row],[StaffMemberEnabled]])+COUNTBLANK(MEMBERS[[#This Row],[GenderCode]]:MEMBERS[[#This Row],[Casual]])</f>
        <v>0</v>
      </c>
      <c r="L226" s="57">
        <f>IF(SUBSTITUTE(TEXT(MEMBERS[[#This Row],[StaffMemberCode]],10)," ","")=TEXT(MEMBERS[[#This Row],[StaffMemberCode]],10),0,1)</f>
        <v>0</v>
      </c>
      <c r="M226" s="57">
        <f ca="1">SUM(MEMBERS[[#This Row],[Duplicate NameService Start]:[Space in Code]])</f>
        <v>0</v>
      </c>
      <c r="O226" s="15">
        <v>91075764</v>
      </c>
      <c r="P226" s="15" t="s">
        <v>3257</v>
      </c>
      <c r="Q226" s="15" t="s">
        <v>3356</v>
      </c>
      <c r="R226" s="133" t="str">
        <f>MEMBERS[[#This Row],[FirstName]]&amp;" "&amp;MEMBERS[[#This Row],[LastName]]</f>
        <v>Emma Martin</v>
      </c>
      <c r="S226" s="21">
        <v>44731</v>
      </c>
      <c r="U226" s="21">
        <v>38941</v>
      </c>
      <c r="V226" t="b">
        <v>0</v>
      </c>
      <c r="W226" t="b">
        <v>0</v>
      </c>
      <c r="X226" t="b">
        <v>0</v>
      </c>
      <c r="Y226" t="s">
        <v>2200</v>
      </c>
      <c r="Z226" t="b">
        <v>1</v>
      </c>
      <c r="AB226" t="s">
        <v>1571</v>
      </c>
      <c r="AC226" t="b">
        <v>0</v>
      </c>
    </row>
    <row r="227" spans="1:29" x14ac:dyDescent="0.3">
      <c r="A227" s="57" t="str">
        <f>MEMBERS[[#This Row],[Title]]&amp;MEMBERS[[#This Row],[ServiceStartDate]]</f>
        <v>Emma Parkes38361</v>
      </c>
      <c r="B227" s="57">
        <f>IF(COUNTIF(MEMBERS[NameServiceStart],MEMBERS[[#This Row],[NameServiceStart]])=1,0,1)</f>
        <v>0</v>
      </c>
      <c r="C227" s="57">
        <f>IF(COUNTIF(MEMBERS[StaffMemberCode],MEMBERS[[#This Row],[StaffMemberCode]])=1,0,1)</f>
        <v>0</v>
      </c>
      <c r="D227" s="57">
        <f>IF(ISBLANK(MEMBERS[[#This Row],[PayrollLocation]]),0,IF(COUNTIF(SCHOOLS[SchoolCode],MEMBERS[[#This Row],[PayrollLocation]])=1,0,1))</f>
        <v>0</v>
      </c>
      <c r="E227" s="57">
        <f>IF(MEMBERS[[#This Row],[AvailableToAllSchools]]=FALSE,IF(ISBLANK(MEMBERS[[#This Row],[SchoolCodes]]),1,0),IF(MEMBERS[[#This Row],[AvailableToAllSchools]]=TRUE,IF(ISBLANK(MEMBERS[[#This Row],[SchoolCodes]]),0,1)))</f>
        <v>0</v>
      </c>
      <c r="F227" s="57">
        <f>IF(ISBLANK(MEMBERS[[#This Row],[ServiceEndDate]]),0,IF(MEMBERS[[#This Row],[ServiceStartDate]]&lt;MEMBERS[[#This Row],[ServiceEndDate]],0,1))</f>
        <v>0</v>
      </c>
      <c r="G227" s="57" cm="1">
        <f t="array" aca="1" ref="G227" ca="1">IF(CELL("format",MEMBERS[[#This Row],[ServiceStartDate]])="D1",0,1)+IF(CELL("format",MEMBERS[[#This Row],[ServiceEndDate]])="D1",0,1)</f>
        <v>0</v>
      </c>
      <c r="H22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27" s="57">
        <f>IF(LEN(MEMBERS[[#This Row],[StaffMemberCode]])&lt;100,0,1)</f>
        <v>0</v>
      </c>
      <c r="J227" s="57">
        <f>IF(LEN(MEMBERS[[#This Row],[Title]])&lt;100,0,1)</f>
        <v>0</v>
      </c>
      <c r="K227" s="57">
        <f>COUNTBLANK(MEMBERS[[#This Row],[StaffMemberCode]:[ServiceStartDate]])+COUNTBLANK(MEMBERS[[#This Row],[Apprenticeship]]:MEMBERS[[#This Row],[StaffMemberEnabled]])+COUNTBLANK(MEMBERS[[#This Row],[GenderCode]]:MEMBERS[[#This Row],[Casual]])</f>
        <v>0</v>
      </c>
      <c r="L227" s="57">
        <f>IF(SUBSTITUTE(TEXT(MEMBERS[[#This Row],[StaffMemberCode]],10)," ","")=TEXT(MEMBERS[[#This Row],[StaffMemberCode]],10),0,1)</f>
        <v>0</v>
      </c>
      <c r="M227" s="57">
        <f ca="1">SUM(MEMBERS[[#This Row],[Duplicate NameService Start]:[Space in Code]])</f>
        <v>0</v>
      </c>
      <c r="O227" s="15">
        <v>91073467</v>
      </c>
      <c r="P227" s="15" t="s">
        <v>3257</v>
      </c>
      <c r="Q227" s="15" t="s">
        <v>3605</v>
      </c>
      <c r="R227" s="133" t="str">
        <f>MEMBERS[[#This Row],[FirstName]]&amp;" "&amp;MEMBERS[[#This Row],[LastName]]</f>
        <v>Emma Parkes</v>
      </c>
      <c r="S227" s="21">
        <v>38361</v>
      </c>
      <c r="U227" s="21">
        <v>28383</v>
      </c>
      <c r="V227" t="b">
        <v>0</v>
      </c>
      <c r="W227" t="b">
        <v>0</v>
      </c>
      <c r="X227" t="b">
        <v>0</v>
      </c>
      <c r="Y227" t="s">
        <v>2094</v>
      </c>
      <c r="Z227" t="b">
        <v>1</v>
      </c>
      <c r="AB227" t="s">
        <v>1571</v>
      </c>
      <c r="AC227" t="b">
        <v>0</v>
      </c>
    </row>
    <row r="228" spans="1:29" x14ac:dyDescent="0.3">
      <c r="A228" s="57" t="str">
        <f>MEMBERS[[#This Row],[Title]]&amp;MEMBERS[[#This Row],[ServiceStartDate]]</f>
        <v>Emma Pemberton45786</v>
      </c>
      <c r="B228" s="57">
        <f>IF(COUNTIF(MEMBERS[NameServiceStart],MEMBERS[[#This Row],[NameServiceStart]])=1,0,1)</f>
        <v>0</v>
      </c>
      <c r="C228" s="57">
        <f>IF(COUNTIF(MEMBERS[StaffMemberCode],MEMBERS[[#This Row],[StaffMemberCode]])=1,0,1)</f>
        <v>0</v>
      </c>
      <c r="D228" s="57">
        <f>IF(ISBLANK(MEMBERS[[#This Row],[PayrollLocation]]),0,IF(COUNTIF(SCHOOLS[SchoolCode],MEMBERS[[#This Row],[PayrollLocation]])=1,0,1))</f>
        <v>0</v>
      </c>
      <c r="E228" s="57">
        <f>IF(MEMBERS[[#This Row],[AvailableToAllSchools]]=FALSE,IF(ISBLANK(MEMBERS[[#This Row],[SchoolCodes]]),1,0),IF(MEMBERS[[#This Row],[AvailableToAllSchools]]=TRUE,IF(ISBLANK(MEMBERS[[#This Row],[SchoolCodes]]),0,1)))</f>
        <v>0</v>
      </c>
      <c r="F228" s="57">
        <f>IF(ISBLANK(MEMBERS[[#This Row],[ServiceEndDate]]),0,IF(MEMBERS[[#This Row],[ServiceStartDate]]&lt;MEMBERS[[#This Row],[ServiceEndDate]],0,1))</f>
        <v>0</v>
      </c>
      <c r="G228" s="57" cm="1">
        <f t="array" aca="1" ref="G228" ca="1">IF(CELL("format",MEMBERS[[#This Row],[ServiceStartDate]])="D1",0,1)+IF(CELL("format",MEMBERS[[#This Row],[ServiceEndDate]])="D1",0,1)</f>
        <v>0</v>
      </c>
      <c r="H22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28" s="57">
        <f>IF(LEN(MEMBERS[[#This Row],[StaffMemberCode]])&lt;100,0,1)</f>
        <v>0</v>
      </c>
      <c r="J228" s="57">
        <f>IF(LEN(MEMBERS[[#This Row],[Title]])&lt;100,0,1)</f>
        <v>0</v>
      </c>
      <c r="K228" s="57">
        <f>COUNTBLANK(MEMBERS[[#This Row],[StaffMemberCode]:[ServiceStartDate]])+COUNTBLANK(MEMBERS[[#This Row],[Apprenticeship]]:MEMBERS[[#This Row],[StaffMemberEnabled]])+COUNTBLANK(MEMBERS[[#This Row],[GenderCode]]:MEMBERS[[#This Row],[Casual]])</f>
        <v>0</v>
      </c>
      <c r="L228" s="57">
        <f>IF(SUBSTITUTE(TEXT(MEMBERS[[#This Row],[StaffMemberCode]],10)," ","")=TEXT(MEMBERS[[#This Row],[StaffMemberCode]],10),0,1)</f>
        <v>0</v>
      </c>
      <c r="M228" s="57">
        <f ca="1">SUM(MEMBERS[[#This Row],[Duplicate NameService Start]:[Space in Code]])</f>
        <v>0</v>
      </c>
      <c r="O228" s="15">
        <v>10015935</v>
      </c>
      <c r="P228" s="15" t="s">
        <v>3257</v>
      </c>
      <c r="Q228" s="15" t="s">
        <v>4056</v>
      </c>
      <c r="R228" s="133" t="str">
        <f>MEMBERS[[#This Row],[FirstName]]&amp;" "&amp;MEMBERS[[#This Row],[LastName]]</f>
        <v>Emma Pemberton</v>
      </c>
      <c r="S228" s="21">
        <v>45786</v>
      </c>
      <c r="U228" s="21">
        <v>26745</v>
      </c>
      <c r="V228" s="138" t="b">
        <v>0</v>
      </c>
      <c r="W228" t="b">
        <v>0</v>
      </c>
      <c r="X228" t="b">
        <v>0</v>
      </c>
      <c r="Y228" t="s">
        <v>2126</v>
      </c>
      <c r="Z228" t="b">
        <v>1</v>
      </c>
      <c r="AB228" t="s">
        <v>1571</v>
      </c>
      <c r="AC228" t="b">
        <v>0</v>
      </c>
    </row>
    <row r="229" spans="1:29" x14ac:dyDescent="0.3">
      <c r="A229" s="57" t="str">
        <f>MEMBERS[[#This Row],[Title]]&amp;MEMBERS[[#This Row],[ServiceStartDate]]</f>
        <v>Emma Potts44676</v>
      </c>
      <c r="B229" s="57">
        <f>IF(COUNTIF(MEMBERS[NameServiceStart],MEMBERS[[#This Row],[NameServiceStart]])=1,0,1)</f>
        <v>0</v>
      </c>
      <c r="C229" s="57">
        <f>IF(COUNTIF(MEMBERS[StaffMemberCode],MEMBERS[[#This Row],[StaffMemberCode]])=1,0,1)</f>
        <v>0</v>
      </c>
      <c r="D229" s="57">
        <f>IF(ISBLANK(MEMBERS[[#This Row],[PayrollLocation]]),0,IF(COUNTIF(SCHOOLS[SchoolCode],MEMBERS[[#This Row],[PayrollLocation]])=1,0,1))</f>
        <v>0</v>
      </c>
      <c r="E229" s="57">
        <f>IF(MEMBERS[[#This Row],[AvailableToAllSchools]]=FALSE,IF(ISBLANK(MEMBERS[[#This Row],[SchoolCodes]]),1,0),IF(MEMBERS[[#This Row],[AvailableToAllSchools]]=TRUE,IF(ISBLANK(MEMBERS[[#This Row],[SchoolCodes]]),0,1)))</f>
        <v>0</v>
      </c>
      <c r="F229" s="57">
        <f>IF(ISBLANK(MEMBERS[[#This Row],[ServiceEndDate]]),0,IF(MEMBERS[[#This Row],[ServiceStartDate]]&lt;MEMBERS[[#This Row],[ServiceEndDate]],0,1))</f>
        <v>0</v>
      </c>
      <c r="G229" s="57" cm="1">
        <f t="array" aca="1" ref="G229" ca="1">IF(CELL("format",MEMBERS[[#This Row],[ServiceStartDate]])="D1",0,1)+IF(CELL("format",MEMBERS[[#This Row],[ServiceEndDate]])="D1",0,1)</f>
        <v>0</v>
      </c>
      <c r="H22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29" s="57">
        <f>IF(LEN(MEMBERS[[#This Row],[StaffMemberCode]])&lt;100,0,1)</f>
        <v>0</v>
      </c>
      <c r="J229" s="57">
        <f>IF(LEN(MEMBERS[[#This Row],[Title]])&lt;100,0,1)</f>
        <v>0</v>
      </c>
      <c r="K229" s="57">
        <f>COUNTBLANK(MEMBERS[[#This Row],[StaffMemberCode]:[ServiceStartDate]])+COUNTBLANK(MEMBERS[[#This Row],[Apprenticeship]]:MEMBERS[[#This Row],[StaffMemberEnabled]])+COUNTBLANK(MEMBERS[[#This Row],[GenderCode]]:MEMBERS[[#This Row],[Casual]])</f>
        <v>0</v>
      </c>
      <c r="L229" s="57">
        <f>IF(SUBSTITUTE(TEXT(MEMBERS[[#This Row],[StaffMemberCode]],10)," ","")=TEXT(MEMBERS[[#This Row],[StaffMemberCode]],10),0,1)</f>
        <v>0</v>
      </c>
      <c r="M229" s="57">
        <f ca="1">SUM(MEMBERS[[#This Row],[Duplicate NameService Start]:[Space in Code]])</f>
        <v>0</v>
      </c>
      <c r="O229" s="15">
        <v>10010134</v>
      </c>
      <c r="P229" s="15" t="s">
        <v>3257</v>
      </c>
      <c r="Q229" s="15" t="s">
        <v>3625</v>
      </c>
      <c r="R229" s="133" t="str">
        <f>MEMBERS[[#This Row],[FirstName]]&amp;" "&amp;MEMBERS[[#This Row],[LastName]]</f>
        <v>Emma Potts</v>
      </c>
      <c r="S229" s="21">
        <v>44676</v>
      </c>
      <c r="U229" s="21">
        <v>33603</v>
      </c>
      <c r="V229" s="138" t="b">
        <v>0</v>
      </c>
      <c r="W229" t="b">
        <v>0</v>
      </c>
      <c r="X229" t="b">
        <v>0</v>
      </c>
      <c r="Y229" t="s">
        <v>2126</v>
      </c>
      <c r="Z229" t="b">
        <v>1</v>
      </c>
      <c r="AB229" t="s">
        <v>1571</v>
      </c>
      <c r="AC229" t="b">
        <v>0</v>
      </c>
    </row>
    <row r="230" spans="1:29" x14ac:dyDescent="0.3">
      <c r="A230" s="57" t="str">
        <f>MEMBERS[[#This Row],[Title]]&amp;MEMBERS[[#This Row],[ServiceStartDate]]</f>
        <v>Emma Shilton40549</v>
      </c>
      <c r="B230" s="57">
        <f>IF(COUNTIF(MEMBERS[NameServiceStart],MEMBERS[[#This Row],[NameServiceStart]])=1,0,1)</f>
        <v>0</v>
      </c>
      <c r="C230" s="57">
        <f>IF(COUNTIF(MEMBERS[StaffMemberCode],MEMBERS[[#This Row],[StaffMemberCode]])=1,0,1)</f>
        <v>0</v>
      </c>
      <c r="D230" s="57">
        <f>IF(ISBLANK(MEMBERS[[#This Row],[PayrollLocation]]),0,IF(COUNTIF(SCHOOLS[SchoolCode],MEMBERS[[#This Row],[PayrollLocation]])=1,0,1))</f>
        <v>0</v>
      </c>
      <c r="E230" s="57">
        <f>IF(MEMBERS[[#This Row],[AvailableToAllSchools]]=FALSE,IF(ISBLANK(MEMBERS[[#This Row],[SchoolCodes]]),1,0),IF(MEMBERS[[#This Row],[AvailableToAllSchools]]=TRUE,IF(ISBLANK(MEMBERS[[#This Row],[SchoolCodes]]),0,1)))</f>
        <v>0</v>
      </c>
      <c r="F230" s="57">
        <f>IF(ISBLANK(MEMBERS[[#This Row],[ServiceEndDate]]),0,IF(MEMBERS[[#This Row],[ServiceStartDate]]&lt;MEMBERS[[#This Row],[ServiceEndDate]],0,1))</f>
        <v>0</v>
      </c>
      <c r="G230" s="57" cm="1">
        <f t="array" aca="1" ref="G230" ca="1">IF(CELL("format",MEMBERS[[#This Row],[ServiceStartDate]])="D1",0,1)+IF(CELL("format",MEMBERS[[#This Row],[ServiceEndDate]])="D1",0,1)</f>
        <v>0</v>
      </c>
      <c r="H23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30" s="57">
        <f>IF(LEN(MEMBERS[[#This Row],[StaffMemberCode]])&lt;100,0,1)</f>
        <v>0</v>
      </c>
      <c r="J230" s="57">
        <f>IF(LEN(MEMBERS[[#This Row],[Title]])&lt;100,0,1)</f>
        <v>0</v>
      </c>
      <c r="K230" s="57">
        <f>COUNTBLANK(MEMBERS[[#This Row],[StaffMemberCode]:[ServiceStartDate]])+COUNTBLANK(MEMBERS[[#This Row],[Apprenticeship]]:MEMBERS[[#This Row],[StaffMemberEnabled]])+COUNTBLANK(MEMBERS[[#This Row],[GenderCode]]:MEMBERS[[#This Row],[Casual]])</f>
        <v>0</v>
      </c>
      <c r="L230" s="57">
        <f>IF(SUBSTITUTE(TEXT(MEMBERS[[#This Row],[StaffMemberCode]],10)," ","")=TEXT(MEMBERS[[#This Row],[StaffMemberCode]],10),0,1)</f>
        <v>0</v>
      </c>
      <c r="M230" s="57">
        <f ca="1">SUM(MEMBERS[[#This Row],[Duplicate NameService Start]:[Space in Code]])</f>
        <v>0</v>
      </c>
      <c r="O230" s="15">
        <v>91073423</v>
      </c>
      <c r="P230" s="15" t="s">
        <v>3257</v>
      </c>
      <c r="Q230" s="15" t="s">
        <v>3606</v>
      </c>
      <c r="R230" s="133" t="str">
        <f>MEMBERS[[#This Row],[FirstName]]&amp;" "&amp;MEMBERS[[#This Row],[LastName]]</f>
        <v>Emma Shilton</v>
      </c>
      <c r="S230" s="21">
        <v>40549</v>
      </c>
      <c r="U230" s="21">
        <v>29763</v>
      </c>
      <c r="V230" t="b">
        <v>0</v>
      </c>
      <c r="W230" t="b">
        <v>0</v>
      </c>
      <c r="X230" t="b">
        <v>0</v>
      </c>
      <c r="Y230" t="s">
        <v>2275</v>
      </c>
      <c r="Z230" t="b">
        <v>1</v>
      </c>
      <c r="AB230" t="s">
        <v>1571</v>
      </c>
      <c r="AC230" t="b">
        <v>0</v>
      </c>
    </row>
    <row r="231" spans="1:29" x14ac:dyDescent="0.3">
      <c r="A231" s="57" t="str">
        <f>MEMBERS[[#This Row],[Title]]&amp;MEMBERS[[#This Row],[ServiceStartDate]]</f>
        <v>Emma Small44205</v>
      </c>
      <c r="B231" s="57">
        <f>IF(COUNTIF(MEMBERS[NameServiceStart],MEMBERS[[#This Row],[NameServiceStart]])=1,0,1)</f>
        <v>0</v>
      </c>
      <c r="C231" s="57">
        <f>IF(COUNTIF(MEMBERS[StaffMemberCode],MEMBERS[[#This Row],[StaffMemberCode]])=1,0,1)</f>
        <v>0</v>
      </c>
      <c r="D231" s="57">
        <f>IF(ISBLANK(MEMBERS[[#This Row],[PayrollLocation]]),0,IF(COUNTIF(SCHOOLS[SchoolCode],MEMBERS[[#This Row],[PayrollLocation]])=1,0,1))</f>
        <v>0</v>
      </c>
      <c r="E231" s="57">
        <f>IF(MEMBERS[[#This Row],[AvailableToAllSchools]]=FALSE,IF(ISBLANK(MEMBERS[[#This Row],[SchoolCodes]]),1,0),IF(MEMBERS[[#This Row],[AvailableToAllSchools]]=TRUE,IF(ISBLANK(MEMBERS[[#This Row],[SchoolCodes]]),0,1)))</f>
        <v>0</v>
      </c>
      <c r="F231" s="57">
        <f>IF(ISBLANK(MEMBERS[[#This Row],[ServiceEndDate]]),0,IF(MEMBERS[[#This Row],[ServiceStartDate]]&lt;MEMBERS[[#This Row],[ServiceEndDate]],0,1))</f>
        <v>0</v>
      </c>
      <c r="G231" s="57" cm="1">
        <f t="array" aca="1" ref="G231" ca="1">IF(CELL("format",MEMBERS[[#This Row],[ServiceStartDate]])="D1",0,1)+IF(CELL("format",MEMBERS[[#This Row],[ServiceEndDate]])="D1",0,1)</f>
        <v>0</v>
      </c>
      <c r="H23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31" s="57">
        <f>IF(LEN(MEMBERS[[#This Row],[StaffMemberCode]])&lt;100,0,1)</f>
        <v>0</v>
      </c>
      <c r="J231" s="57">
        <f>IF(LEN(MEMBERS[[#This Row],[Title]])&lt;100,0,1)</f>
        <v>0</v>
      </c>
      <c r="K231" s="57">
        <f>COUNTBLANK(MEMBERS[[#This Row],[StaffMemberCode]:[ServiceStartDate]])+COUNTBLANK(MEMBERS[[#This Row],[Apprenticeship]]:MEMBERS[[#This Row],[StaffMemberEnabled]])+COUNTBLANK(MEMBERS[[#This Row],[GenderCode]]:MEMBERS[[#This Row],[Casual]])</f>
        <v>0</v>
      </c>
      <c r="L231" s="57">
        <f>IF(SUBSTITUTE(TEXT(MEMBERS[[#This Row],[StaffMemberCode]],10)," ","")=TEXT(MEMBERS[[#This Row],[StaffMemberCode]],10),0,1)</f>
        <v>0</v>
      </c>
      <c r="M231" s="57">
        <f ca="1">SUM(MEMBERS[[#This Row],[Duplicate NameService Start]:[Space in Code]])</f>
        <v>0</v>
      </c>
      <c r="O231" s="15">
        <v>91073509</v>
      </c>
      <c r="P231" s="15" t="s">
        <v>3257</v>
      </c>
      <c r="Q231" s="15" t="s">
        <v>3607</v>
      </c>
      <c r="R231" s="133" t="str">
        <f>MEMBERS[[#This Row],[FirstName]]&amp;" "&amp;MEMBERS[[#This Row],[LastName]]</f>
        <v>Emma Small</v>
      </c>
      <c r="S231" s="21">
        <v>44205</v>
      </c>
      <c r="U231" s="21">
        <v>31742</v>
      </c>
      <c r="V231" t="b">
        <v>0</v>
      </c>
      <c r="W231" t="b">
        <v>0</v>
      </c>
      <c r="X231" t="b">
        <v>0</v>
      </c>
      <c r="Y231" t="s">
        <v>2094</v>
      </c>
      <c r="Z231" t="b">
        <v>1</v>
      </c>
      <c r="AB231" t="s">
        <v>1571</v>
      </c>
      <c r="AC231" t="b">
        <v>0</v>
      </c>
    </row>
    <row r="232" spans="1:29" x14ac:dyDescent="0.3">
      <c r="A232" s="57" t="str">
        <f>MEMBERS[[#This Row],[Title]]&amp;MEMBERS[[#This Row],[ServiceStartDate]]</f>
        <v>Emma White43752</v>
      </c>
      <c r="B232" s="57">
        <f>IF(COUNTIF(MEMBERS[NameServiceStart],MEMBERS[[#This Row],[NameServiceStart]])=1,0,1)</f>
        <v>0</v>
      </c>
      <c r="C232" s="57">
        <f>IF(COUNTIF(MEMBERS[StaffMemberCode],MEMBERS[[#This Row],[StaffMemberCode]])=1,0,1)</f>
        <v>0</v>
      </c>
      <c r="D232" s="57">
        <f>IF(ISBLANK(MEMBERS[[#This Row],[PayrollLocation]]),0,IF(COUNTIF(SCHOOLS[SchoolCode],MEMBERS[[#This Row],[PayrollLocation]])=1,0,1))</f>
        <v>0</v>
      </c>
      <c r="E232" s="57">
        <f>IF(MEMBERS[[#This Row],[AvailableToAllSchools]]=FALSE,IF(ISBLANK(MEMBERS[[#This Row],[SchoolCodes]]),1,0),IF(MEMBERS[[#This Row],[AvailableToAllSchools]]=TRUE,IF(ISBLANK(MEMBERS[[#This Row],[SchoolCodes]]),0,1)))</f>
        <v>0</v>
      </c>
      <c r="F232" s="57">
        <f>IF(ISBLANK(MEMBERS[[#This Row],[ServiceEndDate]]),0,IF(MEMBERS[[#This Row],[ServiceStartDate]]&lt;MEMBERS[[#This Row],[ServiceEndDate]],0,1))</f>
        <v>0</v>
      </c>
      <c r="G232" s="57" cm="1">
        <f t="array" aca="1" ref="G232" ca="1">IF(CELL("format",MEMBERS[[#This Row],[ServiceStartDate]])="D1",0,1)+IF(CELL("format",MEMBERS[[#This Row],[ServiceEndDate]])="D1",0,1)</f>
        <v>0</v>
      </c>
      <c r="H23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32" s="57">
        <f>IF(LEN(MEMBERS[[#This Row],[StaffMemberCode]])&lt;100,0,1)</f>
        <v>0</v>
      </c>
      <c r="J232" s="57">
        <f>IF(LEN(MEMBERS[[#This Row],[Title]])&lt;100,0,1)</f>
        <v>0</v>
      </c>
      <c r="K232" s="57">
        <f>COUNTBLANK(MEMBERS[[#This Row],[StaffMemberCode]:[ServiceStartDate]])+COUNTBLANK(MEMBERS[[#This Row],[Apprenticeship]]:MEMBERS[[#This Row],[StaffMemberEnabled]])+COUNTBLANK(MEMBERS[[#This Row],[GenderCode]]:MEMBERS[[#This Row],[Casual]])</f>
        <v>0</v>
      </c>
      <c r="L232" s="57">
        <f>IF(SUBSTITUTE(TEXT(MEMBERS[[#This Row],[StaffMemberCode]],10)," ","")=TEXT(MEMBERS[[#This Row],[StaffMemberCode]],10),0,1)</f>
        <v>0</v>
      </c>
      <c r="M232" s="57">
        <f ca="1">SUM(MEMBERS[[#This Row],[Duplicate NameService Start]:[Space in Code]])</f>
        <v>0</v>
      </c>
      <c r="O232" s="15">
        <v>91073532</v>
      </c>
      <c r="P232" s="15" t="s">
        <v>3257</v>
      </c>
      <c r="Q232" s="15" t="s">
        <v>3608</v>
      </c>
      <c r="R232" s="133" t="str">
        <f>MEMBERS[[#This Row],[FirstName]]&amp;" "&amp;MEMBERS[[#This Row],[LastName]]</f>
        <v>Emma White</v>
      </c>
      <c r="S232" s="21">
        <v>43752</v>
      </c>
      <c r="U232" s="21">
        <v>28059</v>
      </c>
      <c r="V232" t="b">
        <v>0</v>
      </c>
      <c r="W232" t="b">
        <v>0</v>
      </c>
      <c r="X232" t="b">
        <v>0</v>
      </c>
      <c r="Y232" t="s">
        <v>2094</v>
      </c>
      <c r="Z232" t="b">
        <v>1</v>
      </c>
      <c r="AB232" t="s">
        <v>1571</v>
      </c>
      <c r="AC232" t="b">
        <v>0</v>
      </c>
    </row>
    <row r="233" spans="1:29" x14ac:dyDescent="0.3">
      <c r="A233" s="57" t="str">
        <f>MEMBERS[[#This Row],[Title]]&amp;MEMBERS[[#This Row],[ServiceStartDate]]</f>
        <v>Emmie Gabbatiss37622</v>
      </c>
      <c r="B233" s="57">
        <f>IF(COUNTIF(MEMBERS[NameServiceStart],MEMBERS[[#This Row],[NameServiceStart]])=1,0,1)</f>
        <v>0</v>
      </c>
      <c r="C233" s="57">
        <f>IF(COUNTIF(MEMBERS[StaffMemberCode],MEMBERS[[#This Row],[StaffMemberCode]])=1,0,1)</f>
        <v>0</v>
      </c>
      <c r="D233" s="57">
        <f>IF(ISBLANK(MEMBERS[[#This Row],[PayrollLocation]]),0,IF(COUNTIF(SCHOOLS[SchoolCode],MEMBERS[[#This Row],[PayrollLocation]])=1,0,1))</f>
        <v>0</v>
      </c>
      <c r="E233" s="57">
        <f>IF(MEMBERS[[#This Row],[AvailableToAllSchools]]=FALSE,IF(ISBLANK(MEMBERS[[#This Row],[SchoolCodes]]),1,0),IF(MEMBERS[[#This Row],[AvailableToAllSchools]]=TRUE,IF(ISBLANK(MEMBERS[[#This Row],[SchoolCodes]]),0,1)))</f>
        <v>0</v>
      </c>
      <c r="F233" s="57">
        <f>IF(ISBLANK(MEMBERS[[#This Row],[ServiceEndDate]]),0,IF(MEMBERS[[#This Row],[ServiceStartDate]]&lt;MEMBERS[[#This Row],[ServiceEndDate]],0,1))</f>
        <v>0</v>
      </c>
      <c r="G233" s="57" cm="1">
        <f t="array" aca="1" ref="G233" ca="1">IF(CELL("format",MEMBERS[[#This Row],[ServiceStartDate]])="D1",0,1)+IF(CELL("format",MEMBERS[[#This Row],[ServiceEndDate]])="D1",0,1)</f>
        <v>0</v>
      </c>
      <c r="H23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33" s="57">
        <f>IF(LEN(MEMBERS[[#This Row],[StaffMemberCode]])&lt;100,0,1)</f>
        <v>0</v>
      </c>
      <c r="J233" s="57">
        <f>IF(LEN(MEMBERS[[#This Row],[Title]])&lt;100,0,1)</f>
        <v>0</v>
      </c>
      <c r="K233" s="57">
        <f>COUNTBLANK(MEMBERS[[#This Row],[StaffMemberCode]:[ServiceStartDate]])+COUNTBLANK(MEMBERS[[#This Row],[Apprenticeship]]:MEMBERS[[#This Row],[StaffMemberEnabled]])+COUNTBLANK(MEMBERS[[#This Row],[GenderCode]]:MEMBERS[[#This Row],[Casual]])</f>
        <v>0</v>
      </c>
      <c r="L233" s="57">
        <f>IF(SUBSTITUTE(TEXT(MEMBERS[[#This Row],[StaffMemberCode]],10)," ","")=TEXT(MEMBERS[[#This Row],[StaffMemberCode]],10),0,1)</f>
        <v>0</v>
      </c>
      <c r="M233" s="57">
        <f ca="1">SUM(MEMBERS[[#This Row],[Duplicate NameService Start]:[Space in Code]])</f>
        <v>0</v>
      </c>
      <c r="O233" s="15">
        <v>10005293</v>
      </c>
      <c r="P233" s="15" t="s">
        <v>3966</v>
      </c>
      <c r="Q233" s="15" t="s">
        <v>4057</v>
      </c>
      <c r="R233" s="133" t="str">
        <f>MEMBERS[[#This Row],[FirstName]]&amp;" "&amp;MEMBERS[[#This Row],[LastName]]</f>
        <v>Emmie Gabbatiss</v>
      </c>
      <c r="S233" s="21">
        <v>37622</v>
      </c>
      <c r="U233" s="21">
        <v>29262</v>
      </c>
      <c r="V233" s="138" t="b">
        <v>0</v>
      </c>
      <c r="W233" t="b">
        <v>0</v>
      </c>
      <c r="X233" t="b">
        <v>0</v>
      </c>
      <c r="Y233" t="s">
        <v>2126</v>
      </c>
      <c r="Z233" t="b">
        <v>1</v>
      </c>
      <c r="AB233" t="s">
        <v>1571</v>
      </c>
      <c r="AC233" t="b">
        <v>0</v>
      </c>
    </row>
    <row r="234" spans="1:29" x14ac:dyDescent="0.3">
      <c r="A234" s="57" t="str">
        <f>MEMBERS[[#This Row],[Title]]&amp;MEMBERS[[#This Row],[ServiceStartDate]]</f>
        <v>Erica Eagles42739</v>
      </c>
      <c r="B234" s="57">
        <f>IF(COUNTIF(MEMBERS[NameServiceStart],MEMBERS[[#This Row],[NameServiceStart]])=1,0,1)</f>
        <v>0</v>
      </c>
      <c r="C234" s="57">
        <f>IF(COUNTIF(MEMBERS[StaffMemberCode],MEMBERS[[#This Row],[StaffMemberCode]])=1,0,1)</f>
        <v>0</v>
      </c>
      <c r="D234" s="57">
        <f>IF(ISBLANK(MEMBERS[[#This Row],[PayrollLocation]]),0,IF(COUNTIF(SCHOOLS[SchoolCode],MEMBERS[[#This Row],[PayrollLocation]])=1,0,1))</f>
        <v>0</v>
      </c>
      <c r="E234" s="57">
        <f>IF(MEMBERS[[#This Row],[AvailableToAllSchools]]=FALSE,IF(ISBLANK(MEMBERS[[#This Row],[SchoolCodes]]),1,0),IF(MEMBERS[[#This Row],[AvailableToAllSchools]]=TRUE,IF(ISBLANK(MEMBERS[[#This Row],[SchoolCodes]]),0,1)))</f>
        <v>0</v>
      </c>
      <c r="F234" s="57">
        <f>IF(ISBLANK(MEMBERS[[#This Row],[ServiceEndDate]]),0,IF(MEMBERS[[#This Row],[ServiceStartDate]]&lt;MEMBERS[[#This Row],[ServiceEndDate]],0,1))</f>
        <v>0</v>
      </c>
      <c r="G234" s="57" cm="1">
        <f t="array" aca="1" ref="G234" ca="1">IF(CELL("format",MEMBERS[[#This Row],[ServiceStartDate]])="D1",0,1)+IF(CELL("format",MEMBERS[[#This Row],[ServiceEndDate]])="D1",0,1)</f>
        <v>0</v>
      </c>
      <c r="H23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34" s="57">
        <f>IF(LEN(MEMBERS[[#This Row],[StaffMemberCode]])&lt;100,0,1)</f>
        <v>0</v>
      </c>
      <c r="J234" s="57">
        <f>IF(LEN(MEMBERS[[#This Row],[Title]])&lt;100,0,1)</f>
        <v>0</v>
      </c>
      <c r="K234" s="57">
        <f>COUNTBLANK(MEMBERS[[#This Row],[StaffMemberCode]:[ServiceStartDate]])+COUNTBLANK(MEMBERS[[#This Row],[Apprenticeship]]:MEMBERS[[#This Row],[StaffMemberEnabled]])+COUNTBLANK(MEMBERS[[#This Row],[GenderCode]]:MEMBERS[[#This Row],[Casual]])</f>
        <v>0</v>
      </c>
      <c r="L234" s="57">
        <f>IF(SUBSTITUTE(TEXT(MEMBERS[[#This Row],[StaffMemberCode]],10)," ","")=TEXT(MEMBERS[[#This Row],[StaffMemberCode]],10),0,1)</f>
        <v>0</v>
      </c>
      <c r="M234" s="57">
        <f ca="1">SUM(MEMBERS[[#This Row],[Duplicate NameService Start]:[Space in Code]])</f>
        <v>0</v>
      </c>
      <c r="O234" s="15">
        <v>91073519</v>
      </c>
      <c r="P234" s="15" t="s">
        <v>3258</v>
      </c>
      <c r="Q234" s="15" t="s">
        <v>3609</v>
      </c>
      <c r="R234" s="133" t="str">
        <f>MEMBERS[[#This Row],[FirstName]]&amp;" "&amp;MEMBERS[[#This Row],[LastName]]</f>
        <v>Erica Eagles</v>
      </c>
      <c r="S234" s="21">
        <v>42739</v>
      </c>
      <c r="U234" s="21">
        <v>28678</v>
      </c>
      <c r="V234" t="b">
        <v>0</v>
      </c>
      <c r="W234" t="b">
        <v>0</v>
      </c>
      <c r="X234" t="b">
        <v>0</v>
      </c>
      <c r="Y234" t="s">
        <v>2094</v>
      </c>
      <c r="Z234" t="b">
        <v>1</v>
      </c>
      <c r="AB234" t="s">
        <v>1571</v>
      </c>
      <c r="AC234" t="b">
        <v>0</v>
      </c>
    </row>
    <row r="235" spans="1:29" x14ac:dyDescent="0.3">
      <c r="A235" s="57" t="str">
        <f>MEMBERS[[#This Row],[Title]]&amp;MEMBERS[[#This Row],[ServiceStartDate]]</f>
        <v>Esme Brayford44984</v>
      </c>
      <c r="B235" s="57">
        <f>IF(COUNTIF(MEMBERS[NameServiceStart],MEMBERS[[#This Row],[NameServiceStart]])=1,0,1)</f>
        <v>0</v>
      </c>
      <c r="C235" s="57">
        <f>IF(COUNTIF(MEMBERS[StaffMemberCode],MEMBERS[[#This Row],[StaffMemberCode]])=1,0,1)</f>
        <v>0</v>
      </c>
      <c r="D235" s="57">
        <f>IF(ISBLANK(MEMBERS[[#This Row],[PayrollLocation]]),0,IF(COUNTIF(SCHOOLS[SchoolCode],MEMBERS[[#This Row],[PayrollLocation]])=1,0,1))</f>
        <v>0</v>
      </c>
      <c r="E235" s="57">
        <f>IF(MEMBERS[[#This Row],[AvailableToAllSchools]]=FALSE,IF(ISBLANK(MEMBERS[[#This Row],[SchoolCodes]]),1,0),IF(MEMBERS[[#This Row],[AvailableToAllSchools]]=TRUE,IF(ISBLANK(MEMBERS[[#This Row],[SchoolCodes]]),0,1)))</f>
        <v>0</v>
      </c>
      <c r="F235" s="57">
        <f>IF(ISBLANK(MEMBERS[[#This Row],[ServiceEndDate]]),0,IF(MEMBERS[[#This Row],[ServiceStartDate]]&lt;MEMBERS[[#This Row],[ServiceEndDate]],0,1))</f>
        <v>0</v>
      </c>
      <c r="G235" s="57" cm="1">
        <f t="array" aca="1" ref="G235" ca="1">IF(CELL("format",MEMBERS[[#This Row],[ServiceStartDate]])="D1",0,1)+IF(CELL("format",MEMBERS[[#This Row],[ServiceEndDate]])="D1",0,1)</f>
        <v>0</v>
      </c>
      <c r="H23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35" s="57">
        <f>IF(LEN(MEMBERS[[#This Row],[StaffMemberCode]])&lt;100,0,1)</f>
        <v>0</v>
      </c>
      <c r="J235" s="57">
        <f>IF(LEN(MEMBERS[[#This Row],[Title]])&lt;100,0,1)</f>
        <v>0</v>
      </c>
      <c r="K235" s="57">
        <f>COUNTBLANK(MEMBERS[[#This Row],[StaffMemberCode]:[ServiceStartDate]])+COUNTBLANK(MEMBERS[[#This Row],[Apprenticeship]]:MEMBERS[[#This Row],[StaffMemberEnabled]])+COUNTBLANK(MEMBERS[[#This Row],[GenderCode]]:MEMBERS[[#This Row],[Casual]])</f>
        <v>0</v>
      </c>
      <c r="L235" s="57">
        <f>IF(SUBSTITUTE(TEXT(MEMBERS[[#This Row],[StaffMemberCode]],10)," ","")=TEXT(MEMBERS[[#This Row],[StaffMemberCode]],10),0,1)</f>
        <v>0</v>
      </c>
      <c r="M235" s="57">
        <f ca="1">SUM(MEMBERS[[#This Row],[Duplicate NameService Start]:[Space in Code]])</f>
        <v>0</v>
      </c>
      <c r="O235" s="15">
        <v>10011370</v>
      </c>
      <c r="P235" s="15" t="s">
        <v>3967</v>
      </c>
      <c r="Q235" s="15" t="s">
        <v>4058</v>
      </c>
      <c r="R235" s="133" t="str">
        <f>MEMBERS[[#This Row],[FirstName]]&amp;" "&amp;MEMBERS[[#This Row],[LastName]]</f>
        <v>Esme Brayford</v>
      </c>
      <c r="S235" s="21">
        <v>44984</v>
      </c>
      <c r="U235" s="21">
        <v>38634</v>
      </c>
      <c r="V235" s="138" t="b">
        <v>0</v>
      </c>
      <c r="W235" t="b">
        <v>0</v>
      </c>
      <c r="X235" t="b">
        <v>0</v>
      </c>
      <c r="Y235" t="s">
        <v>2126</v>
      </c>
      <c r="Z235" t="b">
        <v>1</v>
      </c>
      <c r="AB235" t="s">
        <v>1571</v>
      </c>
      <c r="AC235" t="b">
        <v>1</v>
      </c>
    </row>
    <row r="236" spans="1:29" x14ac:dyDescent="0.3">
      <c r="A236" s="57" t="str">
        <f>MEMBERS[[#This Row],[Title]]&amp;MEMBERS[[#This Row],[ServiceStartDate]]</f>
        <v>Euan O'Neill44205</v>
      </c>
      <c r="B236" s="57">
        <f>IF(COUNTIF(MEMBERS[NameServiceStart],MEMBERS[[#This Row],[NameServiceStart]])=1,0,1)</f>
        <v>0</v>
      </c>
      <c r="C236" s="57">
        <f>IF(COUNTIF(MEMBERS[StaffMemberCode],MEMBERS[[#This Row],[StaffMemberCode]])=1,0,1)</f>
        <v>0</v>
      </c>
      <c r="D236" s="57">
        <f>IF(ISBLANK(MEMBERS[[#This Row],[PayrollLocation]]),0,IF(COUNTIF(SCHOOLS[SchoolCode],MEMBERS[[#This Row],[PayrollLocation]])=1,0,1))</f>
        <v>0</v>
      </c>
      <c r="E236" s="57">
        <f>IF(MEMBERS[[#This Row],[AvailableToAllSchools]]=FALSE,IF(ISBLANK(MEMBERS[[#This Row],[SchoolCodes]]),1,0),IF(MEMBERS[[#This Row],[AvailableToAllSchools]]=TRUE,IF(ISBLANK(MEMBERS[[#This Row],[SchoolCodes]]),0,1)))</f>
        <v>0</v>
      </c>
      <c r="F236" s="57">
        <f>IF(ISBLANK(MEMBERS[[#This Row],[ServiceEndDate]]),0,IF(MEMBERS[[#This Row],[ServiceStartDate]]&lt;MEMBERS[[#This Row],[ServiceEndDate]],0,1))</f>
        <v>0</v>
      </c>
      <c r="G236" s="57" cm="1">
        <f t="array" aca="1" ref="G236" ca="1">IF(CELL("format",MEMBERS[[#This Row],[ServiceStartDate]])="D1",0,1)+IF(CELL("format",MEMBERS[[#This Row],[ServiceEndDate]])="D1",0,1)</f>
        <v>0</v>
      </c>
      <c r="H23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36" s="57">
        <f>IF(LEN(MEMBERS[[#This Row],[StaffMemberCode]])&lt;100,0,1)</f>
        <v>0</v>
      </c>
      <c r="J236" s="57">
        <f>IF(LEN(MEMBERS[[#This Row],[Title]])&lt;100,0,1)</f>
        <v>0</v>
      </c>
      <c r="K236" s="57">
        <f>COUNTBLANK(MEMBERS[[#This Row],[StaffMemberCode]:[ServiceStartDate]])+COUNTBLANK(MEMBERS[[#This Row],[Apprenticeship]]:MEMBERS[[#This Row],[StaffMemberEnabled]])+COUNTBLANK(MEMBERS[[#This Row],[GenderCode]]:MEMBERS[[#This Row],[Casual]])</f>
        <v>0</v>
      </c>
      <c r="L236" s="57">
        <f>IF(SUBSTITUTE(TEXT(MEMBERS[[#This Row],[StaffMemberCode]],10)," ","")=TEXT(MEMBERS[[#This Row],[StaffMemberCode]],10),0,1)</f>
        <v>0</v>
      </c>
      <c r="M236" s="57">
        <f ca="1">SUM(MEMBERS[[#This Row],[Duplicate NameService Start]:[Space in Code]])</f>
        <v>0</v>
      </c>
      <c r="O236" s="15">
        <v>91073781</v>
      </c>
      <c r="P236" s="15" t="s">
        <v>3259</v>
      </c>
      <c r="Q236" s="15" t="s">
        <v>3483</v>
      </c>
      <c r="R236" s="133" t="str">
        <f>MEMBERS[[#This Row],[FirstName]]&amp;" "&amp;MEMBERS[[#This Row],[LastName]]</f>
        <v>Euan O'Neill</v>
      </c>
      <c r="S236" s="21">
        <v>44205</v>
      </c>
      <c r="U236" s="21">
        <v>37408</v>
      </c>
      <c r="V236" t="b">
        <v>0</v>
      </c>
      <c r="W236" t="b">
        <v>0</v>
      </c>
      <c r="X236" t="b">
        <v>0</v>
      </c>
      <c r="Y236" t="s">
        <v>2082</v>
      </c>
      <c r="Z236" t="b">
        <v>1</v>
      </c>
      <c r="AB236" t="s">
        <v>1572</v>
      </c>
      <c r="AC236" t="b">
        <v>1</v>
      </c>
    </row>
    <row r="237" spans="1:29" x14ac:dyDescent="0.3">
      <c r="A237" s="57" t="str">
        <f>MEMBERS[[#This Row],[Title]]&amp;MEMBERS[[#This Row],[ServiceStartDate]]</f>
        <v>Eve Heaword45932</v>
      </c>
      <c r="B237" s="57">
        <f>IF(COUNTIF(MEMBERS[NameServiceStart],MEMBERS[[#This Row],[NameServiceStart]])=1,0,1)</f>
        <v>0</v>
      </c>
      <c r="C237" s="57">
        <f>IF(COUNTIF(MEMBERS[StaffMemberCode],MEMBERS[[#This Row],[StaffMemberCode]])=1,0,1)</f>
        <v>0</v>
      </c>
      <c r="D237" s="57">
        <f>IF(ISBLANK(MEMBERS[[#This Row],[PayrollLocation]]),0,IF(COUNTIF(SCHOOLS[SchoolCode],MEMBERS[[#This Row],[PayrollLocation]])=1,0,1))</f>
        <v>0</v>
      </c>
      <c r="E237" s="57">
        <f>IF(MEMBERS[[#This Row],[AvailableToAllSchools]]=FALSE,IF(ISBLANK(MEMBERS[[#This Row],[SchoolCodes]]),1,0),IF(MEMBERS[[#This Row],[AvailableToAllSchools]]=TRUE,IF(ISBLANK(MEMBERS[[#This Row],[SchoolCodes]]),0,1)))</f>
        <v>0</v>
      </c>
      <c r="F237" s="57">
        <f>IF(ISBLANK(MEMBERS[[#This Row],[ServiceEndDate]]),0,IF(MEMBERS[[#This Row],[ServiceStartDate]]&lt;MEMBERS[[#This Row],[ServiceEndDate]],0,1))</f>
        <v>0</v>
      </c>
      <c r="G237" s="57" cm="1">
        <f t="array" aca="1" ref="G237" ca="1">IF(CELL("format",MEMBERS[[#This Row],[ServiceStartDate]])="D1",0,1)+IF(CELL("format",MEMBERS[[#This Row],[ServiceEndDate]])="D1",0,1)</f>
        <v>0</v>
      </c>
      <c r="H23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37" s="57">
        <f>IF(LEN(MEMBERS[[#This Row],[StaffMemberCode]])&lt;100,0,1)</f>
        <v>0</v>
      </c>
      <c r="J237" s="57">
        <f>IF(LEN(MEMBERS[[#This Row],[Title]])&lt;100,0,1)</f>
        <v>0</v>
      </c>
      <c r="K237" s="57">
        <f>COUNTBLANK(MEMBERS[[#This Row],[StaffMemberCode]:[ServiceStartDate]])+COUNTBLANK(MEMBERS[[#This Row],[Apprenticeship]]:MEMBERS[[#This Row],[StaffMemberEnabled]])+COUNTBLANK(MEMBERS[[#This Row],[GenderCode]]:MEMBERS[[#This Row],[Casual]])</f>
        <v>0</v>
      </c>
      <c r="L237" s="57">
        <f>IF(SUBSTITUTE(TEXT(MEMBERS[[#This Row],[StaffMemberCode]],10)," ","")=TEXT(MEMBERS[[#This Row],[StaffMemberCode]],10),0,1)</f>
        <v>0</v>
      </c>
      <c r="M237" s="57">
        <f ca="1">SUM(MEMBERS[[#This Row],[Duplicate NameService Start]:[Space in Code]])</f>
        <v>0</v>
      </c>
      <c r="O237" s="15">
        <v>10016425</v>
      </c>
      <c r="P237" s="15" t="s">
        <v>3968</v>
      </c>
      <c r="Q237" s="15" t="s">
        <v>4059</v>
      </c>
      <c r="R237" s="133" t="str">
        <f>MEMBERS[[#This Row],[FirstName]]&amp;" "&amp;MEMBERS[[#This Row],[LastName]]</f>
        <v>Eve Heaword</v>
      </c>
      <c r="S237" s="21">
        <v>45932</v>
      </c>
      <c r="U237" s="21">
        <v>37200</v>
      </c>
      <c r="V237" s="138" t="b">
        <v>0</v>
      </c>
      <c r="W237" t="b">
        <v>0</v>
      </c>
      <c r="X237" t="b">
        <v>0</v>
      </c>
      <c r="Y237" t="s">
        <v>2126</v>
      </c>
      <c r="Z237" t="b">
        <v>1</v>
      </c>
      <c r="AB237" t="s">
        <v>1571</v>
      </c>
      <c r="AC237" t="b">
        <v>0</v>
      </c>
    </row>
    <row r="238" spans="1:29" x14ac:dyDescent="0.3">
      <c r="A238" s="57" t="str">
        <f>MEMBERS[[#This Row],[Title]]&amp;MEMBERS[[#This Row],[ServiceStartDate]]</f>
        <v>Evie Howse45231</v>
      </c>
      <c r="B238" s="57">
        <f>IF(COUNTIF(MEMBERS[NameServiceStart],MEMBERS[[#This Row],[NameServiceStart]])=1,0,1)</f>
        <v>0</v>
      </c>
      <c r="C238" s="57">
        <f>IF(COUNTIF(MEMBERS[StaffMemberCode],MEMBERS[[#This Row],[StaffMemberCode]])=1,0,1)</f>
        <v>0</v>
      </c>
      <c r="D238" s="57">
        <f>IF(ISBLANK(MEMBERS[[#This Row],[PayrollLocation]]),0,IF(COUNTIF(SCHOOLS[SchoolCode],MEMBERS[[#This Row],[PayrollLocation]])=1,0,1))</f>
        <v>0</v>
      </c>
      <c r="E238" s="57">
        <f>IF(MEMBERS[[#This Row],[AvailableToAllSchools]]=FALSE,IF(ISBLANK(MEMBERS[[#This Row],[SchoolCodes]]),1,0),IF(MEMBERS[[#This Row],[AvailableToAllSchools]]=TRUE,IF(ISBLANK(MEMBERS[[#This Row],[SchoolCodes]]),0,1)))</f>
        <v>0</v>
      </c>
      <c r="F238" s="57">
        <f>IF(ISBLANK(MEMBERS[[#This Row],[ServiceEndDate]]),0,IF(MEMBERS[[#This Row],[ServiceStartDate]]&lt;MEMBERS[[#This Row],[ServiceEndDate]],0,1))</f>
        <v>0</v>
      </c>
      <c r="G238" s="57" cm="1">
        <f t="array" aca="1" ref="G238" ca="1">IF(CELL("format",MEMBERS[[#This Row],[ServiceStartDate]])="D1",0,1)+IF(CELL("format",MEMBERS[[#This Row],[ServiceEndDate]])="D1",0,1)</f>
        <v>0</v>
      </c>
      <c r="H23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38" s="57">
        <f>IF(LEN(MEMBERS[[#This Row],[StaffMemberCode]])&lt;100,0,1)</f>
        <v>0</v>
      </c>
      <c r="J238" s="57">
        <f>IF(LEN(MEMBERS[[#This Row],[Title]])&lt;100,0,1)</f>
        <v>0</v>
      </c>
      <c r="K238" s="57">
        <f>COUNTBLANK(MEMBERS[[#This Row],[StaffMemberCode]:[ServiceStartDate]])+COUNTBLANK(MEMBERS[[#This Row],[Apprenticeship]]:MEMBERS[[#This Row],[StaffMemberEnabled]])+COUNTBLANK(MEMBERS[[#This Row],[GenderCode]]:MEMBERS[[#This Row],[Casual]])</f>
        <v>0</v>
      </c>
      <c r="L238" s="57">
        <f>IF(SUBSTITUTE(TEXT(MEMBERS[[#This Row],[StaffMemberCode]],10)," ","")=TEXT(MEMBERS[[#This Row],[StaffMemberCode]],10),0,1)</f>
        <v>0</v>
      </c>
      <c r="M238" s="57">
        <f ca="1">SUM(MEMBERS[[#This Row],[Duplicate NameService Start]:[Space in Code]])</f>
        <v>0</v>
      </c>
      <c r="O238" s="15">
        <v>91326008</v>
      </c>
      <c r="P238" s="15" t="s">
        <v>3260</v>
      </c>
      <c r="Q238" s="15" t="s">
        <v>3610</v>
      </c>
      <c r="R238" s="133" t="str">
        <f>MEMBERS[[#This Row],[FirstName]]&amp;" "&amp;MEMBERS[[#This Row],[LastName]]</f>
        <v>Evie Howse</v>
      </c>
      <c r="S238" s="21">
        <v>45231</v>
      </c>
      <c r="U238" s="21">
        <v>36412</v>
      </c>
      <c r="V238" t="b">
        <v>0</v>
      </c>
      <c r="W238" t="b">
        <v>0</v>
      </c>
      <c r="X238" t="b">
        <v>0</v>
      </c>
      <c r="Y238" t="s">
        <v>2094</v>
      </c>
      <c r="Z238" t="b">
        <v>1</v>
      </c>
      <c r="AB238" t="s">
        <v>1571</v>
      </c>
      <c r="AC238" t="b">
        <v>1</v>
      </c>
    </row>
    <row r="239" spans="1:29" x14ac:dyDescent="0.3">
      <c r="A239" s="57" t="str">
        <f>MEMBERS[[#This Row],[Title]]&amp;MEMBERS[[#This Row],[ServiceStartDate]]</f>
        <v>Evie Wear45845</v>
      </c>
      <c r="B239" s="57">
        <f>IF(COUNTIF(MEMBERS[NameServiceStart],MEMBERS[[#This Row],[NameServiceStart]])=1,0,1)</f>
        <v>0</v>
      </c>
      <c r="C239" s="57">
        <f>IF(COUNTIF(MEMBERS[StaffMemberCode],MEMBERS[[#This Row],[StaffMemberCode]])=1,0,1)</f>
        <v>0</v>
      </c>
      <c r="D239" s="57">
        <f>IF(ISBLANK(MEMBERS[[#This Row],[PayrollLocation]]),0,IF(COUNTIF(SCHOOLS[SchoolCode],MEMBERS[[#This Row],[PayrollLocation]])=1,0,1))</f>
        <v>0</v>
      </c>
      <c r="E239" s="57">
        <f>IF(MEMBERS[[#This Row],[AvailableToAllSchools]]=FALSE,IF(ISBLANK(MEMBERS[[#This Row],[SchoolCodes]]),1,0),IF(MEMBERS[[#This Row],[AvailableToAllSchools]]=TRUE,IF(ISBLANK(MEMBERS[[#This Row],[SchoolCodes]]),0,1)))</f>
        <v>0</v>
      </c>
      <c r="F239" s="57">
        <f>IF(ISBLANK(MEMBERS[[#This Row],[ServiceEndDate]]),0,IF(MEMBERS[[#This Row],[ServiceStartDate]]&lt;MEMBERS[[#This Row],[ServiceEndDate]],0,1))</f>
        <v>0</v>
      </c>
      <c r="G239" s="57" cm="1">
        <f t="array" aca="1" ref="G239" ca="1">IF(CELL("format",MEMBERS[[#This Row],[ServiceStartDate]])="D1",0,1)+IF(CELL("format",MEMBERS[[#This Row],[ServiceEndDate]])="D1",0,1)</f>
        <v>0</v>
      </c>
      <c r="H23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39" s="57">
        <f>IF(LEN(MEMBERS[[#This Row],[StaffMemberCode]])&lt;100,0,1)</f>
        <v>0</v>
      </c>
      <c r="J239" s="57">
        <f>IF(LEN(MEMBERS[[#This Row],[Title]])&lt;100,0,1)</f>
        <v>0</v>
      </c>
      <c r="K239" s="57">
        <f>COUNTBLANK(MEMBERS[[#This Row],[StaffMemberCode]:[ServiceStartDate]])+COUNTBLANK(MEMBERS[[#This Row],[Apprenticeship]]:MEMBERS[[#This Row],[StaffMemberEnabled]])+COUNTBLANK(MEMBERS[[#This Row],[GenderCode]]:MEMBERS[[#This Row],[Casual]])</f>
        <v>0</v>
      </c>
      <c r="L239" s="57">
        <f>IF(SUBSTITUTE(TEXT(MEMBERS[[#This Row],[StaffMemberCode]],10)," ","")=TEXT(MEMBERS[[#This Row],[StaffMemberCode]],10),0,1)</f>
        <v>0</v>
      </c>
      <c r="M239" s="57">
        <f ca="1">SUM(MEMBERS[[#This Row],[Duplicate NameService Start]:[Space in Code]])</f>
        <v>0</v>
      </c>
      <c r="O239" s="15">
        <v>91850033</v>
      </c>
      <c r="P239" s="15" t="s">
        <v>3260</v>
      </c>
      <c r="Q239" s="15" t="s">
        <v>3611</v>
      </c>
      <c r="R239" s="133" t="str">
        <f>MEMBERS[[#This Row],[FirstName]]&amp;" "&amp;MEMBERS[[#This Row],[LastName]]</f>
        <v>Evie Wear</v>
      </c>
      <c r="S239" s="21">
        <v>45845</v>
      </c>
      <c r="U239" s="21">
        <v>39920</v>
      </c>
      <c r="V239" t="b">
        <v>0</v>
      </c>
      <c r="W239" t="b">
        <v>0</v>
      </c>
      <c r="X239" t="b">
        <v>0</v>
      </c>
      <c r="Y239" t="s">
        <v>2200</v>
      </c>
      <c r="Z239" t="b">
        <v>1</v>
      </c>
      <c r="AB239" t="s">
        <v>1571</v>
      </c>
      <c r="AC239" t="b">
        <v>1</v>
      </c>
    </row>
    <row r="240" spans="1:29" x14ac:dyDescent="0.3">
      <c r="A240" s="57" t="str">
        <f>MEMBERS[[#This Row],[Title]]&amp;MEMBERS[[#This Row],[ServiceStartDate]]</f>
        <v>Finlay Wetton45536</v>
      </c>
      <c r="B240" s="57">
        <f>IF(COUNTIF(MEMBERS[NameServiceStart],MEMBERS[[#This Row],[NameServiceStart]])=1,0,1)</f>
        <v>0</v>
      </c>
      <c r="C240" s="57">
        <f>IF(COUNTIF(MEMBERS[StaffMemberCode],MEMBERS[[#This Row],[StaffMemberCode]])=1,0,1)</f>
        <v>0</v>
      </c>
      <c r="D240" s="57">
        <f>IF(ISBLANK(MEMBERS[[#This Row],[PayrollLocation]]),0,IF(COUNTIF(SCHOOLS[SchoolCode],MEMBERS[[#This Row],[PayrollLocation]])=1,0,1))</f>
        <v>0</v>
      </c>
      <c r="E240" s="57">
        <f>IF(MEMBERS[[#This Row],[AvailableToAllSchools]]=FALSE,IF(ISBLANK(MEMBERS[[#This Row],[SchoolCodes]]),1,0),IF(MEMBERS[[#This Row],[AvailableToAllSchools]]=TRUE,IF(ISBLANK(MEMBERS[[#This Row],[SchoolCodes]]),0,1)))</f>
        <v>0</v>
      </c>
      <c r="F240" s="57">
        <f>IF(ISBLANK(MEMBERS[[#This Row],[ServiceEndDate]]),0,IF(MEMBERS[[#This Row],[ServiceStartDate]]&lt;MEMBERS[[#This Row],[ServiceEndDate]],0,1))</f>
        <v>0</v>
      </c>
      <c r="G240" s="57" cm="1">
        <f t="array" aca="1" ref="G240" ca="1">IF(CELL("format",MEMBERS[[#This Row],[ServiceStartDate]])="D1",0,1)+IF(CELL("format",MEMBERS[[#This Row],[ServiceEndDate]])="D1",0,1)</f>
        <v>0</v>
      </c>
      <c r="H24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40" s="57">
        <f>IF(LEN(MEMBERS[[#This Row],[StaffMemberCode]])&lt;100,0,1)</f>
        <v>0</v>
      </c>
      <c r="J240" s="57">
        <f>IF(LEN(MEMBERS[[#This Row],[Title]])&lt;100,0,1)</f>
        <v>0</v>
      </c>
      <c r="K240" s="57">
        <f>COUNTBLANK(MEMBERS[[#This Row],[StaffMemberCode]:[ServiceStartDate]])+COUNTBLANK(MEMBERS[[#This Row],[Apprenticeship]]:MEMBERS[[#This Row],[StaffMemberEnabled]])+COUNTBLANK(MEMBERS[[#This Row],[GenderCode]]:MEMBERS[[#This Row],[Casual]])</f>
        <v>0</v>
      </c>
      <c r="L240" s="57">
        <f>IF(SUBSTITUTE(TEXT(MEMBERS[[#This Row],[StaffMemberCode]],10)," ","")=TEXT(MEMBERS[[#This Row],[StaffMemberCode]],10),0,1)</f>
        <v>0</v>
      </c>
      <c r="M240" s="57">
        <f ca="1">SUM(MEMBERS[[#This Row],[Duplicate NameService Start]:[Space in Code]])</f>
        <v>0</v>
      </c>
      <c r="O240" s="15">
        <v>91323684</v>
      </c>
      <c r="P240" s="15" t="s">
        <v>3261</v>
      </c>
      <c r="Q240" s="15" t="s">
        <v>3612</v>
      </c>
      <c r="R240" s="133" t="str">
        <f>MEMBERS[[#This Row],[FirstName]]&amp;" "&amp;MEMBERS[[#This Row],[LastName]]</f>
        <v>Finlay Wetton</v>
      </c>
      <c r="S240" s="21">
        <v>45536</v>
      </c>
      <c r="U240" s="21">
        <v>37046</v>
      </c>
      <c r="V240" t="b">
        <v>0</v>
      </c>
      <c r="W240" t="b">
        <v>0</v>
      </c>
      <c r="X240" t="b">
        <v>0</v>
      </c>
      <c r="Y240" t="s">
        <v>2094</v>
      </c>
      <c r="Z240" t="b">
        <v>1</v>
      </c>
      <c r="AB240" t="s">
        <v>1572</v>
      </c>
      <c r="AC240" t="b">
        <v>0</v>
      </c>
    </row>
    <row r="241" spans="1:29" x14ac:dyDescent="0.3">
      <c r="A241" s="57" t="str">
        <f>MEMBERS[[#This Row],[Title]]&amp;MEMBERS[[#This Row],[ServiceStartDate]]</f>
        <v>Finn Boughey45537</v>
      </c>
      <c r="B241" s="57">
        <f>IF(COUNTIF(MEMBERS[NameServiceStart],MEMBERS[[#This Row],[NameServiceStart]])=1,0,1)</f>
        <v>0</v>
      </c>
      <c r="C241" s="57">
        <f>IF(COUNTIF(MEMBERS[StaffMemberCode],MEMBERS[[#This Row],[StaffMemberCode]])=1,0,1)</f>
        <v>0</v>
      </c>
      <c r="D241" s="57">
        <f>IF(ISBLANK(MEMBERS[[#This Row],[PayrollLocation]]),0,IF(COUNTIF(SCHOOLS[SchoolCode],MEMBERS[[#This Row],[PayrollLocation]])=1,0,1))</f>
        <v>0</v>
      </c>
      <c r="E241" s="57">
        <f>IF(MEMBERS[[#This Row],[AvailableToAllSchools]]=FALSE,IF(ISBLANK(MEMBERS[[#This Row],[SchoolCodes]]),1,0),IF(MEMBERS[[#This Row],[AvailableToAllSchools]]=TRUE,IF(ISBLANK(MEMBERS[[#This Row],[SchoolCodes]]),0,1)))</f>
        <v>0</v>
      </c>
      <c r="F241" s="57">
        <f>IF(ISBLANK(MEMBERS[[#This Row],[ServiceEndDate]]),0,IF(MEMBERS[[#This Row],[ServiceStartDate]]&lt;MEMBERS[[#This Row],[ServiceEndDate]],0,1))</f>
        <v>0</v>
      </c>
      <c r="G241" s="57" cm="1">
        <f t="array" aca="1" ref="G241" ca="1">IF(CELL("format",MEMBERS[[#This Row],[ServiceStartDate]])="D1",0,1)+IF(CELL("format",MEMBERS[[#This Row],[ServiceEndDate]])="D1",0,1)</f>
        <v>0</v>
      </c>
      <c r="H24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41" s="57">
        <f>IF(LEN(MEMBERS[[#This Row],[StaffMemberCode]])&lt;100,0,1)</f>
        <v>0</v>
      </c>
      <c r="J241" s="57">
        <f>IF(LEN(MEMBERS[[#This Row],[Title]])&lt;100,0,1)</f>
        <v>0</v>
      </c>
      <c r="K241" s="57">
        <f>COUNTBLANK(MEMBERS[[#This Row],[StaffMemberCode]:[ServiceStartDate]])+COUNTBLANK(MEMBERS[[#This Row],[Apprenticeship]]:MEMBERS[[#This Row],[StaffMemberEnabled]])+COUNTBLANK(MEMBERS[[#This Row],[GenderCode]]:MEMBERS[[#This Row],[Casual]])</f>
        <v>0</v>
      </c>
      <c r="L241" s="57">
        <f>IF(SUBSTITUTE(TEXT(MEMBERS[[#This Row],[StaffMemberCode]],10)," ","")=TEXT(MEMBERS[[#This Row],[StaffMemberCode]],10),0,1)</f>
        <v>0</v>
      </c>
      <c r="M241" s="57">
        <f ca="1">SUM(MEMBERS[[#This Row],[Duplicate NameService Start]:[Space in Code]])</f>
        <v>0</v>
      </c>
      <c r="O241" s="15">
        <v>91325363</v>
      </c>
      <c r="P241" s="15" t="s">
        <v>3262</v>
      </c>
      <c r="Q241" s="15" t="s">
        <v>3613</v>
      </c>
      <c r="R241" s="133" t="str">
        <f>MEMBERS[[#This Row],[FirstName]]&amp;" "&amp;MEMBERS[[#This Row],[LastName]]</f>
        <v>Finn Boughey</v>
      </c>
      <c r="S241" s="21">
        <v>45537</v>
      </c>
      <c r="U241" s="21">
        <v>38527</v>
      </c>
      <c r="V241" t="b">
        <v>0</v>
      </c>
      <c r="W241" t="b">
        <v>0</v>
      </c>
      <c r="X241" t="b">
        <v>0</v>
      </c>
      <c r="Y241" t="s">
        <v>2299</v>
      </c>
      <c r="Z241" t="b">
        <v>1</v>
      </c>
      <c r="AB241" t="s">
        <v>1572</v>
      </c>
      <c r="AC241" t="b">
        <v>1</v>
      </c>
    </row>
    <row r="242" spans="1:29" x14ac:dyDescent="0.3">
      <c r="A242" s="57" t="str">
        <f>MEMBERS[[#This Row],[Title]]&amp;MEMBERS[[#This Row],[ServiceStartDate]]</f>
        <v>Finty Clarke40917</v>
      </c>
      <c r="B242" s="57">
        <f>IF(COUNTIF(MEMBERS[NameServiceStart],MEMBERS[[#This Row],[NameServiceStart]])=1,0,1)</f>
        <v>0</v>
      </c>
      <c r="C242" s="57">
        <f>IF(COUNTIF(MEMBERS[StaffMemberCode],MEMBERS[[#This Row],[StaffMemberCode]])=1,0,1)</f>
        <v>0</v>
      </c>
      <c r="D242" s="57">
        <f>IF(ISBLANK(MEMBERS[[#This Row],[PayrollLocation]]),0,IF(COUNTIF(SCHOOLS[SchoolCode],MEMBERS[[#This Row],[PayrollLocation]])=1,0,1))</f>
        <v>0</v>
      </c>
      <c r="E242" s="57">
        <f>IF(MEMBERS[[#This Row],[AvailableToAllSchools]]=FALSE,IF(ISBLANK(MEMBERS[[#This Row],[SchoolCodes]]),1,0),IF(MEMBERS[[#This Row],[AvailableToAllSchools]]=TRUE,IF(ISBLANK(MEMBERS[[#This Row],[SchoolCodes]]),0,1)))</f>
        <v>0</v>
      </c>
      <c r="F242" s="57">
        <f>IF(ISBLANK(MEMBERS[[#This Row],[ServiceEndDate]]),0,IF(MEMBERS[[#This Row],[ServiceStartDate]]&lt;MEMBERS[[#This Row],[ServiceEndDate]],0,1))</f>
        <v>0</v>
      </c>
      <c r="G242" s="57" cm="1">
        <f t="array" aca="1" ref="G242" ca="1">IF(CELL("format",MEMBERS[[#This Row],[ServiceStartDate]])="D1",0,1)+IF(CELL("format",MEMBERS[[#This Row],[ServiceEndDate]])="D1",0,1)</f>
        <v>0</v>
      </c>
      <c r="H24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42" s="57">
        <f>IF(LEN(MEMBERS[[#This Row],[StaffMemberCode]])&lt;100,0,1)</f>
        <v>0</v>
      </c>
      <c r="J242" s="57">
        <f>IF(LEN(MEMBERS[[#This Row],[Title]])&lt;100,0,1)</f>
        <v>0</v>
      </c>
      <c r="K242" s="57">
        <f>COUNTBLANK(MEMBERS[[#This Row],[StaffMemberCode]:[ServiceStartDate]])+COUNTBLANK(MEMBERS[[#This Row],[Apprenticeship]]:MEMBERS[[#This Row],[StaffMemberEnabled]])+COUNTBLANK(MEMBERS[[#This Row],[GenderCode]]:MEMBERS[[#This Row],[Casual]])</f>
        <v>0</v>
      </c>
      <c r="L242" s="57">
        <f>IF(SUBSTITUTE(TEXT(MEMBERS[[#This Row],[StaffMemberCode]],10)," ","")=TEXT(MEMBERS[[#This Row],[StaffMemberCode]],10),0,1)</f>
        <v>0</v>
      </c>
      <c r="M242" s="57">
        <f ca="1">SUM(MEMBERS[[#This Row],[Duplicate NameService Start]:[Space in Code]])</f>
        <v>0</v>
      </c>
      <c r="O242" s="15">
        <v>91073849</v>
      </c>
      <c r="P242" s="15" t="s">
        <v>3263</v>
      </c>
      <c r="Q242" s="15" t="s">
        <v>3548</v>
      </c>
      <c r="R242" s="133" t="str">
        <f>MEMBERS[[#This Row],[FirstName]]&amp;" "&amp;MEMBERS[[#This Row],[LastName]]</f>
        <v>Finty Clarke</v>
      </c>
      <c r="S242" s="21">
        <v>40917</v>
      </c>
      <c r="U242" s="21">
        <v>32032</v>
      </c>
      <c r="V242" t="b">
        <v>0</v>
      </c>
      <c r="W242" t="b">
        <v>0</v>
      </c>
      <c r="X242" t="b">
        <v>0</v>
      </c>
      <c r="Y242" t="s">
        <v>2082</v>
      </c>
      <c r="Z242" t="b">
        <v>1</v>
      </c>
      <c r="AB242" t="s">
        <v>1571</v>
      </c>
      <c r="AC242" t="b">
        <v>0</v>
      </c>
    </row>
    <row r="243" spans="1:29" x14ac:dyDescent="0.3">
      <c r="A243" s="57" t="str">
        <f>MEMBERS[[#This Row],[Title]]&amp;MEMBERS[[#This Row],[ServiceStartDate]]</f>
        <v>Fiona Dean45576</v>
      </c>
      <c r="B243" s="57">
        <f>IF(COUNTIF(MEMBERS[NameServiceStart],MEMBERS[[#This Row],[NameServiceStart]])=1,0,1)</f>
        <v>0</v>
      </c>
      <c r="C243" s="57">
        <f>IF(COUNTIF(MEMBERS[StaffMemberCode],MEMBERS[[#This Row],[StaffMemberCode]])=1,0,1)</f>
        <v>0</v>
      </c>
      <c r="D243" s="57">
        <f>IF(ISBLANK(MEMBERS[[#This Row],[PayrollLocation]]),0,IF(COUNTIF(SCHOOLS[SchoolCode],MEMBERS[[#This Row],[PayrollLocation]])=1,0,1))</f>
        <v>0</v>
      </c>
      <c r="E243" s="57">
        <f>IF(MEMBERS[[#This Row],[AvailableToAllSchools]]=FALSE,IF(ISBLANK(MEMBERS[[#This Row],[SchoolCodes]]),1,0),IF(MEMBERS[[#This Row],[AvailableToAllSchools]]=TRUE,IF(ISBLANK(MEMBERS[[#This Row],[SchoolCodes]]),0,1)))</f>
        <v>0</v>
      </c>
      <c r="F243" s="57">
        <f>IF(ISBLANK(MEMBERS[[#This Row],[ServiceEndDate]]),0,IF(MEMBERS[[#This Row],[ServiceStartDate]]&lt;MEMBERS[[#This Row],[ServiceEndDate]],0,1))</f>
        <v>0</v>
      </c>
      <c r="G243" s="57" cm="1">
        <f t="array" aca="1" ref="G243" ca="1">IF(CELL("format",MEMBERS[[#This Row],[ServiceStartDate]])="D1",0,1)+IF(CELL("format",MEMBERS[[#This Row],[ServiceEndDate]])="D1",0,1)</f>
        <v>0</v>
      </c>
      <c r="H24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43" s="57">
        <f>IF(LEN(MEMBERS[[#This Row],[StaffMemberCode]])&lt;100,0,1)</f>
        <v>0</v>
      </c>
      <c r="J243" s="57">
        <f>IF(LEN(MEMBERS[[#This Row],[Title]])&lt;100,0,1)</f>
        <v>0</v>
      </c>
      <c r="K243" s="57">
        <f>COUNTBLANK(MEMBERS[[#This Row],[StaffMemberCode]:[ServiceStartDate]])+COUNTBLANK(MEMBERS[[#This Row],[Apprenticeship]]:MEMBERS[[#This Row],[StaffMemberEnabled]])+COUNTBLANK(MEMBERS[[#This Row],[GenderCode]]:MEMBERS[[#This Row],[Casual]])</f>
        <v>0</v>
      </c>
      <c r="L243" s="57">
        <f>IF(SUBSTITUTE(TEXT(MEMBERS[[#This Row],[StaffMemberCode]],10)," ","")=TEXT(MEMBERS[[#This Row],[StaffMemberCode]],10),0,1)</f>
        <v>0</v>
      </c>
      <c r="M243" s="57">
        <f ca="1">SUM(MEMBERS[[#This Row],[Duplicate NameService Start]:[Space in Code]])</f>
        <v>0</v>
      </c>
      <c r="O243" s="15">
        <v>91328100</v>
      </c>
      <c r="P243" s="15" t="s">
        <v>3264</v>
      </c>
      <c r="Q243" s="15" t="s">
        <v>3237</v>
      </c>
      <c r="R243" s="133" t="str">
        <f>MEMBERS[[#This Row],[FirstName]]&amp;" "&amp;MEMBERS[[#This Row],[LastName]]</f>
        <v>Fiona Dean</v>
      </c>
      <c r="S243" s="21">
        <v>45576</v>
      </c>
      <c r="U243" s="21">
        <v>36193</v>
      </c>
      <c r="V243" t="b">
        <v>0</v>
      </c>
      <c r="W243" t="b">
        <v>0</v>
      </c>
      <c r="X243" t="b">
        <v>0</v>
      </c>
      <c r="Y243" t="s">
        <v>2082</v>
      </c>
      <c r="Z243" t="b">
        <v>1</v>
      </c>
      <c r="AB243" t="s">
        <v>1571</v>
      </c>
      <c r="AC243" t="b">
        <v>0</v>
      </c>
    </row>
    <row r="244" spans="1:29" x14ac:dyDescent="0.3">
      <c r="A244" s="57" t="str">
        <f>MEMBERS[[#This Row],[Title]]&amp;MEMBERS[[#This Row],[ServiceStartDate]]</f>
        <v>Francis Askew43109</v>
      </c>
      <c r="B244" s="57">
        <f>IF(COUNTIF(MEMBERS[NameServiceStart],MEMBERS[[#This Row],[NameServiceStart]])=1,0,1)</f>
        <v>0</v>
      </c>
      <c r="C244" s="57">
        <f>IF(COUNTIF(MEMBERS[StaffMemberCode],MEMBERS[[#This Row],[StaffMemberCode]])=1,0,1)</f>
        <v>0</v>
      </c>
      <c r="D244" s="57">
        <f>IF(ISBLANK(MEMBERS[[#This Row],[PayrollLocation]]),0,IF(COUNTIF(SCHOOLS[SchoolCode],MEMBERS[[#This Row],[PayrollLocation]])=1,0,1))</f>
        <v>0</v>
      </c>
      <c r="E244" s="57">
        <f>IF(MEMBERS[[#This Row],[AvailableToAllSchools]]=FALSE,IF(ISBLANK(MEMBERS[[#This Row],[SchoolCodes]]),1,0),IF(MEMBERS[[#This Row],[AvailableToAllSchools]]=TRUE,IF(ISBLANK(MEMBERS[[#This Row],[SchoolCodes]]),0,1)))</f>
        <v>0</v>
      </c>
      <c r="F244" s="57">
        <f>IF(ISBLANK(MEMBERS[[#This Row],[ServiceEndDate]]),0,IF(MEMBERS[[#This Row],[ServiceStartDate]]&lt;MEMBERS[[#This Row],[ServiceEndDate]],0,1))</f>
        <v>0</v>
      </c>
      <c r="G244" s="57" cm="1">
        <f t="array" aca="1" ref="G244" ca="1">IF(CELL("format",MEMBERS[[#This Row],[ServiceStartDate]])="D1",0,1)+IF(CELL("format",MEMBERS[[#This Row],[ServiceEndDate]])="D1",0,1)</f>
        <v>0</v>
      </c>
      <c r="H24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44" s="57">
        <f>IF(LEN(MEMBERS[[#This Row],[StaffMemberCode]])&lt;100,0,1)</f>
        <v>0</v>
      </c>
      <c r="J244" s="57">
        <f>IF(LEN(MEMBERS[[#This Row],[Title]])&lt;100,0,1)</f>
        <v>0</v>
      </c>
      <c r="K244" s="57">
        <f>COUNTBLANK(MEMBERS[[#This Row],[StaffMemberCode]:[ServiceStartDate]])+COUNTBLANK(MEMBERS[[#This Row],[Apprenticeship]]:MEMBERS[[#This Row],[StaffMemberEnabled]])+COUNTBLANK(MEMBERS[[#This Row],[GenderCode]]:MEMBERS[[#This Row],[Casual]])</f>
        <v>0</v>
      </c>
      <c r="L244" s="57">
        <f>IF(SUBSTITUTE(TEXT(MEMBERS[[#This Row],[StaffMemberCode]],10)," ","")=TEXT(MEMBERS[[#This Row],[StaffMemberCode]],10),0,1)</f>
        <v>0</v>
      </c>
      <c r="M244" s="57">
        <f ca="1">SUM(MEMBERS[[#This Row],[Duplicate NameService Start]:[Space in Code]])</f>
        <v>0</v>
      </c>
      <c r="O244" s="15">
        <v>91073739</v>
      </c>
      <c r="P244" s="15" t="s">
        <v>3265</v>
      </c>
      <c r="Q244" s="15" t="s">
        <v>3614</v>
      </c>
      <c r="R244" s="133" t="str">
        <f>MEMBERS[[#This Row],[FirstName]]&amp;" "&amp;MEMBERS[[#This Row],[LastName]]</f>
        <v>Francis Askew</v>
      </c>
      <c r="S244" s="21">
        <v>43109</v>
      </c>
      <c r="U244" s="21">
        <v>30890</v>
      </c>
      <c r="V244" t="b">
        <v>0</v>
      </c>
      <c r="W244" t="b">
        <v>0</v>
      </c>
      <c r="X244" t="b">
        <v>0</v>
      </c>
      <c r="Y244" t="s">
        <v>2082</v>
      </c>
      <c r="Z244" t="b">
        <v>1</v>
      </c>
      <c r="AB244" t="s">
        <v>1572</v>
      </c>
      <c r="AC244" t="b">
        <v>0</v>
      </c>
    </row>
    <row r="245" spans="1:29" x14ac:dyDescent="0.3">
      <c r="A245" s="57" t="str">
        <f>MEMBERS[[#This Row],[Title]]&amp;MEMBERS[[#This Row],[ServiceStartDate]]</f>
        <v>Francis Ibbotson44698</v>
      </c>
      <c r="B245" s="57">
        <f>IF(COUNTIF(MEMBERS[NameServiceStart],MEMBERS[[#This Row],[NameServiceStart]])=1,0,1)</f>
        <v>0</v>
      </c>
      <c r="C245" s="57">
        <f>IF(COUNTIF(MEMBERS[StaffMemberCode],MEMBERS[[#This Row],[StaffMemberCode]])=1,0,1)</f>
        <v>0</v>
      </c>
      <c r="D245" s="57">
        <f>IF(ISBLANK(MEMBERS[[#This Row],[PayrollLocation]]),0,IF(COUNTIF(SCHOOLS[SchoolCode],MEMBERS[[#This Row],[PayrollLocation]])=1,0,1))</f>
        <v>0</v>
      </c>
      <c r="E245" s="57">
        <f>IF(MEMBERS[[#This Row],[AvailableToAllSchools]]=FALSE,IF(ISBLANK(MEMBERS[[#This Row],[SchoolCodes]]),1,0),IF(MEMBERS[[#This Row],[AvailableToAllSchools]]=TRUE,IF(ISBLANK(MEMBERS[[#This Row],[SchoolCodes]]),0,1)))</f>
        <v>0</v>
      </c>
      <c r="F245" s="57">
        <f>IF(ISBLANK(MEMBERS[[#This Row],[ServiceEndDate]]),0,IF(MEMBERS[[#This Row],[ServiceStartDate]]&lt;MEMBERS[[#This Row],[ServiceEndDate]],0,1))</f>
        <v>0</v>
      </c>
      <c r="G245" s="57" cm="1">
        <f t="array" aca="1" ref="G245" ca="1">IF(CELL("format",MEMBERS[[#This Row],[ServiceStartDate]])="D1",0,1)+IF(CELL("format",MEMBERS[[#This Row],[ServiceEndDate]])="D1",0,1)</f>
        <v>0</v>
      </c>
      <c r="H24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45" s="57">
        <f>IF(LEN(MEMBERS[[#This Row],[StaffMemberCode]])&lt;100,0,1)</f>
        <v>0</v>
      </c>
      <c r="J245" s="57">
        <f>IF(LEN(MEMBERS[[#This Row],[Title]])&lt;100,0,1)</f>
        <v>0</v>
      </c>
      <c r="K245" s="57">
        <f>COUNTBLANK(MEMBERS[[#This Row],[StaffMemberCode]:[ServiceStartDate]])+COUNTBLANK(MEMBERS[[#This Row],[Apprenticeship]]:MEMBERS[[#This Row],[StaffMemberEnabled]])+COUNTBLANK(MEMBERS[[#This Row],[GenderCode]]:MEMBERS[[#This Row],[Casual]])</f>
        <v>0</v>
      </c>
      <c r="L245" s="57">
        <f>IF(SUBSTITUTE(TEXT(MEMBERS[[#This Row],[StaffMemberCode]],10)," ","")=TEXT(MEMBERS[[#This Row],[StaffMemberCode]],10),0,1)</f>
        <v>0</v>
      </c>
      <c r="M245" s="57">
        <f ca="1">SUM(MEMBERS[[#This Row],[Duplicate NameService Start]:[Space in Code]])</f>
        <v>0</v>
      </c>
      <c r="O245" s="15">
        <v>91073802</v>
      </c>
      <c r="P245" s="15" t="s">
        <v>3265</v>
      </c>
      <c r="Q245" s="15" t="s">
        <v>3615</v>
      </c>
      <c r="R245" s="133" t="str">
        <f>MEMBERS[[#This Row],[FirstName]]&amp;" "&amp;MEMBERS[[#This Row],[LastName]]</f>
        <v>Francis Ibbotson</v>
      </c>
      <c r="S245" s="21">
        <v>44698</v>
      </c>
      <c r="U245" s="21">
        <v>20703</v>
      </c>
      <c r="V245" t="b">
        <v>0</v>
      </c>
      <c r="W245" t="b">
        <v>0</v>
      </c>
      <c r="X245" t="b">
        <v>0</v>
      </c>
      <c r="Y245" t="s">
        <v>2082</v>
      </c>
      <c r="Z245" t="b">
        <v>1</v>
      </c>
      <c r="AB245" t="s">
        <v>1572</v>
      </c>
      <c r="AC245" t="b">
        <v>1</v>
      </c>
    </row>
    <row r="246" spans="1:29" x14ac:dyDescent="0.3">
      <c r="A246" s="57" t="str">
        <f>MEMBERS[[#This Row],[Title]]&amp;MEMBERS[[#This Row],[ServiceStartDate]]</f>
        <v>Francois Castelain-Mazingarbe37865</v>
      </c>
      <c r="B246" s="57">
        <f>IF(COUNTIF(MEMBERS[NameServiceStart],MEMBERS[[#This Row],[NameServiceStart]])=1,0,1)</f>
        <v>0</v>
      </c>
      <c r="C246" s="57">
        <f>IF(COUNTIF(MEMBERS[StaffMemberCode],MEMBERS[[#This Row],[StaffMemberCode]])=1,0,1)</f>
        <v>0</v>
      </c>
      <c r="D246" s="57">
        <f>IF(ISBLANK(MEMBERS[[#This Row],[PayrollLocation]]),0,IF(COUNTIF(SCHOOLS[SchoolCode],MEMBERS[[#This Row],[PayrollLocation]])=1,0,1))</f>
        <v>0</v>
      </c>
      <c r="E246" s="57">
        <f>IF(MEMBERS[[#This Row],[AvailableToAllSchools]]=FALSE,IF(ISBLANK(MEMBERS[[#This Row],[SchoolCodes]]),1,0),IF(MEMBERS[[#This Row],[AvailableToAllSchools]]=TRUE,IF(ISBLANK(MEMBERS[[#This Row],[SchoolCodes]]),0,1)))</f>
        <v>0</v>
      </c>
      <c r="F246" s="57">
        <f>IF(ISBLANK(MEMBERS[[#This Row],[ServiceEndDate]]),0,IF(MEMBERS[[#This Row],[ServiceStartDate]]&lt;MEMBERS[[#This Row],[ServiceEndDate]],0,1))</f>
        <v>0</v>
      </c>
      <c r="G246" s="57" cm="1">
        <f t="array" aca="1" ref="G246" ca="1">IF(CELL("format",MEMBERS[[#This Row],[ServiceStartDate]])="D1",0,1)+IF(CELL("format",MEMBERS[[#This Row],[ServiceEndDate]])="D1",0,1)</f>
        <v>0</v>
      </c>
      <c r="H24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46" s="57">
        <f>IF(LEN(MEMBERS[[#This Row],[StaffMemberCode]])&lt;100,0,1)</f>
        <v>0</v>
      </c>
      <c r="J246" s="57">
        <f>IF(LEN(MEMBERS[[#This Row],[Title]])&lt;100,0,1)</f>
        <v>0</v>
      </c>
      <c r="K246" s="57">
        <f>COUNTBLANK(MEMBERS[[#This Row],[StaffMemberCode]:[ServiceStartDate]])+COUNTBLANK(MEMBERS[[#This Row],[Apprenticeship]]:MEMBERS[[#This Row],[StaffMemberEnabled]])+COUNTBLANK(MEMBERS[[#This Row],[GenderCode]]:MEMBERS[[#This Row],[Casual]])</f>
        <v>0</v>
      </c>
      <c r="L246" s="57">
        <f>IF(SUBSTITUTE(TEXT(MEMBERS[[#This Row],[StaffMemberCode]],10)," ","")=TEXT(MEMBERS[[#This Row],[StaffMemberCode]],10),0,1)</f>
        <v>0</v>
      </c>
      <c r="M246" s="57">
        <f ca="1">SUM(MEMBERS[[#This Row],[Duplicate NameService Start]:[Space in Code]])</f>
        <v>0</v>
      </c>
      <c r="O246" s="15">
        <v>10014581</v>
      </c>
      <c r="P246" s="15" t="s">
        <v>3969</v>
      </c>
      <c r="Q246" s="15" t="s">
        <v>4060</v>
      </c>
      <c r="R246" s="133" t="str">
        <f>MEMBERS[[#This Row],[FirstName]]&amp;" "&amp;MEMBERS[[#This Row],[LastName]]</f>
        <v>Francois Castelain-Mazingarbe</v>
      </c>
      <c r="S246" s="21">
        <v>37865</v>
      </c>
      <c r="U246" s="21">
        <v>27844</v>
      </c>
      <c r="V246" s="138" t="b">
        <v>0</v>
      </c>
      <c r="W246" t="b">
        <v>0</v>
      </c>
      <c r="X246" t="b">
        <v>0</v>
      </c>
      <c r="Y246" t="s">
        <v>2126</v>
      </c>
      <c r="Z246" t="b">
        <v>1</v>
      </c>
      <c r="AB246" t="s">
        <v>1572</v>
      </c>
      <c r="AC246" t="b">
        <v>0</v>
      </c>
    </row>
    <row r="247" spans="1:29" x14ac:dyDescent="0.3">
      <c r="A247" s="57" t="str">
        <f>MEMBERS[[#This Row],[Title]]&amp;MEMBERS[[#This Row],[ServiceStartDate]]</f>
        <v>Frederick Walker45025</v>
      </c>
      <c r="B247" s="57">
        <f>IF(COUNTIF(MEMBERS[NameServiceStart],MEMBERS[[#This Row],[NameServiceStart]])=1,0,1)</f>
        <v>0</v>
      </c>
      <c r="C247" s="57">
        <f>IF(COUNTIF(MEMBERS[StaffMemberCode],MEMBERS[[#This Row],[StaffMemberCode]])=1,0,1)</f>
        <v>0</v>
      </c>
      <c r="D247" s="57">
        <f>IF(ISBLANK(MEMBERS[[#This Row],[PayrollLocation]]),0,IF(COUNTIF(SCHOOLS[SchoolCode],MEMBERS[[#This Row],[PayrollLocation]])=1,0,1))</f>
        <v>0</v>
      </c>
      <c r="E247" s="57">
        <f>IF(MEMBERS[[#This Row],[AvailableToAllSchools]]=FALSE,IF(ISBLANK(MEMBERS[[#This Row],[SchoolCodes]]),1,0),IF(MEMBERS[[#This Row],[AvailableToAllSchools]]=TRUE,IF(ISBLANK(MEMBERS[[#This Row],[SchoolCodes]]),0,1)))</f>
        <v>0</v>
      </c>
      <c r="F247" s="57">
        <f>IF(ISBLANK(MEMBERS[[#This Row],[ServiceEndDate]]),0,IF(MEMBERS[[#This Row],[ServiceStartDate]]&lt;MEMBERS[[#This Row],[ServiceEndDate]],0,1))</f>
        <v>0</v>
      </c>
      <c r="G247" s="57" cm="1">
        <f t="array" aca="1" ref="G247" ca="1">IF(CELL("format",MEMBERS[[#This Row],[ServiceStartDate]])="D1",0,1)+IF(CELL("format",MEMBERS[[#This Row],[ServiceEndDate]])="D1",0,1)</f>
        <v>0</v>
      </c>
      <c r="H24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47" s="57">
        <f>IF(LEN(MEMBERS[[#This Row],[StaffMemberCode]])&lt;100,0,1)</f>
        <v>0</v>
      </c>
      <c r="J247" s="57">
        <f>IF(LEN(MEMBERS[[#This Row],[Title]])&lt;100,0,1)</f>
        <v>0</v>
      </c>
      <c r="K247" s="57">
        <f>COUNTBLANK(MEMBERS[[#This Row],[StaffMemberCode]:[ServiceStartDate]])+COUNTBLANK(MEMBERS[[#This Row],[Apprenticeship]]:MEMBERS[[#This Row],[StaffMemberEnabled]])+COUNTBLANK(MEMBERS[[#This Row],[GenderCode]]:MEMBERS[[#This Row],[Casual]])</f>
        <v>0</v>
      </c>
      <c r="L247" s="57">
        <f>IF(SUBSTITUTE(TEXT(MEMBERS[[#This Row],[StaffMemberCode]],10)," ","")=TEXT(MEMBERS[[#This Row],[StaffMemberCode]],10),0,1)</f>
        <v>0</v>
      </c>
      <c r="M247" s="57">
        <f ca="1">SUM(MEMBERS[[#This Row],[Duplicate NameService Start]:[Space in Code]])</f>
        <v>0</v>
      </c>
      <c r="O247" s="15">
        <v>91073865</v>
      </c>
      <c r="P247" s="15" t="s">
        <v>3266</v>
      </c>
      <c r="Q247" s="15" t="s">
        <v>3616</v>
      </c>
      <c r="R247" s="133" t="str">
        <f>MEMBERS[[#This Row],[FirstName]]&amp;" "&amp;MEMBERS[[#This Row],[LastName]]</f>
        <v>Frederick Walker</v>
      </c>
      <c r="S247" s="21">
        <v>45025</v>
      </c>
      <c r="U247" s="21">
        <v>38567</v>
      </c>
      <c r="V247" t="b">
        <v>0</v>
      </c>
      <c r="W247" t="b">
        <v>0</v>
      </c>
      <c r="X247" t="b">
        <v>0</v>
      </c>
      <c r="Y247" t="s">
        <v>2082</v>
      </c>
      <c r="Z247" t="b">
        <v>1</v>
      </c>
      <c r="AB247" t="s">
        <v>1572</v>
      </c>
      <c r="AC247" t="b">
        <v>1</v>
      </c>
    </row>
    <row r="248" spans="1:29" x14ac:dyDescent="0.3">
      <c r="A248" s="57" t="str">
        <f>MEMBERS[[#This Row],[Title]]&amp;MEMBERS[[#This Row],[ServiceStartDate]]</f>
        <v>Gavin Hammond43109</v>
      </c>
      <c r="B248" s="57">
        <f>IF(COUNTIF(MEMBERS[NameServiceStart],MEMBERS[[#This Row],[NameServiceStart]])=1,0,1)</f>
        <v>0</v>
      </c>
      <c r="C248" s="57">
        <f>IF(COUNTIF(MEMBERS[StaffMemberCode],MEMBERS[[#This Row],[StaffMemberCode]])=1,0,1)</f>
        <v>0</v>
      </c>
      <c r="D248" s="57">
        <f>IF(ISBLANK(MEMBERS[[#This Row],[PayrollLocation]]),0,IF(COUNTIF(SCHOOLS[SchoolCode],MEMBERS[[#This Row],[PayrollLocation]])=1,0,1))</f>
        <v>0</v>
      </c>
      <c r="E248" s="57">
        <f>IF(MEMBERS[[#This Row],[AvailableToAllSchools]]=FALSE,IF(ISBLANK(MEMBERS[[#This Row],[SchoolCodes]]),1,0),IF(MEMBERS[[#This Row],[AvailableToAllSchools]]=TRUE,IF(ISBLANK(MEMBERS[[#This Row],[SchoolCodes]]),0,1)))</f>
        <v>0</v>
      </c>
      <c r="F248" s="57">
        <f>IF(ISBLANK(MEMBERS[[#This Row],[ServiceEndDate]]),0,IF(MEMBERS[[#This Row],[ServiceStartDate]]&lt;MEMBERS[[#This Row],[ServiceEndDate]],0,1))</f>
        <v>0</v>
      </c>
      <c r="G248" s="57" cm="1">
        <f t="array" aca="1" ref="G248" ca="1">IF(CELL("format",MEMBERS[[#This Row],[ServiceStartDate]])="D1",0,1)+IF(CELL("format",MEMBERS[[#This Row],[ServiceEndDate]])="D1",0,1)</f>
        <v>0</v>
      </c>
      <c r="H24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48" s="57">
        <f>IF(LEN(MEMBERS[[#This Row],[StaffMemberCode]])&lt;100,0,1)</f>
        <v>0</v>
      </c>
      <c r="J248" s="57">
        <f>IF(LEN(MEMBERS[[#This Row],[Title]])&lt;100,0,1)</f>
        <v>0</v>
      </c>
      <c r="K248" s="57">
        <f>COUNTBLANK(MEMBERS[[#This Row],[StaffMemberCode]:[ServiceStartDate]])+COUNTBLANK(MEMBERS[[#This Row],[Apprenticeship]]:MEMBERS[[#This Row],[StaffMemberEnabled]])+COUNTBLANK(MEMBERS[[#This Row],[GenderCode]]:MEMBERS[[#This Row],[Casual]])</f>
        <v>0</v>
      </c>
      <c r="L248" s="57">
        <f>IF(SUBSTITUTE(TEXT(MEMBERS[[#This Row],[StaffMemberCode]],10)," ","")=TEXT(MEMBERS[[#This Row],[StaffMemberCode]],10),0,1)</f>
        <v>0</v>
      </c>
      <c r="M248" s="57">
        <f ca="1">SUM(MEMBERS[[#This Row],[Duplicate NameService Start]:[Space in Code]])</f>
        <v>0</v>
      </c>
      <c r="O248" s="15">
        <v>91073756</v>
      </c>
      <c r="P248" s="15" t="s">
        <v>3267</v>
      </c>
      <c r="Q248" s="15" t="s">
        <v>3617</v>
      </c>
      <c r="R248" s="133" t="str">
        <f>MEMBERS[[#This Row],[FirstName]]&amp;" "&amp;MEMBERS[[#This Row],[LastName]]</f>
        <v>Gavin Hammond</v>
      </c>
      <c r="S248" s="21">
        <v>43109</v>
      </c>
      <c r="U248" s="21">
        <v>29630</v>
      </c>
      <c r="V248" t="b">
        <v>0</v>
      </c>
      <c r="W248" t="b">
        <v>0</v>
      </c>
      <c r="X248" t="b">
        <v>0</v>
      </c>
      <c r="Y248" t="s">
        <v>2082</v>
      </c>
      <c r="Z248" t="b">
        <v>1</v>
      </c>
      <c r="AB248" t="s">
        <v>1572</v>
      </c>
      <c r="AC248" t="b">
        <v>0</v>
      </c>
    </row>
    <row r="249" spans="1:29" x14ac:dyDescent="0.3">
      <c r="A249" s="57" t="str">
        <f>MEMBERS[[#This Row],[Title]]&amp;MEMBERS[[#This Row],[ServiceStartDate]]</f>
        <v>Geertruida Hargreaves44697</v>
      </c>
      <c r="B249" s="57">
        <f>IF(COUNTIF(MEMBERS[NameServiceStart],MEMBERS[[#This Row],[NameServiceStart]])=1,0,1)</f>
        <v>0</v>
      </c>
      <c r="C249" s="57">
        <f>IF(COUNTIF(MEMBERS[StaffMemberCode],MEMBERS[[#This Row],[StaffMemberCode]])=1,0,1)</f>
        <v>0</v>
      </c>
      <c r="D249" s="57">
        <f>IF(ISBLANK(MEMBERS[[#This Row],[PayrollLocation]]),0,IF(COUNTIF(SCHOOLS[SchoolCode],MEMBERS[[#This Row],[PayrollLocation]])=1,0,1))</f>
        <v>0</v>
      </c>
      <c r="E249" s="57">
        <f>IF(MEMBERS[[#This Row],[AvailableToAllSchools]]=FALSE,IF(ISBLANK(MEMBERS[[#This Row],[SchoolCodes]]),1,0),IF(MEMBERS[[#This Row],[AvailableToAllSchools]]=TRUE,IF(ISBLANK(MEMBERS[[#This Row],[SchoolCodes]]),0,1)))</f>
        <v>0</v>
      </c>
      <c r="F249" s="57">
        <f>IF(ISBLANK(MEMBERS[[#This Row],[ServiceEndDate]]),0,IF(MEMBERS[[#This Row],[ServiceStartDate]]&lt;MEMBERS[[#This Row],[ServiceEndDate]],0,1))</f>
        <v>0</v>
      </c>
      <c r="G249" s="57" cm="1">
        <f t="array" aca="1" ref="G249" ca="1">IF(CELL("format",MEMBERS[[#This Row],[ServiceStartDate]])="D1",0,1)+IF(CELL("format",MEMBERS[[#This Row],[ServiceEndDate]])="D1",0,1)</f>
        <v>0</v>
      </c>
      <c r="H24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49" s="57">
        <f>IF(LEN(MEMBERS[[#This Row],[StaffMemberCode]])&lt;100,0,1)</f>
        <v>0</v>
      </c>
      <c r="J249" s="57">
        <f>IF(LEN(MEMBERS[[#This Row],[Title]])&lt;100,0,1)</f>
        <v>0</v>
      </c>
      <c r="K249" s="57">
        <f>COUNTBLANK(MEMBERS[[#This Row],[StaffMemberCode]:[ServiceStartDate]])+COUNTBLANK(MEMBERS[[#This Row],[Apprenticeship]]:MEMBERS[[#This Row],[StaffMemberEnabled]])+COUNTBLANK(MEMBERS[[#This Row],[GenderCode]]:MEMBERS[[#This Row],[Casual]])</f>
        <v>0</v>
      </c>
      <c r="L249" s="57">
        <f>IF(SUBSTITUTE(TEXT(MEMBERS[[#This Row],[StaffMemberCode]],10)," ","")=TEXT(MEMBERS[[#This Row],[StaffMemberCode]],10),0,1)</f>
        <v>0</v>
      </c>
      <c r="M249" s="57">
        <f ca="1">SUM(MEMBERS[[#This Row],[Duplicate NameService Start]:[Space in Code]])</f>
        <v>0</v>
      </c>
      <c r="O249" s="15">
        <v>91073803</v>
      </c>
      <c r="P249" s="15" t="s">
        <v>3268</v>
      </c>
      <c r="Q249" s="15" t="s">
        <v>3618</v>
      </c>
      <c r="R249" s="133" t="str">
        <f>MEMBERS[[#This Row],[FirstName]]&amp;" "&amp;MEMBERS[[#This Row],[LastName]]</f>
        <v>Geertruida Hargreaves</v>
      </c>
      <c r="S249" s="21">
        <v>44697</v>
      </c>
      <c r="U249" s="21">
        <v>22056</v>
      </c>
      <c r="V249" t="b">
        <v>0</v>
      </c>
      <c r="W249" t="b">
        <v>0</v>
      </c>
      <c r="X249" t="b">
        <v>0</v>
      </c>
      <c r="Y249" t="s">
        <v>2082</v>
      </c>
      <c r="Z249" t="b">
        <v>1</v>
      </c>
      <c r="AB249" t="s">
        <v>1571</v>
      </c>
      <c r="AC249" t="b">
        <v>1</v>
      </c>
    </row>
    <row r="250" spans="1:29" x14ac:dyDescent="0.3">
      <c r="A250" s="57" t="str">
        <f>MEMBERS[[#This Row],[Title]]&amp;MEMBERS[[#This Row],[ServiceStartDate]]</f>
        <v>Gemma Langsdale45170</v>
      </c>
      <c r="B250" s="57">
        <f>IF(COUNTIF(MEMBERS[NameServiceStart],MEMBERS[[#This Row],[NameServiceStart]])=1,0,1)</f>
        <v>0</v>
      </c>
      <c r="C250" s="57">
        <f>IF(COUNTIF(MEMBERS[StaffMemberCode],MEMBERS[[#This Row],[StaffMemberCode]])=1,0,1)</f>
        <v>0</v>
      </c>
      <c r="D250" s="57">
        <f>IF(ISBLANK(MEMBERS[[#This Row],[PayrollLocation]]),0,IF(COUNTIF(SCHOOLS[SchoolCode],MEMBERS[[#This Row],[PayrollLocation]])=1,0,1))</f>
        <v>0</v>
      </c>
      <c r="E250" s="57">
        <f>IF(MEMBERS[[#This Row],[AvailableToAllSchools]]=FALSE,IF(ISBLANK(MEMBERS[[#This Row],[SchoolCodes]]),1,0),IF(MEMBERS[[#This Row],[AvailableToAllSchools]]=TRUE,IF(ISBLANK(MEMBERS[[#This Row],[SchoolCodes]]),0,1)))</f>
        <v>0</v>
      </c>
      <c r="F250" s="57">
        <f>IF(ISBLANK(MEMBERS[[#This Row],[ServiceEndDate]]),0,IF(MEMBERS[[#This Row],[ServiceStartDate]]&lt;MEMBERS[[#This Row],[ServiceEndDate]],0,1))</f>
        <v>0</v>
      </c>
      <c r="G250" s="57" cm="1">
        <f t="array" aca="1" ref="G250" ca="1">IF(CELL("format",MEMBERS[[#This Row],[ServiceStartDate]])="D1",0,1)+IF(CELL("format",MEMBERS[[#This Row],[ServiceEndDate]])="D1",0,1)</f>
        <v>0</v>
      </c>
      <c r="H25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50" s="57">
        <f>IF(LEN(MEMBERS[[#This Row],[StaffMemberCode]])&lt;100,0,1)</f>
        <v>0</v>
      </c>
      <c r="J250" s="57">
        <f>IF(LEN(MEMBERS[[#This Row],[Title]])&lt;100,0,1)</f>
        <v>0</v>
      </c>
      <c r="K250" s="57">
        <f>COUNTBLANK(MEMBERS[[#This Row],[StaffMemberCode]:[ServiceStartDate]])+COUNTBLANK(MEMBERS[[#This Row],[Apprenticeship]]:MEMBERS[[#This Row],[StaffMemberEnabled]])+COUNTBLANK(MEMBERS[[#This Row],[GenderCode]]:MEMBERS[[#This Row],[Casual]])</f>
        <v>0</v>
      </c>
      <c r="L250" s="57">
        <f>IF(SUBSTITUTE(TEXT(MEMBERS[[#This Row],[StaffMemberCode]],10)," ","")=TEXT(MEMBERS[[#This Row],[StaffMemberCode]],10),0,1)</f>
        <v>0</v>
      </c>
      <c r="M250" s="57">
        <f ca="1">SUM(MEMBERS[[#This Row],[Duplicate NameService Start]:[Space in Code]])</f>
        <v>0</v>
      </c>
      <c r="O250" s="15">
        <v>91073901</v>
      </c>
      <c r="P250" s="15" t="s">
        <v>3269</v>
      </c>
      <c r="Q250" s="15" t="s">
        <v>3619</v>
      </c>
      <c r="R250" s="133" t="str">
        <f>MEMBERS[[#This Row],[FirstName]]&amp;" "&amp;MEMBERS[[#This Row],[LastName]]</f>
        <v>Gemma Langsdale</v>
      </c>
      <c r="S250" s="21">
        <v>45170</v>
      </c>
      <c r="U250" s="21">
        <v>28820</v>
      </c>
      <c r="V250" t="b">
        <v>0</v>
      </c>
      <c r="W250" t="b">
        <v>0</v>
      </c>
      <c r="X250" t="b">
        <v>0</v>
      </c>
      <c r="Y250" t="s">
        <v>2266</v>
      </c>
      <c r="Z250" t="b">
        <v>1</v>
      </c>
      <c r="AB250" t="s">
        <v>1571</v>
      </c>
      <c r="AC250" t="b">
        <v>0</v>
      </c>
    </row>
    <row r="251" spans="1:29" x14ac:dyDescent="0.3">
      <c r="A251" s="57" t="str">
        <f>MEMBERS[[#This Row],[Title]]&amp;MEMBERS[[#This Row],[ServiceStartDate]]</f>
        <v>Gemma Parry44305</v>
      </c>
      <c r="B251" s="57">
        <f>IF(COUNTIF(MEMBERS[NameServiceStart],MEMBERS[[#This Row],[NameServiceStart]])=1,0,1)</f>
        <v>0</v>
      </c>
      <c r="C251" s="57">
        <f>IF(COUNTIF(MEMBERS[StaffMemberCode],MEMBERS[[#This Row],[StaffMemberCode]])=1,0,1)</f>
        <v>0</v>
      </c>
      <c r="D251" s="57">
        <f>IF(ISBLANK(MEMBERS[[#This Row],[PayrollLocation]]),0,IF(COUNTIF(SCHOOLS[SchoolCode],MEMBERS[[#This Row],[PayrollLocation]])=1,0,1))</f>
        <v>0</v>
      </c>
      <c r="E251" s="57">
        <f>IF(MEMBERS[[#This Row],[AvailableToAllSchools]]=FALSE,IF(ISBLANK(MEMBERS[[#This Row],[SchoolCodes]]),1,0),IF(MEMBERS[[#This Row],[AvailableToAllSchools]]=TRUE,IF(ISBLANK(MEMBERS[[#This Row],[SchoolCodes]]),0,1)))</f>
        <v>0</v>
      </c>
      <c r="F251" s="57">
        <f>IF(ISBLANK(MEMBERS[[#This Row],[ServiceEndDate]]),0,IF(MEMBERS[[#This Row],[ServiceStartDate]]&lt;MEMBERS[[#This Row],[ServiceEndDate]],0,1))</f>
        <v>0</v>
      </c>
      <c r="G251" s="57" cm="1">
        <f t="array" aca="1" ref="G251" ca="1">IF(CELL("format",MEMBERS[[#This Row],[ServiceStartDate]])="D1",0,1)+IF(CELL("format",MEMBERS[[#This Row],[ServiceEndDate]])="D1",0,1)</f>
        <v>0</v>
      </c>
      <c r="H25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51" s="57">
        <f>IF(LEN(MEMBERS[[#This Row],[StaffMemberCode]])&lt;100,0,1)</f>
        <v>0</v>
      </c>
      <c r="J251" s="57">
        <f>IF(LEN(MEMBERS[[#This Row],[Title]])&lt;100,0,1)</f>
        <v>0</v>
      </c>
      <c r="K251" s="57">
        <f>COUNTBLANK(MEMBERS[[#This Row],[StaffMemberCode]:[ServiceStartDate]])+COUNTBLANK(MEMBERS[[#This Row],[Apprenticeship]]:MEMBERS[[#This Row],[StaffMemberEnabled]])+COUNTBLANK(MEMBERS[[#This Row],[GenderCode]]:MEMBERS[[#This Row],[Casual]])</f>
        <v>0</v>
      </c>
      <c r="L251" s="57">
        <f>IF(SUBSTITUTE(TEXT(MEMBERS[[#This Row],[StaffMemberCode]],10)," ","")=TEXT(MEMBERS[[#This Row],[StaffMemberCode]],10),0,1)</f>
        <v>0</v>
      </c>
      <c r="M251" s="57">
        <f ca="1">SUM(MEMBERS[[#This Row],[Duplicate NameService Start]:[Space in Code]])</f>
        <v>0</v>
      </c>
      <c r="O251" s="15">
        <v>91073891</v>
      </c>
      <c r="P251" s="15" t="s">
        <v>3269</v>
      </c>
      <c r="Q251" s="15" t="s">
        <v>3620</v>
      </c>
      <c r="R251" s="133" t="str">
        <f>MEMBERS[[#This Row],[FirstName]]&amp;" "&amp;MEMBERS[[#This Row],[LastName]]</f>
        <v>Gemma Parry</v>
      </c>
      <c r="S251" s="21">
        <v>44305</v>
      </c>
      <c r="U251" s="21">
        <v>28756</v>
      </c>
      <c r="V251" t="b">
        <v>0</v>
      </c>
      <c r="W251" t="b">
        <v>0</v>
      </c>
      <c r="X251" t="b">
        <v>0</v>
      </c>
      <c r="Y251" t="s">
        <v>2266</v>
      </c>
      <c r="Z251" t="b">
        <v>1</v>
      </c>
      <c r="AB251" t="s">
        <v>1571</v>
      </c>
      <c r="AC251" t="b">
        <v>0</v>
      </c>
    </row>
    <row r="252" spans="1:29" x14ac:dyDescent="0.3">
      <c r="A252" s="57" t="str">
        <f>MEMBERS[[#This Row],[Title]]&amp;MEMBERS[[#This Row],[ServiceStartDate]]</f>
        <v>Gemma Sheehan45663</v>
      </c>
      <c r="B252" s="57">
        <f>IF(COUNTIF(MEMBERS[NameServiceStart],MEMBERS[[#This Row],[NameServiceStart]])=1,0,1)</f>
        <v>0</v>
      </c>
      <c r="C252" s="57">
        <f>IF(COUNTIF(MEMBERS[StaffMemberCode],MEMBERS[[#This Row],[StaffMemberCode]])=1,0,1)</f>
        <v>0</v>
      </c>
      <c r="D252" s="57">
        <f>IF(ISBLANK(MEMBERS[[#This Row],[PayrollLocation]]),0,IF(COUNTIF(SCHOOLS[SchoolCode],MEMBERS[[#This Row],[PayrollLocation]])=1,0,1))</f>
        <v>0</v>
      </c>
      <c r="E252" s="57">
        <f>IF(MEMBERS[[#This Row],[AvailableToAllSchools]]=FALSE,IF(ISBLANK(MEMBERS[[#This Row],[SchoolCodes]]),1,0),IF(MEMBERS[[#This Row],[AvailableToAllSchools]]=TRUE,IF(ISBLANK(MEMBERS[[#This Row],[SchoolCodes]]),0,1)))</f>
        <v>0</v>
      </c>
      <c r="F252" s="57">
        <f>IF(ISBLANK(MEMBERS[[#This Row],[ServiceEndDate]]),0,IF(MEMBERS[[#This Row],[ServiceStartDate]]&lt;MEMBERS[[#This Row],[ServiceEndDate]],0,1))</f>
        <v>0</v>
      </c>
      <c r="G252" s="57" cm="1">
        <f t="array" aca="1" ref="G252" ca="1">IF(CELL("format",MEMBERS[[#This Row],[ServiceStartDate]])="D1",0,1)+IF(CELL("format",MEMBERS[[#This Row],[ServiceEndDate]])="D1",0,1)</f>
        <v>0</v>
      </c>
      <c r="H25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52" s="57">
        <f>IF(LEN(MEMBERS[[#This Row],[StaffMemberCode]])&lt;100,0,1)</f>
        <v>0</v>
      </c>
      <c r="J252" s="57">
        <f>IF(LEN(MEMBERS[[#This Row],[Title]])&lt;100,0,1)</f>
        <v>0</v>
      </c>
      <c r="K252" s="57">
        <f>COUNTBLANK(MEMBERS[[#This Row],[StaffMemberCode]:[ServiceStartDate]])+COUNTBLANK(MEMBERS[[#This Row],[Apprenticeship]]:MEMBERS[[#This Row],[StaffMemberEnabled]])+COUNTBLANK(MEMBERS[[#This Row],[GenderCode]]:MEMBERS[[#This Row],[Casual]])</f>
        <v>0</v>
      </c>
      <c r="L252" s="57">
        <f>IF(SUBSTITUTE(TEXT(MEMBERS[[#This Row],[StaffMemberCode]],10)," ","")=TEXT(MEMBERS[[#This Row],[StaffMemberCode]],10),0,1)</f>
        <v>0</v>
      </c>
      <c r="M252" s="57">
        <f ca="1">SUM(MEMBERS[[#This Row],[Duplicate NameService Start]:[Space in Code]])</f>
        <v>0</v>
      </c>
      <c r="O252" s="15">
        <v>91329558</v>
      </c>
      <c r="P252" s="15" t="s">
        <v>3269</v>
      </c>
      <c r="Q252" s="15" t="s">
        <v>3621</v>
      </c>
      <c r="R252" s="133" t="str">
        <f>MEMBERS[[#This Row],[FirstName]]&amp;" "&amp;MEMBERS[[#This Row],[LastName]]</f>
        <v>Gemma Sheehan</v>
      </c>
      <c r="S252" s="21">
        <v>45663</v>
      </c>
      <c r="U252" s="21">
        <v>30635</v>
      </c>
      <c r="V252" t="b">
        <v>0</v>
      </c>
      <c r="W252" t="b">
        <v>0</v>
      </c>
      <c r="X252" t="b">
        <v>0</v>
      </c>
      <c r="Y252" t="s">
        <v>2082</v>
      </c>
      <c r="Z252" t="b">
        <v>1</v>
      </c>
      <c r="AB252" t="s">
        <v>1571</v>
      </c>
      <c r="AC252" t="b">
        <v>0</v>
      </c>
    </row>
    <row r="253" spans="1:29" x14ac:dyDescent="0.3">
      <c r="A253" s="57" t="str">
        <f>MEMBERS[[#This Row],[Title]]&amp;MEMBERS[[#This Row],[ServiceStartDate]]</f>
        <v>Gemma Springhall40269</v>
      </c>
      <c r="B253" s="57">
        <f>IF(COUNTIF(MEMBERS[NameServiceStart],MEMBERS[[#This Row],[NameServiceStart]])=1,0,1)</f>
        <v>0</v>
      </c>
      <c r="C253" s="57">
        <f>IF(COUNTIF(MEMBERS[StaffMemberCode],MEMBERS[[#This Row],[StaffMemberCode]])=1,0,1)</f>
        <v>0</v>
      </c>
      <c r="D253" s="57">
        <f>IF(ISBLANK(MEMBERS[[#This Row],[PayrollLocation]]),0,IF(COUNTIF(SCHOOLS[SchoolCode],MEMBERS[[#This Row],[PayrollLocation]])=1,0,1))</f>
        <v>0</v>
      </c>
      <c r="E253" s="57">
        <f>IF(MEMBERS[[#This Row],[AvailableToAllSchools]]=FALSE,IF(ISBLANK(MEMBERS[[#This Row],[SchoolCodes]]),1,0),IF(MEMBERS[[#This Row],[AvailableToAllSchools]]=TRUE,IF(ISBLANK(MEMBERS[[#This Row],[SchoolCodes]]),0,1)))</f>
        <v>0</v>
      </c>
      <c r="F253" s="57">
        <f>IF(ISBLANK(MEMBERS[[#This Row],[ServiceEndDate]]),0,IF(MEMBERS[[#This Row],[ServiceStartDate]]&lt;MEMBERS[[#This Row],[ServiceEndDate]],0,1))</f>
        <v>0</v>
      </c>
      <c r="G253" s="57" cm="1">
        <f t="array" aca="1" ref="G253" ca="1">IF(CELL("format",MEMBERS[[#This Row],[ServiceStartDate]])="D1",0,1)+IF(CELL("format",MEMBERS[[#This Row],[ServiceEndDate]])="D1",0,1)</f>
        <v>0</v>
      </c>
      <c r="H25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53" s="57">
        <f>IF(LEN(MEMBERS[[#This Row],[StaffMemberCode]])&lt;100,0,1)</f>
        <v>0</v>
      </c>
      <c r="J253" s="57">
        <f>IF(LEN(MEMBERS[[#This Row],[Title]])&lt;100,0,1)</f>
        <v>0</v>
      </c>
      <c r="K253" s="57">
        <f>COUNTBLANK(MEMBERS[[#This Row],[StaffMemberCode]:[ServiceStartDate]])+COUNTBLANK(MEMBERS[[#This Row],[Apprenticeship]]:MEMBERS[[#This Row],[StaffMemberEnabled]])+COUNTBLANK(MEMBERS[[#This Row],[GenderCode]]:MEMBERS[[#This Row],[Casual]])</f>
        <v>0</v>
      </c>
      <c r="L253" s="57">
        <f>IF(SUBSTITUTE(TEXT(MEMBERS[[#This Row],[StaffMemberCode]],10)," ","")=TEXT(MEMBERS[[#This Row],[StaffMemberCode]],10),0,1)</f>
        <v>0</v>
      </c>
      <c r="M253" s="57">
        <f ca="1">SUM(MEMBERS[[#This Row],[Duplicate NameService Start]:[Space in Code]])</f>
        <v>0</v>
      </c>
      <c r="O253" s="15">
        <v>10014573</v>
      </c>
      <c r="P253" s="15" t="s">
        <v>3269</v>
      </c>
      <c r="Q253" s="15" t="s">
        <v>4061</v>
      </c>
      <c r="R253" s="133" t="str">
        <f>MEMBERS[[#This Row],[FirstName]]&amp;" "&amp;MEMBERS[[#This Row],[LastName]]</f>
        <v>Gemma Springhall</v>
      </c>
      <c r="S253" s="21">
        <v>40269</v>
      </c>
      <c r="U253" s="21">
        <v>31294</v>
      </c>
      <c r="V253" s="138" t="b">
        <v>0</v>
      </c>
      <c r="W253" t="b">
        <v>0</v>
      </c>
      <c r="X253" t="b">
        <v>0</v>
      </c>
      <c r="Y253" t="s">
        <v>2126</v>
      </c>
      <c r="Z253" t="b">
        <v>1</v>
      </c>
      <c r="AB253" t="s">
        <v>1571</v>
      </c>
      <c r="AC253" t="b">
        <v>0</v>
      </c>
    </row>
    <row r="254" spans="1:29" x14ac:dyDescent="0.3">
      <c r="A254" s="57" t="str">
        <f>MEMBERS[[#This Row],[Title]]&amp;MEMBERS[[#This Row],[ServiceStartDate]]</f>
        <v>Gemma Wilson41283</v>
      </c>
      <c r="B254" s="57">
        <f>IF(COUNTIF(MEMBERS[NameServiceStart],MEMBERS[[#This Row],[NameServiceStart]])=1,0,1)</f>
        <v>0</v>
      </c>
      <c r="C254" s="57">
        <f>IF(COUNTIF(MEMBERS[StaffMemberCode],MEMBERS[[#This Row],[StaffMemberCode]])=1,0,1)</f>
        <v>0</v>
      </c>
      <c r="D254" s="57">
        <f>IF(ISBLANK(MEMBERS[[#This Row],[PayrollLocation]]),0,IF(COUNTIF(SCHOOLS[SchoolCode],MEMBERS[[#This Row],[PayrollLocation]])=1,0,1))</f>
        <v>0</v>
      </c>
      <c r="E254" s="57">
        <f>IF(MEMBERS[[#This Row],[AvailableToAllSchools]]=FALSE,IF(ISBLANK(MEMBERS[[#This Row],[SchoolCodes]]),1,0),IF(MEMBERS[[#This Row],[AvailableToAllSchools]]=TRUE,IF(ISBLANK(MEMBERS[[#This Row],[SchoolCodes]]),0,1)))</f>
        <v>0</v>
      </c>
      <c r="F254" s="57">
        <f>IF(ISBLANK(MEMBERS[[#This Row],[ServiceEndDate]]),0,IF(MEMBERS[[#This Row],[ServiceStartDate]]&lt;MEMBERS[[#This Row],[ServiceEndDate]],0,1))</f>
        <v>0</v>
      </c>
      <c r="G254" s="57" cm="1">
        <f t="array" aca="1" ref="G254" ca="1">IF(CELL("format",MEMBERS[[#This Row],[ServiceStartDate]])="D1",0,1)+IF(CELL("format",MEMBERS[[#This Row],[ServiceEndDate]])="D1",0,1)</f>
        <v>0</v>
      </c>
      <c r="H25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54" s="57">
        <f>IF(LEN(MEMBERS[[#This Row],[StaffMemberCode]])&lt;100,0,1)</f>
        <v>0</v>
      </c>
      <c r="J254" s="57">
        <f>IF(LEN(MEMBERS[[#This Row],[Title]])&lt;100,0,1)</f>
        <v>0</v>
      </c>
      <c r="K254" s="57">
        <f>COUNTBLANK(MEMBERS[[#This Row],[StaffMemberCode]:[ServiceStartDate]])+COUNTBLANK(MEMBERS[[#This Row],[Apprenticeship]]:MEMBERS[[#This Row],[StaffMemberEnabled]])+COUNTBLANK(MEMBERS[[#This Row],[GenderCode]]:MEMBERS[[#This Row],[Casual]])</f>
        <v>0</v>
      </c>
      <c r="L254" s="57">
        <f>IF(SUBSTITUTE(TEXT(MEMBERS[[#This Row],[StaffMemberCode]],10)," ","")=TEXT(MEMBERS[[#This Row],[StaffMemberCode]],10),0,1)</f>
        <v>0</v>
      </c>
      <c r="M254" s="57">
        <f ca="1">SUM(MEMBERS[[#This Row],[Duplicate NameService Start]:[Space in Code]])</f>
        <v>0</v>
      </c>
      <c r="O254" s="15">
        <v>91073720</v>
      </c>
      <c r="P254" s="15" t="s">
        <v>3269</v>
      </c>
      <c r="Q254" s="15" t="s">
        <v>3622</v>
      </c>
      <c r="R254" s="133" t="str">
        <f>MEMBERS[[#This Row],[FirstName]]&amp;" "&amp;MEMBERS[[#This Row],[LastName]]</f>
        <v>Gemma Wilson</v>
      </c>
      <c r="S254" s="21">
        <v>41283</v>
      </c>
      <c r="U254" s="21">
        <v>33254</v>
      </c>
      <c r="V254" t="b">
        <v>0</v>
      </c>
      <c r="W254" t="b">
        <v>0</v>
      </c>
      <c r="X254" t="b">
        <v>0</v>
      </c>
      <c r="Y254" t="s">
        <v>2082</v>
      </c>
      <c r="Z254" t="b">
        <v>1</v>
      </c>
      <c r="AB254" t="s">
        <v>1571</v>
      </c>
      <c r="AC254" t="b">
        <v>0</v>
      </c>
    </row>
    <row r="255" spans="1:29" x14ac:dyDescent="0.3">
      <c r="A255" s="57" t="str">
        <f>MEMBERS[[#This Row],[Title]]&amp;MEMBERS[[#This Row],[ServiceStartDate]]</f>
        <v>Geoffrey Smith35309</v>
      </c>
      <c r="B255" s="57">
        <f>IF(COUNTIF(MEMBERS[NameServiceStart],MEMBERS[[#This Row],[NameServiceStart]])=1,0,1)</f>
        <v>0</v>
      </c>
      <c r="C255" s="57">
        <f>IF(COUNTIF(MEMBERS[StaffMemberCode],MEMBERS[[#This Row],[StaffMemberCode]])=1,0,1)</f>
        <v>0</v>
      </c>
      <c r="D255" s="57">
        <f>IF(ISBLANK(MEMBERS[[#This Row],[PayrollLocation]]),0,IF(COUNTIF(SCHOOLS[SchoolCode],MEMBERS[[#This Row],[PayrollLocation]])=1,0,1))</f>
        <v>0</v>
      </c>
      <c r="E255" s="57">
        <f>IF(MEMBERS[[#This Row],[AvailableToAllSchools]]=FALSE,IF(ISBLANK(MEMBERS[[#This Row],[SchoolCodes]]),1,0),IF(MEMBERS[[#This Row],[AvailableToAllSchools]]=TRUE,IF(ISBLANK(MEMBERS[[#This Row],[SchoolCodes]]),0,1)))</f>
        <v>0</v>
      </c>
      <c r="F255" s="57">
        <f>IF(ISBLANK(MEMBERS[[#This Row],[ServiceEndDate]]),0,IF(MEMBERS[[#This Row],[ServiceStartDate]]&lt;MEMBERS[[#This Row],[ServiceEndDate]],0,1))</f>
        <v>0</v>
      </c>
      <c r="G255" s="57" cm="1">
        <f t="array" aca="1" ref="G255" ca="1">IF(CELL("format",MEMBERS[[#This Row],[ServiceStartDate]])="D1",0,1)+IF(CELL("format",MEMBERS[[#This Row],[ServiceEndDate]])="D1",0,1)</f>
        <v>0</v>
      </c>
      <c r="H25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55" s="57">
        <f>IF(LEN(MEMBERS[[#This Row],[StaffMemberCode]])&lt;100,0,1)</f>
        <v>0</v>
      </c>
      <c r="J255" s="57">
        <f>IF(LEN(MEMBERS[[#This Row],[Title]])&lt;100,0,1)</f>
        <v>0</v>
      </c>
      <c r="K255" s="57">
        <f>COUNTBLANK(MEMBERS[[#This Row],[StaffMemberCode]:[ServiceStartDate]])+COUNTBLANK(MEMBERS[[#This Row],[Apprenticeship]]:MEMBERS[[#This Row],[StaffMemberEnabled]])+COUNTBLANK(MEMBERS[[#This Row],[GenderCode]]:MEMBERS[[#This Row],[Casual]])</f>
        <v>0</v>
      </c>
      <c r="L255" s="57">
        <f>IF(SUBSTITUTE(TEXT(MEMBERS[[#This Row],[StaffMemberCode]],10)," ","")=TEXT(MEMBERS[[#This Row],[StaffMemberCode]],10),0,1)</f>
        <v>0</v>
      </c>
      <c r="M255" s="57">
        <f ca="1">SUM(MEMBERS[[#This Row],[Duplicate NameService Start]:[Space in Code]])</f>
        <v>0</v>
      </c>
      <c r="O255" s="15">
        <v>10015776</v>
      </c>
      <c r="P255" s="15" t="s">
        <v>3970</v>
      </c>
      <c r="Q255" s="15" t="s">
        <v>3516</v>
      </c>
      <c r="R255" s="133" t="str">
        <f>MEMBERS[[#This Row],[FirstName]]&amp;" "&amp;MEMBERS[[#This Row],[LastName]]</f>
        <v>Geoffrey Smith</v>
      </c>
      <c r="S255" s="21">
        <v>35309</v>
      </c>
      <c r="U255" s="21">
        <v>23915</v>
      </c>
      <c r="V255" s="138" t="b">
        <v>0</v>
      </c>
      <c r="W255" t="b">
        <v>0</v>
      </c>
      <c r="X255" t="b">
        <v>0</v>
      </c>
      <c r="Y255" t="s">
        <v>2126</v>
      </c>
      <c r="Z255" t="b">
        <v>1</v>
      </c>
      <c r="AB255" t="s">
        <v>1572</v>
      </c>
      <c r="AC255" t="b">
        <v>0</v>
      </c>
    </row>
    <row r="256" spans="1:29" x14ac:dyDescent="0.3">
      <c r="A256" s="57" t="str">
        <f>MEMBERS[[#This Row],[Title]]&amp;MEMBERS[[#This Row],[ServiceStartDate]]</f>
        <v>George Szczadylo45170</v>
      </c>
      <c r="B256" s="57">
        <f>IF(COUNTIF(MEMBERS[NameServiceStart],MEMBERS[[#This Row],[NameServiceStart]])=1,0,1)</f>
        <v>0</v>
      </c>
      <c r="C256" s="57">
        <f>IF(COUNTIF(MEMBERS[StaffMemberCode],MEMBERS[[#This Row],[StaffMemberCode]])=1,0,1)</f>
        <v>0</v>
      </c>
      <c r="D256" s="57">
        <f>IF(ISBLANK(MEMBERS[[#This Row],[PayrollLocation]]),0,IF(COUNTIF(SCHOOLS[SchoolCode],MEMBERS[[#This Row],[PayrollLocation]])=1,0,1))</f>
        <v>0</v>
      </c>
      <c r="E256" s="57">
        <f>IF(MEMBERS[[#This Row],[AvailableToAllSchools]]=FALSE,IF(ISBLANK(MEMBERS[[#This Row],[SchoolCodes]]),1,0),IF(MEMBERS[[#This Row],[AvailableToAllSchools]]=TRUE,IF(ISBLANK(MEMBERS[[#This Row],[SchoolCodes]]),0,1)))</f>
        <v>0</v>
      </c>
      <c r="F256" s="57">
        <f>IF(ISBLANK(MEMBERS[[#This Row],[ServiceEndDate]]),0,IF(MEMBERS[[#This Row],[ServiceStartDate]]&lt;MEMBERS[[#This Row],[ServiceEndDate]],0,1))</f>
        <v>0</v>
      </c>
      <c r="G256" s="57" cm="1">
        <f t="array" aca="1" ref="G256" ca="1">IF(CELL("format",MEMBERS[[#This Row],[ServiceStartDate]])="D1",0,1)+IF(CELL("format",MEMBERS[[#This Row],[ServiceEndDate]])="D1",0,1)</f>
        <v>0</v>
      </c>
      <c r="H25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56" s="57">
        <f>IF(LEN(MEMBERS[[#This Row],[StaffMemberCode]])&lt;100,0,1)</f>
        <v>0</v>
      </c>
      <c r="J256" s="57">
        <f>IF(LEN(MEMBERS[[#This Row],[Title]])&lt;100,0,1)</f>
        <v>0</v>
      </c>
      <c r="K256" s="57">
        <f>COUNTBLANK(MEMBERS[[#This Row],[StaffMemberCode]:[ServiceStartDate]])+COUNTBLANK(MEMBERS[[#This Row],[Apprenticeship]]:MEMBERS[[#This Row],[StaffMemberEnabled]])+COUNTBLANK(MEMBERS[[#This Row],[GenderCode]]:MEMBERS[[#This Row],[Casual]])</f>
        <v>0</v>
      </c>
      <c r="L256" s="57">
        <f>IF(SUBSTITUTE(TEXT(MEMBERS[[#This Row],[StaffMemberCode]],10)," ","")=TEXT(MEMBERS[[#This Row],[StaffMemberCode]],10),0,1)</f>
        <v>0</v>
      </c>
      <c r="M256" s="57">
        <f ca="1">SUM(MEMBERS[[#This Row],[Duplicate NameService Start]:[Space in Code]])</f>
        <v>0</v>
      </c>
      <c r="O256" s="15">
        <v>10012815</v>
      </c>
      <c r="P256" s="15" t="s">
        <v>3971</v>
      </c>
      <c r="Q256" s="15" t="s">
        <v>4062</v>
      </c>
      <c r="R256" s="133" t="str">
        <f>MEMBERS[[#This Row],[FirstName]]&amp;" "&amp;MEMBERS[[#This Row],[LastName]]</f>
        <v>George Szczadylo</v>
      </c>
      <c r="S256" s="21">
        <v>45170</v>
      </c>
      <c r="U256" s="21">
        <v>36663</v>
      </c>
      <c r="V256" s="138" t="b">
        <v>0</v>
      </c>
      <c r="W256" t="b">
        <v>0</v>
      </c>
      <c r="X256" t="b">
        <v>0</v>
      </c>
      <c r="Y256" t="s">
        <v>2126</v>
      </c>
      <c r="Z256" t="b">
        <v>1</v>
      </c>
      <c r="AB256" t="s">
        <v>1572</v>
      </c>
      <c r="AC256" t="b">
        <v>0</v>
      </c>
    </row>
    <row r="257" spans="1:29" x14ac:dyDescent="0.3">
      <c r="A257" s="57" t="str">
        <f>MEMBERS[[#This Row],[Title]]&amp;MEMBERS[[#This Row],[ServiceStartDate]]</f>
        <v>Georgina Walsh44570</v>
      </c>
      <c r="B257" s="57">
        <f>IF(COUNTIF(MEMBERS[NameServiceStart],MEMBERS[[#This Row],[NameServiceStart]])=1,0,1)</f>
        <v>0</v>
      </c>
      <c r="C257" s="57">
        <f>IF(COUNTIF(MEMBERS[StaffMemberCode],MEMBERS[[#This Row],[StaffMemberCode]])=1,0,1)</f>
        <v>0</v>
      </c>
      <c r="D257" s="57">
        <f>IF(ISBLANK(MEMBERS[[#This Row],[PayrollLocation]]),0,IF(COUNTIF(SCHOOLS[SchoolCode],MEMBERS[[#This Row],[PayrollLocation]])=1,0,1))</f>
        <v>0</v>
      </c>
      <c r="E257" s="57">
        <f>IF(MEMBERS[[#This Row],[AvailableToAllSchools]]=FALSE,IF(ISBLANK(MEMBERS[[#This Row],[SchoolCodes]]),1,0),IF(MEMBERS[[#This Row],[AvailableToAllSchools]]=TRUE,IF(ISBLANK(MEMBERS[[#This Row],[SchoolCodes]]),0,1)))</f>
        <v>0</v>
      </c>
      <c r="F257" s="57">
        <f>IF(ISBLANK(MEMBERS[[#This Row],[ServiceEndDate]]),0,IF(MEMBERS[[#This Row],[ServiceStartDate]]&lt;MEMBERS[[#This Row],[ServiceEndDate]],0,1))</f>
        <v>0</v>
      </c>
      <c r="G257" s="57" cm="1">
        <f t="array" aca="1" ref="G257" ca="1">IF(CELL("format",MEMBERS[[#This Row],[ServiceStartDate]])="D1",0,1)+IF(CELL("format",MEMBERS[[#This Row],[ServiceEndDate]])="D1",0,1)</f>
        <v>0</v>
      </c>
      <c r="H25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57" s="57">
        <f>IF(LEN(MEMBERS[[#This Row],[StaffMemberCode]])&lt;100,0,1)</f>
        <v>0</v>
      </c>
      <c r="J257" s="57">
        <f>IF(LEN(MEMBERS[[#This Row],[Title]])&lt;100,0,1)</f>
        <v>0</v>
      </c>
      <c r="K257" s="57">
        <f>COUNTBLANK(MEMBERS[[#This Row],[StaffMemberCode]:[ServiceStartDate]])+COUNTBLANK(MEMBERS[[#This Row],[Apprenticeship]]:MEMBERS[[#This Row],[StaffMemberEnabled]])+COUNTBLANK(MEMBERS[[#This Row],[GenderCode]]:MEMBERS[[#This Row],[Casual]])</f>
        <v>0</v>
      </c>
      <c r="L257" s="57">
        <f>IF(SUBSTITUTE(TEXT(MEMBERS[[#This Row],[StaffMemberCode]],10)," ","")=TEXT(MEMBERS[[#This Row],[StaffMemberCode]],10),0,1)</f>
        <v>0</v>
      </c>
      <c r="M257" s="57">
        <f ca="1">SUM(MEMBERS[[#This Row],[Duplicate NameService Start]:[Space in Code]])</f>
        <v>0</v>
      </c>
      <c r="O257" s="15">
        <v>91073816</v>
      </c>
      <c r="P257" s="15" t="s">
        <v>3270</v>
      </c>
      <c r="Q257" s="15" t="s">
        <v>3623</v>
      </c>
      <c r="R257" s="133" t="str">
        <f>MEMBERS[[#This Row],[FirstName]]&amp;" "&amp;MEMBERS[[#This Row],[LastName]]</f>
        <v>Georgina Walsh</v>
      </c>
      <c r="S257" s="21">
        <v>44570</v>
      </c>
      <c r="U257" s="21">
        <v>35690</v>
      </c>
      <c r="V257" t="b">
        <v>0</v>
      </c>
      <c r="W257" t="b">
        <v>0</v>
      </c>
      <c r="X257" t="b">
        <v>0</v>
      </c>
      <c r="Y257" t="s">
        <v>2082</v>
      </c>
      <c r="Z257" t="b">
        <v>1</v>
      </c>
      <c r="AB257" t="s">
        <v>1571</v>
      </c>
      <c r="AC257" t="b">
        <v>0</v>
      </c>
    </row>
    <row r="258" spans="1:29" x14ac:dyDescent="0.3">
      <c r="A258" s="57" t="str">
        <f>MEMBERS[[#This Row],[Title]]&amp;MEMBERS[[#This Row],[ServiceStartDate]]</f>
        <v>Geraldine Whitehead45901</v>
      </c>
      <c r="B258" s="57">
        <f>IF(COUNTIF(MEMBERS[NameServiceStart],MEMBERS[[#This Row],[NameServiceStart]])=1,0,1)</f>
        <v>0</v>
      </c>
      <c r="C258" s="57">
        <f>IF(COUNTIF(MEMBERS[StaffMemberCode],MEMBERS[[#This Row],[StaffMemberCode]])=1,0,1)</f>
        <v>0</v>
      </c>
      <c r="D258" s="57">
        <f>IF(ISBLANK(MEMBERS[[#This Row],[PayrollLocation]]),0,IF(COUNTIF(SCHOOLS[SchoolCode],MEMBERS[[#This Row],[PayrollLocation]])=1,0,1))</f>
        <v>0</v>
      </c>
      <c r="E258" s="57">
        <f>IF(MEMBERS[[#This Row],[AvailableToAllSchools]]=FALSE,IF(ISBLANK(MEMBERS[[#This Row],[SchoolCodes]]),1,0),IF(MEMBERS[[#This Row],[AvailableToAllSchools]]=TRUE,IF(ISBLANK(MEMBERS[[#This Row],[SchoolCodes]]),0,1)))</f>
        <v>0</v>
      </c>
      <c r="F258" s="57">
        <f>IF(ISBLANK(MEMBERS[[#This Row],[ServiceEndDate]]),0,IF(MEMBERS[[#This Row],[ServiceStartDate]]&lt;MEMBERS[[#This Row],[ServiceEndDate]],0,1))</f>
        <v>0</v>
      </c>
      <c r="G258" s="57" cm="1">
        <f t="array" aca="1" ref="G258" ca="1">IF(CELL("format",MEMBERS[[#This Row],[ServiceStartDate]])="D1",0,1)+IF(CELL("format",MEMBERS[[#This Row],[ServiceEndDate]])="D1",0,1)</f>
        <v>0</v>
      </c>
      <c r="H25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58" s="57">
        <f>IF(LEN(MEMBERS[[#This Row],[StaffMemberCode]])&lt;100,0,1)</f>
        <v>0</v>
      </c>
      <c r="J258" s="57">
        <f>IF(LEN(MEMBERS[[#This Row],[Title]])&lt;100,0,1)</f>
        <v>0</v>
      </c>
      <c r="K258" s="57">
        <f>COUNTBLANK(MEMBERS[[#This Row],[StaffMemberCode]:[ServiceStartDate]])+COUNTBLANK(MEMBERS[[#This Row],[Apprenticeship]]:MEMBERS[[#This Row],[StaffMemberEnabled]])+COUNTBLANK(MEMBERS[[#This Row],[GenderCode]]:MEMBERS[[#This Row],[Casual]])</f>
        <v>0</v>
      </c>
      <c r="L258" s="57">
        <f>IF(SUBSTITUTE(TEXT(MEMBERS[[#This Row],[StaffMemberCode]],10)," ","")=TEXT(MEMBERS[[#This Row],[StaffMemberCode]],10),0,1)</f>
        <v>0</v>
      </c>
      <c r="M258" s="57">
        <f ca="1">SUM(MEMBERS[[#This Row],[Duplicate NameService Start]:[Space in Code]])</f>
        <v>0</v>
      </c>
      <c r="O258" s="15">
        <v>91850057</v>
      </c>
      <c r="P258" s="15" t="s">
        <v>3271</v>
      </c>
      <c r="Q258" s="15" t="s">
        <v>3525</v>
      </c>
      <c r="R258" s="133" t="str">
        <f>MEMBERS[[#This Row],[FirstName]]&amp;" "&amp;MEMBERS[[#This Row],[LastName]]</f>
        <v>Geraldine Whitehead</v>
      </c>
      <c r="S258" s="21">
        <v>45901</v>
      </c>
      <c r="U258" s="21">
        <v>22340</v>
      </c>
      <c r="V258" t="b">
        <v>0</v>
      </c>
      <c r="W258" t="b">
        <v>0</v>
      </c>
      <c r="X258" t="b">
        <v>0</v>
      </c>
      <c r="Y258" t="s">
        <v>2094</v>
      </c>
      <c r="Z258" t="b">
        <v>1</v>
      </c>
      <c r="AB258" t="s">
        <v>1571</v>
      </c>
      <c r="AC258" t="b">
        <v>1</v>
      </c>
    </row>
    <row r="259" spans="1:29" x14ac:dyDescent="0.3">
      <c r="A259" s="57" t="str">
        <f>MEMBERS[[#This Row],[Title]]&amp;MEMBERS[[#This Row],[ServiceStartDate]]</f>
        <v>Gillian Billington38040</v>
      </c>
      <c r="B259" s="57">
        <f>IF(COUNTIF(MEMBERS[NameServiceStart],MEMBERS[[#This Row],[NameServiceStart]])=1,0,1)</f>
        <v>0</v>
      </c>
      <c r="C259" s="57">
        <f>IF(COUNTIF(MEMBERS[StaffMemberCode],MEMBERS[[#This Row],[StaffMemberCode]])=1,0,1)</f>
        <v>0</v>
      </c>
      <c r="D259" s="57">
        <f>IF(ISBLANK(MEMBERS[[#This Row],[PayrollLocation]]),0,IF(COUNTIF(SCHOOLS[SchoolCode],MEMBERS[[#This Row],[PayrollLocation]])=1,0,1))</f>
        <v>0</v>
      </c>
      <c r="E259" s="57">
        <f>IF(MEMBERS[[#This Row],[AvailableToAllSchools]]=FALSE,IF(ISBLANK(MEMBERS[[#This Row],[SchoolCodes]]),1,0),IF(MEMBERS[[#This Row],[AvailableToAllSchools]]=TRUE,IF(ISBLANK(MEMBERS[[#This Row],[SchoolCodes]]),0,1)))</f>
        <v>0</v>
      </c>
      <c r="F259" s="57">
        <f>IF(ISBLANK(MEMBERS[[#This Row],[ServiceEndDate]]),0,IF(MEMBERS[[#This Row],[ServiceStartDate]]&lt;MEMBERS[[#This Row],[ServiceEndDate]],0,1))</f>
        <v>0</v>
      </c>
      <c r="G259" s="57" cm="1">
        <f t="array" aca="1" ref="G259" ca="1">IF(CELL("format",MEMBERS[[#This Row],[ServiceStartDate]])="D1",0,1)+IF(CELL("format",MEMBERS[[#This Row],[ServiceEndDate]])="D1",0,1)</f>
        <v>0</v>
      </c>
      <c r="H25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59" s="57">
        <f>IF(LEN(MEMBERS[[#This Row],[StaffMemberCode]])&lt;100,0,1)</f>
        <v>0</v>
      </c>
      <c r="J259" s="57">
        <f>IF(LEN(MEMBERS[[#This Row],[Title]])&lt;100,0,1)</f>
        <v>0</v>
      </c>
      <c r="K259" s="57">
        <f>COUNTBLANK(MEMBERS[[#This Row],[StaffMemberCode]:[ServiceStartDate]])+COUNTBLANK(MEMBERS[[#This Row],[Apprenticeship]]:MEMBERS[[#This Row],[StaffMemberEnabled]])+COUNTBLANK(MEMBERS[[#This Row],[GenderCode]]:MEMBERS[[#This Row],[Casual]])</f>
        <v>0</v>
      </c>
      <c r="L259" s="57">
        <f>IF(SUBSTITUTE(TEXT(MEMBERS[[#This Row],[StaffMemberCode]],10)," ","")=TEXT(MEMBERS[[#This Row],[StaffMemberCode]],10),0,1)</f>
        <v>0</v>
      </c>
      <c r="M259" s="57">
        <f ca="1">SUM(MEMBERS[[#This Row],[Duplicate NameService Start]:[Space in Code]])</f>
        <v>0</v>
      </c>
      <c r="O259" s="15">
        <v>91073462</v>
      </c>
      <c r="P259" s="15" t="s">
        <v>3272</v>
      </c>
      <c r="Q259" s="15" t="s">
        <v>3624</v>
      </c>
      <c r="R259" s="133" t="str">
        <f>MEMBERS[[#This Row],[FirstName]]&amp;" "&amp;MEMBERS[[#This Row],[LastName]]</f>
        <v>Gillian Billington</v>
      </c>
      <c r="S259" s="21">
        <v>38040</v>
      </c>
      <c r="U259" s="21">
        <v>23827</v>
      </c>
      <c r="V259" t="b">
        <v>0</v>
      </c>
      <c r="W259" t="b">
        <v>0</v>
      </c>
      <c r="X259" t="b">
        <v>0</v>
      </c>
      <c r="Y259" t="s">
        <v>2094</v>
      </c>
      <c r="Z259" t="b">
        <v>1</v>
      </c>
      <c r="AB259" t="s">
        <v>1571</v>
      </c>
      <c r="AC259" t="b">
        <v>0</v>
      </c>
    </row>
    <row r="260" spans="1:29" x14ac:dyDescent="0.3">
      <c r="A260" s="57" t="str">
        <f>MEMBERS[[#This Row],[Title]]&amp;MEMBERS[[#This Row],[ServiceStartDate]]</f>
        <v>Gillian Potts41220</v>
      </c>
      <c r="B260" s="57">
        <f>IF(COUNTIF(MEMBERS[NameServiceStart],MEMBERS[[#This Row],[NameServiceStart]])=1,0,1)</f>
        <v>0</v>
      </c>
      <c r="C260" s="57">
        <f>IF(COUNTIF(MEMBERS[StaffMemberCode],MEMBERS[[#This Row],[StaffMemberCode]])=1,0,1)</f>
        <v>0</v>
      </c>
      <c r="D260" s="57">
        <f>IF(ISBLANK(MEMBERS[[#This Row],[PayrollLocation]]),0,IF(COUNTIF(SCHOOLS[SchoolCode],MEMBERS[[#This Row],[PayrollLocation]])=1,0,1))</f>
        <v>0</v>
      </c>
      <c r="E260" s="57">
        <f>IF(MEMBERS[[#This Row],[AvailableToAllSchools]]=FALSE,IF(ISBLANK(MEMBERS[[#This Row],[SchoolCodes]]),1,0),IF(MEMBERS[[#This Row],[AvailableToAllSchools]]=TRUE,IF(ISBLANK(MEMBERS[[#This Row],[SchoolCodes]]),0,1)))</f>
        <v>0</v>
      </c>
      <c r="F260" s="57">
        <f>IF(ISBLANK(MEMBERS[[#This Row],[ServiceEndDate]]),0,IF(MEMBERS[[#This Row],[ServiceStartDate]]&lt;MEMBERS[[#This Row],[ServiceEndDate]],0,1))</f>
        <v>0</v>
      </c>
      <c r="G260" s="57" cm="1">
        <f t="array" aca="1" ref="G260" ca="1">IF(CELL("format",MEMBERS[[#This Row],[ServiceStartDate]])="D1",0,1)+IF(CELL("format",MEMBERS[[#This Row],[ServiceEndDate]])="D1",0,1)</f>
        <v>0</v>
      </c>
      <c r="H26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60" s="57">
        <f>IF(LEN(MEMBERS[[#This Row],[StaffMemberCode]])&lt;100,0,1)</f>
        <v>0</v>
      </c>
      <c r="J260" s="57">
        <f>IF(LEN(MEMBERS[[#This Row],[Title]])&lt;100,0,1)</f>
        <v>0</v>
      </c>
      <c r="K260" s="57">
        <f>COUNTBLANK(MEMBERS[[#This Row],[StaffMemberCode]:[ServiceStartDate]])+COUNTBLANK(MEMBERS[[#This Row],[Apprenticeship]]:MEMBERS[[#This Row],[StaffMemberEnabled]])+COUNTBLANK(MEMBERS[[#This Row],[GenderCode]]:MEMBERS[[#This Row],[Casual]])</f>
        <v>0</v>
      </c>
      <c r="L260" s="57">
        <f>IF(SUBSTITUTE(TEXT(MEMBERS[[#This Row],[StaffMemberCode]],10)," ","")=TEXT(MEMBERS[[#This Row],[StaffMemberCode]],10),0,1)</f>
        <v>0</v>
      </c>
      <c r="M260" s="57">
        <f ca="1">SUM(MEMBERS[[#This Row],[Duplicate NameService Start]:[Space in Code]])</f>
        <v>0</v>
      </c>
      <c r="O260" s="15">
        <v>91073712</v>
      </c>
      <c r="P260" s="15" t="s">
        <v>3272</v>
      </c>
      <c r="Q260" s="15" t="s">
        <v>3625</v>
      </c>
      <c r="R260" s="133" t="str">
        <f>MEMBERS[[#This Row],[FirstName]]&amp;" "&amp;MEMBERS[[#This Row],[LastName]]</f>
        <v>Gillian Potts</v>
      </c>
      <c r="S260" s="21">
        <v>41220</v>
      </c>
      <c r="U260" s="21">
        <v>23427</v>
      </c>
      <c r="V260" t="b">
        <v>0</v>
      </c>
      <c r="W260" t="b">
        <v>0</v>
      </c>
      <c r="X260" t="b">
        <v>0</v>
      </c>
      <c r="Y260" t="s">
        <v>2082</v>
      </c>
      <c r="Z260" t="b">
        <v>1</v>
      </c>
      <c r="AB260" t="s">
        <v>1571</v>
      </c>
      <c r="AC260" t="b">
        <v>0</v>
      </c>
    </row>
    <row r="261" spans="1:29" x14ac:dyDescent="0.3">
      <c r="A261" s="57" t="str">
        <f>MEMBERS[[#This Row],[Title]]&amp;MEMBERS[[#This Row],[ServiceStartDate]]</f>
        <v>Gillian Shearer39552</v>
      </c>
      <c r="B261" s="57">
        <f>IF(COUNTIF(MEMBERS[NameServiceStart],MEMBERS[[#This Row],[NameServiceStart]])=1,0,1)</f>
        <v>0</v>
      </c>
      <c r="C261" s="57">
        <f>IF(COUNTIF(MEMBERS[StaffMemberCode],MEMBERS[[#This Row],[StaffMemberCode]])=1,0,1)</f>
        <v>0</v>
      </c>
      <c r="D261" s="57">
        <f>IF(ISBLANK(MEMBERS[[#This Row],[PayrollLocation]]),0,IF(COUNTIF(SCHOOLS[SchoolCode],MEMBERS[[#This Row],[PayrollLocation]])=1,0,1))</f>
        <v>0</v>
      </c>
      <c r="E261" s="57">
        <f>IF(MEMBERS[[#This Row],[AvailableToAllSchools]]=FALSE,IF(ISBLANK(MEMBERS[[#This Row],[SchoolCodes]]),1,0),IF(MEMBERS[[#This Row],[AvailableToAllSchools]]=TRUE,IF(ISBLANK(MEMBERS[[#This Row],[SchoolCodes]]),0,1)))</f>
        <v>0</v>
      </c>
      <c r="F261" s="57">
        <f>IF(ISBLANK(MEMBERS[[#This Row],[ServiceEndDate]]),0,IF(MEMBERS[[#This Row],[ServiceStartDate]]&lt;MEMBERS[[#This Row],[ServiceEndDate]],0,1))</f>
        <v>0</v>
      </c>
      <c r="G261" s="57" cm="1">
        <f t="array" aca="1" ref="G261" ca="1">IF(CELL("format",MEMBERS[[#This Row],[ServiceStartDate]])="D1",0,1)+IF(CELL("format",MEMBERS[[#This Row],[ServiceEndDate]])="D1",0,1)</f>
        <v>0</v>
      </c>
      <c r="H26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61" s="57">
        <f>IF(LEN(MEMBERS[[#This Row],[StaffMemberCode]])&lt;100,0,1)</f>
        <v>0</v>
      </c>
      <c r="J261" s="57">
        <f>IF(LEN(MEMBERS[[#This Row],[Title]])&lt;100,0,1)</f>
        <v>0</v>
      </c>
      <c r="K261" s="57">
        <f>COUNTBLANK(MEMBERS[[#This Row],[StaffMemberCode]:[ServiceStartDate]])+COUNTBLANK(MEMBERS[[#This Row],[Apprenticeship]]:MEMBERS[[#This Row],[StaffMemberEnabled]])+COUNTBLANK(MEMBERS[[#This Row],[GenderCode]]:MEMBERS[[#This Row],[Casual]])</f>
        <v>0</v>
      </c>
      <c r="L261" s="57">
        <f>IF(SUBSTITUTE(TEXT(MEMBERS[[#This Row],[StaffMemberCode]],10)," ","")=TEXT(MEMBERS[[#This Row],[StaffMemberCode]],10),0,1)</f>
        <v>0</v>
      </c>
      <c r="M261" s="57">
        <f ca="1">SUM(MEMBERS[[#This Row],[Duplicate NameService Start]:[Space in Code]])</f>
        <v>0</v>
      </c>
      <c r="O261" s="15">
        <v>91073404</v>
      </c>
      <c r="P261" s="15" t="s">
        <v>3272</v>
      </c>
      <c r="Q261" s="15" t="s">
        <v>3626</v>
      </c>
      <c r="R261" s="133" t="str">
        <f>MEMBERS[[#This Row],[FirstName]]&amp;" "&amp;MEMBERS[[#This Row],[LastName]]</f>
        <v>Gillian Shearer</v>
      </c>
      <c r="S261" s="21">
        <v>39552</v>
      </c>
      <c r="U261" s="21">
        <v>28382</v>
      </c>
      <c r="V261" t="b">
        <v>0</v>
      </c>
      <c r="W261" t="b">
        <v>0</v>
      </c>
      <c r="X261" t="b">
        <v>0</v>
      </c>
      <c r="Y261" t="s">
        <v>2275</v>
      </c>
      <c r="Z261" t="b">
        <v>1</v>
      </c>
      <c r="AB261" t="s">
        <v>1571</v>
      </c>
      <c r="AC261" t="b">
        <v>0</v>
      </c>
    </row>
    <row r="262" spans="1:29" x14ac:dyDescent="0.3">
      <c r="A262" s="57" t="str">
        <f>MEMBERS[[#This Row],[Title]]&amp;MEMBERS[[#This Row],[ServiceStartDate]]</f>
        <v>Gillian Smith42744</v>
      </c>
      <c r="B262" s="57">
        <f>IF(COUNTIF(MEMBERS[NameServiceStart],MEMBERS[[#This Row],[NameServiceStart]])=1,0,1)</f>
        <v>0</v>
      </c>
      <c r="C262" s="57">
        <f>IF(COUNTIF(MEMBERS[StaffMemberCode],MEMBERS[[#This Row],[StaffMemberCode]])=1,0,1)</f>
        <v>0</v>
      </c>
      <c r="D262" s="57">
        <f>IF(ISBLANK(MEMBERS[[#This Row],[PayrollLocation]]),0,IF(COUNTIF(SCHOOLS[SchoolCode],MEMBERS[[#This Row],[PayrollLocation]])=1,0,1))</f>
        <v>0</v>
      </c>
      <c r="E262" s="57">
        <f>IF(MEMBERS[[#This Row],[AvailableToAllSchools]]=FALSE,IF(ISBLANK(MEMBERS[[#This Row],[SchoolCodes]]),1,0),IF(MEMBERS[[#This Row],[AvailableToAllSchools]]=TRUE,IF(ISBLANK(MEMBERS[[#This Row],[SchoolCodes]]),0,1)))</f>
        <v>0</v>
      </c>
      <c r="F262" s="57">
        <f>IF(ISBLANK(MEMBERS[[#This Row],[ServiceEndDate]]),0,IF(MEMBERS[[#This Row],[ServiceStartDate]]&lt;MEMBERS[[#This Row],[ServiceEndDate]],0,1))</f>
        <v>0</v>
      </c>
      <c r="G262" s="57" cm="1">
        <f t="array" aca="1" ref="G262" ca="1">IF(CELL("format",MEMBERS[[#This Row],[ServiceStartDate]])="D1",0,1)+IF(CELL("format",MEMBERS[[#This Row],[ServiceEndDate]])="D1",0,1)</f>
        <v>0</v>
      </c>
      <c r="H26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62" s="57">
        <f>IF(LEN(MEMBERS[[#This Row],[StaffMemberCode]])&lt;100,0,1)</f>
        <v>0</v>
      </c>
      <c r="J262" s="57">
        <f>IF(LEN(MEMBERS[[#This Row],[Title]])&lt;100,0,1)</f>
        <v>0</v>
      </c>
      <c r="K262" s="57">
        <f>COUNTBLANK(MEMBERS[[#This Row],[StaffMemberCode]:[ServiceStartDate]])+COUNTBLANK(MEMBERS[[#This Row],[Apprenticeship]]:MEMBERS[[#This Row],[StaffMemberEnabled]])+COUNTBLANK(MEMBERS[[#This Row],[GenderCode]]:MEMBERS[[#This Row],[Casual]])</f>
        <v>0</v>
      </c>
      <c r="L262" s="57">
        <f>IF(SUBSTITUTE(TEXT(MEMBERS[[#This Row],[StaffMemberCode]],10)," ","")=TEXT(MEMBERS[[#This Row],[StaffMemberCode]],10),0,1)</f>
        <v>0</v>
      </c>
      <c r="M262" s="57">
        <f ca="1">SUM(MEMBERS[[#This Row],[Duplicate NameService Start]:[Space in Code]])</f>
        <v>0</v>
      </c>
      <c r="O262" s="15">
        <v>91073772</v>
      </c>
      <c r="P262" s="15" t="s">
        <v>3272</v>
      </c>
      <c r="Q262" s="15" t="s">
        <v>3516</v>
      </c>
      <c r="R262" s="133" t="str">
        <f>MEMBERS[[#This Row],[FirstName]]&amp;" "&amp;MEMBERS[[#This Row],[LastName]]</f>
        <v>Gillian Smith</v>
      </c>
      <c r="S262" s="21">
        <v>42744</v>
      </c>
      <c r="U262" s="21">
        <v>34207</v>
      </c>
      <c r="V262" t="b">
        <v>0</v>
      </c>
      <c r="W262" t="b">
        <v>0</v>
      </c>
      <c r="X262" t="b">
        <v>0</v>
      </c>
      <c r="Y262" t="s">
        <v>2082</v>
      </c>
      <c r="Z262" t="b">
        <v>1</v>
      </c>
      <c r="AB262" t="s">
        <v>1571</v>
      </c>
      <c r="AC262" t="b">
        <v>0</v>
      </c>
    </row>
    <row r="263" spans="1:29" x14ac:dyDescent="0.3">
      <c r="A263" s="57" t="str">
        <f>MEMBERS[[#This Row],[Title]]&amp;MEMBERS[[#This Row],[ServiceStartDate]]</f>
        <v>Gordon Ball45776</v>
      </c>
      <c r="B263" s="57">
        <f>IF(COUNTIF(MEMBERS[NameServiceStart],MEMBERS[[#This Row],[NameServiceStart]])=1,0,1)</f>
        <v>0</v>
      </c>
      <c r="C263" s="57">
        <f>IF(COUNTIF(MEMBERS[StaffMemberCode],MEMBERS[[#This Row],[StaffMemberCode]])=1,0,1)</f>
        <v>0</v>
      </c>
      <c r="D263" s="57">
        <f>IF(ISBLANK(MEMBERS[[#This Row],[PayrollLocation]]),0,IF(COUNTIF(SCHOOLS[SchoolCode],MEMBERS[[#This Row],[PayrollLocation]])=1,0,1))</f>
        <v>0</v>
      </c>
      <c r="E263" s="57">
        <f>IF(MEMBERS[[#This Row],[AvailableToAllSchools]]=FALSE,IF(ISBLANK(MEMBERS[[#This Row],[SchoolCodes]]),1,0),IF(MEMBERS[[#This Row],[AvailableToAllSchools]]=TRUE,IF(ISBLANK(MEMBERS[[#This Row],[SchoolCodes]]),0,1)))</f>
        <v>0</v>
      </c>
      <c r="F263" s="57">
        <f>IF(ISBLANK(MEMBERS[[#This Row],[ServiceEndDate]]),0,IF(MEMBERS[[#This Row],[ServiceStartDate]]&lt;MEMBERS[[#This Row],[ServiceEndDate]],0,1))</f>
        <v>0</v>
      </c>
      <c r="G263" s="57" cm="1">
        <f t="array" aca="1" ref="G263" ca="1">IF(CELL("format",MEMBERS[[#This Row],[ServiceStartDate]])="D1",0,1)+IF(CELL("format",MEMBERS[[#This Row],[ServiceEndDate]])="D1",0,1)</f>
        <v>0</v>
      </c>
      <c r="H26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63" s="57">
        <f>IF(LEN(MEMBERS[[#This Row],[StaffMemberCode]])&lt;100,0,1)</f>
        <v>0</v>
      </c>
      <c r="J263" s="57">
        <f>IF(LEN(MEMBERS[[#This Row],[Title]])&lt;100,0,1)</f>
        <v>0</v>
      </c>
      <c r="K263" s="57">
        <f>COUNTBLANK(MEMBERS[[#This Row],[StaffMemberCode]:[ServiceStartDate]])+COUNTBLANK(MEMBERS[[#This Row],[Apprenticeship]]:MEMBERS[[#This Row],[StaffMemberEnabled]])+COUNTBLANK(MEMBERS[[#This Row],[GenderCode]]:MEMBERS[[#This Row],[Casual]])</f>
        <v>0</v>
      </c>
      <c r="L263" s="57">
        <f>IF(SUBSTITUTE(TEXT(MEMBERS[[#This Row],[StaffMemberCode]],10)," ","")=TEXT(MEMBERS[[#This Row],[StaffMemberCode]],10),0,1)</f>
        <v>0</v>
      </c>
      <c r="M263" s="57">
        <f ca="1">SUM(MEMBERS[[#This Row],[Duplicate NameService Start]:[Space in Code]])</f>
        <v>0</v>
      </c>
      <c r="O263" s="15">
        <v>91850011</v>
      </c>
      <c r="P263" s="15" t="s">
        <v>3273</v>
      </c>
      <c r="Q263" s="15" t="s">
        <v>3627</v>
      </c>
      <c r="R263" s="133" t="str">
        <f>MEMBERS[[#This Row],[FirstName]]&amp;" "&amp;MEMBERS[[#This Row],[LastName]]</f>
        <v>Gordon Ball</v>
      </c>
      <c r="S263" s="21">
        <v>45776</v>
      </c>
      <c r="U263" s="21">
        <v>19660</v>
      </c>
      <c r="V263" t="b">
        <v>0</v>
      </c>
      <c r="W263" t="b">
        <v>0</v>
      </c>
      <c r="X263" t="b">
        <v>0</v>
      </c>
      <c r="Y263" t="s">
        <v>2094</v>
      </c>
      <c r="Z263" t="b">
        <v>1</v>
      </c>
      <c r="AB263" t="s">
        <v>1572</v>
      </c>
      <c r="AC263" t="b">
        <v>1</v>
      </c>
    </row>
    <row r="264" spans="1:29" x14ac:dyDescent="0.3">
      <c r="A264" s="57" t="str">
        <f>MEMBERS[[#This Row],[Title]]&amp;MEMBERS[[#This Row],[ServiceStartDate]]</f>
        <v>Grace Latham43839</v>
      </c>
      <c r="B264" s="57">
        <f>IF(COUNTIF(MEMBERS[NameServiceStart],MEMBERS[[#This Row],[NameServiceStart]])=1,0,1)</f>
        <v>0</v>
      </c>
      <c r="C264" s="57">
        <f>IF(COUNTIF(MEMBERS[StaffMemberCode],MEMBERS[[#This Row],[StaffMemberCode]])=1,0,1)</f>
        <v>0</v>
      </c>
      <c r="D264" s="57">
        <f>IF(ISBLANK(MEMBERS[[#This Row],[PayrollLocation]]),0,IF(COUNTIF(SCHOOLS[SchoolCode],MEMBERS[[#This Row],[PayrollLocation]])=1,0,1))</f>
        <v>0</v>
      </c>
      <c r="E264" s="57">
        <f>IF(MEMBERS[[#This Row],[AvailableToAllSchools]]=FALSE,IF(ISBLANK(MEMBERS[[#This Row],[SchoolCodes]]),1,0),IF(MEMBERS[[#This Row],[AvailableToAllSchools]]=TRUE,IF(ISBLANK(MEMBERS[[#This Row],[SchoolCodes]]),0,1)))</f>
        <v>0</v>
      </c>
      <c r="F264" s="57">
        <f>IF(ISBLANK(MEMBERS[[#This Row],[ServiceEndDate]]),0,IF(MEMBERS[[#This Row],[ServiceStartDate]]&lt;MEMBERS[[#This Row],[ServiceEndDate]],0,1))</f>
        <v>0</v>
      </c>
      <c r="G264" s="57" cm="1">
        <f t="array" aca="1" ref="G264" ca="1">IF(CELL("format",MEMBERS[[#This Row],[ServiceStartDate]])="D1",0,1)+IF(CELL("format",MEMBERS[[#This Row],[ServiceEndDate]])="D1",0,1)</f>
        <v>0</v>
      </c>
      <c r="H26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64" s="57">
        <f>IF(LEN(MEMBERS[[#This Row],[StaffMemberCode]])&lt;100,0,1)</f>
        <v>0</v>
      </c>
      <c r="J264" s="57">
        <f>IF(LEN(MEMBERS[[#This Row],[Title]])&lt;100,0,1)</f>
        <v>0</v>
      </c>
      <c r="K264" s="57">
        <f>COUNTBLANK(MEMBERS[[#This Row],[StaffMemberCode]:[ServiceStartDate]])+COUNTBLANK(MEMBERS[[#This Row],[Apprenticeship]]:MEMBERS[[#This Row],[StaffMemberEnabled]])+COUNTBLANK(MEMBERS[[#This Row],[GenderCode]]:MEMBERS[[#This Row],[Casual]])</f>
        <v>0</v>
      </c>
      <c r="L264" s="57">
        <f>IF(SUBSTITUTE(TEXT(MEMBERS[[#This Row],[StaffMemberCode]],10)," ","")=TEXT(MEMBERS[[#This Row],[StaffMemberCode]],10),0,1)</f>
        <v>0</v>
      </c>
      <c r="M264" s="57">
        <f ca="1">SUM(MEMBERS[[#This Row],[Duplicate NameService Start]:[Space in Code]])</f>
        <v>0</v>
      </c>
      <c r="O264" s="15">
        <v>91073661</v>
      </c>
      <c r="P264" s="15" t="s">
        <v>3274</v>
      </c>
      <c r="Q264" s="15" t="s">
        <v>3603</v>
      </c>
      <c r="R264" s="133" t="str">
        <f>MEMBERS[[#This Row],[FirstName]]&amp;" "&amp;MEMBERS[[#This Row],[LastName]]</f>
        <v>Grace Latham</v>
      </c>
      <c r="S264" s="21">
        <v>43839</v>
      </c>
      <c r="U264" s="21">
        <v>37090</v>
      </c>
      <c r="V264" t="b">
        <v>0</v>
      </c>
      <c r="W264" t="b">
        <v>0</v>
      </c>
      <c r="X264" t="b">
        <v>0</v>
      </c>
      <c r="Y264" t="s">
        <v>2089</v>
      </c>
      <c r="Z264" t="b">
        <v>1</v>
      </c>
      <c r="AB264" t="s">
        <v>1571</v>
      </c>
      <c r="AC264" t="b">
        <v>0</v>
      </c>
    </row>
    <row r="265" spans="1:29" x14ac:dyDescent="0.3">
      <c r="A265" s="57" t="str">
        <f>MEMBERS[[#This Row],[Title]]&amp;MEMBERS[[#This Row],[ServiceStartDate]]</f>
        <v>Graham Stubbs37135</v>
      </c>
      <c r="B265" s="57">
        <f>IF(COUNTIF(MEMBERS[NameServiceStart],MEMBERS[[#This Row],[NameServiceStart]])=1,0,1)</f>
        <v>0</v>
      </c>
      <c r="C265" s="57">
        <f>IF(COUNTIF(MEMBERS[StaffMemberCode],MEMBERS[[#This Row],[StaffMemberCode]])=1,0,1)</f>
        <v>0</v>
      </c>
      <c r="D265" s="57">
        <f>IF(ISBLANK(MEMBERS[[#This Row],[PayrollLocation]]),0,IF(COUNTIF(SCHOOLS[SchoolCode],MEMBERS[[#This Row],[PayrollLocation]])=1,0,1))</f>
        <v>0</v>
      </c>
      <c r="E265" s="57">
        <f>IF(MEMBERS[[#This Row],[AvailableToAllSchools]]=FALSE,IF(ISBLANK(MEMBERS[[#This Row],[SchoolCodes]]),1,0),IF(MEMBERS[[#This Row],[AvailableToAllSchools]]=TRUE,IF(ISBLANK(MEMBERS[[#This Row],[SchoolCodes]]),0,1)))</f>
        <v>0</v>
      </c>
      <c r="F265" s="57">
        <f>IF(ISBLANK(MEMBERS[[#This Row],[ServiceEndDate]]),0,IF(MEMBERS[[#This Row],[ServiceStartDate]]&lt;MEMBERS[[#This Row],[ServiceEndDate]],0,1))</f>
        <v>0</v>
      </c>
      <c r="G265" s="57" cm="1">
        <f t="array" aca="1" ref="G265" ca="1">IF(CELL("format",MEMBERS[[#This Row],[ServiceStartDate]])="D1",0,1)+IF(CELL("format",MEMBERS[[#This Row],[ServiceEndDate]])="D1",0,1)</f>
        <v>0</v>
      </c>
      <c r="H26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65" s="57">
        <f>IF(LEN(MEMBERS[[#This Row],[StaffMemberCode]])&lt;100,0,1)</f>
        <v>0</v>
      </c>
      <c r="J265" s="57">
        <f>IF(LEN(MEMBERS[[#This Row],[Title]])&lt;100,0,1)</f>
        <v>0</v>
      </c>
      <c r="K265" s="57">
        <f>COUNTBLANK(MEMBERS[[#This Row],[StaffMemberCode]:[ServiceStartDate]])+COUNTBLANK(MEMBERS[[#This Row],[Apprenticeship]]:MEMBERS[[#This Row],[StaffMemberEnabled]])+COUNTBLANK(MEMBERS[[#This Row],[GenderCode]]:MEMBERS[[#This Row],[Casual]])</f>
        <v>0</v>
      </c>
      <c r="L265" s="57">
        <f>IF(SUBSTITUTE(TEXT(MEMBERS[[#This Row],[StaffMemberCode]],10)," ","")=TEXT(MEMBERS[[#This Row],[StaffMemberCode]],10),0,1)</f>
        <v>0</v>
      </c>
      <c r="M265" s="57">
        <f ca="1">SUM(MEMBERS[[#This Row],[Duplicate NameService Start]:[Space in Code]])</f>
        <v>0</v>
      </c>
      <c r="O265" s="15">
        <v>10005352</v>
      </c>
      <c r="P265" s="15" t="s">
        <v>3972</v>
      </c>
      <c r="Q265" s="15" t="s">
        <v>3730</v>
      </c>
      <c r="R265" s="133" t="str">
        <f>MEMBERS[[#This Row],[FirstName]]&amp;" "&amp;MEMBERS[[#This Row],[LastName]]</f>
        <v>Graham Stubbs</v>
      </c>
      <c r="S265" s="21">
        <v>37135</v>
      </c>
      <c r="U265" s="21">
        <v>22834</v>
      </c>
      <c r="V265" s="138" t="b">
        <v>0</v>
      </c>
      <c r="W265" t="b">
        <v>0</v>
      </c>
      <c r="X265" t="b">
        <v>0</v>
      </c>
      <c r="Y265" t="s">
        <v>2126</v>
      </c>
      <c r="Z265" t="b">
        <v>1</v>
      </c>
      <c r="AB265" t="s">
        <v>1572</v>
      </c>
      <c r="AC265" t="b">
        <v>0</v>
      </c>
    </row>
    <row r="266" spans="1:29" x14ac:dyDescent="0.3">
      <c r="A266" s="57" t="str">
        <f>MEMBERS[[#This Row],[Title]]&amp;MEMBERS[[#This Row],[ServiceStartDate]]</f>
        <v>Gwendal Guichoux41883</v>
      </c>
      <c r="B266" s="57">
        <f>IF(COUNTIF(MEMBERS[NameServiceStart],MEMBERS[[#This Row],[NameServiceStart]])=1,0,1)</f>
        <v>0</v>
      </c>
      <c r="C266" s="57">
        <f>IF(COUNTIF(MEMBERS[StaffMemberCode],MEMBERS[[#This Row],[StaffMemberCode]])=1,0,1)</f>
        <v>0</v>
      </c>
      <c r="D266" s="57">
        <f>IF(ISBLANK(MEMBERS[[#This Row],[PayrollLocation]]),0,IF(COUNTIF(SCHOOLS[SchoolCode],MEMBERS[[#This Row],[PayrollLocation]])=1,0,1))</f>
        <v>0</v>
      </c>
      <c r="E266" s="57">
        <f>IF(MEMBERS[[#This Row],[AvailableToAllSchools]]=FALSE,IF(ISBLANK(MEMBERS[[#This Row],[SchoolCodes]]),1,0),IF(MEMBERS[[#This Row],[AvailableToAllSchools]]=TRUE,IF(ISBLANK(MEMBERS[[#This Row],[SchoolCodes]]),0,1)))</f>
        <v>0</v>
      </c>
      <c r="F266" s="57">
        <f>IF(ISBLANK(MEMBERS[[#This Row],[ServiceEndDate]]),0,IF(MEMBERS[[#This Row],[ServiceStartDate]]&lt;MEMBERS[[#This Row],[ServiceEndDate]],0,1))</f>
        <v>0</v>
      </c>
      <c r="G266" s="57" cm="1">
        <f t="array" aca="1" ref="G266" ca="1">IF(CELL("format",MEMBERS[[#This Row],[ServiceStartDate]])="D1",0,1)+IF(CELL("format",MEMBERS[[#This Row],[ServiceEndDate]])="D1",0,1)</f>
        <v>0</v>
      </c>
      <c r="H26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66" s="57">
        <f>IF(LEN(MEMBERS[[#This Row],[StaffMemberCode]])&lt;100,0,1)</f>
        <v>0</v>
      </c>
      <c r="J266" s="57">
        <f>IF(LEN(MEMBERS[[#This Row],[Title]])&lt;100,0,1)</f>
        <v>0</v>
      </c>
      <c r="K266" s="57">
        <f>COUNTBLANK(MEMBERS[[#This Row],[StaffMemberCode]:[ServiceStartDate]])+COUNTBLANK(MEMBERS[[#This Row],[Apprenticeship]]:MEMBERS[[#This Row],[StaffMemberEnabled]])+COUNTBLANK(MEMBERS[[#This Row],[GenderCode]]:MEMBERS[[#This Row],[Casual]])</f>
        <v>0</v>
      </c>
      <c r="L266" s="57">
        <f>IF(SUBSTITUTE(TEXT(MEMBERS[[#This Row],[StaffMemberCode]],10)," ","")=TEXT(MEMBERS[[#This Row],[StaffMemberCode]],10),0,1)</f>
        <v>0</v>
      </c>
      <c r="M266" s="57">
        <f ca="1">SUM(MEMBERS[[#This Row],[Duplicate NameService Start]:[Space in Code]])</f>
        <v>0</v>
      </c>
      <c r="O266" s="15">
        <v>10005350</v>
      </c>
      <c r="P266" s="15" t="s">
        <v>3973</v>
      </c>
      <c r="Q266" s="15" t="s">
        <v>4063</v>
      </c>
      <c r="R266" s="133" t="str">
        <f>MEMBERS[[#This Row],[FirstName]]&amp;" "&amp;MEMBERS[[#This Row],[LastName]]</f>
        <v>Gwendal Guichoux</v>
      </c>
      <c r="S266" s="21">
        <v>41883</v>
      </c>
      <c r="U266" s="21">
        <v>27465</v>
      </c>
      <c r="V266" s="138" t="b">
        <v>0</v>
      </c>
      <c r="W266" t="b">
        <v>0</v>
      </c>
      <c r="X266" t="b">
        <v>0</v>
      </c>
      <c r="Y266" t="s">
        <v>2126</v>
      </c>
      <c r="Z266" t="b">
        <v>1</v>
      </c>
      <c r="AB266" t="s">
        <v>1572</v>
      </c>
      <c r="AC266" t="b">
        <v>0</v>
      </c>
    </row>
    <row r="267" spans="1:29" x14ac:dyDescent="0.3">
      <c r="A267" s="57" t="str">
        <f>MEMBERS[[#This Row],[Title]]&amp;MEMBERS[[#This Row],[ServiceStartDate]]</f>
        <v>Hannah Bethwaite44933</v>
      </c>
      <c r="B267" s="57">
        <f>IF(COUNTIF(MEMBERS[NameServiceStart],MEMBERS[[#This Row],[NameServiceStart]])=1,0,1)</f>
        <v>0</v>
      </c>
      <c r="C267" s="57">
        <f>IF(COUNTIF(MEMBERS[StaffMemberCode],MEMBERS[[#This Row],[StaffMemberCode]])=1,0,1)</f>
        <v>0</v>
      </c>
      <c r="D267" s="57">
        <f>IF(ISBLANK(MEMBERS[[#This Row],[PayrollLocation]]),0,IF(COUNTIF(SCHOOLS[SchoolCode],MEMBERS[[#This Row],[PayrollLocation]])=1,0,1))</f>
        <v>0</v>
      </c>
      <c r="E267" s="57">
        <f>IF(MEMBERS[[#This Row],[AvailableToAllSchools]]=FALSE,IF(ISBLANK(MEMBERS[[#This Row],[SchoolCodes]]),1,0),IF(MEMBERS[[#This Row],[AvailableToAllSchools]]=TRUE,IF(ISBLANK(MEMBERS[[#This Row],[SchoolCodes]]),0,1)))</f>
        <v>0</v>
      </c>
      <c r="F267" s="57">
        <f>IF(ISBLANK(MEMBERS[[#This Row],[ServiceEndDate]]),0,IF(MEMBERS[[#This Row],[ServiceStartDate]]&lt;MEMBERS[[#This Row],[ServiceEndDate]],0,1))</f>
        <v>0</v>
      </c>
      <c r="G267" s="57" cm="1">
        <f t="array" aca="1" ref="G267" ca="1">IF(CELL("format",MEMBERS[[#This Row],[ServiceStartDate]])="D1",0,1)+IF(CELL("format",MEMBERS[[#This Row],[ServiceEndDate]])="D1",0,1)</f>
        <v>0</v>
      </c>
      <c r="H26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67" s="57">
        <f>IF(LEN(MEMBERS[[#This Row],[StaffMemberCode]])&lt;100,0,1)</f>
        <v>0</v>
      </c>
      <c r="J267" s="57">
        <f>IF(LEN(MEMBERS[[#This Row],[Title]])&lt;100,0,1)</f>
        <v>0</v>
      </c>
      <c r="K267" s="57">
        <f>COUNTBLANK(MEMBERS[[#This Row],[StaffMemberCode]:[ServiceStartDate]])+COUNTBLANK(MEMBERS[[#This Row],[Apprenticeship]]:MEMBERS[[#This Row],[StaffMemberEnabled]])+COUNTBLANK(MEMBERS[[#This Row],[GenderCode]]:MEMBERS[[#This Row],[Casual]])</f>
        <v>0</v>
      </c>
      <c r="L267" s="57">
        <f>IF(SUBSTITUTE(TEXT(MEMBERS[[#This Row],[StaffMemberCode]],10)," ","")=TEXT(MEMBERS[[#This Row],[StaffMemberCode]],10),0,1)</f>
        <v>0</v>
      </c>
      <c r="M267" s="57">
        <f ca="1">SUM(MEMBERS[[#This Row],[Duplicate NameService Start]:[Space in Code]])</f>
        <v>0</v>
      </c>
      <c r="O267" s="15">
        <v>91073838</v>
      </c>
      <c r="P267" s="15" t="s">
        <v>3275</v>
      </c>
      <c r="Q267" s="15" t="s">
        <v>3628</v>
      </c>
      <c r="R267" s="133" t="str">
        <f>MEMBERS[[#This Row],[FirstName]]&amp;" "&amp;MEMBERS[[#This Row],[LastName]]</f>
        <v>Hannah Bethwaite</v>
      </c>
      <c r="S267" s="21">
        <v>44933</v>
      </c>
      <c r="U267" s="21">
        <v>36830</v>
      </c>
      <c r="V267" t="b">
        <v>0</v>
      </c>
      <c r="W267" t="b">
        <v>0</v>
      </c>
      <c r="X267" t="b">
        <v>0</v>
      </c>
      <c r="Y267" t="s">
        <v>2082</v>
      </c>
      <c r="Z267" t="b">
        <v>1</v>
      </c>
      <c r="AB267" t="s">
        <v>1571</v>
      </c>
      <c r="AC267" t="b">
        <v>0</v>
      </c>
    </row>
    <row r="268" spans="1:29" x14ac:dyDescent="0.3">
      <c r="A268" s="57" t="str">
        <f>MEMBERS[[#This Row],[Title]]&amp;MEMBERS[[#This Row],[ServiceStartDate]]</f>
        <v>Hannah Woby41275</v>
      </c>
      <c r="B268" s="57">
        <f>IF(COUNTIF(MEMBERS[NameServiceStart],MEMBERS[[#This Row],[NameServiceStart]])=1,0,1)</f>
        <v>0</v>
      </c>
      <c r="C268" s="57">
        <f>IF(COUNTIF(MEMBERS[StaffMemberCode],MEMBERS[[#This Row],[StaffMemberCode]])=1,0,1)</f>
        <v>0</v>
      </c>
      <c r="D268" s="57">
        <f>IF(ISBLANK(MEMBERS[[#This Row],[PayrollLocation]]),0,IF(COUNTIF(SCHOOLS[SchoolCode],MEMBERS[[#This Row],[PayrollLocation]])=1,0,1))</f>
        <v>0</v>
      </c>
      <c r="E268" s="57">
        <f>IF(MEMBERS[[#This Row],[AvailableToAllSchools]]=FALSE,IF(ISBLANK(MEMBERS[[#This Row],[SchoolCodes]]),1,0),IF(MEMBERS[[#This Row],[AvailableToAllSchools]]=TRUE,IF(ISBLANK(MEMBERS[[#This Row],[SchoolCodes]]),0,1)))</f>
        <v>0</v>
      </c>
      <c r="F268" s="57">
        <f>IF(ISBLANK(MEMBERS[[#This Row],[ServiceEndDate]]),0,IF(MEMBERS[[#This Row],[ServiceStartDate]]&lt;MEMBERS[[#This Row],[ServiceEndDate]],0,1))</f>
        <v>0</v>
      </c>
      <c r="G268" s="57" cm="1">
        <f t="array" aca="1" ref="G268" ca="1">IF(CELL("format",MEMBERS[[#This Row],[ServiceStartDate]])="D1",0,1)+IF(CELL("format",MEMBERS[[#This Row],[ServiceEndDate]])="D1",0,1)</f>
        <v>0</v>
      </c>
      <c r="H26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68" s="57">
        <f>IF(LEN(MEMBERS[[#This Row],[StaffMemberCode]])&lt;100,0,1)</f>
        <v>0</v>
      </c>
      <c r="J268" s="57">
        <f>IF(LEN(MEMBERS[[#This Row],[Title]])&lt;100,0,1)</f>
        <v>0</v>
      </c>
      <c r="K268" s="57">
        <f>COUNTBLANK(MEMBERS[[#This Row],[StaffMemberCode]:[ServiceStartDate]])+COUNTBLANK(MEMBERS[[#This Row],[Apprenticeship]]:MEMBERS[[#This Row],[StaffMemberEnabled]])+COUNTBLANK(MEMBERS[[#This Row],[GenderCode]]:MEMBERS[[#This Row],[Casual]])</f>
        <v>0</v>
      </c>
      <c r="L268" s="57">
        <f>IF(SUBSTITUTE(TEXT(MEMBERS[[#This Row],[StaffMemberCode]],10)," ","")=TEXT(MEMBERS[[#This Row],[StaffMemberCode]],10),0,1)</f>
        <v>0</v>
      </c>
      <c r="M268" s="57">
        <f ca="1">SUM(MEMBERS[[#This Row],[Duplicate NameService Start]:[Space in Code]])</f>
        <v>0</v>
      </c>
      <c r="O268" s="15">
        <v>91073858</v>
      </c>
      <c r="P268" s="15" t="s">
        <v>3275</v>
      </c>
      <c r="Q268" s="15" t="s">
        <v>3629</v>
      </c>
      <c r="R268" s="133" t="str">
        <f>MEMBERS[[#This Row],[FirstName]]&amp;" "&amp;MEMBERS[[#This Row],[LastName]]</f>
        <v>Hannah Woby</v>
      </c>
      <c r="S268" s="21">
        <v>41275</v>
      </c>
      <c r="U268" s="21">
        <v>29946</v>
      </c>
      <c r="V268" t="b">
        <v>0</v>
      </c>
      <c r="W268" t="b">
        <v>0</v>
      </c>
      <c r="X268" t="b">
        <v>0</v>
      </c>
      <c r="Y268" t="s">
        <v>2082</v>
      </c>
      <c r="Z268" t="b">
        <v>1</v>
      </c>
      <c r="AB268" t="s">
        <v>1571</v>
      </c>
      <c r="AC268" t="b">
        <v>0</v>
      </c>
    </row>
    <row r="269" spans="1:29" x14ac:dyDescent="0.3">
      <c r="A269" s="57" t="str">
        <f>MEMBERS[[#This Row],[Title]]&amp;MEMBERS[[#This Row],[ServiceStartDate]]</f>
        <v>Harriette Instrell44515</v>
      </c>
      <c r="B269" s="57">
        <f>IF(COUNTIF(MEMBERS[NameServiceStart],MEMBERS[[#This Row],[NameServiceStart]])=1,0,1)</f>
        <v>0</v>
      </c>
      <c r="C269" s="57">
        <f>IF(COUNTIF(MEMBERS[StaffMemberCode],MEMBERS[[#This Row],[StaffMemberCode]])=1,0,1)</f>
        <v>0</v>
      </c>
      <c r="D269" s="57">
        <f>IF(ISBLANK(MEMBERS[[#This Row],[PayrollLocation]]),0,IF(COUNTIF(SCHOOLS[SchoolCode],MEMBERS[[#This Row],[PayrollLocation]])=1,0,1))</f>
        <v>0</v>
      </c>
      <c r="E269" s="57">
        <f>IF(MEMBERS[[#This Row],[AvailableToAllSchools]]=FALSE,IF(ISBLANK(MEMBERS[[#This Row],[SchoolCodes]]),1,0),IF(MEMBERS[[#This Row],[AvailableToAllSchools]]=TRUE,IF(ISBLANK(MEMBERS[[#This Row],[SchoolCodes]]),0,1)))</f>
        <v>0</v>
      </c>
      <c r="F269" s="57">
        <f>IF(ISBLANK(MEMBERS[[#This Row],[ServiceEndDate]]),0,IF(MEMBERS[[#This Row],[ServiceStartDate]]&lt;MEMBERS[[#This Row],[ServiceEndDate]],0,1))</f>
        <v>0</v>
      </c>
      <c r="G269" s="57" cm="1">
        <f t="array" aca="1" ref="G269" ca="1">IF(CELL("format",MEMBERS[[#This Row],[ServiceStartDate]])="D1",0,1)+IF(CELL("format",MEMBERS[[#This Row],[ServiceEndDate]])="D1",0,1)</f>
        <v>0</v>
      </c>
      <c r="H26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69" s="57">
        <f>IF(LEN(MEMBERS[[#This Row],[StaffMemberCode]])&lt;100,0,1)</f>
        <v>0</v>
      </c>
      <c r="J269" s="57">
        <f>IF(LEN(MEMBERS[[#This Row],[Title]])&lt;100,0,1)</f>
        <v>0</v>
      </c>
      <c r="K269" s="57">
        <f>COUNTBLANK(MEMBERS[[#This Row],[StaffMemberCode]:[ServiceStartDate]])+COUNTBLANK(MEMBERS[[#This Row],[Apprenticeship]]:MEMBERS[[#This Row],[StaffMemberEnabled]])+COUNTBLANK(MEMBERS[[#This Row],[GenderCode]]:MEMBERS[[#This Row],[Casual]])</f>
        <v>0</v>
      </c>
      <c r="L269" s="57">
        <f>IF(SUBSTITUTE(TEXT(MEMBERS[[#This Row],[StaffMemberCode]],10)," ","")=TEXT(MEMBERS[[#This Row],[StaffMemberCode]],10),0,1)</f>
        <v>0</v>
      </c>
      <c r="M269" s="57">
        <f ca="1">SUM(MEMBERS[[#This Row],[Duplicate NameService Start]:[Space in Code]])</f>
        <v>0</v>
      </c>
      <c r="O269" s="15">
        <v>91073791</v>
      </c>
      <c r="P269" s="15" t="s">
        <v>3276</v>
      </c>
      <c r="Q269" s="15" t="s">
        <v>3630</v>
      </c>
      <c r="R269" s="133" t="str">
        <f>MEMBERS[[#This Row],[FirstName]]&amp;" "&amp;MEMBERS[[#This Row],[LastName]]</f>
        <v>Harriette Instrell</v>
      </c>
      <c r="S269" s="21">
        <v>44515</v>
      </c>
      <c r="U269" s="21">
        <v>32409</v>
      </c>
      <c r="V269" t="b">
        <v>0</v>
      </c>
      <c r="W269" t="b">
        <v>0</v>
      </c>
      <c r="X269" t="b">
        <v>0</v>
      </c>
      <c r="Y269" t="s">
        <v>2082</v>
      </c>
      <c r="Z269" t="b">
        <v>1</v>
      </c>
      <c r="AB269" t="s">
        <v>1571</v>
      </c>
      <c r="AC269" t="b">
        <v>0</v>
      </c>
    </row>
    <row r="270" spans="1:29" x14ac:dyDescent="0.3">
      <c r="A270" s="57" t="str">
        <f>MEMBERS[[#This Row],[Title]]&amp;MEMBERS[[#This Row],[ServiceStartDate]]</f>
        <v>Harrison Bracegirdle45663</v>
      </c>
      <c r="B270" s="57">
        <f>IF(COUNTIF(MEMBERS[NameServiceStart],MEMBERS[[#This Row],[NameServiceStart]])=1,0,1)</f>
        <v>0</v>
      </c>
      <c r="C270" s="57">
        <f>IF(COUNTIF(MEMBERS[StaffMemberCode],MEMBERS[[#This Row],[StaffMemberCode]])=1,0,1)</f>
        <v>0</v>
      </c>
      <c r="D270" s="57">
        <f>IF(ISBLANK(MEMBERS[[#This Row],[PayrollLocation]]),0,IF(COUNTIF(SCHOOLS[SchoolCode],MEMBERS[[#This Row],[PayrollLocation]])=1,0,1))</f>
        <v>0</v>
      </c>
      <c r="E270" s="57">
        <f>IF(MEMBERS[[#This Row],[AvailableToAllSchools]]=FALSE,IF(ISBLANK(MEMBERS[[#This Row],[SchoolCodes]]),1,0),IF(MEMBERS[[#This Row],[AvailableToAllSchools]]=TRUE,IF(ISBLANK(MEMBERS[[#This Row],[SchoolCodes]]),0,1)))</f>
        <v>0</v>
      </c>
      <c r="F270" s="57">
        <f>IF(ISBLANK(MEMBERS[[#This Row],[ServiceEndDate]]),0,IF(MEMBERS[[#This Row],[ServiceStartDate]]&lt;MEMBERS[[#This Row],[ServiceEndDate]],0,1))</f>
        <v>0</v>
      </c>
      <c r="G270" s="57" cm="1">
        <f t="array" aca="1" ref="G270" ca="1">IF(CELL("format",MEMBERS[[#This Row],[ServiceStartDate]])="D1",0,1)+IF(CELL("format",MEMBERS[[#This Row],[ServiceEndDate]])="D1",0,1)</f>
        <v>0</v>
      </c>
      <c r="H27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70" s="57">
        <f>IF(LEN(MEMBERS[[#This Row],[StaffMemberCode]])&lt;100,0,1)</f>
        <v>0</v>
      </c>
      <c r="J270" s="57">
        <f>IF(LEN(MEMBERS[[#This Row],[Title]])&lt;100,0,1)</f>
        <v>0</v>
      </c>
      <c r="K270" s="57">
        <f>COUNTBLANK(MEMBERS[[#This Row],[StaffMemberCode]:[ServiceStartDate]])+COUNTBLANK(MEMBERS[[#This Row],[Apprenticeship]]:MEMBERS[[#This Row],[StaffMemberEnabled]])+COUNTBLANK(MEMBERS[[#This Row],[GenderCode]]:MEMBERS[[#This Row],[Casual]])</f>
        <v>0</v>
      </c>
      <c r="L270" s="57">
        <f>IF(SUBSTITUTE(TEXT(MEMBERS[[#This Row],[StaffMemberCode]],10)," ","")=TEXT(MEMBERS[[#This Row],[StaffMemberCode]],10),0,1)</f>
        <v>0</v>
      </c>
      <c r="M270" s="57">
        <f ca="1">SUM(MEMBERS[[#This Row],[Duplicate NameService Start]:[Space in Code]])</f>
        <v>0</v>
      </c>
      <c r="O270" s="15">
        <v>91330506</v>
      </c>
      <c r="P270" s="15" t="s">
        <v>3277</v>
      </c>
      <c r="Q270" s="15" t="s">
        <v>3579</v>
      </c>
      <c r="R270" s="133" t="str">
        <f>MEMBERS[[#This Row],[FirstName]]&amp;" "&amp;MEMBERS[[#This Row],[LastName]]</f>
        <v>Harrison Bracegirdle</v>
      </c>
      <c r="S270" s="21">
        <v>45663</v>
      </c>
      <c r="U270" s="21">
        <v>39327</v>
      </c>
      <c r="V270" t="b">
        <v>0</v>
      </c>
      <c r="W270" t="b">
        <v>0</v>
      </c>
      <c r="X270" t="b">
        <v>0</v>
      </c>
      <c r="Y270" t="s">
        <v>2094</v>
      </c>
      <c r="Z270" t="b">
        <v>1</v>
      </c>
      <c r="AB270" t="s">
        <v>1572</v>
      </c>
      <c r="AC270" t="b">
        <v>1</v>
      </c>
    </row>
    <row r="271" spans="1:29" x14ac:dyDescent="0.3">
      <c r="A271" s="57" t="str">
        <f>MEMBERS[[#This Row],[Title]]&amp;MEMBERS[[#This Row],[ServiceStartDate]]</f>
        <v>Hayley Bailey37995</v>
      </c>
      <c r="B271" s="57">
        <f>IF(COUNTIF(MEMBERS[NameServiceStart],MEMBERS[[#This Row],[NameServiceStart]])=1,0,1)</f>
        <v>0</v>
      </c>
      <c r="C271" s="57">
        <f>IF(COUNTIF(MEMBERS[StaffMemberCode],MEMBERS[[#This Row],[StaffMemberCode]])=1,0,1)</f>
        <v>0</v>
      </c>
      <c r="D271" s="57">
        <f>IF(ISBLANK(MEMBERS[[#This Row],[PayrollLocation]]),0,IF(COUNTIF(SCHOOLS[SchoolCode],MEMBERS[[#This Row],[PayrollLocation]])=1,0,1))</f>
        <v>0</v>
      </c>
      <c r="E271" s="57">
        <f>IF(MEMBERS[[#This Row],[AvailableToAllSchools]]=FALSE,IF(ISBLANK(MEMBERS[[#This Row],[SchoolCodes]]),1,0),IF(MEMBERS[[#This Row],[AvailableToAllSchools]]=TRUE,IF(ISBLANK(MEMBERS[[#This Row],[SchoolCodes]]),0,1)))</f>
        <v>0</v>
      </c>
      <c r="F271" s="57">
        <f>IF(ISBLANK(MEMBERS[[#This Row],[ServiceEndDate]]),0,IF(MEMBERS[[#This Row],[ServiceStartDate]]&lt;MEMBERS[[#This Row],[ServiceEndDate]],0,1))</f>
        <v>0</v>
      </c>
      <c r="G271" s="57" cm="1">
        <f t="array" aca="1" ref="G271" ca="1">IF(CELL("format",MEMBERS[[#This Row],[ServiceStartDate]])="D1",0,1)+IF(CELL("format",MEMBERS[[#This Row],[ServiceEndDate]])="D1",0,1)</f>
        <v>0</v>
      </c>
      <c r="H27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71" s="57">
        <f>IF(LEN(MEMBERS[[#This Row],[StaffMemberCode]])&lt;100,0,1)</f>
        <v>0</v>
      </c>
      <c r="J271" s="57">
        <f>IF(LEN(MEMBERS[[#This Row],[Title]])&lt;100,0,1)</f>
        <v>0</v>
      </c>
      <c r="K271" s="57">
        <f>COUNTBLANK(MEMBERS[[#This Row],[StaffMemberCode]:[ServiceStartDate]])+COUNTBLANK(MEMBERS[[#This Row],[Apprenticeship]]:MEMBERS[[#This Row],[StaffMemberEnabled]])+COUNTBLANK(MEMBERS[[#This Row],[GenderCode]]:MEMBERS[[#This Row],[Casual]])</f>
        <v>0</v>
      </c>
      <c r="L271" s="57">
        <f>IF(SUBSTITUTE(TEXT(MEMBERS[[#This Row],[StaffMemberCode]],10)," ","")=TEXT(MEMBERS[[#This Row],[StaffMemberCode]],10),0,1)</f>
        <v>0</v>
      </c>
      <c r="M271" s="57">
        <f ca="1">SUM(MEMBERS[[#This Row],[Duplicate NameService Start]:[Space in Code]])</f>
        <v>0</v>
      </c>
      <c r="O271" s="15">
        <v>91073507</v>
      </c>
      <c r="P271" s="15" t="s">
        <v>3278</v>
      </c>
      <c r="Q271" s="15" t="s">
        <v>3463</v>
      </c>
      <c r="R271" s="133" t="str">
        <f>MEMBERS[[#This Row],[FirstName]]&amp;" "&amp;MEMBERS[[#This Row],[LastName]]</f>
        <v>Hayley Bailey</v>
      </c>
      <c r="S271" s="21">
        <v>37995</v>
      </c>
      <c r="U271" s="21">
        <v>29932</v>
      </c>
      <c r="V271" t="b">
        <v>0</v>
      </c>
      <c r="W271" t="b">
        <v>0</v>
      </c>
      <c r="X271" t="b">
        <v>0</v>
      </c>
      <c r="Y271" t="s">
        <v>2094</v>
      </c>
      <c r="Z271" t="b">
        <v>1</v>
      </c>
      <c r="AB271" t="s">
        <v>1571</v>
      </c>
      <c r="AC271" t="b">
        <v>0</v>
      </c>
    </row>
    <row r="272" spans="1:29" x14ac:dyDescent="0.3">
      <c r="A272" s="57" t="str">
        <f>MEMBERS[[#This Row],[Title]]&amp;MEMBERS[[#This Row],[ServiceStartDate]]</f>
        <v>Hayley Burke44760</v>
      </c>
      <c r="B272" s="57">
        <f>IF(COUNTIF(MEMBERS[NameServiceStart],MEMBERS[[#This Row],[NameServiceStart]])=1,0,1)</f>
        <v>0</v>
      </c>
      <c r="C272" s="57">
        <f>IF(COUNTIF(MEMBERS[StaffMemberCode],MEMBERS[[#This Row],[StaffMemberCode]])=1,0,1)</f>
        <v>0</v>
      </c>
      <c r="D272" s="57">
        <f>IF(ISBLANK(MEMBERS[[#This Row],[PayrollLocation]]),0,IF(COUNTIF(SCHOOLS[SchoolCode],MEMBERS[[#This Row],[PayrollLocation]])=1,0,1))</f>
        <v>0</v>
      </c>
      <c r="E272" s="57">
        <f>IF(MEMBERS[[#This Row],[AvailableToAllSchools]]=FALSE,IF(ISBLANK(MEMBERS[[#This Row],[SchoolCodes]]),1,0),IF(MEMBERS[[#This Row],[AvailableToAllSchools]]=TRUE,IF(ISBLANK(MEMBERS[[#This Row],[SchoolCodes]]),0,1)))</f>
        <v>0</v>
      </c>
      <c r="F272" s="57">
        <f>IF(ISBLANK(MEMBERS[[#This Row],[ServiceEndDate]]),0,IF(MEMBERS[[#This Row],[ServiceStartDate]]&lt;MEMBERS[[#This Row],[ServiceEndDate]],0,1))</f>
        <v>0</v>
      </c>
      <c r="G272" s="57" cm="1">
        <f t="array" aca="1" ref="G272" ca="1">IF(CELL("format",MEMBERS[[#This Row],[ServiceStartDate]])="D1",0,1)+IF(CELL("format",MEMBERS[[#This Row],[ServiceEndDate]])="D1",0,1)</f>
        <v>0</v>
      </c>
      <c r="H27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72" s="57">
        <f>IF(LEN(MEMBERS[[#This Row],[StaffMemberCode]])&lt;100,0,1)</f>
        <v>0</v>
      </c>
      <c r="J272" s="57">
        <f>IF(LEN(MEMBERS[[#This Row],[Title]])&lt;100,0,1)</f>
        <v>0</v>
      </c>
      <c r="K272" s="57">
        <f>COUNTBLANK(MEMBERS[[#This Row],[StaffMemberCode]:[ServiceStartDate]])+COUNTBLANK(MEMBERS[[#This Row],[Apprenticeship]]:MEMBERS[[#This Row],[StaffMemberEnabled]])+COUNTBLANK(MEMBERS[[#This Row],[GenderCode]]:MEMBERS[[#This Row],[Casual]])</f>
        <v>0</v>
      </c>
      <c r="L272" s="57">
        <f>IF(SUBSTITUTE(TEXT(MEMBERS[[#This Row],[StaffMemberCode]],10)," ","")=TEXT(MEMBERS[[#This Row],[StaffMemberCode]],10),0,1)</f>
        <v>0</v>
      </c>
      <c r="M272" s="57">
        <f ca="1">SUM(MEMBERS[[#This Row],[Duplicate NameService Start]:[Space in Code]])</f>
        <v>0</v>
      </c>
      <c r="O272" s="15">
        <v>91850039</v>
      </c>
      <c r="P272" s="15" t="s">
        <v>3278</v>
      </c>
      <c r="Q272" s="15" t="s">
        <v>3631</v>
      </c>
      <c r="R272" s="133" t="str">
        <f>MEMBERS[[#This Row],[FirstName]]&amp;" "&amp;MEMBERS[[#This Row],[LastName]]</f>
        <v>Hayley Burke</v>
      </c>
      <c r="S272" s="21">
        <v>44760</v>
      </c>
      <c r="U272" s="21">
        <v>31933</v>
      </c>
      <c r="V272" t="b">
        <v>0</v>
      </c>
      <c r="W272" t="b">
        <v>0</v>
      </c>
      <c r="X272" t="b">
        <v>0</v>
      </c>
      <c r="Y272" t="s">
        <v>2266</v>
      </c>
      <c r="Z272" t="b">
        <v>1</v>
      </c>
      <c r="AB272" t="s">
        <v>1571</v>
      </c>
      <c r="AC272" t="b">
        <v>0</v>
      </c>
    </row>
    <row r="273" spans="1:29" x14ac:dyDescent="0.3">
      <c r="A273" s="57" t="str">
        <f>MEMBERS[[#This Row],[Title]]&amp;MEMBERS[[#This Row],[ServiceStartDate]]</f>
        <v>Hayley Dickinson43206</v>
      </c>
      <c r="B273" s="57">
        <f>IF(COUNTIF(MEMBERS[NameServiceStart],MEMBERS[[#This Row],[NameServiceStart]])=1,0,1)</f>
        <v>0</v>
      </c>
      <c r="C273" s="57">
        <f>IF(COUNTIF(MEMBERS[StaffMemberCode],MEMBERS[[#This Row],[StaffMemberCode]])=1,0,1)</f>
        <v>0</v>
      </c>
      <c r="D273" s="57">
        <f>IF(ISBLANK(MEMBERS[[#This Row],[PayrollLocation]]),0,IF(COUNTIF(SCHOOLS[SchoolCode],MEMBERS[[#This Row],[PayrollLocation]])=1,0,1))</f>
        <v>0</v>
      </c>
      <c r="E273" s="57">
        <f>IF(MEMBERS[[#This Row],[AvailableToAllSchools]]=FALSE,IF(ISBLANK(MEMBERS[[#This Row],[SchoolCodes]]),1,0),IF(MEMBERS[[#This Row],[AvailableToAllSchools]]=TRUE,IF(ISBLANK(MEMBERS[[#This Row],[SchoolCodes]]),0,1)))</f>
        <v>0</v>
      </c>
      <c r="F273" s="57">
        <f>IF(ISBLANK(MEMBERS[[#This Row],[ServiceEndDate]]),0,IF(MEMBERS[[#This Row],[ServiceStartDate]]&lt;MEMBERS[[#This Row],[ServiceEndDate]],0,1))</f>
        <v>0</v>
      </c>
      <c r="G273" s="57" cm="1">
        <f t="array" aca="1" ref="G273" ca="1">IF(CELL("format",MEMBERS[[#This Row],[ServiceStartDate]])="D1",0,1)+IF(CELL("format",MEMBERS[[#This Row],[ServiceEndDate]])="D1",0,1)</f>
        <v>0</v>
      </c>
      <c r="H27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73" s="57">
        <f>IF(LEN(MEMBERS[[#This Row],[StaffMemberCode]])&lt;100,0,1)</f>
        <v>0</v>
      </c>
      <c r="J273" s="57">
        <f>IF(LEN(MEMBERS[[#This Row],[Title]])&lt;100,0,1)</f>
        <v>0</v>
      </c>
      <c r="K273" s="57">
        <f>COUNTBLANK(MEMBERS[[#This Row],[StaffMemberCode]:[ServiceStartDate]])+COUNTBLANK(MEMBERS[[#This Row],[Apprenticeship]]:MEMBERS[[#This Row],[StaffMemberEnabled]])+COUNTBLANK(MEMBERS[[#This Row],[GenderCode]]:MEMBERS[[#This Row],[Casual]])</f>
        <v>0</v>
      </c>
      <c r="L273" s="57">
        <f>IF(SUBSTITUTE(TEXT(MEMBERS[[#This Row],[StaffMemberCode]],10)," ","")=TEXT(MEMBERS[[#This Row],[StaffMemberCode]],10),0,1)</f>
        <v>0</v>
      </c>
      <c r="M273" s="57">
        <f ca="1">SUM(MEMBERS[[#This Row],[Duplicate NameService Start]:[Space in Code]])</f>
        <v>0</v>
      </c>
      <c r="O273" s="15">
        <v>10005896</v>
      </c>
      <c r="P273" s="15" t="s">
        <v>3278</v>
      </c>
      <c r="Q273" s="15" t="s">
        <v>4064</v>
      </c>
      <c r="R273" s="133" t="str">
        <f>MEMBERS[[#This Row],[FirstName]]&amp;" "&amp;MEMBERS[[#This Row],[LastName]]</f>
        <v>Hayley Dickinson</v>
      </c>
      <c r="S273" s="21">
        <v>43206</v>
      </c>
      <c r="U273" s="21">
        <v>28415</v>
      </c>
      <c r="V273" s="138" t="b">
        <v>0</v>
      </c>
      <c r="W273" t="b">
        <v>0</v>
      </c>
      <c r="X273" t="b">
        <v>0</v>
      </c>
      <c r="Y273" t="s">
        <v>2126</v>
      </c>
      <c r="Z273" t="b">
        <v>1</v>
      </c>
      <c r="AB273" t="s">
        <v>1571</v>
      </c>
      <c r="AC273" t="b">
        <v>0</v>
      </c>
    </row>
    <row r="274" spans="1:29" x14ac:dyDescent="0.3">
      <c r="A274" s="57" t="str">
        <f>MEMBERS[[#This Row],[Title]]&amp;MEMBERS[[#This Row],[ServiceStartDate]]</f>
        <v>Heather Cleverley42373</v>
      </c>
      <c r="B274" s="57">
        <f>IF(COUNTIF(MEMBERS[NameServiceStart],MEMBERS[[#This Row],[NameServiceStart]])=1,0,1)</f>
        <v>0</v>
      </c>
      <c r="C274" s="57">
        <f>IF(COUNTIF(MEMBERS[StaffMemberCode],MEMBERS[[#This Row],[StaffMemberCode]])=1,0,1)</f>
        <v>0</v>
      </c>
      <c r="D274" s="57">
        <f>IF(ISBLANK(MEMBERS[[#This Row],[PayrollLocation]]),0,IF(COUNTIF(SCHOOLS[SchoolCode],MEMBERS[[#This Row],[PayrollLocation]])=1,0,1))</f>
        <v>0</v>
      </c>
      <c r="E274" s="57">
        <f>IF(MEMBERS[[#This Row],[AvailableToAllSchools]]=FALSE,IF(ISBLANK(MEMBERS[[#This Row],[SchoolCodes]]),1,0),IF(MEMBERS[[#This Row],[AvailableToAllSchools]]=TRUE,IF(ISBLANK(MEMBERS[[#This Row],[SchoolCodes]]),0,1)))</f>
        <v>0</v>
      </c>
      <c r="F274" s="57">
        <f>IF(ISBLANK(MEMBERS[[#This Row],[ServiceEndDate]]),0,IF(MEMBERS[[#This Row],[ServiceStartDate]]&lt;MEMBERS[[#This Row],[ServiceEndDate]],0,1))</f>
        <v>0</v>
      </c>
      <c r="G274" s="57" cm="1">
        <f t="array" aca="1" ref="G274" ca="1">IF(CELL("format",MEMBERS[[#This Row],[ServiceStartDate]])="D1",0,1)+IF(CELL("format",MEMBERS[[#This Row],[ServiceEndDate]])="D1",0,1)</f>
        <v>0</v>
      </c>
      <c r="H27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74" s="57">
        <f>IF(LEN(MEMBERS[[#This Row],[StaffMemberCode]])&lt;100,0,1)</f>
        <v>0</v>
      </c>
      <c r="J274" s="57">
        <f>IF(LEN(MEMBERS[[#This Row],[Title]])&lt;100,0,1)</f>
        <v>0</v>
      </c>
      <c r="K274" s="57">
        <f>COUNTBLANK(MEMBERS[[#This Row],[StaffMemberCode]:[ServiceStartDate]])+COUNTBLANK(MEMBERS[[#This Row],[Apprenticeship]]:MEMBERS[[#This Row],[StaffMemberEnabled]])+COUNTBLANK(MEMBERS[[#This Row],[GenderCode]]:MEMBERS[[#This Row],[Casual]])</f>
        <v>0</v>
      </c>
      <c r="L274" s="57">
        <f>IF(SUBSTITUTE(TEXT(MEMBERS[[#This Row],[StaffMemberCode]],10)," ","")=TEXT(MEMBERS[[#This Row],[StaffMemberCode]],10),0,1)</f>
        <v>0</v>
      </c>
      <c r="M274" s="57">
        <f ca="1">SUM(MEMBERS[[#This Row],[Duplicate NameService Start]:[Space in Code]])</f>
        <v>0</v>
      </c>
      <c r="O274" s="15">
        <v>91073765</v>
      </c>
      <c r="P274" s="15" t="s">
        <v>3279</v>
      </c>
      <c r="Q274" s="15" t="s">
        <v>3632</v>
      </c>
      <c r="R274" s="133" t="str">
        <f>MEMBERS[[#This Row],[FirstName]]&amp;" "&amp;MEMBERS[[#This Row],[LastName]]</f>
        <v>Heather Cleverley</v>
      </c>
      <c r="S274" s="21">
        <v>42373</v>
      </c>
      <c r="U274" s="21">
        <v>32760</v>
      </c>
      <c r="V274" t="b">
        <v>0</v>
      </c>
      <c r="W274" t="b">
        <v>0</v>
      </c>
      <c r="X274" t="b">
        <v>0</v>
      </c>
      <c r="Y274" t="s">
        <v>2082</v>
      </c>
      <c r="Z274" t="b">
        <v>1</v>
      </c>
      <c r="AB274" t="s">
        <v>1571</v>
      </c>
      <c r="AC274" t="b">
        <v>0</v>
      </c>
    </row>
    <row r="275" spans="1:29" x14ac:dyDescent="0.3">
      <c r="A275" s="57" t="str">
        <f>MEMBERS[[#This Row],[Title]]&amp;MEMBERS[[#This Row],[ServiceStartDate]]</f>
        <v>Heather Radcliffe40187</v>
      </c>
      <c r="B275" s="57">
        <f>IF(COUNTIF(MEMBERS[NameServiceStart],MEMBERS[[#This Row],[NameServiceStart]])=1,0,1)</f>
        <v>0</v>
      </c>
      <c r="C275" s="57">
        <f>IF(COUNTIF(MEMBERS[StaffMemberCode],MEMBERS[[#This Row],[StaffMemberCode]])=1,0,1)</f>
        <v>0</v>
      </c>
      <c r="D275" s="57">
        <f>IF(ISBLANK(MEMBERS[[#This Row],[PayrollLocation]]),0,IF(COUNTIF(SCHOOLS[SchoolCode],MEMBERS[[#This Row],[PayrollLocation]])=1,0,1))</f>
        <v>0</v>
      </c>
      <c r="E275" s="57">
        <f>IF(MEMBERS[[#This Row],[AvailableToAllSchools]]=FALSE,IF(ISBLANK(MEMBERS[[#This Row],[SchoolCodes]]),1,0),IF(MEMBERS[[#This Row],[AvailableToAllSchools]]=TRUE,IF(ISBLANK(MEMBERS[[#This Row],[SchoolCodes]]),0,1)))</f>
        <v>0</v>
      </c>
      <c r="F275" s="57">
        <f>IF(ISBLANK(MEMBERS[[#This Row],[ServiceEndDate]]),0,IF(MEMBERS[[#This Row],[ServiceStartDate]]&lt;MEMBERS[[#This Row],[ServiceEndDate]],0,1))</f>
        <v>0</v>
      </c>
      <c r="G275" s="57" cm="1">
        <f t="array" aca="1" ref="G275" ca="1">IF(CELL("format",MEMBERS[[#This Row],[ServiceStartDate]])="D1",0,1)+IF(CELL("format",MEMBERS[[#This Row],[ServiceEndDate]])="D1",0,1)</f>
        <v>0</v>
      </c>
      <c r="H27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75" s="57">
        <f>IF(LEN(MEMBERS[[#This Row],[StaffMemberCode]])&lt;100,0,1)</f>
        <v>0</v>
      </c>
      <c r="J275" s="57">
        <f>IF(LEN(MEMBERS[[#This Row],[Title]])&lt;100,0,1)</f>
        <v>0</v>
      </c>
      <c r="K275" s="57">
        <f>COUNTBLANK(MEMBERS[[#This Row],[StaffMemberCode]:[ServiceStartDate]])+COUNTBLANK(MEMBERS[[#This Row],[Apprenticeship]]:MEMBERS[[#This Row],[StaffMemberEnabled]])+COUNTBLANK(MEMBERS[[#This Row],[GenderCode]]:MEMBERS[[#This Row],[Casual]])</f>
        <v>0</v>
      </c>
      <c r="L275" s="57">
        <f>IF(SUBSTITUTE(TEXT(MEMBERS[[#This Row],[StaffMemberCode]],10)," ","")=TEXT(MEMBERS[[#This Row],[StaffMemberCode]],10),0,1)</f>
        <v>0</v>
      </c>
      <c r="M275" s="57">
        <f ca="1">SUM(MEMBERS[[#This Row],[Duplicate NameService Start]:[Space in Code]])</f>
        <v>0</v>
      </c>
      <c r="O275" s="15">
        <v>91073491</v>
      </c>
      <c r="P275" s="15" t="s">
        <v>3279</v>
      </c>
      <c r="Q275" s="15" t="s">
        <v>3552</v>
      </c>
      <c r="R275" s="133" t="str">
        <f>MEMBERS[[#This Row],[FirstName]]&amp;" "&amp;MEMBERS[[#This Row],[LastName]]</f>
        <v>Heather Radcliffe</v>
      </c>
      <c r="S275" s="21">
        <v>40187</v>
      </c>
      <c r="U275" s="21">
        <v>25123</v>
      </c>
      <c r="V275" t="b">
        <v>0</v>
      </c>
      <c r="W275" t="b">
        <v>0</v>
      </c>
      <c r="X275" t="b">
        <v>0</v>
      </c>
      <c r="Y275" t="s">
        <v>2094</v>
      </c>
      <c r="Z275" t="b">
        <v>1</v>
      </c>
      <c r="AB275" t="s">
        <v>1571</v>
      </c>
      <c r="AC275" t="b">
        <v>0</v>
      </c>
    </row>
    <row r="276" spans="1:29" x14ac:dyDescent="0.3">
      <c r="A276" s="57" t="str">
        <f>MEMBERS[[#This Row],[Title]]&amp;MEMBERS[[#This Row],[ServiceStartDate]]</f>
        <v>Heather Rowe45536</v>
      </c>
      <c r="B276" s="57">
        <f>IF(COUNTIF(MEMBERS[NameServiceStart],MEMBERS[[#This Row],[NameServiceStart]])=1,0,1)</f>
        <v>0</v>
      </c>
      <c r="C276" s="57">
        <f>IF(COUNTIF(MEMBERS[StaffMemberCode],MEMBERS[[#This Row],[StaffMemberCode]])=1,0,1)</f>
        <v>0</v>
      </c>
      <c r="D276" s="57">
        <f>IF(ISBLANK(MEMBERS[[#This Row],[PayrollLocation]]),0,IF(COUNTIF(SCHOOLS[SchoolCode],MEMBERS[[#This Row],[PayrollLocation]])=1,0,1))</f>
        <v>0</v>
      </c>
      <c r="E276" s="57">
        <f>IF(MEMBERS[[#This Row],[AvailableToAllSchools]]=FALSE,IF(ISBLANK(MEMBERS[[#This Row],[SchoolCodes]]),1,0),IF(MEMBERS[[#This Row],[AvailableToAllSchools]]=TRUE,IF(ISBLANK(MEMBERS[[#This Row],[SchoolCodes]]),0,1)))</f>
        <v>0</v>
      </c>
      <c r="F276" s="57">
        <f>IF(ISBLANK(MEMBERS[[#This Row],[ServiceEndDate]]),0,IF(MEMBERS[[#This Row],[ServiceStartDate]]&lt;MEMBERS[[#This Row],[ServiceEndDate]],0,1))</f>
        <v>0</v>
      </c>
      <c r="G276" s="57" cm="1">
        <f t="array" aca="1" ref="G276" ca="1">IF(CELL("format",MEMBERS[[#This Row],[ServiceStartDate]])="D1",0,1)+IF(CELL("format",MEMBERS[[#This Row],[ServiceEndDate]])="D1",0,1)</f>
        <v>0</v>
      </c>
      <c r="H27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76" s="57">
        <f>IF(LEN(MEMBERS[[#This Row],[StaffMemberCode]])&lt;100,0,1)</f>
        <v>0</v>
      </c>
      <c r="J276" s="57">
        <f>IF(LEN(MEMBERS[[#This Row],[Title]])&lt;100,0,1)</f>
        <v>0</v>
      </c>
      <c r="K276" s="57">
        <f>COUNTBLANK(MEMBERS[[#This Row],[StaffMemberCode]:[ServiceStartDate]])+COUNTBLANK(MEMBERS[[#This Row],[Apprenticeship]]:MEMBERS[[#This Row],[StaffMemberEnabled]])+COUNTBLANK(MEMBERS[[#This Row],[GenderCode]]:MEMBERS[[#This Row],[Casual]])</f>
        <v>0</v>
      </c>
      <c r="L276" s="57">
        <f>IF(SUBSTITUTE(TEXT(MEMBERS[[#This Row],[StaffMemberCode]],10)," ","")=TEXT(MEMBERS[[#This Row],[StaffMemberCode]],10),0,1)</f>
        <v>0</v>
      </c>
      <c r="M276" s="57">
        <f ca="1">SUM(MEMBERS[[#This Row],[Duplicate NameService Start]:[Space in Code]])</f>
        <v>0</v>
      </c>
      <c r="O276" s="15">
        <v>91323705</v>
      </c>
      <c r="P276" s="15" t="s">
        <v>3279</v>
      </c>
      <c r="Q276" s="15" t="s">
        <v>3633</v>
      </c>
      <c r="R276" s="133" t="str">
        <f>MEMBERS[[#This Row],[FirstName]]&amp;" "&amp;MEMBERS[[#This Row],[LastName]]</f>
        <v>Heather Rowe</v>
      </c>
      <c r="S276" s="21">
        <v>45536</v>
      </c>
      <c r="U276" s="21">
        <v>32961</v>
      </c>
      <c r="V276" t="b">
        <v>0</v>
      </c>
      <c r="W276" t="b">
        <v>0</v>
      </c>
      <c r="X276" t="b">
        <v>0</v>
      </c>
      <c r="Y276" t="s">
        <v>2094</v>
      </c>
      <c r="Z276" t="b">
        <v>1</v>
      </c>
      <c r="AB276" t="s">
        <v>1571</v>
      </c>
      <c r="AC276" t="b">
        <v>0</v>
      </c>
    </row>
    <row r="277" spans="1:29" x14ac:dyDescent="0.3">
      <c r="A277" s="57" t="str">
        <f>MEMBERS[[#This Row],[Title]]&amp;MEMBERS[[#This Row],[ServiceStartDate]]</f>
        <v>Helen Horton37270</v>
      </c>
      <c r="B277" s="57">
        <f>IF(COUNTIF(MEMBERS[NameServiceStart],MEMBERS[[#This Row],[NameServiceStart]])=1,0,1)</f>
        <v>0</v>
      </c>
      <c r="C277" s="57">
        <f>IF(COUNTIF(MEMBERS[StaffMemberCode],MEMBERS[[#This Row],[StaffMemberCode]])=1,0,1)</f>
        <v>0</v>
      </c>
      <c r="D277" s="57">
        <f>IF(ISBLANK(MEMBERS[[#This Row],[PayrollLocation]]),0,IF(COUNTIF(SCHOOLS[SchoolCode],MEMBERS[[#This Row],[PayrollLocation]])=1,0,1))</f>
        <v>0</v>
      </c>
      <c r="E277" s="57">
        <f>IF(MEMBERS[[#This Row],[AvailableToAllSchools]]=FALSE,IF(ISBLANK(MEMBERS[[#This Row],[SchoolCodes]]),1,0),IF(MEMBERS[[#This Row],[AvailableToAllSchools]]=TRUE,IF(ISBLANK(MEMBERS[[#This Row],[SchoolCodes]]),0,1)))</f>
        <v>0</v>
      </c>
      <c r="F277" s="57">
        <f>IF(ISBLANK(MEMBERS[[#This Row],[ServiceEndDate]]),0,IF(MEMBERS[[#This Row],[ServiceStartDate]]&lt;MEMBERS[[#This Row],[ServiceEndDate]],0,1))</f>
        <v>0</v>
      </c>
      <c r="G277" s="57" cm="1">
        <f t="array" aca="1" ref="G277" ca="1">IF(CELL("format",MEMBERS[[#This Row],[ServiceStartDate]])="D1",0,1)+IF(CELL("format",MEMBERS[[#This Row],[ServiceEndDate]])="D1",0,1)</f>
        <v>0</v>
      </c>
      <c r="H27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77" s="57">
        <f>IF(LEN(MEMBERS[[#This Row],[StaffMemberCode]])&lt;100,0,1)</f>
        <v>0</v>
      </c>
      <c r="J277" s="57">
        <f>IF(LEN(MEMBERS[[#This Row],[Title]])&lt;100,0,1)</f>
        <v>0</v>
      </c>
      <c r="K277" s="57">
        <f>COUNTBLANK(MEMBERS[[#This Row],[StaffMemberCode]:[ServiceStartDate]])+COUNTBLANK(MEMBERS[[#This Row],[Apprenticeship]]:MEMBERS[[#This Row],[StaffMemberEnabled]])+COUNTBLANK(MEMBERS[[#This Row],[GenderCode]]:MEMBERS[[#This Row],[Casual]])</f>
        <v>0</v>
      </c>
      <c r="L277" s="57">
        <f>IF(SUBSTITUTE(TEXT(MEMBERS[[#This Row],[StaffMemberCode]],10)," ","")=TEXT(MEMBERS[[#This Row],[StaffMemberCode]],10),0,1)</f>
        <v>0</v>
      </c>
      <c r="M277" s="57">
        <f ca="1">SUM(MEMBERS[[#This Row],[Duplicate NameService Start]:[Space in Code]])</f>
        <v>0</v>
      </c>
      <c r="O277" s="15">
        <v>91073645</v>
      </c>
      <c r="P277" s="15" t="s">
        <v>3280</v>
      </c>
      <c r="Q277" s="15" t="s">
        <v>3634</v>
      </c>
      <c r="R277" s="133" t="str">
        <f>MEMBERS[[#This Row],[FirstName]]&amp;" "&amp;MEMBERS[[#This Row],[LastName]]</f>
        <v>Helen Horton</v>
      </c>
      <c r="S277" s="21">
        <v>37270</v>
      </c>
      <c r="U277" s="21">
        <v>20468</v>
      </c>
      <c r="V277" t="b">
        <v>0</v>
      </c>
      <c r="W277" t="b">
        <v>0</v>
      </c>
      <c r="X277" t="b">
        <v>0</v>
      </c>
      <c r="Y277" t="s">
        <v>2089</v>
      </c>
      <c r="Z277" t="b">
        <v>1</v>
      </c>
      <c r="AB277" t="s">
        <v>1571</v>
      </c>
      <c r="AC277" t="b">
        <v>0</v>
      </c>
    </row>
    <row r="278" spans="1:29" x14ac:dyDescent="0.3">
      <c r="A278" s="57" t="str">
        <f>MEMBERS[[#This Row],[Title]]&amp;MEMBERS[[#This Row],[ServiceStartDate]]</f>
        <v>Helen Jones44075</v>
      </c>
      <c r="B278" s="57">
        <f>IF(COUNTIF(MEMBERS[NameServiceStart],MEMBERS[[#This Row],[NameServiceStart]])=1,0,1)</f>
        <v>0</v>
      </c>
      <c r="C278" s="57">
        <f>IF(COUNTIF(MEMBERS[StaffMemberCode],MEMBERS[[#This Row],[StaffMemberCode]])=1,0,1)</f>
        <v>0</v>
      </c>
      <c r="D278" s="57">
        <f>IF(ISBLANK(MEMBERS[[#This Row],[PayrollLocation]]),0,IF(COUNTIF(SCHOOLS[SchoolCode],MEMBERS[[#This Row],[PayrollLocation]])=1,0,1))</f>
        <v>0</v>
      </c>
      <c r="E278" s="57">
        <f>IF(MEMBERS[[#This Row],[AvailableToAllSchools]]=FALSE,IF(ISBLANK(MEMBERS[[#This Row],[SchoolCodes]]),1,0),IF(MEMBERS[[#This Row],[AvailableToAllSchools]]=TRUE,IF(ISBLANK(MEMBERS[[#This Row],[SchoolCodes]]),0,1)))</f>
        <v>0</v>
      </c>
      <c r="F278" s="57">
        <f>IF(ISBLANK(MEMBERS[[#This Row],[ServiceEndDate]]),0,IF(MEMBERS[[#This Row],[ServiceStartDate]]&lt;MEMBERS[[#This Row],[ServiceEndDate]],0,1))</f>
        <v>0</v>
      </c>
      <c r="G278" s="57" cm="1">
        <f t="array" aca="1" ref="G278" ca="1">IF(CELL("format",MEMBERS[[#This Row],[ServiceStartDate]])="D1",0,1)+IF(CELL("format",MEMBERS[[#This Row],[ServiceEndDate]])="D1",0,1)</f>
        <v>0</v>
      </c>
      <c r="H27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78" s="57">
        <f>IF(LEN(MEMBERS[[#This Row],[StaffMemberCode]])&lt;100,0,1)</f>
        <v>0</v>
      </c>
      <c r="J278" s="57">
        <f>IF(LEN(MEMBERS[[#This Row],[Title]])&lt;100,0,1)</f>
        <v>0</v>
      </c>
      <c r="K278" s="57">
        <f>COUNTBLANK(MEMBERS[[#This Row],[StaffMemberCode]:[ServiceStartDate]])+COUNTBLANK(MEMBERS[[#This Row],[Apprenticeship]]:MEMBERS[[#This Row],[StaffMemberEnabled]])+COUNTBLANK(MEMBERS[[#This Row],[GenderCode]]:MEMBERS[[#This Row],[Casual]])</f>
        <v>0</v>
      </c>
      <c r="L278" s="57">
        <f>IF(SUBSTITUTE(TEXT(MEMBERS[[#This Row],[StaffMemberCode]],10)," ","")=TEXT(MEMBERS[[#This Row],[StaffMemberCode]],10),0,1)</f>
        <v>0</v>
      </c>
      <c r="M278" s="57">
        <f ca="1">SUM(MEMBERS[[#This Row],[Duplicate NameService Start]:[Space in Code]])</f>
        <v>0</v>
      </c>
      <c r="O278" s="15">
        <v>10007344</v>
      </c>
      <c r="P278" s="15" t="s">
        <v>3280</v>
      </c>
      <c r="Q278" s="15" t="s">
        <v>3473</v>
      </c>
      <c r="R278" s="133" t="str">
        <f>MEMBERS[[#This Row],[FirstName]]&amp;" "&amp;MEMBERS[[#This Row],[LastName]]</f>
        <v>Helen Jones</v>
      </c>
      <c r="S278" s="21">
        <v>44075</v>
      </c>
      <c r="U278" s="21">
        <v>33155</v>
      </c>
      <c r="V278" s="138" t="b">
        <v>0</v>
      </c>
      <c r="W278" t="b">
        <v>0</v>
      </c>
      <c r="X278" t="b">
        <v>0</v>
      </c>
      <c r="Y278" t="s">
        <v>2126</v>
      </c>
      <c r="Z278" t="b">
        <v>1</v>
      </c>
      <c r="AB278" t="s">
        <v>1571</v>
      </c>
      <c r="AC278" t="b">
        <v>0</v>
      </c>
    </row>
    <row r="279" spans="1:29" x14ac:dyDescent="0.3">
      <c r="A279" s="57" t="str">
        <f>MEMBERS[[#This Row],[Title]]&amp;MEMBERS[[#This Row],[ServiceStartDate]]</f>
        <v>Helen Katterloher37711</v>
      </c>
      <c r="B279" s="57">
        <f>IF(COUNTIF(MEMBERS[NameServiceStart],MEMBERS[[#This Row],[NameServiceStart]])=1,0,1)</f>
        <v>0</v>
      </c>
      <c r="C279" s="57">
        <f>IF(COUNTIF(MEMBERS[StaffMemberCode],MEMBERS[[#This Row],[StaffMemberCode]])=1,0,1)</f>
        <v>0</v>
      </c>
      <c r="D279" s="57">
        <f>IF(ISBLANK(MEMBERS[[#This Row],[PayrollLocation]]),0,IF(COUNTIF(SCHOOLS[SchoolCode],MEMBERS[[#This Row],[PayrollLocation]])=1,0,1))</f>
        <v>0</v>
      </c>
      <c r="E279" s="57">
        <f>IF(MEMBERS[[#This Row],[AvailableToAllSchools]]=FALSE,IF(ISBLANK(MEMBERS[[#This Row],[SchoolCodes]]),1,0),IF(MEMBERS[[#This Row],[AvailableToAllSchools]]=TRUE,IF(ISBLANK(MEMBERS[[#This Row],[SchoolCodes]]),0,1)))</f>
        <v>0</v>
      </c>
      <c r="F279" s="57">
        <f>IF(ISBLANK(MEMBERS[[#This Row],[ServiceEndDate]]),0,IF(MEMBERS[[#This Row],[ServiceStartDate]]&lt;MEMBERS[[#This Row],[ServiceEndDate]],0,1))</f>
        <v>0</v>
      </c>
      <c r="G279" s="57" cm="1">
        <f t="array" aca="1" ref="G279" ca="1">IF(CELL("format",MEMBERS[[#This Row],[ServiceStartDate]])="D1",0,1)+IF(CELL("format",MEMBERS[[#This Row],[ServiceEndDate]])="D1",0,1)</f>
        <v>0</v>
      </c>
      <c r="H27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79" s="57">
        <f>IF(LEN(MEMBERS[[#This Row],[StaffMemberCode]])&lt;100,0,1)</f>
        <v>0</v>
      </c>
      <c r="J279" s="57">
        <f>IF(LEN(MEMBERS[[#This Row],[Title]])&lt;100,0,1)</f>
        <v>0</v>
      </c>
      <c r="K279" s="57">
        <f>COUNTBLANK(MEMBERS[[#This Row],[StaffMemberCode]:[ServiceStartDate]])+COUNTBLANK(MEMBERS[[#This Row],[Apprenticeship]]:MEMBERS[[#This Row],[StaffMemberEnabled]])+COUNTBLANK(MEMBERS[[#This Row],[GenderCode]]:MEMBERS[[#This Row],[Casual]])</f>
        <v>0</v>
      </c>
      <c r="L279" s="57">
        <f>IF(SUBSTITUTE(TEXT(MEMBERS[[#This Row],[StaffMemberCode]],10)," ","")=TEXT(MEMBERS[[#This Row],[StaffMemberCode]],10),0,1)</f>
        <v>0</v>
      </c>
      <c r="M279" s="57">
        <f ca="1">SUM(MEMBERS[[#This Row],[Duplicate NameService Start]:[Space in Code]])</f>
        <v>0</v>
      </c>
      <c r="O279" s="15">
        <v>91075744</v>
      </c>
      <c r="P279" s="15" t="s">
        <v>3280</v>
      </c>
      <c r="Q279" s="15" t="s">
        <v>3480</v>
      </c>
      <c r="R279" s="133" t="str">
        <f>MEMBERS[[#This Row],[FirstName]]&amp;" "&amp;MEMBERS[[#This Row],[LastName]]</f>
        <v>Helen Katterloher</v>
      </c>
      <c r="S279" s="21">
        <v>37711</v>
      </c>
      <c r="U279" s="21">
        <v>23462</v>
      </c>
      <c r="V279" t="b">
        <v>0</v>
      </c>
      <c r="W279" t="b">
        <v>0</v>
      </c>
      <c r="X279" t="b">
        <v>0</v>
      </c>
      <c r="Y279" t="s">
        <v>2200</v>
      </c>
      <c r="Z279" t="b">
        <v>1</v>
      </c>
      <c r="AB279" t="s">
        <v>1571</v>
      </c>
      <c r="AC279" t="b">
        <v>0</v>
      </c>
    </row>
    <row r="280" spans="1:29" x14ac:dyDescent="0.3">
      <c r="A280" s="57" t="str">
        <f>MEMBERS[[#This Row],[Title]]&amp;MEMBERS[[#This Row],[ServiceStartDate]]</f>
        <v>Helen Nicholson40917</v>
      </c>
      <c r="B280" s="57">
        <f>IF(COUNTIF(MEMBERS[NameServiceStart],MEMBERS[[#This Row],[NameServiceStart]])=1,0,1)</f>
        <v>0</v>
      </c>
      <c r="C280" s="57">
        <f>IF(COUNTIF(MEMBERS[StaffMemberCode],MEMBERS[[#This Row],[StaffMemberCode]])=1,0,1)</f>
        <v>0</v>
      </c>
      <c r="D280" s="57">
        <f>IF(ISBLANK(MEMBERS[[#This Row],[PayrollLocation]]),0,IF(COUNTIF(SCHOOLS[SchoolCode],MEMBERS[[#This Row],[PayrollLocation]])=1,0,1))</f>
        <v>0</v>
      </c>
      <c r="E280" s="57">
        <f>IF(MEMBERS[[#This Row],[AvailableToAllSchools]]=FALSE,IF(ISBLANK(MEMBERS[[#This Row],[SchoolCodes]]),1,0),IF(MEMBERS[[#This Row],[AvailableToAllSchools]]=TRUE,IF(ISBLANK(MEMBERS[[#This Row],[SchoolCodes]]),0,1)))</f>
        <v>0</v>
      </c>
      <c r="F280" s="57">
        <f>IF(ISBLANK(MEMBERS[[#This Row],[ServiceEndDate]]),0,IF(MEMBERS[[#This Row],[ServiceStartDate]]&lt;MEMBERS[[#This Row],[ServiceEndDate]],0,1))</f>
        <v>0</v>
      </c>
      <c r="G280" s="57" cm="1">
        <f t="array" aca="1" ref="G280" ca="1">IF(CELL("format",MEMBERS[[#This Row],[ServiceStartDate]])="D1",0,1)+IF(CELL("format",MEMBERS[[#This Row],[ServiceEndDate]])="D1",0,1)</f>
        <v>0</v>
      </c>
      <c r="H28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80" s="57">
        <f>IF(LEN(MEMBERS[[#This Row],[StaffMemberCode]])&lt;100,0,1)</f>
        <v>0</v>
      </c>
      <c r="J280" s="57">
        <f>IF(LEN(MEMBERS[[#This Row],[Title]])&lt;100,0,1)</f>
        <v>0</v>
      </c>
      <c r="K280" s="57">
        <f>COUNTBLANK(MEMBERS[[#This Row],[StaffMemberCode]:[ServiceStartDate]])+COUNTBLANK(MEMBERS[[#This Row],[Apprenticeship]]:MEMBERS[[#This Row],[StaffMemberEnabled]])+COUNTBLANK(MEMBERS[[#This Row],[GenderCode]]:MEMBERS[[#This Row],[Casual]])</f>
        <v>0</v>
      </c>
      <c r="L280" s="57">
        <f>IF(SUBSTITUTE(TEXT(MEMBERS[[#This Row],[StaffMemberCode]],10)," ","")=TEXT(MEMBERS[[#This Row],[StaffMemberCode]],10),0,1)</f>
        <v>0</v>
      </c>
      <c r="M280" s="57">
        <f ca="1">SUM(MEMBERS[[#This Row],[Duplicate NameService Start]:[Space in Code]])</f>
        <v>0</v>
      </c>
      <c r="O280" s="15">
        <v>91073488</v>
      </c>
      <c r="P280" s="15" t="s">
        <v>3280</v>
      </c>
      <c r="Q280" s="15" t="s">
        <v>3635</v>
      </c>
      <c r="R280" s="133" t="str">
        <f>MEMBERS[[#This Row],[FirstName]]&amp;" "&amp;MEMBERS[[#This Row],[LastName]]</f>
        <v>Helen Nicholson</v>
      </c>
      <c r="S280" s="21">
        <v>40917</v>
      </c>
      <c r="U280" s="21">
        <v>31399</v>
      </c>
      <c r="V280" t="b">
        <v>0</v>
      </c>
      <c r="W280" t="b">
        <v>0</v>
      </c>
      <c r="X280" t="b">
        <v>0</v>
      </c>
      <c r="Y280" t="s">
        <v>2094</v>
      </c>
      <c r="Z280" t="b">
        <v>1</v>
      </c>
      <c r="AB280" t="s">
        <v>1571</v>
      </c>
      <c r="AC280" t="b">
        <v>0</v>
      </c>
    </row>
    <row r="281" spans="1:29" x14ac:dyDescent="0.3">
      <c r="A281" s="57" t="str">
        <f>MEMBERS[[#This Row],[Title]]&amp;MEMBERS[[#This Row],[ServiceStartDate]]</f>
        <v>Helen Potts40269</v>
      </c>
      <c r="B281" s="57">
        <f>IF(COUNTIF(MEMBERS[NameServiceStart],MEMBERS[[#This Row],[NameServiceStart]])=1,0,1)</f>
        <v>0</v>
      </c>
      <c r="C281" s="57">
        <f>IF(COUNTIF(MEMBERS[StaffMemberCode],MEMBERS[[#This Row],[StaffMemberCode]])=1,0,1)</f>
        <v>0</v>
      </c>
      <c r="D281" s="57">
        <f>IF(ISBLANK(MEMBERS[[#This Row],[PayrollLocation]]),0,IF(COUNTIF(SCHOOLS[SchoolCode],MEMBERS[[#This Row],[PayrollLocation]])=1,0,1))</f>
        <v>0</v>
      </c>
      <c r="E281" s="57">
        <f>IF(MEMBERS[[#This Row],[AvailableToAllSchools]]=FALSE,IF(ISBLANK(MEMBERS[[#This Row],[SchoolCodes]]),1,0),IF(MEMBERS[[#This Row],[AvailableToAllSchools]]=TRUE,IF(ISBLANK(MEMBERS[[#This Row],[SchoolCodes]]),0,1)))</f>
        <v>0</v>
      </c>
      <c r="F281" s="57">
        <f>IF(ISBLANK(MEMBERS[[#This Row],[ServiceEndDate]]),0,IF(MEMBERS[[#This Row],[ServiceStartDate]]&lt;MEMBERS[[#This Row],[ServiceEndDate]],0,1))</f>
        <v>0</v>
      </c>
      <c r="G281" s="57" cm="1">
        <f t="array" aca="1" ref="G281" ca="1">IF(CELL("format",MEMBERS[[#This Row],[ServiceStartDate]])="D1",0,1)+IF(CELL("format",MEMBERS[[#This Row],[ServiceEndDate]])="D1",0,1)</f>
        <v>0</v>
      </c>
      <c r="H28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81" s="57">
        <f>IF(LEN(MEMBERS[[#This Row],[StaffMemberCode]])&lt;100,0,1)</f>
        <v>0</v>
      </c>
      <c r="J281" s="57">
        <f>IF(LEN(MEMBERS[[#This Row],[Title]])&lt;100,0,1)</f>
        <v>0</v>
      </c>
      <c r="K281" s="57">
        <f>COUNTBLANK(MEMBERS[[#This Row],[StaffMemberCode]:[ServiceStartDate]])+COUNTBLANK(MEMBERS[[#This Row],[Apprenticeship]]:MEMBERS[[#This Row],[StaffMemberEnabled]])+COUNTBLANK(MEMBERS[[#This Row],[GenderCode]]:MEMBERS[[#This Row],[Casual]])</f>
        <v>0</v>
      </c>
      <c r="L281" s="57">
        <f>IF(SUBSTITUTE(TEXT(MEMBERS[[#This Row],[StaffMemberCode]],10)," ","")=TEXT(MEMBERS[[#This Row],[StaffMemberCode]],10),0,1)</f>
        <v>0</v>
      </c>
      <c r="M281" s="57">
        <f ca="1">SUM(MEMBERS[[#This Row],[Duplicate NameService Start]:[Space in Code]])</f>
        <v>0</v>
      </c>
      <c r="O281" s="15">
        <v>91073856</v>
      </c>
      <c r="P281" s="15" t="s">
        <v>3280</v>
      </c>
      <c r="Q281" s="15" t="s">
        <v>3625</v>
      </c>
      <c r="R281" s="133" t="str">
        <f>MEMBERS[[#This Row],[FirstName]]&amp;" "&amp;MEMBERS[[#This Row],[LastName]]</f>
        <v>Helen Potts</v>
      </c>
      <c r="S281" s="21">
        <v>40269</v>
      </c>
      <c r="U281" s="21">
        <v>26864</v>
      </c>
      <c r="V281" t="b">
        <v>0</v>
      </c>
      <c r="W281" t="b">
        <v>0</v>
      </c>
      <c r="X281" t="b">
        <v>0</v>
      </c>
      <c r="Y281" t="s">
        <v>51</v>
      </c>
      <c r="Z281" t="b">
        <v>1</v>
      </c>
      <c r="AB281" t="s">
        <v>1571</v>
      </c>
      <c r="AC281" t="b">
        <v>0</v>
      </c>
    </row>
    <row r="282" spans="1:29" x14ac:dyDescent="0.3">
      <c r="A282" s="57" t="str">
        <f>MEMBERS[[#This Row],[Title]]&amp;MEMBERS[[#This Row],[ServiceStartDate]]</f>
        <v>Helen Robertson41283</v>
      </c>
      <c r="B282" s="57">
        <f>IF(COUNTIF(MEMBERS[NameServiceStart],MEMBERS[[#This Row],[NameServiceStart]])=1,0,1)</f>
        <v>0</v>
      </c>
      <c r="C282" s="57">
        <f>IF(COUNTIF(MEMBERS[StaffMemberCode],MEMBERS[[#This Row],[StaffMemberCode]])=1,0,1)</f>
        <v>0</v>
      </c>
      <c r="D282" s="57">
        <f>IF(ISBLANK(MEMBERS[[#This Row],[PayrollLocation]]),0,IF(COUNTIF(SCHOOLS[SchoolCode],MEMBERS[[#This Row],[PayrollLocation]])=1,0,1))</f>
        <v>0</v>
      </c>
      <c r="E282" s="57">
        <f>IF(MEMBERS[[#This Row],[AvailableToAllSchools]]=FALSE,IF(ISBLANK(MEMBERS[[#This Row],[SchoolCodes]]),1,0),IF(MEMBERS[[#This Row],[AvailableToAllSchools]]=TRUE,IF(ISBLANK(MEMBERS[[#This Row],[SchoolCodes]]),0,1)))</f>
        <v>0</v>
      </c>
      <c r="F282" s="57">
        <f>IF(ISBLANK(MEMBERS[[#This Row],[ServiceEndDate]]),0,IF(MEMBERS[[#This Row],[ServiceStartDate]]&lt;MEMBERS[[#This Row],[ServiceEndDate]],0,1))</f>
        <v>0</v>
      </c>
      <c r="G282" s="57" cm="1">
        <f t="array" aca="1" ref="G282" ca="1">IF(CELL("format",MEMBERS[[#This Row],[ServiceStartDate]])="D1",0,1)+IF(CELL("format",MEMBERS[[#This Row],[ServiceEndDate]])="D1",0,1)</f>
        <v>0</v>
      </c>
      <c r="H28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82" s="57">
        <f>IF(LEN(MEMBERS[[#This Row],[StaffMemberCode]])&lt;100,0,1)</f>
        <v>0</v>
      </c>
      <c r="J282" s="57">
        <f>IF(LEN(MEMBERS[[#This Row],[Title]])&lt;100,0,1)</f>
        <v>0</v>
      </c>
      <c r="K282" s="57">
        <f>COUNTBLANK(MEMBERS[[#This Row],[StaffMemberCode]:[ServiceStartDate]])+COUNTBLANK(MEMBERS[[#This Row],[Apprenticeship]]:MEMBERS[[#This Row],[StaffMemberEnabled]])+COUNTBLANK(MEMBERS[[#This Row],[GenderCode]]:MEMBERS[[#This Row],[Casual]])</f>
        <v>0</v>
      </c>
      <c r="L282" s="57">
        <f>IF(SUBSTITUTE(TEXT(MEMBERS[[#This Row],[StaffMemberCode]],10)," ","")=TEXT(MEMBERS[[#This Row],[StaffMemberCode]],10),0,1)</f>
        <v>0</v>
      </c>
      <c r="M282" s="57">
        <f ca="1">SUM(MEMBERS[[#This Row],[Duplicate NameService Start]:[Space in Code]])</f>
        <v>0</v>
      </c>
      <c r="O282" s="15">
        <v>91073752</v>
      </c>
      <c r="P282" s="15" t="s">
        <v>3280</v>
      </c>
      <c r="Q282" s="15" t="s">
        <v>3636</v>
      </c>
      <c r="R282" s="133" t="str">
        <f>MEMBERS[[#This Row],[FirstName]]&amp;" "&amp;MEMBERS[[#This Row],[LastName]]</f>
        <v>Helen Robertson</v>
      </c>
      <c r="S282" s="21">
        <v>41283</v>
      </c>
      <c r="U282" s="21">
        <v>22590</v>
      </c>
      <c r="V282" t="b">
        <v>0</v>
      </c>
      <c r="W282" t="b">
        <v>0</v>
      </c>
      <c r="X282" t="b">
        <v>0</v>
      </c>
      <c r="Y282" t="s">
        <v>2082</v>
      </c>
      <c r="Z282" t="b">
        <v>1</v>
      </c>
      <c r="AB282" t="s">
        <v>1571</v>
      </c>
      <c r="AC282" t="b">
        <v>1</v>
      </c>
    </row>
    <row r="283" spans="1:29" x14ac:dyDescent="0.3">
      <c r="A283" s="57" t="str">
        <f>MEMBERS[[#This Row],[Title]]&amp;MEMBERS[[#This Row],[ServiceStartDate]]</f>
        <v>Helen Wise42493</v>
      </c>
      <c r="B283" s="57">
        <f>IF(COUNTIF(MEMBERS[NameServiceStart],MEMBERS[[#This Row],[NameServiceStart]])=1,0,1)</f>
        <v>0</v>
      </c>
      <c r="C283" s="57">
        <f>IF(COUNTIF(MEMBERS[StaffMemberCode],MEMBERS[[#This Row],[StaffMemberCode]])=1,0,1)</f>
        <v>0</v>
      </c>
      <c r="D283" s="57">
        <f>IF(ISBLANK(MEMBERS[[#This Row],[PayrollLocation]]),0,IF(COUNTIF(SCHOOLS[SchoolCode],MEMBERS[[#This Row],[PayrollLocation]])=1,0,1))</f>
        <v>0</v>
      </c>
      <c r="E283" s="57">
        <f>IF(MEMBERS[[#This Row],[AvailableToAllSchools]]=FALSE,IF(ISBLANK(MEMBERS[[#This Row],[SchoolCodes]]),1,0),IF(MEMBERS[[#This Row],[AvailableToAllSchools]]=TRUE,IF(ISBLANK(MEMBERS[[#This Row],[SchoolCodes]]),0,1)))</f>
        <v>0</v>
      </c>
      <c r="F283" s="57">
        <f>IF(ISBLANK(MEMBERS[[#This Row],[ServiceEndDate]]),0,IF(MEMBERS[[#This Row],[ServiceStartDate]]&lt;MEMBERS[[#This Row],[ServiceEndDate]],0,1))</f>
        <v>0</v>
      </c>
      <c r="G283" s="57" cm="1">
        <f t="array" aca="1" ref="G283" ca="1">IF(CELL("format",MEMBERS[[#This Row],[ServiceStartDate]])="D1",0,1)+IF(CELL("format",MEMBERS[[#This Row],[ServiceEndDate]])="D1",0,1)</f>
        <v>0</v>
      </c>
      <c r="H28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83" s="57">
        <f>IF(LEN(MEMBERS[[#This Row],[StaffMemberCode]])&lt;100,0,1)</f>
        <v>0</v>
      </c>
      <c r="J283" s="57">
        <f>IF(LEN(MEMBERS[[#This Row],[Title]])&lt;100,0,1)</f>
        <v>0</v>
      </c>
      <c r="K283" s="57">
        <f>COUNTBLANK(MEMBERS[[#This Row],[StaffMemberCode]:[ServiceStartDate]])+COUNTBLANK(MEMBERS[[#This Row],[Apprenticeship]]:MEMBERS[[#This Row],[StaffMemberEnabled]])+COUNTBLANK(MEMBERS[[#This Row],[GenderCode]]:MEMBERS[[#This Row],[Casual]])</f>
        <v>0</v>
      </c>
      <c r="L283" s="57">
        <f>IF(SUBSTITUTE(TEXT(MEMBERS[[#This Row],[StaffMemberCode]],10)," ","")=TEXT(MEMBERS[[#This Row],[StaffMemberCode]],10),0,1)</f>
        <v>0</v>
      </c>
      <c r="M283" s="57">
        <f ca="1">SUM(MEMBERS[[#This Row],[Duplicate NameService Start]:[Space in Code]])</f>
        <v>0</v>
      </c>
      <c r="O283" s="15">
        <v>10005366</v>
      </c>
      <c r="P283" s="15" t="s">
        <v>3280</v>
      </c>
      <c r="Q283" s="15" t="s">
        <v>3903</v>
      </c>
      <c r="R283" s="133" t="str">
        <f>MEMBERS[[#This Row],[FirstName]]&amp;" "&amp;MEMBERS[[#This Row],[LastName]]</f>
        <v>Helen Wise</v>
      </c>
      <c r="S283" s="21">
        <v>42493</v>
      </c>
      <c r="U283" s="21">
        <v>25421</v>
      </c>
      <c r="V283" s="138" t="b">
        <v>0</v>
      </c>
      <c r="W283" t="b">
        <v>0</v>
      </c>
      <c r="X283" t="b">
        <v>0</v>
      </c>
      <c r="Y283" t="s">
        <v>2126</v>
      </c>
      <c r="Z283" t="b">
        <v>1</v>
      </c>
      <c r="AB283" t="s">
        <v>1571</v>
      </c>
      <c r="AC283" t="b">
        <v>0</v>
      </c>
    </row>
    <row r="284" spans="1:29" x14ac:dyDescent="0.3">
      <c r="A284" s="57" t="str">
        <f>MEMBERS[[#This Row],[Title]]&amp;MEMBERS[[#This Row],[ServiceStartDate]]</f>
        <v>Henry Brown44805</v>
      </c>
      <c r="B284" s="57">
        <f>IF(COUNTIF(MEMBERS[NameServiceStart],MEMBERS[[#This Row],[NameServiceStart]])=1,0,1)</f>
        <v>0</v>
      </c>
      <c r="C284" s="57">
        <f>IF(COUNTIF(MEMBERS[StaffMemberCode],MEMBERS[[#This Row],[StaffMemberCode]])=1,0,1)</f>
        <v>0</v>
      </c>
      <c r="D284" s="57">
        <f>IF(ISBLANK(MEMBERS[[#This Row],[PayrollLocation]]),0,IF(COUNTIF(SCHOOLS[SchoolCode],MEMBERS[[#This Row],[PayrollLocation]])=1,0,1))</f>
        <v>0</v>
      </c>
      <c r="E284" s="57">
        <f>IF(MEMBERS[[#This Row],[AvailableToAllSchools]]=FALSE,IF(ISBLANK(MEMBERS[[#This Row],[SchoolCodes]]),1,0),IF(MEMBERS[[#This Row],[AvailableToAllSchools]]=TRUE,IF(ISBLANK(MEMBERS[[#This Row],[SchoolCodes]]),0,1)))</f>
        <v>0</v>
      </c>
      <c r="F284" s="57">
        <f>IF(ISBLANK(MEMBERS[[#This Row],[ServiceEndDate]]),0,IF(MEMBERS[[#This Row],[ServiceStartDate]]&lt;MEMBERS[[#This Row],[ServiceEndDate]],0,1))</f>
        <v>0</v>
      </c>
      <c r="G284" s="57" cm="1">
        <f t="array" aca="1" ref="G284" ca="1">IF(CELL("format",MEMBERS[[#This Row],[ServiceStartDate]])="D1",0,1)+IF(CELL("format",MEMBERS[[#This Row],[ServiceEndDate]])="D1",0,1)</f>
        <v>0</v>
      </c>
      <c r="H28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84" s="57">
        <f>IF(LEN(MEMBERS[[#This Row],[StaffMemberCode]])&lt;100,0,1)</f>
        <v>0</v>
      </c>
      <c r="J284" s="57">
        <f>IF(LEN(MEMBERS[[#This Row],[Title]])&lt;100,0,1)</f>
        <v>0</v>
      </c>
      <c r="K284" s="57">
        <f>COUNTBLANK(MEMBERS[[#This Row],[StaffMemberCode]:[ServiceStartDate]])+COUNTBLANK(MEMBERS[[#This Row],[Apprenticeship]]:MEMBERS[[#This Row],[StaffMemberEnabled]])+COUNTBLANK(MEMBERS[[#This Row],[GenderCode]]:MEMBERS[[#This Row],[Casual]])</f>
        <v>0</v>
      </c>
      <c r="L284" s="57">
        <f>IF(SUBSTITUTE(TEXT(MEMBERS[[#This Row],[StaffMemberCode]],10)," ","")=TEXT(MEMBERS[[#This Row],[StaffMemberCode]],10),0,1)</f>
        <v>0</v>
      </c>
      <c r="M284" s="57">
        <f ca="1">SUM(MEMBERS[[#This Row],[Duplicate NameService Start]:[Space in Code]])</f>
        <v>0</v>
      </c>
      <c r="O284" s="15">
        <v>10010514</v>
      </c>
      <c r="P284" s="15" t="s">
        <v>3974</v>
      </c>
      <c r="Q284" s="15" t="s">
        <v>3727</v>
      </c>
      <c r="R284" s="133" t="str">
        <f>MEMBERS[[#This Row],[FirstName]]&amp;" "&amp;MEMBERS[[#This Row],[LastName]]</f>
        <v>Henry Brown</v>
      </c>
      <c r="S284" s="21">
        <v>44805</v>
      </c>
      <c r="U284" s="21">
        <v>28302</v>
      </c>
      <c r="V284" s="138" t="b">
        <v>0</v>
      </c>
      <c r="W284" t="b">
        <v>0</v>
      </c>
      <c r="X284" t="b">
        <v>0</v>
      </c>
      <c r="Y284" t="s">
        <v>2126</v>
      </c>
      <c r="Z284" t="b">
        <v>1</v>
      </c>
      <c r="AB284" t="s">
        <v>1572</v>
      </c>
      <c r="AC284" t="b">
        <v>0</v>
      </c>
    </row>
    <row r="285" spans="1:29" x14ac:dyDescent="0.3">
      <c r="A285" s="57" t="str">
        <f>MEMBERS[[#This Row],[Title]]&amp;MEMBERS[[#This Row],[ServiceStartDate]]</f>
        <v>Hollie Boatman44670</v>
      </c>
      <c r="B285" s="57">
        <f>IF(COUNTIF(MEMBERS[NameServiceStart],MEMBERS[[#This Row],[NameServiceStart]])=1,0,1)</f>
        <v>0</v>
      </c>
      <c r="C285" s="57">
        <f>IF(COUNTIF(MEMBERS[StaffMemberCode],MEMBERS[[#This Row],[StaffMemberCode]])=1,0,1)</f>
        <v>0</v>
      </c>
      <c r="D285" s="57">
        <f>IF(ISBLANK(MEMBERS[[#This Row],[PayrollLocation]]),0,IF(COUNTIF(SCHOOLS[SchoolCode],MEMBERS[[#This Row],[PayrollLocation]])=1,0,1))</f>
        <v>0</v>
      </c>
      <c r="E285" s="57">
        <f>IF(MEMBERS[[#This Row],[AvailableToAllSchools]]=FALSE,IF(ISBLANK(MEMBERS[[#This Row],[SchoolCodes]]),1,0),IF(MEMBERS[[#This Row],[AvailableToAllSchools]]=TRUE,IF(ISBLANK(MEMBERS[[#This Row],[SchoolCodes]]),0,1)))</f>
        <v>0</v>
      </c>
      <c r="F285" s="57">
        <f>IF(ISBLANK(MEMBERS[[#This Row],[ServiceEndDate]]),0,IF(MEMBERS[[#This Row],[ServiceStartDate]]&lt;MEMBERS[[#This Row],[ServiceEndDate]],0,1))</f>
        <v>0</v>
      </c>
      <c r="G285" s="57" cm="1">
        <f t="array" aca="1" ref="G285" ca="1">IF(CELL("format",MEMBERS[[#This Row],[ServiceStartDate]])="D1",0,1)+IF(CELL("format",MEMBERS[[#This Row],[ServiceEndDate]])="D1",0,1)</f>
        <v>0</v>
      </c>
      <c r="H28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85" s="57">
        <f>IF(LEN(MEMBERS[[#This Row],[StaffMemberCode]])&lt;100,0,1)</f>
        <v>0</v>
      </c>
      <c r="J285" s="57">
        <f>IF(LEN(MEMBERS[[#This Row],[Title]])&lt;100,0,1)</f>
        <v>0</v>
      </c>
      <c r="K285" s="57">
        <f>COUNTBLANK(MEMBERS[[#This Row],[StaffMemberCode]:[ServiceStartDate]])+COUNTBLANK(MEMBERS[[#This Row],[Apprenticeship]]:MEMBERS[[#This Row],[StaffMemberEnabled]])+COUNTBLANK(MEMBERS[[#This Row],[GenderCode]]:MEMBERS[[#This Row],[Casual]])</f>
        <v>0</v>
      </c>
      <c r="L285" s="57">
        <f>IF(SUBSTITUTE(TEXT(MEMBERS[[#This Row],[StaffMemberCode]],10)," ","")=TEXT(MEMBERS[[#This Row],[StaffMemberCode]],10),0,1)</f>
        <v>0</v>
      </c>
      <c r="M285" s="57">
        <f ca="1">SUM(MEMBERS[[#This Row],[Duplicate NameService Start]:[Space in Code]])</f>
        <v>0</v>
      </c>
      <c r="O285" s="15">
        <v>10009982</v>
      </c>
      <c r="P285" s="15" t="s">
        <v>3975</v>
      </c>
      <c r="Q285" s="15" t="s">
        <v>4065</v>
      </c>
      <c r="R285" s="133" t="str">
        <f>MEMBERS[[#This Row],[FirstName]]&amp;" "&amp;MEMBERS[[#This Row],[LastName]]</f>
        <v>Hollie Boatman</v>
      </c>
      <c r="S285" s="21">
        <v>44670</v>
      </c>
      <c r="U285" s="21">
        <v>32205</v>
      </c>
      <c r="V285" s="138" t="b">
        <v>0</v>
      </c>
      <c r="W285" t="b">
        <v>0</v>
      </c>
      <c r="X285" t="b">
        <v>0</v>
      </c>
      <c r="Y285" t="s">
        <v>2126</v>
      </c>
      <c r="Z285" t="b">
        <v>1</v>
      </c>
      <c r="AB285" t="s">
        <v>1571</v>
      </c>
      <c r="AC285" t="b">
        <v>0</v>
      </c>
    </row>
    <row r="286" spans="1:29" x14ac:dyDescent="0.3">
      <c r="A286" s="57" t="str">
        <f>MEMBERS[[#This Row],[Title]]&amp;MEMBERS[[#This Row],[ServiceStartDate]]</f>
        <v>Holly Clark45901</v>
      </c>
      <c r="B286" s="57">
        <f>IF(COUNTIF(MEMBERS[NameServiceStart],MEMBERS[[#This Row],[NameServiceStart]])=1,0,1)</f>
        <v>0</v>
      </c>
      <c r="C286" s="57">
        <f>IF(COUNTIF(MEMBERS[StaffMemberCode],MEMBERS[[#This Row],[StaffMemberCode]])=1,0,1)</f>
        <v>0</v>
      </c>
      <c r="D286" s="57">
        <f>IF(ISBLANK(MEMBERS[[#This Row],[PayrollLocation]]),0,IF(COUNTIF(SCHOOLS[SchoolCode],MEMBERS[[#This Row],[PayrollLocation]])=1,0,1))</f>
        <v>0</v>
      </c>
      <c r="E286" s="57">
        <f>IF(MEMBERS[[#This Row],[AvailableToAllSchools]]=FALSE,IF(ISBLANK(MEMBERS[[#This Row],[SchoolCodes]]),1,0),IF(MEMBERS[[#This Row],[AvailableToAllSchools]]=TRUE,IF(ISBLANK(MEMBERS[[#This Row],[SchoolCodes]]),0,1)))</f>
        <v>0</v>
      </c>
      <c r="F286" s="57">
        <f>IF(ISBLANK(MEMBERS[[#This Row],[ServiceEndDate]]),0,IF(MEMBERS[[#This Row],[ServiceStartDate]]&lt;MEMBERS[[#This Row],[ServiceEndDate]],0,1))</f>
        <v>0</v>
      </c>
      <c r="G286" s="57" cm="1">
        <f t="array" aca="1" ref="G286" ca="1">IF(CELL("format",MEMBERS[[#This Row],[ServiceStartDate]])="D1",0,1)+IF(CELL("format",MEMBERS[[#This Row],[ServiceEndDate]])="D1",0,1)</f>
        <v>0</v>
      </c>
      <c r="H28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86" s="57">
        <f>IF(LEN(MEMBERS[[#This Row],[StaffMemberCode]])&lt;100,0,1)</f>
        <v>0</v>
      </c>
      <c r="J286" s="57">
        <f>IF(LEN(MEMBERS[[#This Row],[Title]])&lt;100,0,1)</f>
        <v>0</v>
      </c>
      <c r="K286" s="57">
        <f>COUNTBLANK(MEMBERS[[#This Row],[StaffMemberCode]:[ServiceStartDate]])+COUNTBLANK(MEMBERS[[#This Row],[Apprenticeship]]:MEMBERS[[#This Row],[StaffMemberEnabled]])+COUNTBLANK(MEMBERS[[#This Row],[GenderCode]]:MEMBERS[[#This Row],[Casual]])</f>
        <v>0</v>
      </c>
      <c r="L286" s="57">
        <f>IF(SUBSTITUTE(TEXT(MEMBERS[[#This Row],[StaffMemberCode]],10)," ","")=TEXT(MEMBERS[[#This Row],[StaffMemberCode]],10),0,1)</f>
        <v>0</v>
      </c>
      <c r="M286" s="57">
        <f ca="1">SUM(MEMBERS[[#This Row],[Duplicate NameService Start]:[Space in Code]])</f>
        <v>0</v>
      </c>
      <c r="O286" s="15">
        <v>91850022</v>
      </c>
      <c r="P286" s="15" t="s">
        <v>3281</v>
      </c>
      <c r="Q286" s="15" t="s">
        <v>3637</v>
      </c>
      <c r="R286" s="133" t="str">
        <f>MEMBERS[[#This Row],[FirstName]]&amp;" "&amp;MEMBERS[[#This Row],[LastName]]</f>
        <v>Holly Clark</v>
      </c>
      <c r="S286" s="21">
        <v>45901</v>
      </c>
      <c r="U286" s="21">
        <v>37762</v>
      </c>
      <c r="V286" t="b">
        <v>0</v>
      </c>
      <c r="W286" t="b">
        <v>0</v>
      </c>
      <c r="X286" t="b">
        <v>0</v>
      </c>
      <c r="Y286" t="s">
        <v>2094</v>
      </c>
      <c r="Z286" t="b">
        <v>1</v>
      </c>
      <c r="AB286" t="s">
        <v>1571</v>
      </c>
      <c r="AC286" t="b">
        <v>0</v>
      </c>
    </row>
    <row r="287" spans="1:29" x14ac:dyDescent="0.3">
      <c r="A287" s="57" t="str">
        <f>MEMBERS[[#This Row],[Title]]&amp;MEMBERS[[#This Row],[ServiceStartDate]]</f>
        <v>Holly Jeffs45229</v>
      </c>
      <c r="B287" s="57">
        <f>IF(COUNTIF(MEMBERS[NameServiceStart],MEMBERS[[#This Row],[NameServiceStart]])=1,0,1)</f>
        <v>0</v>
      </c>
      <c r="C287" s="57">
        <f>IF(COUNTIF(MEMBERS[StaffMemberCode],MEMBERS[[#This Row],[StaffMemberCode]])=1,0,1)</f>
        <v>0</v>
      </c>
      <c r="D287" s="57">
        <f>IF(ISBLANK(MEMBERS[[#This Row],[PayrollLocation]]),0,IF(COUNTIF(SCHOOLS[SchoolCode],MEMBERS[[#This Row],[PayrollLocation]])=1,0,1))</f>
        <v>0</v>
      </c>
      <c r="E287" s="57">
        <f>IF(MEMBERS[[#This Row],[AvailableToAllSchools]]=FALSE,IF(ISBLANK(MEMBERS[[#This Row],[SchoolCodes]]),1,0),IF(MEMBERS[[#This Row],[AvailableToAllSchools]]=TRUE,IF(ISBLANK(MEMBERS[[#This Row],[SchoolCodes]]),0,1)))</f>
        <v>0</v>
      </c>
      <c r="F287" s="57">
        <f>IF(ISBLANK(MEMBERS[[#This Row],[ServiceEndDate]]),0,IF(MEMBERS[[#This Row],[ServiceStartDate]]&lt;MEMBERS[[#This Row],[ServiceEndDate]],0,1))</f>
        <v>0</v>
      </c>
      <c r="G287" s="57" cm="1">
        <f t="array" aca="1" ref="G287" ca="1">IF(CELL("format",MEMBERS[[#This Row],[ServiceStartDate]])="D1",0,1)+IF(CELL("format",MEMBERS[[#This Row],[ServiceEndDate]])="D1",0,1)</f>
        <v>0</v>
      </c>
      <c r="H28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87" s="57">
        <f>IF(LEN(MEMBERS[[#This Row],[StaffMemberCode]])&lt;100,0,1)</f>
        <v>0</v>
      </c>
      <c r="J287" s="57">
        <f>IF(LEN(MEMBERS[[#This Row],[Title]])&lt;100,0,1)</f>
        <v>0</v>
      </c>
      <c r="K287" s="57">
        <f>COUNTBLANK(MEMBERS[[#This Row],[StaffMemberCode]:[ServiceStartDate]])+COUNTBLANK(MEMBERS[[#This Row],[Apprenticeship]]:MEMBERS[[#This Row],[StaffMemberEnabled]])+COUNTBLANK(MEMBERS[[#This Row],[GenderCode]]:MEMBERS[[#This Row],[Casual]])</f>
        <v>0</v>
      </c>
      <c r="L287" s="57">
        <f>IF(SUBSTITUTE(TEXT(MEMBERS[[#This Row],[StaffMemberCode]],10)," ","")=TEXT(MEMBERS[[#This Row],[StaffMemberCode]],10),0,1)</f>
        <v>0</v>
      </c>
      <c r="M287" s="57">
        <f ca="1">SUM(MEMBERS[[#This Row],[Duplicate NameService Start]:[Space in Code]])</f>
        <v>0</v>
      </c>
      <c r="O287" s="15">
        <v>10013305</v>
      </c>
      <c r="P287" s="15" t="s">
        <v>3281</v>
      </c>
      <c r="Q287" s="15" t="s">
        <v>4066</v>
      </c>
      <c r="R287" s="133" t="str">
        <f>MEMBERS[[#This Row],[FirstName]]&amp;" "&amp;MEMBERS[[#This Row],[LastName]]</f>
        <v>Holly Jeffs</v>
      </c>
      <c r="S287" s="21">
        <v>45229</v>
      </c>
      <c r="U287" s="21">
        <v>39015</v>
      </c>
      <c r="V287" s="138" t="b">
        <v>0</v>
      </c>
      <c r="W287" t="b">
        <v>0</v>
      </c>
      <c r="X287" t="b">
        <v>0</v>
      </c>
      <c r="Y287" t="s">
        <v>2126</v>
      </c>
      <c r="Z287" t="b">
        <v>1</v>
      </c>
      <c r="AB287" t="s">
        <v>65</v>
      </c>
      <c r="AC287" t="b">
        <v>1</v>
      </c>
    </row>
    <row r="288" spans="1:29" x14ac:dyDescent="0.3">
      <c r="A288" s="57" t="str">
        <f>MEMBERS[[#This Row],[Title]]&amp;MEMBERS[[#This Row],[ServiceStartDate]]</f>
        <v>Holly Salt40187</v>
      </c>
      <c r="B288" s="57">
        <f>IF(COUNTIF(MEMBERS[NameServiceStart],MEMBERS[[#This Row],[NameServiceStart]])=1,0,1)</f>
        <v>0</v>
      </c>
      <c r="C288" s="57">
        <f>IF(COUNTIF(MEMBERS[StaffMemberCode],MEMBERS[[#This Row],[StaffMemberCode]])=1,0,1)</f>
        <v>0</v>
      </c>
      <c r="D288" s="57">
        <f>IF(ISBLANK(MEMBERS[[#This Row],[PayrollLocation]]),0,IF(COUNTIF(SCHOOLS[SchoolCode],MEMBERS[[#This Row],[PayrollLocation]])=1,0,1))</f>
        <v>0</v>
      </c>
      <c r="E288" s="57">
        <f>IF(MEMBERS[[#This Row],[AvailableToAllSchools]]=FALSE,IF(ISBLANK(MEMBERS[[#This Row],[SchoolCodes]]),1,0),IF(MEMBERS[[#This Row],[AvailableToAllSchools]]=TRUE,IF(ISBLANK(MEMBERS[[#This Row],[SchoolCodes]]),0,1)))</f>
        <v>0</v>
      </c>
      <c r="F288" s="57">
        <f>IF(ISBLANK(MEMBERS[[#This Row],[ServiceEndDate]]),0,IF(MEMBERS[[#This Row],[ServiceStartDate]]&lt;MEMBERS[[#This Row],[ServiceEndDate]],0,1))</f>
        <v>0</v>
      </c>
      <c r="G288" s="57" cm="1">
        <f t="array" aca="1" ref="G288" ca="1">IF(CELL("format",MEMBERS[[#This Row],[ServiceStartDate]])="D1",0,1)+IF(CELL("format",MEMBERS[[#This Row],[ServiceEndDate]])="D1",0,1)</f>
        <v>0</v>
      </c>
      <c r="H28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88" s="57">
        <f>IF(LEN(MEMBERS[[#This Row],[StaffMemberCode]])&lt;100,0,1)</f>
        <v>0</v>
      </c>
      <c r="J288" s="57">
        <f>IF(LEN(MEMBERS[[#This Row],[Title]])&lt;100,0,1)</f>
        <v>0</v>
      </c>
      <c r="K288" s="57">
        <f>COUNTBLANK(MEMBERS[[#This Row],[StaffMemberCode]:[ServiceStartDate]])+COUNTBLANK(MEMBERS[[#This Row],[Apprenticeship]]:MEMBERS[[#This Row],[StaffMemberEnabled]])+COUNTBLANK(MEMBERS[[#This Row],[GenderCode]]:MEMBERS[[#This Row],[Casual]])</f>
        <v>0</v>
      </c>
      <c r="L288" s="57">
        <f>IF(SUBSTITUTE(TEXT(MEMBERS[[#This Row],[StaffMemberCode]],10)," ","")=TEXT(MEMBERS[[#This Row],[StaffMemberCode]],10),0,1)</f>
        <v>0</v>
      </c>
      <c r="M288" s="57">
        <f ca="1">SUM(MEMBERS[[#This Row],[Duplicate NameService Start]:[Space in Code]])</f>
        <v>0</v>
      </c>
      <c r="O288" s="15">
        <v>91073698</v>
      </c>
      <c r="P288" s="15" t="s">
        <v>3281</v>
      </c>
      <c r="Q288" s="15" t="s">
        <v>3638</v>
      </c>
      <c r="R288" s="133" t="str">
        <f>MEMBERS[[#This Row],[FirstName]]&amp;" "&amp;MEMBERS[[#This Row],[LastName]]</f>
        <v>Holly Salt</v>
      </c>
      <c r="S288" s="21">
        <v>40187</v>
      </c>
      <c r="U288" s="21">
        <v>32131</v>
      </c>
      <c r="V288" t="b">
        <v>0</v>
      </c>
      <c r="W288" t="b">
        <v>0</v>
      </c>
      <c r="X288" t="b">
        <v>0</v>
      </c>
      <c r="Y288" t="s">
        <v>2082</v>
      </c>
      <c r="Z288" t="b">
        <v>1</v>
      </c>
      <c r="AB288" t="s">
        <v>1571</v>
      </c>
      <c r="AC288" t="b">
        <v>0</v>
      </c>
    </row>
    <row r="289" spans="1:29" x14ac:dyDescent="0.3">
      <c r="A289" s="57" t="str">
        <f>MEMBERS[[#This Row],[Title]]&amp;MEMBERS[[#This Row],[ServiceStartDate]]</f>
        <v>Ian Dodd43476</v>
      </c>
      <c r="B289" s="57">
        <f>IF(COUNTIF(MEMBERS[NameServiceStart],MEMBERS[[#This Row],[NameServiceStart]])=1,0,1)</f>
        <v>0</v>
      </c>
      <c r="C289" s="57">
        <f>IF(COUNTIF(MEMBERS[StaffMemberCode],MEMBERS[[#This Row],[StaffMemberCode]])=1,0,1)</f>
        <v>0</v>
      </c>
      <c r="D289" s="57">
        <f>IF(ISBLANK(MEMBERS[[#This Row],[PayrollLocation]]),0,IF(COUNTIF(SCHOOLS[SchoolCode],MEMBERS[[#This Row],[PayrollLocation]])=1,0,1))</f>
        <v>0</v>
      </c>
      <c r="E289" s="57">
        <f>IF(MEMBERS[[#This Row],[AvailableToAllSchools]]=FALSE,IF(ISBLANK(MEMBERS[[#This Row],[SchoolCodes]]),1,0),IF(MEMBERS[[#This Row],[AvailableToAllSchools]]=TRUE,IF(ISBLANK(MEMBERS[[#This Row],[SchoolCodes]]),0,1)))</f>
        <v>0</v>
      </c>
      <c r="F289" s="57">
        <f>IF(ISBLANK(MEMBERS[[#This Row],[ServiceEndDate]]),0,IF(MEMBERS[[#This Row],[ServiceStartDate]]&lt;MEMBERS[[#This Row],[ServiceEndDate]],0,1))</f>
        <v>0</v>
      </c>
      <c r="G289" s="57" cm="1">
        <f t="array" aca="1" ref="G289" ca="1">IF(CELL("format",MEMBERS[[#This Row],[ServiceStartDate]])="D1",0,1)+IF(CELL("format",MEMBERS[[#This Row],[ServiceEndDate]])="D1",0,1)</f>
        <v>0</v>
      </c>
      <c r="H28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89" s="57">
        <f>IF(LEN(MEMBERS[[#This Row],[StaffMemberCode]])&lt;100,0,1)</f>
        <v>0</v>
      </c>
      <c r="J289" s="57">
        <f>IF(LEN(MEMBERS[[#This Row],[Title]])&lt;100,0,1)</f>
        <v>0</v>
      </c>
      <c r="K289" s="57">
        <f>COUNTBLANK(MEMBERS[[#This Row],[StaffMemberCode]:[ServiceStartDate]])+COUNTBLANK(MEMBERS[[#This Row],[Apprenticeship]]:MEMBERS[[#This Row],[StaffMemberEnabled]])+COUNTBLANK(MEMBERS[[#This Row],[GenderCode]]:MEMBERS[[#This Row],[Casual]])</f>
        <v>0</v>
      </c>
      <c r="L289" s="57">
        <f>IF(SUBSTITUTE(TEXT(MEMBERS[[#This Row],[StaffMemberCode]],10)," ","")=TEXT(MEMBERS[[#This Row],[StaffMemberCode]],10),0,1)</f>
        <v>0</v>
      </c>
      <c r="M289" s="57">
        <f ca="1">SUM(MEMBERS[[#This Row],[Duplicate NameService Start]:[Space in Code]])</f>
        <v>0</v>
      </c>
      <c r="O289" s="15">
        <v>91073543</v>
      </c>
      <c r="P289" s="15" t="s">
        <v>3282</v>
      </c>
      <c r="Q289" s="15" t="s">
        <v>3639</v>
      </c>
      <c r="R289" s="133" t="str">
        <f>MEMBERS[[#This Row],[FirstName]]&amp;" "&amp;MEMBERS[[#This Row],[LastName]]</f>
        <v>Ian Dodd</v>
      </c>
      <c r="S289" s="21">
        <v>43476</v>
      </c>
      <c r="U289" s="21">
        <v>24698</v>
      </c>
      <c r="V289" t="b">
        <v>0</v>
      </c>
      <c r="W289" t="b">
        <v>0</v>
      </c>
      <c r="X289" t="b">
        <v>0</v>
      </c>
      <c r="Y289" t="s">
        <v>2094</v>
      </c>
      <c r="Z289" t="b">
        <v>1</v>
      </c>
      <c r="AB289" t="s">
        <v>1572</v>
      </c>
      <c r="AC289" t="b">
        <v>0</v>
      </c>
    </row>
    <row r="290" spans="1:29" x14ac:dyDescent="0.3">
      <c r="A290" s="57" t="str">
        <f>MEMBERS[[#This Row],[Title]]&amp;MEMBERS[[#This Row],[ServiceStartDate]]</f>
        <v>Imogen Astles44570</v>
      </c>
      <c r="B290" s="57">
        <f>IF(COUNTIF(MEMBERS[NameServiceStart],MEMBERS[[#This Row],[NameServiceStart]])=1,0,1)</f>
        <v>0</v>
      </c>
      <c r="C290" s="57">
        <f>IF(COUNTIF(MEMBERS[StaffMemberCode],MEMBERS[[#This Row],[StaffMemberCode]])=1,0,1)</f>
        <v>0</v>
      </c>
      <c r="D290" s="57">
        <f>IF(ISBLANK(MEMBERS[[#This Row],[PayrollLocation]]),0,IF(COUNTIF(SCHOOLS[SchoolCode],MEMBERS[[#This Row],[PayrollLocation]])=1,0,1))</f>
        <v>0</v>
      </c>
      <c r="E290" s="57">
        <f>IF(MEMBERS[[#This Row],[AvailableToAllSchools]]=FALSE,IF(ISBLANK(MEMBERS[[#This Row],[SchoolCodes]]),1,0),IF(MEMBERS[[#This Row],[AvailableToAllSchools]]=TRUE,IF(ISBLANK(MEMBERS[[#This Row],[SchoolCodes]]),0,1)))</f>
        <v>0</v>
      </c>
      <c r="F290" s="57">
        <f>IF(ISBLANK(MEMBERS[[#This Row],[ServiceEndDate]]),0,IF(MEMBERS[[#This Row],[ServiceStartDate]]&lt;MEMBERS[[#This Row],[ServiceEndDate]],0,1))</f>
        <v>0</v>
      </c>
      <c r="G290" s="57" cm="1">
        <f t="array" aca="1" ref="G290" ca="1">IF(CELL("format",MEMBERS[[#This Row],[ServiceStartDate]])="D1",0,1)+IF(CELL("format",MEMBERS[[#This Row],[ServiceEndDate]])="D1",0,1)</f>
        <v>0</v>
      </c>
      <c r="H29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90" s="57">
        <f>IF(LEN(MEMBERS[[#This Row],[StaffMemberCode]])&lt;100,0,1)</f>
        <v>0</v>
      </c>
      <c r="J290" s="57">
        <f>IF(LEN(MEMBERS[[#This Row],[Title]])&lt;100,0,1)</f>
        <v>0</v>
      </c>
      <c r="K290" s="57">
        <f>COUNTBLANK(MEMBERS[[#This Row],[StaffMemberCode]:[ServiceStartDate]])+COUNTBLANK(MEMBERS[[#This Row],[Apprenticeship]]:MEMBERS[[#This Row],[StaffMemberEnabled]])+COUNTBLANK(MEMBERS[[#This Row],[GenderCode]]:MEMBERS[[#This Row],[Casual]])</f>
        <v>0</v>
      </c>
      <c r="L290" s="57">
        <f>IF(SUBSTITUTE(TEXT(MEMBERS[[#This Row],[StaffMemberCode]],10)," ","")=TEXT(MEMBERS[[#This Row],[StaffMemberCode]],10),0,1)</f>
        <v>0</v>
      </c>
      <c r="M290" s="57">
        <f ca="1">SUM(MEMBERS[[#This Row],[Duplicate NameService Start]:[Space in Code]])</f>
        <v>0</v>
      </c>
      <c r="O290" s="15">
        <v>91073436</v>
      </c>
      <c r="P290" s="15" t="s">
        <v>3283</v>
      </c>
      <c r="Q290" s="15" t="s">
        <v>3640</v>
      </c>
      <c r="R290" s="133" t="str">
        <f>MEMBERS[[#This Row],[FirstName]]&amp;" "&amp;MEMBERS[[#This Row],[LastName]]</f>
        <v>Imogen Astles</v>
      </c>
      <c r="S290" s="21">
        <v>44570</v>
      </c>
      <c r="U290" s="21">
        <v>36486</v>
      </c>
      <c r="V290" t="b">
        <v>0</v>
      </c>
      <c r="W290" t="b">
        <v>0</v>
      </c>
      <c r="X290" t="b">
        <v>0</v>
      </c>
      <c r="Y290" t="s">
        <v>2094</v>
      </c>
      <c r="Z290" t="b">
        <v>1</v>
      </c>
      <c r="AB290" t="s">
        <v>1571</v>
      </c>
      <c r="AC290" t="b">
        <v>0</v>
      </c>
    </row>
    <row r="291" spans="1:29" x14ac:dyDescent="0.3">
      <c r="A291" s="57" t="str">
        <f>MEMBERS[[#This Row],[Title]]&amp;MEMBERS[[#This Row],[ServiceStartDate]]</f>
        <v>Iozsef-Laszlo Ambrus44725</v>
      </c>
      <c r="B291" s="57">
        <f>IF(COUNTIF(MEMBERS[NameServiceStart],MEMBERS[[#This Row],[NameServiceStart]])=1,0,1)</f>
        <v>0</v>
      </c>
      <c r="C291" s="57">
        <f>IF(COUNTIF(MEMBERS[StaffMemberCode],MEMBERS[[#This Row],[StaffMemberCode]])=1,0,1)</f>
        <v>0</v>
      </c>
      <c r="D291" s="57">
        <f>IF(ISBLANK(MEMBERS[[#This Row],[PayrollLocation]]),0,IF(COUNTIF(SCHOOLS[SchoolCode],MEMBERS[[#This Row],[PayrollLocation]])=1,0,1))</f>
        <v>0</v>
      </c>
      <c r="E291" s="57">
        <f>IF(MEMBERS[[#This Row],[AvailableToAllSchools]]=FALSE,IF(ISBLANK(MEMBERS[[#This Row],[SchoolCodes]]),1,0),IF(MEMBERS[[#This Row],[AvailableToAllSchools]]=TRUE,IF(ISBLANK(MEMBERS[[#This Row],[SchoolCodes]]),0,1)))</f>
        <v>0</v>
      </c>
      <c r="F291" s="57">
        <f>IF(ISBLANK(MEMBERS[[#This Row],[ServiceEndDate]]),0,IF(MEMBERS[[#This Row],[ServiceStartDate]]&lt;MEMBERS[[#This Row],[ServiceEndDate]],0,1))</f>
        <v>0</v>
      </c>
      <c r="G291" s="57" cm="1">
        <f t="array" aca="1" ref="G291" ca="1">IF(CELL("format",MEMBERS[[#This Row],[ServiceStartDate]])="D1",0,1)+IF(CELL("format",MEMBERS[[#This Row],[ServiceEndDate]])="D1",0,1)</f>
        <v>0</v>
      </c>
      <c r="H29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91" s="57">
        <f>IF(LEN(MEMBERS[[#This Row],[StaffMemberCode]])&lt;100,0,1)</f>
        <v>0</v>
      </c>
      <c r="J291" s="57">
        <f>IF(LEN(MEMBERS[[#This Row],[Title]])&lt;100,0,1)</f>
        <v>0</v>
      </c>
      <c r="K291" s="57">
        <f>COUNTBLANK(MEMBERS[[#This Row],[StaffMemberCode]:[ServiceStartDate]])+COUNTBLANK(MEMBERS[[#This Row],[Apprenticeship]]:MEMBERS[[#This Row],[StaffMemberEnabled]])+COUNTBLANK(MEMBERS[[#This Row],[GenderCode]]:MEMBERS[[#This Row],[Casual]])</f>
        <v>0</v>
      </c>
      <c r="L291" s="57">
        <f>IF(SUBSTITUTE(TEXT(MEMBERS[[#This Row],[StaffMemberCode]],10)," ","")=TEXT(MEMBERS[[#This Row],[StaffMemberCode]],10),0,1)</f>
        <v>0</v>
      </c>
      <c r="M291" s="57">
        <f ca="1">SUM(MEMBERS[[#This Row],[Duplicate NameService Start]:[Space in Code]])</f>
        <v>0</v>
      </c>
      <c r="O291" s="15">
        <v>10010228</v>
      </c>
      <c r="P291" s="15" t="s">
        <v>3976</v>
      </c>
      <c r="Q291" s="15" t="s">
        <v>4067</v>
      </c>
      <c r="R291" s="133" t="str">
        <f>MEMBERS[[#This Row],[FirstName]]&amp;" "&amp;MEMBERS[[#This Row],[LastName]]</f>
        <v>Iozsef-Laszlo Ambrus</v>
      </c>
      <c r="S291" s="21">
        <v>44725</v>
      </c>
      <c r="U291" s="21">
        <v>29243</v>
      </c>
      <c r="V291" s="138" t="b">
        <v>0</v>
      </c>
      <c r="W291" t="b">
        <v>0</v>
      </c>
      <c r="X291" t="b">
        <v>0</v>
      </c>
      <c r="Y291" t="s">
        <v>2126</v>
      </c>
      <c r="Z291" t="b">
        <v>1</v>
      </c>
      <c r="AB291" t="s">
        <v>1572</v>
      </c>
      <c r="AC291" t="b">
        <v>0</v>
      </c>
    </row>
    <row r="292" spans="1:29" x14ac:dyDescent="0.3">
      <c r="A292" s="57" t="str">
        <f>MEMBERS[[#This Row],[Title]]&amp;MEMBERS[[#This Row],[ServiceStartDate]]</f>
        <v>Isabel Cundy45197</v>
      </c>
      <c r="B292" s="57">
        <f>IF(COUNTIF(MEMBERS[NameServiceStart],MEMBERS[[#This Row],[NameServiceStart]])=1,0,1)</f>
        <v>0</v>
      </c>
      <c r="C292" s="57">
        <f>IF(COUNTIF(MEMBERS[StaffMemberCode],MEMBERS[[#This Row],[StaffMemberCode]])=1,0,1)</f>
        <v>0</v>
      </c>
      <c r="D292" s="57">
        <f>IF(ISBLANK(MEMBERS[[#This Row],[PayrollLocation]]),0,IF(COUNTIF(SCHOOLS[SchoolCode],MEMBERS[[#This Row],[PayrollLocation]])=1,0,1))</f>
        <v>0</v>
      </c>
      <c r="E292" s="57">
        <f>IF(MEMBERS[[#This Row],[AvailableToAllSchools]]=FALSE,IF(ISBLANK(MEMBERS[[#This Row],[SchoolCodes]]),1,0),IF(MEMBERS[[#This Row],[AvailableToAllSchools]]=TRUE,IF(ISBLANK(MEMBERS[[#This Row],[SchoolCodes]]),0,1)))</f>
        <v>0</v>
      </c>
      <c r="F292" s="57">
        <f>IF(ISBLANK(MEMBERS[[#This Row],[ServiceEndDate]]),0,IF(MEMBERS[[#This Row],[ServiceStartDate]]&lt;MEMBERS[[#This Row],[ServiceEndDate]],0,1))</f>
        <v>0</v>
      </c>
      <c r="G292" s="57" cm="1">
        <f t="array" aca="1" ref="G292" ca="1">IF(CELL("format",MEMBERS[[#This Row],[ServiceStartDate]])="D1",0,1)+IF(CELL("format",MEMBERS[[#This Row],[ServiceEndDate]])="D1",0,1)</f>
        <v>0</v>
      </c>
      <c r="H29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92" s="57">
        <f>IF(LEN(MEMBERS[[#This Row],[StaffMemberCode]])&lt;100,0,1)</f>
        <v>0</v>
      </c>
      <c r="J292" s="57">
        <f>IF(LEN(MEMBERS[[#This Row],[Title]])&lt;100,0,1)</f>
        <v>0</v>
      </c>
      <c r="K292" s="57">
        <f>COUNTBLANK(MEMBERS[[#This Row],[StaffMemberCode]:[ServiceStartDate]])+COUNTBLANK(MEMBERS[[#This Row],[Apprenticeship]]:MEMBERS[[#This Row],[StaffMemberEnabled]])+COUNTBLANK(MEMBERS[[#This Row],[GenderCode]]:MEMBERS[[#This Row],[Casual]])</f>
        <v>0</v>
      </c>
      <c r="L292" s="57">
        <f>IF(SUBSTITUTE(TEXT(MEMBERS[[#This Row],[StaffMemberCode]],10)," ","")=TEXT(MEMBERS[[#This Row],[StaffMemberCode]],10),0,1)</f>
        <v>0</v>
      </c>
      <c r="M292" s="57">
        <f ca="1">SUM(MEMBERS[[#This Row],[Duplicate NameService Start]:[Space in Code]])</f>
        <v>0</v>
      </c>
      <c r="O292" s="15">
        <v>91073621</v>
      </c>
      <c r="P292" s="15" t="s">
        <v>3284</v>
      </c>
      <c r="Q292" s="15" t="s">
        <v>3641</v>
      </c>
      <c r="R292" s="133" t="str">
        <f>MEMBERS[[#This Row],[FirstName]]&amp;" "&amp;MEMBERS[[#This Row],[LastName]]</f>
        <v>Isabel Cundy</v>
      </c>
      <c r="S292" s="21">
        <v>45197</v>
      </c>
      <c r="U292" s="21">
        <v>27559</v>
      </c>
      <c r="V292" t="b">
        <v>0</v>
      </c>
      <c r="W292" t="b">
        <v>0</v>
      </c>
      <c r="X292" t="b">
        <v>0</v>
      </c>
      <c r="Y292" t="s">
        <v>2094</v>
      </c>
      <c r="Z292" t="b">
        <v>1</v>
      </c>
      <c r="AB292" t="s">
        <v>1571</v>
      </c>
      <c r="AC292" t="b">
        <v>1</v>
      </c>
    </row>
    <row r="293" spans="1:29" x14ac:dyDescent="0.3">
      <c r="A293" s="57" t="str">
        <f>MEMBERS[[#This Row],[Title]]&amp;MEMBERS[[#This Row],[ServiceStartDate]]</f>
        <v>Isabel Sproston45497</v>
      </c>
      <c r="B293" s="57">
        <f>IF(COUNTIF(MEMBERS[NameServiceStart],MEMBERS[[#This Row],[NameServiceStart]])=1,0,1)</f>
        <v>0</v>
      </c>
      <c r="C293" s="57">
        <f>IF(COUNTIF(MEMBERS[StaffMemberCode],MEMBERS[[#This Row],[StaffMemberCode]])=1,0,1)</f>
        <v>0</v>
      </c>
      <c r="D293" s="57">
        <f>IF(ISBLANK(MEMBERS[[#This Row],[PayrollLocation]]),0,IF(COUNTIF(SCHOOLS[SchoolCode],MEMBERS[[#This Row],[PayrollLocation]])=1,0,1))</f>
        <v>0</v>
      </c>
      <c r="E293" s="57">
        <f>IF(MEMBERS[[#This Row],[AvailableToAllSchools]]=FALSE,IF(ISBLANK(MEMBERS[[#This Row],[SchoolCodes]]),1,0),IF(MEMBERS[[#This Row],[AvailableToAllSchools]]=TRUE,IF(ISBLANK(MEMBERS[[#This Row],[SchoolCodes]]),0,1)))</f>
        <v>0</v>
      </c>
      <c r="F293" s="57">
        <f>IF(ISBLANK(MEMBERS[[#This Row],[ServiceEndDate]]),0,IF(MEMBERS[[#This Row],[ServiceStartDate]]&lt;MEMBERS[[#This Row],[ServiceEndDate]],0,1))</f>
        <v>0</v>
      </c>
      <c r="G293" s="57" cm="1">
        <f t="array" aca="1" ref="G293" ca="1">IF(CELL("format",MEMBERS[[#This Row],[ServiceStartDate]])="D1",0,1)+IF(CELL("format",MEMBERS[[#This Row],[ServiceEndDate]])="D1",0,1)</f>
        <v>0</v>
      </c>
      <c r="H29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93" s="57">
        <f>IF(LEN(MEMBERS[[#This Row],[StaffMemberCode]])&lt;100,0,1)</f>
        <v>0</v>
      </c>
      <c r="J293" s="57">
        <f>IF(LEN(MEMBERS[[#This Row],[Title]])&lt;100,0,1)</f>
        <v>0</v>
      </c>
      <c r="K293" s="57">
        <f>COUNTBLANK(MEMBERS[[#This Row],[StaffMemberCode]:[ServiceStartDate]])+COUNTBLANK(MEMBERS[[#This Row],[Apprenticeship]]:MEMBERS[[#This Row],[StaffMemberEnabled]])+COUNTBLANK(MEMBERS[[#This Row],[GenderCode]]:MEMBERS[[#This Row],[Casual]])</f>
        <v>0</v>
      </c>
      <c r="L293" s="57">
        <f>IF(SUBSTITUTE(TEXT(MEMBERS[[#This Row],[StaffMemberCode]],10)," ","")=TEXT(MEMBERS[[#This Row],[StaffMemberCode]],10),0,1)</f>
        <v>0</v>
      </c>
      <c r="M293" s="57">
        <f ca="1">SUM(MEMBERS[[#This Row],[Duplicate NameService Start]:[Space in Code]])</f>
        <v>0</v>
      </c>
      <c r="O293" s="15">
        <v>10014499</v>
      </c>
      <c r="P293" s="15" t="s">
        <v>3284</v>
      </c>
      <c r="Q293" s="15" t="s">
        <v>3893</v>
      </c>
      <c r="R293" s="133" t="str">
        <f>MEMBERS[[#This Row],[FirstName]]&amp;" "&amp;MEMBERS[[#This Row],[LastName]]</f>
        <v>Isabel Sproston</v>
      </c>
      <c r="S293" s="21">
        <v>45497</v>
      </c>
      <c r="U293" s="21">
        <v>39566</v>
      </c>
      <c r="V293" s="138" t="b">
        <v>0</v>
      </c>
      <c r="W293" t="b">
        <v>0</v>
      </c>
      <c r="X293" t="b">
        <v>0</v>
      </c>
      <c r="Y293" t="s">
        <v>2126</v>
      </c>
      <c r="Z293" t="b">
        <v>1</v>
      </c>
      <c r="AB293" t="s">
        <v>1571</v>
      </c>
      <c r="AC293" t="b">
        <v>1</v>
      </c>
    </row>
    <row r="294" spans="1:29" x14ac:dyDescent="0.3">
      <c r="A294" s="57" t="str">
        <f>MEMBERS[[#This Row],[Title]]&amp;MEMBERS[[#This Row],[ServiceStartDate]]</f>
        <v>Isabella Podmore44236</v>
      </c>
      <c r="B294" s="57">
        <f>IF(COUNTIF(MEMBERS[NameServiceStart],MEMBERS[[#This Row],[NameServiceStart]])=1,0,1)</f>
        <v>0</v>
      </c>
      <c r="C294" s="57">
        <f>IF(COUNTIF(MEMBERS[StaffMemberCode],MEMBERS[[#This Row],[StaffMemberCode]])=1,0,1)</f>
        <v>0</v>
      </c>
      <c r="D294" s="57">
        <f>IF(ISBLANK(MEMBERS[[#This Row],[PayrollLocation]]),0,IF(COUNTIF(SCHOOLS[SchoolCode],MEMBERS[[#This Row],[PayrollLocation]])=1,0,1))</f>
        <v>0</v>
      </c>
      <c r="E294" s="57">
        <f>IF(MEMBERS[[#This Row],[AvailableToAllSchools]]=FALSE,IF(ISBLANK(MEMBERS[[#This Row],[SchoolCodes]]),1,0),IF(MEMBERS[[#This Row],[AvailableToAllSchools]]=TRUE,IF(ISBLANK(MEMBERS[[#This Row],[SchoolCodes]]),0,1)))</f>
        <v>0</v>
      </c>
      <c r="F294" s="57">
        <f>IF(ISBLANK(MEMBERS[[#This Row],[ServiceEndDate]]),0,IF(MEMBERS[[#This Row],[ServiceStartDate]]&lt;MEMBERS[[#This Row],[ServiceEndDate]],0,1))</f>
        <v>0</v>
      </c>
      <c r="G294" s="57" cm="1">
        <f t="array" aca="1" ref="G294" ca="1">IF(CELL("format",MEMBERS[[#This Row],[ServiceStartDate]])="D1",0,1)+IF(CELL("format",MEMBERS[[#This Row],[ServiceEndDate]])="D1",0,1)</f>
        <v>0</v>
      </c>
      <c r="H29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94" s="57">
        <f>IF(LEN(MEMBERS[[#This Row],[StaffMemberCode]])&lt;100,0,1)</f>
        <v>0</v>
      </c>
      <c r="J294" s="57">
        <f>IF(LEN(MEMBERS[[#This Row],[Title]])&lt;100,0,1)</f>
        <v>0</v>
      </c>
      <c r="K294" s="57">
        <f>COUNTBLANK(MEMBERS[[#This Row],[StaffMemberCode]:[ServiceStartDate]])+COUNTBLANK(MEMBERS[[#This Row],[Apprenticeship]]:MEMBERS[[#This Row],[StaffMemberEnabled]])+COUNTBLANK(MEMBERS[[#This Row],[GenderCode]]:MEMBERS[[#This Row],[Casual]])</f>
        <v>0</v>
      </c>
      <c r="L294" s="57">
        <f>IF(SUBSTITUTE(TEXT(MEMBERS[[#This Row],[StaffMemberCode]],10)," ","")=TEXT(MEMBERS[[#This Row],[StaffMemberCode]],10),0,1)</f>
        <v>0</v>
      </c>
      <c r="M294" s="57">
        <f ca="1">SUM(MEMBERS[[#This Row],[Duplicate NameService Start]:[Space in Code]])</f>
        <v>0</v>
      </c>
      <c r="O294" s="15">
        <v>91073788</v>
      </c>
      <c r="P294" s="15" t="s">
        <v>3285</v>
      </c>
      <c r="Q294" s="15" t="s">
        <v>3642</v>
      </c>
      <c r="R294" s="133" t="str">
        <f>MEMBERS[[#This Row],[FirstName]]&amp;" "&amp;MEMBERS[[#This Row],[LastName]]</f>
        <v>Isabella Podmore</v>
      </c>
      <c r="S294" s="21">
        <v>44236</v>
      </c>
      <c r="U294" s="21">
        <v>37568</v>
      </c>
      <c r="V294" t="b">
        <v>0</v>
      </c>
      <c r="W294" t="b">
        <v>0</v>
      </c>
      <c r="X294" t="b">
        <v>0</v>
      </c>
      <c r="Y294" t="s">
        <v>2082</v>
      </c>
      <c r="Z294" t="b">
        <v>1</v>
      </c>
      <c r="AB294" t="s">
        <v>1571</v>
      </c>
      <c r="AC294" t="b">
        <v>0</v>
      </c>
    </row>
    <row r="295" spans="1:29" x14ac:dyDescent="0.3">
      <c r="A295" s="57" t="str">
        <f>MEMBERS[[#This Row],[Title]]&amp;MEMBERS[[#This Row],[ServiceStartDate]]</f>
        <v>Isabelle Ford44571</v>
      </c>
      <c r="B295" s="57">
        <f>IF(COUNTIF(MEMBERS[NameServiceStart],MEMBERS[[#This Row],[NameServiceStart]])=1,0,1)</f>
        <v>0</v>
      </c>
      <c r="C295" s="57">
        <f>IF(COUNTIF(MEMBERS[StaffMemberCode],MEMBERS[[#This Row],[StaffMemberCode]])=1,0,1)</f>
        <v>0</v>
      </c>
      <c r="D295" s="57">
        <f>IF(ISBLANK(MEMBERS[[#This Row],[PayrollLocation]]),0,IF(COUNTIF(SCHOOLS[SchoolCode],MEMBERS[[#This Row],[PayrollLocation]])=1,0,1))</f>
        <v>0</v>
      </c>
      <c r="E295" s="57">
        <f>IF(MEMBERS[[#This Row],[AvailableToAllSchools]]=FALSE,IF(ISBLANK(MEMBERS[[#This Row],[SchoolCodes]]),1,0),IF(MEMBERS[[#This Row],[AvailableToAllSchools]]=TRUE,IF(ISBLANK(MEMBERS[[#This Row],[SchoolCodes]]),0,1)))</f>
        <v>0</v>
      </c>
      <c r="F295" s="57">
        <f>IF(ISBLANK(MEMBERS[[#This Row],[ServiceEndDate]]),0,IF(MEMBERS[[#This Row],[ServiceStartDate]]&lt;MEMBERS[[#This Row],[ServiceEndDate]],0,1))</f>
        <v>0</v>
      </c>
      <c r="G295" s="57" cm="1">
        <f t="array" aca="1" ref="G295" ca="1">IF(CELL("format",MEMBERS[[#This Row],[ServiceStartDate]])="D1",0,1)+IF(CELL("format",MEMBERS[[#This Row],[ServiceEndDate]])="D1",0,1)</f>
        <v>0</v>
      </c>
      <c r="H29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95" s="57">
        <f>IF(LEN(MEMBERS[[#This Row],[StaffMemberCode]])&lt;100,0,1)</f>
        <v>0</v>
      </c>
      <c r="J295" s="57">
        <f>IF(LEN(MEMBERS[[#This Row],[Title]])&lt;100,0,1)</f>
        <v>0</v>
      </c>
      <c r="K295" s="57">
        <f>COUNTBLANK(MEMBERS[[#This Row],[StaffMemberCode]:[ServiceStartDate]])+COUNTBLANK(MEMBERS[[#This Row],[Apprenticeship]]:MEMBERS[[#This Row],[StaffMemberEnabled]])+COUNTBLANK(MEMBERS[[#This Row],[GenderCode]]:MEMBERS[[#This Row],[Casual]])</f>
        <v>0</v>
      </c>
      <c r="L295" s="57">
        <f>IF(SUBSTITUTE(TEXT(MEMBERS[[#This Row],[StaffMemberCode]],10)," ","")=TEXT(MEMBERS[[#This Row],[StaffMemberCode]],10),0,1)</f>
        <v>0</v>
      </c>
      <c r="M295" s="57">
        <f ca="1">SUM(MEMBERS[[#This Row],[Duplicate NameService Start]:[Space in Code]])</f>
        <v>0</v>
      </c>
      <c r="O295" s="15">
        <v>91073601</v>
      </c>
      <c r="P295" s="15" t="s">
        <v>3286</v>
      </c>
      <c r="Q295" s="15" t="s">
        <v>3643</v>
      </c>
      <c r="R295" s="133" t="str">
        <f>MEMBERS[[#This Row],[FirstName]]&amp;" "&amp;MEMBERS[[#This Row],[LastName]]</f>
        <v>Isabelle Ford</v>
      </c>
      <c r="S295" s="21">
        <v>44571</v>
      </c>
      <c r="U295" s="21">
        <v>38538</v>
      </c>
      <c r="V295" t="b">
        <v>0</v>
      </c>
      <c r="W295" t="b">
        <v>0</v>
      </c>
      <c r="X295" t="b">
        <v>0</v>
      </c>
      <c r="Y295" t="s">
        <v>2094</v>
      </c>
      <c r="Z295" t="b">
        <v>1</v>
      </c>
      <c r="AB295" t="s">
        <v>1571</v>
      </c>
      <c r="AC295" t="b">
        <v>1</v>
      </c>
    </row>
    <row r="296" spans="1:29" x14ac:dyDescent="0.3">
      <c r="A296" s="57" t="str">
        <f>MEMBERS[[#This Row],[Title]]&amp;MEMBERS[[#This Row],[ServiceStartDate]]</f>
        <v>Jack Cooper44697</v>
      </c>
      <c r="B296" s="57">
        <f>IF(COUNTIF(MEMBERS[NameServiceStart],MEMBERS[[#This Row],[NameServiceStart]])=1,0,1)</f>
        <v>0</v>
      </c>
      <c r="C296" s="57">
        <f>IF(COUNTIF(MEMBERS[StaffMemberCode],MEMBERS[[#This Row],[StaffMemberCode]])=1,0,1)</f>
        <v>0</v>
      </c>
      <c r="D296" s="57">
        <f>IF(ISBLANK(MEMBERS[[#This Row],[PayrollLocation]]),0,IF(COUNTIF(SCHOOLS[SchoolCode],MEMBERS[[#This Row],[PayrollLocation]])=1,0,1))</f>
        <v>0</v>
      </c>
      <c r="E296" s="57">
        <f>IF(MEMBERS[[#This Row],[AvailableToAllSchools]]=FALSE,IF(ISBLANK(MEMBERS[[#This Row],[SchoolCodes]]),1,0),IF(MEMBERS[[#This Row],[AvailableToAllSchools]]=TRUE,IF(ISBLANK(MEMBERS[[#This Row],[SchoolCodes]]),0,1)))</f>
        <v>0</v>
      </c>
      <c r="F296" s="57">
        <f>IF(ISBLANK(MEMBERS[[#This Row],[ServiceEndDate]]),0,IF(MEMBERS[[#This Row],[ServiceStartDate]]&lt;MEMBERS[[#This Row],[ServiceEndDate]],0,1))</f>
        <v>0</v>
      </c>
      <c r="G296" s="57" cm="1">
        <f t="array" aca="1" ref="G296" ca="1">IF(CELL("format",MEMBERS[[#This Row],[ServiceStartDate]])="D1",0,1)+IF(CELL("format",MEMBERS[[#This Row],[ServiceEndDate]])="D1",0,1)</f>
        <v>0</v>
      </c>
      <c r="H29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96" s="57">
        <f>IF(LEN(MEMBERS[[#This Row],[StaffMemberCode]])&lt;100,0,1)</f>
        <v>0</v>
      </c>
      <c r="J296" s="57">
        <f>IF(LEN(MEMBERS[[#This Row],[Title]])&lt;100,0,1)</f>
        <v>0</v>
      </c>
      <c r="K296" s="57">
        <f>COUNTBLANK(MEMBERS[[#This Row],[StaffMemberCode]:[ServiceStartDate]])+COUNTBLANK(MEMBERS[[#This Row],[Apprenticeship]]:MEMBERS[[#This Row],[StaffMemberEnabled]])+COUNTBLANK(MEMBERS[[#This Row],[GenderCode]]:MEMBERS[[#This Row],[Casual]])</f>
        <v>0</v>
      </c>
      <c r="L296" s="57">
        <f>IF(SUBSTITUTE(TEXT(MEMBERS[[#This Row],[StaffMemberCode]],10)," ","")=TEXT(MEMBERS[[#This Row],[StaffMemberCode]],10),0,1)</f>
        <v>0</v>
      </c>
      <c r="M296" s="57">
        <f ca="1">SUM(MEMBERS[[#This Row],[Duplicate NameService Start]:[Space in Code]])</f>
        <v>0</v>
      </c>
      <c r="O296" s="15">
        <v>91073917</v>
      </c>
      <c r="P296" s="15" t="s">
        <v>3287</v>
      </c>
      <c r="Q296" s="15" t="s">
        <v>3517</v>
      </c>
      <c r="R296" s="133" t="str">
        <f>MEMBERS[[#This Row],[FirstName]]&amp;" "&amp;MEMBERS[[#This Row],[LastName]]</f>
        <v>Jack Cooper</v>
      </c>
      <c r="S296" s="21">
        <v>44697</v>
      </c>
      <c r="U296" s="21">
        <v>36828</v>
      </c>
      <c r="V296" t="b">
        <v>0</v>
      </c>
      <c r="W296" t="b">
        <v>0</v>
      </c>
      <c r="X296" t="b">
        <v>0</v>
      </c>
      <c r="Y296" t="s">
        <v>51</v>
      </c>
      <c r="Z296" t="b">
        <v>1</v>
      </c>
      <c r="AB296" t="s">
        <v>1572</v>
      </c>
      <c r="AC296" t="b">
        <v>0</v>
      </c>
    </row>
    <row r="297" spans="1:29" x14ac:dyDescent="0.3">
      <c r="A297" s="57" t="str">
        <f>MEMBERS[[#This Row],[Title]]&amp;MEMBERS[[#This Row],[ServiceStartDate]]</f>
        <v>Jack Powell44414</v>
      </c>
      <c r="B297" s="57">
        <f>IF(COUNTIF(MEMBERS[NameServiceStart],MEMBERS[[#This Row],[NameServiceStart]])=1,0,1)</f>
        <v>0</v>
      </c>
      <c r="C297" s="57">
        <f>IF(COUNTIF(MEMBERS[StaffMemberCode],MEMBERS[[#This Row],[StaffMemberCode]])=1,0,1)</f>
        <v>0</v>
      </c>
      <c r="D297" s="57">
        <f>IF(ISBLANK(MEMBERS[[#This Row],[PayrollLocation]]),0,IF(COUNTIF(SCHOOLS[SchoolCode],MEMBERS[[#This Row],[PayrollLocation]])=1,0,1))</f>
        <v>0</v>
      </c>
      <c r="E297" s="57">
        <f>IF(MEMBERS[[#This Row],[AvailableToAllSchools]]=FALSE,IF(ISBLANK(MEMBERS[[#This Row],[SchoolCodes]]),1,0),IF(MEMBERS[[#This Row],[AvailableToAllSchools]]=TRUE,IF(ISBLANK(MEMBERS[[#This Row],[SchoolCodes]]),0,1)))</f>
        <v>0</v>
      </c>
      <c r="F297" s="57">
        <f>IF(ISBLANK(MEMBERS[[#This Row],[ServiceEndDate]]),0,IF(MEMBERS[[#This Row],[ServiceStartDate]]&lt;MEMBERS[[#This Row],[ServiceEndDate]],0,1))</f>
        <v>0</v>
      </c>
      <c r="G297" s="57" cm="1">
        <f t="array" aca="1" ref="G297" ca="1">IF(CELL("format",MEMBERS[[#This Row],[ServiceStartDate]])="D1",0,1)+IF(CELL("format",MEMBERS[[#This Row],[ServiceEndDate]])="D1",0,1)</f>
        <v>0</v>
      </c>
      <c r="H29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97" s="57">
        <f>IF(LEN(MEMBERS[[#This Row],[StaffMemberCode]])&lt;100,0,1)</f>
        <v>0</v>
      </c>
      <c r="J297" s="57">
        <f>IF(LEN(MEMBERS[[#This Row],[Title]])&lt;100,0,1)</f>
        <v>0</v>
      </c>
      <c r="K297" s="57">
        <f>COUNTBLANK(MEMBERS[[#This Row],[StaffMemberCode]:[ServiceStartDate]])+COUNTBLANK(MEMBERS[[#This Row],[Apprenticeship]]:MEMBERS[[#This Row],[StaffMemberEnabled]])+COUNTBLANK(MEMBERS[[#This Row],[GenderCode]]:MEMBERS[[#This Row],[Casual]])</f>
        <v>0</v>
      </c>
      <c r="L297" s="57">
        <f>IF(SUBSTITUTE(TEXT(MEMBERS[[#This Row],[StaffMemberCode]],10)," ","")=TEXT(MEMBERS[[#This Row],[StaffMemberCode]],10),0,1)</f>
        <v>0</v>
      </c>
      <c r="M297" s="57">
        <f ca="1">SUM(MEMBERS[[#This Row],[Duplicate NameService Start]:[Space in Code]])</f>
        <v>0</v>
      </c>
      <c r="O297" s="15">
        <v>91073817</v>
      </c>
      <c r="P297" s="15" t="s">
        <v>3287</v>
      </c>
      <c r="Q297" s="15" t="s">
        <v>3644</v>
      </c>
      <c r="R297" s="133" t="str">
        <f>MEMBERS[[#This Row],[FirstName]]&amp;" "&amp;MEMBERS[[#This Row],[LastName]]</f>
        <v>Jack Powell</v>
      </c>
      <c r="S297" s="21">
        <v>44414</v>
      </c>
      <c r="U297" s="21">
        <v>33791</v>
      </c>
      <c r="V297" t="b">
        <v>0</v>
      </c>
      <c r="W297" t="b">
        <v>0</v>
      </c>
      <c r="X297" t="b">
        <v>0</v>
      </c>
      <c r="Y297" t="s">
        <v>2082</v>
      </c>
      <c r="Z297" t="b">
        <v>1</v>
      </c>
      <c r="AB297" t="s">
        <v>1572</v>
      </c>
      <c r="AC297" t="b">
        <v>0</v>
      </c>
    </row>
    <row r="298" spans="1:29" x14ac:dyDescent="0.3">
      <c r="A298" s="57" t="str">
        <f>MEMBERS[[#This Row],[Title]]&amp;MEMBERS[[#This Row],[ServiceStartDate]]</f>
        <v>Jack Shanks45901</v>
      </c>
      <c r="B298" s="57">
        <f>IF(COUNTIF(MEMBERS[NameServiceStart],MEMBERS[[#This Row],[NameServiceStart]])=1,0,1)</f>
        <v>0</v>
      </c>
      <c r="C298" s="57">
        <f>IF(COUNTIF(MEMBERS[StaffMemberCode],MEMBERS[[#This Row],[StaffMemberCode]])=1,0,1)</f>
        <v>0</v>
      </c>
      <c r="D298" s="57">
        <f>IF(ISBLANK(MEMBERS[[#This Row],[PayrollLocation]]),0,IF(COUNTIF(SCHOOLS[SchoolCode],MEMBERS[[#This Row],[PayrollLocation]])=1,0,1))</f>
        <v>0</v>
      </c>
      <c r="E298" s="57">
        <f>IF(MEMBERS[[#This Row],[AvailableToAllSchools]]=FALSE,IF(ISBLANK(MEMBERS[[#This Row],[SchoolCodes]]),1,0),IF(MEMBERS[[#This Row],[AvailableToAllSchools]]=TRUE,IF(ISBLANK(MEMBERS[[#This Row],[SchoolCodes]]),0,1)))</f>
        <v>0</v>
      </c>
      <c r="F298" s="57">
        <f>IF(ISBLANK(MEMBERS[[#This Row],[ServiceEndDate]]),0,IF(MEMBERS[[#This Row],[ServiceStartDate]]&lt;MEMBERS[[#This Row],[ServiceEndDate]],0,1))</f>
        <v>0</v>
      </c>
      <c r="G298" s="57" cm="1">
        <f t="array" aca="1" ref="G298" ca="1">IF(CELL("format",MEMBERS[[#This Row],[ServiceStartDate]])="D1",0,1)+IF(CELL("format",MEMBERS[[#This Row],[ServiceEndDate]])="D1",0,1)</f>
        <v>0</v>
      </c>
      <c r="H29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98" s="57">
        <f>IF(LEN(MEMBERS[[#This Row],[StaffMemberCode]])&lt;100,0,1)</f>
        <v>0</v>
      </c>
      <c r="J298" s="57">
        <f>IF(LEN(MEMBERS[[#This Row],[Title]])&lt;100,0,1)</f>
        <v>0</v>
      </c>
      <c r="K298" s="57">
        <f>COUNTBLANK(MEMBERS[[#This Row],[StaffMemberCode]:[ServiceStartDate]])+COUNTBLANK(MEMBERS[[#This Row],[Apprenticeship]]:MEMBERS[[#This Row],[StaffMemberEnabled]])+COUNTBLANK(MEMBERS[[#This Row],[GenderCode]]:MEMBERS[[#This Row],[Casual]])</f>
        <v>0</v>
      </c>
      <c r="L298" s="57">
        <f>IF(SUBSTITUTE(TEXT(MEMBERS[[#This Row],[StaffMemberCode]],10)," ","")=TEXT(MEMBERS[[#This Row],[StaffMemberCode]],10),0,1)</f>
        <v>0</v>
      </c>
      <c r="M298" s="57">
        <f ca="1">SUM(MEMBERS[[#This Row],[Duplicate NameService Start]:[Space in Code]])</f>
        <v>0</v>
      </c>
      <c r="O298" s="15">
        <v>91850044</v>
      </c>
      <c r="P298" s="15" t="s">
        <v>3287</v>
      </c>
      <c r="Q298" s="15" t="s">
        <v>3645</v>
      </c>
      <c r="R298" s="133" t="str">
        <f>MEMBERS[[#This Row],[FirstName]]&amp;" "&amp;MEMBERS[[#This Row],[LastName]]</f>
        <v>Jack Shanks</v>
      </c>
      <c r="S298" s="21">
        <v>45901</v>
      </c>
      <c r="U298" s="21">
        <v>37472</v>
      </c>
      <c r="V298" t="b">
        <v>0</v>
      </c>
      <c r="W298" t="b">
        <v>0</v>
      </c>
      <c r="X298" t="b">
        <v>0</v>
      </c>
      <c r="Y298" t="s">
        <v>2082</v>
      </c>
      <c r="Z298" t="b">
        <v>1</v>
      </c>
      <c r="AB298" t="s">
        <v>1572</v>
      </c>
      <c r="AC298" t="b">
        <v>0</v>
      </c>
    </row>
    <row r="299" spans="1:29" x14ac:dyDescent="0.3">
      <c r="A299" s="57" t="str">
        <f>MEMBERS[[#This Row],[Title]]&amp;MEMBERS[[#This Row],[ServiceStartDate]]</f>
        <v>Jack Sproston45497</v>
      </c>
      <c r="B299" s="57">
        <f>IF(COUNTIF(MEMBERS[NameServiceStart],MEMBERS[[#This Row],[NameServiceStart]])=1,0,1)</f>
        <v>0</v>
      </c>
      <c r="C299" s="57">
        <f>IF(COUNTIF(MEMBERS[StaffMemberCode],MEMBERS[[#This Row],[StaffMemberCode]])=1,0,1)</f>
        <v>0</v>
      </c>
      <c r="D299" s="57">
        <f>IF(ISBLANK(MEMBERS[[#This Row],[PayrollLocation]]),0,IF(COUNTIF(SCHOOLS[SchoolCode],MEMBERS[[#This Row],[PayrollLocation]])=1,0,1))</f>
        <v>0</v>
      </c>
      <c r="E299" s="57">
        <f>IF(MEMBERS[[#This Row],[AvailableToAllSchools]]=FALSE,IF(ISBLANK(MEMBERS[[#This Row],[SchoolCodes]]),1,0),IF(MEMBERS[[#This Row],[AvailableToAllSchools]]=TRUE,IF(ISBLANK(MEMBERS[[#This Row],[SchoolCodes]]),0,1)))</f>
        <v>0</v>
      </c>
      <c r="F299" s="57">
        <f>IF(ISBLANK(MEMBERS[[#This Row],[ServiceEndDate]]),0,IF(MEMBERS[[#This Row],[ServiceStartDate]]&lt;MEMBERS[[#This Row],[ServiceEndDate]],0,1))</f>
        <v>0</v>
      </c>
      <c r="G299" s="57" cm="1">
        <f t="array" aca="1" ref="G299" ca="1">IF(CELL("format",MEMBERS[[#This Row],[ServiceStartDate]])="D1",0,1)+IF(CELL("format",MEMBERS[[#This Row],[ServiceEndDate]])="D1",0,1)</f>
        <v>0</v>
      </c>
      <c r="H29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99" s="57">
        <f>IF(LEN(MEMBERS[[#This Row],[StaffMemberCode]])&lt;100,0,1)</f>
        <v>0</v>
      </c>
      <c r="J299" s="57">
        <f>IF(LEN(MEMBERS[[#This Row],[Title]])&lt;100,0,1)</f>
        <v>0</v>
      </c>
      <c r="K299" s="57">
        <f>COUNTBLANK(MEMBERS[[#This Row],[StaffMemberCode]:[ServiceStartDate]])+COUNTBLANK(MEMBERS[[#This Row],[Apprenticeship]]:MEMBERS[[#This Row],[StaffMemberEnabled]])+COUNTBLANK(MEMBERS[[#This Row],[GenderCode]]:MEMBERS[[#This Row],[Casual]])</f>
        <v>0</v>
      </c>
      <c r="L299" s="57">
        <f>IF(SUBSTITUTE(TEXT(MEMBERS[[#This Row],[StaffMemberCode]],10)," ","")=TEXT(MEMBERS[[#This Row],[StaffMemberCode]],10),0,1)</f>
        <v>0</v>
      </c>
      <c r="M299" s="57">
        <f ca="1">SUM(MEMBERS[[#This Row],[Duplicate NameService Start]:[Space in Code]])</f>
        <v>0</v>
      </c>
      <c r="O299" s="15">
        <v>10014507</v>
      </c>
      <c r="P299" s="15" t="s">
        <v>3287</v>
      </c>
      <c r="Q299" s="15" t="s">
        <v>3893</v>
      </c>
      <c r="R299" s="133" t="str">
        <f>MEMBERS[[#This Row],[FirstName]]&amp;" "&amp;MEMBERS[[#This Row],[LastName]]</f>
        <v>Jack Sproston</v>
      </c>
      <c r="S299" s="21">
        <v>45497</v>
      </c>
      <c r="U299" s="21">
        <v>39001</v>
      </c>
      <c r="V299" s="138" t="b">
        <v>0</v>
      </c>
      <c r="W299" t="b">
        <v>0</v>
      </c>
      <c r="X299" t="b">
        <v>0</v>
      </c>
      <c r="Y299" t="s">
        <v>2126</v>
      </c>
      <c r="Z299" t="b">
        <v>1</v>
      </c>
      <c r="AB299" t="s">
        <v>1572</v>
      </c>
      <c r="AC299" t="b">
        <v>1</v>
      </c>
    </row>
    <row r="300" spans="1:29" x14ac:dyDescent="0.3">
      <c r="A300" s="57" t="str">
        <f>MEMBERS[[#This Row],[Title]]&amp;MEMBERS[[#This Row],[ServiceStartDate]]</f>
        <v>Jacob Lambert42013</v>
      </c>
      <c r="B300" s="57">
        <f>IF(COUNTIF(MEMBERS[NameServiceStart],MEMBERS[[#This Row],[NameServiceStart]])=1,0,1)</f>
        <v>0</v>
      </c>
      <c r="C300" s="57">
        <f>IF(COUNTIF(MEMBERS[StaffMemberCode],MEMBERS[[#This Row],[StaffMemberCode]])=1,0,1)</f>
        <v>0</v>
      </c>
      <c r="D300" s="57">
        <f>IF(ISBLANK(MEMBERS[[#This Row],[PayrollLocation]]),0,IF(COUNTIF(SCHOOLS[SchoolCode],MEMBERS[[#This Row],[PayrollLocation]])=1,0,1))</f>
        <v>0</v>
      </c>
      <c r="E300" s="57">
        <f>IF(MEMBERS[[#This Row],[AvailableToAllSchools]]=FALSE,IF(ISBLANK(MEMBERS[[#This Row],[SchoolCodes]]),1,0),IF(MEMBERS[[#This Row],[AvailableToAllSchools]]=TRUE,IF(ISBLANK(MEMBERS[[#This Row],[SchoolCodes]]),0,1)))</f>
        <v>0</v>
      </c>
      <c r="F300" s="57">
        <f>IF(ISBLANK(MEMBERS[[#This Row],[ServiceEndDate]]),0,IF(MEMBERS[[#This Row],[ServiceStartDate]]&lt;MEMBERS[[#This Row],[ServiceEndDate]],0,1))</f>
        <v>0</v>
      </c>
      <c r="G300" s="57" cm="1">
        <f t="array" aca="1" ref="G300" ca="1">IF(CELL("format",MEMBERS[[#This Row],[ServiceStartDate]])="D1",0,1)+IF(CELL("format",MEMBERS[[#This Row],[ServiceEndDate]])="D1",0,1)</f>
        <v>0</v>
      </c>
      <c r="H30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00" s="57">
        <f>IF(LEN(MEMBERS[[#This Row],[StaffMemberCode]])&lt;100,0,1)</f>
        <v>0</v>
      </c>
      <c r="J300" s="57">
        <f>IF(LEN(MEMBERS[[#This Row],[Title]])&lt;100,0,1)</f>
        <v>0</v>
      </c>
      <c r="K300" s="57">
        <f>COUNTBLANK(MEMBERS[[#This Row],[StaffMemberCode]:[ServiceStartDate]])+COUNTBLANK(MEMBERS[[#This Row],[Apprenticeship]]:MEMBERS[[#This Row],[StaffMemberEnabled]])+COUNTBLANK(MEMBERS[[#This Row],[GenderCode]]:MEMBERS[[#This Row],[Casual]])</f>
        <v>0</v>
      </c>
      <c r="L300" s="57">
        <f>IF(SUBSTITUTE(TEXT(MEMBERS[[#This Row],[StaffMemberCode]],10)," ","")=TEXT(MEMBERS[[#This Row],[StaffMemberCode]],10),0,1)</f>
        <v>0</v>
      </c>
      <c r="M300" s="57">
        <f ca="1">SUM(MEMBERS[[#This Row],[Duplicate NameService Start]:[Space in Code]])</f>
        <v>0</v>
      </c>
      <c r="O300" s="15">
        <v>91073841</v>
      </c>
      <c r="P300" s="15" t="s">
        <v>3288</v>
      </c>
      <c r="Q300" s="15" t="s">
        <v>3646</v>
      </c>
      <c r="R300" s="133" t="str">
        <f>MEMBERS[[#This Row],[FirstName]]&amp;" "&amp;MEMBERS[[#This Row],[LastName]]</f>
        <v>Jacob Lambert</v>
      </c>
      <c r="S300" s="21">
        <v>42013</v>
      </c>
      <c r="U300" s="21">
        <v>34014</v>
      </c>
      <c r="V300" t="b">
        <v>0</v>
      </c>
      <c r="W300" t="b">
        <v>0</v>
      </c>
      <c r="X300" t="b">
        <v>0</v>
      </c>
      <c r="Y300" t="s">
        <v>2082</v>
      </c>
      <c r="Z300" t="b">
        <v>1</v>
      </c>
      <c r="AB300" t="s">
        <v>1572</v>
      </c>
      <c r="AC300" t="b">
        <v>0</v>
      </c>
    </row>
    <row r="301" spans="1:29" x14ac:dyDescent="0.3">
      <c r="A301" s="57" t="str">
        <f>MEMBERS[[#This Row],[Title]]&amp;MEMBERS[[#This Row],[ServiceStartDate]]</f>
        <v>Jacqueline Evans42013</v>
      </c>
      <c r="B301" s="57">
        <f>IF(COUNTIF(MEMBERS[NameServiceStart],MEMBERS[[#This Row],[NameServiceStart]])=1,0,1)</f>
        <v>0</v>
      </c>
      <c r="C301" s="57">
        <f>IF(COUNTIF(MEMBERS[StaffMemberCode],MEMBERS[[#This Row],[StaffMemberCode]])=1,0,1)</f>
        <v>0</v>
      </c>
      <c r="D301" s="57">
        <f>IF(ISBLANK(MEMBERS[[#This Row],[PayrollLocation]]),0,IF(COUNTIF(SCHOOLS[SchoolCode],MEMBERS[[#This Row],[PayrollLocation]])=1,0,1))</f>
        <v>0</v>
      </c>
      <c r="E301" s="57">
        <f>IF(MEMBERS[[#This Row],[AvailableToAllSchools]]=FALSE,IF(ISBLANK(MEMBERS[[#This Row],[SchoolCodes]]),1,0),IF(MEMBERS[[#This Row],[AvailableToAllSchools]]=TRUE,IF(ISBLANK(MEMBERS[[#This Row],[SchoolCodes]]),0,1)))</f>
        <v>0</v>
      </c>
      <c r="F301" s="57">
        <f>IF(ISBLANK(MEMBERS[[#This Row],[ServiceEndDate]]),0,IF(MEMBERS[[#This Row],[ServiceStartDate]]&lt;MEMBERS[[#This Row],[ServiceEndDate]],0,1))</f>
        <v>0</v>
      </c>
      <c r="G301" s="57" cm="1">
        <f t="array" aca="1" ref="G301" ca="1">IF(CELL("format",MEMBERS[[#This Row],[ServiceStartDate]])="D1",0,1)+IF(CELL("format",MEMBERS[[#This Row],[ServiceEndDate]])="D1",0,1)</f>
        <v>0</v>
      </c>
      <c r="H30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01" s="57">
        <f>IF(LEN(MEMBERS[[#This Row],[StaffMemberCode]])&lt;100,0,1)</f>
        <v>0</v>
      </c>
      <c r="J301" s="57">
        <f>IF(LEN(MEMBERS[[#This Row],[Title]])&lt;100,0,1)</f>
        <v>0</v>
      </c>
      <c r="K301" s="57">
        <f>COUNTBLANK(MEMBERS[[#This Row],[StaffMemberCode]:[ServiceStartDate]])+COUNTBLANK(MEMBERS[[#This Row],[Apprenticeship]]:MEMBERS[[#This Row],[StaffMemberEnabled]])+COUNTBLANK(MEMBERS[[#This Row],[GenderCode]]:MEMBERS[[#This Row],[Casual]])</f>
        <v>0</v>
      </c>
      <c r="L301" s="57">
        <f>IF(SUBSTITUTE(TEXT(MEMBERS[[#This Row],[StaffMemberCode]],10)," ","")=TEXT(MEMBERS[[#This Row],[StaffMemberCode]],10),0,1)</f>
        <v>0</v>
      </c>
      <c r="M301" s="57">
        <f ca="1">SUM(MEMBERS[[#This Row],[Duplicate NameService Start]:[Space in Code]])</f>
        <v>0</v>
      </c>
      <c r="O301" s="15">
        <v>91073425</v>
      </c>
      <c r="P301" s="15" t="s">
        <v>3289</v>
      </c>
      <c r="Q301" s="15" t="s">
        <v>3485</v>
      </c>
      <c r="R301" s="133" t="str">
        <f>MEMBERS[[#This Row],[FirstName]]&amp;" "&amp;MEMBERS[[#This Row],[LastName]]</f>
        <v>Jacqueline Evans</v>
      </c>
      <c r="S301" s="21">
        <v>42013</v>
      </c>
      <c r="U301" s="21">
        <v>22547</v>
      </c>
      <c r="V301" t="b">
        <v>0</v>
      </c>
      <c r="W301" t="b">
        <v>0</v>
      </c>
      <c r="X301" t="b">
        <v>0</v>
      </c>
      <c r="Y301" t="s">
        <v>2275</v>
      </c>
      <c r="Z301" t="b">
        <v>1</v>
      </c>
      <c r="AB301" t="s">
        <v>1571</v>
      </c>
      <c r="AC301" t="b">
        <v>0</v>
      </c>
    </row>
    <row r="302" spans="1:29" x14ac:dyDescent="0.3">
      <c r="A302" s="57" t="str">
        <f>MEMBERS[[#This Row],[Title]]&amp;MEMBERS[[#This Row],[ServiceStartDate]]</f>
        <v>Jacqueline Hulse45566</v>
      </c>
      <c r="B302" s="57">
        <f>IF(COUNTIF(MEMBERS[NameServiceStart],MEMBERS[[#This Row],[NameServiceStart]])=1,0,1)</f>
        <v>0</v>
      </c>
      <c r="C302" s="57">
        <f>IF(COUNTIF(MEMBERS[StaffMemberCode],MEMBERS[[#This Row],[StaffMemberCode]])=1,0,1)</f>
        <v>0</v>
      </c>
      <c r="D302" s="57">
        <f>IF(ISBLANK(MEMBERS[[#This Row],[PayrollLocation]]),0,IF(COUNTIF(SCHOOLS[SchoolCode],MEMBERS[[#This Row],[PayrollLocation]])=1,0,1))</f>
        <v>0</v>
      </c>
      <c r="E302" s="57">
        <f>IF(MEMBERS[[#This Row],[AvailableToAllSchools]]=FALSE,IF(ISBLANK(MEMBERS[[#This Row],[SchoolCodes]]),1,0),IF(MEMBERS[[#This Row],[AvailableToAllSchools]]=TRUE,IF(ISBLANK(MEMBERS[[#This Row],[SchoolCodes]]),0,1)))</f>
        <v>0</v>
      </c>
      <c r="F302" s="57">
        <f>IF(ISBLANK(MEMBERS[[#This Row],[ServiceEndDate]]),0,IF(MEMBERS[[#This Row],[ServiceStartDate]]&lt;MEMBERS[[#This Row],[ServiceEndDate]],0,1))</f>
        <v>0</v>
      </c>
      <c r="G302" s="57" cm="1">
        <f t="array" aca="1" ref="G302" ca="1">IF(CELL("format",MEMBERS[[#This Row],[ServiceStartDate]])="D1",0,1)+IF(CELL("format",MEMBERS[[#This Row],[ServiceEndDate]])="D1",0,1)</f>
        <v>0</v>
      </c>
      <c r="H30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02" s="57">
        <f>IF(LEN(MEMBERS[[#This Row],[StaffMemberCode]])&lt;100,0,1)</f>
        <v>0</v>
      </c>
      <c r="J302" s="57">
        <f>IF(LEN(MEMBERS[[#This Row],[Title]])&lt;100,0,1)</f>
        <v>0</v>
      </c>
      <c r="K302" s="57">
        <f>COUNTBLANK(MEMBERS[[#This Row],[StaffMemberCode]:[ServiceStartDate]])+COUNTBLANK(MEMBERS[[#This Row],[Apprenticeship]]:MEMBERS[[#This Row],[StaffMemberEnabled]])+COUNTBLANK(MEMBERS[[#This Row],[GenderCode]]:MEMBERS[[#This Row],[Casual]])</f>
        <v>0</v>
      </c>
      <c r="L302" s="57">
        <f>IF(SUBSTITUTE(TEXT(MEMBERS[[#This Row],[StaffMemberCode]],10)," ","")=TEXT(MEMBERS[[#This Row],[StaffMemberCode]],10),0,1)</f>
        <v>0</v>
      </c>
      <c r="M302" s="57">
        <f ca="1">SUM(MEMBERS[[#This Row],[Duplicate NameService Start]:[Space in Code]])</f>
        <v>0</v>
      </c>
      <c r="O302" s="15">
        <v>10014810</v>
      </c>
      <c r="P302" s="15" t="s">
        <v>3289</v>
      </c>
      <c r="Q302" s="15" t="s">
        <v>4046</v>
      </c>
      <c r="R302" s="133" t="str">
        <f>MEMBERS[[#This Row],[FirstName]]&amp;" "&amp;MEMBERS[[#This Row],[LastName]]</f>
        <v>Jacqueline Hulse</v>
      </c>
      <c r="S302" s="21">
        <v>45566</v>
      </c>
      <c r="U302" s="21">
        <v>21853</v>
      </c>
      <c r="V302" s="138" t="b">
        <v>0</v>
      </c>
      <c r="W302" t="b">
        <v>0</v>
      </c>
      <c r="X302" t="b">
        <v>0</v>
      </c>
      <c r="Y302" t="s">
        <v>2126</v>
      </c>
      <c r="Z302" t="b">
        <v>1</v>
      </c>
      <c r="AB302" t="s">
        <v>1571</v>
      </c>
      <c r="AC302" t="b">
        <v>1</v>
      </c>
    </row>
    <row r="303" spans="1:29" x14ac:dyDescent="0.3">
      <c r="A303" s="57" t="str">
        <f>MEMBERS[[#This Row],[Title]]&amp;MEMBERS[[#This Row],[ServiceStartDate]]</f>
        <v>Jacqueline Lamprell38740</v>
      </c>
      <c r="B303" s="57">
        <f>IF(COUNTIF(MEMBERS[NameServiceStart],MEMBERS[[#This Row],[NameServiceStart]])=1,0,1)</f>
        <v>0</v>
      </c>
      <c r="C303" s="57">
        <f>IF(COUNTIF(MEMBERS[StaffMemberCode],MEMBERS[[#This Row],[StaffMemberCode]])=1,0,1)</f>
        <v>0</v>
      </c>
      <c r="D303" s="57">
        <f>IF(ISBLANK(MEMBERS[[#This Row],[PayrollLocation]]),0,IF(COUNTIF(SCHOOLS[SchoolCode],MEMBERS[[#This Row],[PayrollLocation]])=1,0,1))</f>
        <v>0</v>
      </c>
      <c r="E303" s="57">
        <f>IF(MEMBERS[[#This Row],[AvailableToAllSchools]]=FALSE,IF(ISBLANK(MEMBERS[[#This Row],[SchoolCodes]]),1,0),IF(MEMBERS[[#This Row],[AvailableToAllSchools]]=TRUE,IF(ISBLANK(MEMBERS[[#This Row],[SchoolCodes]]),0,1)))</f>
        <v>0</v>
      </c>
      <c r="F303" s="57">
        <f>IF(ISBLANK(MEMBERS[[#This Row],[ServiceEndDate]]),0,IF(MEMBERS[[#This Row],[ServiceStartDate]]&lt;MEMBERS[[#This Row],[ServiceEndDate]],0,1))</f>
        <v>0</v>
      </c>
      <c r="G303" s="57" cm="1">
        <f t="array" aca="1" ref="G303" ca="1">IF(CELL("format",MEMBERS[[#This Row],[ServiceStartDate]])="D1",0,1)+IF(CELL("format",MEMBERS[[#This Row],[ServiceEndDate]])="D1",0,1)</f>
        <v>0</v>
      </c>
      <c r="H30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03" s="57">
        <f>IF(LEN(MEMBERS[[#This Row],[StaffMemberCode]])&lt;100,0,1)</f>
        <v>0</v>
      </c>
      <c r="J303" s="57">
        <f>IF(LEN(MEMBERS[[#This Row],[Title]])&lt;100,0,1)</f>
        <v>0</v>
      </c>
      <c r="K303" s="57">
        <f>COUNTBLANK(MEMBERS[[#This Row],[StaffMemberCode]:[ServiceStartDate]])+COUNTBLANK(MEMBERS[[#This Row],[Apprenticeship]]:MEMBERS[[#This Row],[StaffMemberEnabled]])+COUNTBLANK(MEMBERS[[#This Row],[GenderCode]]:MEMBERS[[#This Row],[Casual]])</f>
        <v>0</v>
      </c>
      <c r="L303" s="57">
        <f>IF(SUBSTITUTE(TEXT(MEMBERS[[#This Row],[StaffMemberCode]],10)," ","")=TEXT(MEMBERS[[#This Row],[StaffMemberCode]],10),0,1)</f>
        <v>0</v>
      </c>
      <c r="M303" s="57">
        <f ca="1">SUM(MEMBERS[[#This Row],[Duplicate NameService Start]:[Space in Code]])</f>
        <v>0</v>
      </c>
      <c r="O303" s="15">
        <v>91073704</v>
      </c>
      <c r="P303" s="15" t="s">
        <v>3289</v>
      </c>
      <c r="Q303" s="15" t="s">
        <v>3647</v>
      </c>
      <c r="R303" s="133" t="str">
        <f>MEMBERS[[#This Row],[FirstName]]&amp;" "&amp;MEMBERS[[#This Row],[LastName]]</f>
        <v>Jacqueline Lamprell</v>
      </c>
      <c r="S303" s="21">
        <v>38740</v>
      </c>
      <c r="U303" s="21">
        <v>24069</v>
      </c>
      <c r="V303" t="b">
        <v>0</v>
      </c>
      <c r="W303" t="b">
        <v>0</v>
      </c>
      <c r="X303" t="b">
        <v>0</v>
      </c>
      <c r="Y303" t="s">
        <v>2082</v>
      </c>
      <c r="Z303" t="b">
        <v>1</v>
      </c>
      <c r="AB303" t="s">
        <v>1571</v>
      </c>
      <c r="AC303" t="b">
        <v>0</v>
      </c>
    </row>
    <row r="304" spans="1:29" x14ac:dyDescent="0.3">
      <c r="A304" s="57" t="str">
        <f>MEMBERS[[#This Row],[Title]]&amp;MEMBERS[[#This Row],[ServiceStartDate]]</f>
        <v>Jacqueline Lloyd43114</v>
      </c>
      <c r="B304" s="57">
        <f>IF(COUNTIF(MEMBERS[NameServiceStart],MEMBERS[[#This Row],[NameServiceStart]])=1,0,1)</f>
        <v>0</v>
      </c>
      <c r="C304" s="57">
        <f>IF(COUNTIF(MEMBERS[StaffMemberCode],MEMBERS[[#This Row],[StaffMemberCode]])=1,0,1)</f>
        <v>0</v>
      </c>
      <c r="D304" s="57">
        <f>IF(ISBLANK(MEMBERS[[#This Row],[PayrollLocation]]),0,IF(COUNTIF(SCHOOLS[SchoolCode],MEMBERS[[#This Row],[PayrollLocation]])=1,0,1))</f>
        <v>0</v>
      </c>
      <c r="E304" s="57">
        <f>IF(MEMBERS[[#This Row],[AvailableToAllSchools]]=FALSE,IF(ISBLANK(MEMBERS[[#This Row],[SchoolCodes]]),1,0),IF(MEMBERS[[#This Row],[AvailableToAllSchools]]=TRUE,IF(ISBLANK(MEMBERS[[#This Row],[SchoolCodes]]),0,1)))</f>
        <v>0</v>
      </c>
      <c r="F304" s="57">
        <f>IF(ISBLANK(MEMBERS[[#This Row],[ServiceEndDate]]),0,IF(MEMBERS[[#This Row],[ServiceStartDate]]&lt;MEMBERS[[#This Row],[ServiceEndDate]],0,1))</f>
        <v>0</v>
      </c>
      <c r="G304" s="57" cm="1">
        <f t="array" aca="1" ref="G304" ca="1">IF(CELL("format",MEMBERS[[#This Row],[ServiceStartDate]])="D1",0,1)+IF(CELL("format",MEMBERS[[#This Row],[ServiceEndDate]])="D1",0,1)</f>
        <v>0</v>
      </c>
      <c r="H30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04" s="57">
        <f>IF(LEN(MEMBERS[[#This Row],[StaffMemberCode]])&lt;100,0,1)</f>
        <v>0</v>
      </c>
      <c r="J304" s="57">
        <f>IF(LEN(MEMBERS[[#This Row],[Title]])&lt;100,0,1)</f>
        <v>0</v>
      </c>
      <c r="K304" s="57">
        <f>COUNTBLANK(MEMBERS[[#This Row],[StaffMemberCode]:[ServiceStartDate]])+COUNTBLANK(MEMBERS[[#This Row],[Apprenticeship]]:MEMBERS[[#This Row],[StaffMemberEnabled]])+COUNTBLANK(MEMBERS[[#This Row],[GenderCode]]:MEMBERS[[#This Row],[Casual]])</f>
        <v>0</v>
      </c>
      <c r="L304" s="57">
        <f>IF(SUBSTITUTE(TEXT(MEMBERS[[#This Row],[StaffMemberCode]],10)," ","")=TEXT(MEMBERS[[#This Row],[StaffMemberCode]],10),0,1)</f>
        <v>0</v>
      </c>
      <c r="M304" s="57">
        <f ca="1">SUM(MEMBERS[[#This Row],[Duplicate NameService Start]:[Space in Code]])</f>
        <v>0</v>
      </c>
      <c r="O304" s="15">
        <v>91073502</v>
      </c>
      <c r="P304" s="15" t="s">
        <v>3289</v>
      </c>
      <c r="Q304" s="15" t="s">
        <v>3648</v>
      </c>
      <c r="R304" s="133" t="str">
        <f>MEMBERS[[#This Row],[FirstName]]&amp;" "&amp;MEMBERS[[#This Row],[LastName]]</f>
        <v>Jacqueline Lloyd</v>
      </c>
      <c r="S304" s="21">
        <v>43114</v>
      </c>
      <c r="U304" s="21">
        <v>22839</v>
      </c>
      <c r="V304" t="b">
        <v>0</v>
      </c>
      <c r="W304" t="b">
        <v>0</v>
      </c>
      <c r="X304" t="b">
        <v>0</v>
      </c>
      <c r="Y304" t="s">
        <v>2094</v>
      </c>
      <c r="Z304" t="b">
        <v>1</v>
      </c>
      <c r="AB304" t="s">
        <v>1571</v>
      </c>
      <c r="AC304" t="b">
        <v>0</v>
      </c>
    </row>
    <row r="305" spans="1:29" x14ac:dyDescent="0.3">
      <c r="A305" s="57" t="str">
        <f>MEMBERS[[#This Row],[Title]]&amp;MEMBERS[[#This Row],[ServiceStartDate]]</f>
        <v>Jacqueline Wheeler41283</v>
      </c>
      <c r="B305" s="57">
        <f>IF(COUNTIF(MEMBERS[NameServiceStart],MEMBERS[[#This Row],[NameServiceStart]])=1,0,1)</f>
        <v>0</v>
      </c>
      <c r="C305" s="57">
        <f>IF(COUNTIF(MEMBERS[StaffMemberCode],MEMBERS[[#This Row],[StaffMemberCode]])=1,0,1)</f>
        <v>0</v>
      </c>
      <c r="D305" s="57">
        <f>IF(ISBLANK(MEMBERS[[#This Row],[PayrollLocation]]),0,IF(COUNTIF(SCHOOLS[SchoolCode],MEMBERS[[#This Row],[PayrollLocation]])=1,0,1))</f>
        <v>0</v>
      </c>
      <c r="E305" s="57">
        <f>IF(MEMBERS[[#This Row],[AvailableToAllSchools]]=FALSE,IF(ISBLANK(MEMBERS[[#This Row],[SchoolCodes]]),1,0),IF(MEMBERS[[#This Row],[AvailableToAllSchools]]=TRUE,IF(ISBLANK(MEMBERS[[#This Row],[SchoolCodes]]),0,1)))</f>
        <v>0</v>
      </c>
      <c r="F305" s="57">
        <f>IF(ISBLANK(MEMBERS[[#This Row],[ServiceEndDate]]),0,IF(MEMBERS[[#This Row],[ServiceStartDate]]&lt;MEMBERS[[#This Row],[ServiceEndDate]],0,1))</f>
        <v>0</v>
      </c>
      <c r="G305" s="57" cm="1">
        <f t="array" aca="1" ref="G305" ca="1">IF(CELL("format",MEMBERS[[#This Row],[ServiceStartDate]])="D1",0,1)+IF(CELL("format",MEMBERS[[#This Row],[ServiceEndDate]])="D1",0,1)</f>
        <v>0</v>
      </c>
      <c r="H30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05" s="57">
        <f>IF(LEN(MEMBERS[[#This Row],[StaffMemberCode]])&lt;100,0,1)</f>
        <v>0</v>
      </c>
      <c r="J305" s="57">
        <f>IF(LEN(MEMBERS[[#This Row],[Title]])&lt;100,0,1)</f>
        <v>0</v>
      </c>
      <c r="K305" s="57">
        <f>COUNTBLANK(MEMBERS[[#This Row],[StaffMemberCode]:[ServiceStartDate]])+COUNTBLANK(MEMBERS[[#This Row],[Apprenticeship]]:MEMBERS[[#This Row],[StaffMemberEnabled]])+COUNTBLANK(MEMBERS[[#This Row],[GenderCode]]:MEMBERS[[#This Row],[Casual]])</f>
        <v>0</v>
      </c>
      <c r="L305" s="57">
        <f>IF(SUBSTITUTE(TEXT(MEMBERS[[#This Row],[StaffMemberCode]],10)," ","")=TEXT(MEMBERS[[#This Row],[StaffMemberCode]],10),0,1)</f>
        <v>0</v>
      </c>
      <c r="M305" s="57">
        <f ca="1">SUM(MEMBERS[[#This Row],[Duplicate NameService Start]:[Space in Code]])</f>
        <v>0</v>
      </c>
      <c r="O305" s="15">
        <v>91073520</v>
      </c>
      <c r="P305" s="15" t="s">
        <v>3289</v>
      </c>
      <c r="Q305" s="15" t="s">
        <v>3649</v>
      </c>
      <c r="R305" s="133" t="str">
        <f>MEMBERS[[#This Row],[FirstName]]&amp;" "&amp;MEMBERS[[#This Row],[LastName]]</f>
        <v>Jacqueline Wheeler</v>
      </c>
      <c r="S305" s="21">
        <v>41283</v>
      </c>
      <c r="U305" s="21">
        <v>25190</v>
      </c>
      <c r="V305" t="b">
        <v>0</v>
      </c>
      <c r="W305" t="b">
        <v>0</v>
      </c>
      <c r="X305" t="b">
        <v>0</v>
      </c>
      <c r="Y305" t="s">
        <v>2094</v>
      </c>
      <c r="Z305" t="b">
        <v>1</v>
      </c>
      <c r="AB305" t="s">
        <v>1571</v>
      </c>
      <c r="AC305" t="b">
        <v>0</v>
      </c>
    </row>
    <row r="306" spans="1:29" x14ac:dyDescent="0.3">
      <c r="A306" s="57" t="str">
        <f>MEMBERS[[#This Row],[Title]]&amp;MEMBERS[[#This Row],[ServiceStartDate]]</f>
        <v>Jacqueline Whittaker41648</v>
      </c>
      <c r="B306" s="57">
        <f>IF(COUNTIF(MEMBERS[NameServiceStart],MEMBERS[[#This Row],[NameServiceStart]])=1,0,1)</f>
        <v>0</v>
      </c>
      <c r="C306" s="57">
        <f>IF(COUNTIF(MEMBERS[StaffMemberCode],MEMBERS[[#This Row],[StaffMemberCode]])=1,0,1)</f>
        <v>0</v>
      </c>
      <c r="D306" s="57">
        <f>IF(ISBLANK(MEMBERS[[#This Row],[PayrollLocation]]),0,IF(COUNTIF(SCHOOLS[SchoolCode],MEMBERS[[#This Row],[PayrollLocation]])=1,0,1))</f>
        <v>0</v>
      </c>
      <c r="E306" s="57">
        <f>IF(MEMBERS[[#This Row],[AvailableToAllSchools]]=FALSE,IF(ISBLANK(MEMBERS[[#This Row],[SchoolCodes]]),1,0),IF(MEMBERS[[#This Row],[AvailableToAllSchools]]=TRUE,IF(ISBLANK(MEMBERS[[#This Row],[SchoolCodes]]),0,1)))</f>
        <v>0</v>
      </c>
      <c r="F306" s="57">
        <f>IF(ISBLANK(MEMBERS[[#This Row],[ServiceEndDate]]),0,IF(MEMBERS[[#This Row],[ServiceStartDate]]&lt;MEMBERS[[#This Row],[ServiceEndDate]],0,1))</f>
        <v>0</v>
      </c>
      <c r="G306" s="57" cm="1">
        <f t="array" aca="1" ref="G306" ca="1">IF(CELL("format",MEMBERS[[#This Row],[ServiceStartDate]])="D1",0,1)+IF(CELL("format",MEMBERS[[#This Row],[ServiceEndDate]])="D1",0,1)</f>
        <v>0</v>
      </c>
      <c r="H30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06" s="57">
        <f>IF(LEN(MEMBERS[[#This Row],[StaffMemberCode]])&lt;100,0,1)</f>
        <v>0</v>
      </c>
      <c r="J306" s="57">
        <f>IF(LEN(MEMBERS[[#This Row],[Title]])&lt;100,0,1)</f>
        <v>0</v>
      </c>
      <c r="K306" s="57">
        <f>COUNTBLANK(MEMBERS[[#This Row],[StaffMemberCode]:[ServiceStartDate]])+COUNTBLANK(MEMBERS[[#This Row],[Apprenticeship]]:MEMBERS[[#This Row],[StaffMemberEnabled]])+COUNTBLANK(MEMBERS[[#This Row],[GenderCode]]:MEMBERS[[#This Row],[Casual]])</f>
        <v>0</v>
      </c>
      <c r="L306" s="57">
        <f>IF(SUBSTITUTE(TEXT(MEMBERS[[#This Row],[StaffMemberCode]],10)," ","")=TEXT(MEMBERS[[#This Row],[StaffMemberCode]],10),0,1)</f>
        <v>0</v>
      </c>
      <c r="M306" s="57">
        <f ca="1">SUM(MEMBERS[[#This Row],[Duplicate NameService Start]:[Space in Code]])</f>
        <v>0</v>
      </c>
      <c r="O306" s="15">
        <v>91073412</v>
      </c>
      <c r="P306" s="15" t="s">
        <v>3289</v>
      </c>
      <c r="Q306" s="15" t="s">
        <v>3650</v>
      </c>
      <c r="R306" s="133" t="str">
        <f>MEMBERS[[#This Row],[FirstName]]&amp;" "&amp;MEMBERS[[#This Row],[LastName]]</f>
        <v>Jacqueline Whittaker</v>
      </c>
      <c r="S306" s="21">
        <v>41648</v>
      </c>
      <c r="U306" s="21">
        <v>26052</v>
      </c>
      <c r="V306" t="b">
        <v>0</v>
      </c>
      <c r="W306" t="b">
        <v>0</v>
      </c>
      <c r="X306" t="b">
        <v>0</v>
      </c>
      <c r="Y306" t="s">
        <v>2275</v>
      </c>
      <c r="Z306" t="b">
        <v>1</v>
      </c>
      <c r="AB306" t="s">
        <v>1571</v>
      </c>
      <c r="AC306" t="b">
        <v>0</v>
      </c>
    </row>
    <row r="307" spans="1:29" x14ac:dyDescent="0.3">
      <c r="A307" s="57" t="str">
        <f>MEMBERS[[#This Row],[Title]]&amp;MEMBERS[[#This Row],[ServiceStartDate]]</f>
        <v>James Clarkson36770</v>
      </c>
      <c r="B307" s="57">
        <f>IF(COUNTIF(MEMBERS[NameServiceStart],MEMBERS[[#This Row],[NameServiceStart]])=1,0,1)</f>
        <v>0</v>
      </c>
      <c r="C307" s="57">
        <f>IF(COUNTIF(MEMBERS[StaffMemberCode],MEMBERS[[#This Row],[StaffMemberCode]])=1,0,1)</f>
        <v>0</v>
      </c>
      <c r="D307" s="57">
        <f>IF(ISBLANK(MEMBERS[[#This Row],[PayrollLocation]]),0,IF(COUNTIF(SCHOOLS[SchoolCode],MEMBERS[[#This Row],[PayrollLocation]])=1,0,1))</f>
        <v>0</v>
      </c>
      <c r="E307" s="57">
        <f>IF(MEMBERS[[#This Row],[AvailableToAllSchools]]=FALSE,IF(ISBLANK(MEMBERS[[#This Row],[SchoolCodes]]),1,0),IF(MEMBERS[[#This Row],[AvailableToAllSchools]]=TRUE,IF(ISBLANK(MEMBERS[[#This Row],[SchoolCodes]]),0,1)))</f>
        <v>0</v>
      </c>
      <c r="F307" s="57">
        <f>IF(ISBLANK(MEMBERS[[#This Row],[ServiceEndDate]]),0,IF(MEMBERS[[#This Row],[ServiceStartDate]]&lt;MEMBERS[[#This Row],[ServiceEndDate]],0,1))</f>
        <v>0</v>
      </c>
      <c r="G307" s="57" cm="1">
        <f t="array" aca="1" ref="G307" ca="1">IF(CELL("format",MEMBERS[[#This Row],[ServiceStartDate]])="D1",0,1)+IF(CELL("format",MEMBERS[[#This Row],[ServiceEndDate]])="D1",0,1)</f>
        <v>0</v>
      </c>
      <c r="H30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07" s="57">
        <f>IF(LEN(MEMBERS[[#This Row],[StaffMemberCode]])&lt;100,0,1)</f>
        <v>0</v>
      </c>
      <c r="J307" s="57">
        <f>IF(LEN(MEMBERS[[#This Row],[Title]])&lt;100,0,1)</f>
        <v>0</v>
      </c>
      <c r="K307" s="57">
        <f>COUNTBLANK(MEMBERS[[#This Row],[StaffMemberCode]:[ServiceStartDate]])+COUNTBLANK(MEMBERS[[#This Row],[Apprenticeship]]:MEMBERS[[#This Row],[StaffMemberEnabled]])+COUNTBLANK(MEMBERS[[#This Row],[GenderCode]]:MEMBERS[[#This Row],[Casual]])</f>
        <v>0</v>
      </c>
      <c r="L307" s="57">
        <f>IF(SUBSTITUTE(TEXT(MEMBERS[[#This Row],[StaffMemberCode]],10)," ","")=TEXT(MEMBERS[[#This Row],[StaffMemberCode]],10),0,1)</f>
        <v>0</v>
      </c>
      <c r="M307" s="57">
        <f ca="1">SUM(MEMBERS[[#This Row],[Duplicate NameService Start]:[Space in Code]])</f>
        <v>0</v>
      </c>
      <c r="O307" s="15">
        <v>10005367</v>
      </c>
      <c r="P307" s="15" t="s">
        <v>3471</v>
      </c>
      <c r="Q307" s="15" t="s">
        <v>4068</v>
      </c>
      <c r="R307" s="133" t="str">
        <f>MEMBERS[[#This Row],[FirstName]]&amp;" "&amp;MEMBERS[[#This Row],[LastName]]</f>
        <v>James Clarkson</v>
      </c>
      <c r="S307" s="21">
        <v>36770</v>
      </c>
      <c r="U307" s="21">
        <v>26537</v>
      </c>
      <c r="V307" s="138" t="b">
        <v>0</v>
      </c>
      <c r="W307" t="b">
        <v>0</v>
      </c>
      <c r="X307" t="b">
        <v>0</v>
      </c>
      <c r="Y307" t="s">
        <v>2126</v>
      </c>
      <c r="Z307" t="b">
        <v>1</v>
      </c>
      <c r="AB307" t="s">
        <v>1572</v>
      </c>
      <c r="AC307" t="b">
        <v>0</v>
      </c>
    </row>
    <row r="308" spans="1:29" x14ac:dyDescent="0.3">
      <c r="A308" s="57" t="str">
        <f>MEMBERS[[#This Row],[Title]]&amp;MEMBERS[[#This Row],[ServiceStartDate]]</f>
        <v>James Condliffe44805</v>
      </c>
      <c r="B308" s="57">
        <f>IF(COUNTIF(MEMBERS[NameServiceStart],MEMBERS[[#This Row],[NameServiceStart]])=1,0,1)</f>
        <v>0</v>
      </c>
      <c r="C308" s="57">
        <f>IF(COUNTIF(MEMBERS[StaffMemberCode],MEMBERS[[#This Row],[StaffMemberCode]])=1,0,1)</f>
        <v>0</v>
      </c>
      <c r="D308" s="57">
        <f>IF(ISBLANK(MEMBERS[[#This Row],[PayrollLocation]]),0,IF(COUNTIF(SCHOOLS[SchoolCode],MEMBERS[[#This Row],[PayrollLocation]])=1,0,1))</f>
        <v>0</v>
      </c>
      <c r="E308" s="57">
        <f>IF(MEMBERS[[#This Row],[AvailableToAllSchools]]=FALSE,IF(ISBLANK(MEMBERS[[#This Row],[SchoolCodes]]),1,0),IF(MEMBERS[[#This Row],[AvailableToAllSchools]]=TRUE,IF(ISBLANK(MEMBERS[[#This Row],[SchoolCodes]]),0,1)))</f>
        <v>0</v>
      </c>
      <c r="F308" s="57">
        <f>IF(ISBLANK(MEMBERS[[#This Row],[ServiceEndDate]]),0,IF(MEMBERS[[#This Row],[ServiceStartDate]]&lt;MEMBERS[[#This Row],[ServiceEndDate]],0,1))</f>
        <v>0</v>
      </c>
      <c r="G308" s="57" cm="1">
        <f t="array" aca="1" ref="G308" ca="1">IF(CELL("format",MEMBERS[[#This Row],[ServiceStartDate]])="D1",0,1)+IF(CELL("format",MEMBERS[[#This Row],[ServiceEndDate]])="D1",0,1)</f>
        <v>0</v>
      </c>
      <c r="H30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08" s="57">
        <f>IF(LEN(MEMBERS[[#This Row],[StaffMemberCode]])&lt;100,0,1)</f>
        <v>0</v>
      </c>
      <c r="J308" s="57">
        <f>IF(LEN(MEMBERS[[#This Row],[Title]])&lt;100,0,1)</f>
        <v>0</v>
      </c>
      <c r="K308" s="57">
        <f>COUNTBLANK(MEMBERS[[#This Row],[StaffMemberCode]:[ServiceStartDate]])+COUNTBLANK(MEMBERS[[#This Row],[Apprenticeship]]:MEMBERS[[#This Row],[StaffMemberEnabled]])+COUNTBLANK(MEMBERS[[#This Row],[GenderCode]]:MEMBERS[[#This Row],[Casual]])</f>
        <v>0</v>
      </c>
      <c r="L308" s="57">
        <f>IF(SUBSTITUTE(TEXT(MEMBERS[[#This Row],[StaffMemberCode]],10)," ","")=TEXT(MEMBERS[[#This Row],[StaffMemberCode]],10),0,1)</f>
        <v>0</v>
      </c>
      <c r="M308" s="57">
        <f ca="1">SUM(MEMBERS[[#This Row],[Duplicate NameService Start]:[Space in Code]])</f>
        <v>0</v>
      </c>
      <c r="O308" s="15">
        <v>10010502</v>
      </c>
      <c r="P308" s="15" t="s">
        <v>3471</v>
      </c>
      <c r="Q308" s="15" t="s">
        <v>4069</v>
      </c>
      <c r="R308" s="133" t="str">
        <f>MEMBERS[[#This Row],[FirstName]]&amp;" "&amp;MEMBERS[[#This Row],[LastName]]</f>
        <v>James Condliffe</v>
      </c>
      <c r="S308" s="21">
        <v>44805</v>
      </c>
      <c r="U308" s="21">
        <v>32315</v>
      </c>
      <c r="V308" s="138" t="b">
        <v>0</v>
      </c>
      <c r="W308" t="b">
        <v>0</v>
      </c>
      <c r="X308" t="b">
        <v>0</v>
      </c>
      <c r="Y308" t="s">
        <v>2126</v>
      </c>
      <c r="Z308" t="b">
        <v>1</v>
      </c>
      <c r="AB308" t="s">
        <v>1572</v>
      </c>
      <c r="AC308" t="b">
        <v>0</v>
      </c>
    </row>
    <row r="309" spans="1:29" x14ac:dyDescent="0.3">
      <c r="A309" s="57" t="str">
        <f>MEMBERS[[#This Row],[Title]]&amp;MEMBERS[[#This Row],[ServiceStartDate]]</f>
        <v>James Hawkins45170</v>
      </c>
      <c r="B309" s="57">
        <f>IF(COUNTIF(MEMBERS[NameServiceStart],MEMBERS[[#This Row],[NameServiceStart]])=1,0,1)</f>
        <v>0</v>
      </c>
      <c r="C309" s="57">
        <f>IF(COUNTIF(MEMBERS[StaffMemberCode],MEMBERS[[#This Row],[StaffMemberCode]])=1,0,1)</f>
        <v>0</v>
      </c>
      <c r="D309" s="57">
        <f>IF(ISBLANK(MEMBERS[[#This Row],[PayrollLocation]]),0,IF(COUNTIF(SCHOOLS[SchoolCode],MEMBERS[[#This Row],[PayrollLocation]])=1,0,1))</f>
        <v>0</v>
      </c>
      <c r="E309" s="57">
        <f>IF(MEMBERS[[#This Row],[AvailableToAllSchools]]=FALSE,IF(ISBLANK(MEMBERS[[#This Row],[SchoolCodes]]),1,0),IF(MEMBERS[[#This Row],[AvailableToAllSchools]]=TRUE,IF(ISBLANK(MEMBERS[[#This Row],[SchoolCodes]]),0,1)))</f>
        <v>0</v>
      </c>
      <c r="F309" s="57">
        <f>IF(ISBLANK(MEMBERS[[#This Row],[ServiceEndDate]]),0,IF(MEMBERS[[#This Row],[ServiceStartDate]]&lt;MEMBERS[[#This Row],[ServiceEndDate]],0,1))</f>
        <v>0</v>
      </c>
      <c r="G309" s="57" cm="1">
        <f t="array" aca="1" ref="G309" ca="1">IF(CELL("format",MEMBERS[[#This Row],[ServiceStartDate]])="D1",0,1)+IF(CELL("format",MEMBERS[[#This Row],[ServiceEndDate]])="D1",0,1)</f>
        <v>0</v>
      </c>
      <c r="H30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09" s="57">
        <f>IF(LEN(MEMBERS[[#This Row],[StaffMemberCode]])&lt;100,0,1)</f>
        <v>0</v>
      </c>
      <c r="J309" s="57">
        <f>IF(LEN(MEMBERS[[#This Row],[Title]])&lt;100,0,1)</f>
        <v>0</v>
      </c>
      <c r="K309" s="57">
        <f>COUNTBLANK(MEMBERS[[#This Row],[StaffMemberCode]:[ServiceStartDate]])+COUNTBLANK(MEMBERS[[#This Row],[Apprenticeship]]:MEMBERS[[#This Row],[StaffMemberEnabled]])+COUNTBLANK(MEMBERS[[#This Row],[GenderCode]]:MEMBERS[[#This Row],[Casual]])</f>
        <v>0</v>
      </c>
      <c r="L309" s="57">
        <f>IF(SUBSTITUTE(TEXT(MEMBERS[[#This Row],[StaffMemberCode]],10)," ","")=TEXT(MEMBERS[[#This Row],[StaffMemberCode]],10),0,1)</f>
        <v>0</v>
      </c>
      <c r="M309" s="57">
        <f ca="1">SUM(MEMBERS[[#This Row],[Duplicate NameService Start]:[Space in Code]])</f>
        <v>0</v>
      </c>
      <c r="O309" s="15">
        <v>10012805</v>
      </c>
      <c r="P309" s="15" t="s">
        <v>3471</v>
      </c>
      <c r="Q309" s="15" t="s">
        <v>4070</v>
      </c>
      <c r="R309" s="133" t="str">
        <f>MEMBERS[[#This Row],[FirstName]]&amp;" "&amp;MEMBERS[[#This Row],[LastName]]</f>
        <v>James Hawkins</v>
      </c>
      <c r="S309" s="21">
        <v>45170</v>
      </c>
      <c r="U309" s="21">
        <v>32320</v>
      </c>
      <c r="V309" s="138" t="b">
        <v>0</v>
      </c>
      <c r="W309" t="b">
        <v>0</v>
      </c>
      <c r="X309" t="b">
        <v>0</v>
      </c>
      <c r="Y309" t="s">
        <v>2126</v>
      </c>
      <c r="Z309" t="b">
        <v>1</v>
      </c>
      <c r="AB309" t="s">
        <v>1572</v>
      </c>
      <c r="AC309" t="b">
        <v>0</v>
      </c>
    </row>
    <row r="310" spans="1:29" x14ac:dyDescent="0.3">
      <c r="A310" s="57" t="str">
        <f>MEMBERS[[#This Row],[Title]]&amp;MEMBERS[[#This Row],[ServiceStartDate]]</f>
        <v>Jamie Ramsay43805</v>
      </c>
      <c r="B310" s="57">
        <f>IF(COUNTIF(MEMBERS[NameServiceStart],MEMBERS[[#This Row],[NameServiceStart]])=1,0,1)</f>
        <v>0</v>
      </c>
      <c r="C310" s="57">
        <f>IF(COUNTIF(MEMBERS[StaffMemberCode],MEMBERS[[#This Row],[StaffMemberCode]])=1,0,1)</f>
        <v>0</v>
      </c>
      <c r="D310" s="57">
        <f>IF(ISBLANK(MEMBERS[[#This Row],[PayrollLocation]]),0,IF(COUNTIF(SCHOOLS[SchoolCode],MEMBERS[[#This Row],[PayrollLocation]])=1,0,1))</f>
        <v>0</v>
      </c>
      <c r="E310" s="57">
        <f>IF(MEMBERS[[#This Row],[AvailableToAllSchools]]=FALSE,IF(ISBLANK(MEMBERS[[#This Row],[SchoolCodes]]),1,0),IF(MEMBERS[[#This Row],[AvailableToAllSchools]]=TRUE,IF(ISBLANK(MEMBERS[[#This Row],[SchoolCodes]]),0,1)))</f>
        <v>0</v>
      </c>
      <c r="F310" s="57">
        <f>IF(ISBLANK(MEMBERS[[#This Row],[ServiceEndDate]]),0,IF(MEMBERS[[#This Row],[ServiceStartDate]]&lt;MEMBERS[[#This Row],[ServiceEndDate]],0,1))</f>
        <v>0</v>
      </c>
      <c r="G310" s="57" cm="1">
        <f t="array" aca="1" ref="G310" ca="1">IF(CELL("format",MEMBERS[[#This Row],[ServiceStartDate]])="D1",0,1)+IF(CELL("format",MEMBERS[[#This Row],[ServiceEndDate]])="D1",0,1)</f>
        <v>0</v>
      </c>
      <c r="H31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10" s="57">
        <f>IF(LEN(MEMBERS[[#This Row],[StaffMemberCode]])&lt;100,0,1)</f>
        <v>0</v>
      </c>
      <c r="J310" s="57">
        <f>IF(LEN(MEMBERS[[#This Row],[Title]])&lt;100,0,1)</f>
        <v>0</v>
      </c>
      <c r="K310" s="57">
        <f>COUNTBLANK(MEMBERS[[#This Row],[StaffMemberCode]:[ServiceStartDate]])+COUNTBLANK(MEMBERS[[#This Row],[Apprenticeship]]:MEMBERS[[#This Row],[StaffMemberEnabled]])+COUNTBLANK(MEMBERS[[#This Row],[GenderCode]]:MEMBERS[[#This Row],[Casual]])</f>
        <v>0</v>
      </c>
      <c r="L310" s="57">
        <f>IF(SUBSTITUTE(TEXT(MEMBERS[[#This Row],[StaffMemberCode]],10)," ","")=TEXT(MEMBERS[[#This Row],[StaffMemberCode]],10),0,1)</f>
        <v>0</v>
      </c>
      <c r="M310" s="57">
        <f ca="1">SUM(MEMBERS[[#This Row],[Duplicate NameService Start]:[Space in Code]])</f>
        <v>0</v>
      </c>
      <c r="O310" s="15">
        <v>91073753</v>
      </c>
      <c r="P310" s="15" t="s">
        <v>3290</v>
      </c>
      <c r="Q310" s="15" t="s">
        <v>3651</v>
      </c>
      <c r="R310" s="133" t="str">
        <f>MEMBERS[[#This Row],[FirstName]]&amp;" "&amp;MEMBERS[[#This Row],[LastName]]</f>
        <v>Jamie Ramsay</v>
      </c>
      <c r="S310" s="21">
        <v>43805</v>
      </c>
      <c r="U310" s="21">
        <v>33738</v>
      </c>
      <c r="V310" t="b">
        <v>0</v>
      </c>
      <c r="W310" t="b">
        <v>0</v>
      </c>
      <c r="X310" t="b">
        <v>0</v>
      </c>
      <c r="Y310" t="s">
        <v>2082</v>
      </c>
      <c r="Z310" t="b">
        <v>1</v>
      </c>
      <c r="AB310" t="s">
        <v>1572</v>
      </c>
      <c r="AC310" t="b">
        <v>0</v>
      </c>
    </row>
    <row r="311" spans="1:29" x14ac:dyDescent="0.3">
      <c r="A311" s="57" t="str">
        <f>MEMBERS[[#This Row],[Title]]&amp;MEMBERS[[#This Row],[ServiceStartDate]]</f>
        <v>Jane Bird39374</v>
      </c>
      <c r="B311" s="57">
        <f>IF(COUNTIF(MEMBERS[NameServiceStart],MEMBERS[[#This Row],[NameServiceStart]])=1,0,1)</f>
        <v>0</v>
      </c>
      <c r="C311" s="57">
        <f>IF(COUNTIF(MEMBERS[StaffMemberCode],MEMBERS[[#This Row],[StaffMemberCode]])=1,0,1)</f>
        <v>0</v>
      </c>
      <c r="D311" s="57">
        <f>IF(ISBLANK(MEMBERS[[#This Row],[PayrollLocation]]),0,IF(COUNTIF(SCHOOLS[SchoolCode],MEMBERS[[#This Row],[PayrollLocation]])=1,0,1))</f>
        <v>0</v>
      </c>
      <c r="E311" s="57">
        <f>IF(MEMBERS[[#This Row],[AvailableToAllSchools]]=FALSE,IF(ISBLANK(MEMBERS[[#This Row],[SchoolCodes]]),1,0),IF(MEMBERS[[#This Row],[AvailableToAllSchools]]=TRUE,IF(ISBLANK(MEMBERS[[#This Row],[SchoolCodes]]),0,1)))</f>
        <v>0</v>
      </c>
      <c r="F311" s="57">
        <f>IF(ISBLANK(MEMBERS[[#This Row],[ServiceEndDate]]),0,IF(MEMBERS[[#This Row],[ServiceStartDate]]&lt;MEMBERS[[#This Row],[ServiceEndDate]],0,1))</f>
        <v>0</v>
      </c>
      <c r="G311" s="57" cm="1">
        <f t="array" aca="1" ref="G311" ca="1">IF(CELL("format",MEMBERS[[#This Row],[ServiceStartDate]])="D1",0,1)+IF(CELL("format",MEMBERS[[#This Row],[ServiceEndDate]])="D1",0,1)</f>
        <v>0</v>
      </c>
      <c r="H31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11" s="57">
        <f>IF(LEN(MEMBERS[[#This Row],[StaffMemberCode]])&lt;100,0,1)</f>
        <v>0</v>
      </c>
      <c r="J311" s="57">
        <f>IF(LEN(MEMBERS[[#This Row],[Title]])&lt;100,0,1)</f>
        <v>0</v>
      </c>
      <c r="K311" s="57">
        <f>COUNTBLANK(MEMBERS[[#This Row],[StaffMemberCode]:[ServiceStartDate]])+COUNTBLANK(MEMBERS[[#This Row],[Apprenticeship]]:MEMBERS[[#This Row],[StaffMemberEnabled]])+COUNTBLANK(MEMBERS[[#This Row],[GenderCode]]:MEMBERS[[#This Row],[Casual]])</f>
        <v>0</v>
      </c>
      <c r="L311" s="57">
        <f>IF(SUBSTITUTE(TEXT(MEMBERS[[#This Row],[StaffMemberCode]],10)," ","")=TEXT(MEMBERS[[#This Row],[StaffMemberCode]],10),0,1)</f>
        <v>0</v>
      </c>
      <c r="M311" s="57">
        <f ca="1">SUM(MEMBERS[[#This Row],[Duplicate NameService Start]:[Space in Code]])</f>
        <v>0</v>
      </c>
      <c r="O311" s="15">
        <v>91073650</v>
      </c>
      <c r="P311" s="15" t="s">
        <v>3291</v>
      </c>
      <c r="Q311" s="15" t="s">
        <v>3652</v>
      </c>
      <c r="R311" s="133" t="str">
        <f>MEMBERS[[#This Row],[FirstName]]&amp;" "&amp;MEMBERS[[#This Row],[LastName]]</f>
        <v>Jane Bird</v>
      </c>
      <c r="S311" s="21">
        <v>39374</v>
      </c>
      <c r="U311" s="21">
        <v>24960</v>
      </c>
      <c r="V311" t="b">
        <v>0</v>
      </c>
      <c r="W311" t="b">
        <v>0</v>
      </c>
      <c r="X311" t="b">
        <v>0</v>
      </c>
      <c r="Y311" t="s">
        <v>2299</v>
      </c>
      <c r="Z311" t="b">
        <v>1</v>
      </c>
      <c r="AB311" t="s">
        <v>1571</v>
      </c>
      <c r="AC311" t="b">
        <v>0</v>
      </c>
    </row>
    <row r="312" spans="1:29" x14ac:dyDescent="0.3">
      <c r="A312" s="57" t="str">
        <f>MEMBERS[[#This Row],[Title]]&amp;MEMBERS[[#This Row],[ServiceStartDate]]</f>
        <v>Jane Eden44942</v>
      </c>
      <c r="B312" s="57">
        <f>IF(COUNTIF(MEMBERS[NameServiceStart],MEMBERS[[#This Row],[NameServiceStart]])=1,0,1)</f>
        <v>0</v>
      </c>
      <c r="C312" s="57">
        <f>IF(COUNTIF(MEMBERS[StaffMemberCode],MEMBERS[[#This Row],[StaffMemberCode]])=1,0,1)</f>
        <v>0</v>
      </c>
      <c r="D312" s="57">
        <f>IF(ISBLANK(MEMBERS[[#This Row],[PayrollLocation]]),0,IF(COUNTIF(SCHOOLS[SchoolCode],MEMBERS[[#This Row],[PayrollLocation]])=1,0,1))</f>
        <v>0</v>
      </c>
      <c r="E312" s="57">
        <f>IF(MEMBERS[[#This Row],[AvailableToAllSchools]]=FALSE,IF(ISBLANK(MEMBERS[[#This Row],[SchoolCodes]]),1,0),IF(MEMBERS[[#This Row],[AvailableToAllSchools]]=TRUE,IF(ISBLANK(MEMBERS[[#This Row],[SchoolCodes]]),0,1)))</f>
        <v>0</v>
      </c>
      <c r="F312" s="57">
        <f>IF(ISBLANK(MEMBERS[[#This Row],[ServiceEndDate]]),0,IF(MEMBERS[[#This Row],[ServiceStartDate]]&lt;MEMBERS[[#This Row],[ServiceEndDate]],0,1))</f>
        <v>0</v>
      </c>
      <c r="G312" s="57" cm="1">
        <f t="array" aca="1" ref="G312" ca="1">IF(CELL("format",MEMBERS[[#This Row],[ServiceStartDate]])="D1",0,1)+IF(CELL("format",MEMBERS[[#This Row],[ServiceEndDate]])="D1",0,1)</f>
        <v>0</v>
      </c>
      <c r="H31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12" s="57">
        <f>IF(LEN(MEMBERS[[#This Row],[StaffMemberCode]])&lt;100,0,1)</f>
        <v>0</v>
      </c>
      <c r="J312" s="57">
        <f>IF(LEN(MEMBERS[[#This Row],[Title]])&lt;100,0,1)</f>
        <v>0</v>
      </c>
      <c r="K312" s="57">
        <f>COUNTBLANK(MEMBERS[[#This Row],[StaffMemberCode]:[ServiceStartDate]])+COUNTBLANK(MEMBERS[[#This Row],[Apprenticeship]]:MEMBERS[[#This Row],[StaffMemberEnabled]])+COUNTBLANK(MEMBERS[[#This Row],[GenderCode]]:MEMBERS[[#This Row],[Casual]])</f>
        <v>0</v>
      </c>
      <c r="L312" s="57">
        <f>IF(SUBSTITUTE(TEXT(MEMBERS[[#This Row],[StaffMemberCode]],10)," ","")=TEXT(MEMBERS[[#This Row],[StaffMemberCode]],10),0,1)</f>
        <v>0</v>
      </c>
      <c r="M312" s="57">
        <f ca="1">SUM(MEMBERS[[#This Row],[Duplicate NameService Start]:[Space in Code]])</f>
        <v>0</v>
      </c>
      <c r="O312" s="15">
        <v>91073900</v>
      </c>
      <c r="P312" s="15" t="s">
        <v>3291</v>
      </c>
      <c r="Q312" s="15" t="s">
        <v>3653</v>
      </c>
      <c r="R312" s="133" t="str">
        <f>MEMBERS[[#This Row],[FirstName]]&amp;" "&amp;MEMBERS[[#This Row],[LastName]]</f>
        <v>Jane Eden</v>
      </c>
      <c r="S312" s="21">
        <v>44942</v>
      </c>
      <c r="U312" s="21">
        <v>29797</v>
      </c>
      <c r="V312" t="b">
        <v>0</v>
      </c>
      <c r="W312" t="b">
        <v>0</v>
      </c>
      <c r="X312" t="b">
        <v>0</v>
      </c>
      <c r="Y312" t="s">
        <v>2266</v>
      </c>
      <c r="Z312" t="b">
        <v>1</v>
      </c>
      <c r="AB312" t="s">
        <v>1571</v>
      </c>
      <c r="AC312" t="b">
        <v>0</v>
      </c>
    </row>
    <row r="313" spans="1:29" x14ac:dyDescent="0.3">
      <c r="A313" s="57" t="str">
        <f>MEMBERS[[#This Row],[Title]]&amp;MEMBERS[[#This Row],[ServiceStartDate]]</f>
        <v>Jane Nixon39567</v>
      </c>
      <c r="B313" s="57">
        <f>IF(COUNTIF(MEMBERS[NameServiceStart],MEMBERS[[#This Row],[NameServiceStart]])=1,0,1)</f>
        <v>0</v>
      </c>
      <c r="C313" s="57">
        <f>IF(COUNTIF(MEMBERS[StaffMemberCode],MEMBERS[[#This Row],[StaffMemberCode]])=1,0,1)</f>
        <v>0</v>
      </c>
      <c r="D313" s="57">
        <f>IF(ISBLANK(MEMBERS[[#This Row],[PayrollLocation]]),0,IF(COUNTIF(SCHOOLS[SchoolCode],MEMBERS[[#This Row],[PayrollLocation]])=1,0,1))</f>
        <v>0</v>
      </c>
      <c r="E313" s="57">
        <f>IF(MEMBERS[[#This Row],[AvailableToAllSchools]]=FALSE,IF(ISBLANK(MEMBERS[[#This Row],[SchoolCodes]]),1,0),IF(MEMBERS[[#This Row],[AvailableToAllSchools]]=TRUE,IF(ISBLANK(MEMBERS[[#This Row],[SchoolCodes]]),0,1)))</f>
        <v>0</v>
      </c>
      <c r="F313" s="57">
        <f>IF(ISBLANK(MEMBERS[[#This Row],[ServiceEndDate]]),0,IF(MEMBERS[[#This Row],[ServiceStartDate]]&lt;MEMBERS[[#This Row],[ServiceEndDate]],0,1))</f>
        <v>0</v>
      </c>
      <c r="G313" s="57" cm="1">
        <f t="array" aca="1" ref="G313" ca="1">IF(CELL("format",MEMBERS[[#This Row],[ServiceStartDate]])="D1",0,1)+IF(CELL("format",MEMBERS[[#This Row],[ServiceEndDate]])="D1",0,1)</f>
        <v>0</v>
      </c>
      <c r="H31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13" s="57">
        <f>IF(LEN(MEMBERS[[#This Row],[StaffMemberCode]])&lt;100,0,1)</f>
        <v>0</v>
      </c>
      <c r="J313" s="57">
        <f>IF(LEN(MEMBERS[[#This Row],[Title]])&lt;100,0,1)</f>
        <v>0</v>
      </c>
      <c r="K313" s="57">
        <f>COUNTBLANK(MEMBERS[[#This Row],[StaffMemberCode]:[ServiceStartDate]])+COUNTBLANK(MEMBERS[[#This Row],[Apprenticeship]]:MEMBERS[[#This Row],[StaffMemberEnabled]])+COUNTBLANK(MEMBERS[[#This Row],[GenderCode]]:MEMBERS[[#This Row],[Casual]])</f>
        <v>0</v>
      </c>
      <c r="L313" s="57">
        <f>IF(SUBSTITUTE(TEXT(MEMBERS[[#This Row],[StaffMemberCode]],10)," ","")=TEXT(MEMBERS[[#This Row],[StaffMemberCode]],10),0,1)</f>
        <v>0</v>
      </c>
      <c r="M313" s="57">
        <f ca="1">SUM(MEMBERS[[#This Row],[Duplicate NameService Start]:[Space in Code]])</f>
        <v>0</v>
      </c>
      <c r="O313" s="15">
        <v>91073924</v>
      </c>
      <c r="P313" s="15" t="s">
        <v>3291</v>
      </c>
      <c r="Q313" s="15" t="s">
        <v>3654</v>
      </c>
      <c r="R313" s="133" t="str">
        <f>MEMBERS[[#This Row],[FirstName]]&amp;" "&amp;MEMBERS[[#This Row],[LastName]]</f>
        <v>Jane Nixon</v>
      </c>
      <c r="S313" s="21">
        <v>39567</v>
      </c>
      <c r="U313" s="21">
        <v>24818</v>
      </c>
      <c r="V313" t="b">
        <v>0</v>
      </c>
      <c r="W313" t="b">
        <v>0</v>
      </c>
      <c r="X313" t="b">
        <v>0</v>
      </c>
      <c r="Y313" t="s">
        <v>2299</v>
      </c>
      <c r="Z313" t="b">
        <v>1</v>
      </c>
      <c r="AB313" t="s">
        <v>1571</v>
      </c>
      <c r="AC313" t="b">
        <v>0</v>
      </c>
    </row>
    <row r="314" spans="1:29" x14ac:dyDescent="0.3">
      <c r="A314" s="57" t="str">
        <f>MEMBERS[[#This Row],[Title]]&amp;MEMBERS[[#This Row],[ServiceStartDate]]</f>
        <v>Jane Richardson45901</v>
      </c>
      <c r="B314" s="57">
        <f>IF(COUNTIF(MEMBERS[NameServiceStart],MEMBERS[[#This Row],[NameServiceStart]])=1,0,1)</f>
        <v>0</v>
      </c>
      <c r="C314" s="57">
        <f>IF(COUNTIF(MEMBERS[StaffMemberCode],MEMBERS[[#This Row],[StaffMemberCode]])=1,0,1)</f>
        <v>0</v>
      </c>
      <c r="D314" s="57">
        <f>IF(ISBLANK(MEMBERS[[#This Row],[PayrollLocation]]),0,IF(COUNTIF(SCHOOLS[SchoolCode],MEMBERS[[#This Row],[PayrollLocation]])=1,0,1))</f>
        <v>0</v>
      </c>
      <c r="E314" s="57">
        <f>IF(MEMBERS[[#This Row],[AvailableToAllSchools]]=FALSE,IF(ISBLANK(MEMBERS[[#This Row],[SchoolCodes]]),1,0),IF(MEMBERS[[#This Row],[AvailableToAllSchools]]=TRUE,IF(ISBLANK(MEMBERS[[#This Row],[SchoolCodes]]),0,1)))</f>
        <v>0</v>
      </c>
      <c r="F314" s="57">
        <f>IF(ISBLANK(MEMBERS[[#This Row],[ServiceEndDate]]),0,IF(MEMBERS[[#This Row],[ServiceStartDate]]&lt;MEMBERS[[#This Row],[ServiceEndDate]],0,1))</f>
        <v>0</v>
      </c>
      <c r="G314" s="57" cm="1">
        <f t="array" aca="1" ref="G314" ca="1">IF(CELL("format",MEMBERS[[#This Row],[ServiceStartDate]])="D1",0,1)+IF(CELL("format",MEMBERS[[#This Row],[ServiceEndDate]])="D1",0,1)</f>
        <v>0</v>
      </c>
      <c r="H31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14" s="57">
        <f>IF(LEN(MEMBERS[[#This Row],[StaffMemberCode]])&lt;100,0,1)</f>
        <v>0</v>
      </c>
      <c r="J314" s="57">
        <f>IF(LEN(MEMBERS[[#This Row],[Title]])&lt;100,0,1)</f>
        <v>0</v>
      </c>
      <c r="K314" s="57">
        <f>COUNTBLANK(MEMBERS[[#This Row],[StaffMemberCode]:[ServiceStartDate]])+COUNTBLANK(MEMBERS[[#This Row],[Apprenticeship]]:MEMBERS[[#This Row],[StaffMemberEnabled]])+COUNTBLANK(MEMBERS[[#This Row],[GenderCode]]:MEMBERS[[#This Row],[Casual]])</f>
        <v>0</v>
      </c>
      <c r="L314" s="57">
        <f>IF(SUBSTITUTE(TEXT(MEMBERS[[#This Row],[StaffMemberCode]],10)," ","")=TEXT(MEMBERS[[#This Row],[StaffMemberCode]],10),0,1)</f>
        <v>0</v>
      </c>
      <c r="M314" s="57">
        <f ca="1">SUM(MEMBERS[[#This Row],[Duplicate NameService Start]:[Space in Code]])</f>
        <v>0</v>
      </c>
      <c r="O314" s="15">
        <v>91850060</v>
      </c>
      <c r="P314" s="15" t="s">
        <v>3291</v>
      </c>
      <c r="Q314" s="15" t="s">
        <v>3524</v>
      </c>
      <c r="R314" s="133" t="str">
        <f>MEMBERS[[#This Row],[FirstName]]&amp;" "&amp;MEMBERS[[#This Row],[LastName]]</f>
        <v>Jane Richardson</v>
      </c>
      <c r="S314" s="21">
        <v>45901</v>
      </c>
      <c r="U314" s="21">
        <v>24318</v>
      </c>
      <c r="V314" t="b">
        <v>0</v>
      </c>
      <c r="W314" t="b">
        <v>0</v>
      </c>
      <c r="X314" t="b">
        <v>0</v>
      </c>
      <c r="Y314" t="s">
        <v>2094</v>
      </c>
      <c r="Z314" t="b">
        <v>1</v>
      </c>
      <c r="AB314" t="s">
        <v>1571</v>
      </c>
      <c r="AC314" t="b">
        <v>1</v>
      </c>
    </row>
    <row r="315" spans="1:29" x14ac:dyDescent="0.3">
      <c r="A315" s="57" t="str">
        <f>MEMBERS[[#This Row],[Title]]&amp;MEMBERS[[#This Row],[ServiceStartDate]]</f>
        <v>Jane Tucker39822</v>
      </c>
      <c r="B315" s="57">
        <f>IF(COUNTIF(MEMBERS[NameServiceStart],MEMBERS[[#This Row],[NameServiceStart]])=1,0,1)</f>
        <v>0</v>
      </c>
      <c r="C315" s="57">
        <f>IF(COUNTIF(MEMBERS[StaffMemberCode],MEMBERS[[#This Row],[StaffMemberCode]])=1,0,1)</f>
        <v>0</v>
      </c>
      <c r="D315" s="57">
        <f>IF(ISBLANK(MEMBERS[[#This Row],[PayrollLocation]]),0,IF(COUNTIF(SCHOOLS[SchoolCode],MEMBERS[[#This Row],[PayrollLocation]])=1,0,1))</f>
        <v>0</v>
      </c>
      <c r="E315" s="57">
        <f>IF(MEMBERS[[#This Row],[AvailableToAllSchools]]=FALSE,IF(ISBLANK(MEMBERS[[#This Row],[SchoolCodes]]),1,0),IF(MEMBERS[[#This Row],[AvailableToAllSchools]]=TRUE,IF(ISBLANK(MEMBERS[[#This Row],[SchoolCodes]]),0,1)))</f>
        <v>0</v>
      </c>
      <c r="F315" s="57">
        <f>IF(ISBLANK(MEMBERS[[#This Row],[ServiceEndDate]]),0,IF(MEMBERS[[#This Row],[ServiceStartDate]]&lt;MEMBERS[[#This Row],[ServiceEndDate]],0,1))</f>
        <v>0</v>
      </c>
      <c r="G315" s="57" cm="1">
        <f t="array" aca="1" ref="G315" ca="1">IF(CELL("format",MEMBERS[[#This Row],[ServiceStartDate]])="D1",0,1)+IF(CELL("format",MEMBERS[[#This Row],[ServiceEndDate]])="D1",0,1)</f>
        <v>0</v>
      </c>
      <c r="H31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15" s="57">
        <f>IF(LEN(MEMBERS[[#This Row],[StaffMemberCode]])&lt;100,0,1)</f>
        <v>0</v>
      </c>
      <c r="J315" s="57">
        <f>IF(LEN(MEMBERS[[#This Row],[Title]])&lt;100,0,1)</f>
        <v>0</v>
      </c>
      <c r="K315" s="57">
        <f>COUNTBLANK(MEMBERS[[#This Row],[StaffMemberCode]:[ServiceStartDate]])+COUNTBLANK(MEMBERS[[#This Row],[Apprenticeship]]:MEMBERS[[#This Row],[StaffMemberEnabled]])+COUNTBLANK(MEMBERS[[#This Row],[GenderCode]]:MEMBERS[[#This Row],[Casual]])</f>
        <v>0</v>
      </c>
      <c r="L315" s="57">
        <f>IF(SUBSTITUTE(TEXT(MEMBERS[[#This Row],[StaffMemberCode]],10)," ","")=TEXT(MEMBERS[[#This Row],[StaffMemberCode]],10),0,1)</f>
        <v>0</v>
      </c>
      <c r="M315" s="57">
        <f ca="1">SUM(MEMBERS[[#This Row],[Duplicate NameService Start]:[Space in Code]])</f>
        <v>0</v>
      </c>
      <c r="O315" s="15">
        <v>91073692</v>
      </c>
      <c r="P315" s="15" t="s">
        <v>3291</v>
      </c>
      <c r="Q315" s="15" t="s">
        <v>3655</v>
      </c>
      <c r="R315" s="133" t="str">
        <f>MEMBERS[[#This Row],[FirstName]]&amp;" "&amp;MEMBERS[[#This Row],[LastName]]</f>
        <v>Jane Tucker</v>
      </c>
      <c r="S315" s="21">
        <v>39822</v>
      </c>
      <c r="U315" s="21">
        <v>26107</v>
      </c>
      <c r="V315" t="b">
        <v>0</v>
      </c>
      <c r="W315" t="b">
        <v>0</v>
      </c>
      <c r="X315" t="b">
        <v>0</v>
      </c>
      <c r="Y315" t="s">
        <v>2082</v>
      </c>
      <c r="Z315" t="b">
        <v>1</v>
      </c>
      <c r="AB315" t="s">
        <v>1571</v>
      </c>
      <c r="AC315" t="b">
        <v>0</v>
      </c>
    </row>
    <row r="316" spans="1:29" x14ac:dyDescent="0.3">
      <c r="A316" s="57" t="str">
        <f>MEMBERS[[#This Row],[Title]]&amp;MEMBERS[[#This Row],[ServiceStartDate]]</f>
        <v>Janet Erlam44440</v>
      </c>
      <c r="B316" s="57">
        <f>IF(COUNTIF(MEMBERS[NameServiceStart],MEMBERS[[#This Row],[NameServiceStart]])=1,0,1)</f>
        <v>0</v>
      </c>
      <c r="C316" s="57">
        <f>IF(COUNTIF(MEMBERS[StaffMemberCode],MEMBERS[[#This Row],[StaffMemberCode]])=1,0,1)</f>
        <v>0</v>
      </c>
      <c r="D316" s="57">
        <f>IF(ISBLANK(MEMBERS[[#This Row],[PayrollLocation]]),0,IF(COUNTIF(SCHOOLS[SchoolCode],MEMBERS[[#This Row],[PayrollLocation]])=1,0,1))</f>
        <v>0</v>
      </c>
      <c r="E316" s="57">
        <f>IF(MEMBERS[[#This Row],[AvailableToAllSchools]]=FALSE,IF(ISBLANK(MEMBERS[[#This Row],[SchoolCodes]]),1,0),IF(MEMBERS[[#This Row],[AvailableToAllSchools]]=TRUE,IF(ISBLANK(MEMBERS[[#This Row],[SchoolCodes]]),0,1)))</f>
        <v>0</v>
      </c>
      <c r="F316" s="57">
        <f>IF(ISBLANK(MEMBERS[[#This Row],[ServiceEndDate]]),0,IF(MEMBERS[[#This Row],[ServiceStartDate]]&lt;MEMBERS[[#This Row],[ServiceEndDate]],0,1))</f>
        <v>0</v>
      </c>
      <c r="G316" s="57" cm="1">
        <f t="array" aca="1" ref="G316" ca="1">IF(CELL("format",MEMBERS[[#This Row],[ServiceStartDate]])="D1",0,1)+IF(CELL("format",MEMBERS[[#This Row],[ServiceEndDate]])="D1",0,1)</f>
        <v>0</v>
      </c>
      <c r="H31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16" s="57">
        <f>IF(LEN(MEMBERS[[#This Row],[StaffMemberCode]])&lt;100,0,1)</f>
        <v>0</v>
      </c>
      <c r="J316" s="57">
        <f>IF(LEN(MEMBERS[[#This Row],[Title]])&lt;100,0,1)</f>
        <v>0</v>
      </c>
      <c r="K316" s="57">
        <f>COUNTBLANK(MEMBERS[[#This Row],[StaffMemberCode]:[ServiceStartDate]])+COUNTBLANK(MEMBERS[[#This Row],[Apprenticeship]]:MEMBERS[[#This Row],[StaffMemberEnabled]])+COUNTBLANK(MEMBERS[[#This Row],[GenderCode]]:MEMBERS[[#This Row],[Casual]])</f>
        <v>0</v>
      </c>
      <c r="L316" s="57">
        <f>IF(SUBSTITUTE(TEXT(MEMBERS[[#This Row],[StaffMemberCode]],10)," ","")=TEXT(MEMBERS[[#This Row],[StaffMemberCode]],10),0,1)</f>
        <v>0</v>
      </c>
      <c r="M316" s="57">
        <f ca="1">SUM(MEMBERS[[#This Row],[Duplicate NameService Start]:[Space in Code]])</f>
        <v>0</v>
      </c>
      <c r="O316" s="15">
        <v>10007788</v>
      </c>
      <c r="P316" s="15" t="s">
        <v>3977</v>
      </c>
      <c r="Q316" s="15" t="s">
        <v>4071</v>
      </c>
      <c r="R316" s="133" t="str">
        <f>MEMBERS[[#This Row],[FirstName]]&amp;" "&amp;MEMBERS[[#This Row],[LastName]]</f>
        <v>Janet Erlam</v>
      </c>
      <c r="S316" s="21">
        <v>44440</v>
      </c>
      <c r="U316" s="21">
        <v>24854</v>
      </c>
      <c r="V316" s="138" t="b">
        <v>0</v>
      </c>
      <c r="W316" t="b">
        <v>0</v>
      </c>
      <c r="X316" t="b">
        <v>0</v>
      </c>
      <c r="Y316" t="s">
        <v>2126</v>
      </c>
      <c r="Z316" t="b">
        <v>1</v>
      </c>
      <c r="AB316" t="s">
        <v>1571</v>
      </c>
      <c r="AC316" t="b">
        <v>0</v>
      </c>
    </row>
    <row r="317" spans="1:29" x14ac:dyDescent="0.3">
      <c r="A317" s="57" t="str">
        <f>MEMBERS[[#This Row],[Title]]&amp;MEMBERS[[#This Row],[ServiceStartDate]]</f>
        <v>Janette Arrowsmith40188</v>
      </c>
      <c r="B317" s="57">
        <f>IF(COUNTIF(MEMBERS[NameServiceStart],MEMBERS[[#This Row],[NameServiceStart]])=1,0,1)</f>
        <v>0</v>
      </c>
      <c r="C317" s="57">
        <f>IF(COUNTIF(MEMBERS[StaffMemberCode],MEMBERS[[#This Row],[StaffMemberCode]])=1,0,1)</f>
        <v>0</v>
      </c>
      <c r="D317" s="57">
        <f>IF(ISBLANK(MEMBERS[[#This Row],[PayrollLocation]]),0,IF(COUNTIF(SCHOOLS[SchoolCode],MEMBERS[[#This Row],[PayrollLocation]])=1,0,1))</f>
        <v>0</v>
      </c>
      <c r="E317" s="57">
        <f>IF(MEMBERS[[#This Row],[AvailableToAllSchools]]=FALSE,IF(ISBLANK(MEMBERS[[#This Row],[SchoolCodes]]),1,0),IF(MEMBERS[[#This Row],[AvailableToAllSchools]]=TRUE,IF(ISBLANK(MEMBERS[[#This Row],[SchoolCodes]]),0,1)))</f>
        <v>0</v>
      </c>
      <c r="F317" s="57">
        <f>IF(ISBLANK(MEMBERS[[#This Row],[ServiceEndDate]]),0,IF(MEMBERS[[#This Row],[ServiceStartDate]]&lt;MEMBERS[[#This Row],[ServiceEndDate]],0,1))</f>
        <v>0</v>
      </c>
      <c r="G317" s="57" cm="1">
        <f t="array" aca="1" ref="G317" ca="1">IF(CELL("format",MEMBERS[[#This Row],[ServiceStartDate]])="D1",0,1)+IF(CELL("format",MEMBERS[[#This Row],[ServiceEndDate]])="D1",0,1)</f>
        <v>0</v>
      </c>
      <c r="H31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17" s="57">
        <f>IF(LEN(MEMBERS[[#This Row],[StaffMemberCode]])&lt;100,0,1)</f>
        <v>0</v>
      </c>
      <c r="J317" s="57">
        <f>IF(LEN(MEMBERS[[#This Row],[Title]])&lt;100,0,1)</f>
        <v>0</v>
      </c>
      <c r="K317" s="57">
        <f>COUNTBLANK(MEMBERS[[#This Row],[StaffMemberCode]:[ServiceStartDate]])+COUNTBLANK(MEMBERS[[#This Row],[Apprenticeship]]:MEMBERS[[#This Row],[StaffMemberEnabled]])+COUNTBLANK(MEMBERS[[#This Row],[GenderCode]]:MEMBERS[[#This Row],[Casual]])</f>
        <v>0</v>
      </c>
      <c r="L317" s="57">
        <f>IF(SUBSTITUTE(TEXT(MEMBERS[[#This Row],[StaffMemberCode]],10)," ","")=TEXT(MEMBERS[[#This Row],[StaffMemberCode]],10),0,1)</f>
        <v>0</v>
      </c>
      <c r="M317" s="57">
        <f ca="1">SUM(MEMBERS[[#This Row],[Duplicate NameService Start]:[Space in Code]])</f>
        <v>0</v>
      </c>
      <c r="O317" s="15">
        <v>91073505</v>
      </c>
      <c r="P317" s="15" t="s">
        <v>3292</v>
      </c>
      <c r="Q317" s="15" t="s">
        <v>3656</v>
      </c>
      <c r="R317" s="133" t="str">
        <f>MEMBERS[[#This Row],[FirstName]]&amp;" "&amp;MEMBERS[[#This Row],[LastName]]</f>
        <v>Janette Arrowsmith</v>
      </c>
      <c r="S317" s="21">
        <v>40188</v>
      </c>
      <c r="U317" s="21">
        <v>22163</v>
      </c>
      <c r="V317" t="b">
        <v>0</v>
      </c>
      <c r="W317" t="b">
        <v>0</v>
      </c>
      <c r="X317" t="b">
        <v>0</v>
      </c>
      <c r="Y317" t="s">
        <v>2094</v>
      </c>
      <c r="Z317" t="b">
        <v>1</v>
      </c>
      <c r="AB317" t="s">
        <v>1571</v>
      </c>
      <c r="AC317" t="b">
        <v>0</v>
      </c>
    </row>
    <row r="318" spans="1:29" x14ac:dyDescent="0.3">
      <c r="A318" s="57" t="str">
        <f>MEMBERS[[#This Row],[Title]]&amp;MEMBERS[[#This Row],[ServiceStartDate]]</f>
        <v>Janette Howard38718</v>
      </c>
      <c r="B318" s="57">
        <f>IF(COUNTIF(MEMBERS[NameServiceStart],MEMBERS[[#This Row],[NameServiceStart]])=1,0,1)</f>
        <v>0</v>
      </c>
      <c r="C318" s="57">
        <f>IF(COUNTIF(MEMBERS[StaffMemberCode],MEMBERS[[#This Row],[StaffMemberCode]])=1,0,1)</f>
        <v>0</v>
      </c>
      <c r="D318" s="57">
        <f>IF(ISBLANK(MEMBERS[[#This Row],[PayrollLocation]]),0,IF(COUNTIF(SCHOOLS[SchoolCode],MEMBERS[[#This Row],[PayrollLocation]])=1,0,1))</f>
        <v>0</v>
      </c>
      <c r="E318" s="57">
        <f>IF(MEMBERS[[#This Row],[AvailableToAllSchools]]=FALSE,IF(ISBLANK(MEMBERS[[#This Row],[SchoolCodes]]),1,0),IF(MEMBERS[[#This Row],[AvailableToAllSchools]]=TRUE,IF(ISBLANK(MEMBERS[[#This Row],[SchoolCodes]]),0,1)))</f>
        <v>0</v>
      </c>
      <c r="F318" s="57">
        <f>IF(ISBLANK(MEMBERS[[#This Row],[ServiceEndDate]]),0,IF(MEMBERS[[#This Row],[ServiceStartDate]]&lt;MEMBERS[[#This Row],[ServiceEndDate]],0,1))</f>
        <v>0</v>
      </c>
      <c r="G318" s="57" cm="1">
        <f t="array" aca="1" ref="G318" ca="1">IF(CELL("format",MEMBERS[[#This Row],[ServiceStartDate]])="D1",0,1)+IF(CELL("format",MEMBERS[[#This Row],[ServiceEndDate]])="D1",0,1)</f>
        <v>0</v>
      </c>
      <c r="H31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18" s="57">
        <f>IF(LEN(MEMBERS[[#This Row],[StaffMemberCode]])&lt;100,0,1)</f>
        <v>0</v>
      </c>
      <c r="J318" s="57">
        <f>IF(LEN(MEMBERS[[#This Row],[Title]])&lt;100,0,1)</f>
        <v>0</v>
      </c>
      <c r="K318" s="57">
        <f>COUNTBLANK(MEMBERS[[#This Row],[StaffMemberCode]:[ServiceStartDate]])+COUNTBLANK(MEMBERS[[#This Row],[Apprenticeship]]:MEMBERS[[#This Row],[StaffMemberEnabled]])+COUNTBLANK(MEMBERS[[#This Row],[GenderCode]]:MEMBERS[[#This Row],[Casual]])</f>
        <v>0</v>
      </c>
      <c r="L318" s="57">
        <f>IF(SUBSTITUTE(TEXT(MEMBERS[[#This Row],[StaffMemberCode]],10)," ","")=TEXT(MEMBERS[[#This Row],[StaffMemberCode]],10),0,1)</f>
        <v>0</v>
      </c>
      <c r="M318" s="57">
        <f ca="1">SUM(MEMBERS[[#This Row],[Duplicate NameService Start]:[Space in Code]])</f>
        <v>0</v>
      </c>
      <c r="O318" s="15">
        <v>91075746</v>
      </c>
      <c r="P318" s="15" t="s">
        <v>3292</v>
      </c>
      <c r="Q318" s="15" t="s">
        <v>3657</v>
      </c>
      <c r="R318" s="133" t="str">
        <f>MEMBERS[[#This Row],[FirstName]]&amp;" "&amp;MEMBERS[[#This Row],[LastName]]</f>
        <v>Janette Howard</v>
      </c>
      <c r="S318" s="21">
        <v>38718</v>
      </c>
      <c r="U318" s="21">
        <v>24022</v>
      </c>
      <c r="V318" t="b">
        <v>0</v>
      </c>
      <c r="W318" t="b">
        <v>0</v>
      </c>
      <c r="X318" t="b">
        <v>0</v>
      </c>
      <c r="Y318" t="s">
        <v>2200</v>
      </c>
      <c r="Z318" t="b">
        <v>1</v>
      </c>
      <c r="AB318" t="s">
        <v>1571</v>
      </c>
      <c r="AC318" t="b">
        <v>0</v>
      </c>
    </row>
    <row r="319" spans="1:29" x14ac:dyDescent="0.3">
      <c r="A319" s="57" t="str">
        <f>MEMBERS[[#This Row],[Title]]&amp;MEMBERS[[#This Row],[ServiceStartDate]]</f>
        <v>Janine Edwards36039</v>
      </c>
      <c r="B319" s="57">
        <f>IF(COUNTIF(MEMBERS[NameServiceStart],MEMBERS[[#This Row],[NameServiceStart]])=1,0,1)</f>
        <v>0</v>
      </c>
      <c r="C319" s="57">
        <f>IF(COUNTIF(MEMBERS[StaffMemberCode],MEMBERS[[#This Row],[StaffMemberCode]])=1,0,1)</f>
        <v>0</v>
      </c>
      <c r="D319" s="57">
        <f>IF(ISBLANK(MEMBERS[[#This Row],[PayrollLocation]]),0,IF(COUNTIF(SCHOOLS[SchoolCode],MEMBERS[[#This Row],[PayrollLocation]])=1,0,1))</f>
        <v>0</v>
      </c>
      <c r="E319" s="57">
        <f>IF(MEMBERS[[#This Row],[AvailableToAllSchools]]=FALSE,IF(ISBLANK(MEMBERS[[#This Row],[SchoolCodes]]),1,0),IF(MEMBERS[[#This Row],[AvailableToAllSchools]]=TRUE,IF(ISBLANK(MEMBERS[[#This Row],[SchoolCodes]]),0,1)))</f>
        <v>0</v>
      </c>
      <c r="F319" s="57">
        <f>IF(ISBLANK(MEMBERS[[#This Row],[ServiceEndDate]]),0,IF(MEMBERS[[#This Row],[ServiceStartDate]]&lt;MEMBERS[[#This Row],[ServiceEndDate]],0,1))</f>
        <v>0</v>
      </c>
      <c r="G319" s="57" cm="1">
        <f t="array" aca="1" ref="G319" ca="1">IF(CELL("format",MEMBERS[[#This Row],[ServiceStartDate]])="D1",0,1)+IF(CELL("format",MEMBERS[[#This Row],[ServiceEndDate]])="D1",0,1)</f>
        <v>0</v>
      </c>
      <c r="H31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19" s="57">
        <f>IF(LEN(MEMBERS[[#This Row],[StaffMemberCode]])&lt;100,0,1)</f>
        <v>0</v>
      </c>
      <c r="J319" s="57">
        <f>IF(LEN(MEMBERS[[#This Row],[Title]])&lt;100,0,1)</f>
        <v>0</v>
      </c>
      <c r="K319" s="57">
        <f>COUNTBLANK(MEMBERS[[#This Row],[StaffMemberCode]:[ServiceStartDate]])+COUNTBLANK(MEMBERS[[#This Row],[Apprenticeship]]:MEMBERS[[#This Row],[StaffMemberEnabled]])+COUNTBLANK(MEMBERS[[#This Row],[GenderCode]]:MEMBERS[[#This Row],[Casual]])</f>
        <v>0</v>
      </c>
      <c r="L319" s="57">
        <f>IF(SUBSTITUTE(TEXT(MEMBERS[[#This Row],[StaffMemberCode]],10)," ","")=TEXT(MEMBERS[[#This Row],[StaffMemberCode]],10),0,1)</f>
        <v>0</v>
      </c>
      <c r="M319" s="57">
        <f ca="1">SUM(MEMBERS[[#This Row],[Duplicate NameService Start]:[Space in Code]])</f>
        <v>0</v>
      </c>
      <c r="O319" s="15">
        <v>10005279</v>
      </c>
      <c r="P319" s="15" t="s">
        <v>3293</v>
      </c>
      <c r="Q319" s="15" t="s">
        <v>3677</v>
      </c>
      <c r="R319" s="133" t="str">
        <f>MEMBERS[[#This Row],[FirstName]]&amp;" "&amp;MEMBERS[[#This Row],[LastName]]</f>
        <v>Janine Edwards</v>
      </c>
      <c r="S319" s="21">
        <v>36039</v>
      </c>
      <c r="U319" s="21">
        <v>27816</v>
      </c>
      <c r="V319" s="138" t="b">
        <v>0</v>
      </c>
      <c r="W319" t="b">
        <v>0</v>
      </c>
      <c r="X319" t="b">
        <v>0</v>
      </c>
      <c r="Y319" t="s">
        <v>2126</v>
      </c>
      <c r="Z319" t="b">
        <v>1</v>
      </c>
      <c r="AB319" t="s">
        <v>1571</v>
      </c>
      <c r="AC319" t="b">
        <v>0</v>
      </c>
    </row>
    <row r="320" spans="1:29" x14ac:dyDescent="0.3">
      <c r="A320" s="57" t="str">
        <f>MEMBERS[[#This Row],[Title]]&amp;MEMBERS[[#This Row],[ServiceStartDate]]</f>
        <v>Janine Leonard44172</v>
      </c>
      <c r="B320" s="57">
        <f>IF(COUNTIF(MEMBERS[NameServiceStart],MEMBERS[[#This Row],[NameServiceStart]])=1,0,1)</f>
        <v>0</v>
      </c>
      <c r="C320" s="57">
        <f>IF(COUNTIF(MEMBERS[StaffMemberCode],MEMBERS[[#This Row],[StaffMemberCode]])=1,0,1)</f>
        <v>0</v>
      </c>
      <c r="D320" s="57">
        <f>IF(ISBLANK(MEMBERS[[#This Row],[PayrollLocation]]),0,IF(COUNTIF(SCHOOLS[SchoolCode],MEMBERS[[#This Row],[PayrollLocation]])=1,0,1))</f>
        <v>0</v>
      </c>
      <c r="E320" s="57">
        <f>IF(MEMBERS[[#This Row],[AvailableToAllSchools]]=FALSE,IF(ISBLANK(MEMBERS[[#This Row],[SchoolCodes]]),1,0),IF(MEMBERS[[#This Row],[AvailableToAllSchools]]=TRUE,IF(ISBLANK(MEMBERS[[#This Row],[SchoolCodes]]),0,1)))</f>
        <v>0</v>
      </c>
      <c r="F320" s="57">
        <f>IF(ISBLANK(MEMBERS[[#This Row],[ServiceEndDate]]),0,IF(MEMBERS[[#This Row],[ServiceStartDate]]&lt;MEMBERS[[#This Row],[ServiceEndDate]],0,1))</f>
        <v>0</v>
      </c>
      <c r="G320" s="57" cm="1">
        <f t="array" aca="1" ref="G320" ca="1">IF(CELL("format",MEMBERS[[#This Row],[ServiceStartDate]])="D1",0,1)+IF(CELL("format",MEMBERS[[#This Row],[ServiceEndDate]])="D1",0,1)</f>
        <v>0</v>
      </c>
      <c r="H32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20" s="57">
        <f>IF(LEN(MEMBERS[[#This Row],[StaffMemberCode]])&lt;100,0,1)</f>
        <v>0</v>
      </c>
      <c r="J320" s="57">
        <f>IF(LEN(MEMBERS[[#This Row],[Title]])&lt;100,0,1)</f>
        <v>0</v>
      </c>
      <c r="K320" s="57">
        <f>COUNTBLANK(MEMBERS[[#This Row],[StaffMemberCode]:[ServiceStartDate]])+COUNTBLANK(MEMBERS[[#This Row],[Apprenticeship]]:MEMBERS[[#This Row],[StaffMemberEnabled]])+COUNTBLANK(MEMBERS[[#This Row],[GenderCode]]:MEMBERS[[#This Row],[Casual]])</f>
        <v>0</v>
      </c>
      <c r="L320" s="57">
        <f>IF(SUBSTITUTE(TEXT(MEMBERS[[#This Row],[StaffMemberCode]],10)," ","")=TEXT(MEMBERS[[#This Row],[StaffMemberCode]],10),0,1)</f>
        <v>0</v>
      </c>
      <c r="M320" s="57">
        <f ca="1">SUM(MEMBERS[[#This Row],[Duplicate NameService Start]:[Space in Code]])</f>
        <v>0</v>
      </c>
      <c r="O320" s="15">
        <v>91073424</v>
      </c>
      <c r="P320" s="15" t="s">
        <v>3293</v>
      </c>
      <c r="Q320" s="15" t="s">
        <v>3335</v>
      </c>
      <c r="R320" s="133" t="str">
        <f>MEMBERS[[#This Row],[FirstName]]&amp;" "&amp;MEMBERS[[#This Row],[LastName]]</f>
        <v>Janine Leonard</v>
      </c>
      <c r="S320" s="21">
        <v>44172</v>
      </c>
      <c r="U320" s="21">
        <v>26408</v>
      </c>
      <c r="V320" t="b">
        <v>0</v>
      </c>
      <c r="W320" t="b">
        <v>0</v>
      </c>
      <c r="X320" t="b">
        <v>0</v>
      </c>
      <c r="Y320" t="s">
        <v>2275</v>
      </c>
      <c r="Z320" t="b">
        <v>1</v>
      </c>
      <c r="AB320" t="s">
        <v>1571</v>
      </c>
      <c r="AC320" t="b">
        <v>0</v>
      </c>
    </row>
    <row r="321" spans="1:29" x14ac:dyDescent="0.3">
      <c r="A321" s="57" t="str">
        <f>MEMBERS[[#This Row],[Title]]&amp;MEMBERS[[#This Row],[ServiceStartDate]]</f>
        <v>Jasmine Hope44986</v>
      </c>
      <c r="B321" s="57">
        <f>IF(COUNTIF(MEMBERS[NameServiceStart],MEMBERS[[#This Row],[NameServiceStart]])=1,0,1)</f>
        <v>0</v>
      </c>
      <c r="C321" s="57">
        <f>IF(COUNTIF(MEMBERS[StaffMemberCode],MEMBERS[[#This Row],[StaffMemberCode]])=1,0,1)</f>
        <v>0</v>
      </c>
      <c r="D321" s="57">
        <f>IF(ISBLANK(MEMBERS[[#This Row],[PayrollLocation]]),0,IF(COUNTIF(SCHOOLS[SchoolCode],MEMBERS[[#This Row],[PayrollLocation]])=1,0,1))</f>
        <v>0</v>
      </c>
      <c r="E321" s="57">
        <f>IF(MEMBERS[[#This Row],[AvailableToAllSchools]]=FALSE,IF(ISBLANK(MEMBERS[[#This Row],[SchoolCodes]]),1,0),IF(MEMBERS[[#This Row],[AvailableToAllSchools]]=TRUE,IF(ISBLANK(MEMBERS[[#This Row],[SchoolCodes]]),0,1)))</f>
        <v>0</v>
      </c>
      <c r="F321" s="57">
        <f>IF(ISBLANK(MEMBERS[[#This Row],[ServiceEndDate]]),0,IF(MEMBERS[[#This Row],[ServiceStartDate]]&lt;MEMBERS[[#This Row],[ServiceEndDate]],0,1))</f>
        <v>0</v>
      </c>
      <c r="G321" s="57" cm="1">
        <f t="array" aca="1" ref="G321" ca="1">IF(CELL("format",MEMBERS[[#This Row],[ServiceStartDate]])="D1",0,1)+IF(CELL("format",MEMBERS[[#This Row],[ServiceEndDate]])="D1",0,1)</f>
        <v>0</v>
      </c>
      <c r="H32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21" s="57">
        <f>IF(LEN(MEMBERS[[#This Row],[StaffMemberCode]])&lt;100,0,1)</f>
        <v>0</v>
      </c>
      <c r="J321" s="57">
        <f>IF(LEN(MEMBERS[[#This Row],[Title]])&lt;100,0,1)</f>
        <v>0</v>
      </c>
      <c r="K321" s="57">
        <f>COUNTBLANK(MEMBERS[[#This Row],[StaffMemberCode]:[ServiceStartDate]])+COUNTBLANK(MEMBERS[[#This Row],[Apprenticeship]]:MEMBERS[[#This Row],[StaffMemberEnabled]])+COUNTBLANK(MEMBERS[[#This Row],[GenderCode]]:MEMBERS[[#This Row],[Casual]])</f>
        <v>0</v>
      </c>
      <c r="L321" s="57">
        <f>IF(SUBSTITUTE(TEXT(MEMBERS[[#This Row],[StaffMemberCode]],10)," ","")=TEXT(MEMBERS[[#This Row],[StaffMemberCode]],10),0,1)</f>
        <v>0</v>
      </c>
      <c r="M321" s="57">
        <f ca="1">SUM(MEMBERS[[#This Row],[Duplicate NameService Start]:[Space in Code]])</f>
        <v>0</v>
      </c>
      <c r="O321" s="15">
        <v>10015812</v>
      </c>
      <c r="P321" s="15" t="s">
        <v>3978</v>
      </c>
      <c r="Q321" s="15" t="s">
        <v>4072</v>
      </c>
      <c r="R321" s="133" t="str">
        <f>MEMBERS[[#This Row],[FirstName]]&amp;" "&amp;MEMBERS[[#This Row],[LastName]]</f>
        <v>Jasmine Hope</v>
      </c>
      <c r="S321" s="21">
        <v>44986</v>
      </c>
      <c r="U321" s="21">
        <v>34111</v>
      </c>
      <c r="V321" s="138" t="b">
        <v>0</v>
      </c>
      <c r="W321" t="b">
        <v>0</v>
      </c>
      <c r="X321" t="b">
        <v>0</v>
      </c>
      <c r="Y321" t="s">
        <v>2126</v>
      </c>
      <c r="Z321" t="b">
        <v>1</v>
      </c>
      <c r="AB321" t="s">
        <v>1571</v>
      </c>
      <c r="AC321" t="b">
        <v>0</v>
      </c>
    </row>
    <row r="322" spans="1:29" x14ac:dyDescent="0.3">
      <c r="A322" s="57" t="str">
        <f>MEMBERS[[#This Row],[Title]]&amp;MEMBERS[[#This Row],[ServiceStartDate]]</f>
        <v>Jay Greaves44570</v>
      </c>
      <c r="B322" s="57">
        <f>IF(COUNTIF(MEMBERS[NameServiceStart],MEMBERS[[#This Row],[NameServiceStart]])=1,0,1)</f>
        <v>0</v>
      </c>
      <c r="C322" s="57">
        <f>IF(COUNTIF(MEMBERS[StaffMemberCode],MEMBERS[[#This Row],[StaffMemberCode]])=1,0,1)</f>
        <v>0</v>
      </c>
      <c r="D322" s="57">
        <f>IF(ISBLANK(MEMBERS[[#This Row],[PayrollLocation]]),0,IF(COUNTIF(SCHOOLS[SchoolCode],MEMBERS[[#This Row],[PayrollLocation]])=1,0,1))</f>
        <v>0</v>
      </c>
      <c r="E322" s="57">
        <f>IF(MEMBERS[[#This Row],[AvailableToAllSchools]]=FALSE,IF(ISBLANK(MEMBERS[[#This Row],[SchoolCodes]]),1,0),IF(MEMBERS[[#This Row],[AvailableToAllSchools]]=TRUE,IF(ISBLANK(MEMBERS[[#This Row],[SchoolCodes]]),0,1)))</f>
        <v>0</v>
      </c>
      <c r="F322" s="57">
        <f>IF(ISBLANK(MEMBERS[[#This Row],[ServiceEndDate]]),0,IF(MEMBERS[[#This Row],[ServiceStartDate]]&lt;MEMBERS[[#This Row],[ServiceEndDate]],0,1))</f>
        <v>0</v>
      </c>
      <c r="G322" s="57" cm="1">
        <f t="array" aca="1" ref="G322" ca="1">IF(CELL("format",MEMBERS[[#This Row],[ServiceStartDate]])="D1",0,1)+IF(CELL("format",MEMBERS[[#This Row],[ServiceEndDate]])="D1",0,1)</f>
        <v>0</v>
      </c>
      <c r="H32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22" s="57">
        <f>IF(LEN(MEMBERS[[#This Row],[StaffMemberCode]])&lt;100,0,1)</f>
        <v>0</v>
      </c>
      <c r="J322" s="57">
        <f>IF(LEN(MEMBERS[[#This Row],[Title]])&lt;100,0,1)</f>
        <v>0</v>
      </c>
      <c r="K322" s="57">
        <f>COUNTBLANK(MEMBERS[[#This Row],[StaffMemberCode]:[ServiceStartDate]])+COUNTBLANK(MEMBERS[[#This Row],[Apprenticeship]]:MEMBERS[[#This Row],[StaffMemberEnabled]])+COUNTBLANK(MEMBERS[[#This Row],[GenderCode]]:MEMBERS[[#This Row],[Casual]])</f>
        <v>0</v>
      </c>
      <c r="L322" s="57">
        <f>IF(SUBSTITUTE(TEXT(MEMBERS[[#This Row],[StaffMemberCode]],10)," ","")=TEXT(MEMBERS[[#This Row],[StaffMemberCode]],10),0,1)</f>
        <v>0</v>
      </c>
      <c r="M322" s="57">
        <f ca="1">SUM(MEMBERS[[#This Row],[Duplicate NameService Start]:[Space in Code]])</f>
        <v>0</v>
      </c>
      <c r="O322" s="15">
        <v>91073443</v>
      </c>
      <c r="P322" s="15" t="s">
        <v>3294</v>
      </c>
      <c r="Q322" s="15" t="s">
        <v>3658</v>
      </c>
      <c r="R322" s="133" t="str">
        <f>MEMBERS[[#This Row],[FirstName]]&amp;" "&amp;MEMBERS[[#This Row],[LastName]]</f>
        <v>Jay Greaves</v>
      </c>
      <c r="S322" s="21">
        <v>44570</v>
      </c>
      <c r="U322" s="21">
        <v>35603</v>
      </c>
      <c r="V322" t="b">
        <v>0</v>
      </c>
      <c r="W322" t="b">
        <v>0</v>
      </c>
      <c r="X322" t="b">
        <v>0</v>
      </c>
      <c r="Y322" t="s">
        <v>2094</v>
      </c>
      <c r="Z322" t="b">
        <v>1</v>
      </c>
      <c r="AB322" t="s">
        <v>1571</v>
      </c>
      <c r="AC322" t="b">
        <v>0</v>
      </c>
    </row>
    <row r="323" spans="1:29" x14ac:dyDescent="0.3">
      <c r="A323" s="57" t="str">
        <f>MEMBERS[[#This Row],[Title]]&amp;MEMBERS[[#This Row],[ServiceStartDate]]</f>
        <v>Jayde Holland42268</v>
      </c>
      <c r="B323" s="57">
        <f>IF(COUNTIF(MEMBERS[NameServiceStart],MEMBERS[[#This Row],[NameServiceStart]])=1,0,1)</f>
        <v>0</v>
      </c>
      <c r="C323" s="57">
        <f>IF(COUNTIF(MEMBERS[StaffMemberCode],MEMBERS[[#This Row],[StaffMemberCode]])=1,0,1)</f>
        <v>0</v>
      </c>
      <c r="D323" s="57">
        <f>IF(ISBLANK(MEMBERS[[#This Row],[PayrollLocation]]),0,IF(COUNTIF(SCHOOLS[SchoolCode],MEMBERS[[#This Row],[PayrollLocation]])=1,0,1))</f>
        <v>0</v>
      </c>
      <c r="E323" s="57">
        <f>IF(MEMBERS[[#This Row],[AvailableToAllSchools]]=FALSE,IF(ISBLANK(MEMBERS[[#This Row],[SchoolCodes]]),1,0),IF(MEMBERS[[#This Row],[AvailableToAllSchools]]=TRUE,IF(ISBLANK(MEMBERS[[#This Row],[SchoolCodes]]),0,1)))</f>
        <v>0</v>
      </c>
      <c r="F323" s="57">
        <f>IF(ISBLANK(MEMBERS[[#This Row],[ServiceEndDate]]),0,IF(MEMBERS[[#This Row],[ServiceStartDate]]&lt;MEMBERS[[#This Row],[ServiceEndDate]],0,1))</f>
        <v>0</v>
      </c>
      <c r="G323" s="57" cm="1">
        <f t="array" aca="1" ref="G323" ca="1">IF(CELL("format",MEMBERS[[#This Row],[ServiceStartDate]])="D1",0,1)+IF(CELL("format",MEMBERS[[#This Row],[ServiceEndDate]])="D1",0,1)</f>
        <v>0</v>
      </c>
      <c r="H32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23" s="57">
        <f>IF(LEN(MEMBERS[[#This Row],[StaffMemberCode]])&lt;100,0,1)</f>
        <v>0</v>
      </c>
      <c r="J323" s="57">
        <f>IF(LEN(MEMBERS[[#This Row],[Title]])&lt;100,0,1)</f>
        <v>0</v>
      </c>
      <c r="K323" s="57">
        <f>COUNTBLANK(MEMBERS[[#This Row],[StaffMemberCode]:[ServiceStartDate]])+COUNTBLANK(MEMBERS[[#This Row],[Apprenticeship]]:MEMBERS[[#This Row],[StaffMemberEnabled]])+COUNTBLANK(MEMBERS[[#This Row],[GenderCode]]:MEMBERS[[#This Row],[Casual]])</f>
        <v>0</v>
      </c>
      <c r="L323" s="57">
        <f>IF(SUBSTITUTE(TEXT(MEMBERS[[#This Row],[StaffMemberCode]],10)," ","")=TEXT(MEMBERS[[#This Row],[StaffMemberCode]],10),0,1)</f>
        <v>0</v>
      </c>
      <c r="M323" s="57">
        <f ca="1">SUM(MEMBERS[[#This Row],[Duplicate NameService Start]:[Space in Code]])</f>
        <v>0</v>
      </c>
      <c r="O323" s="15">
        <v>91324081</v>
      </c>
      <c r="P323" s="15" t="s">
        <v>3295</v>
      </c>
      <c r="Q323" s="15" t="s">
        <v>3659</v>
      </c>
      <c r="R323" s="133" t="str">
        <f>MEMBERS[[#This Row],[FirstName]]&amp;" "&amp;MEMBERS[[#This Row],[LastName]]</f>
        <v>Jayde Holland</v>
      </c>
      <c r="S323" s="21">
        <v>42268</v>
      </c>
      <c r="U323" s="21">
        <v>33732</v>
      </c>
      <c r="V323" t="b">
        <v>0</v>
      </c>
      <c r="W323" t="b">
        <v>0</v>
      </c>
      <c r="X323" t="b">
        <v>0</v>
      </c>
      <c r="Y323" t="s">
        <v>2082</v>
      </c>
      <c r="Z323" t="b">
        <v>1</v>
      </c>
      <c r="AB323" t="s">
        <v>1571</v>
      </c>
      <c r="AC323" t="b">
        <v>0</v>
      </c>
    </row>
    <row r="324" spans="1:29" x14ac:dyDescent="0.3">
      <c r="A324" s="57" t="str">
        <f>MEMBERS[[#This Row],[Title]]&amp;MEMBERS[[#This Row],[ServiceStartDate]]</f>
        <v>Jayne Boffey39822</v>
      </c>
      <c r="B324" s="57">
        <f>IF(COUNTIF(MEMBERS[NameServiceStart],MEMBERS[[#This Row],[NameServiceStart]])=1,0,1)</f>
        <v>0</v>
      </c>
      <c r="C324" s="57">
        <f>IF(COUNTIF(MEMBERS[StaffMemberCode],MEMBERS[[#This Row],[StaffMemberCode]])=1,0,1)</f>
        <v>0</v>
      </c>
      <c r="D324" s="57">
        <f>IF(ISBLANK(MEMBERS[[#This Row],[PayrollLocation]]),0,IF(COUNTIF(SCHOOLS[SchoolCode],MEMBERS[[#This Row],[PayrollLocation]])=1,0,1))</f>
        <v>0</v>
      </c>
      <c r="E324" s="57">
        <f>IF(MEMBERS[[#This Row],[AvailableToAllSchools]]=FALSE,IF(ISBLANK(MEMBERS[[#This Row],[SchoolCodes]]),1,0),IF(MEMBERS[[#This Row],[AvailableToAllSchools]]=TRUE,IF(ISBLANK(MEMBERS[[#This Row],[SchoolCodes]]),0,1)))</f>
        <v>0</v>
      </c>
      <c r="F324" s="57">
        <f>IF(ISBLANK(MEMBERS[[#This Row],[ServiceEndDate]]),0,IF(MEMBERS[[#This Row],[ServiceStartDate]]&lt;MEMBERS[[#This Row],[ServiceEndDate]],0,1))</f>
        <v>0</v>
      </c>
      <c r="G324" s="57" cm="1">
        <f t="array" aca="1" ref="G324" ca="1">IF(CELL("format",MEMBERS[[#This Row],[ServiceStartDate]])="D1",0,1)+IF(CELL("format",MEMBERS[[#This Row],[ServiceEndDate]])="D1",0,1)</f>
        <v>0</v>
      </c>
      <c r="H32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24" s="57">
        <f>IF(LEN(MEMBERS[[#This Row],[StaffMemberCode]])&lt;100,0,1)</f>
        <v>0</v>
      </c>
      <c r="J324" s="57">
        <f>IF(LEN(MEMBERS[[#This Row],[Title]])&lt;100,0,1)</f>
        <v>0</v>
      </c>
      <c r="K324" s="57">
        <f>COUNTBLANK(MEMBERS[[#This Row],[StaffMemberCode]:[ServiceStartDate]])+COUNTBLANK(MEMBERS[[#This Row],[Apprenticeship]]:MEMBERS[[#This Row],[StaffMemberEnabled]])+COUNTBLANK(MEMBERS[[#This Row],[GenderCode]]:MEMBERS[[#This Row],[Casual]])</f>
        <v>0</v>
      </c>
      <c r="L324" s="57">
        <f>IF(SUBSTITUTE(TEXT(MEMBERS[[#This Row],[StaffMemberCode]],10)," ","")=TEXT(MEMBERS[[#This Row],[StaffMemberCode]],10),0,1)</f>
        <v>0</v>
      </c>
      <c r="M324" s="57">
        <f ca="1">SUM(MEMBERS[[#This Row],[Duplicate NameService Start]:[Space in Code]])</f>
        <v>0</v>
      </c>
      <c r="O324" s="15">
        <v>91073483</v>
      </c>
      <c r="P324" s="15" t="s">
        <v>3296</v>
      </c>
      <c r="Q324" s="15" t="s">
        <v>3660</v>
      </c>
      <c r="R324" s="133" t="str">
        <f>MEMBERS[[#This Row],[FirstName]]&amp;" "&amp;MEMBERS[[#This Row],[LastName]]</f>
        <v>Jayne Boffey</v>
      </c>
      <c r="S324" s="21">
        <v>39822</v>
      </c>
      <c r="U324" s="21">
        <v>24518</v>
      </c>
      <c r="V324" t="b">
        <v>0</v>
      </c>
      <c r="W324" t="b">
        <v>0</v>
      </c>
      <c r="X324" t="b">
        <v>0</v>
      </c>
      <c r="Y324" t="s">
        <v>2094</v>
      </c>
      <c r="Z324" t="b">
        <v>1</v>
      </c>
      <c r="AB324" t="s">
        <v>1571</v>
      </c>
      <c r="AC324" t="b">
        <v>0</v>
      </c>
    </row>
    <row r="325" spans="1:29" x14ac:dyDescent="0.3">
      <c r="A325" s="57" t="str">
        <f>MEMBERS[[#This Row],[Title]]&amp;MEMBERS[[#This Row],[ServiceStartDate]]</f>
        <v>Jayne Harry42013</v>
      </c>
      <c r="B325" s="57">
        <f>IF(COUNTIF(MEMBERS[NameServiceStart],MEMBERS[[#This Row],[NameServiceStart]])=1,0,1)</f>
        <v>0</v>
      </c>
      <c r="C325" s="57">
        <f>IF(COUNTIF(MEMBERS[StaffMemberCode],MEMBERS[[#This Row],[StaffMemberCode]])=1,0,1)</f>
        <v>0</v>
      </c>
      <c r="D325" s="57">
        <f>IF(ISBLANK(MEMBERS[[#This Row],[PayrollLocation]]),0,IF(COUNTIF(SCHOOLS[SchoolCode],MEMBERS[[#This Row],[PayrollLocation]])=1,0,1))</f>
        <v>0</v>
      </c>
      <c r="E325" s="57">
        <f>IF(MEMBERS[[#This Row],[AvailableToAllSchools]]=FALSE,IF(ISBLANK(MEMBERS[[#This Row],[SchoolCodes]]),1,0),IF(MEMBERS[[#This Row],[AvailableToAllSchools]]=TRUE,IF(ISBLANK(MEMBERS[[#This Row],[SchoolCodes]]),0,1)))</f>
        <v>0</v>
      </c>
      <c r="F325" s="57">
        <f>IF(ISBLANK(MEMBERS[[#This Row],[ServiceEndDate]]),0,IF(MEMBERS[[#This Row],[ServiceStartDate]]&lt;MEMBERS[[#This Row],[ServiceEndDate]],0,1))</f>
        <v>0</v>
      </c>
      <c r="G325" s="57" cm="1">
        <f t="array" aca="1" ref="G325" ca="1">IF(CELL("format",MEMBERS[[#This Row],[ServiceStartDate]])="D1",0,1)+IF(CELL("format",MEMBERS[[#This Row],[ServiceEndDate]])="D1",0,1)</f>
        <v>0</v>
      </c>
      <c r="H32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25" s="57">
        <f>IF(LEN(MEMBERS[[#This Row],[StaffMemberCode]])&lt;100,0,1)</f>
        <v>0</v>
      </c>
      <c r="J325" s="57">
        <f>IF(LEN(MEMBERS[[#This Row],[Title]])&lt;100,0,1)</f>
        <v>0</v>
      </c>
      <c r="K325" s="57">
        <f>COUNTBLANK(MEMBERS[[#This Row],[StaffMemberCode]:[ServiceStartDate]])+COUNTBLANK(MEMBERS[[#This Row],[Apprenticeship]]:MEMBERS[[#This Row],[StaffMemberEnabled]])+COUNTBLANK(MEMBERS[[#This Row],[GenderCode]]:MEMBERS[[#This Row],[Casual]])</f>
        <v>0</v>
      </c>
      <c r="L325" s="57">
        <f>IF(SUBSTITUTE(TEXT(MEMBERS[[#This Row],[StaffMemberCode]],10)," ","")=TEXT(MEMBERS[[#This Row],[StaffMemberCode]],10),0,1)</f>
        <v>0</v>
      </c>
      <c r="M325" s="57">
        <f ca="1">SUM(MEMBERS[[#This Row],[Duplicate NameService Start]:[Space in Code]])</f>
        <v>0</v>
      </c>
      <c r="O325" s="15">
        <v>91073885</v>
      </c>
      <c r="P325" s="15" t="s">
        <v>3296</v>
      </c>
      <c r="Q325" s="15" t="s">
        <v>3661</v>
      </c>
      <c r="R325" s="133" t="str">
        <f>MEMBERS[[#This Row],[FirstName]]&amp;" "&amp;MEMBERS[[#This Row],[LastName]]</f>
        <v>Jayne Harry</v>
      </c>
      <c r="S325" s="21">
        <v>42013</v>
      </c>
      <c r="U325" s="21">
        <v>25265</v>
      </c>
      <c r="V325" t="b">
        <v>0</v>
      </c>
      <c r="W325" t="b">
        <v>0</v>
      </c>
      <c r="X325" t="b">
        <v>0</v>
      </c>
      <c r="Y325" t="s">
        <v>2266</v>
      </c>
      <c r="Z325" t="b">
        <v>1</v>
      </c>
      <c r="AB325" t="s">
        <v>1571</v>
      </c>
      <c r="AC325" t="b">
        <v>0</v>
      </c>
    </row>
    <row r="326" spans="1:29" x14ac:dyDescent="0.3">
      <c r="A326" s="57" t="str">
        <f>MEMBERS[[#This Row],[Title]]&amp;MEMBERS[[#This Row],[ServiceStartDate]]</f>
        <v>Jayne McEwan43530</v>
      </c>
      <c r="B326" s="57">
        <f>IF(COUNTIF(MEMBERS[NameServiceStart],MEMBERS[[#This Row],[NameServiceStart]])=1,0,1)</f>
        <v>0</v>
      </c>
      <c r="C326" s="57">
        <f>IF(COUNTIF(MEMBERS[StaffMemberCode],MEMBERS[[#This Row],[StaffMemberCode]])=1,0,1)</f>
        <v>0</v>
      </c>
      <c r="D326" s="57">
        <f>IF(ISBLANK(MEMBERS[[#This Row],[PayrollLocation]]),0,IF(COUNTIF(SCHOOLS[SchoolCode],MEMBERS[[#This Row],[PayrollLocation]])=1,0,1))</f>
        <v>0</v>
      </c>
      <c r="E326" s="57">
        <f>IF(MEMBERS[[#This Row],[AvailableToAllSchools]]=FALSE,IF(ISBLANK(MEMBERS[[#This Row],[SchoolCodes]]),1,0),IF(MEMBERS[[#This Row],[AvailableToAllSchools]]=TRUE,IF(ISBLANK(MEMBERS[[#This Row],[SchoolCodes]]),0,1)))</f>
        <v>0</v>
      </c>
      <c r="F326" s="57">
        <f>IF(ISBLANK(MEMBERS[[#This Row],[ServiceEndDate]]),0,IF(MEMBERS[[#This Row],[ServiceStartDate]]&lt;MEMBERS[[#This Row],[ServiceEndDate]],0,1))</f>
        <v>0</v>
      </c>
      <c r="G326" s="57" cm="1">
        <f t="array" aca="1" ref="G326" ca="1">IF(CELL("format",MEMBERS[[#This Row],[ServiceStartDate]])="D1",0,1)+IF(CELL("format",MEMBERS[[#This Row],[ServiceEndDate]])="D1",0,1)</f>
        <v>0</v>
      </c>
      <c r="H32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26" s="57">
        <f>IF(LEN(MEMBERS[[#This Row],[StaffMemberCode]])&lt;100,0,1)</f>
        <v>0</v>
      </c>
      <c r="J326" s="57">
        <f>IF(LEN(MEMBERS[[#This Row],[Title]])&lt;100,0,1)</f>
        <v>0</v>
      </c>
      <c r="K326" s="57">
        <f>COUNTBLANK(MEMBERS[[#This Row],[StaffMemberCode]:[ServiceStartDate]])+COUNTBLANK(MEMBERS[[#This Row],[Apprenticeship]]:MEMBERS[[#This Row],[StaffMemberEnabled]])+COUNTBLANK(MEMBERS[[#This Row],[GenderCode]]:MEMBERS[[#This Row],[Casual]])</f>
        <v>0</v>
      </c>
      <c r="L326" s="57">
        <f>IF(SUBSTITUTE(TEXT(MEMBERS[[#This Row],[StaffMemberCode]],10)," ","")=TEXT(MEMBERS[[#This Row],[StaffMemberCode]],10),0,1)</f>
        <v>0</v>
      </c>
      <c r="M326" s="57">
        <f ca="1">SUM(MEMBERS[[#This Row],[Duplicate NameService Start]:[Space in Code]])</f>
        <v>0</v>
      </c>
      <c r="O326" s="15">
        <v>91073442</v>
      </c>
      <c r="P326" s="15" t="s">
        <v>3296</v>
      </c>
      <c r="Q326" s="15" t="s">
        <v>3662</v>
      </c>
      <c r="R326" s="133" t="str">
        <f>MEMBERS[[#This Row],[FirstName]]&amp;" "&amp;MEMBERS[[#This Row],[LastName]]</f>
        <v>Jayne McEwan</v>
      </c>
      <c r="S326" s="21">
        <v>43530</v>
      </c>
      <c r="U326" s="21">
        <v>35020</v>
      </c>
      <c r="V326" t="b">
        <v>0</v>
      </c>
      <c r="W326" t="b">
        <v>0</v>
      </c>
      <c r="X326" t="b">
        <v>0</v>
      </c>
      <c r="Y326" t="s">
        <v>2094</v>
      </c>
      <c r="Z326" t="b">
        <v>1</v>
      </c>
      <c r="AB326" t="s">
        <v>1571</v>
      </c>
      <c r="AC326" t="b">
        <v>0</v>
      </c>
    </row>
    <row r="327" spans="1:29" x14ac:dyDescent="0.3">
      <c r="A327" s="57" t="str">
        <f>MEMBERS[[#This Row],[Title]]&amp;MEMBERS[[#This Row],[ServiceStartDate]]</f>
        <v>Jayne Watts37630</v>
      </c>
      <c r="B327" s="57">
        <f>IF(COUNTIF(MEMBERS[NameServiceStart],MEMBERS[[#This Row],[NameServiceStart]])=1,0,1)</f>
        <v>0</v>
      </c>
      <c r="C327" s="57">
        <f>IF(COUNTIF(MEMBERS[StaffMemberCode],MEMBERS[[#This Row],[StaffMemberCode]])=1,0,1)</f>
        <v>0</v>
      </c>
      <c r="D327" s="57">
        <f>IF(ISBLANK(MEMBERS[[#This Row],[PayrollLocation]]),0,IF(COUNTIF(SCHOOLS[SchoolCode],MEMBERS[[#This Row],[PayrollLocation]])=1,0,1))</f>
        <v>0</v>
      </c>
      <c r="E327" s="57">
        <f>IF(MEMBERS[[#This Row],[AvailableToAllSchools]]=FALSE,IF(ISBLANK(MEMBERS[[#This Row],[SchoolCodes]]),1,0),IF(MEMBERS[[#This Row],[AvailableToAllSchools]]=TRUE,IF(ISBLANK(MEMBERS[[#This Row],[SchoolCodes]]),0,1)))</f>
        <v>0</v>
      </c>
      <c r="F327" s="57">
        <f>IF(ISBLANK(MEMBERS[[#This Row],[ServiceEndDate]]),0,IF(MEMBERS[[#This Row],[ServiceStartDate]]&lt;MEMBERS[[#This Row],[ServiceEndDate]],0,1))</f>
        <v>0</v>
      </c>
      <c r="G327" s="57" cm="1">
        <f t="array" aca="1" ref="G327" ca="1">IF(CELL("format",MEMBERS[[#This Row],[ServiceStartDate]])="D1",0,1)+IF(CELL("format",MEMBERS[[#This Row],[ServiceEndDate]])="D1",0,1)</f>
        <v>0</v>
      </c>
      <c r="H32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27" s="57">
        <f>IF(LEN(MEMBERS[[#This Row],[StaffMemberCode]])&lt;100,0,1)</f>
        <v>0</v>
      </c>
      <c r="J327" s="57">
        <f>IF(LEN(MEMBERS[[#This Row],[Title]])&lt;100,0,1)</f>
        <v>0</v>
      </c>
      <c r="K327" s="57">
        <f>COUNTBLANK(MEMBERS[[#This Row],[StaffMemberCode]:[ServiceStartDate]])+COUNTBLANK(MEMBERS[[#This Row],[Apprenticeship]]:MEMBERS[[#This Row],[StaffMemberEnabled]])+COUNTBLANK(MEMBERS[[#This Row],[GenderCode]]:MEMBERS[[#This Row],[Casual]])</f>
        <v>0</v>
      </c>
      <c r="L327" s="57">
        <f>IF(SUBSTITUTE(TEXT(MEMBERS[[#This Row],[StaffMemberCode]],10)," ","")=TEXT(MEMBERS[[#This Row],[StaffMemberCode]],10),0,1)</f>
        <v>0</v>
      </c>
      <c r="M327" s="57">
        <f ca="1">SUM(MEMBERS[[#This Row],[Duplicate NameService Start]:[Space in Code]])</f>
        <v>0</v>
      </c>
      <c r="O327" s="15">
        <v>91073702</v>
      </c>
      <c r="P327" s="15" t="s">
        <v>3296</v>
      </c>
      <c r="Q327" s="15" t="s">
        <v>3541</v>
      </c>
      <c r="R327" s="133" t="str">
        <f>MEMBERS[[#This Row],[FirstName]]&amp;" "&amp;MEMBERS[[#This Row],[LastName]]</f>
        <v>Jayne Watts</v>
      </c>
      <c r="S327" s="21">
        <v>37630</v>
      </c>
      <c r="U327" s="21">
        <v>28241</v>
      </c>
      <c r="V327" t="b">
        <v>0</v>
      </c>
      <c r="W327" t="b">
        <v>0</v>
      </c>
      <c r="X327" t="b">
        <v>0</v>
      </c>
      <c r="Y327" t="s">
        <v>2082</v>
      </c>
      <c r="Z327" t="b">
        <v>1</v>
      </c>
      <c r="AB327" t="s">
        <v>1571</v>
      </c>
      <c r="AC327" t="b">
        <v>0</v>
      </c>
    </row>
    <row r="328" spans="1:29" x14ac:dyDescent="0.3">
      <c r="A328" s="57" t="str">
        <f>MEMBERS[[#This Row],[Title]]&amp;MEMBERS[[#This Row],[ServiceStartDate]]</f>
        <v>Jemma Smith43474</v>
      </c>
      <c r="B328" s="57">
        <f>IF(COUNTIF(MEMBERS[NameServiceStart],MEMBERS[[#This Row],[NameServiceStart]])=1,0,1)</f>
        <v>0</v>
      </c>
      <c r="C328" s="57">
        <f>IF(COUNTIF(MEMBERS[StaffMemberCode],MEMBERS[[#This Row],[StaffMemberCode]])=1,0,1)</f>
        <v>0</v>
      </c>
      <c r="D328" s="57">
        <f>IF(ISBLANK(MEMBERS[[#This Row],[PayrollLocation]]),0,IF(COUNTIF(SCHOOLS[SchoolCode],MEMBERS[[#This Row],[PayrollLocation]])=1,0,1))</f>
        <v>0</v>
      </c>
      <c r="E328" s="57">
        <f>IF(MEMBERS[[#This Row],[AvailableToAllSchools]]=FALSE,IF(ISBLANK(MEMBERS[[#This Row],[SchoolCodes]]),1,0),IF(MEMBERS[[#This Row],[AvailableToAllSchools]]=TRUE,IF(ISBLANK(MEMBERS[[#This Row],[SchoolCodes]]),0,1)))</f>
        <v>0</v>
      </c>
      <c r="F328" s="57">
        <f>IF(ISBLANK(MEMBERS[[#This Row],[ServiceEndDate]]),0,IF(MEMBERS[[#This Row],[ServiceStartDate]]&lt;MEMBERS[[#This Row],[ServiceEndDate]],0,1))</f>
        <v>0</v>
      </c>
      <c r="G328" s="57" cm="1">
        <f t="array" aca="1" ref="G328" ca="1">IF(CELL("format",MEMBERS[[#This Row],[ServiceStartDate]])="D1",0,1)+IF(CELL("format",MEMBERS[[#This Row],[ServiceEndDate]])="D1",0,1)</f>
        <v>0</v>
      </c>
      <c r="H32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28" s="57">
        <f>IF(LEN(MEMBERS[[#This Row],[StaffMemberCode]])&lt;100,0,1)</f>
        <v>0</v>
      </c>
      <c r="J328" s="57">
        <f>IF(LEN(MEMBERS[[#This Row],[Title]])&lt;100,0,1)</f>
        <v>0</v>
      </c>
      <c r="K328" s="57">
        <f>COUNTBLANK(MEMBERS[[#This Row],[StaffMemberCode]:[ServiceStartDate]])+COUNTBLANK(MEMBERS[[#This Row],[Apprenticeship]]:MEMBERS[[#This Row],[StaffMemberEnabled]])+COUNTBLANK(MEMBERS[[#This Row],[GenderCode]]:MEMBERS[[#This Row],[Casual]])</f>
        <v>0</v>
      </c>
      <c r="L328" s="57">
        <f>IF(SUBSTITUTE(TEXT(MEMBERS[[#This Row],[StaffMemberCode]],10)," ","")=TEXT(MEMBERS[[#This Row],[StaffMemberCode]],10),0,1)</f>
        <v>0</v>
      </c>
      <c r="M328" s="57">
        <f ca="1">SUM(MEMBERS[[#This Row],[Duplicate NameService Start]:[Space in Code]])</f>
        <v>0</v>
      </c>
      <c r="O328" s="15">
        <v>91073759</v>
      </c>
      <c r="P328" s="15" t="s">
        <v>3297</v>
      </c>
      <c r="Q328" s="15" t="s">
        <v>3516</v>
      </c>
      <c r="R328" s="133" t="str">
        <f>MEMBERS[[#This Row],[FirstName]]&amp;" "&amp;MEMBERS[[#This Row],[LastName]]</f>
        <v>Jemma Smith</v>
      </c>
      <c r="S328" s="21">
        <v>43474</v>
      </c>
      <c r="U328" s="21">
        <v>35046</v>
      </c>
      <c r="V328" t="b">
        <v>0</v>
      </c>
      <c r="W328" t="b">
        <v>0</v>
      </c>
      <c r="X328" t="b">
        <v>0</v>
      </c>
      <c r="Y328" t="s">
        <v>2082</v>
      </c>
      <c r="Z328" t="b">
        <v>1</v>
      </c>
      <c r="AB328" t="s">
        <v>1571</v>
      </c>
      <c r="AC328" t="b">
        <v>0</v>
      </c>
    </row>
    <row r="329" spans="1:29" x14ac:dyDescent="0.3">
      <c r="A329" s="57" t="str">
        <f>MEMBERS[[#This Row],[Title]]&amp;MEMBERS[[#This Row],[ServiceStartDate]]</f>
        <v>Jenney Cooper44144</v>
      </c>
      <c r="B329" s="57">
        <f>IF(COUNTIF(MEMBERS[NameServiceStart],MEMBERS[[#This Row],[NameServiceStart]])=1,0,1)</f>
        <v>0</v>
      </c>
      <c r="C329" s="57">
        <f>IF(COUNTIF(MEMBERS[StaffMemberCode],MEMBERS[[#This Row],[StaffMemberCode]])=1,0,1)</f>
        <v>0</v>
      </c>
      <c r="D329" s="57">
        <f>IF(ISBLANK(MEMBERS[[#This Row],[PayrollLocation]]),0,IF(COUNTIF(SCHOOLS[SchoolCode],MEMBERS[[#This Row],[PayrollLocation]])=1,0,1))</f>
        <v>0</v>
      </c>
      <c r="E329" s="57">
        <f>IF(MEMBERS[[#This Row],[AvailableToAllSchools]]=FALSE,IF(ISBLANK(MEMBERS[[#This Row],[SchoolCodes]]),1,0),IF(MEMBERS[[#This Row],[AvailableToAllSchools]]=TRUE,IF(ISBLANK(MEMBERS[[#This Row],[SchoolCodes]]),0,1)))</f>
        <v>0</v>
      </c>
      <c r="F329" s="57">
        <f>IF(ISBLANK(MEMBERS[[#This Row],[ServiceEndDate]]),0,IF(MEMBERS[[#This Row],[ServiceStartDate]]&lt;MEMBERS[[#This Row],[ServiceEndDate]],0,1))</f>
        <v>0</v>
      </c>
      <c r="G329" s="57" cm="1">
        <f t="array" aca="1" ref="G329" ca="1">IF(CELL("format",MEMBERS[[#This Row],[ServiceStartDate]])="D1",0,1)+IF(CELL("format",MEMBERS[[#This Row],[ServiceEndDate]])="D1",0,1)</f>
        <v>0</v>
      </c>
      <c r="H32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29" s="57">
        <f>IF(LEN(MEMBERS[[#This Row],[StaffMemberCode]])&lt;100,0,1)</f>
        <v>0</v>
      </c>
      <c r="J329" s="57">
        <f>IF(LEN(MEMBERS[[#This Row],[Title]])&lt;100,0,1)</f>
        <v>0</v>
      </c>
      <c r="K329" s="57">
        <f>COUNTBLANK(MEMBERS[[#This Row],[StaffMemberCode]:[ServiceStartDate]])+COUNTBLANK(MEMBERS[[#This Row],[Apprenticeship]]:MEMBERS[[#This Row],[StaffMemberEnabled]])+COUNTBLANK(MEMBERS[[#This Row],[GenderCode]]:MEMBERS[[#This Row],[Casual]])</f>
        <v>0</v>
      </c>
      <c r="L329" s="57">
        <f>IF(SUBSTITUTE(TEXT(MEMBERS[[#This Row],[StaffMemberCode]],10)," ","")=TEXT(MEMBERS[[#This Row],[StaffMemberCode]],10),0,1)</f>
        <v>0</v>
      </c>
      <c r="M329" s="57">
        <f ca="1">SUM(MEMBERS[[#This Row],[Duplicate NameService Start]:[Space in Code]])</f>
        <v>0</v>
      </c>
      <c r="O329" s="15">
        <v>91075760</v>
      </c>
      <c r="P329" s="15" t="s">
        <v>3298</v>
      </c>
      <c r="Q329" s="15" t="s">
        <v>3517</v>
      </c>
      <c r="R329" s="133" t="str">
        <f>MEMBERS[[#This Row],[FirstName]]&amp;" "&amp;MEMBERS[[#This Row],[LastName]]</f>
        <v>Jenney Cooper</v>
      </c>
      <c r="S329" s="21">
        <v>44144</v>
      </c>
      <c r="U329" s="21">
        <v>27568</v>
      </c>
      <c r="V329" t="b">
        <v>0</v>
      </c>
      <c r="W329" t="b">
        <v>0</v>
      </c>
      <c r="X329" t="b">
        <v>0</v>
      </c>
      <c r="Y329" t="s">
        <v>2200</v>
      </c>
      <c r="Z329" t="b">
        <v>1</v>
      </c>
      <c r="AB329" t="s">
        <v>1571</v>
      </c>
      <c r="AC329" t="b">
        <v>1</v>
      </c>
    </row>
    <row r="330" spans="1:29" x14ac:dyDescent="0.3">
      <c r="A330" s="57" t="str">
        <f>MEMBERS[[#This Row],[Title]]&amp;MEMBERS[[#This Row],[ServiceStartDate]]</f>
        <v>Jennifer Aspinall38231</v>
      </c>
      <c r="B330" s="57">
        <f>IF(COUNTIF(MEMBERS[NameServiceStart],MEMBERS[[#This Row],[NameServiceStart]])=1,0,1)</f>
        <v>0</v>
      </c>
      <c r="C330" s="57">
        <f>IF(COUNTIF(MEMBERS[StaffMemberCode],MEMBERS[[#This Row],[StaffMemberCode]])=1,0,1)</f>
        <v>0</v>
      </c>
      <c r="D330" s="57">
        <f>IF(ISBLANK(MEMBERS[[#This Row],[PayrollLocation]]),0,IF(COUNTIF(SCHOOLS[SchoolCode],MEMBERS[[#This Row],[PayrollLocation]])=1,0,1))</f>
        <v>0</v>
      </c>
      <c r="E330" s="57">
        <f>IF(MEMBERS[[#This Row],[AvailableToAllSchools]]=FALSE,IF(ISBLANK(MEMBERS[[#This Row],[SchoolCodes]]),1,0),IF(MEMBERS[[#This Row],[AvailableToAllSchools]]=TRUE,IF(ISBLANK(MEMBERS[[#This Row],[SchoolCodes]]),0,1)))</f>
        <v>0</v>
      </c>
      <c r="F330" s="57">
        <f>IF(ISBLANK(MEMBERS[[#This Row],[ServiceEndDate]]),0,IF(MEMBERS[[#This Row],[ServiceStartDate]]&lt;MEMBERS[[#This Row],[ServiceEndDate]],0,1))</f>
        <v>0</v>
      </c>
      <c r="G330" s="57" cm="1">
        <f t="array" aca="1" ref="G330" ca="1">IF(CELL("format",MEMBERS[[#This Row],[ServiceStartDate]])="D1",0,1)+IF(CELL("format",MEMBERS[[#This Row],[ServiceEndDate]])="D1",0,1)</f>
        <v>0</v>
      </c>
      <c r="H33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30" s="57">
        <f>IF(LEN(MEMBERS[[#This Row],[StaffMemberCode]])&lt;100,0,1)</f>
        <v>0</v>
      </c>
      <c r="J330" s="57">
        <f>IF(LEN(MEMBERS[[#This Row],[Title]])&lt;100,0,1)</f>
        <v>0</v>
      </c>
      <c r="K330" s="57">
        <f>COUNTBLANK(MEMBERS[[#This Row],[StaffMemberCode]:[ServiceStartDate]])+COUNTBLANK(MEMBERS[[#This Row],[Apprenticeship]]:MEMBERS[[#This Row],[StaffMemberEnabled]])+COUNTBLANK(MEMBERS[[#This Row],[GenderCode]]:MEMBERS[[#This Row],[Casual]])</f>
        <v>0</v>
      </c>
      <c r="L330" s="57">
        <f>IF(SUBSTITUTE(TEXT(MEMBERS[[#This Row],[StaffMemberCode]],10)," ","")=TEXT(MEMBERS[[#This Row],[StaffMemberCode]],10),0,1)</f>
        <v>0</v>
      </c>
      <c r="M330" s="57">
        <f ca="1">SUM(MEMBERS[[#This Row],[Duplicate NameService Start]:[Space in Code]])</f>
        <v>0</v>
      </c>
      <c r="O330" s="15">
        <v>10005300</v>
      </c>
      <c r="P330" s="15" t="s">
        <v>3299</v>
      </c>
      <c r="Q330" s="15" t="s">
        <v>4073</v>
      </c>
      <c r="R330" s="133" t="str">
        <f>MEMBERS[[#This Row],[FirstName]]&amp;" "&amp;MEMBERS[[#This Row],[LastName]]</f>
        <v>Jennifer Aspinall</v>
      </c>
      <c r="S330" s="21">
        <v>38231</v>
      </c>
      <c r="U330" s="21">
        <v>29568</v>
      </c>
      <c r="V330" s="138" t="b">
        <v>0</v>
      </c>
      <c r="W330" t="b">
        <v>0</v>
      </c>
      <c r="X330" t="b">
        <v>0</v>
      </c>
      <c r="Y330" t="s">
        <v>2126</v>
      </c>
      <c r="Z330" t="b">
        <v>1</v>
      </c>
      <c r="AB330" t="s">
        <v>1571</v>
      </c>
      <c r="AC330" t="b">
        <v>0</v>
      </c>
    </row>
    <row r="331" spans="1:29" x14ac:dyDescent="0.3">
      <c r="A331" s="57" t="str">
        <f>MEMBERS[[#This Row],[Title]]&amp;MEMBERS[[#This Row],[ServiceStartDate]]</f>
        <v>Jennifer Benn45839</v>
      </c>
      <c r="B331" s="57">
        <f>IF(COUNTIF(MEMBERS[NameServiceStart],MEMBERS[[#This Row],[NameServiceStart]])=1,0,1)</f>
        <v>0</v>
      </c>
      <c r="C331" s="57">
        <f>IF(COUNTIF(MEMBERS[StaffMemberCode],MEMBERS[[#This Row],[StaffMemberCode]])=1,0,1)</f>
        <v>0</v>
      </c>
      <c r="D331" s="57">
        <f>IF(ISBLANK(MEMBERS[[#This Row],[PayrollLocation]]),0,IF(COUNTIF(SCHOOLS[SchoolCode],MEMBERS[[#This Row],[PayrollLocation]])=1,0,1))</f>
        <v>0</v>
      </c>
      <c r="E331" s="57">
        <f>IF(MEMBERS[[#This Row],[AvailableToAllSchools]]=FALSE,IF(ISBLANK(MEMBERS[[#This Row],[SchoolCodes]]),1,0),IF(MEMBERS[[#This Row],[AvailableToAllSchools]]=TRUE,IF(ISBLANK(MEMBERS[[#This Row],[SchoolCodes]]),0,1)))</f>
        <v>0</v>
      </c>
      <c r="F331" s="57">
        <f>IF(ISBLANK(MEMBERS[[#This Row],[ServiceEndDate]]),0,IF(MEMBERS[[#This Row],[ServiceStartDate]]&lt;MEMBERS[[#This Row],[ServiceEndDate]],0,1))</f>
        <v>0</v>
      </c>
      <c r="G331" s="57" cm="1">
        <f t="array" aca="1" ref="G331" ca="1">IF(CELL("format",MEMBERS[[#This Row],[ServiceStartDate]])="D1",0,1)+IF(CELL("format",MEMBERS[[#This Row],[ServiceEndDate]])="D1",0,1)</f>
        <v>0</v>
      </c>
      <c r="H33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31" s="57">
        <f>IF(LEN(MEMBERS[[#This Row],[StaffMemberCode]])&lt;100,0,1)</f>
        <v>0</v>
      </c>
      <c r="J331" s="57">
        <f>IF(LEN(MEMBERS[[#This Row],[Title]])&lt;100,0,1)</f>
        <v>0</v>
      </c>
      <c r="K331" s="57">
        <f>COUNTBLANK(MEMBERS[[#This Row],[StaffMemberCode]:[ServiceStartDate]])+COUNTBLANK(MEMBERS[[#This Row],[Apprenticeship]]:MEMBERS[[#This Row],[StaffMemberEnabled]])+COUNTBLANK(MEMBERS[[#This Row],[GenderCode]]:MEMBERS[[#This Row],[Casual]])</f>
        <v>0</v>
      </c>
      <c r="L331" s="57">
        <f>IF(SUBSTITUTE(TEXT(MEMBERS[[#This Row],[StaffMemberCode]],10)," ","")=TEXT(MEMBERS[[#This Row],[StaffMemberCode]],10),0,1)</f>
        <v>0</v>
      </c>
      <c r="M331" s="57">
        <f ca="1">SUM(MEMBERS[[#This Row],[Duplicate NameService Start]:[Space in Code]])</f>
        <v>0</v>
      </c>
      <c r="O331" s="15">
        <v>91850027</v>
      </c>
      <c r="P331" s="15" t="s">
        <v>3299</v>
      </c>
      <c r="Q331" s="15" t="s">
        <v>3663</v>
      </c>
      <c r="R331" s="133" t="str">
        <f>MEMBERS[[#This Row],[FirstName]]&amp;" "&amp;MEMBERS[[#This Row],[LastName]]</f>
        <v>Jennifer Benn</v>
      </c>
      <c r="S331" s="21">
        <v>45839</v>
      </c>
      <c r="U331" s="21">
        <v>35437</v>
      </c>
      <c r="V331" t="b">
        <v>0</v>
      </c>
      <c r="W331" t="b">
        <v>0</v>
      </c>
      <c r="X331" t="b">
        <v>0</v>
      </c>
      <c r="Y331" t="s">
        <v>2082</v>
      </c>
      <c r="Z331" t="b">
        <v>1</v>
      </c>
      <c r="AB331" t="s">
        <v>1571</v>
      </c>
      <c r="AC331" t="b">
        <v>0</v>
      </c>
    </row>
    <row r="332" spans="1:29" x14ac:dyDescent="0.3">
      <c r="A332" s="57" t="str">
        <f>MEMBERS[[#This Row],[Title]]&amp;MEMBERS[[#This Row],[ServiceStartDate]]</f>
        <v>Jennifer Bourne41648</v>
      </c>
      <c r="B332" s="57">
        <f>IF(COUNTIF(MEMBERS[NameServiceStart],MEMBERS[[#This Row],[NameServiceStart]])=1,0,1)</f>
        <v>0</v>
      </c>
      <c r="C332" s="57">
        <f>IF(COUNTIF(MEMBERS[StaffMemberCode],MEMBERS[[#This Row],[StaffMemberCode]])=1,0,1)</f>
        <v>0</v>
      </c>
      <c r="D332" s="57">
        <f>IF(ISBLANK(MEMBERS[[#This Row],[PayrollLocation]]),0,IF(COUNTIF(SCHOOLS[SchoolCode],MEMBERS[[#This Row],[PayrollLocation]])=1,0,1))</f>
        <v>0</v>
      </c>
      <c r="E332" s="57">
        <f>IF(MEMBERS[[#This Row],[AvailableToAllSchools]]=FALSE,IF(ISBLANK(MEMBERS[[#This Row],[SchoolCodes]]),1,0),IF(MEMBERS[[#This Row],[AvailableToAllSchools]]=TRUE,IF(ISBLANK(MEMBERS[[#This Row],[SchoolCodes]]),0,1)))</f>
        <v>0</v>
      </c>
      <c r="F332" s="57">
        <f>IF(ISBLANK(MEMBERS[[#This Row],[ServiceEndDate]]),0,IF(MEMBERS[[#This Row],[ServiceStartDate]]&lt;MEMBERS[[#This Row],[ServiceEndDate]],0,1))</f>
        <v>0</v>
      </c>
      <c r="G332" s="57" cm="1">
        <f t="array" aca="1" ref="G332" ca="1">IF(CELL("format",MEMBERS[[#This Row],[ServiceStartDate]])="D1",0,1)+IF(CELL("format",MEMBERS[[#This Row],[ServiceEndDate]])="D1",0,1)</f>
        <v>0</v>
      </c>
      <c r="H33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32" s="57">
        <f>IF(LEN(MEMBERS[[#This Row],[StaffMemberCode]])&lt;100,0,1)</f>
        <v>0</v>
      </c>
      <c r="J332" s="57">
        <f>IF(LEN(MEMBERS[[#This Row],[Title]])&lt;100,0,1)</f>
        <v>0</v>
      </c>
      <c r="K332" s="57">
        <f>COUNTBLANK(MEMBERS[[#This Row],[StaffMemberCode]:[ServiceStartDate]])+COUNTBLANK(MEMBERS[[#This Row],[Apprenticeship]]:MEMBERS[[#This Row],[StaffMemberEnabled]])+COUNTBLANK(MEMBERS[[#This Row],[GenderCode]]:MEMBERS[[#This Row],[Casual]])</f>
        <v>0</v>
      </c>
      <c r="L332" s="57">
        <f>IF(SUBSTITUTE(TEXT(MEMBERS[[#This Row],[StaffMemberCode]],10)," ","")=TEXT(MEMBERS[[#This Row],[StaffMemberCode]],10),0,1)</f>
        <v>0</v>
      </c>
      <c r="M332" s="57">
        <f ca="1">SUM(MEMBERS[[#This Row],[Duplicate NameService Start]:[Space in Code]])</f>
        <v>0</v>
      </c>
      <c r="O332" s="15">
        <v>91073775</v>
      </c>
      <c r="P332" s="15" t="s">
        <v>3299</v>
      </c>
      <c r="Q332" s="15" t="s">
        <v>3664</v>
      </c>
      <c r="R332" s="133" t="str">
        <f>MEMBERS[[#This Row],[FirstName]]&amp;" "&amp;MEMBERS[[#This Row],[LastName]]</f>
        <v>Jennifer Bourne</v>
      </c>
      <c r="S332" s="21">
        <v>41648</v>
      </c>
      <c r="U332" s="21">
        <v>32220</v>
      </c>
      <c r="V332" t="b">
        <v>0</v>
      </c>
      <c r="W332" t="b">
        <v>0</v>
      </c>
      <c r="X332" t="b">
        <v>0</v>
      </c>
      <c r="Y332" t="s">
        <v>2082</v>
      </c>
      <c r="Z332" t="b">
        <v>1</v>
      </c>
      <c r="AB332" t="s">
        <v>1571</v>
      </c>
      <c r="AC332" t="b">
        <v>0</v>
      </c>
    </row>
    <row r="333" spans="1:29" x14ac:dyDescent="0.3">
      <c r="A333" s="57" t="str">
        <f>MEMBERS[[#This Row],[Title]]&amp;MEMBERS[[#This Row],[ServiceStartDate]]</f>
        <v>Jennifer Broad37949</v>
      </c>
      <c r="B333" s="57">
        <f>IF(COUNTIF(MEMBERS[NameServiceStart],MEMBERS[[#This Row],[NameServiceStart]])=1,0,1)</f>
        <v>0</v>
      </c>
      <c r="C333" s="57">
        <f>IF(COUNTIF(MEMBERS[StaffMemberCode],MEMBERS[[#This Row],[StaffMemberCode]])=1,0,1)</f>
        <v>0</v>
      </c>
      <c r="D333" s="57">
        <f>IF(ISBLANK(MEMBERS[[#This Row],[PayrollLocation]]),0,IF(COUNTIF(SCHOOLS[SchoolCode],MEMBERS[[#This Row],[PayrollLocation]])=1,0,1))</f>
        <v>0</v>
      </c>
      <c r="E333" s="57">
        <f>IF(MEMBERS[[#This Row],[AvailableToAllSchools]]=FALSE,IF(ISBLANK(MEMBERS[[#This Row],[SchoolCodes]]),1,0),IF(MEMBERS[[#This Row],[AvailableToAllSchools]]=TRUE,IF(ISBLANK(MEMBERS[[#This Row],[SchoolCodes]]),0,1)))</f>
        <v>0</v>
      </c>
      <c r="F333" s="57">
        <f>IF(ISBLANK(MEMBERS[[#This Row],[ServiceEndDate]]),0,IF(MEMBERS[[#This Row],[ServiceStartDate]]&lt;MEMBERS[[#This Row],[ServiceEndDate]],0,1))</f>
        <v>0</v>
      </c>
      <c r="G333" s="57" cm="1">
        <f t="array" aca="1" ref="G333" ca="1">IF(CELL("format",MEMBERS[[#This Row],[ServiceStartDate]])="D1",0,1)+IF(CELL("format",MEMBERS[[#This Row],[ServiceEndDate]])="D1",0,1)</f>
        <v>0</v>
      </c>
      <c r="H33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33" s="57">
        <f>IF(LEN(MEMBERS[[#This Row],[StaffMemberCode]])&lt;100,0,1)</f>
        <v>0</v>
      </c>
      <c r="J333" s="57">
        <f>IF(LEN(MEMBERS[[#This Row],[Title]])&lt;100,0,1)</f>
        <v>0</v>
      </c>
      <c r="K333" s="57">
        <f>COUNTBLANK(MEMBERS[[#This Row],[StaffMemberCode]:[ServiceStartDate]])+COUNTBLANK(MEMBERS[[#This Row],[Apprenticeship]]:MEMBERS[[#This Row],[StaffMemberEnabled]])+COUNTBLANK(MEMBERS[[#This Row],[GenderCode]]:MEMBERS[[#This Row],[Casual]])</f>
        <v>0</v>
      </c>
      <c r="L333" s="57">
        <f>IF(SUBSTITUTE(TEXT(MEMBERS[[#This Row],[StaffMemberCode]],10)," ","")=TEXT(MEMBERS[[#This Row],[StaffMemberCode]],10),0,1)</f>
        <v>0</v>
      </c>
      <c r="M333" s="57">
        <f ca="1">SUM(MEMBERS[[#This Row],[Duplicate NameService Start]:[Space in Code]])</f>
        <v>0</v>
      </c>
      <c r="O333" s="15">
        <v>91073671</v>
      </c>
      <c r="P333" s="15" t="s">
        <v>3299</v>
      </c>
      <c r="Q333" s="15" t="s">
        <v>3665</v>
      </c>
      <c r="R333" s="133" t="str">
        <f>MEMBERS[[#This Row],[FirstName]]&amp;" "&amp;MEMBERS[[#This Row],[LastName]]</f>
        <v>Jennifer Broad</v>
      </c>
      <c r="S333" s="21">
        <v>37949</v>
      </c>
      <c r="U333" s="21">
        <v>24157</v>
      </c>
      <c r="V333" t="b">
        <v>0</v>
      </c>
      <c r="W333" t="b">
        <v>0</v>
      </c>
      <c r="X333" t="b">
        <v>0</v>
      </c>
      <c r="Y333" t="s">
        <v>2082</v>
      </c>
      <c r="Z333" t="b">
        <v>1</v>
      </c>
      <c r="AB333" t="s">
        <v>1571</v>
      </c>
      <c r="AC333" t="b">
        <v>0</v>
      </c>
    </row>
    <row r="334" spans="1:29" x14ac:dyDescent="0.3">
      <c r="A334" s="57" t="str">
        <f>MEMBERS[[#This Row],[Title]]&amp;MEMBERS[[#This Row],[ServiceStartDate]]</f>
        <v>Jennifer Elliot44570</v>
      </c>
      <c r="B334" s="57">
        <f>IF(COUNTIF(MEMBERS[NameServiceStart],MEMBERS[[#This Row],[NameServiceStart]])=1,0,1)</f>
        <v>0</v>
      </c>
      <c r="C334" s="57">
        <f>IF(COUNTIF(MEMBERS[StaffMemberCode],MEMBERS[[#This Row],[StaffMemberCode]])=1,0,1)</f>
        <v>0</v>
      </c>
      <c r="D334" s="57">
        <f>IF(ISBLANK(MEMBERS[[#This Row],[PayrollLocation]]),0,IF(COUNTIF(SCHOOLS[SchoolCode],MEMBERS[[#This Row],[PayrollLocation]])=1,0,1))</f>
        <v>0</v>
      </c>
      <c r="E334" s="57">
        <f>IF(MEMBERS[[#This Row],[AvailableToAllSchools]]=FALSE,IF(ISBLANK(MEMBERS[[#This Row],[SchoolCodes]]),1,0),IF(MEMBERS[[#This Row],[AvailableToAllSchools]]=TRUE,IF(ISBLANK(MEMBERS[[#This Row],[SchoolCodes]]),0,1)))</f>
        <v>0</v>
      </c>
      <c r="F334" s="57">
        <f>IF(ISBLANK(MEMBERS[[#This Row],[ServiceEndDate]]),0,IF(MEMBERS[[#This Row],[ServiceStartDate]]&lt;MEMBERS[[#This Row],[ServiceEndDate]],0,1))</f>
        <v>0</v>
      </c>
      <c r="G334" s="57" cm="1">
        <f t="array" aca="1" ref="G334" ca="1">IF(CELL("format",MEMBERS[[#This Row],[ServiceStartDate]])="D1",0,1)+IF(CELL("format",MEMBERS[[#This Row],[ServiceEndDate]])="D1",0,1)</f>
        <v>0</v>
      </c>
      <c r="H33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34" s="57">
        <f>IF(LEN(MEMBERS[[#This Row],[StaffMemberCode]])&lt;100,0,1)</f>
        <v>0</v>
      </c>
      <c r="J334" s="57">
        <f>IF(LEN(MEMBERS[[#This Row],[Title]])&lt;100,0,1)</f>
        <v>0</v>
      </c>
      <c r="K334" s="57">
        <f>COUNTBLANK(MEMBERS[[#This Row],[StaffMemberCode]:[ServiceStartDate]])+COUNTBLANK(MEMBERS[[#This Row],[Apprenticeship]]:MEMBERS[[#This Row],[StaffMemberEnabled]])+COUNTBLANK(MEMBERS[[#This Row],[GenderCode]]:MEMBERS[[#This Row],[Casual]])</f>
        <v>0</v>
      </c>
      <c r="L334" s="57">
        <f>IF(SUBSTITUTE(TEXT(MEMBERS[[#This Row],[StaffMemberCode]],10)," ","")=TEXT(MEMBERS[[#This Row],[StaffMemberCode]],10),0,1)</f>
        <v>0</v>
      </c>
      <c r="M334" s="57">
        <f ca="1">SUM(MEMBERS[[#This Row],[Duplicate NameService Start]:[Space in Code]])</f>
        <v>0</v>
      </c>
      <c r="O334" s="15">
        <v>91073437</v>
      </c>
      <c r="P334" s="15" t="s">
        <v>3299</v>
      </c>
      <c r="Q334" s="15" t="s">
        <v>3507</v>
      </c>
      <c r="R334" s="133" t="str">
        <f>MEMBERS[[#This Row],[FirstName]]&amp;" "&amp;MEMBERS[[#This Row],[LastName]]</f>
        <v>Jennifer Elliot</v>
      </c>
      <c r="S334" s="21">
        <v>44570</v>
      </c>
      <c r="U334" s="21">
        <v>28987</v>
      </c>
      <c r="V334" t="b">
        <v>0</v>
      </c>
      <c r="W334" t="b">
        <v>0</v>
      </c>
      <c r="X334" t="b">
        <v>0</v>
      </c>
      <c r="Y334" t="s">
        <v>2094</v>
      </c>
      <c r="Z334" t="b">
        <v>1</v>
      </c>
      <c r="AB334" t="s">
        <v>1571</v>
      </c>
      <c r="AC334" t="b">
        <v>0</v>
      </c>
    </row>
    <row r="335" spans="1:29" x14ac:dyDescent="0.3">
      <c r="A335" s="57" t="str">
        <f>MEMBERS[[#This Row],[Title]]&amp;MEMBERS[[#This Row],[ServiceStartDate]]</f>
        <v>Jennifer Getty43109</v>
      </c>
      <c r="B335" s="57">
        <f>IF(COUNTIF(MEMBERS[NameServiceStart],MEMBERS[[#This Row],[NameServiceStart]])=1,0,1)</f>
        <v>0</v>
      </c>
      <c r="C335" s="57">
        <f>IF(COUNTIF(MEMBERS[StaffMemberCode],MEMBERS[[#This Row],[StaffMemberCode]])=1,0,1)</f>
        <v>0</v>
      </c>
      <c r="D335" s="57">
        <f>IF(ISBLANK(MEMBERS[[#This Row],[PayrollLocation]]),0,IF(COUNTIF(SCHOOLS[SchoolCode],MEMBERS[[#This Row],[PayrollLocation]])=1,0,1))</f>
        <v>0</v>
      </c>
      <c r="E335" s="57">
        <f>IF(MEMBERS[[#This Row],[AvailableToAllSchools]]=FALSE,IF(ISBLANK(MEMBERS[[#This Row],[SchoolCodes]]),1,0),IF(MEMBERS[[#This Row],[AvailableToAllSchools]]=TRUE,IF(ISBLANK(MEMBERS[[#This Row],[SchoolCodes]]),0,1)))</f>
        <v>0</v>
      </c>
      <c r="F335" s="57">
        <f>IF(ISBLANK(MEMBERS[[#This Row],[ServiceEndDate]]),0,IF(MEMBERS[[#This Row],[ServiceStartDate]]&lt;MEMBERS[[#This Row],[ServiceEndDate]],0,1))</f>
        <v>0</v>
      </c>
      <c r="G335" s="57" cm="1">
        <f t="array" aca="1" ref="G335" ca="1">IF(CELL("format",MEMBERS[[#This Row],[ServiceStartDate]])="D1",0,1)+IF(CELL("format",MEMBERS[[#This Row],[ServiceEndDate]])="D1",0,1)</f>
        <v>0</v>
      </c>
      <c r="H33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35" s="57">
        <f>IF(LEN(MEMBERS[[#This Row],[StaffMemberCode]])&lt;100,0,1)</f>
        <v>0</v>
      </c>
      <c r="J335" s="57">
        <f>IF(LEN(MEMBERS[[#This Row],[Title]])&lt;100,0,1)</f>
        <v>0</v>
      </c>
      <c r="K335" s="57">
        <f>COUNTBLANK(MEMBERS[[#This Row],[StaffMemberCode]:[ServiceStartDate]])+COUNTBLANK(MEMBERS[[#This Row],[Apprenticeship]]:MEMBERS[[#This Row],[StaffMemberEnabled]])+COUNTBLANK(MEMBERS[[#This Row],[GenderCode]]:MEMBERS[[#This Row],[Casual]])</f>
        <v>0</v>
      </c>
      <c r="L335" s="57">
        <f>IF(SUBSTITUTE(TEXT(MEMBERS[[#This Row],[StaffMemberCode]],10)," ","")=TEXT(MEMBERS[[#This Row],[StaffMemberCode]],10),0,1)</f>
        <v>0</v>
      </c>
      <c r="M335" s="57">
        <f ca="1">SUM(MEMBERS[[#This Row],[Duplicate NameService Start]:[Space in Code]])</f>
        <v>0</v>
      </c>
      <c r="O335" s="15">
        <v>91073848</v>
      </c>
      <c r="P335" s="15" t="s">
        <v>3299</v>
      </c>
      <c r="Q335" s="15" t="s">
        <v>3666</v>
      </c>
      <c r="R335" s="133" t="str">
        <f>MEMBERS[[#This Row],[FirstName]]&amp;" "&amp;MEMBERS[[#This Row],[LastName]]</f>
        <v>Jennifer Getty</v>
      </c>
      <c r="S335" s="21">
        <v>43109</v>
      </c>
      <c r="U335" s="21">
        <v>28102</v>
      </c>
      <c r="V335" t="b">
        <v>0</v>
      </c>
      <c r="W335" t="b">
        <v>0</v>
      </c>
      <c r="X335" t="b">
        <v>0</v>
      </c>
      <c r="Y335" t="s">
        <v>2082</v>
      </c>
      <c r="Z335" t="b">
        <v>1</v>
      </c>
      <c r="AB335" t="s">
        <v>1571</v>
      </c>
      <c r="AC335" t="b">
        <v>0</v>
      </c>
    </row>
    <row r="336" spans="1:29" x14ac:dyDescent="0.3">
      <c r="A336" s="57" t="str">
        <f>MEMBERS[[#This Row],[Title]]&amp;MEMBERS[[#This Row],[ServiceStartDate]]</f>
        <v>Jennifer Harding38231</v>
      </c>
      <c r="B336" s="57">
        <f>IF(COUNTIF(MEMBERS[NameServiceStart],MEMBERS[[#This Row],[NameServiceStart]])=1,0,1)</f>
        <v>0</v>
      </c>
      <c r="C336" s="57">
        <f>IF(COUNTIF(MEMBERS[StaffMemberCode],MEMBERS[[#This Row],[StaffMemberCode]])=1,0,1)</f>
        <v>0</v>
      </c>
      <c r="D336" s="57">
        <f>IF(ISBLANK(MEMBERS[[#This Row],[PayrollLocation]]),0,IF(COUNTIF(SCHOOLS[SchoolCode],MEMBERS[[#This Row],[PayrollLocation]])=1,0,1))</f>
        <v>0</v>
      </c>
      <c r="E336" s="57">
        <f>IF(MEMBERS[[#This Row],[AvailableToAllSchools]]=FALSE,IF(ISBLANK(MEMBERS[[#This Row],[SchoolCodes]]),1,0),IF(MEMBERS[[#This Row],[AvailableToAllSchools]]=TRUE,IF(ISBLANK(MEMBERS[[#This Row],[SchoolCodes]]),0,1)))</f>
        <v>0</v>
      </c>
      <c r="F336" s="57">
        <f>IF(ISBLANK(MEMBERS[[#This Row],[ServiceEndDate]]),0,IF(MEMBERS[[#This Row],[ServiceStartDate]]&lt;MEMBERS[[#This Row],[ServiceEndDate]],0,1))</f>
        <v>0</v>
      </c>
      <c r="G336" s="57" cm="1">
        <f t="array" aca="1" ref="G336" ca="1">IF(CELL("format",MEMBERS[[#This Row],[ServiceStartDate]])="D1",0,1)+IF(CELL("format",MEMBERS[[#This Row],[ServiceEndDate]])="D1",0,1)</f>
        <v>0</v>
      </c>
      <c r="H33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36" s="57">
        <f>IF(LEN(MEMBERS[[#This Row],[StaffMemberCode]])&lt;100,0,1)</f>
        <v>0</v>
      </c>
      <c r="J336" s="57">
        <f>IF(LEN(MEMBERS[[#This Row],[Title]])&lt;100,0,1)</f>
        <v>0</v>
      </c>
      <c r="K336" s="57">
        <f>COUNTBLANK(MEMBERS[[#This Row],[StaffMemberCode]:[ServiceStartDate]])+COUNTBLANK(MEMBERS[[#This Row],[Apprenticeship]]:MEMBERS[[#This Row],[StaffMemberEnabled]])+COUNTBLANK(MEMBERS[[#This Row],[GenderCode]]:MEMBERS[[#This Row],[Casual]])</f>
        <v>0</v>
      </c>
      <c r="L336" s="57">
        <f>IF(SUBSTITUTE(TEXT(MEMBERS[[#This Row],[StaffMemberCode]],10)," ","")=TEXT(MEMBERS[[#This Row],[StaffMemberCode]],10),0,1)</f>
        <v>0</v>
      </c>
      <c r="M336" s="57">
        <f ca="1">SUM(MEMBERS[[#This Row],[Duplicate NameService Start]:[Space in Code]])</f>
        <v>0</v>
      </c>
      <c r="O336" s="15">
        <v>10005298</v>
      </c>
      <c r="P336" s="15" t="s">
        <v>3299</v>
      </c>
      <c r="Q336" s="15" t="s">
        <v>4074</v>
      </c>
      <c r="R336" s="133" t="str">
        <f>MEMBERS[[#This Row],[FirstName]]&amp;" "&amp;MEMBERS[[#This Row],[LastName]]</f>
        <v>Jennifer Harding</v>
      </c>
      <c r="S336" s="21">
        <v>38231</v>
      </c>
      <c r="U336" s="21">
        <v>30118</v>
      </c>
      <c r="V336" s="138" t="b">
        <v>0</v>
      </c>
      <c r="W336" t="b">
        <v>0</v>
      </c>
      <c r="X336" t="b">
        <v>0</v>
      </c>
      <c r="Y336" t="s">
        <v>2126</v>
      </c>
      <c r="Z336" t="b">
        <v>1</v>
      </c>
      <c r="AB336" t="s">
        <v>1571</v>
      </c>
      <c r="AC336" t="b">
        <v>0</v>
      </c>
    </row>
    <row r="337" spans="1:29" x14ac:dyDescent="0.3">
      <c r="A337" s="57" t="str">
        <f>MEMBERS[[#This Row],[Title]]&amp;MEMBERS[[#This Row],[ServiceStartDate]]</f>
        <v>Jennifer Holden37135</v>
      </c>
      <c r="B337" s="57">
        <f>IF(COUNTIF(MEMBERS[NameServiceStart],MEMBERS[[#This Row],[NameServiceStart]])=1,0,1)</f>
        <v>0</v>
      </c>
      <c r="C337" s="57">
        <f>IF(COUNTIF(MEMBERS[StaffMemberCode],MEMBERS[[#This Row],[StaffMemberCode]])=1,0,1)</f>
        <v>0</v>
      </c>
      <c r="D337" s="57">
        <f>IF(ISBLANK(MEMBERS[[#This Row],[PayrollLocation]]),0,IF(COUNTIF(SCHOOLS[SchoolCode],MEMBERS[[#This Row],[PayrollLocation]])=1,0,1))</f>
        <v>0</v>
      </c>
      <c r="E337" s="57">
        <f>IF(MEMBERS[[#This Row],[AvailableToAllSchools]]=FALSE,IF(ISBLANK(MEMBERS[[#This Row],[SchoolCodes]]),1,0),IF(MEMBERS[[#This Row],[AvailableToAllSchools]]=TRUE,IF(ISBLANK(MEMBERS[[#This Row],[SchoolCodes]]),0,1)))</f>
        <v>0</v>
      </c>
      <c r="F337" s="57">
        <f>IF(ISBLANK(MEMBERS[[#This Row],[ServiceEndDate]]),0,IF(MEMBERS[[#This Row],[ServiceStartDate]]&lt;MEMBERS[[#This Row],[ServiceEndDate]],0,1))</f>
        <v>0</v>
      </c>
      <c r="G337" s="57" cm="1">
        <f t="array" aca="1" ref="G337" ca="1">IF(CELL("format",MEMBERS[[#This Row],[ServiceStartDate]])="D1",0,1)+IF(CELL("format",MEMBERS[[#This Row],[ServiceEndDate]])="D1",0,1)</f>
        <v>0</v>
      </c>
      <c r="H33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37" s="57">
        <f>IF(LEN(MEMBERS[[#This Row],[StaffMemberCode]])&lt;100,0,1)</f>
        <v>0</v>
      </c>
      <c r="J337" s="57">
        <f>IF(LEN(MEMBERS[[#This Row],[Title]])&lt;100,0,1)</f>
        <v>0</v>
      </c>
      <c r="K337" s="57">
        <f>COUNTBLANK(MEMBERS[[#This Row],[StaffMemberCode]:[ServiceStartDate]])+COUNTBLANK(MEMBERS[[#This Row],[Apprenticeship]]:MEMBERS[[#This Row],[StaffMemberEnabled]])+COUNTBLANK(MEMBERS[[#This Row],[GenderCode]]:MEMBERS[[#This Row],[Casual]])</f>
        <v>0</v>
      </c>
      <c r="L337" s="57">
        <f>IF(SUBSTITUTE(TEXT(MEMBERS[[#This Row],[StaffMemberCode]],10)," ","")=TEXT(MEMBERS[[#This Row],[StaffMemberCode]],10),0,1)</f>
        <v>0</v>
      </c>
      <c r="M337" s="57">
        <f ca="1">SUM(MEMBERS[[#This Row],[Duplicate NameService Start]:[Space in Code]])</f>
        <v>0</v>
      </c>
      <c r="O337" s="15">
        <v>91075743</v>
      </c>
      <c r="P337" s="15" t="s">
        <v>3299</v>
      </c>
      <c r="Q337" s="15" t="s">
        <v>3594</v>
      </c>
      <c r="R337" s="133" t="str">
        <f>MEMBERS[[#This Row],[FirstName]]&amp;" "&amp;MEMBERS[[#This Row],[LastName]]</f>
        <v>Jennifer Holden</v>
      </c>
      <c r="S337" s="21">
        <v>37135</v>
      </c>
      <c r="U337" s="21">
        <v>28789</v>
      </c>
      <c r="V337" t="b">
        <v>0</v>
      </c>
      <c r="W337" t="b">
        <v>0</v>
      </c>
      <c r="X337" t="b">
        <v>0</v>
      </c>
      <c r="Y337" t="s">
        <v>2200</v>
      </c>
      <c r="Z337" t="b">
        <v>1</v>
      </c>
      <c r="AB337" t="s">
        <v>1571</v>
      </c>
      <c r="AC337" t="b">
        <v>0</v>
      </c>
    </row>
    <row r="338" spans="1:29" x14ac:dyDescent="0.3">
      <c r="A338" s="57" t="str">
        <f>MEMBERS[[#This Row],[Title]]&amp;MEMBERS[[#This Row],[ServiceStartDate]]</f>
        <v>Jennifer Kennerley38361</v>
      </c>
      <c r="B338" s="57">
        <f>IF(COUNTIF(MEMBERS[NameServiceStart],MEMBERS[[#This Row],[NameServiceStart]])=1,0,1)</f>
        <v>0</v>
      </c>
      <c r="C338" s="57">
        <f>IF(COUNTIF(MEMBERS[StaffMemberCode],MEMBERS[[#This Row],[StaffMemberCode]])=1,0,1)</f>
        <v>0</v>
      </c>
      <c r="D338" s="57">
        <f>IF(ISBLANK(MEMBERS[[#This Row],[PayrollLocation]]),0,IF(COUNTIF(SCHOOLS[SchoolCode],MEMBERS[[#This Row],[PayrollLocation]])=1,0,1))</f>
        <v>0</v>
      </c>
      <c r="E338" s="57">
        <f>IF(MEMBERS[[#This Row],[AvailableToAllSchools]]=FALSE,IF(ISBLANK(MEMBERS[[#This Row],[SchoolCodes]]),1,0),IF(MEMBERS[[#This Row],[AvailableToAllSchools]]=TRUE,IF(ISBLANK(MEMBERS[[#This Row],[SchoolCodes]]),0,1)))</f>
        <v>0</v>
      </c>
      <c r="F338" s="57">
        <f>IF(ISBLANK(MEMBERS[[#This Row],[ServiceEndDate]]),0,IF(MEMBERS[[#This Row],[ServiceStartDate]]&lt;MEMBERS[[#This Row],[ServiceEndDate]],0,1))</f>
        <v>0</v>
      </c>
      <c r="G338" s="57" cm="1">
        <f t="array" aca="1" ref="G338" ca="1">IF(CELL("format",MEMBERS[[#This Row],[ServiceStartDate]])="D1",0,1)+IF(CELL("format",MEMBERS[[#This Row],[ServiceEndDate]])="D1",0,1)</f>
        <v>0</v>
      </c>
      <c r="H33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38" s="57">
        <f>IF(LEN(MEMBERS[[#This Row],[StaffMemberCode]])&lt;100,0,1)</f>
        <v>0</v>
      </c>
      <c r="J338" s="57">
        <f>IF(LEN(MEMBERS[[#This Row],[Title]])&lt;100,0,1)</f>
        <v>0</v>
      </c>
      <c r="K338" s="57">
        <f>COUNTBLANK(MEMBERS[[#This Row],[StaffMemberCode]:[ServiceStartDate]])+COUNTBLANK(MEMBERS[[#This Row],[Apprenticeship]]:MEMBERS[[#This Row],[StaffMemberEnabled]])+COUNTBLANK(MEMBERS[[#This Row],[GenderCode]]:MEMBERS[[#This Row],[Casual]])</f>
        <v>0</v>
      </c>
      <c r="L338" s="57">
        <f>IF(SUBSTITUTE(TEXT(MEMBERS[[#This Row],[StaffMemberCode]],10)," ","")=TEXT(MEMBERS[[#This Row],[StaffMemberCode]],10),0,1)</f>
        <v>0</v>
      </c>
      <c r="M338" s="57">
        <f ca="1">SUM(MEMBERS[[#This Row],[Duplicate NameService Start]:[Space in Code]])</f>
        <v>0</v>
      </c>
      <c r="O338" s="15">
        <v>91073774</v>
      </c>
      <c r="P338" s="15" t="s">
        <v>3299</v>
      </c>
      <c r="Q338" s="15" t="s">
        <v>3667</v>
      </c>
      <c r="R338" s="133" t="str">
        <f>MEMBERS[[#This Row],[FirstName]]&amp;" "&amp;MEMBERS[[#This Row],[LastName]]</f>
        <v>Jennifer Kennerley</v>
      </c>
      <c r="S338" s="21">
        <v>38361</v>
      </c>
      <c r="U338" s="21">
        <v>29755</v>
      </c>
      <c r="V338" t="b">
        <v>0</v>
      </c>
      <c r="W338" t="b">
        <v>0</v>
      </c>
      <c r="X338" t="b">
        <v>0</v>
      </c>
      <c r="Y338" t="s">
        <v>2082</v>
      </c>
      <c r="Z338" t="b">
        <v>1</v>
      </c>
      <c r="AB338" t="s">
        <v>1571</v>
      </c>
      <c r="AC338" t="b">
        <v>0</v>
      </c>
    </row>
    <row r="339" spans="1:29" x14ac:dyDescent="0.3">
      <c r="A339" s="57" t="str">
        <f>MEMBERS[[#This Row],[Title]]&amp;MEMBERS[[#This Row],[ServiceStartDate]]</f>
        <v>Jennifer Mooney38726</v>
      </c>
      <c r="B339" s="57">
        <f>IF(COUNTIF(MEMBERS[NameServiceStart],MEMBERS[[#This Row],[NameServiceStart]])=1,0,1)</f>
        <v>0</v>
      </c>
      <c r="C339" s="57">
        <f>IF(COUNTIF(MEMBERS[StaffMemberCode],MEMBERS[[#This Row],[StaffMemberCode]])=1,0,1)</f>
        <v>0</v>
      </c>
      <c r="D339" s="57">
        <f>IF(ISBLANK(MEMBERS[[#This Row],[PayrollLocation]]),0,IF(COUNTIF(SCHOOLS[SchoolCode],MEMBERS[[#This Row],[PayrollLocation]])=1,0,1))</f>
        <v>0</v>
      </c>
      <c r="E339" s="57">
        <f>IF(MEMBERS[[#This Row],[AvailableToAllSchools]]=FALSE,IF(ISBLANK(MEMBERS[[#This Row],[SchoolCodes]]),1,0),IF(MEMBERS[[#This Row],[AvailableToAllSchools]]=TRUE,IF(ISBLANK(MEMBERS[[#This Row],[SchoolCodes]]),0,1)))</f>
        <v>0</v>
      </c>
      <c r="F339" s="57">
        <f>IF(ISBLANK(MEMBERS[[#This Row],[ServiceEndDate]]),0,IF(MEMBERS[[#This Row],[ServiceStartDate]]&lt;MEMBERS[[#This Row],[ServiceEndDate]],0,1))</f>
        <v>0</v>
      </c>
      <c r="G339" s="57" cm="1">
        <f t="array" aca="1" ref="G339" ca="1">IF(CELL("format",MEMBERS[[#This Row],[ServiceStartDate]])="D1",0,1)+IF(CELL("format",MEMBERS[[#This Row],[ServiceEndDate]])="D1",0,1)</f>
        <v>0</v>
      </c>
      <c r="H33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39" s="57">
        <f>IF(LEN(MEMBERS[[#This Row],[StaffMemberCode]])&lt;100,0,1)</f>
        <v>0</v>
      </c>
      <c r="J339" s="57">
        <f>IF(LEN(MEMBERS[[#This Row],[Title]])&lt;100,0,1)</f>
        <v>0</v>
      </c>
      <c r="K339" s="57">
        <f>COUNTBLANK(MEMBERS[[#This Row],[StaffMemberCode]:[ServiceStartDate]])+COUNTBLANK(MEMBERS[[#This Row],[Apprenticeship]]:MEMBERS[[#This Row],[StaffMemberEnabled]])+COUNTBLANK(MEMBERS[[#This Row],[GenderCode]]:MEMBERS[[#This Row],[Casual]])</f>
        <v>0</v>
      </c>
      <c r="L339" s="57">
        <f>IF(SUBSTITUTE(TEXT(MEMBERS[[#This Row],[StaffMemberCode]],10)," ","")=TEXT(MEMBERS[[#This Row],[StaffMemberCode]],10),0,1)</f>
        <v>0</v>
      </c>
      <c r="M339" s="57">
        <f ca="1">SUM(MEMBERS[[#This Row],[Duplicate NameService Start]:[Space in Code]])</f>
        <v>0</v>
      </c>
      <c r="O339" s="15">
        <v>91073474</v>
      </c>
      <c r="P339" s="15" t="s">
        <v>3299</v>
      </c>
      <c r="Q339" s="15" t="s">
        <v>3668</v>
      </c>
      <c r="R339" s="133" t="str">
        <f>MEMBERS[[#This Row],[FirstName]]&amp;" "&amp;MEMBERS[[#This Row],[LastName]]</f>
        <v>Jennifer Mooney</v>
      </c>
      <c r="S339" s="21">
        <v>38726</v>
      </c>
      <c r="U339" s="21">
        <v>29494</v>
      </c>
      <c r="V339" t="b">
        <v>0</v>
      </c>
      <c r="W339" t="b">
        <v>0</v>
      </c>
      <c r="X339" t="b">
        <v>0</v>
      </c>
      <c r="Y339" t="s">
        <v>2094</v>
      </c>
      <c r="Z339" t="b">
        <v>1</v>
      </c>
      <c r="AB339" t="s">
        <v>1571</v>
      </c>
      <c r="AC339" t="b">
        <v>0</v>
      </c>
    </row>
    <row r="340" spans="1:29" x14ac:dyDescent="0.3">
      <c r="A340" s="57" t="str">
        <f>MEMBERS[[#This Row],[Title]]&amp;MEMBERS[[#This Row],[ServiceStartDate]]</f>
        <v>Jennifer Sisca42013</v>
      </c>
      <c r="B340" s="57">
        <f>IF(COUNTIF(MEMBERS[NameServiceStart],MEMBERS[[#This Row],[NameServiceStart]])=1,0,1)</f>
        <v>0</v>
      </c>
      <c r="C340" s="57">
        <f>IF(COUNTIF(MEMBERS[StaffMemberCode],MEMBERS[[#This Row],[StaffMemberCode]])=1,0,1)</f>
        <v>0</v>
      </c>
      <c r="D340" s="57">
        <f>IF(ISBLANK(MEMBERS[[#This Row],[PayrollLocation]]),0,IF(COUNTIF(SCHOOLS[SchoolCode],MEMBERS[[#This Row],[PayrollLocation]])=1,0,1))</f>
        <v>0</v>
      </c>
      <c r="E340" s="57">
        <f>IF(MEMBERS[[#This Row],[AvailableToAllSchools]]=FALSE,IF(ISBLANK(MEMBERS[[#This Row],[SchoolCodes]]),1,0),IF(MEMBERS[[#This Row],[AvailableToAllSchools]]=TRUE,IF(ISBLANK(MEMBERS[[#This Row],[SchoolCodes]]),0,1)))</f>
        <v>0</v>
      </c>
      <c r="F340" s="57">
        <f>IF(ISBLANK(MEMBERS[[#This Row],[ServiceEndDate]]),0,IF(MEMBERS[[#This Row],[ServiceStartDate]]&lt;MEMBERS[[#This Row],[ServiceEndDate]],0,1))</f>
        <v>0</v>
      </c>
      <c r="G340" s="57" cm="1">
        <f t="array" aca="1" ref="G340" ca="1">IF(CELL("format",MEMBERS[[#This Row],[ServiceStartDate]])="D1",0,1)+IF(CELL("format",MEMBERS[[#This Row],[ServiceEndDate]])="D1",0,1)</f>
        <v>0</v>
      </c>
      <c r="H34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40" s="57">
        <f>IF(LEN(MEMBERS[[#This Row],[StaffMemberCode]])&lt;100,0,1)</f>
        <v>0</v>
      </c>
      <c r="J340" s="57">
        <f>IF(LEN(MEMBERS[[#This Row],[Title]])&lt;100,0,1)</f>
        <v>0</v>
      </c>
      <c r="K340" s="57">
        <f>COUNTBLANK(MEMBERS[[#This Row],[StaffMemberCode]:[ServiceStartDate]])+COUNTBLANK(MEMBERS[[#This Row],[Apprenticeship]]:MEMBERS[[#This Row],[StaffMemberEnabled]])+COUNTBLANK(MEMBERS[[#This Row],[GenderCode]]:MEMBERS[[#This Row],[Casual]])</f>
        <v>0</v>
      </c>
      <c r="L340" s="57">
        <f>IF(SUBSTITUTE(TEXT(MEMBERS[[#This Row],[StaffMemberCode]],10)," ","")=TEXT(MEMBERS[[#This Row],[StaffMemberCode]],10),0,1)</f>
        <v>0</v>
      </c>
      <c r="M340" s="57">
        <f ca="1">SUM(MEMBERS[[#This Row],[Duplicate NameService Start]:[Space in Code]])</f>
        <v>0</v>
      </c>
      <c r="O340" s="15">
        <v>91073716</v>
      </c>
      <c r="P340" s="15" t="s">
        <v>3299</v>
      </c>
      <c r="Q340" s="15" t="s">
        <v>3669</v>
      </c>
      <c r="R340" s="133" t="str">
        <f>MEMBERS[[#This Row],[FirstName]]&amp;" "&amp;MEMBERS[[#This Row],[LastName]]</f>
        <v>Jennifer Sisca</v>
      </c>
      <c r="S340" s="21">
        <v>42013</v>
      </c>
      <c r="U340" s="21">
        <v>24478</v>
      </c>
      <c r="V340" t="b">
        <v>0</v>
      </c>
      <c r="W340" t="b">
        <v>0</v>
      </c>
      <c r="X340" t="b">
        <v>0</v>
      </c>
      <c r="Y340" t="s">
        <v>2082</v>
      </c>
      <c r="Z340" t="b">
        <v>1</v>
      </c>
      <c r="AB340" t="s">
        <v>1571</v>
      </c>
      <c r="AC340" t="b">
        <v>0</v>
      </c>
    </row>
    <row r="341" spans="1:29" x14ac:dyDescent="0.3">
      <c r="A341" s="57" t="str">
        <f>MEMBERS[[#This Row],[Title]]&amp;MEMBERS[[#This Row],[ServiceStartDate]]</f>
        <v>Jennifer Spragg41648</v>
      </c>
      <c r="B341" s="57">
        <f>IF(COUNTIF(MEMBERS[NameServiceStart],MEMBERS[[#This Row],[NameServiceStart]])=1,0,1)</f>
        <v>0</v>
      </c>
      <c r="C341" s="57">
        <f>IF(COUNTIF(MEMBERS[StaffMemberCode],MEMBERS[[#This Row],[StaffMemberCode]])=1,0,1)</f>
        <v>0</v>
      </c>
      <c r="D341" s="57">
        <f>IF(ISBLANK(MEMBERS[[#This Row],[PayrollLocation]]),0,IF(COUNTIF(SCHOOLS[SchoolCode],MEMBERS[[#This Row],[PayrollLocation]])=1,0,1))</f>
        <v>0</v>
      </c>
      <c r="E341" s="57">
        <f>IF(MEMBERS[[#This Row],[AvailableToAllSchools]]=FALSE,IF(ISBLANK(MEMBERS[[#This Row],[SchoolCodes]]),1,0),IF(MEMBERS[[#This Row],[AvailableToAllSchools]]=TRUE,IF(ISBLANK(MEMBERS[[#This Row],[SchoolCodes]]),0,1)))</f>
        <v>0</v>
      </c>
      <c r="F341" s="57">
        <f>IF(ISBLANK(MEMBERS[[#This Row],[ServiceEndDate]]),0,IF(MEMBERS[[#This Row],[ServiceStartDate]]&lt;MEMBERS[[#This Row],[ServiceEndDate]],0,1))</f>
        <v>0</v>
      </c>
      <c r="G341" s="57" cm="1">
        <f t="array" aca="1" ref="G341" ca="1">IF(CELL("format",MEMBERS[[#This Row],[ServiceStartDate]])="D1",0,1)+IF(CELL("format",MEMBERS[[#This Row],[ServiceEndDate]])="D1",0,1)</f>
        <v>0</v>
      </c>
      <c r="H34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41" s="57">
        <f>IF(LEN(MEMBERS[[#This Row],[StaffMemberCode]])&lt;100,0,1)</f>
        <v>0</v>
      </c>
      <c r="J341" s="57">
        <f>IF(LEN(MEMBERS[[#This Row],[Title]])&lt;100,0,1)</f>
        <v>0</v>
      </c>
      <c r="K341" s="57">
        <f>COUNTBLANK(MEMBERS[[#This Row],[StaffMemberCode]:[ServiceStartDate]])+COUNTBLANK(MEMBERS[[#This Row],[Apprenticeship]]:MEMBERS[[#This Row],[StaffMemberEnabled]])+COUNTBLANK(MEMBERS[[#This Row],[GenderCode]]:MEMBERS[[#This Row],[Casual]])</f>
        <v>0</v>
      </c>
      <c r="L341" s="57">
        <f>IF(SUBSTITUTE(TEXT(MEMBERS[[#This Row],[StaffMemberCode]],10)," ","")=TEXT(MEMBERS[[#This Row],[StaffMemberCode]],10),0,1)</f>
        <v>0</v>
      </c>
      <c r="M341" s="57">
        <f ca="1">SUM(MEMBERS[[#This Row],[Duplicate NameService Start]:[Space in Code]])</f>
        <v>0</v>
      </c>
      <c r="O341" s="15">
        <v>91073535</v>
      </c>
      <c r="P341" s="15" t="s">
        <v>3299</v>
      </c>
      <c r="Q341" s="15" t="s">
        <v>3670</v>
      </c>
      <c r="R341" s="133" t="str">
        <f>MEMBERS[[#This Row],[FirstName]]&amp;" "&amp;MEMBERS[[#This Row],[LastName]]</f>
        <v>Jennifer Spragg</v>
      </c>
      <c r="S341" s="21">
        <v>41648</v>
      </c>
      <c r="U341" s="21">
        <v>31496</v>
      </c>
      <c r="V341" t="b">
        <v>0</v>
      </c>
      <c r="W341" t="b">
        <v>0</v>
      </c>
      <c r="X341" t="b">
        <v>0</v>
      </c>
      <c r="Y341" t="s">
        <v>2094</v>
      </c>
      <c r="Z341" t="b">
        <v>1</v>
      </c>
      <c r="AB341" t="s">
        <v>1571</v>
      </c>
      <c r="AC341" t="b">
        <v>0</v>
      </c>
    </row>
    <row r="342" spans="1:29" x14ac:dyDescent="0.3">
      <c r="A342" s="57" t="str">
        <f>MEMBERS[[#This Row],[Title]]&amp;MEMBERS[[#This Row],[ServiceStartDate]]</f>
        <v>Jennifer Wright40909</v>
      </c>
      <c r="B342" s="57">
        <f>IF(COUNTIF(MEMBERS[NameServiceStart],MEMBERS[[#This Row],[NameServiceStart]])=1,0,1)</f>
        <v>0</v>
      </c>
      <c r="C342" s="57">
        <f>IF(COUNTIF(MEMBERS[StaffMemberCode],MEMBERS[[#This Row],[StaffMemberCode]])=1,0,1)</f>
        <v>0</v>
      </c>
      <c r="D342" s="57">
        <f>IF(ISBLANK(MEMBERS[[#This Row],[PayrollLocation]]),0,IF(COUNTIF(SCHOOLS[SchoolCode],MEMBERS[[#This Row],[PayrollLocation]])=1,0,1))</f>
        <v>0</v>
      </c>
      <c r="E342" s="57">
        <f>IF(MEMBERS[[#This Row],[AvailableToAllSchools]]=FALSE,IF(ISBLANK(MEMBERS[[#This Row],[SchoolCodes]]),1,0),IF(MEMBERS[[#This Row],[AvailableToAllSchools]]=TRUE,IF(ISBLANK(MEMBERS[[#This Row],[SchoolCodes]]),0,1)))</f>
        <v>0</v>
      </c>
      <c r="F342" s="57">
        <f>IF(ISBLANK(MEMBERS[[#This Row],[ServiceEndDate]]),0,IF(MEMBERS[[#This Row],[ServiceStartDate]]&lt;MEMBERS[[#This Row],[ServiceEndDate]],0,1))</f>
        <v>0</v>
      </c>
      <c r="G342" s="57" cm="1">
        <f t="array" aca="1" ref="G342" ca="1">IF(CELL("format",MEMBERS[[#This Row],[ServiceStartDate]])="D1",0,1)+IF(CELL("format",MEMBERS[[#This Row],[ServiceEndDate]])="D1",0,1)</f>
        <v>0</v>
      </c>
      <c r="H34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42" s="57">
        <f>IF(LEN(MEMBERS[[#This Row],[StaffMemberCode]])&lt;100,0,1)</f>
        <v>0</v>
      </c>
      <c r="J342" s="57">
        <f>IF(LEN(MEMBERS[[#This Row],[Title]])&lt;100,0,1)</f>
        <v>0</v>
      </c>
      <c r="K342" s="57">
        <f>COUNTBLANK(MEMBERS[[#This Row],[StaffMemberCode]:[ServiceStartDate]])+COUNTBLANK(MEMBERS[[#This Row],[Apprenticeship]]:MEMBERS[[#This Row],[StaffMemberEnabled]])+COUNTBLANK(MEMBERS[[#This Row],[GenderCode]]:MEMBERS[[#This Row],[Casual]])</f>
        <v>0</v>
      </c>
      <c r="L342" s="57">
        <f>IF(SUBSTITUTE(TEXT(MEMBERS[[#This Row],[StaffMemberCode]],10)," ","")=TEXT(MEMBERS[[#This Row],[StaffMemberCode]],10),0,1)</f>
        <v>0</v>
      </c>
      <c r="M342" s="57">
        <f ca="1">SUM(MEMBERS[[#This Row],[Duplicate NameService Start]:[Space in Code]])</f>
        <v>0</v>
      </c>
      <c r="O342" s="15">
        <v>91073408</v>
      </c>
      <c r="P342" s="15" t="s">
        <v>3299</v>
      </c>
      <c r="Q342" s="15" t="s">
        <v>3671</v>
      </c>
      <c r="R342" s="133" t="str">
        <f>MEMBERS[[#This Row],[FirstName]]&amp;" "&amp;MEMBERS[[#This Row],[LastName]]</f>
        <v>Jennifer Wright</v>
      </c>
      <c r="S342" s="21">
        <v>40909</v>
      </c>
      <c r="U342" s="21">
        <v>30608</v>
      </c>
      <c r="V342" t="b">
        <v>0</v>
      </c>
      <c r="W342" t="b">
        <v>0</v>
      </c>
      <c r="X342" t="b">
        <v>0</v>
      </c>
      <c r="Y342" t="s">
        <v>2275</v>
      </c>
      <c r="Z342" t="b">
        <v>1</v>
      </c>
      <c r="AB342" t="s">
        <v>1571</v>
      </c>
      <c r="AC342" t="b">
        <v>0</v>
      </c>
    </row>
    <row r="343" spans="1:29" x14ac:dyDescent="0.3">
      <c r="A343" s="57" t="str">
        <f>MEMBERS[[#This Row],[Title]]&amp;MEMBERS[[#This Row],[ServiceStartDate]]</f>
        <v>Jenny Buckley40516</v>
      </c>
      <c r="B343" s="57">
        <f>IF(COUNTIF(MEMBERS[NameServiceStart],MEMBERS[[#This Row],[NameServiceStart]])=1,0,1)</f>
        <v>0</v>
      </c>
      <c r="C343" s="57">
        <f>IF(COUNTIF(MEMBERS[StaffMemberCode],MEMBERS[[#This Row],[StaffMemberCode]])=1,0,1)</f>
        <v>0</v>
      </c>
      <c r="D343" s="57">
        <f>IF(ISBLANK(MEMBERS[[#This Row],[PayrollLocation]]),0,IF(COUNTIF(SCHOOLS[SchoolCode],MEMBERS[[#This Row],[PayrollLocation]])=1,0,1))</f>
        <v>0</v>
      </c>
      <c r="E343" s="57">
        <f>IF(MEMBERS[[#This Row],[AvailableToAllSchools]]=FALSE,IF(ISBLANK(MEMBERS[[#This Row],[SchoolCodes]]),1,0),IF(MEMBERS[[#This Row],[AvailableToAllSchools]]=TRUE,IF(ISBLANK(MEMBERS[[#This Row],[SchoolCodes]]),0,1)))</f>
        <v>0</v>
      </c>
      <c r="F343" s="57">
        <f>IF(ISBLANK(MEMBERS[[#This Row],[ServiceEndDate]]),0,IF(MEMBERS[[#This Row],[ServiceStartDate]]&lt;MEMBERS[[#This Row],[ServiceEndDate]],0,1))</f>
        <v>0</v>
      </c>
      <c r="G343" s="57" cm="1">
        <f t="array" aca="1" ref="G343" ca="1">IF(CELL("format",MEMBERS[[#This Row],[ServiceStartDate]])="D1",0,1)+IF(CELL("format",MEMBERS[[#This Row],[ServiceEndDate]])="D1",0,1)</f>
        <v>0</v>
      </c>
      <c r="H34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43" s="57">
        <f>IF(LEN(MEMBERS[[#This Row],[StaffMemberCode]])&lt;100,0,1)</f>
        <v>0</v>
      </c>
      <c r="J343" s="57">
        <f>IF(LEN(MEMBERS[[#This Row],[Title]])&lt;100,0,1)</f>
        <v>0</v>
      </c>
      <c r="K343" s="57">
        <f>COUNTBLANK(MEMBERS[[#This Row],[StaffMemberCode]:[ServiceStartDate]])+COUNTBLANK(MEMBERS[[#This Row],[Apprenticeship]]:MEMBERS[[#This Row],[StaffMemberEnabled]])+COUNTBLANK(MEMBERS[[#This Row],[GenderCode]]:MEMBERS[[#This Row],[Casual]])</f>
        <v>0</v>
      </c>
      <c r="L343" s="57">
        <f>IF(SUBSTITUTE(TEXT(MEMBERS[[#This Row],[StaffMemberCode]],10)," ","")=TEXT(MEMBERS[[#This Row],[StaffMemberCode]],10),0,1)</f>
        <v>0</v>
      </c>
      <c r="M343" s="57">
        <f ca="1">SUM(MEMBERS[[#This Row],[Duplicate NameService Start]:[Space in Code]])</f>
        <v>0</v>
      </c>
      <c r="O343" s="15">
        <v>91073407</v>
      </c>
      <c r="P343" s="15" t="s">
        <v>3300</v>
      </c>
      <c r="Q343" s="15" t="s">
        <v>3672</v>
      </c>
      <c r="R343" s="133" t="str">
        <f>MEMBERS[[#This Row],[FirstName]]&amp;" "&amp;MEMBERS[[#This Row],[LastName]]</f>
        <v>Jenny Buckley</v>
      </c>
      <c r="S343" s="21">
        <v>40516</v>
      </c>
      <c r="U343" s="21">
        <v>26844</v>
      </c>
      <c r="V343" t="b">
        <v>0</v>
      </c>
      <c r="W343" t="b">
        <v>0</v>
      </c>
      <c r="X343" t="b">
        <v>0</v>
      </c>
      <c r="Y343" t="s">
        <v>2275</v>
      </c>
      <c r="Z343" t="b">
        <v>1</v>
      </c>
      <c r="AB343" t="s">
        <v>1571</v>
      </c>
      <c r="AC343" t="b">
        <v>0</v>
      </c>
    </row>
    <row r="344" spans="1:29" x14ac:dyDescent="0.3">
      <c r="A344" s="57" t="str">
        <f>MEMBERS[[#This Row],[Title]]&amp;MEMBERS[[#This Row],[ServiceStartDate]]</f>
        <v>Jenny Cornes44208</v>
      </c>
      <c r="B344" s="57">
        <f>IF(COUNTIF(MEMBERS[NameServiceStart],MEMBERS[[#This Row],[NameServiceStart]])=1,0,1)</f>
        <v>0</v>
      </c>
      <c r="C344" s="57">
        <f>IF(COUNTIF(MEMBERS[StaffMemberCode],MEMBERS[[#This Row],[StaffMemberCode]])=1,0,1)</f>
        <v>0</v>
      </c>
      <c r="D344" s="57">
        <f>IF(ISBLANK(MEMBERS[[#This Row],[PayrollLocation]]),0,IF(COUNTIF(SCHOOLS[SchoolCode],MEMBERS[[#This Row],[PayrollLocation]])=1,0,1))</f>
        <v>0</v>
      </c>
      <c r="E344" s="57">
        <f>IF(MEMBERS[[#This Row],[AvailableToAllSchools]]=FALSE,IF(ISBLANK(MEMBERS[[#This Row],[SchoolCodes]]),1,0),IF(MEMBERS[[#This Row],[AvailableToAllSchools]]=TRUE,IF(ISBLANK(MEMBERS[[#This Row],[SchoolCodes]]),0,1)))</f>
        <v>0</v>
      </c>
      <c r="F344" s="57">
        <f>IF(ISBLANK(MEMBERS[[#This Row],[ServiceEndDate]]),0,IF(MEMBERS[[#This Row],[ServiceStartDate]]&lt;MEMBERS[[#This Row],[ServiceEndDate]],0,1))</f>
        <v>0</v>
      </c>
      <c r="G344" s="57" cm="1">
        <f t="array" aca="1" ref="G344" ca="1">IF(CELL("format",MEMBERS[[#This Row],[ServiceStartDate]])="D1",0,1)+IF(CELL("format",MEMBERS[[#This Row],[ServiceEndDate]])="D1",0,1)</f>
        <v>0</v>
      </c>
      <c r="H34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44" s="57">
        <f>IF(LEN(MEMBERS[[#This Row],[StaffMemberCode]])&lt;100,0,1)</f>
        <v>0</v>
      </c>
      <c r="J344" s="57">
        <f>IF(LEN(MEMBERS[[#This Row],[Title]])&lt;100,0,1)</f>
        <v>0</v>
      </c>
      <c r="K344" s="57">
        <f>COUNTBLANK(MEMBERS[[#This Row],[StaffMemberCode]:[ServiceStartDate]])+COUNTBLANK(MEMBERS[[#This Row],[Apprenticeship]]:MEMBERS[[#This Row],[StaffMemberEnabled]])+COUNTBLANK(MEMBERS[[#This Row],[GenderCode]]:MEMBERS[[#This Row],[Casual]])</f>
        <v>0</v>
      </c>
      <c r="L344" s="57">
        <f>IF(SUBSTITUTE(TEXT(MEMBERS[[#This Row],[StaffMemberCode]],10)," ","")=TEXT(MEMBERS[[#This Row],[StaffMemberCode]],10),0,1)</f>
        <v>0</v>
      </c>
      <c r="M344" s="57">
        <f ca="1">SUM(MEMBERS[[#This Row],[Duplicate NameService Start]:[Space in Code]])</f>
        <v>0</v>
      </c>
      <c r="O344" s="15">
        <v>91073427</v>
      </c>
      <c r="P344" s="15" t="s">
        <v>3300</v>
      </c>
      <c r="Q344" s="15" t="s">
        <v>3673</v>
      </c>
      <c r="R344" s="133" t="str">
        <f>MEMBERS[[#This Row],[FirstName]]&amp;" "&amp;MEMBERS[[#This Row],[LastName]]</f>
        <v>Jenny Cornes</v>
      </c>
      <c r="S344" s="21">
        <v>44208</v>
      </c>
      <c r="U344" s="21">
        <v>31516</v>
      </c>
      <c r="V344" t="b">
        <v>0</v>
      </c>
      <c r="W344" t="b">
        <v>0</v>
      </c>
      <c r="X344" t="b">
        <v>0</v>
      </c>
      <c r="Y344" t="s">
        <v>2275</v>
      </c>
      <c r="Z344" t="b">
        <v>1</v>
      </c>
      <c r="AB344" t="s">
        <v>1571</v>
      </c>
      <c r="AC344" t="b">
        <v>0</v>
      </c>
    </row>
    <row r="345" spans="1:29" x14ac:dyDescent="0.3">
      <c r="A345" s="57" t="str">
        <f>MEMBERS[[#This Row],[Title]]&amp;MEMBERS[[#This Row],[ServiceStartDate]]</f>
        <v>Jenny Doran41000</v>
      </c>
      <c r="B345" s="57">
        <f>IF(COUNTIF(MEMBERS[NameServiceStart],MEMBERS[[#This Row],[NameServiceStart]])=1,0,1)</f>
        <v>0</v>
      </c>
      <c r="C345" s="57">
        <f>IF(COUNTIF(MEMBERS[StaffMemberCode],MEMBERS[[#This Row],[StaffMemberCode]])=1,0,1)</f>
        <v>0</v>
      </c>
      <c r="D345" s="57">
        <f>IF(ISBLANK(MEMBERS[[#This Row],[PayrollLocation]]),0,IF(COUNTIF(SCHOOLS[SchoolCode],MEMBERS[[#This Row],[PayrollLocation]])=1,0,1))</f>
        <v>0</v>
      </c>
      <c r="E345" s="57">
        <f>IF(MEMBERS[[#This Row],[AvailableToAllSchools]]=FALSE,IF(ISBLANK(MEMBERS[[#This Row],[SchoolCodes]]),1,0),IF(MEMBERS[[#This Row],[AvailableToAllSchools]]=TRUE,IF(ISBLANK(MEMBERS[[#This Row],[SchoolCodes]]),0,1)))</f>
        <v>0</v>
      </c>
      <c r="F345" s="57">
        <f>IF(ISBLANK(MEMBERS[[#This Row],[ServiceEndDate]]),0,IF(MEMBERS[[#This Row],[ServiceStartDate]]&lt;MEMBERS[[#This Row],[ServiceEndDate]],0,1))</f>
        <v>0</v>
      </c>
      <c r="G345" s="57" cm="1">
        <f t="array" aca="1" ref="G345" ca="1">IF(CELL("format",MEMBERS[[#This Row],[ServiceStartDate]])="D1",0,1)+IF(CELL("format",MEMBERS[[#This Row],[ServiceEndDate]])="D1",0,1)</f>
        <v>0</v>
      </c>
      <c r="H34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45" s="57">
        <f>IF(LEN(MEMBERS[[#This Row],[StaffMemberCode]])&lt;100,0,1)</f>
        <v>0</v>
      </c>
      <c r="J345" s="57">
        <f>IF(LEN(MEMBERS[[#This Row],[Title]])&lt;100,0,1)</f>
        <v>0</v>
      </c>
      <c r="K345" s="57">
        <f>COUNTBLANK(MEMBERS[[#This Row],[StaffMemberCode]:[ServiceStartDate]])+COUNTBLANK(MEMBERS[[#This Row],[Apprenticeship]]:MEMBERS[[#This Row],[StaffMemberEnabled]])+COUNTBLANK(MEMBERS[[#This Row],[GenderCode]]:MEMBERS[[#This Row],[Casual]])</f>
        <v>0</v>
      </c>
      <c r="L345" s="57">
        <f>IF(SUBSTITUTE(TEXT(MEMBERS[[#This Row],[StaffMemberCode]],10)," ","")=TEXT(MEMBERS[[#This Row],[StaffMemberCode]],10),0,1)</f>
        <v>0</v>
      </c>
      <c r="M345" s="57">
        <f ca="1">SUM(MEMBERS[[#This Row],[Duplicate NameService Start]:[Space in Code]])</f>
        <v>0</v>
      </c>
      <c r="O345" s="15">
        <v>91073740</v>
      </c>
      <c r="P345" s="15" t="s">
        <v>3300</v>
      </c>
      <c r="Q345" s="15" t="s">
        <v>3674</v>
      </c>
      <c r="R345" s="133" t="str">
        <f>MEMBERS[[#This Row],[FirstName]]&amp;" "&amp;MEMBERS[[#This Row],[LastName]]</f>
        <v>Jenny Doran</v>
      </c>
      <c r="S345" s="21">
        <v>41000</v>
      </c>
      <c r="U345" s="21">
        <v>28366</v>
      </c>
      <c r="V345" t="b">
        <v>0</v>
      </c>
      <c r="W345" t="b">
        <v>0</v>
      </c>
      <c r="X345" t="b">
        <v>0</v>
      </c>
      <c r="Y345" t="s">
        <v>2082</v>
      </c>
      <c r="Z345" t="b">
        <v>1</v>
      </c>
      <c r="AB345" t="s">
        <v>1571</v>
      </c>
      <c r="AC345" t="b">
        <v>0</v>
      </c>
    </row>
    <row r="346" spans="1:29" x14ac:dyDescent="0.3">
      <c r="A346" s="57" t="str">
        <f>MEMBERS[[#This Row],[Title]]&amp;MEMBERS[[#This Row],[ServiceStartDate]]</f>
        <v>Jenny Sykes43505</v>
      </c>
      <c r="B346" s="57">
        <f>IF(COUNTIF(MEMBERS[NameServiceStart],MEMBERS[[#This Row],[NameServiceStart]])=1,0,1)</f>
        <v>0</v>
      </c>
      <c r="C346" s="57">
        <f>IF(COUNTIF(MEMBERS[StaffMemberCode],MEMBERS[[#This Row],[StaffMemberCode]])=1,0,1)</f>
        <v>0</v>
      </c>
      <c r="D346" s="57">
        <f>IF(ISBLANK(MEMBERS[[#This Row],[PayrollLocation]]),0,IF(COUNTIF(SCHOOLS[SchoolCode],MEMBERS[[#This Row],[PayrollLocation]])=1,0,1))</f>
        <v>0</v>
      </c>
      <c r="E346" s="57">
        <f>IF(MEMBERS[[#This Row],[AvailableToAllSchools]]=FALSE,IF(ISBLANK(MEMBERS[[#This Row],[SchoolCodes]]),1,0),IF(MEMBERS[[#This Row],[AvailableToAllSchools]]=TRUE,IF(ISBLANK(MEMBERS[[#This Row],[SchoolCodes]]),0,1)))</f>
        <v>0</v>
      </c>
      <c r="F346" s="57">
        <f>IF(ISBLANK(MEMBERS[[#This Row],[ServiceEndDate]]),0,IF(MEMBERS[[#This Row],[ServiceStartDate]]&lt;MEMBERS[[#This Row],[ServiceEndDate]],0,1))</f>
        <v>0</v>
      </c>
      <c r="G346" s="57" cm="1">
        <f t="array" aca="1" ref="G346" ca="1">IF(CELL("format",MEMBERS[[#This Row],[ServiceStartDate]])="D1",0,1)+IF(CELL("format",MEMBERS[[#This Row],[ServiceEndDate]])="D1",0,1)</f>
        <v>0</v>
      </c>
      <c r="H34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46" s="57">
        <f>IF(LEN(MEMBERS[[#This Row],[StaffMemberCode]])&lt;100,0,1)</f>
        <v>0</v>
      </c>
      <c r="J346" s="57">
        <f>IF(LEN(MEMBERS[[#This Row],[Title]])&lt;100,0,1)</f>
        <v>0</v>
      </c>
      <c r="K346" s="57">
        <f>COUNTBLANK(MEMBERS[[#This Row],[StaffMemberCode]:[ServiceStartDate]])+COUNTBLANK(MEMBERS[[#This Row],[Apprenticeship]]:MEMBERS[[#This Row],[StaffMemberEnabled]])+COUNTBLANK(MEMBERS[[#This Row],[GenderCode]]:MEMBERS[[#This Row],[Casual]])</f>
        <v>0</v>
      </c>
      <c r="L346" s="57">
        <f>IF(SUBSTITUTE(TEXT(MEMBERS[[#This Row],[StaffMemberCode]],10)," ","")=TEXT(MEMBERS[[#This Row],[StaffMemberCode]],10),0,1)</f>
        <v>0</v>
      </c>
      <c r="M346" s="57">
        <f ca="1">SUM(MEMBERS[[#This Row],[Duplicate NameService Start]:[Space in Code]])</f>
        <v>0</v>
      </c>
      <c r="O346" s="15">
        <v>91073530</v>
      </c>
      <c r="P346" s="15" t="s">
        <v>3300</v>
      </c>
      <c r="Q346" s="15" t="s">
        <v>3675</v>
      </c>
      <c r="R346" s="133" t="str">
        <f>MEMBERS[[#This Row],[FirstName]]&amp;" "&amp;MEMBERS[[#This Row],[LastName]]</f>
        <v>Jenny Sykes</v>
      </c>
      <c r="S346" s="21">
        <v>43505</v>
      </c>
      <c r="U346" s="21">
        <v>29794</v>
      </c>
      <c r="V346" t="b">
        <v>0</v>
      </c>
      <c r="W346" t="b">
        <v>0</v>
      </c>
      <c r="X346" t="b">
        <v>0</v>
      </c>
      <c r="Y346" t="s">
        <v>2094</v>
      </c>
      <c r="Z346" t="b">
        <v>1</v>
      </c>
      <c r="AB346" t="s">
        <v>1571</v>
      </c>
      <c r="AC346" t="b">
        <v>0</v>
      </c>
    </row>
    <row r="347" spans="1:29" x14ac:dyDescent="0.3">
      <c r="A347" s="57" t="str">
        <f>MEMBERS[[#This Row],[Title]]&amp;MEMBERS[[#This Row],[ServiceStartDate]]</f>
        <v>Jessica Baggaley44570</v>
      </c>
      <c r="B347" s="57">
        <f>IF(COUNTIF(MEMBERS[NameServiceStart],MEMBERS[[#This Row],[NameServiceStart]])=1,0,1)</f>
        <v>0</v>
      </c>
      <c r="C347" s="57">
        <f>IF(COUNTIF(MEMBERS[StaffMemberCode],MEMBERS[[#This Row],[StaffMemberCode]])=1,0,1)</f>
        <v>0</v>
      </c>
      <c r="D347" s="57">
        <f>IF(ISBLANK(MEMBERS[[#This Row],[PayrollLocation]]),0,IF(COUNTIF(SCHOOLS[SchoolCode],MEMBERS[[#This Row],[PayrollLocation]])=1,0,1))</f>
        <v>0</v>
      </c>
      <c r="E347" s="57">
        <f>IF(MEMBERS[[#This Row],[AvailableToAllSchools]]=FALSE,IF(ISBLANK(MEMBERS[[#This Row],[SchoolCodes]]),1,0),IF(MEMBERS[[#This Row],[AvailableToAllSchools]]=TRUE,IF(ISBLANK(MEMBERS[[#This Row],[SchoolCodes]]),0,1)))</f>
        <v>0</v>
      </c>
      <c r="F347" s="57">
        <f>IF(ISBLANK(MEMBERS[[#This Row],[ServiceEndDate]]),0,IF(MEMBERS[[#This Row],[ServiceStartDate]]&lt;MEMBERS[[#This Row],[ServiceEndDate]],0,1))</f>
        <v>0</v>
      </c>
      <c r="G347" s="57" cm="1">
        <f t="array" aca="1" ref="G347" ca="1">IF(CELL("format",MEMBERS[[#This Row],[ServiceStartDate]])="D1",0,1)+IF(CELL("format",MEMBERS[[#This Row],[ServiceEndDate]])="D1",0,1)</f>
        <v>0</v>
      </c>
      <c r="H34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47" s="57">
        <f>IF(LEN(MEMBERS[[#This Row],[StaffMemberCode]])&lt;100,0,1)</f>
        <v>0</v>
      </c>
      <c r="J347" s="57">
        <f>IF(LEN(MEMBERS[[#This Row],[Title]])&lt;100,0,1)</f>
        <v>0</v>
      </c>
      <c r="K347" s="57">
        <f>COUNTBLANK(MEMBERS[[#This Row],[StaffMemberCode]:[ServiceStartDate]])+COUNTBLANK(MEMBERS[[#This Row],[Apprenticeship]]:MEMBERS[[#This Row],[StaffMemberEnabled]])+COUNTBLANK(MEMBERS[[#This Row],[GenderCode]]:MEMBERS[[#This Row],[Casual]])</f>
        <v>0</v>
      </c>
      <c r="L347" s="57">
        <f>IF(SUBSTITUTE(TEXT(MEMBERS[[#This Row],[StaffMemberCode]],10)," ","")=TEXT(MEMBERS[[#This Row],[StaffMemberCode]],10),0,1)</f>
        <v>0</v>
      </c>
      <c r="M347" s="57">
        <f ca="1">SUM(MEMBERS[[#This Row],[Duplicate NameService Start]:[Space in Code]])</f>
        <v>0</v>
      </c>
      <c r="O347" s="15">
        <v>91073897</v>
      </c>
      <c r="P347" s="15" t="s">
        <v>3301</v>
      </c>
      <c r="Q347" s="15" t="s">
        <v>3676</v>
      </c>
      <c r="R347" s="133" t="str">
        <f>MEMBERS[[#This Row],[FirstName]]&amp;" "&amp;MEMBERS[[#This Row],[LastName]]</f>
        <v>Jessica Baggaley</v>
      </c>
      <c r="S347" s="21">
        <v>44570</v>
      </c>
      <c r="U347" s="21">
        <v>34153</v>
      </c>
      <c r="V347" t="b">
        <v>0</v>
      </c>
      <c r="W347" t="b">
        <v>0</v>
      </c>
      <c r="X347" t="b">
        <v>0</v>
      </c>
      <c r="Y347" t="s">
        <v>2266</v>
      </c>
      <c r="Z347" t="b">
        <v>1</v>
      </c>
      <c r="AB347" t="s">
        <v>1571</v>
      </c>
      <c r="AC347" t="b">
        <v>0</v>
      </c>
    </row>
    <row r="348" spans="1:29" x14ac:dyDescent="0.3">
      <c r="A348" s="57" t="str">
        <f>MEMBERS[[#This Row],[Title]]&amp;MEMBERS[[#This Row],[ServiceStartDate]]</f>
        <v>Jessica Cooper40187</v>
      </c>
      <c r="B348" s="57">
        <f>IF(COUNTIF(MEMBERS[NameServiceStart],MEMBERS[[#This Row],[NameServiceStart]])=1,0,1)</f>
        <v>0</v>
      </c>
      <c r="C348" s="57">
        <f>IF(COUNTIF(MEMBERS[StaffMemberCode],MEMBERS[[#This Row],[StaffMemberCode]])=1,0,1)</f>
        <v>0</v>
      </c>
      <c r="D348" s="57">
        <f>IF(ISBLANK(MEMBERS[[#This Row],[PayrollLocation]]),0,IF(COUNTIF(SCHOOLS[SchoolCode],MEMBERS[[#This Row],[PayrollLocation]])=1,0,1))</f>
        <v>0</v>
      </c>
      <c r="E348" s="57">
        <f>IF(MEMBERS[[#This Row],[AvailableToAllSchools]]=FALSE,IF(ISBLANK(MEMBERS[[#This Row],[SchoolCodes]]),1,0),IF(MEMBERS[[#This Row],[AvailableToAllSchools]]=TRUE,IF(ISBLANK(MEMBERS[[#This Row],[SchoolCodes]]),0,1)))</f>
        <v>0</v>
      </c>
      <c r="F348" s="57">
        <f>IF(ISBLANK(MEMBERS[[#This Row],[ServiceEndDate]]),0,IF(MEMBERS[[#This Row],[ServiceStartDate]]&lt;MEMBERS[[#This Row],[ServiceEndDate]],0,1))</f>
        <v>0</v>
      </c>
      <c r="G348" s="57" cm="1">
        <f t="array" aca="1" ref="G348" ca="1">IF(CELL("format",MEMBERS[[#This Row],[ServiceStartDate]])="D1",0,1)+IF(CELL("format",MEMBERS[[#This Row],[ServiceEndDate]])="D1",0,1)</f>
        <v>0</v>
      </c>
      <c r="H34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48" s="57">
        <f>IF(LEN(MEMBERS[[#This Row],[StaffMemberCode]])&lt;100,0,1)</f>
        <v>0</v>
      </c>
      <c r="J348" s="57">
        <f>IF(LEN(MEMBERS[[#This Row],[Title]])&lt;100,0,1)</f>
        <v>0</v>
      </c>
      <c r="K348" s="57">
        <f>COUNTBLANK(MEMBERS[[#This Row],[StaffMemberCode]:[ServiceStartDate]])+COUNTBLANK(MEMBERS[[#This Row],[Apprenticeship]]:MEMBERS[[#This Row],[StaffMemberEnabled]])+COUNTBLANK(MEMBERS[[#This Row],[GenderCode]]:MEMBERS[[#This Row],[Casual]])</f>
        <v>0</v>
      </c>
      <c r="L348" s="57">
        <f>IF(SUBSTITUTE(TEXT(MEMBERS[[#This Row],[StaffMemberCode]],10)," ","")=TEXT(MEMBERS[[#This Row],[StaffMemberCode]],10),0,1)</f>
        <v>0</v>
      </c>
      <c r="M348" s="57">
        <f ca="1">SUM(MEMBERS[[#This Row],[Duplicate NameService Start]:[Space in Code]])</f>
        <v>0</v>
      </c>
      <c r="O348" s="15">
        <v>91073478</v>
      </c>
      <c r="P348" s="15" t="s">
        <v>3301</v>
      </c>
      <c r="Q348" s="15" t="s">
        <v>3517</v>
      </c>
      <c r="R348" s="133" t="str">
        <f>MEMBERS[[#This Row],[FirstName]]&amp;" "&amp;MEMBERS[[#This Row],[LastName]]</f>
        <v>Jessica Cooper</v>
      </c>
      <c r="S348" s="21">
        <v>40187</v>
      </c>
      <c r="U348" s="21">
        <v>31077</v>
      </c>
      <c r="V348" t="b">
        <v>0</v>
      </c>
      <c r="W348" t="b">
        <v>0</v>
      </c>
      <c r="X348" t="b">
        <v>0</v>
      </c>
      <c r="Y348" t="s">
        <v>2094</v>
      </c>
      <c r="Z348" t="b">
        <v>1</v>
      </c>
      <c r="AB348" t="s">
        <v>1571</v>
      </c>
      <c r="AC348" t="b">
        <v>0</v>
      </c>
    </row>
    <row r="349" spans="1:29" x14ac:dyDescent="0.3">
      <c r="A349" s="57" t="str">
        <f>MEMBERS[[#This Row],[Title]]&amp;MEMBERS[[#This Row],[ServiceStartDate]]</f>
        <v>Jessica Edwards44024</v>
      </c>
      <c r="B349" s="57">
        <f>IF(COUNTIF(MEMBERS[NameServiceStart],MEMBERS[[#This Row],[NameServiceStart]])=1,0,1)</f>
        <v>0</v>
      </c>
      <c r="C349" s="57">
        <f>IF(COUNTIF(MEMBERS[StaffMemberCode],MEMBERS[[#This Row],[StaffMemberCode]])=1,0,1)</f>
        <v>0</v>
      </c>
      <c r="D349" s="57">
        <f>IF(ISBLANK(MEMBERS[[#This Row],[PayrollLocation]]),0,IF(COUNTIF(SCHOOLS[SchoolCode],MEMBERS[[#This Row],[PayrollLocation]])=1,0,1))</f>
        <v>0</v>
      </c>
      <c r="E349" s="57">
        <f>IF(MEMBERS[[#This Row],[AvailableToAllSchools]]=FALSE,IF(ISBLANK(MEMBERS[[#This Row],[SchoolCodes]]),1,0),IF(MEMBERS[[#This Row],[AvailableToAllSchools]]=TRUE,IF(ISBLANK(MEMBERS[[#This Row],[SchoolCodes]]),0,1)))</f>
        <v>0</v>
      </c>
      <c r="F349" s="57">
        <f>IF(ISBLANK(MEMBERS[[#This Row],[ServiceEndDate]]),0,IF(MEMBERS[[#This Row],[ServiceStartDate]]&lt;MEMBERS[[#This Row],[ServiceEndDate]],0,1))</f>
        <v>0</v>
      </c>
      <c r="G349" s="57" cm="1">
        <f t="array" aca="1" ref="G349" ca="1">IF(CELL("format",MEMBERS[[#This Row],[ServiceStartDate]])="D1",0,1)+IF(CELL("format",MEMBERS[[#This Row],[ServiceEndDate]])="D1",0,1)</f>
        <v>0</v>
      </c>
      <c r="H34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49" s="57">
        <f>IF(LEN(MEMBERS[[#This Row],[StaffMemberCode]])&lt;100,0,1)</f>
        <v>0</v>
      </c>
      <c r="J349" s="57">
        <f>IF(LEN(MEMBERS[[#This Row],[Title]])&lt;100,0,1)</f>
        <v>0</v>
      </c>
      <c r="K349" s="57">
        <f>COUNTBLANK(MEMBERS[[#This Row],[StaffMemberCode]:[ServiceStartDate]])+COUNTBLANK(MEMBERS[[#This Row],[Apprenticeship]]:MEMBERS[[#This Row],[StaffMemberEnabled]])+COUNTBLANK(MEMBERS[[#This Row],[GenderCode]]:MEMBERS[[#This Row],[Casual]])</f>
        <v>0</v>
      </c>
      <c r="L349" s="57">
        <f>IF(SUBSTITUTE(TEXT(MEMBERS[[#This Row],[StaffMemberCode]],10)," ","")=TEXT(MEMBERS[[#This Row],[StaffMemberCode]],10),0,1)</f>
        <v>0</v>
      </c>
      <c r="M349" s="57">
        <f ca="1">SUM(MEMBERS[[#This Row],[Duplicate NameService Start]:[Space in Code]])</f>
        <v>0</v>
      </c>
      <c r="O349" s="15">
        <v>91073524</v>
      </c>
      <c r="P349" s="15" t="s">
        <v>3301</v>
      </c>
      <c r="Q349" s="15" t="s">
        <v>3677</v>
      </c>
      <c r="R349" s="133" t="str">
        <f>MEMBERS[[#This Row],[FirstName]]&amp;" "&amp;MEMBERS[[#This Row],[LastName]]</f>
        <v>Jessica Edwards</v>
      </c>
      <c r="S349" s="21">
        <v>44024</v>
      </c>
      <c r="U349" s="21">
        <v>34312</v>
      </c>
      <c r="V349" t="b">
        <v>0</v>
      </c>
      <c r="W349" t="b">
        <v>0</v>
      </c>
      <c r="X349" t="b">
        <v>0</v>
      </c>
      <c r="Y349" t="s">
        <v>2094</v>
      </c>
      <c r="Z349" t="b">
        <v>1</v>
      </c>
      <c r="AB349" t="s">
        <v>1571</v>
      </c>
      <c r="AC349" t="b">
        <v>0</v>
      </c>
    </row>
    <row r="350" spans="1:29" x14ac:dyDescent="0.3">
      <c r="A350" s="57" t="str">
        <f>MEMBERS[[#This Row],[Title]]&amp;MEMBERS[[#This Row],[ServiceStartDate]]</f>
        <v>Jessica Harrison45859</v>
      </c>
      <c r="B350" s="57">
        <f>IF(COUNTIF(MEMBERS[NameServiceStart],MEMBERS[[#This Row],[NameServiceStart]])=1,0,1)</f>
        <v>0</v>
      </c>
      <c r="C350" s="57">
        <f>IF(COUNTIF(MEMBERS[StaffMemberCode],MEMBERS[[#This Row],[StaffMemberCode]])=1,0,1)</f>
        <v>0</v>
      </c>
      <c r="D350" s="57">
        <f>IF(ISBLANK(MEMBERS[[#This Row],[PayrollLocation]]),0,IF(COUNTIF(SCHOOLS[SchoolCode],MEMBERS[[#This Row],[PayrollLocation]])=1,0,1))</f>
        <v>0</v>
      </c>
      <c r="E350" s="57">
        <f>IF(MEMBERS[[#This Row],[AvailableToAllSchools]]=FALSE,IF(ISBLANK(MEMBERS[[#This Row],[SchoolCodes]]),1,0),IF(MEMBERS[[#This Row],[AvailableToAllSchools]]=TRUE,IF(ISBLANK(MEMBERS[[#This Row],[SchoolCodes]]),0,1)))</f>
        <v>0</v>
      </c>
      <c r="F350" s="57">
        <f>IF(ISBLANK(MEMBERS[[#This Row],[ServiceEndDate]]),0,IF(MEMBERS[[#This Row],[ServiceStartDate]]&lt;MEMBERS[[#This Row],[ServiceEndDate]],0,1))</f>
        <v>0</v>
      </c>
      <c r="G350" s="57" cm="1">
        <f t="array" aca="1" ref="G350" ca="1">IF(CELL("format",MEMBERS[[#This Row],[ServiceStartDate]])="D1",0,1)+IF(CELL("format",MEMBERS[[#This Row],[ServiceEndDate]])="D1",0,1)</f>
        <v>0</v>
      </c>
      <c r="H35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50" s="57">
        <f>IF(LEN(MEMBERS[[#This Row],[StaffMemberCode]])&lt;100,0,1)</f>
        <v>0</v>
      </c>
      <c r="J350" s="57">
        <f>IF(LEN(MEMBERS[[#This Row],[Title]])&lt;100,0,1)</f>
        <v>0</v>
      </c>
      <c r="K350" s="57">
        <f>COUNTBLANK(MEMBERS[[#This Row],[StaffMemberCode]:[ServiceStartDate]])+COUNTBLANK(MEMBERS[[#This Row],[Apprenticeship]]:MEMBERS[[#This Row],[StaffMemberEnabled]])+COUNTBLANK(MEMBERS[[#This Row],[GenderCode]]:MEMBERS[[#This Row],[Casual]])</f>
        <v>0</v>
      </c>
      <c r="L350" s="57">
        <f>IF(SUBSTITUTE(TEXT(MEMBERS[[#This Row],[StaffMemberCode]],10)," ","")=TEXT(MEMBERS[[#This Row],[StaffMemberCode]],10),0,1)</f>
        <v>0</v>
      </c>
      <c r="M350" s="57">
        <f ca="1">SUM(MEMBERS[[#This Row],[Duplicate NameService Start]:[Space in Code]])</f>
        <v>0</v>
      </c>
      <c r="O350" s="15">
        <v>10016182</v>
      </c>
      <c r="P350" s="15" t="s">
        <v>3301</v>
      </c>
      <c r="Q350" s="15" t="s">
        <v>3277</v>
      </c>
      <c r="R350" s="133" t="str">
        <f>MEMBERS[[#This Row],[FirstName]]&amp;" "&amp;MEMBERS[[#This Row],[LastName]]</f>
        <v>Jessica Harrison</v>
      </c>
      <c r="S350" s="21">
        <v>45859</v>
      </c>
      <c r="U350" s="21">
        <v>39828</v>
      </c>
      <c r="V350" s="138" t="b">
        <v>0</v>
      </c>
      <c r="W350" t="b">
        <v>0</v>
      </c>
      <c r="X350" t="b">
        <v>0</v>
      </c>
      <c r="Y350" t="s">
        <v>2126</v>
      </c>
      <c r="Z350" t="b">
        <v>1</v>
      </c>
      <c r="AB350" t="s">
        <v>1571</v>
      </c>
      <c r="AC350" t="b">
        <v>1</v>
      </c>
    </row>
    <row r="351" spans="1:29" x14ac:dyDescent="0.3">
      <c r="A351" s="57" t="str">
        <f>MEMBERS[[#This Row],[Title]]&amp;MEMBERS[[#This Row],[ServiceStartDate]]</f>
        <v>Jessica Hunt42744</v>
      </c>
      <c r="B351" s="57">
        <f>IF(COUNTIF(MEMBERS[NameServiceStart],MEMBERS[[#This Row],[NameServiceStart]])=1,0,1)</f>
        <v>0</v>
      </c>
      <c r="C351" s="57">
        <f>IF(COUNTIF(MEMBERS[StaffMemberCode],MEMBERS[[#This Row],[StaffMemberCode]])=1,0,1)</f>
        <v>0</v>
      </c>
      <c r="D351" s="57">
        <f>IF(ISBLANK(MEMBERS[[#This Row],[PayrollLocation]]),0,IF(COUNTIF(SCHOOLS[SchoolCode],MEMBERS[[#This Row],[PayrollLocation]])=1,0,1))</f>
        <v>0</v>
      </c>
      <c r="E351" s="57">
        <f>IF(MEMBERS[[#This Row],[AvailableToAllSchools]]=FALSE,IF(ISBLANK(MEMBERS[[#This Row],[SchoolCodes]]),1,0),IF(MEMBERS[[#This Row],[AvailableToAllSchools]]=TRUE,IF(ISBLANK(MEMBERS[[#This Row],[SchoolCodes]]),0,1)))</f>
        <v>0</v>
      </c>
      <c r="F351" s="57">
        <f>IF(ISBLANK(MEMBERS[[#This Row],[ServiceEndDate]]),0,IF(MEMBERS[[#This Row],[ServiceStartDate]]&lt;MEMBERS[[#This Row],[ServiceEndDate]],0,1))</f>
        <v>0</v>
      </c>
      <c r="G351" s="57" cm="1">
        <f t="array" aca="1" ref="G351" ca="1">IF(CELL("format",MEMBERS[[#This Row],[ServiceStartDate]])="D1",0,1)+IF(CELL("format",MEMBERS[[#This Row],[ServiceEndDate]])="D1",0,1)</f>
        <v>0</v>
      </c>
      <c r="H35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51" s="57">
        <f>IF(LEN(MEMBERS[[#This Row],[StaffMemberCode]])&lt;100,0,1)</f>
        <v>0</v>
      </c>
      <c r="J351" s="57">
        <f>IF(LEN(MEMBERS[[#This Row],[Title]])&lt;100,0,1)</f>
        <v>0</v>
      </c>
      <c r="K351" s="57">
        <f>COUNTBLANK(MEMBERS[[#This Row],[StaffMemberCode]:[ServiceStartDate]])+COUNTBLANK(MEMBERS[[#This Row],[Apprenticeship]]:MEMBERS[[#This Row],[StaffMemberEnabled]])+COUNTBLANK(MEMBERS[[#This Row],[GenderCode]]:MEMBERS[[#This Row],[Casual]])</f>
        <v>0</v>
      </c>
      <c r="L351" s="57">
        <f>IF(SUBSTITUTE(TEXT(MEMBERS[[#This Row],[StaffMemberCode]],10)," ","")=TEXT(MEMBERS[[#This Row],[StaffMemberCode]],10),0,1)</f>
        <v>0</v>
      </c>
      <c r="M351" s="57">
        <f ca="1">SUM(MEMBERS[[#This Row],[Duplicate NameService Start]:[Space in Code]])</f>
        <v>0</v>
      </c>
      <c r="O351" s="15">
        <v>91073731</v>
      </c>
      <c r="P351" s="15" t="s">
        <v>3301</v>
      </c>
      <c r="Q351" s="15" t="s">
        <v>3678</v>
      </c>
      <c r="R351" s="133" t="str">
        <f>MEMBERS[[#This Row],[FirstName]]&amp;" "&amp;MEMBERS[[#This Row],[LastName]]</f>
        <v>Jessica Hunt</v>
      </c>
      <c r="S351" s="21">
        <v>42744</v>
      </c>
      <c r="U351" s="21">
        <v>34770</v>
      </c>
      <c r="V351" t="b">
        <v>0</v>
      </c>
      <c r="W351" t="b">
        <v>0</v>
      </c>
      <c r="X351" t="b">
        <v>0</v>
      </c>
      <c r="Y351" t="s">
        <v>2082</v>
      </c>
      <c r="Z351" t="b">
        <v>1</v>
      </c>
      <c r="AB351" t="s">
        <v>1571</v>
      </c>
      <c r="AC351" t="b">
        <v>0</v>
      </c>
    </row>
    <row r="352" spans="1:29" x14ac:dyDescent="0.3">
      <c r="A352" s="57" t="str">
        <f>MEMBERS[[#This Row],[Title]]&amp;MEMBERS[[#This Row],[ServiceStartDate]]</f>
        <v>Jessica Oakes44927</v>
      </c>
      <c r="B352" s="57">
        <f>IF(COUNTIF(MEMBERS[NameServiceStart],MEMBERS[[#This Row],[NameServiceStart]])=1,0,1)</f>
        <v>0</v>
      </c>
      <c r="C352" s="57">
        <f>IF(COUNTIF(MEMBERS[StaffMemberCode],MEMBERS[[#This Row],[StaffMemberCode]])=1,0,1)</f>
        <v>0</v>
      </c>
      <c r="D352" s="57">
        <f>IF(ISBLANK(MEMBERS[[#This Row],[PayrollLocation]]),0,IF(COUNTIF(SCHOOLS[SchoolCode],MEMBERS[[#This Row],[PayrollLocation]])=1,0,1))</f>
        <v>0</v>
      </c>
      <c r="E352" s="57">
        <f>IF(MEMBERS[[#This Row],[AvailableToAllSchools]]=FALSE,IF(ISBLANK(MEMBERS[[#This Row],[SchoolCodes]]),1,0),IF(MEMBERS[[#This Row],[AvailableToAllSchools]]=TRUE,IF(ISBLANK(MEMBERS[[#This Row],[SchoolCodes]]),0,1)))</f>
        <v>0</v>
      </c>
      <c r="F352" s="57">
        <f>IF(ISBLANK(MEMBERS[[#This Row],[ServiceEndDate]]),0,IF(MEMBERS[[#This Row],[ServiceStartDate]]&lt;MEMBERS[[#This Row],[ServiceEndDate]],0,1))</f>
        <v>0</v>
      </c>
      <c r="G352" s="57" cm="1">
        <f t="array" aca="1" ref="G352" ca="1">IF(CELL("format",MEMBERS[[#This Row],[ServiceStartDate]])="D1",0,1)+IF(CELL("format",MEMBERS[[#This Row],[ServiceEndDate]])="D1",0,1)</f>
        <v>0</v>
      </c>
      <c r="H35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52" s="57">
        <f>IF(LEN(MEMBERS[[#This Row],[StaffMemberCode]])&lt;100,0,1)</f>
        <v>0</v>
      </c>
      <c r="J352" s="57">
        <f>IF(LEN(MEMBERS[[#This Row],[Title]])&lt;100,0,1)</f>
        <v>0</v>
      </c>
      <c r="K352" s="57">
        <f>COUNTBLANK(MEMBERS[[#This Row],[StaffMemberCode]:[ServiceStartDate]])+COUNTBLANK(MEMBERS[[#This Row],[Apprenticeship]]:MEMBERS[[#This Row],[StaffMemberEnabled]])+COUNTBLANK(MEMBERS[[#This Row],[GenderCode]]:MEMBERS[[#This Row],[Casual]])</f>
        <v>0</v>
      </c>
      <c r="L352" s="57">
        <f>IF(SUBSTITUTE(TEXT(MEMBERS[[#This Row],[StaffMemberCode]],10)," ","")=TEXT(MEMBERS[[#This Row],[StaffMemberCode]],10),0,1)</f>
        <v>0</v>
      </c>
      <c r="M352" s="57">
        <f ca="1">SUM(MEMBERS[[#This Row],[Duplicate NameService Start]:[Space in Code]])</f>
        <v>0</v>
      </c>
      <c r="O352" s="15">
        <v>10014572</v>
      </c>
      <c r="P352" s="15" t="s">
        <v>3301</v>
      </c>
      <c r="Q352" s="15" t="s">
        <v>4075</v>
      </c>
      <c r="R352" s="133" t="str">
        <f>MEMBERS[[#This Row],[FirstName]]&amp;" "&amp;MEMBERS[[#This Row],[LastName]]</f>
        <v>Jessica Oakes</v>
      </c>
      <c r="S352" s="21">
        <v>44927</v>
      </c>
      <c r="U352" s="21">
        <v>36011</v>
      </c>
      <c r="V352" s="138" t="b">
        <v>0</v>
      </c>
      <c r="W352" t="b">
        <v>0</v>
      </c>
      <c r="X352" t="b">
        <v>0</v>
      </c>
      <c r="Y352" t="s">
        <v>2126</v>
      </c>
      <c r="Z352" t="b">
        <v>1</v>
      </c>
      <c r="AB352" t="s">
        <v>1571</v>
      </c>
      <c r="AC352" t="b">
        <v>0</v>
      </c>
    </row>
    <row r="353" spans="1:29" x14ac:dyDescent="0.3">
      <c r="A353" s="57" t="str">
        <f>MEMBERS[[#This Row],[Title]]&amp;MEMBERS[[#This Row],[ServiceStartDate]]</f>
        <v>Jessica Walker42013</v>
      </c>
      <c r="B353" s="57">
        <f>IF(COUNTIF(MEMBERS[NameServiceStart],MEMBERS[[#This Row],[NameServiceStart]])=1,0,1)</f>
        <v>0</v>
      </c>
      <c r="C353" s="57">
        <f>IF(COUNTIF(MEMBERS[StaffMemberCode],MEMBERS[[#This Row],[StaffMemberCode]])=1,0,1)</f>
        <v>0</v>
      </c>
      <c r="D353" s="57">
        <f>IF(ISBLANK(MEMBERS[[#This Row],[PayrollLocation]]),0,IF(COUNTIF(SCHOOLS[SchoolCode],MEMBERS[[#This Row],[PayrollLocation]])=1,0,1))</f>
        <v>0</v>
      </c>
      <c r="E353" s="57">
        <f>IF(MEMBERS[[#This Row],[AvailableToAllSchools]]=FALSE,IF(ISBLANK(MEMBERS[[#This Row],[SchoolCodes]]),1,0),IF(MEMBERS[[#This Row],[AvailableToAllSchools]]=TRUE,IF(ISBLANK(MEMBERS[[#This Row],[SchoolCodes]]),0,1)))</f>
        <v>0</v>
      </c>
      <c r="F353" s="57">
        <f>IF(ISBLANK(MEMBERS[[#This Row],[ServiceEndDate]]),0,IF(MEMBERS[[#This Row],[ServiceStartDate]]&lt;MEMBERS[[#This Row],[ServiceEndDate]],0,1))</f>
        <v>0</v>
      </c>
      <c r="G353" s="57" cm="1">
        <f t="array" aca="1" ref="G353" ca="1">IF(CELL("format",MEMBERS[[#This Row],[ServiceStartDate]])="D1",0,1)+IF(CELL("format",MEMBERS[[#This Row],[ServiceEndDate]])="D1",0,1)</f>
        <v>0</v>
      </c>
      <c r="H35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53" s="57">
        <f>IF(LEN(MEMBERS[[#This Row],[StaffMemberCode]])&lt;100,0,1)</f>
        <v>0</v>
      </c>
      <c r="J353" s="57">
        <f>IF(LEN(MEMBERS[[#This Row],[Title]])&lt;100,0,1)</f>
        <v>0</v>
      </c>
      <c r="K353" s="57">
        <f>COUNTBLANK(MEMBERS[[#This Row],[StaffMemberCode]:[ServiceStartDate]])+COUNTBLANK(MEMBERS[[#This Row],[Apprenticeship]]:MEMBERS[[#This Row],[StaffMemberEnabled]])+COUNTBLANK(MEMBERS[[#This Row],[GenderCode]]:MEMBERS[[#This Row],[Casual]])</f>
        <v>0</v>
      </c>
      <c r="L353" s="57">
        <f>IF(SUBSTITUTE(TEXT(MEMBERS[[#This Row],[StaffMemberCode]],10)," ","")=TEXT(MEMBERS[[#This Row],[StaffMemberCode]],10),0,1)</f>
        <v>0</v>
      </c>
      <c r="M353" s="57">
        <f ca="1">SUM(MEMBERS[[#This Row],[Duplicate NameService Start]:[Space in Code]])</f>
        <v>0</v>
      </c>
      <c r="O353" s="15">
        <v>91073570</v>
      </c>
      <c r="P353" s="15" t="s">
        <v>3301</v>
      </c>
      <c r="Q353" s="15" t="s">
        <v>3616</v>
      </c>
      <c r="R353" s="133" t="str">
        <f>MEMBERS[[#This Row],[FirstName]]&amp;" "&amp;MEMBERS[[#This Row],[LastName]]</f>
        <v>Jessica Walker</v>
      </c>
      <c r="S353" s="21">
        <v>42013</v>
      </c>
      <c r="U353" s="21">
        <v>28735</v>
      </c>
      <c r="V353" t="b">
        <v>0</v>
      </c>
      <c r="W353" t="b">
        <v>0</v>
      </c>
      <c r="X353" t="b">
        <v>0</v>
      </c>
      <c r="Y353" t="s">
        <v>2094</v>
      </c>
      <c r="Z353" t="b">
        <v>1</v>
      </c>
      <c r="AB353" t="s">
        <v>1571</v>
      </c>
      <c r="AC353" t="b">
        <v>0</v>
      </c>
    </row>
    <row r="354" spans="1:29" x14ac:dyDescent="0.3">
      <c r="A354" s="57" t="str">
        <f>MEMBERS[[#This Row],[Title]]&amp;MEMBERS[[#This Row],[ServiceStartDate]]</f>
        <v>Jill Taylor42044</v>
      </c>
      <c r="B354" s="57">
        <f>IF(COUNTIF(MEMBERS[NameServiceStart],MEMBERS[[#This Row],[NameServiceStart]])=1,0,1)</f>
        <v>0</v>
      </c>
      <c r="C354" s="57">
        <f>IF(COUNTIF(MEMBERS[StaffMemberCode],MEMBERS[[#This Row],[StaffMemberCode]])=1,0,1)</f>
        <v>0</v>
      </c>
      <c r="D354" s="57">
        <f>IF(ISBLANK(MEMBERS[[#This Row],[PayrollLocation]]),0,IF(COUNTIF(SCHOOLS[SchoolCode],MEMBERS[[#This Row],[PayrollLocation]])=1,0,1))</f>
        <v>0</v>
      </c>
      <c r="E354" s="57">
        <f>IF(MEMBERS[[#This Row],[AvailableToAllSchools]]=FALSE,IF(ISBLANK(MEMBERS[[#This Row],[SchoolCodes]]),1,0),IF(MEMBERS[[#This Row],[AvailableToAllSchools]]=TRUE,IF(ISBLANK(MEMBERS[[#This Row],[SchoolCodes]]),0,1)))</f>
        <v>0</v>
      </c>
      <c r="F354" s="57">
        <f>IF(ISBLANK(MEMBERS[[#This Row],[ServiceEndDate]]),0,IF(MEMBERS[[#This Row],[ServiceStartDate]]&lt;MEMBERS[[#This Row],[ServiceEndDate]],0,1))</f>
        <v>0</v>
      </c>
      <c r="G354" s="57" cm="1">
        <f t="array" aca="1" ref="G354" ca="1">IF(CELL("format",MEMBERS[[#This Row],[ServiceStartDate]])="D1",0,1)+IF(CELL("format",MEMBERS[[#This Row],[ServiceEndDate]])="D1",0,1)</f>
        <v>0</v>
      </c>
      <c r="H35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54" s="57">
        <f>IF(LEN(MEMBERS[[#This Row],[StaffMemberCode]])&lt;100,0,1)</f>
        <v>0</v>
      </c>
      <c r="J354" s="57">
        <f>IF(LEN(MEMBERS[[#This Row],[Title]])&lt;100,0,1)</f>
        <v>0</v>
      </c>
      <c r="K354" s="57">
        <f>COUNTBLANK(MEMBERS[[#This Row],[StaffMemberCode]:[ServiceStartDate]])+COUNTBLANK(MEMBERS[[#This Row],[Apprenticeship]]:MEMBERS[[#This Row],[StaffMemberEnabled]])+COUNTBLANK(MEMBERS[[#This Row],[GenderCode]]:MEMBERS[[#This Row],[Casual]])</f>
        <v>0</v>
      </c>
      <c r="L354" s="57">
        <f>IF(SUBSTITUTE(TEXT(MEMBERS[[#This Row],[StaffMemberCode]],10)," ","")=TEXT(MEMBERS[[#This Row],[StaffMemberCode]],10),0,1)</f>
        <v>0</v>
      </c>
      <c r="M354" s="57">
        <f ca="1">SUM(MEMBERS[[#This Row],[Duplicate NameService Start]:[Space in Code]])</f>
        <v>0</v>
      </c>
      <c r="O354" s="15">
        <v>91073651</v>
      </c>
      <c r="P354" s="15" t="s">
        <v>3302</v>
      </c>
      <c r="Q354" s="15" t="s">
        <v>3436</v>
      </c>
      <c r="R354" s="133" t="str">
        <f>MEMBERS[[#This Row],[FirstName]]&amp;" "&amp;MEMBERS[[#This Row],[LastName]]</f>
        <v>Jill Taylor</v>
      </c>
      <c r="S354" s="21">
        <v>42044</v>
      </c>
      <c r="U354" s="21">
        <v>24895</v>
      </c>
      <c r="V354" t="b">
        <v>0</v>
      </c>
      <c r="W354" t="b">
        <v>0</v>
      </c>
      <c r="X354" t="b">
        <v>0</v>
      </c>
      <c r="Y354" t="s">
        <v>4153</v>
      </c>
      <c r="Z354" t="b">
        <v>1</v>
      </c>
      <c r="AB354" t="s">
        <v>1571</v>
      </c>
      <c r="AC354" t="b">
        <v>0</v>
      </c>
    </row>
    <row r="355" spans="1:29" x14ac:dyDescent="0.3">
      <c r="A355" s="57" t="str">
        <f>MEMBERS[[#This Row],[Title]]&amp;MEMBERS[[#This Row],[ServiceStartDate]]</f>
        <v>Joanna Clowes45603</v>
      </c>
      <c r="B355" s="57">
        <f>IF(COUNTIF(MEMBERS[NameServiceStart],MEMBERS[[#This Row],[NameServiceStart]])=1,0,1)</f>
        <v>0</v>
      </c>
      <c r="C355" s="57">
        <f>IF(COUNTIF(MEMBERS[StaffMemberCode],MEMBERS[[#This Row],[StaffMemberCode]])=1,0,1)</f>
        <v>0</v>
      </c>
      <c r="D355" s="57">
        <f>IF(ISBLANK(MEMBERS[[#This Row],[PayrollLocation]]),0,IF(COUNTIF(SCHOOLS[SchoolCode],MEMBERS[[#This Row],[PayrollLocation]])=1,0,1))</f>
        <v>0</v>
      </c>
      <c r="E355" s="57">
        <f>IF(MEMBERS[[#This Row],[AvailableToAllSchools]]=FALSE,IF(ISBLANK(MEMBERS[[#This Row],[SchoolCodes]]),1,0),IF(MEMBERS[[#This Row],[AvailableToAllSchools]]=TRUE,IF(ISBLANK(MEMBERS[[#This Row],[SchoolCodes]]),0,1)))</f>
        <v>0</v>
      </c>
      <c r="F355" s="57">
        <f>IF(ISBLANK(MEMBERS[[#This Row],[ServiceEndDate]]),0,IF(MEMBERS[[#This Row],[ServiceStartDate]]&lt;MEMBERS[[#This Row],[ServiceEndDate]],0,1))</f>
        <v>0</v>
      </c>
      <c r="G355" s="57" cm="1">
        <f t="array" aca="1" ref="G355" ca="1">IF(CELL("format",MEMBERS[[#This Row],[ServiceStartDate]])="D1",0,1)+IF(CELL("format",MEMBERS[[#This Row],[ServiceEndDate]])="D1",0,1)</f>
        <v>0</v>
      </c>
      <c r="H35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55" s="57">
        <f>IF(LEN(MEMBERS[[#This Row],[StaffMemberCode]])&lt;100,0,1)</f>
        <v>0</v>
      </c>
      <c r="J355" s="57">
        <f>IF(LEN(MEMBERS[[#This Row],[Title]])&lt;100,0,1)</f>
        <v>0</v>
      </c>
      <c r="K355" s="57">
        <f>COUNTBLANK(MEMBERS[[#This Row],[StaffMemberCode]:[ServiceStartDate]])+COUNTBLANK(MEMBERS[[#This Row],[Apprenticeship]]:MEMBERS[[#This Row],[StaffMemberEnabled]])+COUNTBLANK(MEMBERS[[#This Row],[GenderCode]]:MEMBERS[[#This Row],[Casual]])</f>
        <v>0</v>
      </c>
      <c r="L355" s="57">
        <f>IF(SUBSTITUTE(TEXT(MEMBERS[[#This Row],[StaffMemberCode]],10)," ","")=TEXT(MEMBERS[[#This Row],[StaffMemberCode]],10),0,1)</f>
        <v>0</v>
      </c>
      <c r="M355" s="57">
        <f ca="1">SUM(MEMBERS[[#This Row],[Duplicate NameService Start]:[Space in Code]])</f>
        <v>0</v>
      </c>
      <c r="O355" s="15">
        <v>91328133</v>
      </c>
      <c r="P355" s="15" t="s">
        <v>3303</v>
      </c>
      <c r="Q355" s="15" t="s">
        <v>3679</v>
      </c>
      <c r="R355" s="133" t="str">
        <f>MEMBERS[[#This Row],[FirstName]]&amp;" "&amp;MEMBERS[[#This Row],[LastName]]</f>
        <v>Joanna Clowes</v>
      </c>
      <c r="S355" s="21">
        <v>45603</v>
      </c>
      <c r="U355" s="21">
        <v>32122</v>
      </c>
      <c r="V355" t="b">
        <v>0</v>
      </c>
      <c r="W355" t="b">
        <v>0</v>
      </c>
      <c r="X355" t="b">
        <v>0</v>
      </c>
      <c r="Y355" t="s">
        <v>2094</v>
      </c>
      <c r="Z355" t="b">
        <v>1</v>
      </c>
      <c r="AB355" t="s">
        <v>1571</v>
      </c>
      <c r="AC355" t="b">
        <v>0</v>
      </c>
    </row>
    <row r="356" spans="1:29" x14ac:dyDescent="0.3">
      <c r="A356" s="57" t="str">
        <f>MEMBERS[[#This Row],[Title]]&amp;MEMBERS[[#This Row],[ServiceStartDate]]</f>
        <v>Joanna Madeley44205</v>
      </c>
      <c r="B356" s="57">
        <f>IF(COUNTIF(MEMBERS[NameServiceStart],MEMBERS[[#This Row],[NameServiceStart]])=1,0,1)</f>
        <v>0</v>
      </c>
      <c r="C356" s="57">
        <f>IF(COUNTIF(MEMBERS[StaffMemberCode],MEMBERS[[#This Row],[StaffMemberCode]])=1,0,1)</f>
        <v>0</v>
      </c>
      <c r="D356" s="57">
        <f>IF(ISBLANK(MEMBERS[[#This Row],[PayrollLocation]]),0,IF(COUNTIF(SCHOOLS[SchoolCode],MEMBERS[[#This Row],[PayrollLocation]])=1,0,1))</f>
        <v>0</v>
      </c>
      <c r="E356" s="57">
        <f>IF(MEMBERS[[#This Row],[AvailableToAllSchools]]=FALSE,IF(ISBLANK(MEMBERS[[#This Row],[SchoolCodes]]),1,0),IF(MEMBERS[[#This Row],[AvailableToAllSchools]]=TRUE,IF(ISBLANK(MEMBERS[[#This Row],[SchoolCodes]]),0,1)))</f>
        <v>0</v>
      </c>
      <c r="F356" s="57">
        <f>IF(ISBLANK(MEMBERS[[#This Row],[ServiceEndDate]]),0,IF(MEMBERS[[#This Row],[ServiceStartDate]]&lt;MEMBERS[[#This Row],[ServiceEndDate]],0,1))</f>
        <v>0</v>
      </c>
      <c r="G356" s="57" cm="1">
        <f t="array" aca="1" ref="G356" ca="1">IF(CELL("format",MEMBERS[[#This Row],[ServiceStartDate]])="D1",0,1)+IF(CELL("format",MEMBERS[[#This Row],[ServiceEndDate]])="D1",0,1)</f>
        <v>0</v>
      </c>
      <c r="H35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56" s="57">
        <f>IF(LEN(MEMBERS[[#This Row],[StaffMemberCode]])&lt;100,0,1)</f>
        <v>0</v>
      </c>
      <c r="J356" s="57">
        <f>IF(LEN(MEMBERS[[#This Row],[Title]])&lt;100,0,1)</f>
        <v>0</v>
      </c>
      <c r="K356" s="57">
        <f>COUNTBLANK(MEMBERS[[#This Row],[StaffMemberCode]:[ServiceStartDate]])+COUNTBLANK(MEMBERS[[#This Row],[Apprenticeship]]:MEMBERS[[#This Row],[StaffMemberEnabled]])+COUNTBLANK(MEMBERS[[#This Row],[GenderCode]]:MEMBERS[[#This Row],[Casual]])</f>
        <v>0</v>
      </c>
      <c r="L356" s="57">
        <f>IF(SUBSTITUTE(TEXT(MEMBERS[[#This Row],[StaffMemberCode]],10)," ","")=TEXT(MEMBERS[[#This Row],[StaffMemberCode]],10),0,1)</f>
        <v>0</v>
      </c>
      <c r="M356" s="57">
        <f ca="1">SUM(MEMBERS[[#This Row],[Duplicate NameService Start]:[Space in Code]])</f>
        <v>0</v>
      </c>
      <c r="O356" s="15">
        <v>91073826</v>
      </c>
      <c r="P356" s="15" t="s">
        <v>3303</v>
      </c>
      <c r="Q356" s="15" t="s">
        <v>3680</v>
      </c>
      <c r="R356" s="133" t="str">
        <f>MEMBERS[[#This Row],[FirstName]]&amp;" "&amp;MEMBERS[[#This Row],[LastName]]</f>
        <v>Joanna Madeley</v>
      </c>
      <c r="S356" s="21">
        <v>44205</v>
      </c>
      <c r="U356" s="21">
        <v>26810</v>
      </c>
      <c r="V356" t="b">
        <v>0</v>
      </c>
      <c r="W356" t="b">
        <v>0</v>
      </c>
      <c r="X356" t="b">
        <v>0</v>
      </c>
      <c r="Y356" t="s">
        <v>2082</v>
      </c>
      <c r="Z356" t="b">
        <v>1</v>
      </c>
      <c r="AB356" t="s">
        <v>1571</v>
      </c>
      <c r="AC356" t="b">
        <v>0</v>
      </c>
    </row>
    <row r="357" spans="1:29" x14ac:dyDescent="0.3">
      <c r="A357" s="57" t="str">
        <f>MEMBERS[[#This Row],[Title]]&amp;MEMBERS[[#This Row],[ServiceStartDate]]</f>
        <v>Joanna Smith43474</v>
      </c>
      <c r="B357" s="57">
        <f>IF(COUNTIF(MEMBERS[NameServiceStart],MEMBERS[[#This Row],[NameServiceStart]])=1,0,1)</f>
        <v>0</v>
      </c>
      <c r="C357" s="57">
        <f>IF(COUNTIF(MEMBERS[StaffMemberCode],MEMBERS[[#This Row],[StaffMemberCode]])=1,0,1)</f>
        <v>0</v>
      </c>
      <c r="D357" s="57">
        <f>IF(ISBLANK(MEMBERS[[#This Row],[PayrollLocation]]),0,IF(COUNTIF(SCHOOLS[SchoolCode],MEMBERS[[#This Row],[PayrollLocation]])=1,0,1))</f>
        <v>0</v>
      </c>
      <c r="E357" s="57">
        <f>IF(MEMBERS[[#This Row],[AvailableToAllSchools]]=FALSE,IF(ISBLANK(MEMBERS[[#This Row],[SchoolCodes]]),1,0),IF(MEMBERS[[#This Row],[AvailableToAllSchools]]=TRUE,IF(ISBLANK(MEMBERS[[#This Row],[SchoolCodes]]),0,1)))</f>
        <v>0</v>
      </c>
      <c r="F357" s="57">
        <f>IF(ISBLANK(MEMBERS[[#This Row],[ServiceEndDate]]),0,IF(MEMBERS[[#This Row],[ServiceStartDate]]&lt;MEMBERS[[#This Row],[ServiceEndDate]],0,1))</f>
        <v>0</v>
      </c>
      <c r="G357" s="57" cm="1">
        <f t="array" aca="1" ref="G357" ca="1">IF(CELL("format",MEMBERS[[#This Row],[ServiceStartDate]])="D1",0,1)+IF(CELL("format",MEMBERS[[#This Row],[ServiceEndDate]])="D1",0,1)</f>
        <v>0</v>
      </c>
      <c r="H35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57" s="57">
        <f>IF(LEN(MEMBERS[[#This Row],[StaffMemberCode]])&lt;100,0,1)</f>
        <v>0</v>
      </c>
      <c r="J357" s="57">
        <f>IF(LEN(MEMBERS[[#This Row],[Title]])&lt;100,0,1)</f>
        <v>0</v>
      </c>
      <c r="K357" s="57">
        <f>COUNTBLANK(MEMBERS[[#This Row],[StaffMemberCode]:[ServiceStartDate]])+COUNTBLANK(MEMBERS[[#This Row],[Apprenticeship]]:MEMBERS[[#This Row],[StaffMemberEnabled]])+COUNTBLANK(MEMBERS[[#This Row],[GenderCode]]:MEMBERS[[#This Row],[Casual]])</f>
        <v>0</v>
      </c>
      <c r="L357" s="57">
        <f>IF(SUBSTITUTE(TEXT(MEMBERS[[#This Row],[StaffMemberCode]],10)," ","")=TEXT(MEMBERS[[#This Row],[StaffMemberCode]],10),0,1)</f>
        <v>0</v>
      </c>
      <c r="M357" s="57">
        <f ca="1">SUM(MEMBERS[[#This Row],[Duplicate NameService Start]:[Space in Code]])</f>
        <v>0</v>
      </c>
      <c r="O357" s="15">
        <v>91073654</v>
      </c>
      <c r="P357" s="15" t="s">
        <v>3303</v>
      </c>
      <c r="Q357" s="15" t="s">
        <v>3516</v>
      </c>
      <c r="R357" s="133" t="str">
        <f>MEMBERS[[#This Row],[FirstName]]&amp;" "&amp;MEMBERS[[#This Row],[LastName]]</f>
        <v>Joanna Smith</v>
      </c>
      <c r="S357" s="21">
        <v>43474</v>
      </c>
      <c r="U357" s="21">
        <v>33722</v>
      </c>
      <c r="V357" t="b">
        <v>0</v>
      </c>
      <c r="W357" t="b">
        <v>0</v>
      </c>
      <c r="X357" t="b">
        <v>0</v>
      </c>
      <c r="Y357" t="s">
        <v>2089</v>
      </c>
      <c r="Z357" t="b">
        <v>1</v>
      </c>
      <c r="AB357" t="s">
        <v>1571</v>
      </c>
      <c r="AC357" t="b">
        <v>0</v>
      </c>
    </row>
    <row r="358" spans="1:29" x14ac:dyDescent="0.3">
      <c r="A358" s="57" t="str">
        <f>MEMBERS[[#This Row],[Title]]&amp;MEMBERS[[#This Row],[ServiceStartDate]]</f>
        <v>Joanne Catterall45264</v>
      </c>
      <c r="B358" s="57">
        <f>IF(COUNTIF(MEMBERS[NameServiceStart],MEMBERS[[#This Row],[NameServiceStart]])=1,0,1)</f>
        <v>0</v>
      </c>
      <c r="C358" s="57">
        <f>IF(COUNTIF(MEMBERS[StaffMemberCode],MEMBERS[[#This Row],[StaffMemberCode]])=1,0,1)</f>
        <v>0</v>
      </c>
      <c r="D358" s="57">
        <f>IF(ISBLANK(MEMBERS[[#This Row],[PayrollLocation]]),0,IF(COUNTIF(SCHOOLS[SchoolCode],MEMBERS[[#This Row],[PayrollLocation]])=1,0,1))</f>
        <v>0</v>
      </c>
      <c r="E358" s="57">
        <f>IF(MEMBERS[[#This Row],[AvailableToAllSchools]]=FALSE,IF(ISBLANK(MEMBERS[[#This Row],[SchoolCodes]]),1,0),IF(MEMBERS[[#This Row],[AvailableToAllSchools]]=TRUE,IF(ISBLANK(MEMBERS[[#This Row],[SchoolCodes]]),0,1)))</f>
        <v>0</v>
      </c>
      <c r="F358" s="57">
        <f>IF(ISBLANK(MEMBERS[[#This Row],[ServiceEndDate]]),0,IF(MEMBERS[[#This Row],[ServiceStartDate]]&lt;MEMBERS[[#This Row],[ServiceEndDate]],0,1))</f>
        <v>0</v>
      </c>
      <c r="G358" s="57" cm="1">
        <f t="array" aca="1" ref="G358" ca="1">IF(CELL("format",MEMBERS[[#This Row],[ServiceStartDate]])="D1",0,1)+IF(CELL("format",MEMBERS[[#This Row],[ServiceEndDate]])="D1",0,1)</f>
        <v>0</v>
      </c>
      <c r="H35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58" s="57">
        <f>IF(LEN(MEMBERS[[#This Row],[StaffMemberCode]])&lt;100,0,1)</f>
        <v>0</v>
      </c>
      <c r="J358" s="57">
        <f>IF(LEN(MEMBERS[[#This Row],[Title]])&lt;100,0,1)</f>
        <v>0</v>
      </c>
      <c r="K358" s="57">
        <f>COUNTBLANK(MEMBERS[[#This Row],[StaffMemberCode]:[ServiceStartDate]])+COUNTBLANK(MEMBERS[[#This Row],[Apprenticeship]]:MEMBERS[[#This Row],[StaffMemberEnabled]])+COUNTBLANK(MEMBERS[[#This Row],[GenderCode]]:MEMBERS[[#This Row],[Casual]])</f>
        <v>0</v>
      </c>
      <c r="L358" s="57">
        <f>IF(SUBSTITUTE(TEXT(MEMBERS[[#This Row],[StaffMemberCode]],10)," ","")=TEXT(MEMBERS[[#This Row],[StaffMemberCode]],10),0,1)</f>
        <v>0</v>
      </c>
      <c r="M358" s="57">
        <f ca="1">SUM(MEMBERS[[#This Row],[Duplicate NameService Start]:[Space in Code]])</f>
        <v>0</v>
      </c>
      <c r="O358" s="15">
        <v>91073832</v>
      </c>
      <c r="P358" s="15" t="s">
        <v>3304</v>
      </c>
      <c r="Q358" s="15" t="s">
        <v>3681</v>
      </c>
      <c r="R358" s="133" t="str">
        <f>MEMBERS[[#This Row],[FirstName]]&amp;" "&amp;MEMBERS[[#This Row],[LastName]]</f>
        <v>Joanne Catterall</v>
      </c>
      <c r="S358" s="21">
        <v>45264</v>
      </c>
      <c r="U358" s="21">
        <v>24112</v>
      </c>
      <c r="V358" t="b">
        <v>0</v>
      </c>
      <c r="W358" t="b">
        <v>0</v>
      </c>
      <c r="X358" t="b">
        <v>0</v>
      </c>
      <c r="Y358" t="s">
        <v>2082</v>
      </c>
      <c r="Z358" t="b">
        <v>1</v>
      </c>
      <c r="AB358" t="s">
        <v>1571</v>
      </c>
      <c r="AC358" t="b">
        <v>0</v>
      </c>
    </row>
    <row r="359" spans="1:29" x14ac:dyDescent="0.3">
      <c r="A359" s="57" t="str">
        <f>MEMBERS[[#This Row],[Title]]&amp;MEMBERS[[#This Row],[ServiceStartDate]]</f>
        <v>Joanne Clarke45299</v>
      </c>
      <c r="B359" s="57">
        <f>IF(COUNTIF(MEMBERS[NameServiceStart],MEMBERS[[#This Row],[NameServiceStart]])=1,0,1)</f>
        <v>0</v>
      </c>
      <c r="C359" s="57">
        <f>IF(COUNTIF(MEMBERS[StaffMemberCode],MEMBERS[[#This Row],[StaffMemberCode]])=1,0,1)</f>
        <v>0</v>
      </c>
      <c r="D359" s="57">
        <f>IF(ISBLANK(MEMBERS[[#This Row],[PayrollLocation]]),0,IF(COUNTIF(SCHOOLS[SchoolCode],MEMBERS[[#This Row],[PayrollLocation]])=1,0,1))</f>
        <v>0</v>
      </c>
      <c r="E359" s="57">
        <f>IF(MEMBERS[[#This Row],[AvailableToAllSchools]]=FALSE,IF(ISBLANK(MEMBERS[[#This Row],[SchoolCodes]]),1,0),IF(MEMBERS[[#This Row],[AvailableToAllSchools]]=TRUE,IF(ISBLANK(MEMBERS[[#This Row],[SchoolCodes]]),0,1)))</f>
        <v>0</v>
      </c>
      <c r="F359" s="57">
        <f>IF(ISBLANK(MEMBERS[[#This Row],[ServiceEndDate]]),0,IF(MEMBERS[[#This Row],[ServiceStartDate]]&lt;MEMBERS[[#This Row],[ServiceEndDate]],0,1))</f>
        <v>0</v>
      </c>
      <c r="G359" s="57" cm="1">
        <f t="array" aca="1" ref="G359" ca="1">IF(CELL("format",MEMBERS[[#This Row],[ServiceStartDate]])="D1",0,1)+IF(CELL("format",MEMBERS[[#This Row],[ServiceEndDate]])="D1",0,1)</f>
        <v>0</v>
      </c>
      <c r="H35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59" s="57">
        <f>IF(LEN(MEMBERS[[#This Row],[StaffMemberCode]])&lt;100,0,1)</f>
        <v>0</v>
      </c>
      <c r="J359" s="57">
        <f>IF(LEN(MEMBERS[[#This Row],[Title]])&lt;100,0,1)</f>
        <v>0</v>
      </c>
      <c r="K359" s="57">
        <f>COUNTBLANK(MEMBERS[[#This Row],[StaffMemberCode]:[ServiceStartDate]])+COUNTBLANK(MEMBERS[[#This Row],[Apprenticeship]]:MEMBERS[[#This Row],[StaffMemberEnabled]])+COUNTBLANK(MEMBERS[[#This Row],[GenderCode]]:MEMBERS[[#This Row],[Casual]])</f>
        <v>0</v>
      </c>
      <c r="L359" s="57">
        <f>IF(SUBSTITUTE(TEXT(MEMBERS[[#This Row],[StaffMemberCode]],10)," ","")=TEXT(MEMBERS[[#This Row],[StaffMemberCode]],10),0,1)</f>
        <v>0</v>
      </c>
      <c r="M359" s="57">
        <f ca="1">SUM(MEMBERS[[#This Row],[Duplicate NameService Start]:[Space in Code]])</f>
        <v>0</v>
      </c>
      <c r="O359" s="15">
        <v>10013440</v>
      </c>
      <c r="P359" s="15" t="s">
        <v>3304</v>
      </c>
      <c r="Q359" s="15" t="s">
        <v>3548</v>
      </c>
      <c r="R359" s="133" t="str">
        <f>MEMBERS[[#This Row],[FirstName]]&amp;" "&amp;MEMBERS[[#This Row],[LastName]]</f>
        <v>Joanne Clarke</v>
      </c>
      <c r="S359" s="21">
        <v>45299</v>
      </c>
      <c r="U359" s="21">
        <v>30383</v>
      </c>
      <c r="V359" s="138" t="b">
        <v>0</v>
      </c>
      <c r="W359" t="b">
        <v>0</v>
      </c>
      <c r="X359" t="b">
        <v>0</v>
      </c>
      <c r="Y359" t="s">
        <v>2126</v>
      </c>
      <c r="Z359" t="b">
        <v>1</v>
      </c>
      <c r="AB359" t="s">
        <v>1571</v>
      </c>
      <c r="AC359" t="b">
        <v>0</v>
      </c>
    </row>
    <row r="360" spans="1:29" x14ac:dyDescent="0.3">
      <c r="A360" s="57" t="str">
        <f>MEMBERS[[#This Row],[Title]]&amp;MEMBERS[[#This Row],[ServiceStartDate]]</f>
        <v>Joanne Green42038</v>
      </c>
      <c r="B360" s="57">
        <f>IF(COUNTIF(MEMBERS[NameServiceStart],MEMBERS[[#This Row],[NameServiceStart]])=1,0,1)</f>
        <v>0</v>
      </c>
      <c r="C360" s="57">
        <f>IF(COUNTIF(MEMBERS[StaffMemberCode],MEMBERS[[#This Row],[StaffMemberCode]])=1,0,1)</f>
        <v>0</v>
      </c>
      <c r="D360" s="57">
        <f>IF(ISBLANK(MEMBERS[[#This Row],[PayrollLocation]]),0,IF(COUNTIF(SCHOOLS[SchoolCode],MEMBERS[[#This Row],[PayrollLocation]])=1,0,1))</f>
        <v>0</v>
      </c>
      <c r="E360" s="57">
        <f>IF(MEMBERS[[#This Row],[AvailableToAllSchools]]=FALSE,IF(ISBLANK(MEMBERS[[#This Row],[SchoolCodes]]),1,0),IF(MEMBERS[[#This Row],[AvailableToAllSchools]]=TRUE,IF(ISBLANK(MEMBERS[[#This Row],[SchoolCodes]]),0,1)))</f>
        <v>0</v>
      </c>
      <c r="F360" s="57">
        <f>IF(ISBLANK(MEMBERS[[#This Row],[ServiceEndDate]]),0,IF(MEMBERS[[#This Row],[ServiceStartDate]]&lt;MEMBERS[[#This Row],[ServiceEndDate]],0,1))</f>
        <v>0</v>
      </c>
      <c r="G360" s="57" cm="1">
        <f t="array" aca="1" ref="G360" ca="1">IF(CELL("format",MEMBERS[[#This Row],[ServiceStartDate]])="D1",0,1)+IF(CELL("format",MEMBERS[[#This Row],[ServiceEndDate]])="D1",0,1)</f>
        <v>0</v>
      </c>
      <c r="H36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60" s="57">
        <f>IF(LEN(MEMBERS[[#This Row],[StaffMemberCode]])&lt;100,0,1)</f>
        <v>0</v>
      </c>
      <c r="J360" s="57">
        <f>IF(LEN(MEMBERS[[#This Row],[Title]])&lt;100,0,1)</f>
        <v>0</v>
      </c>
      <c r="K360" s="57">
        <f>COUNTBLANK(MEMBERS[[#This Row],[StaffMemberCode]:[ServiceStartDate]])+COUNTBLANK(MEMBERS[[#This Row],[Apprenticeship]]:MEMBERS[[#This Row],[StaffMemberEnabled]])+COUNTBLANK(MEMBERS[[#This Row],[GenderCode]]:MEMBERS[[#This Row],[Casual]])</f>
        <v>0</v>
      </c>
      <c r="L360" s="57">
        <f>IF(SUBSTITUTE(TEXT(MEMBERS[[#This Row],[StaffMemberCode]],10)," ","")=TEXT(MEMBERS[[#This Row],[StaffMemberCode]],10),0,1)</f>
        <v>0</v>
      </c>
      <c r="M360" s="57">
        <f ca="1">SUM(MEMBERS[[#This Row],[Duplicate NameService Start]:[Space in Code]])</f>
        <v>0</v>
      </c>
      <c r="O360" s="15">
        <v>91073569</v>
      </c>
      <c r="P360" s="15" t="s">
        <v>3304</v>
      </c>
      <c r="Q360" s="15" t="s">
        <v>3682</v>
      </c>
      <c r="R360" s="133" t="str">
        <f>MEMBERS[[#This Row],[FirstName]]&amp;" "&amp;MEMBERS[[#This Row],[LastName]]</f>
        <v>Joanne Green</v>
      </c>
      <c r="S360" s="21">
        <v>42038</v>
      </c>
      <c r="U360" s="21">
        <v>25937</v>
      </c>
      <c r="V360" t="b">
        <v>0</v>
      </c>
      <c r="W360" t="b">
        <v>0</v>
      </c>
      <c r="X360" t="b">
        <v>0</v>
      </c>
      <c r="Y360" t="s">
        <v>2094</v>
      </c>
      <c r="Z360" t="b">
        <v>1</v>
      </c>
      <c r="AB360" t="s">
        <v>1571</v>
      </c>
      <c r="AC360" t="b">
        <v>0</v>
      </c>
    </row>
    <row r="361" spans="1:29" x14ac:dyDescent="0.3">
      <c r="A361" s="57" t="str">
        <f>MEMBERS[[#This Row],[Title]]&amp;MEMBERS[[#This Row],[ServiceStartDate]]</f>
        <v>Joanne Green44004</v>
      </c>
      <c r="B361" s="57">
        <f>IF(COUNTIF(MEMBERS[NameServiceStart],MEMBERS[[#This Row],[NameServiceStart]])=1,0,1)</f>
        <v>0</v>
      </c>
      <c r="C361" s="57">
        <f>IF(COUNTIF(MEMBERS[StaffMemberCode],MEMBERS[[#This Row],[StaffMemberCode]])=1,0,1)</f>
        <v>0</v>
      </c>
      <c r="D361" s="57">
        <f>IF(ISBLANK(MEMBERS[[#This Row],[PayrollLocation]]),0,IF(COUNTIF(SCHOOLS[SchoolCode],MEMBERS[[#This Row],[PayrollLocation]])=1,0,1))</f>
        <v>0</v>
      </c>
      <c r="E361" s="57">
        <f>IF(MEMBERS[[#This Row],[AvailableToAllSchools]]=FALSE,IF(ISBLANK(MEMBERS[[#This Row],[SchoolCodes]]),1,0),IF(MEMBERS[[#This Row],[AvailableToAllSchools]]=TRUE,IF(ISBLANK(MEMBERS[[#This Row],[SchoolCodes]]),0,1)))</f>
        <v>0</v>
      </c>
      <c r="F361" s="57">
        <f>IF(ISBLANK(MEMBERS[[#This Row],[ServiceEndDate]]),0,IF(MEMBERS[[#This Row],[ServiceStartDate]]&lt;MEMBERS[[#This Row],[ServiceEndDate]],0,1))</f>
        <v>0</v>
      </c>
      <c r="G361" s="57" cm="1">
        <f t="array" aca="1" ref="G361" ca="1">IF(CELL("format",MEMBERS[[#This Row],[ServiceStartDate]])="D1",0,1)+IF(CELL("format",MEMBERS[[#This Row],[ServiceEndDate]])="D1",0,1)</f>
        <v>0</v>
      </c>
      <c r="H36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61" s="57">
        <f>IF(LEN(MEMBERS[[#This Row],[StaffMemberCode]])&lt;100,0,1)</f>
        <v>0</v>
      </c>
      <c r="J361" s="57">
        <f>IF(LEN(MEMBERS[[#This Row],[Title]])&lt;100,0,1)</f>
        <v>0</v>
      </c>
      <c r="K361" s="57">
        <f>COUNTBLANK(MEMBERS[[#This Row],[StaffMemberCode]:[ServiceStartDate]])+COUNTBLANK(MEMBERS[[#This Row],[Apprenticeship]]:MEMBERS[[#This Row],[StaffMemberEnabled]])+COUNTBLANK(MEMBERS[[#This Row],[GenderCode]]:MEMBERS[[#This Row],[Casual]])</f>
        <v>0</v>
      </c>
      <c r="L361" s="57">
        <f>IF(SUBSTITUTE(TEXT(MEMBERS[[#This Row],[StaffMemberCode]],10)," ","")=TEXT(MEMBERS[[#This Row],[StaffMemberCode]],10),0,1)</f>
        <v>0</v>
      </c>
      <c r="M361" s="57">
        <f ca="1">SUM(MEMBERS[[#This Row],[Duplicate NameService Start]:[Space in Code]])</f>
        <v>0</v>
      </c>
      <c r="O361" s="15">
        <v>91073419</v>
      </c>
      <c r="P361" s="15" t="s">
        <v>3304</v>
      </c>
      <c r="Q361" s="15" t="s">
        <v>3682</v>
      </c>
      <c r="R361" s="133" t="str">
        <f>MEMBERS[[#This Row],[FirstName]]&amp;" "&amp;MEMBERS[[#This Row],[LastName]]</f>
        <v>Joanne Green</v>
      </c>
      <c r="S361" s="21">
        <v>44004</v>
      </c>
      <c r="U361" s="21">
        <v>26016</v>
      </c>
      <c r="V361" t="b">
        <v>0</v>
      </c>
      <c r="W361" t="b">
        <v>0</v>
      </c>
      <c r="X361" t="b">
        <v>0</v>
      </c>
      <c r="Y361" t="s">
        <v>2275</v>
      </c>
      <c r="Z361" t="b">
        <v>1</v>
      </c>
      <c r="AB361" t="s">
        <v>1571</v>
      </c>
      <c r="AC361" t="b">
        <v>1</v>
      </c>
    </row>
    <row r="362" spans="1:29" x14ac:dyDescent="0.3">
      <c r="A362" s="57" t="str">
        <f>MEMBERS[[#This Row],[Title]]&amp;MEMBERS[[#This Row],[ServiceStartDate]]</f>
        <v>Joanne Heath43418</v>
      </c>
      <c r="B362" s="57">
        <f>IF(COUNTIF(MEMBERS[NameServiceStart],MEMBERS[[#This Row],[NameServiceStart]])=1,0,1)</f>
        <v>0</v>
      </c>
      <c r="C362" s="57">
        <f>IF(COUNTIF(MEMBERS[StaffMemberCode],MEMBERS[[#This Row],[StaffMemberCode]])=1,0,1)</f>
        <v>0</v>
      </c>
      <c r="D362" s="57">
        <f>IF(ISBLANK(MEMBERS[[#This Row],[PayrollLocation]]),0,IF(COUNTIF(SCHOOLS[SchoolCode],MEMBERS[[#This Row],[PayrollLocation]])=1,0,1))</f>
        <v>0</v>
      </c>
      <c r="E362" s="57">
        <f>IF(MEMBERS[[#This Row],[AvailableToAllSchools]]=FALSE,IF(ISBLANK(MEMBERS[[#This Row],[SchoolCodes]]),1,0),IF(MEMBERS[[#This Row],[AvailableToAllSchools]]=TRUE,IF(ISBLANK(MEMBERS[[#This Row],[SchoolCodes]]),0,1)))</f>
        <v>0</v>
      </c>
      <c r="F362" s="57">
        <f>IF(ISBLANK(MEMBERS[[#This Row],[ServiceEndDate]]),0,IF(MEMBERS[[#This Row],[ServiceStartDate]]&lt;MEMBERS[[#This Row],[ServiceEndDate]],0,1))</f>
        <v>0</v>
      </c>
      <c r="G362" s="57" cm="1">
        <f t="array" aca="1" ref="G362" ca="1">IF(CELL("format",MEMBERS[[#This Row],[ServiceStartDate]])="D1",0,1)+IF(CELL("format",MEMBERS[[#This Row],[ServiceEndDate]])="D1",0,1)</f>
        <v>0</v>
      </c>
      <c r="H36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62" s="57">
        <f>IF(LEN(MEMBERS[[#This Row],[StaffMemberCode]])&lt;100,0,1)</f>
        <v>0</v>
      </c>
      <c r="J362" s="57">
        <f>IF(LEN(MEMBERS[[#This Row],[Title]])&lt;100,0,1)</f>
        <v>0</v>
      </c>
      <c r="K362" s="57">
        <f>COUNTBLANK(MEMBERS[[#This Row],[StaffMemberCode]:[ServiceStartDate]])+COUNTBLANK(MEMBERS[[#This Row],[Apprenticeship]]:MEMBERS[[#This Row],[StaffMemberEnabled]])+COUNTBLANK(MEMBERS[[#This Row],[GenderCode]]:MEMBERS[[#This Row],[Casual]])</f>
        <v>0</v>
      </c>
      <c r="L362" s="57">
        <f>IF(SUBSTITUTE(TEXT(MEMBERS[[#This Row],[StaffMemberCode]],10)," ","")=TEXT(MEMBERS[[#This Row],[StaffMemberCode]],10),0,1)</f>
        <v>0</v>
      </c>
      <c r="M362" s="57">
        <f ca="1">SUM(MEMBERS[[#This Row],[Duplicate NameService Start]:[Space in Code]])</f>
        <v>0</v>
      </c>
      <c r="O362" s="15">
        <v>10006257</v>
      </c>
      <c r="P362" s="15" t="s">
        <v>3304</v>
      </c>
      <c r="Q362" s="15" t="s">
        <v>3468</v>
      </c>
      <c r="R362" s="133" t="str">
        <f>MEMBERS[[#This Row],[FirstName]]&amp;" "&amp;MEMBERS[[#This Row],[LastName]]</f>
        <v>Joanne Heath</v>
      </c>
      <c r="S362" s="21">
        <v>43418</v>
      </c>
      <c r="U362" s="21">
        <v>30281</v>
      </c>
      <c r="V362" s="138" t="b">
        <v>0</v>
      </c>
      <c r="W362" t="b">
        <v>0</v>
      </c>
      <c r="X362" t="b">
        <v>0</v>
      </c>
      <c r="Y362" t="s">
        <v>2126</v>
      </c>
      <c r="Z362" t="b">
        <v>1</v>
      </c>
      <c r="AB362" t="s">
        <v>1571</v>
      </c>
      <c r="AC362" t="b">
        <v>0</v>
      </c>
    </row>
    <row r="363" spans="1:29" x14ac:dyDescent="0.3">
      <c r="A363" s="57" t="str">
        <f>MEMBERS[[#This Row],[Title]]&amp;MEMBERS[[#This Row],[ServiceStartDate]]</f>
        <v>Joanne Marler41820</v>
      </c>
      <c r="B363" s="57">
        <f>IF(COUNTIF(MEMBERS[NameServiceStart],MEMBERS[[#This Row],[NameServiceStart]])=1,0,1)</f>
        <v>0</v>
      </c>
      <c r="C363" s="57">
        <f>IF(COUNTIF(MEMBERS[StaffMemberCode],MEMBERS[[#This Row],[StaffMemberCode]])=1,0,1)</f>
        <v>0</v>
      </c>
      <c r="D363" s="57">
        <f>IF(ISBLANK(MEMBERS[[#This Row],[PayrollLocation]]),0,IF(COUNTIF(SCHOOLS[SchoolCode],MEMBERS[[#This Row],[PayrollLocation]])=1,0,1))</f>
        <v>0</v>
      </c>
      <c r="E363" s="57">
        <f>IF(MEMBERS[[#This Row],[AvailableToAllSchools]]=FALSE,IF(ISBLANK(MEMBERS[[#This Row],[SchoolCodes]]),1,0),IF(MEMBERS[[#This Row],[AvailableToAllSchools]]=TRUE,IF(ISBLANK(MEMBERS[[#This Row],[SchoolCodes]]),0,1)))</f>
        <v>0</v>
      </c>
      <c r="F363" s="57">
        <f>IF(ISBLANK(MEMBERS[[#This Row],[ServiceEndDate]]),0,IF(MEMBERS[[#This Row],[ServiceStartDate]]&lt;MEMBERS[[#This Row],[ServiceEndDate]],0,1))</f>
        <v>0</v>
      </c>
      <c r="G363" s="57" cm="1">
        <f t="array" aca="1" ref="G363" ca="1">IF(CELL("format",MEMBERS[[#This Row],[ServiceStartDate]])="D1",0,1)+IF(CELL("format",MEMBERS[[#This Row],[ServiceEndDate]])="D1",0,1)</f>
        <v>0</v>
      </c>
      <c r="H36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63" s="57">
        <f>IF(LEN(MEMBERS[[#This Row],[StaffMemberCode]])&lt;100,0,1)</f>
        <v>0</v>
      </c>
      <c r="J363" s="57">
        <f>IF(LEN(MEMBERS[[#This Row],[Title]])&lt;100,0,1)</f>
        <v>0</v>
      </c>
      <c r="K363" s="57">
        <f>COUNTBLANK(MEMBERS[[#This Row],[StaffMemberCode]:[ServiceStartDate]])+COUNTBLANK(MEMBERS[[#This Row],[Apprenticeship]]:MEMBERS[[#This Row],[StaffMemberEnabled]])+COUNTBLANK(MEMBERS[[#This Row],[GenderCode]]:MEMBERS[[#This Row],[Casual]])</f>
        <v>0</v>
      </c>
      <c r="L363" s="57">
        <f>IF(SUBSTITUTE(TEXT(MEMBERS[[#This Row],[StaffMemberCode]],10)," ","")=TEXT(MEMBERS[[#This Row],[StaffMemberCode]],10),0,1)</f>
        <v>0</v>
      </c>
      <c r="M363" s="57">
        <f ca="1">SUM(MEMBERS[[#This Row],[Duplicate NameService Start]:[Space in Code]])</f>
        <v>0</v>
      </c>
      <c r="O363" s="15">
        <v>91073587</v>
      </c>
      <c r="P363" s="15" t="s">
        <v>3304</v>
      </c>
      <c r="Q363" s="15" t="s">
        <v>3683</v>
      </c>
      <c r="R363" s="133" t="str">
        <f>MEMBERS[[#This Row],[FirstName]]&amp;" "&amp;MEMBERS[[#This Row],[LastName]]</f>
        <v>Joanne Marler</v>
      </c>
      <c r="S363" s="21">
        <v>41820</v>
      </c>
      <c r="U363" s="21">
        <v>27785</v>
      </c>
      <c r="V363" t="b">
        <v>0</v>
      </c>
      <c r="W363" t="b">
        <v>0</v>
      </c>
      <c r="X363" t="b">
        <v>0</v>
      </c>
      <c r="Y363" t="s">
        <v>2094</v>
      </c>
      <c r="Z363" t="b">
        <v>1</v>
      </c>
      <c r="AB363" t="s">
        <v>1571</v>
      </c>
      <c r="AC363" t="b">
        <v>0</v>
      </c>
    </row>
    <row r="364" spans="1:29" x14ac:dyDescent="0.3">
      <c r="A364" s="57" t="str">
        <f>MEMBERS[[#This Row],[Title]]&amp;MEMBERS[[#This Row],[ServiceStartDate]]</f>
        <v>Joanne Quinn44935</v>
      </c>
      <c r="B364" s="57">
        <f>IF(COUNTIF(MEMBERS[NameServiceStart],MEMBERS[[#This Row],[NameServiceStart]])=1,0,1)</f>
        <v>0</v>
      </c>
      <c r="C364" s="57">
        <f>IF(COUNTIF(MEMBERS[StaffMemberCode],MEMBERS[[#This Row],[StaffMemberCode]])=1,0,1)</f>
        <v>0</v>
      </c>
      <c r="D364" s="57">
        <f>IF(ISBLANK(MEMBERS[[#This Row],[PayrollLocation]]),0,IF(COUNTIF(SCHOOLS[SchoolCode],MEMBERS[[#This Row],[PayrollLocation]])=1,0,1))</f>
        <v>0</v>
      </c>
      <c r="E364" s="57">
        <f>IF(MEMBERS[[#This Row],[AvailableToAllSchools]]=FALSE,IF(ISBLANK(MEMBERS[[#This Row],[SchoolCodes]]),1,0),IF(MEMBERS[[#This Row],[AvailableToAllSchools]]=TRUE,IF(ISBLANK(MEMBERS[[#This Row],[SchoolCodes]]),0,1)))</f>
        <v>0</v>
      </c>
      <c r="F364" s="57">
        <f>IF(ISBLANK(MEMBERS[[#This Row],[ServiceEndDate]]),0,IF(MEMBERS[[#This Row],[ServiceStartDate]]&lt;MEMBERS[[#This Row],[ServiceEndDate]],0,1))</f>
        <v>0</v>
      </c>
      <c r="G364" s="57" cm="1">
        <f t="array" aca="1" ref="G364" ca="1">IF(CELL("format",MEMBERS[[#This Row],[ServiceStartDate]])="D1",0,1)+IF(CELL("format",MEMBERS[[#This Row],[ServiceEndDate]])="D1",0,1)</f>
        <v>0</v>
      </c>
      <c r="H36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64" s="57">
        <f>IF(LEN(MEMBERS[[#This Row],[StaffMemberCode]])&lt;100,0,1)</f>
        <v>0</v>
      </c>
      <c r="J364" s="57">
        <f>IF(LEN(MEMBERS[[#This Row],[Title]])&lt;100,0,1)</f>
        <v>0</v>
      </c>
      <c r="K364" s="57">
        <f>COUNTBLANK(MEMBERS[[#This Row],[StaffMemberCode]:[ServiceStartDate]])+COUNTBLANK(MEMBERS[[#This Row],[Apprenticeship]]:MEMBERS[[#This Row],[StaffMemberEnabled]])+COUNTBLANK(MEMBERS[[#This Row],[GenderCode]]:MEMBERS[[#This Row],[Casual]])</f>
        <v>0</v>
      </c>
      <c r="L364" s="57">
        <f>IF(SUBSTITUTE(TEXT(MEMBERS[[#This Row],[StaffMemberCode]],10)," ","")=TEXT(MEMBERS[[#This Row],[StaffMemberCode]],10),0,1)</f>
        <v>0</v>
      </c>
      <c r="M364" s="57">
        <f ca="1">SUM(MEMBERS[[#This Row],[Duplicate NameService Start]:[Space in Code]])</f>
        <v>0</v>
      </c>
      <c r="O364" s="15">
        <v>91073610</v>
      </c>
      <c r="P364" s="15" t="s">
        <v>3304</v>
      </c>
      <c r="Q364" s="15" t="s">
        <v>3684</v>
      </c>
      <c r="R364" s="133" t="str">
        <f>MEMBERS[[#This Row],[FirstName]]&amp;" "&amp;MEMBERS[[#This Row],[LastName]]</f>
        <v>Joanne Quinn</v>
      </c>
      <c r="S364" s="21">
        <v>44935</v>
      </c>
      <c r="U364" s="21">
        <v>25843</v>
      </c>
      <c r="V364" t="b">
        <v>0</v>
      </c>
      <c r="W364" t="b">
        <v>0</v>
      </c>
      <c r="X364" t="b">
        <v>0</v>
      </c>
      <c r="Y364" t="s">
        <v>2094</v>
      </c>
      <c r="Z364" t="b">
        <v>1</v>
      </c>
      <c r="AB364" t="s">
        <v>1571</v>
      </c>
      <c r="AC364" t="b">
        <v>0</v>
      </c>
    </row>
    <row r="365" spans="1:29" x14ac:dyDescent="0.3">
      <c r="A365" s="57" t="str">
        <f>MEMBERS[[#This Row],[Title]]&amp;MEMBERS[[#This Row],[ServiceStartDate]]</f>
        <v>Joanne Riley41275</v>
      </c>
      <c r="B365" s="57">
        <f>IF(COUNTIF(MEMBERS[NameServiceStart],MEMBERS[[#This Row],[NameServiceStart]])=1,0,1)</f>
        <v>0</v>
      </c>
      <c r="C365" s="57">
        <f>IF(COUNTIF(MEMBERS[StaffMemberCode],MEMBERS[[#This Row],[StaffMemberCode]])=1,0,1)</f>
        <v>0</v>
      </c>
      <c r="D365" s="57">
        <f>IF(ISBLANK(MEMBERS[[#This Row],[PayrollLocation]]),0,IF(COUNTIF(SCHOOLS[SchoolCode],MEMBERS[[#This Row],[PayrollLocation]])=1,0,1))</f>
        <v>0</v>
      </c>
      <c r="E365" s="57">
        <f>IF(MEMBERS[[#This Row],[AvailableToAllSchools]]=FALSE,IF(ISBLANK(MEMBERS[[#This Row],[SchoolCodes]]),1,0),IF(MEMBERS[[#This Row],[AvailableToAllSchools]]=TRUE,IF(ISBLANK(MEMBERS[[#This Row],[SchoolCodes]]),0,1)))</f>
        <v>0</v>
      </c>
      <c r="F365" s="57">
        <f>IF(ISBLANK(MEMBERS[[#This Row],[ServiceEndDate]]),0,IF(MEMBERS[[#This Row],[ServiceStartDate]]&lt;MEMBERS[[#This Row],[ServiceEndDate]],0,1))</f>
        <v>0</v>
      </c>
      <c r="G365" s="57" cm="1">
        <f t="array" aca="1" ref="G365" ca="1">IF(CELL("format",MEMBERS[[#This Row],[ServiceStartDate]])="D1",0,1)+IF(CELL("format",MEMBERS[[#This Row],[ServiceEndDate]])="D1",0,1)</f>
        <v>0</v>
      </c>
      <c r="H36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65" s="57">
        <f>IF(LEN(MEMBERS[[#This Row],[StaffMemberCode]])&lt;100,0,1)</f>
        <v>0</v>
      </c>
      <c r="J365" s="57">
        <f>IF(LEN(MEMBERS[[#This Row],[Title]])&lt;100,0,1)</f>
        <v>0</v>
      </c>
      <c r="K365" s="57">
        <f>COUNTBLANK(MEMBERS[[#This Row],[StaffMemberCode]:[ServiceStartDate]])+COUNTBLANK(MEMBERS[[#This Row],[Apprenticeship]]:MEMBERS[[#This Row],[StaffMemberEnabled]])+COUNTBLANK(MEMBERS[[#This Row],[GenderCode]]:MEMBERS[[#This Row],[Casual]])</f>
        <v>0</v>
      </c>
      <c r="L365" s="57">
        <f>IF(SUBSTITUTE(TEXT(MEMBERS[[#This Row],[StaffMemberCode]],10)," ","")=TEXT(MEMBERS[[#This Row],[StaffMemberCode]],10),0,1)</f>
        <v>0</v>
      </c>
      <c r="M365" s="57">
        <f ca="1">SUM(MEMBERS[[#This Row],[Duplicate NameService Start]:[Space in Code]])</f>
        <v>0</v>
      </c>
      <c r="O365" s="15">
        <v>91073880</v>
      </c>
      <c r="P365" s="15" t="s">
        <v>3304</v>
      </c>
      <c r="Q365" s="15" t="s">
        <v>3685</v>
      </c>
      <c r="R365" s="133" t="str">
        <f>MEMBERS[[#This Row],[FirstName]]&amp;" "&amp;MEMBERS[[#This Row],[LastName]]</f>
        <v>Joanne Riley</v>
      </c>
      <c r="S365" s="21">
        <v>41275</v>
      </c>
      <c r="U365" s="21">
        <v>25622</v>
      </c>
      <c r="V365" t="b">
        <v>0</v>
      </c>
      <c r="W365" t="b">
        <v>0</v>
      </c>
      <c r="X365" t="b">
        <v>0</v>
      </c>
      <c r="Y365" t="s">
        <v>2266</v>
      </c>
      <c r="Z365" t="b">
        <v>1</v>
      </c>
      <c r="AB365" t="s">
        <v>1571</v>
      </c>
      <c r="AC365" t="b">
        <v>0</v>
      </c>
    </row>
    <row r="366" spans="1:29" x14ac:dyDescent="0.3">
      <c r="A366" s="57" t="str">
        <f>MEMBERS[[#This Row],[Title]]&amp;MEMBERS[[#This Row],[ServiceStartDate]]</f>
        <v>Jodie Baker43850</v>
      </c>
      <c r="B366" s="57">
        <f>IF(COUNTIF(MEMBERS[NameServiceStart],MEMBERS[[#This Row],[NameServiceStart]])=1,0,1)</f>
        <v>0</v>
      </c>
      <c r="C366" s="57">
        <f>IF(COUNTIF(MEMBERS[StaffMemberCode],MEMBERS[[#This Row],[StaffMemberCode]])=1,0,1)</f>
        <v>0</v>
      </c>
      <c r="D366" s="57">
        <f>IF(ISBLANK(MEMBERS[[#This Row],[PayrollLocation]]),0,IF(COUNTIF(SCHOOLS[SchoolCode],MEMBERS[[#This Row],[PayrollLocation]])=1,0,1))</f>
        <v>0</v>
      </c>
      <c r="E366" s="57">
        <f>IF(MEMBERS[[#This Row],[AvailableToAllSchools]]=FALSE,IF(ISBLANK(MEMBERS[[#This Row],[SchoolCodes]]),1,0),IF(MEMBERS[[#This Row],[AvailableToAllSchools]]=TRUE,IF(ISBLANK(MEMBERS[[#This Row],[SchoolCodes]]),0,1)))</f>
        <v>0</v>
      </c>
      <c r="F366" s="57">
        <f>IF(ISBLANK(MEMBERS[[#This Row],[ServiceEndDate]]),0,IF(MEMBERS[[#This Row],[ServiceStartDate]]&lt;MEMBERS[[#This Row],[ServiceEndDate]],0,1))</f>
        <v>0</v>
      </c>
      <c r="G366" s="57" cm="1">
        <f t="array" aca="1" ref="G366" ca="1">IF(CELL("format",MEMBERS[[#This Row],[ServiceStartDate]])="D1",0,1)+IF(CELL("format",MEMBERS[[#This Row],[ServiceEndDate]])="D1",0,1)</f>
        <v>0</v>
      </c>
      <c r="H36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66" s="57">
        <f>IF(LEN(MEMBERS[[#This Row],[StaffMemberCode]])&lt;100,0,1)</f>
        <v>0</v>
      </c>
      <c r="J366" s="57">
        <f>IF(LEN(MEMBERS[[#This Row],[Title]])&lt;100,0,1)</f>
        <v>0</v>
      </c>
      <c r="K366" s="57">
        <f>COUNTBLANK(MEMBERS[[#This Row],[StaffMemberCode]:[ServiceStartDate]])+COUNTBLANK(MEMBERS[[#This Row],[Apprenticeship]]:MEMBERS[[#This Row],[StaffMemberEnabled]])+COUNTBLANK(MEMBERS[[#This Row],[GenderCode]]:MEMBERS[[#This Row],[Casual]])</f>
        <v>0</v>
      </c>
      <c r="L366" s="57">
        <f>IF(SUBSTITUTE(TEXT(MEMBERS[[#This Row],[StaffMemberCode]],10)," ","")=TEXT(MEMBERS[[#This Row],[StaffMemberCode]],10),0,1)</f>
        <v>0</v>
      </c>
      <c r="M366" s="57">
        <f ca="1">SUM(MEMBERS[[#This Row],[Duplicate NameService Start]:[Space in Code]])</f>
        <v>0</v>
      </c>
      <c r="O366" s="15">
        <v>91075757</v>
      </c>
      <c r="P366" s="15" t="s">
        <v>3305</v>
      </c>
      <c r="Q366" s="15" t="s">
        <v>3686</v>
      </c>
      <c r="R366" s="133" t="str">
        <f>MEMBERS[[#This Row],[FirstName]]&amp;" "&amp;MEMBERS[[#This Row],[LastName]]</f>
        <v>Jodie Baker</v>
      </c>
      <c r="S366" s="21">
        <v>43850</v>
      </c>
      <c r="U366" s="21">
        <v>33274</v>
      </c>
      <c r="V366" t="b">
        <v>0</v>
      </c>
      <c r="W366" t="b">
        <v>0</v>
      </c>
      <c r="X366" t="b">
        <v>0</v>
      </c>
      <c r="Y366" t="s">
        <v>2200</v>
      </c>
      <c r="Z366" t="b">
        <v>1</v>
      </c>
      <c r="AB366" t="s">
        <v>1571</v>
      </c>
      <c r="AC366" t="b">
        <v>0</v>
      </c>
    </row>
    <row r="367" spans="1:29" x14ac:dyDescent="0.3">
      <c r="A367" s="57" t="str">
        <f>MEMBERS[[#This Row],[Title]]&amp;MEMBERS[[#This Row],[ServiceStartDate]]</f>
        <v>Jodie Burgess37325</v>
      </c>
      <c r="B367" s="57">
        <f>IF(COUNTIF(MEMBERS[NameServiceStart],MEMBERS[[#This Row],[NameServiceStart]])=1,0,1)</f>
        <v>0</v>
      </c>
      <c r="C367" s="57">
        <f>IF(COUNTIF(MEMBERS[StaffMemberCode],MEMBERS[[#This Row],[StaffMemberCode]])=1,0,1)</f>
        <v>0</v>
      </c>
      <c r="D367" s="57">
        <f>IF(ISBLANK(MEMBERS[[#This Row],[PayrollLocation]]),0,IF(COUNTIF(SCHOOLS[SchoolCode],MEMBERS[[#This Row],[PayrollLocation]])=1,0,1))</f>
        <v>0</v>
      </c>
      <c r="E367" s="57">
        <f>IF(MEMBERS[[#This Row],[AvailableToAllSchools]]=FALSE,IF(ISBLANK(MEMBERS[[#This Row],[SchoolCodes]]),1,0),IF(MEMBERS[[#This Row],[AvailableToAllSchools]]=TRUE,IF(ISBLANK(MEMBERS[[#This Row],[SchoolCodes]]),0,1)))</f>
        <v>0</v>
      </c>
      <c r="F367" s="57">
        <f>IF(ISBLANK(MEMBERS[[#This Row],[ServiceEndDate]]),0,IF(MEMBERS[[#This Row],[ServiceStartDate]]&lt;MEMBERS[[#This Row],[ServiceEndDate]],0,1))</f>
        <v>0</v>
      </c>
      <c r="G367" s="57" cm="1">
        <f t="array" aca="1" ref="G367" ca="1">IF(CELL("format",MEMBERS[[#This Row],[ServiceStartDate]])="D1",0,1)+IF(CELL("format",MEMBERS[[#This Row],[ServiceEndDate]])="D1",0,1)</f>
        <v>0</v>
      </c>
      <c r="H36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67" s="57">
        <f>IF(LEN(MEMBERS[[#This Row],[StaffMemberCode]])&lt;100,0,1)</f>
        <v>0</v>
      </c>
      <c r="J367" s="57">
        <f>IF(LEN(MEMBERS[[#This Row],[Title]])&lt;100,0,1)</f>
        <v>0</v>
      </c>
      <c r="K367" s="57">
        <f>COUNTBLANK(MEMBERS[[#This Row],[StaffMemberCode]:[ServiceStartDate]])+COUNTBLANK(MEMBERS[[#This Row],[Apprenticeship]]:MEMBERS[[#This Row],[StaffMemberEnabled]])+COUNTBLANK(MEMBERS[[#This Row],[GenderCode]]:MEMBERS[[#This Row],[Casual]])</f>
        <v>0</v>
      </c>
      <c r="L367" s="57">
        <f>IF(SUBSTITUTE(TEXT(MEMBERS[[#This Row],[StaffMemberCode]],10)," ","")=TEXT(MEMBERS[[#This Row],[StaffMemberCode]],10),0,1)</f>
        <v>0</v>
      </c>
      <c r="M367" s="57">
        <f ca="1">SUM(MEMBERS[[#This Row],[Duplicate NameService Start]:[Space in Code]])</f>
        <v>0</v>
      </c>
      <c r="O367" s="15">
        <v>91073646</v>
      </c>
      <c r="P367" s="15" t="s">
        <v>3305</v>
      </c>
      <c r="Q367" s="15" t="s">
        <v>3687</v>
      </c>
      <c r="R367" s="133" t="str">
        <f>MEMBERS[[#This Row],[FirstName]]&amp;" "&amp;MEMBERS[[#This Row],[LastName]]</f>
        <v>Jodie Burgess</v>
      </c>
      <c r="S367" s="21">
        <v>37325</v>
      </c>
      <c r="U367" s="21">
        <v>30390</v>
      </c>
      <c r="V367" t="b">
        <v>0</v>
      </c>
      <c r="W367" t="b">
        <v>0</v>
      </c>
      <c r="X367" t="b">
        <v>0</v>
      </c>
      <c r="Y367" t="s">
        <v>2089</v>
      </c>
      <c r="Z367" t="b">
        <v>1</v>
      </c>
      <c r="AB367" t="s">
        <v>1571</v>
      </c>
      <c r="AC367" t="b">
        <v>0</v>
      </c>
    </row>
    <row r="368" spans="1:29" x14ac:dyDescent="0.3">
      <c r="A368" s="57" t="str">
        <f>MEMBERS[[#This Row],[Title]]&amp;MEMBERS[[#This Row],[ServiceStartDate]]</f>
        <v>John Harrison38961</v>
      </c>
      <c r="B368" s="57">
        <f>IF(COUNTIF(MEMBERS[NameServiceStart],MEMBERS[[#This Row],[NameServiceStart]])=1,0,1)</f>
        <v>0</v>
      </c>
      <c r="C368" s="57">
        <f>IF(COUNTIF(MEMBERS[StaffMemberCode],MEMBERS[[#This Row],[StaffMemberCode]])=1,0,1)</f>
        <v>0</v>
      </c>
      <c r="D368" s="57">
        <f>IF(ISBLANK(MEMBERS[[#This Row],[PayrollLocation]]),0,IF(COUNTIF(SCHOOLS[SchoolCode],MEMBERS[[#This Row],[PayrollLocation]])=1,0,1))</f>
        <v>0</v>
      </c>
      <c r="E368" s="57">
        <f>IF(MEMBERS[[#This Row],[AvailableToAllSchools]]=FALSE,IF(ISBLANK(MEMBERS[[#This Row],[SchoolCodes]]),1,0),IF(MEMBERS[[#This Row],[AvailableToAllSchools]]=TRUE,IF(ISBLANK(MEMBERS[[#This Row],[SchoolCodes]]),0,1)))</f>
        <v>0</v>
      </c>
      <c r="F368" s="57">
        <f>IF(ISBLANK(MEMBERS[[#This Row],[ServiceEndDate]]),0,IF(MEMBERS[[#This Row],[ServiceStartDate]]&lt;MEMBERS[[#This Row],[ServiceEndDate]],0,1))</f>
        <v>0</v>
      </c>
      <c r="G368" s="57" cm="1">
        <f t="array" aca="1" ref="G368" ca="1">IF(CELL("format",MEMBERS[[#This Row],[ServiceStartDate]])="D1",0,1)+IF(CELL("format",MEMBERS[[#This Row],[ServiceEndDate]])="D1",0,1)</f>
        <v>0</v>
      </c>
      <c r="H36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68" s="57">
        <f>IF(LEN(MEMBERS[[#This Row],[StaffMemberCode]])&lt;100,0,1)</f>
        <v>0</v>
      </c>
      <c r="J368" s="57">
        <f>IF(LEN(MEMBERS[[#This Row],[Title]])&lt;100,0,1)</f>
        <v>0</v>
      </c>
      <c r="K368" s="57">
        <f>COUNTBLANK(MEMBERS[[#This Row],[StaffMemberCode]:[ServiceStartDate]])+COUNTBLANK(MEMBERS[[#This Row],[Apprenticeship]]:MEMBERS[[#This Row],[StaffMemberEnabled]])+COUNTBLANK(MEMBERS[[#This Row],[GenderCode]]:MEMBERS[[#This Row],[Casual]])</f>
        <v>0</v>
      </c>
      <c r="L368" s="57">
        <f>IF(SUBSTITUTE(TEXT(MEMBERS[[#This Row],[StaffMemberCode]],10)," ","")=TEXT(MEMBERS[[#This Row],[StaffMemberCode]],10),0,1)</f>
        <v>0</v>
      </c>
      <c r="M368" s="57">
        <f ca="1">SUM(MEMBERS[[#This Row],[Duplicate NameService Start]:[Space in Code]])</f>
        <v>0</v>
      </c>
      <c r="O368" s="15">
        <v>10005311</v>
      </c>
      <c r="P368" s="15" t="s">
        <v>3306</v>
      </c>
      <c r="Q368" s="15" t="s">
        <v>3277</v>
      </c>
      <c r="R368" s="133" t="str">
        <f>MEMBERS[[#This Row],[FirstName]]&amp;" "&amp;MEMBERS[[#This Row],[LastName]]</f>
        <v>John Harrison</v>
      </c>
      <c r="S368" s="21">
        <v>38961</v>
      </c>
      <c r="U368" s="21">
        <v>29662</v>
      </c>
      <c r="V368" s="138" t="b">
        <v>0</v>
      </c>
      <c r="W368" t="b">
        <v>0</v>
      </c>
      <c r="X368" t="b">
        <v>0</v>
      </c>
      <c r="Y368" t="s">
        <v>2126</v>
      </c>
      <c r="Z368" t="b">
        <v>1</v>
      </c>
      <c r="AB368" t="s">
        <v>1572</v>
      </c>
      <c r="AC368" t="b">
        <v>0</v>
      </c>
    </row>
    <row r="369" spans="1:29" x14ac:dyDescent="0.3">
      <c r="A369" s="57" t="str">
        <f>MEMBERS[[#This Row],[Title]]&amp;MEMBERS[[#This Row],[ServiceStartDate]]</f>
        <v>John Lee45562</v>
      </c>
      <c r="B369" s="57">
        <f>IF(COUNTIF(MEMBERS[NameServiceStart],MEMBERS[[#This Row],[NameServiceStart]])=1,0,1)</f>
        <v>0</v>
      </c>
      <c r="C369" s="57">
        <f>IF(COUNTIF(MEMBERS[StaffMemberCode],MEMBERS[[#This Row],[StaffMemberCode]])=1,0,1)</f>
        <v>0</v>
      </c>
      <c r="D369" s="57">
        <f>IF(ISBLANK(MEMBERS[[#This Row],[PayrollLocation]]),0,IF(COUNTIF(SCHOOLS[SchoolCode],MEMBERS[[#This Row],[PayrollLocation]])=1,0,1))</f>
        <v>0</v>
      </c>
      <c r="E369" s="57">
        <f>IF(MEMBERS[[#This Row],[AvailableToAllSchools]]=FALSE,IF(ISBLANK(MEMBERS[[#This Row],[SchoolCodes]]),1,0),IF(MEMBERS[[#This Row],[AvailableToAllSchools]]=TRUE,IF(ISBLANK(MEMBERS[[#This Row],[SchoolCodes]]),0,1)))</f>
        <v>0</v>
      </c>
      <c r="F369" s="57">
        <f>IF(ISBLANK(MEMBERS[[#This Row],[ServiceEndDate]]),0,IF(MEMBERS[[#This Row],[ServiceStartDate]]&lt;MEMBERS[[#This Row],[ServiceEndDate]],0,1))</f>
        <v>0</v>
      </c>
      <c r="G369" s="57" cm="1">
        <f t="array" aca="1" ref="G369" ca="1">IF(CELL("format",MEMBERS[[#This Row],[ServiceStartDate]])="D1",0,1)+IF(CELL("format",MEMBERS[[#This Row],[ServiceEndDate]])="D1",0,1)</f>
        <v>0</v>
      </c>
      <c r="H36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69" s="57">
        <f>IF(LEN(MEMBERS[[#This Row],[StaffMemberCode]])&lt;100,0,1)</f>
        <v>0</v>
      </c>
      <c r="J369" s="57">
        <f>IF(LEN(MEMBERS[[#This Row],[Title]])&lt;100,0,1)</f>
        <v>0</v>
      </c>
      <c r="K369" s="57">
        <f>COUNTBLANK(MEMBERS[[#This Row],[StaffMemberCode]:[ServiceStartDate]])+COUNTBLANK(MEMBERS[[#This Row],[Apprenticeship]]:MEMBERS[[#This Row],[StaffMemberEnabled]])+COUNTBLANK(MEMBERS[[#This Row],[GenderCode]]:MEMBERS[[#This Row],[Casual]])</f>
        <v>0</v>
      </c>
      <c r="L369" s="57">
        <f>IF(SUBSTITUTE(TEXT(MEMBERS[[#This Row],[StaffMemberCode]],10)," ","")=TEXT(MEMBERS[[#This Row],[StaffMemberCode]],10),0,1)</f>
        <v>0</v>
      </c>
      <c r="M369" s="57">
        <f ca="1">SUM(MEMBERS[[#This Row],[Duplicate NameService Start]:[Space in Code]])</f>
        <v>0</v>
      </c>
      <c r="O369" s="15">
        <v>91327939</v>
      </c>
      <c r="P369" s="15" t="s">
        <v>3306</v>
      </c>
      <c r="Q369" s="15" t="s">
        <v>3688</v>
      </c>
      <c r="R369" s="133" t="str">
        <f>MEMBERS[[#This Row],[FirstName]]&amp;" "&amp;MEMBERS[[#This Row],[LastName]]</f>
        <v>John Lee</v>
      </c>
      <c r="S369" s="21">
        <v>45562</v>
      </c>
      <c r="U369" s="21">
        <v>21651</v>
      </c>
      <c r="V369" t="b">
        <v>0</v>
      </c>
      <c r="W369" t="b">
        <v>0</v>
      </c>
      <c r="X369" t="b">
        <v>0</v>
      </c>
      <c r="Y369" t="s">
        <v>2094</v>
      </c>
      <c r="Z369" t="b">
        <v>1</v>
      </c>
      <c r="AB369" t="s">
        <v>1572</v>
      </c>
      <c r="AC369" t="b">
        <v>1</v>
      </c>
    </row>
    <row r="370" spans="1:29" x14ac:dyDescent="0.3">
      <c r="A370" s="57" t="str">
        <f>MEMBERS[[#This Row],[Title]]&amp;MEMBERS[[#This Row],[ServiceStartDate]]</f>
        <v>Johnathan Sargeant44929</v>
      </c>
      <c r="B370" s="57">
        <f>IF(COUNTIF(MEMBERS[NameServiceStart],MEMBERS[[#This Row],[NameServiceStart]])=1,0,1)</f>
        <v>0</v>
      </c>
      <c r="C370" s="57">
        <f>IF(COUNTIF(MEMBERS[StaffMemberCode],MEMBERS[[#This Row],[StaffMemberCode]])=1,0,1)</f>
        <v>0</v>
      </c>
      <c r="D370" s="57">
        <f>IF(ISBLANK(MEMBERS[[#This Row],[PayrollLocation]]),0,IF(COUNTIF(SCHOOLS[SchoolCode],MEMBERS[[#This Row],[PayrollLocation]])=1,0,1))</f>
        <v>0</v>
      </c>
      <c r="E370" s="57">
        <f>IF(MEMBERS[[#This Row],[AvailableToAllSchools]]=FALSE,IF(ISBLANK(MEMBERS[[#This Row],[SchoolCodes]]),1,0),IF(MEMBERS[[#This Row],[AvailableToAllSchools]]=TRUE,IF(ISBLANK(MEMBERS[[#This Row],[SchoolCodes]]),0,1)))</f>
        <v>0</v>
      </c>
      <c r="F370" s="57">
        <f>IF(ISBLANK(MEMBERS[[#This Row],[ServiceEndDate]]),0,IF(MEMBERS[[#This Row],[ServiceStartDate]]&lt;MEMBERS[[#This Row],[ServiceEndDate]],0,1))</f>
        <v>0</v>
      </c>
      <c r="G370" s="57" cm="1">
        <f t="array" aca="1" ref="G370" ca="1">IF(CELL("format",MEMBERS[[#This Row],[ServiceStartDate]])="D1",0,1)+IF(CELL("format",MEMBERS[[#This Row],[ServiceEndDate]])="D1",0,1)</f>
        <v>0</v>
      </c>
      <c r="H37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70" s="57">
        <f>IF(LEN(MEMBERS[[#This Row],[StaffMemberCode]])&lt;100,0,1)</f>
        <v>0</v>
      </c>
      <c r="J370" s="57">
        <f>IF(LEN(MEMBERS[[#This Row],[Title]])&lt;100,0,1)</f>
        <v>0</v>
      </c>
      <c r="K370" s="57">
        <f>COUNTBLANK(MEMBERS[[#This Row],[StaffMemberCode]:[ServiceStartDate]])+COUNTBLANK(MEMBERS[[#This Row],[Apprenticeship]]:MEMBERS[[#This Row],[StaffMemberEnabled]])+COUNTBLANK(MEMBERS[[#This Row],[GenderCode]]:MEMBERS[[#This Row],[Casual]])</f>
        <v>0</v>
      </c>
      <c r="L370" s="57">
        <f>IF(SUBSTITUTE(TEXT(MEMBERS[[#This Row],[StaffMemberCode]],10)," ","")=TEXT(MEMBERS[[#This Row],[StaffMemberCode]],10),0,1)</f>
        <v>0</v>
      </c>
      <c r="M370" s="57">
        <f ca="1">SUM(MEMBERS[[#This Row],[Duplicate NameService Start]:[Space in Code]])</f>
        <v>0</v>
      </c>
      <c r="O370" s="15">
        <v>91073831</v>
      </c>
      <c r="P370" s="15" t="s">
        <v>3307</v>
      </c>
      <c r="Q370" s="15" t="s">
        <v>3689</v>
      </c>
      <c r="R370" s="133" t="str">
        <f>MEMBERS[[#This Row],[FirstName]]&amp;" "&amp;MEMBERS[[#This Row],[LastName]]</f>
        <v>Johnathan Sargeant</v>
      </c>
      <c r="S370" s="21">
        <v>44929</v>
      </c>
      <c r="U370" s="21">
        <v>34400</v>
      </c>
      <c r="V370" t="b">
        <v>0</v>
      </c>
      <c r="W370" t="b">
        <v>0</v>
      </c>
      <c r="X370" t="b">
        <v>0</v>
      </c>
      <c r="Y370" t="s">
        <v>2082</v>
      </c>
      <c r="Z370" t="b">
        <v>1</v>
      </c>
      <c r="AB370" t="s">
        <v>1572</v>
      </c>
      <c r="AC370" t="b">
        <v>0</v>
      </c>
    </row>
    <row r="371" spans="1:29" x14ac:dyDescent="0.3">
      <c r="A371" s="57" t="str">
        <f>MEMBERS[[#This Row],[Title]]&amp;MEMBERS[[#This Row],[ServiceStartDate]]</f>
        <v>Jonathan Collett45600</v>
      </c>
      <c r="B371" s="57">
        <f>IF(COUNTIF(MEMBERS[NameServiceStart],MEMBERS[[#This Row],[NameServiceStart]])=1,0,1)</f>
        <v>0</v>
      </c>
      <c r="C371" s="57">
        <f>IF(COUNTIF(MEMBERS[StaffMemberCode],MEMBERS[[#This Row],[StaffMemberCode]])=1,0,1)</f>
        <v>0</v>
      </c>
      <c r="D371" s="57">
        <f>IF(ISBLANK(MEMBERS[[#This Row],[PayrollLocation]]),0,IF(COUNTIF(SCHOOLS[SchoolCode],MEMBERS[[#This Row],[PayrollLocation]])=1,0,1))</f>
        <v>0</v>
      </c>
      <c r="E371" s="57">
        <f>IF(MEMBERS[[#This Row],[AvailableToAllSchools]]=FALSE,IF(ISBLANK(MEMBERS[[#This Row],[SchoolCodes]]),1,0),IF(MEMBERS[[#This Row],[AvailableToAllSchools]]=TRUE,IF(ISBLANK(MEMBERS[[#This Row],[SchoolCodes]]),0,1)))</f>
        <v>0</v>
      </c>
      <c r="F371" s="57">
        <f>IF(ISBLANK(MEMBERS[[#This Row],[ServiceEndDate]]),0,IF(MEMBERS[[#This Row],[ServiceStartDate]]&lt;MEMBERS[[#This Row],[ServiceEndDate]],0,1))</f>
        <v>0</v>
      </c>
      <c r="G371" s="57" cm="1">
        <f t="array" aca="1" ref="G371" ca="1">IF(CELL("format",MEMBERS[[#This Row],[ServiceStartDate]])="D1",0,1)+IF(CELL("format",MEMBERS[[#This Row],[ServiceEndDate]])="D1",0,1)</f>
        <v>0</v>
      </c>
      <c r="H37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71" s="57">
        <f>IF(LEN(MEMBERS[[#This Row],[StaffMemberCode]])&lt;100,0,1)</f>
        <v>0</v>
      </c>
      <c r="J371" s="57">
        <f>IF(LEN(MEMBERS[[#This Row],[Title]])&lt;100,0,1)</f>
        <v>0</v>
      </c>
      <c r="K371" s="57">
        <f>COUNTBLANK(MEMBERS[[#This Row],[StaffMemberCode]:[ServiceStartDate]])+COUNTBLANK(MEMBERS[[#This Row],[Apprenticeship]]:MEMBERS[[#This Row],[StaffMemberEnabled]])+COUNTBLANK(MEMBERS[[#This Row],[GenderCode]]:MEMBERS[[#This Row],[Casual]])</f>
        <v>0</v>
      </c>
      <c r="L371" s="57">
        <f>IF(SUBSTITUTE(TEXT(MEMBERS[[#This Row],[StaffMemberCode]],10)," ","")=TEXT(MEMBERS[[#This Row],[StaffMemberCode]],10),0,1)</f>
        <v>0</v>
      </c>
      <c r="M371" s="57">
        <f ca="1">SUM(MEMBERS[[#This Row],[Duplicate NameService Start]:[Space in Code]])</f>
        <v>0</v>
      </c>
      <c r="O371" s="15">
        <v>91328918</v>
      </c>
      <c r="P371" s="15" t="s">
        <v>3308</v>
      </c>
      <c r="Q371" s="15" t="s">
        <v>3690</v>
      </c>
      <c r="R371" s="133" t="str">
        <f>MEMBERS[[#This Row],[FirstName]]&amp;" "&amp;MEMBERS[[#This Row],[LastName]]</f>
        <v>Jonathan Collett</v>
      </c>
      <c r="S371" s="21">
        <v>45600</v>
      </c>
      <c r="U371" s="21">
        <v>38268</v>
      </c>
      <c r="V371" t="b">
        <v>0</v>
      </c>
      <c r="W371" t="b">
        <v>0</v>
      </c>
      <c r="X371" t="b">
        <v>0</v>
      </c>
      <c r="Y371" t="s">
        <v>2094</v>
      </c>
      <c r="Z371" t="b">
        <v>1</v>
      </c>
      <c r="AB371" t="s">
        <v>1572</v>
      </c>
      <c r="AC371" t="b">
        <v>1</v>
      </c>
    </row>
    <row r="372" spans="1:29" x14ac:dyDescent="0.3">
      <c r="A372" s="57" t="str">
        <f>MEMBERS[[#This Row],[Title]]&amp;MEMBERS[[#This Row],[ServiceStartDate]]</f>
        <v>Jonathan Minshull37791</v>
      </c>
      <c r="B372" s="57">
        <f>IF(COUNTIF(MEMBERS[NameServiceStart],MEMBERS[[#This Row],[NameServiceStart]])=1,0,1)</f>
        <v>0</v>
      </c>
      <c r="C372" s="57">
        <f>IF(COUNTIF(MEMBERS[StaffMemberCode],MEMBERS[[#This Row],[StaffMemberCode]])=1,0,1)</f>
        <v>0</v>
      </c>
      <c r="D372" s="57">
        <f>IF(ISBLANK(MEMBERS[[#This Row],[PayrollLocation]]),0,IF(COUNTIF(SCHOOLS[SchoolCode],MEMBERS[[#This Row],[PayrollLocation]])=1,0,1))</f>
        <v>0</v>
      </c>
      <c r="E372" s="57">
        <f>IF(MEMBERS[[#This Row],[AvailableToAllSchools]]=FALSE,IF(ISBLANK(MEMBERS[[#This Row],[SchoolCodes]]),1,0),IF(MEMBERS[[#This Row],[AvailableToAllSchools]]=TRUE,IF(ISBLANK(MEMBERS[[#This Row],[SchoolCodes]]),0,1)))</f>
        <v>0</v>
      </c>
      <c r="F372" s="57">
        <f>IF(ISBLANK(MEMBERS[[#This Row],[ServiceEndDate]]),0,IF(MEMBERS[[#This Row],[ServiceStartDate]]&lt;MEMBERS[[#This Row],[ServiceEndDate]],0,1))</f>
        <v>0</v>
      </c>
      <c r="G372" s="57" cm="1">
        <f t="array" aca="1" ref="G372" ca="1">IF(CELL("format",MEMBERS[[#This Row],[ServiceStartDate]])="D1",0,1)+IF(CELL("format",MEMBERS[[#This Row],[ServiceEndDate]])="D1",0,1)</f>
        <v>0</v>
      </c>
      <c r="H37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72" s="57">
        <f>IF(LEN(MEMBERS[[#This Row],[StaffMemberCode]])&lt;100,0,1)</f>
        <v>0</v>
      </c>
      <c r="J372" s="57">
        <f>IF(LEN(MEMBERS[[#This Row],[Title]])&lt;100,0,1)</f>
        <v>0</v>
      </c>
      <c r="K372" s="57">
        <f>COUNTBLANK(MEMBERS[[#This Row],[StaffMemberCode]:[ServiceStartDate]])+COUNTBLANK(MEMBERS[[#This Row],[Apprenticeship]]:MEMBERS[[#This Row],[StaffMemberEnabled]])+COUNTBLANK(MEMBERS[[#This Row],[GenderCode]]:MEMBERS[[#This Row],[Casual]])</f>
        <v>0</v>
      </c>
      <c r="L372" s="57">
        <f>IF(SUBSTITUTE(TEXT(MEMBERS[[#This Row],[StaffMemberCode]],10)," ","")=TEXT(MEMBERS[[#This Row],[StaffMemberCode]],10),0,1)</f>
        <v>0</v>
      </c>
      <c r="M372" s="57">
        <f ca="1">SUM(MEMBERS[[#This Row],[Duplicate NameService Start]:[Space in Code]])</f>
        <v>0</v>
      </c>
      <c r="O372" s="15">
        <v>91073460</v>
      </c>
      <c r="P372" s="15" t="s">
        <v>3308</v>
      </c>
      <c r="Q372" s="15" t="s">
        <v>3691</v>
      </c>
      <c r="R372" s="133" t="str">
        <f>MEMBERS[[#This Row],[FirstName]]&amp;" "&amp;MEMBERS[[#This Row],[LastName]]</f>
        <v>Jonathan Minshull</v>
      </c>
      <c r="S372" s="21">
        <v>37791</v>
      </c>
      <c r="U372" s="21">
        <v>25864</v>
      </c>
      <c r="V372" t="b">
        <v>0</v>
      </c>
      <c r="W372" t="b">
        <v>0</v>
      </c>
      <c r="X372" t="b">
        <v>0</v>
      </c>
      <c r="Y372" t="s">
        <v>2094</v>
      </c>
      <c r="Z372" t="b">
        <v>1</v>
      </c>
      <c r="AB372" t="s">
        <v>1572</v>
      </c>
      <c r="AC372" t="b">
        <v>0</v>
      </c>
    </row>
    <row r="373" spans="1:29" x14ac:dyDescent="0.3">
      <c r="A373" s="57" t="str">
        <f>MEMBERS[[#This Row],[Title]]&amp;MEMBERS[[#This Row],[ServiceStartDate]]</f>
        <v>Jonathan Mottram40552</v>
      </c>
      <c r="B373" s="57">
        <f>IF(COUNTIF(MEMBERS[NameServiceStart],MEMBERS[[#This Row],[NameServiceStart]])=1,0,1)</f>
        <v>0</v>
      </c>
      <c r="C373" s="57">
        <f>IF(COUNTIF(MEMBERS[StaffMemberCode],MEMBERS[[#This Row],[StaffMemberCode]])=1,0,1)</f>
        <v>0</v>
      </c>
      <c r="D373" s="57">
        <f>IF(ISBLANK(MEMBERS[[#This Row],[PayrollLocation]]),0,IF(COUNTIF(SCHOOLS[SchoolCode],MEMBERS[[#This Row],[PayrollLocation]])=1,0,1))</f>
        <v>0</v>
      </c>
      <c r="E373" s="57">
        <f>IF(MEMBERS[[#This Row],[AvailableToAllSchools]]=FALSE,IF(ISBLANK(MEMBERS[[#This Row],[SchoolCodes]]),1,0),IF(MEMBERS[[#This Row],[AvailableToAllSchools]]=TRUE,IF(ISBLANK(MEMBERS[[#This Row],[SchoolCodes]]),0,1)))</f>
        <v>0</v>
      </c>
      <c r="F373" s="57">
        <f>IF(ISBLANK(MEMBERS[[#This Row],[ServiceEndDate]]),0,IF(MEMBERS[[#This Row],[ServiceStartDate]]&lt;MEMBERS[[#This Row],[ServiceEndDate]],0,1))</f>
        <v>0</v>
      </c>
      <c r="G373" s="57" cm="1">
        <f t="array" aca="1" ref="G373" ca="1">IF(CELL("format",MEMBERS[[#This Row],[ServiceStartDate]])="D1",0,1)+IF(CELL("format",MEMBERS[[#This Row],[ServiceEndDate]])="D1",0,1)</f>
        <v>0</v>
      </c>
      <c r="H37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73" s="57">
        <f>IF(LEN(MEMBERS[[#This Row],[StaffMemberCode]])&lt;100,0,1)</f>
        <v>0</v>
      </c>
      <c r="J373" s="57">
        <f>IF(LEN(MEMBERS[[#This Row],[Title]])&lt;100,0,1)</f>
        <v>0</v>
      </c>
      <c r="K373" s="57">
        <f>COUNTBLANK(MEMBERS[[#This Row],[StaffMemberCode]:[ServiceStartDate]])+COUNTBLANK(MEMBERS[[#This Row],[Apprenticeship]]:MEMBERS[[#This Row],[StaffMemberEnabled]])+COUNTBLANK(MEMBERS[[#This Row],[GenderCode]]:MEMBERS[[#This Row],[Casual]])</f>
        <v>0</v>
      </c>
      <c r="L373" s="57">
        <f>IF(SUBSTITUTE(TEXT(MEMBERS[[#This Row],[StaffMemberCode]],10)," ","")=TEXT(MEMBERS[[#This Row],[StaffMemberCode]],10),0,1)</f>
        <v>0</v>
      </c>
      <c r="M373" s="57">
        <f ca="1">SUM(MEMBERS[[#This Row],[Duplicate NameService Start]:[Space in Code]])</f>
        <v>0</v>
      </c>
      <c r="O373" s="15">
        <v>91073501</v>
      </c>
      <c r="P373" s="15" t="s">
        <v>3308</v>
      </c>
      <c r="Q373" s="15" t="s">
        <v>3692</v>
      </c>
      <c r="R373" s="133" t="str">
        <f>MEMBERS[[#This Row],[FirstName]]&amp;" "&amp;MEMBERS[[#This Row],[LastName]]</f>
        <v>Jonathan Mottram</v>
      </c>
      <c r="S373" s="21">
        <v>40552</v>
      </c>
      <c r="U373" s="21">
        <v>32637</v>
      </c>
      <c r="V373" t="b">
        <v>0</v>
      </c>
      <c r="W373" t="b">
        <v>0</v>
      </c>
      <c r="X373" t="b">
        <v>0</v>
      </c>
      <c r="Y373" t="s">
        <v>2094</v>
      </c>
      <c r="Z373" t="b">
        <v>1</v>
      </c>
      <c r="AB373" t="s">
        <v>1572</v>
      </c>
      <c r="AC373" t="b">
        <v>0</v>
      </c>
    </row>
    <row r="374" spans="1:29" x14ac:dyDescent="0.3">
      <c r="A374" s="57" t="str">
        <f>MEMBERS[[#This Row],[Title]]&amp;MEMBERS[[#This Row],[ServiceStartDate]]</f>
        <v>Jordan Morris43839</v>
      </c>
      <c r="B374" s="57">
        <f>IF(COUNTIF(MEMBERS[NameServiceStart],MEMBERS[[#This Row],[NameServiceStart]])=1,0,1)</f>
        <v>0</v>
      </c>
      <c r="C374" s="57">
        <f>IF(COUNTIF(MEMBERS[StaffMemberCode],MEMBERS[[#This Row],[StaffMemberCode]])=1,0,1)</f>
        <v>0</v>
      </c>
      <c r="D374" s="57">
        <f>IF(ISBLANK(MEMBERS[[#This Row],[PayrollLocation]]),0,IF(COUNTIF(SCHOOLS[SchoolCode],MEMBERS[[#This Row],[PayrollLocation]])=1,0,1))</f>
        <v>0</v>
      </c>
      <c r="E374" s="57">
        <f>IF(MEMBERS[[#This Row],[AvailableToAllSchools]]=FALSE,IF(ISBLANK(MEMBERS[[#This Row],[SchoolCodes]]),1,0),IF(MEMBERS[[#This Row],[AvailableToAllSchools]]=TRUE,IF(ISBLANK(MEMBERS[[#This Row],[SchoolCodes]]),0,1)))</f>
        <v>0</v>
      </c>
      <c r="F374" s="57">
        <f>IF(ISBLANK(MEMBERS[[#This Row],[ServiceEndDate]]),0,IF(MEMBERS[[#This Row],[ServiceStartDate]]&lt;MEMBERS[[#This Row],[ServiceEndDate]],0,1))</f>
        <v>0</v>
      </c>
      <c r="G374" s="57" cm="1">
        <f t="array" aca="1" ref="G374" ca="1">IF(CELL("format",MEMBERS[[#This Row],[ServiceStartDate]])="D1",0,1)+IF(CELL("format",MEMBERS[[#This Row],[ServiceEndDate]])="D1",0,1)</f>
        <v>0</v>
      </c>
      <c r="H37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74" s="57">
        <f>IF(LEN(MEMBERS[[#This Row],[StaffMemberCode]])&lt;100,0,1)</f>
        <v>0</v>
      </c>
      <c r="J374" s="57">
        <f>IF(LEN(MEMBERS[[#This Row],[Title]])&lt;100,0,1)</f>
        <v>0</v>
      </c>
      <c r="K374" s="57">
        <f>COUNTBLANK(MEMBERS[[#This Row],[StaffMemberCode]:[ServiceStartDate]])+COUNTBLANK(MEMBERS[[#This Row],[Apprenticeship]]:MEMBERS[[#This Row],[StaffMemberEnabled]])+COUNTBLANK(MEMBERS[[#This Row],[GenderCode]]:MEMBERS[[#This Row],[Casual]])</f>
        <v>0</v>
      </c>
      <c r="L374" s="57">
        <f>IF(SUBSTITUTE(TEXT(MEMBERS[[#This Row],[StaffMemberCode]],10)," ","")=TEXT(MEMBERS[[#This Row],[StaffMemberCode]],10),0,1)</f>
        <v>0</v>
      </c>
      <c r="M374" s="57">
        <f ca="1">SUM(MEMBERS[[#This Row],[Duplicate NameService Start]:[Space in Code]])</f>
        <v>0</v>
      </c>
      <c r="O374" s="15">
        <v>91073555</v>
      </c>
      <c r="P374" s="15" t="s">
        <v>1769</v>
      </c>
      <c r="Q374" s="15" t="s">
        <v>3520</v>
      </c>
      <c r="R374" s="133" t="str">
        <f>MEMBERS[[#This Row],[FirstName]]&amp;" "&amp;MEMBERS[[#This Row],[LastName]]</f>
        <v>Jordan Morris</v>
      </c>
      <c r="S374" s="21">
        <v>43839</v>
      </c>
      <c r="U374" s="21">
        <v>33529</v>
      </c>
      <c r="V374" t="b">
        <v>0</v>
      </c>
      <c r="W374" t="b">
        <v>0</v>
      </c>
      <c r="X374" t="b">
        <v>0</v>
      </c>
      <c r="Y374" t="s">
        <v>2094</v>
      </c>
      <c r="Z374" t="b">
        <v>1</v>
      </c>
      <c r="AB374" t="s">
        <v>1571</v>
      </c>
      <c r="AC374" t="b">
        <v>0</v>
      </c>
    </row>
    <row r="375" spans="1:29" x14ac:dyDescent="0.3">
      <c r="A375" s="57" t="str">
        <f>MEMBERS[[#This Row],[Title]]&amp;MEMBERS[[#This Row],[ServiceStartDate]]</f>
        <v>Jordanne Tuplin43906</v>
      </c>
      <c r="B375" s="57">
        <f>IF(COUNTIF(MEMBERS[NameServiceStart],MEMBERS[[#This Row],[NameServiceStart]])=1,0,1)</f>
        <v>0</v>
      </c>
      <c r="C375" s="57">
        <f>IF(COUNTIF(MEMBERS[StaffMemberCode],MEMBERS[[#This Row],[StaffMemberCode]])=1,0,1)</f>
        <v>0</v>
      </c>
      <c r="D375" s="57">
        <f>IF(ISBLANK(MEMBERS[[#This Row],[PayrollLocation]]),0,IF(COUNTIF(SCHOOLS[SchoolCode],MEMBERS[[#This Row],[PayrollLocation]])=1,0,1))</f>
        <v>0</v>
      </c>
      <c r="E375" s="57">
        <f>IF(MEMBERS[[#This Row],[AvailableToAllSchools]]=FALSE,IF(ISBLANK(MEMBERS[[#This Row],[SchoolCodes]]),1,0),IF(MEMBERS[[#This Row],[AvailableToAllSchools]]=TRUE,IF(ISBLANK(MEMBERS[[#This Row],[SchoolCodes]]),0,1)))</f>
        <v>0</v>
      </c>
      <c r="F375" s="57">
        <f>IF(ISBLANK(MEMBERS[[#This Row],[ServiceEndDate]]),0,IF(MEMBERS[[#This Row],[ServiceStartDate]]&lt;MEMBERS[[#This Row],[ServiceEndDate]],0,1))</f>
        <v>0</v>
      </c>
      <c r="G375" s="57" cm="1">
        <f t="array" aca="1" ref="G375" ca="1">IF(CELL("format",MEMBERS[[#This Row],[ServiceStartDate]])="D1",0,1)+IF(CELL("format",MEMBERS[[#This Row],[ServiceEndDate]])="D1",0,1)</f>
        <v>0</v>
      </c>
      <c r="H37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75" s="57">
        <f>IF(LEN(MEMBERS[[#This Row],[StaffMemberCode]])&lt;100,0,1)</f>
        <v>0</v>
      </c>
      <c r="J375" s="57">
        <f>IF(LEN(MEMBERS[[#This Row],[Title]])&lt;100,0,1)</f>
        <v>0</v>
      </c>
      <c r="K375" s="57">
        <f>COUNTBLANK(MEMBERS[[#This Row],[StaffMemberCode]:[ServiceStartDate]])+COUNTBLANK(MEMBERS[[#This Row],[Apprenticeship]]:MEMBERS[[#This Row],[StaffMemberEnabled]])+COUNTBLANK(MEMBERS[[#This Row],[GenderCode]]:MEMBERS[[#This Row],[Casual]])</f>
        <v>0</v>
      </c>
      <c r="L375" s="57">
        <f>IF(SUBSTITUTE(TEXT(MEMBERS[[#This Row],[StaffMemberCode]],10)," ","")=TEXT(MEMBERS[[#This Row],[StaffMemberCode]],10),0,1)</f>
        <v>0</v>
      </c>
      <c r="M375" s="57">
        <f ca="1">SUM(MEMBERS[[#This Row],[Duplicate NameService Start]:[Space in Code]])</f>
        <v>0</v>
      </c>
      <c r="O375" s="15">
        <v>10007246</v>
      </c>
      <c r="P375" s="15" t="s">
        <v>3979</v>
      </c>
      <c r="Q375" s="15" t="s">
        <v>4076</v>
      </c>
      <c r="R375" s="133" t="str">
        <f>MEMBERS[[#This Row],[FirstName]]&amp;" "&amp;MEMBERS[[#This Row],[LastName]]</f>
        <v>Jordanne Tuplin</v>
      </c>
      <c r="S375" s="21">
        <v>43906</v>
      </c>
      <c r="U375" s="21">
        <v>34112</v>
      </c>
      <c r="V375" s="138" t="b">
        <v>0</v>
      </c>
      <c r="W375" t="b">
        <v>0</v>
      </c>
      <c r="X375" t="b">
        <v>0</v>
      </c>
      <c r="Y375" t="s">
        <v>2126</v>
      </c>
      <c r="Z375" t="b">
        <v>1</v>
      </c>
      <c r="AB375" t="s">
        <v>1571</v>
      </c>
      <c r="AC375" t="b">
        <v>0</v>
      </c>
    </row>
    <row r="376" spans="1:29" x14ac:dyDescent="0.3">
      <c r="A376" s="57" t="str">
        <f>MEMBERS[[#This Row],[Title]]&amp;MEMBERS[[#This Row],[ServiceStartDate]]</f>
        <v>Joseph Edmonds45229</v>
      </c>
      <c r="B376" s="57">
        <f>IF(COUNTIF(MEMBERS[NameServiceStart],MEMBERS[[#This Row],[NameServiceStart]])=1,0,1)</f>
        <v>0</v>
      </c>
      <c r="C376" s="57">
        <f>IF(COUNTIF(MEMBERS[StaffMemberCode],MEMBERS[[#This Row],[StaffMemberCode]])=1,0,1)</f>
        <v>0</v>
      </c>
      <c r="D376" s="57">
        <f>IF(ISBLANK(MEMBERS[[#This Row],[PayrollLocation]]),0,IF(COUNTIF(SCHOOLS[SchoolCode],MEMBERS[[#This Row],[PayrollLocation]])=1,0,1))</f>
        <v>0</v>
      </c>
      <c r="E376" s="57">
        <f>IF(MEMBERS[[#This Row],[AvailableToAllSchools]]=FALSE,IF(ISBLANK(MEMBERS[[#This Row],[SchoolCodes]]),1,0),IF(MEMBERS[[#This Row],[AvailableToAllSchools]]=TRUE,IF(ISBLANK(MEMBERS[[#This Row],[SchoolCodes]]),0,1)))</f>
        <v>0</v>
      </c>
      <c r="F376" s="57">
        <f>IF(ISBLANK(MEMBERS[[#This Row],[ServiceEndDate]]),0,IF(MEMBERS[[#This Row],[ServiceStartDate]]&lt;MEMBERS[[#This Row],[ServiceEndDate]],0,1))</f>
        <v>0</v>
      </c>
      <c r="G376" s="57" cm="1">
        <f t="array" aca="1" ref="G376" ca="1">IF(CELL("format",MEMBERS[[#This Row],[ServiceStartDate]])="D1",0,1)+IF(CELL("format",MEMBERS[[#This Row],[ServiceEndDate]])="D1",0,1)</f>
        <v>0</v>
      </c>
      <c r="H37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76" s="57">
        <f>IF(LEN(MEMBERS[[#This Row],[StaffMemberCode]])&lt;100,0,1)</f>
        <v>0</v>
      </c>
      <c r="J376" s="57">
        <f>IF(LEN(MEMBERS[[#This Row],[Title]])&lt;100,0,1)</f>
        <v>0</v>
      </c>
      <c r="K376" s="57">
        <f>COUNTBLANK(MEMBERS[[#This Row],[StaffMemberCode]:[ServiceStartDate]])+COUNTBLANK(MEMBERS[[#This Row],[Apprenticeship]]:MEMBERS[[#This Row],[StaffMemberEnabled]])+COUNTBLANK(MEMBERS[[#This Row],[GenderCode]]:MEMBERS[[#This Row],[Casual]])</f>
        <v>0</v>
      </c>
      <c r="L376" s="57">
        <f>IF(SUBSTITUTE(TEXT(MEMBERS[[#This Row],[StaffMemberCode]],10)," ","")=TEXT(MEMBERS[[#This Row],[StaffMemberCode]],10),0,1)</f>
        <v>0</v>
      </c>
      <c r="M376" s="57">
        <f ca="1">SUM(MEMBERS[[#This Row],[Duplicate NameService Start]:[Space in Code]])</f>
        <v>0</v>
      </c>
      <c r="O376" s="15">
        <v>10013308</v>
      </c>
      <c r="P376" s="15" t="s">
        <v>3980</v>
      </c>
      <c r="Q376" s="15" t="s">
        <v>4077</v>
      </c>
      <c r="R376" s="133" t="str">
        <f>MEMBERS[[#This Row],[FirstName]]&amp;" "&amp;MEMBERS[[#This Row],[LastName]]</f>
        <v>Joseph Edmonds</v>
      </c>
      <c r="S376" s="21">
        <v>45229</v>
      </c>
      <c r="U376" s="21">
        <v>39151</v>
      </c>
      <c r="V376" s="138" t="b">
        <v>0</v>
      </c>
      <c r="W376" t="b">
        <v>0</v>
      </c>
      <c r="X376" t="b">
        <v>0</v>
      </c>
      <c r="Y376" t="s">
        <v>2126</v>
      </c>
      <c r="Z376" t="b">
        <v>1</v>
      </c>
      <c r="AB376" t="s">
        <v>1572</v>
      </c>
      <c r="AC376" t="b">
        <v>1</v>
      </c>
    </row>
    <row r="377" spans="1:29" x14ac:dyDescent="0.3">
      <c r="A377" s="57" t="str">
        <f>MEMBERS[[#This Row],[Title]]&amp;MEMBERS[[#This Row],[ServiceStartDate]]</f>
        <v>Josephine Andersen42013</v>
      </c>
      <c r="B377" s="57">
        <f>IF(COUNTIF(MEMBERS[NameServiceStart],MEMBERS[[#This Row],[NameServiceStart]])=1,0,1)</f>
        <v>0</v>
      </c>
      <c r="C377" s="57">
        <f>IF(COUNTIF(MEMBERS[StaffMemberCode],MEMBERS[[#This Row],[StaffMemberCode]])=1,0,1)</f>
        <v>0</v>
      </c>
      <c r="D377" s="57">
        <f>IF(ISBLANK(MEMBERS[[#This Row],[PayrollLocation]]),0,IF(COUNTIF(SCHOOLS[SchoolCode],MEMBERS[[#This Row],[PayrollLocation]])=1,0,1))</f>
        <v>0</v>
      </c>
      <c r="E377" s="57">
        <f>IF(MEMBERS[[#This Row],[AvailableToAllSchools]]=FALSE,IF(ISBLANK(MEMBERS[[#This Row],[SchoolCodes]]),1,0),IF(MEMBERS[[#This Row],[AvailableToAllSchools]]=TRUE,IF(ISBLANK(MEMBERS[[#This Row],[SchoolCodes]]),0,1)))</f>
        <v>0</v>
      </c>
      <c r="F377" s="57">
        <f>IF(ISBLANK(MEMBERS[[#This Row],[ServiceEndDate]]),0,IF(MEMBERS[[#This Row],[ServiceStartDate]]&lt;MEMBERS[[#This Row],[ServiceEndDate]],0,1))</f>
        <v>0</v>
      </c>
      <c r="G377" s="57" cm="1">
        <f t="array" aca="1" ref="G377" ca="1">IF(CELL("format",MEMBERS[[#This Row],[ServiceStartDate]])="D1",0,1)+IF(CELL("format",MEMBERS[[#This Row],[ServiceEndDate]])="D1",0,1)</f>
        <v>0</v>
      </c>
      <c r="H37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77" s="57">
        <f>IF(LEN(MEMBERS[[#This Row],[StaffMemberCode]])&lt;100,0,1)</f>
        <v>0</v>
      </c>
      <c r="J377" s="57">
        <f>IF(LEN(MEMBERS[[#This Row],[Title]])&lt;100,0,1)</f>
        <v>0</v>
      </c>
      <c r="K377" s="57">
        <f>COUNTBLANK(MEMBERS[[#This Row],[StaffMemberCode]:[ServiceStartDate]])+COUNTBLANK(MEMBERS[[#This Row],[Apprenticeship]]:MEMBERS[[#This Row],[StaffMemberEnabled]])+COUNTBLANK(MEMBERS[[#This Row],[GenderCode]]:MEMBERS[[#This Row],[Casual]])</f>
        <v>0</v>
      </c>
      <c r="L377" s="57">
        <f>IF(SUBSTITUTE(TEXT(MEMBERS[[#This Row],[StaffMemberCode]],10)," ","")=TEXT(MEMBERS[[#This Row],[StaffMemberCode]],10),0,1)</f>
        <v>0</v>
      </c>
      <c r="M377" s="57">
        <f ca="1">SUM(MEMBERS[[#This Row],[Duplicate NameService Start]:[Space in Code]])</f>
        <v>0</v>
      </c>
      <c r="O377" s="15">
        <v>91073582</v>
      </c>
      <c r="P377" s="15" t="s">
        <v>3309</v>
      </c>
      <c r="Q377" s="15" t="s">
        <v>3693</v>
      </c>
      <c r="R377" s="133" t="str">
        <f>MEMBERS[[#This Row],[FirstName]]&amp;" "&amp;MEMBERS[[#This Row],[LastName]]</f>
        <v>Josephine Andersen</v>
      </c>
      <c r="S377" s="21">
        <v>42013</v>
      </c>
      <c r="U377" s="21">
        <v>34135</v>
      </c>
      <c r="V377" t="b">
        <v>0</v>
      </c>
      <c r="W377" t="b">
        <v>0</v>
      </c>
      <c r="X377" t="b">
        <v>0</v>
      </c>
      <c r="Y377" t="s">
        <v>2094</v>
      </c>
      <c r="Z377" t="b">
        <v>1</v>
      </c>
      <c r="AB377" t="s">
        <v>1571</v>
      </c>
      <c r="AC377" t="b">
        <v>0</v>
      </c>
    </row>
    <row r="378" spans="1:29" x14ac:dyDescent="0.3">
      <c r="A378" s="57" t="str">
        <f>MEMBERS[[#This Row],[Title]]&amp;MEMBERS[[#This Row],[ServiceStartDate]]</f>
        <v>Josie Selby39326</v>
      </c>
      <c r="B378" s="57">
        <f>IF(COUNTIF(MEMBERS[NameServiceStart],MEMBERS[[#This Row],[NameServiceStart]])=1,0,1)</f>
        <v>0</v>
      </c>
      <c r="C378" s="57">
        <f>IF(COUNTIF(MEMBERS[StaffMemberCode],MEMBERS[[#This Row],[StaffMemberCode]])=1,0,1)</f>
        <v>0</v>
      </c>
      <c r="D378" s="57">
        <f>IF(ISBLANK(MEMBERS[[#This Row],[PayrollLocation]]),0,IF(COUNTIF(SCHOOLS[SchoolCode],MEMBERS[[#This Row],[PayrollLocation]])=1,0,1))</f>
        <v>0</v>
      </c>
      <c r="E378" s="57">
        <f>IF(MEMBERS[[#This Row],[AvailableToAllSchools]]=FALSE,IF(ISBLANK(MEMBERS[[#This Row],[SchoolCodes]]),1,0),IF(MEMBERS[[#This Row],[AvailableToAllSchools]]=TRUE,IF(ISBLANK(MEMBERS[[#This Row],[SchoolCodes]]),0,1)))</f>
        <v>0</v>
      </c>
      <c r="F378" s="57">
        <f>IF(ISBLANK(MEMBERS[[#This Row],[ServiceEndDate]]),0,IF(MEMBERS[[#This Row],[ServiceStartDate]]&lt;MEMBERS[[#This Row],[ServiceEndDate]],0,1))</f>
        <v>0</v>
      </c>
      <c r="G378" s="57" cm="1">
        <f t="array" aca="1" ref="G378" ca="1">IF(CELL("format",MEMBERS[[#This Row],[ServiceStartDate]])="D1",0,1)+IF(CELL("format",MEMBERS[[#This Row],[ServiceEndDate]])="D1",0,1)</f>
        <v>0</v>
      </c>
      <c r="H37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78" s="57">
        <f>IF(LEN(MEMBERS[[#This Row],[StaffMemberCode]])&lt;100,0,1)</f>
        <v>0</v>
      </c>
      <c r="J378" s="57">
        <f>IF(LEN(MEMBERS[[#This Row],[Title]])&lt;100,0,1)</f>
        <v>0</v>
      </c>
      <c r="K378" s="57">
        <f>COUNTBLANK(MEMBERS[[#This Row],[StaffMemberCode]:[ServiceStartDate]])+COUNTBLANK(MEMBERS[[#This Row],[Apprenticeship]]:MEMBERS[[#This Row],[StaffMemberEnabled]])+COUNTBLANK(MEMBERS[[#This Row],[GenderCode]]:MEMBERS[[#This Row],[Casual]])</f>
        <v>0</v>
      </c>
      <c r="L378" s="57">
        <f>IF(SUBSTITUTE(TEXT(MEMBERS[[#This Row],[StaffMemberCode]],10)," ","")=TEXT(MEMBERS[[#This Row],[StaffMemberCode]],10),0,1)</f>
        <v>0</v>
      </c>
      <c r="M378" s="57">
        <f ca="1">SUM(MEMBERS[[#This Row],[Duplicate NameService Start]:[Space in Code]])</f>
        <v>0</v>
      </c>
      <c r="O378" s="15">
        <v>10005316</v>
      </c>
      <c r="P378" s="15" t="s">
        <v>3981</v>
      </c>
      <c r="Q378" s="15" t="s">
        <v>4078</v>
      </c>
      <c r="R378" s="133" t="str">
        <f>MEMBERS[[#This Row],[FirstName]]&amp;" "&amp;MEMBERS[[#This Row],[LastName]]</f>
        <v>Josie Selby</v>
      </c>
      <c r="S378" s="21">
        <v>39326</v>
      </c>
      <c r="U378" s="21">
        <v>30585</v>
      </c>
      <c r="V378" s="138" t="b">
        <v>0</v>
      </c>
      <c r="W378" t="b">
        <v>0</v>
      </c>
      <c r="X378" t="b">
        <v>0</v>
      </c>
      <c r="Y378" t="s">
        <v>2126</v>
      </c>
      <c r="Z378" t="b">
        <v>1</v>
      </c>
      <c r="AB378" t="s">
        <v>1571</v>
      </c>
      <c r="AC378" t="b">
        <v>0</v>
      </c>
    </row>
    <row r="379" spans="1:29" x14ac:dyDescent="0.3">
      <c r="A379" s="57" t="str">
        <f>MEMBERS[[#This Row],[Title]]&amp;MEMBERS[[#This Row],[ServiceStartDate]]</f>
        <v>Joyce Halsall44570</v>
      </c>
      <c r="B379" s="57">
        <f>IF(COUNTIF(MEMBERS[NameServiceStart],MEMBERS[[#This Row],[NameServiceStart]])=1,0,1)</f>
        <v>0</v>
      </c>
      <c r="C379" s="57">
        <f>IF(COUNTIF(MEMBERS[StaffMemberCode],MEMBERS[[#This Row],[StaffMemberCode]])=1,0,1)</f>
        <v>0</v>
      </c>
      <c r="D379" s="57">
        <f>IF(ISBLANK(MEMBERS[[#This Row],[PayrollLocation]]),0,IF(COUNTIF(SCHOOLS[SchoolCode],MEMBERS[[#This Row],[PayrollLocation]])=1,0,1))</f>
        <v>0</v>
      </c>
      <c r="E379" s="57">
        <f>IF(MEMBERS[[#This Row],[AvailableToAllSchools]]=FALSE,IF(ISBLANK(MEMBERS[[#This Row],[SchoolCodes]]),1,0),IF(MEMBERS[[#This Row],[AvailableToAllSchools]]=TRUE,IF(ISBLANK(MEMBERS[[#This Row],[SchoolCodes]]),0,1)))</f>
        <v>0</v>
      </c>
      <c r="F379" s="57">
        <f>IF(ISBLANK(MEMBERS[[#This Row],[ServiceEndDate]]),0,IF(MEMBERS[[#This Row],[ServiceStartDate]]&lt;MEMBERS[[#This Row],[ServiceEndDate]],0,1))</f>
        <v>0</v>
      </c>
      <c r="G379" s="57" cm="1">
        <f t="array" aca="1" ref="G379" ca="1">IF(CELL("format",MEMBERS[[#This Row],[ServiceStartDate]])="D1",0,1)+IF(CELL("format",MEMBERS[[#This Row],[ServiceEndDate]])="D1",0,1)</f>
        <v>0</v>
      </c>
      <c r="H37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79" s="57">
        <f>IF(LEN(MEMBERS[[#This Row],[StaffMemberCode]])&lt;100,0,1)</f>
        <v>0</v>
      </c>
      <c r="J379" s="57">
        <f>IF(LEN(MEMBERS[[#This Row],[Title]])&lt;100,0,1)</f>
        <v>0</v>
      </c>
      <c r="K379" s="57">
        <f>COUNTBLANK(MEMBERS[[#This Row],[StaffMemberCode]:[ServiceStartDate]])+COUNTBLANK(MEMBERS[[#This Row],[Apprenticeship]]:MEMBERS[[#This Row],[StaffMemberEnabled]])+COUNTBLANK(MEMBERS[[#This Row],[GenderCode]]:MEMBERS[[#This Row],[Casual]])</f>
        <v>0</v>
      </c>
      <c r="L379" s="57">
        <f>IF(SUBSTITUTE(TEXT(MEMBERS[[#This Row],[StaffMemberCode]],10)," ","")=TEXT(MEMBERS[[#This Row],[StaffMemberCode]],10),0,1)</f>
        <v>0</v>
      </c>
      <c r="M379" s="57">
        <f ca="1">SUM(MEMBERS[[#This Row],[Duplicate NameService Start]:[Space in Code]])</f>
        <v>0</v>
      </c>
      <c r="O379" s="15">
        <v>91073668</v>
      </c>
      <c r="P379" s="15" t="s">
        <v>3310</v>
      </c>
      <c r="Q379" s="15" t="s">
        <v>3694</v>
      </c>
      <c r="R379" s="133" t="str">
        <f>MEMBERS[[#This Row],[FirstName]]&amp;" "&amp;MEMBERS[[#This Row],[LastName]]</f>
        <v>Joyce Halsall</v>
      </c>
      <c r="S379" s="21">
        <v>44570</v>
      </c>
      <c r="U379" s="21">
        <v>20290</v>
      </c>
      <c r="V379" t="b">
        <v>0</v>
      </c>
      <c r="W379" t="b">
        <v>0</v>
      </c>
      <c r="X379" t="b">
        <v>0</v>
      </c>
      <c r="Y379" t="s">
        <v>2082</v>
      </c>
      <c r="Z379" t="b">
        <v>1</v>
      </c>
      <c r="AB379" t="s">
        <v>1571</v>
      </c>
      <c r="AC379" t="b">
        <v>1</v>
      </c>
    </row>
    <row r="380" spans="1:29" x14ac:dyDescent="0.3">
      <c r="A380" s="57" t="str">
        <f>MEMBERS[[#This Row],[Title]]&amp;MEMBERS[[#This Row],[ServiceStartDate]]</f>
        <v>Judith Barwick44661</v>
      </c>
      <c r="B380" s="57">
        <f>IF(COUNTIF(MEMBERS[NameServiceStart],MEMBERS[[#This Row],[NameServiceStart]])=1,0,1)</f>
        <v>0</v>
      </c>
      <c r="C380" s="57">
        <f>IF(COUNTIF(MEMBERS[StaffMemberCode],MEMBERS[[#This Row],[StaffMemberCode]])=1,0,1)</f>
        <v>0</v>
      </c>
      <c r="D380" s="57">
        <f>IF(ISBLANK(MEMBERS[[#This Row],[PayrollLocation]]),0,IF(COUNTIF(SCHOOLS[SchoolCode],MEMBERS[[#This Row],[PayrollLocation]])=1,0,1))</f>
        <v>0</v>
      </c>
      <c r="E380" s="57">
        <f>IF(MEMBERS[[#This Row],[AvailableToAllSchools]]=FALSE,IF(ISBLANK(MEMBERS[[#This Row],[SchoolCodes]]),1,0),IF(MEMBERS[[#This Row],[AvailableToAllSchools]]=TRUE,IF(ISBLANK(MEMBERS[[#This Row],[SchoolCodes]]),0,1)))</f>
        <v>0</v>
      </c>
      <c r="F380" s="57">
        <f>IF(ISBLANK(MEMBERS[[#This Row],[ServiceEndDate]]),0,IF(MEMBERS[[#This Row],[ServiceStartDate]]&lt;MEMBERS[[#This Row],[ServiceEndDate]],0,1))</f>
        <v>0</v>
      </c>
      <c r="G380" s="57" cm="1">
        <f t="array" aca="1" ref="G380" ca="1">IF(CELL("format",MEMBERS[[#This Row],[ServiceStartDate]])="D1",0,1)+IF(CELL("format",MEMBERS[[#This Row],[ServiceEndDate]])="D1",0,1)</f>
        <v>0</v>
      </c>
      <c r="H38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80" s="57">
        <f>IF(LEN(MEMBERS[[#This Row],[StaffMemberCode]])&lt;100,0,1)</f>
        <v>0</v>
      </c>
      <c r="J380" s="57">
        <f>IF(LEN(MEMBERS[[#This Row],[Title]])&lt;100,0,1)</f>
        <v>0</v>
      </c>
      <c r="K380" s="57">
        <f>COUNTBLANK(MEMBERS[[#This Row],[StaffMemberCode]:[ServiceStartDate]])+COUNTBLANK(MEMBERS[[#This Row],[Apprenticeship]]:MEMBERS[[#This Row],[StaffMemberEnabled]])+COUNTBLANK(MEMBERS[[#This Row],[GenderCode]]:MEMBERS[[#This Row],[Casual]])</f>
        <v>0</v>
      </c>
      <c r="L380" s="57">
        <f>IF(SUBSTITUTE(TEXT(MEMBERS[[#This Row],[StaffMemberCode]],10)," ","")=TEXT(MEMBERS[[#This Row],[StaffMemberCode]],10),0,1)</f>
        <v>0</v>
      </c>
      <c r="M380" s="57">
        <f ca="1">SUM(MEMBERS[[#This Row],[Duplicate NameService Start]:[Space in Code]])</f>
        <v>0</v>
      </c>
      <c r="O380" s="15">
        <v>91073822</v>
      </c>
      <c r="P380" s="15" t="s">
        <v>3311</v>
      </c>
      <c r="Q380" s="15" t="s">
        <v>3695</v>
      </c>
      <c r="R380" s="133" t="str">
        <f>MEMBERS[[#This Row],[FirstName]]&amp;" "&amp;MEMBERS[[#This Row],[LastName]]</f>
        <v>Judith Barwick</v>
      </c>
      <c r="S380" s="21">
        <v>44661</v>
      </c>
      <c r="U380" s="21">
        <v>23019</v>
      </c>
      <c r="V380" t="b">
        <v>0</v>
      </c>
      <c r="W380" t="b">
        <v>0</v>
      </c>
      <c r="X380" t="b">
        <v>0</v>
      </c>
      <c r="Y380" t="s">
        <v>2082</v>
      </c>
      <c r="Z380" t="b">
        <v>1</v>
      </c>
      <c r="AB380" t="s">
        <v>1571</v>
      </c>
      <c r="AC380" t="b">
        <v>1</v>
      </c>
    </row>
    <row r="381" spans="1:29" x14ac:dyDescent="0.3">
      <c r="A381" s="57" t="str">
        <f>MEMBERS[[#This Row],[Title]]&amp;MEMBERS[[#This Row],[ServiceStartDate]]</f>
        <v>Judith Hillage43961</v>
      </c>
      <c r="B381" s="57">
        <f>IF(COUNTIF(MEMBERS[NameServiceStart],MEMBERS[[#This Row],[NameServiceStart]])=1,0,1)</f>
        <v>0</v>
      </c>
      <c r="C381" s="57">
        <f>IF(COUNTIF(MEMBERS[StaffMemberCode],MEMBERS[[#This Row],[StaffMemberCode]])=1,0,1)</f>
        <v>0</v>
      </c>
      <c r="D381" s="57">
        <f>IF(ISBLANK(MEMBERS[[#This Row],[PayrollLocation]]),0,IF(COUNTIF(SCHOOLS[SchoolCode],MEMBERS[[#This Row],[PayrollLocation]])=1,0,1))</f>
        <v>0</v>
      </c>
      <c r="E381" s="57">
        <f>IF(MEMBERS[[#This Row],[AvailableToAllSchools]]=FALSE,IF(ISBLANK(MEMBERS[[#This Row],[SchoolCodes]]),1,0),IF(MEMBERS[[#This Row],[AvailableToAllSchools]]=TRUE,IF(ISBLANK(MEMBERS[[#This Row],[SchoolCodes]]),0,1)))</f>
        <v>0</v>
      </c>
      <c r="F381" s="57">
        <f>IF(ISBLANK(MEMBERS[[#This Row],[ServiceEndDate]]),0,IF(MEMBERS[[#This Row],[ServiceStartDate]]&lt;MEMBERS[[#This Row],[ServiceEndDate]],0,1))</f>
        <v>0</v>
      </c>
      <c r="G381" s="57" cm="1">
        <f t="array" aca="1" ref="G381" ca="1">IF(CELL("format",MEMBERS[[#This Row],[ServiceStartDate]])="D1",0,1)+IF(CELL("format",MEMBERS[[#This Row],[ServiceEndDate]])="D1",0,1)</f>
        <v>0</v>
      </c>
      <c r="H38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81" s="57">
        <f>IF(LEN(MEMBERS[[#This Row],[StaffMemberCode]])&lt;100,0,1)</f>
        <v>0</v>
      </c>
      <c r="J381" s="57">
        <f>IF(LEN(MEMBERS[[#This Row],[Title]])&lt;100,0,1)</f>
        <v>0</v>
      </c>
      <c r="K381" s="57">
        <f>COUNTBLANK(MEMBERS[[#This Row],[StaffMemberCode]:[ServiceStartDate]])+COUNTBLANK(MEMBERS[[#This Row],[Apprenticeship]]:MEMBERS[[#This Row],[StaffMemberEnabled]])+COUNTBLANK(MEMBERS[[#This Row],[GenderCode]]:MEMBERS[[#This Row],[Casual]])</f>
        <v>0</v>
      </c>
      <c r="L381" s="57">
        <f>IF(SUBSTITUTE(TEXT(MEMBERS[[#This Row],[StaffMemberCode]],10)," ","")=TEXT(MEMBERS[[#This Row],[StaffMemberCode]],10),0,1)</f>
        <v>0</v>
      </c>
      <c r="M381" s="57">
        <f ca="1">SUM(MEMBERS[[#This Row],[Duplicate NameService Start]:[Space in Code]])</f>
        <v>0</v>
      </c>
      <c r="O381" s="15">
        <v>91073515</v>
      </c>
      <c r="P381" s="15" t="s">
        <v>3311</v>
      </c>
      <c r="Q381" s="15" t="s">
        <v>3696</v>
      </c>
      <c r="R381" s="133" t="str">
        <f>MEMBERS[[#This Row],[FirstName]]&amp;" "&amp;MEMBERS[[#This Row],[LastName]]</f>
        <v>Judith Hillage</v>
      </c>
      <c r="S381" s="21">
        <v>43961</v>
      </c>
      <c r="U381" s="21">
        <v>20759</v>
      </c>
      <c r="V381" t="b">
        <v>0</v>
      </c>
      <c r="W381" t="b">
        <v>0</v>
      </c>
      <c r="X381" t="b">
        <v>0</v>
      </c>
      <c r="Y381" t="s">
        <v>2094</v>
      </c>
      <c r="Z381" t="b">
        <v>1</v>
      </c>
      <c r="AB381" t="s">
        <v>1571</v>
      </c>
      <c r="AC381" t="b">
        <v>0</v>
      </c>
    </row>
    <row r="382" spans="1:29" x14ac:dyDescent="0.3">
      <c r="A382" s="57" t="str">
        <f>MEMBERS[[#This Row],[Title]]&amp;MEMBERS[[#This Row],[ServiceStartDate]]</f>
        <v>Judith Teasdale35309</v>
      </c>
      <c r="B382" s="57">
        <f>IF(COUNTIF(MEMBERS[NameServiceStart],MEMBERS[[#This Row],[NameServiceStart]])=1,0,1)</f>
        <v>0</v>
      </c>
      <c r="C382" s="57">
        <f>IF(COUNTIF(MEMBERS[StaffMemberCode],MEMBERS[[#This Row],[StaffMemberCode]])=1,0,1)</f>
        <v>0</v>
      </c>
      <c r="D382" s="57">
        <f>IF(ISBLANK(MEMBERS[[#This Row],[PayrollLocation]]),0,IF(COUNTIF(SCHOOLS[SchoolCode],MEMBERS[[#This Row],[PayrollLocation]])=1,0,1))</f>
        <v>0</v>
      </c>
      <c r="E382" s="57">
        <f>IF(MEMBERS[[#This Row],[AvailableToAllSchools]]=FALSE,IF(ISBLANK(MEMBERS[[#This Row],[SchoolCodes]]),1,0),IF(MEMBERS[[#This Row],[AvailableToAllSchools]]=TRUE,IF(ISBLANK(MEMBERS[[#This Row],[SchoolCodes]]),0,1)))</f>
        <v>0</v>
      </c>
      <c r="F382" s="57">
        <f>IF(ISBLANK(MEMBERS[[#This Row],[ServiceEndDate]]),0,IF(MEMBERS[[#This Row],[ServiceStartDate]]&lt;MEMBERS[[#This Row],[ServiceEndDate]],0,1))</f>
        <v>0</v>
      </c>
      <c r="G382" s="57" cm="1">
        <f t="array" aca="1" ref="G382" ca="1">IF(CELL("format",MEMBERS[[#This Row],[ServiceStartDate]])="D1",0,1)+IF(CELL("format",MEMBERS[[#This Row],[ServiceEndDate]])="D1",0,1)</f>
        <v>0</v>
      </c>
      <c r="H38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82" s="57">
        <f>IF(LEN(MEMBERS[[#This Row],[StaffMemberCode]])&lt;100,0,1)</f>
        <v>0</v>
      </c>
      <c r="J382" s="57">
        <f>IF(LEN(MEMBERS[[#This Row],[Title]])&lt;100,0,1)</f>
        <v>0</v>
      </c>
      <c r="K382" s="57">
        <f>COUNTBLANK(MEMBERS[[#This Row],[StaffMemberCode]:[ServiceStartDate]])+COUNTBLANK(MEMBERS[[#This Row],[Apprenticeship]]:MEMBERS[[#This Row],[StaffMemberEnabled]])+COUNTBLANK(MEMBERS[[#This Row],[GenderCode]]:MEMBERS[[#This Row],[Casual]])</f>
        <v>0</v>
      </c>
      <c r="L382" s="57">
        <f>IF(SUBSTITUTE(TEXT(MEMBERS[[#This Row],[StaffMemberCode]],10)," ","")=TEXT(MEMBERS[[#This Row],[StaffMemberCode]],10),0,1)</f>
        <v>0</v>
      </c>
      <c r="M382" s="57">
        <f ca="1">SUM(MEMBERS[[#This Row],[Duplicate NameService Start]:[Space in Code]])</f>
        <v>0</v>
      </c>
      <c r="O382" s="15">
        <v>10009124</v>
      </c>
      <c r="P382" s="15" t="s">
        <v>3311</v>
      </c>
      <c r="Q382" s="15" t="s">
        <v>4079</v>
      </c>
      <c r="R382" s="133" t="str">
        <f>MEMBERS[[#This Row],[FirstName]]&amp;" "&amp;MEMBERS[[#This Row],[LastName]]</f>
        <v>Judith Teasdale</v>
      </c>
      <c r="S382" s="21">
        <v>35309</v>
      </c>
      <c r="U382" s="21">
        <v>25527</v>
      </c>
      <c r="V382" s="138" t="b">
        <v>0</v>
      </c>
      <c r="W382" t="b">
        <v>0</v>
      </c>
      <c r="X382" t="b">
        <v>0</v>
      </c>
      <c r="Y382" t="s">
        <v>2126</v>
      </c>
      <c r="Z382" t="b">
        <v>1</v>
      </c>
      <c r="AB382" t="s">
        <v>1571</v>
      </c>
      <c r="AC382" t="b">
        <v>0</v>
      </c>
    </row>
    <row r="383" spans="1:29" x14ac:dyDescent="0.3">
      <c r="A383" s="57" t="str">
        <f>MEMBERS[[#This Row],[Title]]&amp;MEMBERS[[#This Row],[ServiceStartDate]]</f>
        <v>Julia Mathers36896</v>
      </c>
      <c r="B383" s="57">
        <f>IF(COUNTIF(MEMBERS[NameServiceStart],MEMBERS[[#This Row],[NameServiceStart]])=1,0,1)</f>
        <v>0</v>
      </c>
      <c r="C383" s="57">
        <f>IF(COUNTIF(MEMBERS[StaffMemberCode],MEMBERS[[#This Row],[StaffMemberCode]])=1,0,1)</f>
        <v>0</v>
      </c>
      <c r="D383" s="57">
        <f>IF(ISBLANK(MEMBERS[[#This Row],[PayrollLocation]]),0,IF(COUNTIF(SCHOOLS[SchoolCode],MEMBERS[[#This Row],[PayrollLocation]])=1,0,1))</f>
        <v>0</v>
      </c>
      <c r="E383" s="57">
        <f>IF(MEMBERS[[#This Row],[AvailableToAllSchools]]=FALSE,IF(ISBLANK(MEMBERS[[#This Row],[SchoolCodes]]),1,0),IF(MEMBERS[[#This Row],[AvailableToAllSchools]]=TRUE,IF(ISBLANK(MEMBERS[[#This Row],[SchoolCodes]]),0,1)))</f>
        <v>0</v>
      </c>
      <c r="F383" s="57">
        <f>IF(ISBLANK(MEMBERS[[#This Row],[ServiceEndDate]]),0,IF(MEMBERS[[#This Row],[ServiceStartDate]]&lt;MEMBERS[[#This Row],[ServiceEndDate]],0,1))</f>
        <v>0</v>
      </c>
      <c r="G383" s="57" cm="1">
        <f t="array" aca="1" ref="G383" ca="1">IF(CELL("format",MEMBERS[[#This Row],[ServiceStartDate]])="D1",0,1)+IF(CELL("format",MEMBERS[[#This Row],[ServiceEndDate]])="D1",0,1)</f>
        <v>0</v>
      </c>
      <c r="H38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83" s="57">
        <f>IF(LEN(MEMBERS[[#This Row],[StaffMemberCode]])&lt;100,0,1)</f>
        <v>0</v>
      </c>
      <c r="J383" s="57">
        <f>IF(LEN(MEMBERS[[#This Row],[Title]])&lt;100,0,1)</f>
        <v>0</v>
      </c>
      <c r="K383" s="57">
        <f>COUNTBLANK(MEMBERS[[#This Row],[StaffMemberCode]:[ServiceStartDate]])+COUNTBLANK(MEMBERS[[#This Row],[Apprenticeship]]:MEMBERS[[#This Row],[StaffMemberEnabled]])+COUNTBLANK(MEMBERS[[#This Row],[GenderCode]]:MEMBERS[[#This Row],[Casual]])</f>
        <v>0</v>
      </c>
      <c r="L383" s="57">
        <f>IF(SUBSTITUTE(TEXT(MEMBERS[[#This Row],[StaffMemberCode]],10)," ","")=TEXT(MEMBERS[[#This Row],[StaffMemberCode]],10),0,1)</f>
        <v>0</v>
      </c>
      <c r="M383" s="57">
        <f ca="1">SUM(MEMBERS[[#This Row],[Duplicate NameService Start]:[Space in Code]])</f>
        <v>0</v>
      </c>
      <c r="O383" s="15">
        <v>91073447</v>
      </c>
      <c r="P383" s="15" t="s">
        <v>3312</v>
      </c>
      <c r="Q383" s="15" t="s">
        <v>3697</v>
      </c>
      <c r="R383" s="133" t="str">
        <f>MEMBERS[[#This Row],[FirstName]]&amp;" "&amp;MEMBERS[[#This Row],[LastName]]</f>
        <v>Julia Mathers</v>
      </c>
      <c r="S383" s="21">
        <v>36896</v>
      </c>
      <c r="U383" s="21">
        <v>23326</v>
      </c>
      <c r="V383" t="b">
        <v>0</v>
      </c>
      <c r="W383" t="b">
        <v>0</v>
      </c>
      <c r="X383" t="b">
        <v>0</v>
      </c>
      <c r="Y383" t="s">
        <v>2094</v>
      </c>
      <c r="Z383" t="b">
        <v>1</v>
      </c>
      <c r="AB383" t="s">
        <v>1571</v>
      </c>
      <c r="AC383" t="b">
        <v>0</v>
      </c>
    </row>
    <row r="384" spans="1:29" x14ac:dyDescent="0.3">
      <c r="A384" s="57" t="str">
        <f>MEMBERS[[#This Row],[Title]]&amp;MEMBERS[[#This Row],[ServiceStartDate]]</f>
        <v>Julie Campbell45310</v>
      </c>
      <c r="B384" s="57">
        <f>IF(COUNTIF(MEMBERS[NameServiceStart],MEMBERS[[#This Row],[NameServiceStart]])=1,0,1)</f>
        <v>0</v>
      </c>
      <c r="C384" s="57">
        <f>IF(COUNTIF(MEMBERS[StaffMemberCode],MEMBERS[[#This Row],[StaffMemberCode]])=1,0,1)</f>
        <v>0</v>
      </c>
      <c r="D384" s="57">
        <f>IF(ISBLANK(MEMBERS[[#This Row],[PayrollLocation]]),0,IF(COUNTIF(SCHOOLS[SchoolCode],MEMBERS[[#This Row],[PayrollLocation]])=1,0,1))</f>
        <v>0</v>
      </c>
      <c r="E384" s="57">
        <f>IF(MEMBERS[[#This Row],[AvailableToAllSchools]]=FALSE,IF(ISBLANK(MEMBERS[[#This Row],[SchoolCodes]]),1,0),IF(MEMBERS[[#This Row],[AvailableToAllSchools]]=TRUE,IF(ISBLANK(MEMBERS[[#This Row],[SchoolCodes]]),0,1)))</f>
        <v>0</v>
      </c>
      <c r="F384" s="57">
        <f>IF(ISBLANK(MEMBERS[[#This Row],[ServiceEndDate]]),0,IF(MEMBERS[[#This Row],[ServiceStartDate]]&lt;MEMBERS[[#This Row],[ServiceEndDate]],0,1))</f>
        <v>0</v>
      </c>
      <c r="G384" s="57" cm="1">
        <f t="array" aca="1" ref="G384" ca="1">IF(CELL("format",MEMBERS[[#This Row],[ServiceStartDate]])="D1",0,1)+IF(CELL("format",MEMBERS[[#This Row],[ServiceEndDate]])="D1",0,1)</f>
        <v>0</v>
      </c>
      <c r="H38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84" s="57">
        <f>IF(LEN(MEMBERS[[#This Row],[StaffMemberCode]])&lt;100,0,1)</f>
        <v>0</v>
      </c>
      <c r="J384" s="57">
        <f>IF(LEN(MEMBERS[[#This Row],[Title]])&lt;100,0,1)</f>
        <v>0</v>
      </c>
      <c r="K384" s="57">
        <f>COUNTBLANK(MEMBERS[[#This Row],[StaffMemberCode]:[ServiceStartDate]])+COUNTBLANK(MEMBERS[[#This Row],[Apprenticeship]]:MEMBERS[[#This Row],[StaffMemberEnabled]])+COUNTBLANK(MEMBERS[[#This Row],[GenderCode]]:MEMBERS[[#This Row],[Casual]])</f>
        <v>0</v>
      </c>
      <c r="L384" s="57">
        <f>IF(SUBSTITUTE(TEXT(MEMBERS[[#This Row],[StaffMemberCode]],10)," ","")=TEXT(MEMBERS[[#This Row],[StaffMemberCode]],10),0,1)</f>
        <v>0</v>
      </c>
      <c r="M384" s="57">
        <f ca="1">SUM(MEMBERS[[#This Row],[Duplicate NameService Start]:[Space in Code]])</f>
        <v>0</v>
      </c>
      <c r="O384" s="15">
        <v>10013544</v>
      </c>
      <c r="P384" s="15" t="s">
        <v>3313</v>
      </c>
      <c r="Q384" s="15" t="s">
        <v>3710</v>
      </c>
      <c r="R384" s="133" t="str">
        <f>MEMBERS[[#This Row],[FirstName]]&amp;" "&amp;MEMBERS[[#This Row],[LastName]]</f>
        <v>Julie Campbell</v>
      </c>
      <c r="S384" s="21">
        <v>45310</v>
      </c>
      <c r="U384" s="21">
        <v>23430</v>
      </c>
      <c r="V384" s="138" t="b">
        <v>0</v>
      </c>
      <c r="W384" t="b">
        <v>0</v>
      </c>
      <c r="X384" t="b">
        <v>0</v>
      </c>
      <c r="Y384" t="s">
        <v>2126</v>
      </c>
      <c r="Z384" t="b">
        <v>1</v>
      </c>
      <c r="AB384" t="s">
        <v>1571</v>
      </c>
      <c r="AC384" t="b">
        <v>1</v>
      </c>
    </row>
    <row r="385" spans="1:29" x14ac:dyDescent="0.3">
      <c r="A385" s="57" t="str">
        <f>MEMBERS[[#This Row],[Title]]&amp;MEMBERS[[#This Row],[ServiceStartDate]]</f>
        <v>Julie Harrison36169</v>
      </c>
      <c r="B385" s="57">
        <f>IF(COUNTIF(MEMBERS[NameServiceStart],MEMBERS[[#This Row],[NameServiceStart]])=1,0,1)</f>
        <v>0</v>
      </c>
      <c r="C385" s="57">
        <f>IF(COUNTIF(MEMBERS[StaffMemberCode],MEMBERS[[#This Row],[StaffMemberCode]])=1,0,1)</f>
        <v>0</v>
      </c>
      <c r="D385" s="57">
        <f>IF(ISBLANK(MEMBERS[[#This Row],[PayrollLocation]]),0,IF(COUNTIF(SCHOOLS[SchoolCode],MEMBERS[[#This Row],[PayrollLocation]])=1,0,1))</f>
        <v>0</v>
      </c>
      <c r="E385" s="57">
        <f>IF(MEMBERS[[#This Row],[AvailableToAllSchools]]=FALSE,IF(ISBLANK(MEMBERS[[#This Row],[SchoolCodes]]),1,0),IF(MEMBERS[[#This Row],[AvailableToAllSchools]]=TRUE,IF(ISBLANK(MEMBERS[[#This Row],[SchoolCodes]]),0,1)))</f>
        <v>0</v>
      </c>
      <c r="F385" s="57">
        <f>IF(ISBLANK(MEMBERS[[#This Row],[ServiceEndDate]]),0,IF(MEMBERS[[#This Row],[ServiceStartDate]]&lt;MEMBERS[[#This Row],[ServiceEndDate]],0,1))</f>
        <v>0</v>
      </c>
      <c r="G385" s="57" cm="1">
        <f t="array" aca="1" ref="G385" ca="1">IF(CELL("format",MEMBERS[[#This Row],[ServiceStartDate]])="D1",0,1)+IF(CELL("format",MEMBERS[[#This Row],[ServiceEndDate]])="D1",0,1)</f>
        <v>0</v>
      </c>
      <c r="H38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85" s="57">
        <f>IF(LEN(MEMBERS[[#This Row],[StaffMemberCode]])&lt;100,0,1)</f>
        <v>0</v>
      </c>
      <c r="J385" s="57">
        <f>IF(LEN(MEMBERS[[#This Row],[Title]])&lt;100,0,1)</f>
        <v>0</v>
      </c>
      <c r="K385" s="57">
        <f>COUNTBLANK(MEMBERS[[#This Row],[StaffMemberCode]:[ServiceStartDate]])+COUNTBLANK(MEMBERS[[#This Row],[Apprenticeship]]:MEMBERS[[#This Row],[StaffMemberEnabled]])+COUNTBLANK(MEMBERS[[#This Row],[GenderCode]]:MEMBERS[[#This Row],[Casual]])</f>
        <v>0</v>
      </c>
      <c r="L385" s="57">
        <f>IF(SUBSTITUTE(TEXT(MEMBERS[[#This Row],[StaffMemberCode]],10)," ","")=TEXT(MEMBERS[[#This Row],[StaffMemberCode]],10),0,1)</f>
        <v>0</v>
      </c>
      <c r="M385" s="57">
        <f ca="1">SUM(MEMBERS[[#This Row],[Duplicate NameService Start]:[Space in Code]])</f>
        <v>0</v>
      </c>
      <c r="O385" s="15">
        <v>91073899</v>
      </c>
      <c r="P385" s="15" t="s">
        <v>3313</v>
      </c>
      <c r="Q385" s="15" t="s">
        <v>3277</v>
      </c>
      <c r="R385" s="133" t="str">
        <f>MEMBERS[[#This Row],[FirstName]]&amp;" "&amp;MEMBERS[[#This Row],[LastName]]</f>
        <v>Julie Harrison</v>
      </c>
      <c r="S385" s="21">
        <v>36169</v>
      </c>
      <c r="U385" s="21">
        <v>28368</v>
      </c>
      <c r="V385" t="b">
        <v>0</v>
      </c>
      <c r="W385" t="b">
        <v>0</v>
      </c>
      <c r="X385" t="b">
        <v>0</v>
      </c>
      <c r="Y385" t="s">
        <v>2266</v>
      </c>
      <c r="Z385" t="b">
        <v>1</v>
      </c>
      <c r="AB385" t="s">
        <v>1571</v>
      </c>
      <c r="AC385" t="b">
        <v>0</v>
      </c>
    </row>
    <row r="386" spans="1:29" x14ac:dyDescent="0.3">
      <c r="A386" s="57" t="str">
        <f>MEMBERS[[#This Row],[Title]]&amp;MEMBERS[[#This Row],[ServiceStartDate]]</f>
        <v>Julie Howard40187</v>
      </c>
      <c r="B386" s="57">
        <f>IF(COUNTIF(MEMBERS[NameServiceStart],MEMBERS[[#This Row],[NameServiceStart]])=1,0,1)</f>
        <v>0</v>
      </c>
      <c r="C386" s="57">
        <f>IF(COUNTIF(MEMBERS[StaffMemberCode],MEMBERS[[#This Row],[StaffMemberCode]])=1,0,1)</f>
        <v>0</v>
      </c>
      <c r="D386" s="57">
        <f>IF(ISBLANK(MEMBERS[[#This Row],[PayrollLocation]]),0,IF(COUNTIF(SCHOOLS[SchoolCode],MEMBERS[[#This Row],[PayrollLocation]])=1,0,1))</f>
        <v>0</v>
      </c>
      <c r="E386" s="57">
        <f>IF(MEMBERS[[#This Row],[AvailableToAllSchools]]=FALSE,IF(ISBLANK(MEMBERS[[#This Row],[SchoolCodes]]),1,0),IF(MEMBERS[[#This Row],[AvailableToAllSchools]]=TRUE,IF(ISBLANK(MEMBERS[[#This Row],[SchoolCodes]]),0,1)))</f>
        <v>0</v>
      </c>
      <c r="F386" s="57">
        <f>IF(ISBLANK(MEMBERS[[#This Row],[ServiceEndDate]]),0,IF(MEMBERS[[#This Row],[ServiceStartDate]]&lt;MEMBERS[[#This Row],[ServiceEndDate]],0,1))</f>
        <v>0</v>
      </c>
      <c r="G386" s="57" cm="1">
        <f t="array" aca="1" ref="G386" ca="1">IF(CELL("format",MEMBERS[[#This Row],[ServiceStartDate]])="D1",0,1)+IF(CELL("format",MEMBERS[[#This Row],[ServiceEndDate]])="D1",0,1)</f>
        <v>0</v>
      </c>
      <c r="H38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86" s="57">
        <f>IF(LEN(MEMBERS[[#This Row],[StaffMemberCode]])&lt;100,0,1)</f>
        <v>0</v>
      </c>
      <c r="J386" s="57">
        <f>IF(LEN(MEMBERS[[#This Row],[Title]])&lt;100,0,1)</f>
        <v>0</v>
      </c>
      <c r="K386" s="57">
        <f>COUNTBLANK(MEMBERS[[#This Row],[StaffMemberCode]:[ServiceStartDate]])+COUNTBLANK(MEMBERS[[#This Row],[Apprenticeship]]:MEMBERS[[#This Row],[StaffMemberEnabled]])+COUNTBLANK(MEMBERS[[#This Row],[GenderCode]]:MEMBERS[[#This Row],[Casual]])</f>
        <v>0</v>
      </c>
      <c r="L386" s="57">
        <f>IF(SUBSTITUTE(TEXT(MEMBERS[[#This Row],[StaffMemberCode]],10)," ","")=TEXT(MEMBERS[[#This Row],[StaffMemberCode]],10),0,1)</f>
        <v>0</v>
      </c>
      <c r="M386" s="57">
        <f ca="1">SUM(MEMBERS[[#This Row],[Duplicate NameService Start]:[Space in Code]])</f>
        <v>0</v>
      </c>
      <c r="O386" s="15">
        <v>91073923</v>
      </c>
      <c r="P386" s="15" t="s">
        <v>3313</v>
      </c>
      <c r="Q386" s="15" t="s">
        <v>3657</v>
      </c>
      <c r="R386" s="133" t="str">
        <f>MEMBERS[[#This Row],[FirstName]]&amp;" "&amp;MEMBERS[[#This Row],[LastName]]</f>
        <v>Julie Howard</v>
      </c>
      <c r="S386" s="21">
        <v>40187</v>
      </c>
      <c r="U386" s="21">
        <v>24806</v>
      </c>
      <c r="V386" t="b">
        <v>0</v>
      </c>
      <c r="W386" t="b">
        <v>0</v>
      </c>
      <c r="X386" t="b">
        <v>0</v>
      </c>
      <c r="Y386" t="s">
        <v>2299</v>
      </c>
      <c r="Z386" t="b">
        <v>1</v>
      </c>
      <c r="AB386" t="s">
        <v>1571</v>
      </c>
      <c r="AC386" t="b">
        <v>0</v>
      </c>
    </row>
    <row r="387" spans="1:29" x14ac:dyDescent="0.3">
      <c r="A387" s="57" t="str">
        <f>MEMBERS[[#This Row],[Title]]&amp;MEMBERS[[#This Row],[ServiceStartDate]]</f>
        <v>Julie Machin39326</v>
      </c>
      <c r="B387" s="57">
        <f>IF(COUNTIF(MEMBERS[NameServiceStart],MEMBERS[[#This Row],[NameServiceStart]])=1,0,1)</f>
        <v>0</v>
      </c>
      <c r="C387" s="57">
        <f>IF(COUNTIF(MEMBERS[StaffMemberCode],MEMBERS[[#This Row],[StaffMemberCode]])=1,0,1)</f>
        <v>0</v>
      </c>
      <c r="D387" s="57">
        <f>IF(ISBLANK(MEMBERS[[#This Row],[PayrollLocation]]),0,IF(COUNTIF(SCHOOLS[SchoolCode],MEMBERS[[#This Row],[PayrollLocation]])=1,0,1))</f>
        <v>0</v>
      </c>
      <c r="E387" s="57">
        <f>IF(MEMBERS[[#This Row],[AvailableToAllSchools]]=FALSE,IF(ISBLANK(MEMBERS[[#This Row],[SchoolCodes]]),1,0),IF(MEMBERS[[#This Row],[AvailableToAllSchools]]=TRUE,IF(ISBLANK(MEMBERS[[#This Row],[SchoolCodes]]),0,1)))</f>
        <v>0</v>
      </c>
      <c r="F387" s="57">
        <f>IF(ISBLANK(MEMBERS[[#This Row],[ServiceEndDate]]),0,IF(MEMBERS[[#This Row],[ServiceStartDate]]&lt;MEMBERS[[#This Row],[ServiceEndDate]],0,1))</f>
        <v>0</v>
      </c>
      <c r="G387" s="57" cm="1">
        <f t="array" aca="1" ref="G387" ca="1">IF(CELL("format",MEMBERS[[#This Row],[ServiceStartDate]])="D1",0,1)+IF(CELL("format",MEMBERS[[#This Row],[ServiceEndDate]])="D1",0,1)</f>
        <v>0</v>
      </c>
      <c r="H38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87" s="57">
        <f>IF(LEN(MEMBERS[[#This Row],[StaffMemberCode]])&lt;100,0,1)</f>
        <v>0</v>
      </c>
      <c r="J387" s="57">
        <f>IF(LEN(MEMBERS[[#This Row],[Title]])&lt;100,0,1)</f>
        <v>0</v>
      </c>
      <c r="K387" s="57">
        <f>COUNTBLANK(MEMBERS[[#This Row],[StaffMemberCode]:[ServiceStartDate]])+COUNTBLANK(MEMBERS[[#This Row],[Apprenticeship]]:MEMBERS[[#This Row],[StaffMemberEnabled]])+COUNTBLANK(MEMBERS[[#This Row],[GenderCode]]:MEMBERS[[#This Row],[Casual]])</f>
        <v>0</v>
      </c>
      <c r="L387" s="57">
        <f>IF(SUBSTITUTE(TEXT(MEMBERS[[#This Row],[StaffMemberCode]],10)," ","")=TEXT(MEMBERS[[#This Row],[StaffMemberCode]],10),0,1)</f>
        <v>0</v>
      </c>
      <c r="M387" s="57">
        <f ca="1">SUM(MEMBERS[[#This Row],[Duplicate NameService Start]:[Space in Code]])</f>
        <v>0</v>
      </c>
      <c r="O387" s="15">
        <v>10005314</v>
      </c>
      <c r="P387" s="15" t="s">
        <v>3313</v>
      </c>
      <c r="Q387" s="15" t="s">
        <v>3503</v>
      </c>
      <c r="R387" s="133" t="str">
        <f>MEMBERS[[#This Row],[FirstName]]&amp;" "&amp;MEMBERS[[#This Row],[LastName]]</f>
        <v>Julie Machin</v>
      </c>
      <c r="S387" s="21">
        <v>39326</v>
      </c>
      <c r="U387" s="21">
        <v>29510</v>
      </c>
      <c r="V387" s="138" t="b">
        <v>0</v>
      </c>
      <c r="W387" t="b">
        <v>0</v>
      </c>
      <c r="X387" t="b">
        <v>0</v>
      </c>
      <c r="Y387" t="s">
        <v>2126</v>
      </c>
      <c r="Z387" t="b">
        <v>1</v>
      </c>
      <c r="AB387" t="s">
        <v>1571</v>
      </c>
      <c r="AC387" t="b">
        <v>0</v>
      </c>
    </row>
    <row r="388" spans="1:29" x14ac:dyDescent="0.3">
      <c r="A388" s="57" t="str">
        <f>MEMBERS[[#This Row],[Title]]&amp;MEMBERS[[#This Row],[ServiceStartDate]]</f>
        <v>Julie Thorley45413</v>
      </c>
      <c r="B388" s="57">
        <f>IF(COUNTIF(MEMBERS[NameServiceStart],MEMBERS[[#This Row],[NameServiceStart]])=1,0,1)</f>
        <v>0</v>
      </c>
      <c r="C388" s="57">
        <f>IF(COUNTIF(MEMBERS[StaffMemberCode],MEMBERS[[#This Row],[StaffMemberCode]])=1,0,1)</f>
        <v>0</v>
      </c>
      <c r="D388" s="57">
        <f>IF(ISBLANK(MEMBERS[[#This Row],[PayrollLocation]]),0,IF(COUNTIF(SCHOOLS[SchoolCode],MEMBERS[[#This Row],[PayrollLocation]])=1,0,1))</f>
        <v>0</v>
      </c>
      <c r="E388" s="57">
        <f>IF(MEMBERS[[#This Row],[AvailableToAllSchools]]=FALSE,IF(ISBLANK(MEMBERS[[#This Row],[SchoolCodes]]),1,0),IF(MEMBERS[[#This Row],[AvailableToAllSchools]]=TRUE,IF(ISBLANK(MEMBERS[[#This Row],[SchoolCodes]]),0,1)))</f>
        <v>0</v>
      </c>
      <c r="F388" s="57">
        <f>IF(ISBLANK(MEMBERS[[#This Row],[ServiceEndDate]]),0,IF(MEMBERS[[#This Row],[ServiceStartDate]]&lt;MEMBERS[[#This Row],[ServiceEndDate]],0,1))</f>
        <v>0</v>
      </c>
      <c r="G388" s="57" cm="1">
        <f t="array" aca="1" ref="G388" ca="1">IF(CELL("format",MEMBERS[[#This Row],[ServiceStartDate]])="D1",0,1)+IF(CELL("format",MEMBERS[[#This Row],[ServiceEndDate]])="D1",0,1)</f>
        <v>0</v>
      </c>
      <c r="H38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88" s="57">
        <f>IF(LEN(MEMBERS[[#This Row],[StaffMemberCode]])&lt;100,0,1)</f>
        <v>0</v>
      </c>
      <c r="J388" s="57">
        <f>IF(LEN(MEMBERS[[#This Row],[Title]])&lt;100,0,1)</f>
        <v>0</v>
      </c>
      <c r="K388" s="57">
        <f>COUNTBLANK(MEMBERS[[#This Row],[StaffMemberCode]:[ServiceStartDate]])+COUNTBLANK(MEMBERS[[#This Row],[Apprenticeship]]:MEMBERS[[#This Row],[StaffMemberEnabled]])+COUNTBLANK(MEMBERS[[#This Row],[GenderCode]]:MEMBERS[[#This Row],[Casual]])</f>
        <v>0</v>
      </c>
      <c r="L388" s="57">
        <f>IF(SUBSTITUTE(TEXT(MEMBERS[[#This Row],[StaffMemberCode]],10)," ","")=TEXT(MEMBERS[[#This Row],[StaffMemberCode]],10),0,1)</f>
        <v>0</v>
      </c>
      <c r="M388" s="57">
        <f ca="1">SUM(MEMBERS[[#This Row],[Duplicate NameService Start]:[Space in Code]])</f>
        <v>0</v>
      </c>
      <c r="O388" s="15">
        <v>10013969</v>
      </c>
      <c r="P388" s="15" t="s">
        <v>3313</v>
      </c>
      <c r="Q388" s="15" t="s">
        <v>3763</v>
      </c>
      <c r="R388" s="133" t="str">
        <f>MEMBERS[[#This Row],[FirstName]]&amp;" "&amp;MEMBERS[[#This Row],[LastName]]</f>
        <v>Julie Thorley</v>
      </c>
      <c r="S388" s="21">
        <v>45413</v>
      </c>
      <c r="U388" s="21">
        <v>24454</v>
      </c>
      <c r="V388" s="138" t="b">
        <v>0</v>
      </c>
      <c r="W388" t="b">
        <v>0</v>
      </c>
      <c r="X388" t="b">
        <v>0</v>
      </c>
      <c r="Y388" t="s">
        <v>2126</v>
      </c>
      <c r="Z388" t="b">
        <v>1</v>
      </c>
      <c r="AB388" t="s">
        <v>1571</v>
      </c>
      <c r="AC388" t="b">
        <v>0</v>
      </c>
    </row>
    <row r="389" spans="1:29" x14ac:dyDescent="0.3">
      <c r="A389" s="57" t="str">
        <f>MEMBERS[[#This Row],[Title]]&amp;MEMBERS[[#This Row],[ServiceStartDate]]</f>
        <v>Julie Williams45242</v>
      </c>
      <c r="B389" s="57">
        <f>IF(COUNTIF(MEMBERS[NameServiceStart],MEMBERS[[#This Row],[NameServiceStart]])=1,0,1)</f>
        <v>0</v>
      </c>
      <c r="C389" s="57">
        <f>IF(COUNTIF(MEMBERS[StaffMemberCode],MEMBERS[[#This Row],[StaffMemberCode]])=1,0,1)</f>
        <v>0</v>
      </c>
      <c r="D389" s="57">
        <f>IF(ISBLANK(MEMBERS[[#This Row],[PayrollLocation]]),0,IF(COUNTIF(SCHOOLS[SchoolCode],MEMBERS[[#This Row],[PayrollLocation]])=1,0,1))</f>
        <v>0</v>
      </c>
      <c r="E389" s="57">
        <f>IF(MEMBERS[[#This Row],[AvailableToAllSchools]]=FALSE,IF(ISBLANK(MEMBERS[[#This Row],[SchoolCodes]]),1,0),IF(MEMBERS[[#This Row],[AvailableToAllSchools]]=TRUE,IF(ISBLANK(MEMBERS[[#This Row],[SchoolCodes]]),0,1)))</f>
        <v>0</v>
      </c>
      <c r="F389" s="57">
        <f>IF(ISBLANK(MEMBERS[[#This Row],[ServiceEndDate]]),0,IF(MEMBERS[[#This Row],[ServiceStartDate]]&lt;MEMBERS[[#This Row],[ServiceEndDate]],0,1))</f>
        <v>0</v>
      </c>
      <c r="G389" s="57" cm="1">
        <f t="array" aca="1" ref="G389" ca="1">IF(CELL("format",MEMBERS[[#This Row],[ServiceStartDate]])="D1",0,1)+IF(CELL("format",MEMBERS[[#This Row],[ServiceEndDate]])="D1",0,1)</f>
        <v>0</v>
      </c>
      <c r="H38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89" s="57">
        <f>IF(LEN(MEMBERS[[#This Row],[StaffMemberCode]])&lt;100,0,1)</f>
        <v>0</v>
      </c>
      <c r="J389" s="57">
        <f>IF(LEN(MEMBERS[[#This Row],[Title]])&lt;100,0,1)</f>
        <v>0</v>
      </c>
      <c r="K389" s="57">
        <f>COUNTBLANK(MEMBERS[[#This Row],[StaffMemberCode]:[ServiceStartDate]])+COUNTBLANK(MEMBERS[[#This Row],[Apprenticeship]]:MEMBERS[[#This Row],[StaffMemberEnabled]])+COUNTBLANK(MEMBERS[[#This Row],[GenderCode]]:MEMBERS[[#This Row],[Casual]])</f>
        <v>0</v>
      </c>
      <c r="L389" s="57">
        <f>IF(SUBSTITUTE(TEXT(MEMBERS[[#This Row],[StaffMemberCode]],10)," ","")=TEXT(MEMBERS[[#This Row],[StaffMemberCode]],10),0,1)</f>
        <v>0</v>
      </c>
      <c r="M389" s="57">
        <f ca="1">SUM(MEMBERS[[#This Row],[Duplicate NameService Start]:[Space in Code]])</f>
        <v>0</v>
      </c>
      <c r="O389" s="15">
        <v>91073628</v>
      </c>
      <c r="P389" s="15" t="s">
        <v>3313</v>
      </c>
      <c r="Q389" s="15" t="s">
        <v>3698</v>
      </c>
      <c r="R389" s="133" t="str">
        <f>MEMBERS[[#This Row],[FirstName]]&amp;" "&amp;MEMBERS[[#This Row],[LastName]]</f>
        <v>Julie Williams</v>
      </c>
      <c r="S389" s="21">
        <v>45242</v>
      </c>
      <c r="U389" s="21">
        <v>25723</v>
      </c>
      <c r="V389" t="b">
        <v>0</v>
      </c>
      <c r="W389" t="b">
        <v>0</v>
      </c>
      <c r="X389" t="b">
        <v>0</v>
      </c>
      <c r="Y389" t="s">
        <v>2094</v>
      </c>
      <c r="Z389" t="b">
        <v>1</v>
      </c>
      <c r="AB389" t="s">
        <v>1571</v>
      </c>
      <c r="AC389" t="b">
        <v>0</v>
      </c>
    </row>
    <row r="390" spans="1:29" x14ac:dyDescent="0.3">
      <c r="A390" s="57" t="str">
        <f>MEMBERS[[#This Row],[Title]]&amp;MEMBERS[[#This Row],[ServiceStartDate]]</f>
        <v>June Wiggins43107</v>
      </c>
      <c r="B390" s="57">
        <f>IF(COUNTIF(MEMBERS[NameServiceStart],MEMBERS[[#This Row],[NameServiceStart]])=1,0,1)</f>
        <v>0</v>
      </c>
      <c r="C390" s="57">
        <f>IF(COUNTIF(MEMBERS[StaffMemberCode],MEMBERS[[#This Row],[StaffMemberCode]])=1,0,1)</f>
        <v>0</v>
      </c>
      <c r="D390" s="57">
        <f>IF(ISBLANK(MEMBERS[[#This Row],[PayrollLocation]]),0,IF(COUNTIF(SCHOOLS[SchoolCode],MEMBERS[[#This Row],[PayrollLocation]])=1,0,1))</f>
        <v>0</v>
      </c>
      <c r="E390" s="57">
        <f>IF(MEMBERS[[#This Row],[AvailableToAllSchools]]=FALSE,IF(ISBLANK(MEMBERS[[#This Row],[SchoolCodes]]),1,0),IF(MEMBERS[[#This Row],[AvailableToAllSchools]]=TRUE,IF(ISBLANK(MEMBERS[[#This Row],[SchoolCodes]]),0,1)))</f>
        <v>0</v>
      </c>
      <c r="F390" s="57">
        <f>IF(ISBLANK(MEMBERS[[#This Row],[ServiceEndDate]]),0,IF(MEMBERS[[#This Row],[ServiceStartDate]]&lt;MEMBERS[[#This Row],[ServiceEndDate]],0,1))</f>
        <v>0</v>
      </c>
      <c r="G390" s="57" cm="1">
        <f t="array" aca="1" ref="G390" ca="1">IF(CELL("format",MEMBERS[[#This Row],[ServiceStartDate]])="D1",0,1)+IF(CELL("format",MEMBERS[[#This Row],[ServiceEndDate]])="D1",0,1)</f>
        <v>0</v>
      </c>
      <c r="H39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90" s="57">
        <f>IF(LEN(MEMBERS[[#This Row],[StaffMemberCode]])&lt;100,0,1)</f>
        <v>0</v>
      </c>
      <c r="J390" s="57">
        <f>IF(LEN(MEMBERS[[#This Row],[Title]])&lt;100,0,1)</f>
        <v>0</v>
      </c>
      <c r="K390" s="57">
        <f>COUNTBLANK(MEMBERS[[#This Row],[StaffMemberCode]:[ServiceStartDate]])+COUNTBLANK(MEMBERS[[#This Row],[Apprenticeship]]:MEMBERS[[#This Row],[StaffMemberEnabled]])+COUNTBLANK(MEMBERS[[#This Row],[GenderCode]]:MEMBERS[[#This Row],[Casual]])</f>
        <v>0</v>
      </c>
      <c r="L390" s="57">
        <f>IF(SUBSTITUTE(TEXT(MEMBERS[[#This Row],[StaffMemberCode]],10)," ","")=TEXT(MEMBERS[[#This Row],[StaffMemberCode]],10),0,1)</f>
        <v>0</v>
      </c>
      <c r="M390" s="57">
        <f ca="1">SUM(MEMBERS[[#This Row],[Duplicate NameService Start]:[Space in Code]])</f>
        <v>0</v>
      </c>
      <c r="O390" s="15">
        <v>91073735</v>
      </c>
      <c r="P390" s="15" t="s">
        <v>1026</v>
      </c>
      <c r="Q390" s="15" t="s">
        <v>3699</v>
      </c>
      <c r="R390" s="133" t="str">
        <f>MEMBERS[[#This Row],[FirstName]]&amp;" "&amp;MEMBERS[[#This Row],[LastName]]</f>
        <v>June Wiggins</v>
      </c>
      <c r="S390" s="21">
        <v>43107</v>
      </c>
      <c r="U390" s="21">
        <v>20809</v>
      </c>
      <c r="V390" t="b">
        <v>0</v>
      </c>
      <c r="W390" t="b">
        <v>0</v>
      </c>
      <c r="X390" t="b">
        <v>0</v>
      </c>
      <c r="Y390" t="s">
        <v>2082</v>
      </c>
      <c r="Z390" t="b">
        <v>1</v>
      </c>
      <c r="AB390" t="s">
        <v>1571</v>
      </c>
      <c r="AC390" t="b">
        <v>1</v>
      </c>
    </row>
    <row r="391" spans="1:29" x14ac:dyDescent="0.3">
      <c r="A391" s="57" t="str">
        <f>MEMBERS[[#This Row],[Title]]&amp;MEMBERS[[#This Row],[ServiceStartDate]]</f>
        <v>Karen Atkinson45838</v>
      </c>
      <c r="B391" s="57">
        <f>IF(COUNTIF(MEMBERS[NameServiceStart],MEMBERS[[#This Row],[NameServiceStart]])=1,0,1)</f>
        <v>0</v>
      </c>
      <c r="C391" s="57">
        <f>IF(COUNTIF(MEMBERS[StaffMemberCode],MEMBERS[[#This Row],[StaffMemberCode]])=1,0,1)</f>
        <v>0</v>
      </c>
      <c r="D391" s="57">
        <f>IF(ISBLANK(MEMBERS[[#This Row],[PayrollLocation]]),0,IF(COUNTIF(SCHOOLS[SchoolCode],MEMBERS[[#This Row],[PayrollLocation]])=1,0,1))</f>
        <v>0</v>
      </c>
      <c r="E391" s="57">
        <f>IF(MEMBERS[[#This Row],[AvailableToAllSchools]]=FALSE,IF(ISBLANK(MEMBERS[[#This Row],[SchoolCodes]]),1,0),IF(MEMBERS[[#This Row],[AvailableToAllSchools]]=TRUE,IF(ISBLANK(MEMBERS[[#This Row],[SchoolCodes]]),0,1)))</f>
        <v>0</v>
      </c>
      <c r="F391" s="57">
        <f>IF(ISBLANK(MEMBERS[[#This Row],[ServiceEndDate]]),0,IF(MEMBERS[[#This Row],[ServiceStartDate]]&lt;MEMBERS[[#This Row],[ServiceEndDate]],0,1))</f>
        <v>0</v>
      </c>
      <c r="G391" s="57" cm="1">
        <f t="array" aca="1" ref="G391" ca="1">IF(CELL("format",MEMBERS[[#This Row],[ServiceStartDate]])="D1",0,1)+IF(CELL("format",MEMBERS[[#This Row],[ServiceEndDate]])="D1",0,1)</f>
        <v>0</v>
      </c>
      <c r="H39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91" s="57">
        <f>IF(LEN(MEMBERS[[#This Row],[StaffMemberCode]])&lt;100,0,1)</f>
        <v>0</v>
      </c>
      <c r="J391" s="57">
        <f>IF(LEN(MEMBERS[[#This Row],[Title]])&lt;100,0,1)</f>
        <v>0</v>
      </c>
      <c r="K391" s="57">
        <f>COUNTBLANK(MEMBERS[[#This Row],[StaffMemberCode]:[ServiceStartDate]])+COUNTBLANK(MEMBERS[[#This Row],[Apprenticeship]]:MEMBERS[[#This Row],[StaffMemberEnabled]])+COUNTBLANK(MEMBERS[[#This Row],[GenderCode]]:MEMBERS[[#This Row],[Casual]])</f>
        <v>0</v>
      </c>
      <c r="L391" s="57">
        <f>IF(SUBSTITUTE(TEXT(MEMBERS[[#This Row],[StaffMemberCode]],10)," ","")=TEXT(MEMBERS[[#This Row],[StaffMemberCode]],10),0,1)</f>
        <v>0</v>
      </c>
      <c r="M391" s="57">
        <f ca="1">SUM(MEMBERS[[#This Row],[Duplicate NameService Start]:[Space in Code]])</f>
        <v>0</v>
      </c>
      <c r="O391" s="15">
        <v>91850014</v>
      </c>
      <c r="P391" s="15" t="s">
        <v>3314</v>
      </c>
      <c r="Q391" s="15" t="s">
        <v>3700</v>
      </c>
      <c r="R391" s="133" t="str">
        <f>MEMBERS[[#This Row],[FirstName]]&amp;" "&amp;MEMBERS[[#This Row],[LastName]]</f>
        <v>Karen Atkinson</v>
      </c>
      <c r="S391" s="21">
        <v>45838</v>
      </c>
      <c r="U391" s="21">
        <v>23005</v>
      </c>
      <c r="V391" t="b">
        <v>0</v>
      </c>
      <c r="W391" t="b">
        <v>0</v>
      </c>
      <c r="X391" t="b">
        <v>0</v>
      </c>
      <c r="Y391" t="s">
        <v>2082</v>
      </c>
      <c r="Z391" t="b">
        <v>1</v>
      </c>
      <c r="AB391" t="s">
        <v>1571</v>
      </c>
      <c r="AC391" t="b">
        <v>0</v>
      </c>
    </row>
    <row r="392" spans="1:29" x14ac:dyDescent="0.3">
      <c r="A392" s="57" t="str">
        <f>MEMBERS[[#This Row],[Title]]&amp;MEMBERS[[#This Row],[ServiceStartDate]]</f>
        <v>Karen Balden44805</v>
      </c>
      <c r="B392" s="57">
        <f>IF(COUNTIF(MEMBERS[NameServiceStart],MEMBERS[[#This Row],[NameServiceStart]])=1,0,1)</f>
        <v>0</v>
      </c>
      <c r="C392" s="57">
        <f>IF(COUNTIF(MEMBERS[StaffMemberCode],MEMBERS[[#This Row],[StaffMemberCode]])=1,0,1)</f>
        <v>0</v>
      </c>
      <c r="D392" s="57">
        <f>IF(ISBLANK(MEMBERS[[#This Row],[PayrollLocation]]),0,IF(COUNTIF(SCHOOLS[SchoolCode],MEMBERS[[#This Row],[PayrollLocation]])=1,0,1))</f>
        <v>0</v>
      </c>
      <c r="E392" s="57">
        <f>IF(MEMBERS[[#This Row],[AvailableToAllSchools]]=FALSE,IF(ISBLANK(MEMBERS[[#This Row],[SchoolCodes]]),1,0),IF(MEMBERS[[#This Row],[AvailableToAllSchools]]=TRUE,IF(ISBLANK(MEMBERS[[#This Row],[SchoolCodes]]),0,1)))</f>
        <v>0</v>
      </c>
      <c r="F392" s="57">
        <f>IF(ISBLANK(MEMBERS[[#This Row],[ServiceEndDate]]),0,IF(MEMBERS[[#This Row],[ServiceStartDate]]&lt;MEMBERS[[#This Row],[ServiceEndDate]],0,1))</f>
        <v>0</v>
      </c>
      <c r="G392" s="57" cm="1">
        <f t="array" aca="1" ref="G392" ca="1">IF(CELL("format",MEMBERS[[#This Row],[ServiceStartDate]])="D1",0,1)+IF(CELL("format",MEMBERS[[#This Row],[ServiceEndDate]])="D1",0,1)</f>
        <v>0</v>
      </c>
      <c r="H39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92" s="57">
        <f>IF(LEN(MEMBERS[[#This Row],[StaffMemberCode]])&lt;100,0,1)</f>
        <v>0</v>
      </c>
      <c r="J392" s="57">
        <f>IF(LEN(MEMBERS[[#This Row],[Title]])&lt;100,0,1)</f>
        <v>0</v>
      </c>
      <c r="K392" s="57">
        <f>COUNTBLANK(MEMBERS[[#This Row],[StaffMemberCode]:[ServiceStartDate]])+COUNTBLANK(MEMBERS[[#This Row],[Apprenticeship]]:MEMBERS[[#This Row],[StaffMemberEnabled]])+COUNTBLANK(MEMBERS[[#This Row],[GenderCode]]:MEMBERS[[#This Row],[Casual]])</f>
        <v>0</v>
      </c>
      <c r="L392" s="57">
        <f>IF(SUBSTITUTE(TEXT(MEMBERS[[#This Row],[StaffMemberCode]],10)," ","")=TEXT(MEMBERS[[#This Row],[StaffMemberCode]],10),0,1)</f>
        <v>0</v>
      </c>
      <c r="M392" s="57">
        <f ca="1">SUM(MEMBERS[[#This Row],[Duplicate NameService Start]:[Space in Code]])</f>
        <v>0</v>
      </c>
      <c r="O392" s="15">
        <v>91075767</v>
      </c>
      <c r="P392" s="15" t="s">
        <v>3314</v>
      </c>
      <c r="Q392" s="15" t="s">
        <v>3701</v>
      </c>
      <c r="R392" s="133" t="str">
        <f>MEMBERS[[#This Row],[FirstName]]&amp;" "&amp;MEMBERS[[#This Row],[LastName]]</f>
        <v>Karen Balden</v>
      </c>
      <c r="S392" s="21">
        <v>44805</v>
      </c>
      <c r="U392" s="21">
        <v>26988</v>
      </c>
      <c r="V392" t="b">
        <v>0</v>
      </c>
      <c r="W392" t="b">
        <v>0</v>
      </c>
      <c r="X392" t="b">
        <v>0</v>
      </c>
      <c r="Y392" t="s">
        <v>2200</v>
      </c>
      <c r="Z392" t="b">
        <v>1</v>
      </c>
      <c r="AB392" t="s">
        <v>1571</v>
      </c>
      <c r="AC392" t="b">
        <v>0</v>
      </c>
    </row>
    <row r="393" spans="1:29" x14ac:dyDescent="0.3">
      <c r="A393" s="57" t="str">
        <f>MEMBERS[[#This Row],[Title]]&amp;MEMBERS[[#This Row],[ServiceStartDate]]</f>
        <v>Karen Button43107</v>
      </c>
      <c r="B393" s="57">
        <f>IF(COUNTIF(MEMBERS[NameServiceStart],MEMBERS[[#This Row],[NameServiceStart]])=1,0,1)</f>
        <v>0</v>
      </c>
      <c r="C393" s="57">
        <f>IF(COUNTIF(MEMBERS[StaffMemberCode],MEMBERS[[#This Row],[StaffMemberCode]])=1,0,1)</f>
        <v>0</v>
      </c>
      <c r="D393" s="57">
        <f>IF(ISBLANK(MEMBERS[[#This Row],[PayrollLocation]]),0,IF(COUNTIF(SCHOOLS[SchoolCode],MEMBERS[[#This Row],[PayrollLocation]])=1,0,1))</f>
        <v>0</v>
      </c>
      <c r="E393" s="57">
        <f>IF(MEMBERS[[#This Row],[AvailableToAllSchools]]=FALSE,IF(ISBLANK(MEMBERS[[#This Row],[SchoolCodes]]),1,0),IF(MEMBERS[[#This Row],[AvailableToAllSchools]]=TRUE,IF(ISBLANK(MEMBERS[[#This Row],[SchoolCodes]]),0,1)))</f>
        <v>0</v>
      </c>
      <c r="F393" s="57">
        <f>IF(ISBLANK(MEMBERS[[#This Row],[ServiceEndDate]]),0,IF(MEMBERS[[#This Row],[ServiceStartDate]]&lt;MEMBERS[[#This Row],[ServiceEndDate]],0,1))</f>
        <v>0</v>
      </c>
      <c r="G393" s="57" cm="1">
        <f t="array" aca="1" ref="G393" ca="1">IF(CELL("format",MEMBERS[[#This Row],[ServiceStartDate]])="D1",0,1)+IF(CELL("format",MEMBERS[[#This Row],[ServiceEndDate]])="D1",0,1)</f>
        <v>0</v>
      </c>
      <c r="H39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93" s="57">
        <f>IF(LEN(MEMBERS[[#This Row],[StaffMemberCode]])&lt;100,0,1)</f>
        <v>0</v>
      </c>
      <c r="J393" s="57">
        <f>IF(LEN(MEMBERS[[#This Row],[Title]])&lt;100,0,1)</f>
        <v>0</v>
      </c>
      <c r="K393" s="57">
        <f>COUNTBLANK(MEMBERS[[#This Row],[StaffMemberCode]:[ServiceStartDate]])+COUNTBLANK(MEMBERS[[#This Row],[Apprenticeship]]:MEMBERS[[#This Row],[StaffMemberEnabled]])+COUNTBLANK(MEMBERS[[#This Row],[GenderCode]]:MEMBERS[[#This Row],[Casual]])</f>
        <v>0</v>
      </c>
      <c r="L393" s="57">
        <f>IF(SUBSTITUTE(TEXT(MEMBERS[[#This Row],[StaffMemberCode]],10)," ","")=TEXT(MEMBERS[[#This Row],[StaffMemberCode]],10),0,1)</f>
        <v>0</v>
      </c>
      <c r="M393" s="57">
        <f ca="1">SUM(MEMBERS[[#This Row],[Duplicate NameService Start]:[Space in Code]])</f>
        <v>0</v>
      </c>
      <c r="O393" s="15">
        <v>91073736</v>
      </c>
      <c r="P393" s="15" t="s">
        <v>3314</v>
      </c>
      <c r="Q393" s="15" t="s">
        <v>3702</v>
      </c>
      <c r="R393" s="133" t="str">
        <f>MEMBERS[[#This Row],[FirstName]]&amp;" "&amp;MEMBERS[[#This Row],[LastName]]</f>
        <v>Karen Button</v>
      </c>
      <c r="S393" s="21">
        <v>43107</v>
      </c>
      <c r="U393" s="21">
        <v>23883</v>
      </c>
      <c r="V393" t="b">
        <v>0</v>
      </c>
      <c r="W393" t="b">
        <v>0</v>
      </c>
      <c r="X393" t="b">
        <v>0</v>
      </c>
      <c r="Y393" t="s">
        <v>2266</v>
      </c>
      <c r="Z393" t="b">
        <v>1</v>
      </c>
      <c r="AB393" t="s">
        <v>1571</v>
      </c>
      <c r="AC393" t="b">
        <v>0</v>
      </c>
    </row>
    <row r="394" spans="1:29" x14ac:dyDescent="0.3">
      <c r="A394" s="57" t="str">
        <f>MEMBERS[[#This Row],[Title]]&amp;MEMBERS[[#This Row],[ServiceStartDate]]</f>
        <v>Karen Guy44452</v>
      </c>
      <c r="B394" s="57">
        <f>IF(COUNTIF(MEMBERS[NameServiceStart],MEMBERS[[#This Row],[NameServiceStart]])=1,0,1)</f>
        <v>0</v>
      </c>
      <c r="C394" s="57">
        <f>IF(COUNTIF(MEMBERS[StaffMemberCode],MEMBERS[[#This Row],[StaffMemberCode]])=1,0,1)</f>
        <v>0</v>
      </c>
      <c r="D394" s="57">
        <f>IF(ISBLANK(MEMBERS[[#This Row],[PayrollLocation]]),0,IF(COUNTIF(SCHOOLS[SchoolCode],MEMBERS[[#This Row],[PayrollLocation]])=1,0,1))</f>
        <v>0</v>
      </c>
      <c r="E394" s="57">
        <f>IF(MEMBERS[[#This Row],[AvailableToAllSchools]]=FALSE,IF(ISBLANK(MEMBERS[[#This Row],[SchoolCodes]]),1,0),IF(MEMBERS[[#This Row],[AvailableToAllSchools]]=TRUE,IF(ISBLANK(MEMBERS[[#This Row],[SchoolCodes]]),0,1)))</f>
        <v>0</v>
      </c>
      <c r="F394" s="57">
        <f>IF(ISBLANK(MEMBERS[[#This Row],[ServiceEndDate]]),0,IF(MEMBERS[[#This Row],[ServiceStartDate]]&lt;MEMBERS[[#This Row],[ServiceEndDate]],0,1))</f>
        <v>0</v>
      </c>
      <c r="G394" s="57" cm="1">
        <f t="array" aca="1" ref="G394" ca="1">IF(CELL("format",MEMBERS[[#This Row],[ServiceStartDate]])="D1",0,1)+IF(CELL("format",MEMBERS[[#This Row],[ServiceEndDate]])="D1",0,1)</f>
        <v>0</v>
      </c>
      <c r="H39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94" s="57">
        <f>IF(LEN(MEMBERS[[#This Row],[StaffMemberCode]])&lt;100,0,1)</f>
        <v>0</v>
      </c>
      <c r="J394" s="57">
        <f>IF(LEN(MEMBERS[[#This Row],[Title]])&lt;100,0,1)</f>
        <v>0</v>
      </c>
      <c r="K394" s="57">
        <f>COUNTBLANK(MEMBERS[[#This Row],[StaffMemberCode]:[ServiceStartDate]])+COUNTBLANK(MEMBERS[[#This Row],[Apprenticeship]]:MEMBERS[[#This Row],[StaffMemberEnabled]])+COUNTBLANK(MEMBERS[[#This Row],[GenderCode]]:MEMBERS[[#This Row],[Casual]])</f>
        <v>0</v>
      </c>
      <c r="L394" s="57">
        <f>IF(SUBSTITUTE(TEXT(MEMBERS[[#This Row],[StaffMemberCode]],10)," ","")=TEXT(MEMBERS[[#This Row],[StaffMemberCode]],10),0,1)</f>
        <v>0</v>
      </c>
      <c r="M394" s="57">
        <f ca="1">SUM(MEMBERS[[#This Row],[Duplicate NameService Start]:[Space in Code]])</f>
        <v>0</v>
      </c>
      <c r="O394" s="15">
        <v>91073750</v>
      </c>
      <c r="P394" s="15" t="s">
        <v>3314</v>
      </c>
      <c r="Q394" s="15" t="s">
        <v>3703</v>
      </c>
      <c r="R394" s="133" t="str">
        <f>MEMBERS[[#This Row],[FirstName]]&amp;" "&amp;MEMBERS[[#This Row],[LastName]]</f>
        <v>Karen Guy</v>
      </c>
      <c r="S394" s="21">
        <v>44452</v>
      </c>
      <c r="U394" s="21">
        <v>25777</v>
      </c>
      <c r="V394" t="b">
        <v>0</v>
      </c>
      <c r="W394" t="b">
        <v>0</v>
      </c>
      <c r="X394" t="b">
        <v>0</v>
      </c>
      <c r="Y394" t="s">
        <v>2082</v>
      </c>
      <c r="Z394" t="b">
        <v>1</v>
      </c>
      <c r="AB394" t="s">
        <v>1571</v>
      </c>
      <c r="AC394" t="b">
        <v>1</v>
      </c>
    </row>
    <row r="395" spans="1:29" x14ac:dyDescent="0.3">
      <c r="A395" s="57" t="str">
        <f>MEMBERS[[#This Row],[Title]]&amp;MEMBERS[[#This Row],[ServiceStartDate]]</f>
        <v>Karen Ingram43839</v>
      </c>
      <c r="B395" s="57">
        <f>IF(COUNTIF(MEMBERS[NameServiceStart],MEMBERS[[#This Row],[NameServiceStart]])=1,0,1)</f>
        <v>0</v>
      </c>
      <c r="C395" s="57">
        <f>IF(COUNTIF(MEMBERS[StaffMemberCode],MEMBERS[[#This Row],[StaffMemberCode]])=1,0,1)</f>
        <v>0</v>
      </c>
      <c r="D395" s="57">
        <f>IF(ISBLANK(MEMBERS[[#This Row],[PayrollLocation]]),0,IF(COUNTIF(SCHOOLS[SchoolCode],MEMBERS[[#This Row],[PayrollLocation]])=1,0,1))</f>
        <v>0</v>
      </c>
      <c r="E395" s="57">
        <f>IF(MEMBERS[[#This Row],[AvailableToAllSchools]]=FALSE,IF(ISBLANK(MEMBERS[[#This Row],[SchoolCodes]]),1,0),IF(MEMBERS[[#This Row],[AvailableToAllSchools]]=TRUE,IF(ISBLANK(MEMBERS[[#This Row],[SchoolCodes]]),0,1)))</f>
        <v>0</v>
      </c>
      <c r="F395" s="57">
        <f>IF(ISBLANK(MEMBERS[[#This Row],[ServiceEndDate]]),0,IF(MEMBERS[[#This Row],[ServiceStartDate]]&lt;MEMBERS[[#This Row],[ServiceEndDate]],0,1))</f>
        <v>0</v>
      </c>
      <c r="G395" s="57" cm="1">
        <f t="array" aca="1" ref="G395" ca="1">IF(CELL("format",MEMBERS[[#This Row],[ServiceStartDate]])="D1",0,1)+IF(CELL("format",MEMBERS[[#This Row],[ServiceEndDate]])="D1",0,1)</f>
        <v>0</v>
      </c>
      <c r="H39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95" s="57">
        <f>IF(LEN(MEMBERS[[#This Row],[StaffMemberCode]])&lt;100,0,1)</f>
        <v>0</v>
      </c>
      <c r="J395" s="57">
        <f>IF(LEN(MEMBERS[[#This Row],[Title]])&lt;100,0,1)</f>
        <v>0</v>
      </c>
      <c r="K395" s="57">
        <f>COUNTBLANK(MEMBERS[[#This Row],[StaffMemberCode]:[ServiceStartDate]])+COUNTBLANK(MEMBERS[[#This Row],[Apprenticeship]]:MEMBERS[[#This Row],[StaffMemberEnabled]])+COUNTBLANK(MEMBERS[[#This Row],[GenderCode]]:MEMBERS[[#This Row],[Casual]])</f>
        <v>0</v>
      </c>
      <c r="L395" s="57">
        <f>IF(SUBSTITUTE(TEXT(MEMBERS[[#This Row],[StaffMemberCode]],10)," ","")=TEXT(MEMBERS[[#This Row],[StaffMemberCode]],10),0,1)</f>
        <v>0</v>
      </c>
      <c r="M395" s="57">
        <f ca="1">SUM(MEMBERS[[#This Row],[Duplicate NameService Start]:[Space in Code]])</f>
        <v>0</v>
      </c>
      <c r="O395" s="15">
        <v>91073551</v>
      </c>
      <c r="P395" s="15" t="s">
        <v>3314</v>
      </c>
      <c r="Q395" s="15" t="s">
        <v>3704</v>
      </c>
      <c r="R395" s="133" t="str">
        <f>MEMBERS[[#This Row],[FirstName]]&amp;" "&amp;MEMBERS[[#This Row],[LastName]]</f>
        <v>Karen Ingram</v>
      </c>
      <c r="S395" s="21">
        <v>43839</v>
      </c>
      <c r="U395" s="21">
        <v>28030</v>
      </c>
      <c r="V395" t="b">
        <v>0</v>
      </c>
      <c r="W395" t="b">
        <v>0</v>
      </c>
      <c r="X395" t="b">
        <v>0</v>
      </c>
      <c r="Y395" t="s">
        <v>2094</v>
      </c>
      <c r="Z395" t="b">
        <v>1</v>
      </c>
      <c r="AB395" t="s">
        <v>1571</v>
      </c>
      <c r="AC395" t="b">
        <v>0</v>
      </c>
    </row>
    <row r="396" spans="1:29" x14ac:dyDescent="0.3">
      <c r="A396" s="57" t="str">
        <f>MEMBERS[[#This Row],[Title]]&amp;MEMBERS[[#This Row],[ServiceStartDate]]</f>
        <v>Karen Kenny44805</v>
      </c>
      <c r="B396" s="57">
        <f>IF(COUNTIF(MEMBERS[NameServiceStart],MEMBERS[[#This Row],[NameServiceStart]])=1,0,1)</f>
        <v>0</v>
      </c>
      <c r="C396" s="57">
        <f>IF(COUNTIF(MEMBERS[StaffMemberCode],MEMBERS[[#This Row],[StaffMemberCode]])=1,0,1)</f>
        <v>0</v>
      </c>
      <c r="D396" s="57">
        <f>IF(ISBLANK(MEMBERS[[#This Row],[PayrollLocation]]),0,IF(COUNTIF(SCHOOLS[SchoolCode],MEMBERS[[#This Row],[PayrollLocation]])=1,0,1))</f>
        <v>0</v>
      </c>
      <c r="E396" s="57">
        <f>IF(MEMBERS[[#This Row],[AvailableToAllSchools]]=FALSE,IF(ISBLANK(MEMBERS[[#This Row],[SchoolCodes]]),1,0),IF(MEMBERS[[#This Row],[AvailableToAllSchools]]=TRUE,IF(ISBLANK(MEMBERS[[#This Row],[SchoolCodes]]),0,1)))</f>
        <v>0</v>
      </c>
      <c r="F396" s="57">
        <f>IF(ISBLANK(MEMBERS[[#This Row],[ServiceEndDate]]),0,IF(MEMBERS[[#This Row],[ServiceStartDate]]&lt;MEMBERS[[#This Row],[ServiceEndDate]],0,1))</f>
        <v>0</v>
      </c>
      <c r="G396" s="57" cm="1">
        <f t="array" aca="1" ref="G396" ca="1">IF(CELL("format",MEMBERS[[#This Row],[ServiceStartDate]])="D1",0,1)+IF(CELL("format",MEMBERS[[#This Row],[ServiceEndDate]])="D1",0,1)</f>
        <v>0</v>
      </c>
      <c r="H39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96" s="57">
        <f>IF(LEN(MEMBERS[[#This Row],[StaffMemberCode]])&lt;100,0,1)</f>
        <v>0</v>
      </c>
      <c r="J396" s="57">
        <f>IF(LEN(MEMBERS[[#This Row],[Title]])&lt;100,0,1)</f>
        <v>0</v>
      </c>
      <c r="K396" s="57">
        <f>COUNTBLANK(MEMBERS[[#This Row],[StaffMemberCode]:[ServiceStartDate]])+COUNTBLANK(MEMBERS[[#This Row],[Apprenticeship]]:MEMBERS[[#This Row],[StaffMemberEnabled]])+COUNTBLANK(MEMBERS[[#This Row],[GenderCode]]:MEMBERS[[#This Row],[Casual]])</f>
        <v>0</v>
      </c>
      <c r="L396" s="57">
        <f>IF(SUBSTITUTE(TEXT(MEMBERS[[#This Row],[StaffMemberCode]],10)," ","")=TEXT(MEMBERS[[#This Row],[StaffMemberCode]],10),0,1)</f>
        <v>0</v>
      </c>
      <c r="M396" s="57">
        <f ca="1">SUM(MEMBERS[[#This Row],[Duplicate NameService Start]:[Space in Code]])</f>
        <v>0</v>
      </c>
      <c r="O396" s="15">
        <v>91075768</v>
      </c>
      <c r="P396" s="15" t="s">
        <v>3314</v>
      </c>
      <c r="Q396" s="15" t="s">
        <v>3705</v>
      </c>
      <c r="R396" s="133" t="str">
        <f>MEMBERS[[#This Row],[FirstName]]&amp;" "&amp;MEMBERS[[#This Row],[LastName]]</f>
        <v>Karen Kenny</v>
      </c>
      <c r="S396" s="21">
        <v>44805</v>
      </c>
      <c r="U396" s="21">
        <v>22029</v>
      </c>
      <c r="V396" t="b">
        <v>0</v>
      </c>
      <c r="W396" t="b">
        <v>0</v>
      </c>
      <c r="X396" t="b">
        <v>0</v>
      </c>
      <c r="Y396" t="s">
        <v>2200</v>
      </c>
      <c r="Z396" t="b">
        <v>1</v>
      </c>
      <c r="AB396" t="s">
        <v>1571</v>
      </c>
      <c r="AC396" t="b">
        <v>0</v>
      </c>
    </row>
    <row r="397" spans="1:29" x14ac:dyDescent="0.3">
      <c r="A397" s="57" t="str">
        <f>MEMBERS[[#This Row],[Title]]&amp;MEMBERS[[#This Row],[ServiceStartDate]]</f>
        <v>Karen Morgan-Wynne40057</v>
      </c>
      <c r="B397" s="57">
        <f>IF(COUNTIF(MEMBERS[NameServiceStart],MEMBERS[[#This Row],[NameServiceStart]])=1,0,1)</f>
        <v>0</v>
      </c>
      <c r="C397" s="57">
        <f>IF(COUNTIF(MEMBERS[StaffMemberCode],MEMBERS[[#This Row],[StaffMemberCode]])=1,0,1)</f>
        <v>0</v>
      </c>
      <c r="D397" s="57">
        <f>IF(ISBLANK(MEMBERS[[#This Row],[PayrollLocation]]),0,IF(COUNTIF(SCHOOLS[SchoolCode],MEMBERS[[#This Row],[PayrollLocation]])=1,0,1))</f>
        <v>0</v>
      </c>
      <c r="E397" s="57">
        <f>IF(MEMBERS[[#This Row],[AvailableToAllSchools]]=FALSE,IF(ISBLANK(MEMBERS[[#This Row],[SchoolCodes]]),1,0),IF(MEMBERS[[#This Row],[AvailableToAllSchools]]=TRUE,IF(ISBLANK(MEMBERS[[#This Row],[SchoolCodes]]),0,1)))</f>
        <v>0</v>
      </c>
      <c r="F397" s="57">
        <f>IF(ISBLANK(MEMBERS[[#This Row],[ServiceEndDate]]),0,IF(MEMBERS[[#This Row],[ServiceStartDate]]&lt;MEMBERS[[#This Row],[ServiceEndDate]],0,1))</f>
        <v>0</v>
      </c>
      <c r="G397" s="57" cm="1">
        <f t="array" aca="1" ref="G397" ca="1">IF(CELL("format",MEMBERS[[#This Row],[ServiceStartDate]])="D1",0,1)+IF(CELL("format",MEMBERS[[#This Row],[ServiceEndDate]])="D1",0,1)</f>
        <v>0</v>
      </c>
      <c r="H39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97" s="57">
        <f>IF(LEN(MEMBERS[[#This Row],[StaffMemberCode]])&lt;100,0,1)</f>
        <v>0</v>
      </c>
      <c r="J397" s="57">
        <f>IF(LEN(MEMBERS[[#This Row],[Title]])&lt;100,0,1)</f>
        <v>0</v>
      </c>
      <c r="K397" s="57">
        <f>COUNTBLANK(MEMBERS[[#This Row],[StaffMemberCode]:[ServiceStartDate]])+COUNTBLANK(MEMBERS[[#This Row],[Apprenticeship]]:MEMBERS[[#This Row],[StaffMemberEnabled]])+COUNTBLANK(MEMBERS[[#This Row],[GenderCode]]:MEMBERS[[#This Row],[Casual]])</f>
        <v>0</v>
      </c>
      <c r="L397" s="57">
        <f>IF(SUBSTITUTE(TEXT(MEMBERS[[#This Row],[StaffMemberCode]],10)," ","")=TEXT(MEMBERS[[#This Row],[StaffMemberCode]],10),0,1)</f>
        <v>0</v>
      </c>
      <c r="M397" s="57">
        <f ca="1">SUM(MEMBERS[[#This Row],[Duplicate NameService Start]:[Space in Code]])</f>
        <v>0</v>
      </c>
      <c r="O397" s="15">
        <v>91075748</v>
      </c>
      <c r="P397" s="15" t="s">
        <v>3314</v>
      </c>
      <c r="Q397" s="15" t="s">
        <v>3706</v>
      </c>
      <c r="R397" s="133" t="str">
        <f>MEMBERS[[#This Row],[FirstName]]&amp;" "&amp;MEMBERS[[#This Row],[LastName]]</f>
        <v>Karen Morgan-Wynne</v>
      </c>
      <c r="S397" s="21">
        <v>40057</v>
      </c>
      <c r="U397" s="21">
        <v>23990</v>
      </c>
      <c r="V397" t="b">
        <v>0</v>
      </c>
      <c r="W397" t="b">
        <v>0</v>
      </c>
      <c r="X397" t="b">
        <v>0</v>
      </c>
      <c r="Y397" t="s">
        <v>2200</v>
      </c>
      <c r="Z397" t="b">
        <v>1</v>
      </c>
      <c r="AB397" t="s">
        <v>1571</v>
      </c>
      <c r="AC397" t="b">
        <v>0</v>
      </c>
    </row>
    <row r="398" spans="1:29" x14ac:dyDescent="0.3">
      <c r="A398" s="57" t="str">
        <f>MEMBERS[[#This Row],[Title]]&amp;MEMBERS[[#This Row],[ServiceStartDate]]</f>
        <v>Karl Mason39692</v>
      </c>
      <c r="B398" s="57">
        <f>IF(COUNTIF(MEMBERS[NameServiceStart],MEMBERS[[#This Row],[NameServiceStart]])=1,0,1)</f>
        <v>0</v>
      </c>
      <c r="C398" s="57">
        <f>IF(COUNTIF(MEMBERS[StaffMemberCode],MEMBERS[[#This Row],[StaffMemberCode]])=1,0,1)</f>
        <v>0</v>
      </c>
      <c r="D398" s="57">
        <f>IF(ISBLANK(MEMBERS[[#This Row],[PayrollLocation]]),0,IF(COUNTIF(SCHOOLS[SchoolCode],MEMBERS[[#This Row],[PayrollLocation]])=1,0,1))</f>
        <v>0</v>
      </c>
      <c r="E398" s="57">
        <f>IF(MEMBERS[[#This Row],[AvailableToAllSchools]]=FALSE,IF(ISBLANK(MEMBERS[[#This Row],[SchoolCodes]]),1,0),IF(MEMBERS[[#This Row],[AvailableToAllSchools]]=TRUE,IF(ISBLANK(MEMBERS[[#This Row],[SchoolCodes]]),0,1)))</f>
        <v>0</v>
      </c>
      <c r="F398" s="57">
        <f>IF(ISBLANK(MEMBERS[[#This Row],[ServiceEndDate]]),0,IF(MEMBERS[[#This Row],[ServiceStartDate]]&lt;MEMBERS[[#This Row],[ServiceEndDate]],0,1))</f>
        <v>0</v>
      </c>
      <c r="G398" s="57" cm="1">
        <f t="array" aca="1" ref="G398" ca="1">IF(CELL("format",MEMBERS[[#This Row],[ServiceStartDate]])="D1",0,1)+IF(CELL("format",MEMBERS[[#This Row],[ServiceEndDate]])="D1",0,1)</f>
        <v>0</v>
      </c>
      <c r="H39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98" s="57">
        <f>IF(LEN(MEMBERS[[#This Row],[StaffMemberCode]])&lt;100,0,1)</f>
        <v>0</v>
      </c>
      <c r="J398" s="57">
        <f>IF(LEN(MEMBERS[[#This Row],[Title]])&lt;100,0,1)</f>
        <v>0</v>
      </c>
      <c r="K398" s="57">
        <f>COUNTBLANK(MEMBERS[[#This Row],[StaffMemberCode]:[ServiceStartDate]])+COUNTBLANK(MEMBERS[[#This Row],[Apprenticeship]]:MEMBERS[[#This Row],[StaffMemberEnabled]])+COUNTBLANK(MEMBERS[[#This Row],[GenderCode]]:MEMBERS[[#This Row],[Casual]])</f>
        <v>0</v>
      </c>
      <c r="L398" s="57">
        <f>IF(SUBSTITUTE(TEXT(MEMBERS[[#This Row],[StaffMemberCode]],10)," ","")=TEXT(MEMBERS[[#This Row],[StaffMemberCode]],10),0,1)</f>
        <v>0</v>
      </c>
      <c r="M398" s="57">
        <f ca="1">SUM(MEMBERS[[#This Row],[Duplicate NameService Start]:[Space in Code]])</f>
        <v>0</v>
      </c>
      <c r="O398" s="15">
        <v>10016221</v>
      </c>
      <c r="P398" s="15" t="s">
        <v>3982</v>
      </c>
      <c r="Q398" s="15" t="s">
        <v>3587</v>
      </c>
      <c r="R398" s="133" t="str">
        <f>MEMBERS[[#This Row],[FirstName]]&amp;" "&amp;MEMBERS[[#This Row],[LastName]]</f>
        <v>Karl Mason</v>
      </c>
      <c r="S398" s="21">
        <v>39692</v>
      </c>
      <c r="U398" s="21">
        <v>29977</v>
      </c>
      <c r="V398" s="138" t="b">
        <v>0</v>
      </c>
      <c r="W398" t="b">
        <v>0</v>
      </c>
      <c r="X398" t="b">
        <v>0</v>
      </c>
      <c r="Y398" t="s">
        <v>2126</v>
      </c>
      <c r="Z398" t="b">
        <v>1</v>
      </c>
      <c r="AB398" t="s">
        <v>1572</v>
      </c>
      <c r="AC398" t="b">
        <v>0</v>
      </c>
    </row>
    <row r="399" spans="1:29" x14ac:dyDescent="0.3">
      <c r="A399" s="57" t="str">
        <f>MEMBERS[[#This Row],[Title]]&amp;MEMBERS[[#This Row],[ServiceStartDate]]</f>
        <v>Karl Stockton38596</v>
      </c>
      <c r="B399" s="57">
        <f>IF(COUNTIF(MEMBERS[NameServiceStart],MEMBERS[[#This Row],[NameServiceStart]])=1,0,1)</f>
        <v>0</v>
      </c>
      <c r="C399" s="57">
        <f>IF(COUNTIF(MEMBERS[StaffMemberCode],MEMBERS[[#This Row],[StaffMemberCode]])=1,0,1)</f>
        <v>0</v>
      </c>
      <c r="D399" s="57">
        <f>IF(ISBLANK(MEMBERS[[#This Row],[PayrollLocation]]),0,IF(COUNTIF(SCHOOLS[SchoolCode],MEMBERS[[#This Row],[PayrollLocation]])=1,0,1))</f>
        <v>0</v>
      </c>
      <c r="E399" s="57">
        <f>IF(MEMBERS[[#This Row],[AvailableToAllSchools]]=FALSE,IF(ISBLANK(MEMBERS[[#This Row],[SchoolCodes]]),1,0),IF(MEMBERS[[#This Row],[AvailableToAllSchools]]=TRUE,IF(ISBLANK(MEMBERS[[#This Row],[SchoolCodes]]),0,1)))</f>
        <v>0</v>
      </c>
      <c r="F399" s="57">
        <f>IF(ISBLANK(MEMBERS[[#This Row],[ServiceEndDate]]),0,IF(MEMBERS[[#This Row],[ServiceStartDate]]&lt;MEMBERS[[#This Row],[ServiceEndDate]],0,1))</f>
        <v>0</v>
      </c>
      <c r="G399" s="57" cm="1">
        <f t="array" aca="1" ref="G399" ca="1">IF(CELL("format",MEMBERS[[#This Row],[ServiceStartDate]])="D1",0,1)+IF(CELL("format",MEMBERS[[#This Row],[ServiceEndDate]])="D1",0,1)</f>
        <v>0</v>
      </c>
      <c r="H39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99" s="57">
        <f>IF(LEN(MEMBERS[[#This Row],[StaffMemberCode]])&lt;100,0,1)</f>
        <v>0</v>
      </c>
      <c r="J399" s="57">
        <f>IF(LEN(MEMBERS[[#This Row],[Title]])&lt;100,0,1)</f>
        <v>0</v>
      </c>
      <c r="K399" s="57">
        <f>COUNTBLANK(MEMBERS[[#This Row],[StaffMemberCode]:[ServiceStartDate]])+COUNTBLANK(MEMBERS[[#This Row],[Apprenticeship]]:MEMBERS[[#This Row],[StaffMemberEnabled]])+COUNTBLANK(MEMBERS[[#This Row],[GenderCode]]:MEMBERS[[#This Row],[Casual]])</f>
        <v>0</v>
      </c>
      <c r="L399" s="57">
        <f>IF(SUBSTITUTE(TEXT(MEMBERS[[#This Row],[StaffMemberCode]],10)," ","")=TEXT(MEMBERS[[#This Row],[StaffMemberCode]],10),0,1)</f>
        <v>0</v>
      </c>
      <c r="M399" s="57">
        <f ca="1">SUM(MEMBERS[[#This Row],[Duplicate NameService Start]:[Space in Code]])</f>
        <v>0</v>
      </c>
      <c r="O399" s="15">
        <v>10005309</v>
      </c>
      <c r="P399" s="15" t="s">
        <v>3982</v>
      </c>
      <c r="Q399" s="15" t="s">
        <v>4080</v>
      </c>
      <c r="R399" s="133" t="str">
        <f>MEMBERS[[#This Row],[FirstName]]&amp;" "&amp;MEMBERS[[#This Row],[LastName]]</f>
        <v>Karl Stockton</v>
      </c>
      <c r="S399" s="21">
        <v>38596</v>
      </c>
      <c r="U399" s="21">
        <v>22370</v>
      </c>
      <c r="V399" s="138" t="b">
        <v>0</v>
      </c>
      <c r="W399" t="b">
        <v>0</v>
      </c>
      <c r="X399" t="b">
        <v>0</v>
      </c>
      <c r="Y399" t="s">
        <v>2126</v>
      </c>
      <c r="Z399" t="b">
        <v>1</v>
      </c>
      <c r="AB399" t="s">
        <v>1572</v>
      </c>
      <c r="AC399" t="b">
        <v>0</v>
      </c>
    </row>
    <row r="400" spans="1:29" x14ac:dyDescent="0.3">
      <c r="A400" s="57" t="str">
        <f>MEMBERS[[#This Row],[Title]]&amp;MEMBERS[[#This Row],[ServiceStartDate]]</f>
        <v>Kate Barber42013</v>
      </c>
      <c r="B400" s="57">
        <f>IF(COUNTIF(MEMBERS[NameServiceStart],MEMBERS[[#This Row],[NameServiceStart]])=1,0,1)</f>
        <v>0</v>
      </c>
      <c r="C400" s="57">
        <f>IF(COUNTIF(MEMBERS[StaffMemberCode],MEMBERS[[#This Row],[StaffMemberCode]])=1,0,1)</f>
        <v>0</v>
      </c>
      <c r="D400" s="57">
        <f>IF(ISBLANK(MEMBERS[[#This Row],[PayrollLocation]]),0,IF(COUNTIF(SCHOOLS[SchoolCode],MEMBERS[[#This Row],[PayrollLocation]])=1,0,1))</f>
        <v>0</v>
      </c>
      <c r="E400" s="57">
        <f>IF(MEMBERS[[#This Row],[AvailableToAllSchools]]=FALSE,IF(ISBLANK(MEMBERS[[#This Row],[SchoolCodes]]),1,0),IF(MEMBERS[[#This Row],[AvailableToAllSchools]]=TRUE,IF(ISBLANK(MEMBERS[[#This Row],[SchoolCodes]]),0,1)))</f>
        <v>0</v>
      </c>
      <c r="F400" s="57">
        <f>IF(ISBLANK(MEMBERS[[#This Row],[ServiceEndDate]]),0,IF(MEMBERS[[#This Row],[ServiceStartDate]]&lt;MEMBERS[[#This Row],[ServiceEndDate]],0,1))</f>
        <v>0</v>
      </c>
      <c r="G400" s="57" cm="1">
        <f t="array" aca="1" ref="G400" ca="1">IF(CELL("format",MEMBERS[[#This Row],[ServiceStartDate]])="D1",0,1)+IF(CELL("format",MEMBERS[[#This Row],[ServiceEndDate]])="D1",0,1)</f>
        <v>0</v>
      </c>
      <c r="H40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00" s="57">
        <f>IF(LEN(MEMBERS[[#This Row],[StaffMemberCode]])&lt;100,0,1)</f>
        <v>0</v>
      </c>
      <c r="J400" s="57">
        <f>IF(LEN(MEMBERS[[#This Row],[Title]])&lt;100,0,1)</f>
        <v>0</v>
      </c>
      <c r="K400" s="57">
        <f>COUNTBLANK(MEMBERS[[#This Row],[StaffMemberCode]:[ServiceStartDate]])+COUNTBLANK(MEMBERS[[#This Row],[Apprenticeship]]:MEMBERS[[#This Row],[StaffMemberEnabled]])+COUNTBLANK(MEMBERS[[#This Row],[GenderCode]]:MEMBERS[[#This Row],[Casual]])</f>
        <v>0</v>
      </c>
      <c r="L400" s="57">
        <f>IF(SUBSTITUTE(TEXT(MEMBERS[[#This Row],[StaffMemberCode]],10)," ","")=TEXT(MEMBERS[[#This Row],[StaffMemberCode]],10),0,1)</f>
        <v>0</v>
      </c>
      <c r="M400" s="57">
        <f ca="1">SUM(MEMBERS[[#This Row],[Duplicate NameService Start]:[Space in Code]])</f>
        <v>0</v>
      </c>
      <c r="O400" s="15">
        <v>91073584</v>
      </c>
      <c r="P400" s="15" t="s">
        <v>3315</v>
      </c>
      <c r="Q400" s="15" t="s">
        <v>3707</v>
      </c>
      <c r="R400" s="133" t="str">
        <f>MEMBERS[[#This Row],[FirstName]]&amp;" "&amp;MEMBERS[[#This Row],[LastName]]</f>
        <v>Kate Barber</v>
      </c>
      <c r="S400" s="21">
        <v>42013</v>
      </c>
      <c r="U400" s="21">
        <v>28803</v>
      </c>
      <c r="V400" t="b">
        <v>0</v>
      </c>
      <c r="W400" t="b">
        <v>0</v>
      </c>
      <c r="X400" t="b">
        <v>0</v>
      </c>
      <c r="Y400" t="s">
        <v>2094</v>
      </c>
      <c r="Z400" t="b">
        <v>1</v>
      </c>
      <c r="AB400" t="s">
        <v>1571</v>
      </c>
      <c r="AC400" t="b">
        <v>0</v>
      </c>
    </row>
    <row r="401" spans="1:29" x14ac:dyDescent="0.3">
      <c r="A401" s="57" t="str">
        <f>MEMBERS[[#This Row],[Title]]&amp;MEMBERS[[#This Row],[ServiceStartDate]]</f>
        <v>Kate Malkin37995</v>
      </c>
      <c r="B401" s="57">
        <f>IF(COUNTIF(MEMBERS[NameServiceStart],MEMBERS[[#This Row],[NameServiceStart]])=1,0,1)</f>
        <v>0</v>
      </c>
      <c r="C401" s="57">
        <f>IF(COUNTIF(MEMBERS[StaffMemberCode],MEMBERS[[#This Row],[StaffMemberCode]])=1,0,1)</f>
        <v>0</v>
      </c>
      <c r="D401" s="57">
        <f>IF(ISBLANK(MEMBERS[[#This Row],[PayrollLocation]]),0,IF(COUNTIF(SCHOOLS[SchoolCode],MEMBERS[[#This Row],[PayrollLocation]])=1,0,1))</f>
        <v>0</v>
      </c>
      <c r="E401" s="57">
        <f>IF(MEMBERS[[#This Row],[AvailableToAllSchools]]=FALSE,IF(ISBLANK(MEMBERS[[#This Row],[SchoolCodes]]),1,0),IF(MEMBERS[[#This Row],[AvailableToAllSchools]]=TRUE,IF(ISBLANK(MEMBERS[[#This Row],[SchoolCodes]]),0,1)))</f>
        <v>0</v>
      </c>
      <c r="F401" s="57">
        <f>IF(ISBLANK(MEMBERS[[#This Row],[ServiceEndDate]]),0,IF(MEMBERS[[#This Row],[ServiceStartDate]]&lt;MEMBERS[[#This Row],[ServiceEndDate]],0,1))</f>
        <v>0</v>
      </c>
      <c r="G401" s="57" cm="1">
        <f t="array" aca="1" ref="G401" ca="1">IF(CELL("format",MEMBERS[[#This Row],[ServiceStartDate]])="D1",0,1)+IF(CELL("format",MEMBERS[[#This Row],[ServiceEndDate]])="D1",0,1)</f>
        <v>0</v>
      </c>
      <c r="H40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01" s="57">
        <f>IF(LEN(MEMBERS[[#This Row],[StaffMemberCode]])&lt;100,0,1)</f>
        <v>0</v>
      </c>
      <c r="J401" s="57">
        <f>IF(LEN(MEMBERS[[#This Row],[Title]])&lt;100,0,1)</f>
        <v>0</v>
      </c>
      <c r="K401" s="57">
        <f>COUNTBLANK(MEMBERS[[#This Row],[StaffMemberCode]:[ServiceStartDate]])+COUNTBLANK(MEMBERS[[#This Row],[Apprenticeship]]:MEMBERS[[#This Row],[StaffMemberEnabled]])+COUNTBLANK(MEMBERS[[#This Row],[GenderCode]]:MEMBERS[[#This Row],[Casual]])</f>
        <v>0</v>
      </c>
      <c r="L401" s="57">
        <f>IF(SUBSTITUTE(TEXT(MEMBERS[[#This Row],[StaffMemberCode]],10)," ","")=TEXT(MEMBERS[[#This Row],[StaffMemberCode]],10),0,1)</f>
        <v>0</v>
      </c>
      <c r="M401" s="57">
        <f ca="1">SUM(MEMBERS[[#This Row],[Duplicate NameService Start]:[Space in Code]])</f>
        <v>0</v>
      </c>
      <c r="O401" s="15">
        <v>91073466</v>
      </c>
      <c r="P401" s="15" t="s">
        <v>3315</v>
      </c>
      <c r="Q401" s="15" t="s">
        <v>3708</v>
      </c>
      <c r="R401" s="133" t="str">
        <f>MEMBERS[[#This Row],[FirstName]]&amp;" "&amp;MEMBERS[[#This Row],[LastName]]</f>
        <v>Kate Malkin</v>
      </c>
      <c r="S401" s="21">
        <v>37995</v>
      </c>
      <c r="U401" s="21">
        <v>29622</v>
      </c>
      <c r="V401" t="b">
        <v>0</v>
      </c>
      <c r="W401" t="b">
        <v>0</v>
      </c>
      <c r="X401" t="b">
        <v>0</v>
      </c>
      <c r="Y401" t="s">
        <v>2094</v>
      </c>
      <c r="Z401" t="b">
        <v>1</v>
      </c>
      <c r="AB401" t="s">
        <v>1571</v>
      </c>
      <c r="AC401" t="b">
        <v>0</v>
      </c>
    </row>
    <row r="402" spans="1:29" x14ac:dyDescent="0.3">
      <c r="A402" s="57" t="str">
        <f>MEMBERS[[#This Row],[Title]]&amp;MEMBERS[[#This Row],[ServiceStartDate]]</f>
        <v>Kate Thorne44205</v>
      </c>
      <c r="B402" s="57">
        <f>IF(COUNTIF(MEMBERS[NameServiceStart],MEMBERS[[#This Row],[NameServiceStart]])=1,0,1)</f>
        <v>0</v>
      </c>
      <c r="C402" s="57">
        <f>IF(COUNTIF(MEMBERS[StaffMemberCode],MEMBERS[[#This Row],[StaffMemberCode]])=1,0,1)</f>
        <v>0</v>
      </c>
      <c r="D402" s="57">
        <f>IF(ISBLANK(MEMBERS[[#This Row],[PayrollLocation]]),0,IF(COUNTIF(SCHOOLS[SchoolCode],MEMBERS[[#This Row],[PayrollLocation]])=1,0,1))</f>
        <v>0</v>
      </c>
      <c r="E402" s="57">
        <f>IF(MEMBERS[[#This Row],[AvailableToAllSchools]]=FALSE,IF(ISBLANK(MEMBERS[[#This Row],[SchoolCodes]]),1,0),IF(MEMBERS[[#This Row],[AvailableToAllSchools]]=TRUE,IF(ISBLANK(MEMBERS[[#This Row],[SchoolCodes]]),0,1)))</f>
        <v>0</v>
      </c>
      <c r="F402" s="57">
        <f>IF(ISBLANK(MEMBERS[[#This Row],[ServiceEndDate]]),0,IF(MEMBERS[[#This Row],[ServiceStartDate]]&lt;MEMBERS[[#This Row],[ServiceEndDate]],0,1))</f>
        <v>0</v>
      </c>
      <c r="G402" s="57" cm="1">
        <f t="array" aca="1" ref="G402" ca="1">IF(CELL("format",MEMBERS[[#This Row],[ServiceStartDate]])="D1",0,1)+IF(CELL("format",MEMBERS[[#This Row],[ServiceEndDate]])="D1",0,1)</f>
        <v>0</v>
      </c>
      <c r="H40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02" s="57">
        <f>IF(LEN(MEMBERS[[#This Row],[StaffMemberCode]])&lt;100,0,1)</f>
        <v>0</v>
      </c>
      <c r="J402" s="57">
        <f>IF(LEN(MEMBERS[[#This Row],[Title]])&lt;100,0,1)</f>
        <v>0</v>
      </c>
      <c r="K402" s="57">
        <f>COUNTBLANK(MEMBERS[[#This Row],[StaffMemberCode]:[ServiceStartDate]])+COUNTBLANK(MEMBERS[[#This Row],[Apprenticeship]]:MEMBERS[[#This Row],[StaffMemberEnabled]])+COUNTBLANK(MEMBERS[[#This Row],[GenderCode]]:MEMBERS[[#This Row],[Casual]])</f>
        <v>0</v>
      </c>
      <c r="L402" s="57">
        <f>IF(SUBSTITUTE(TEXT(MEMBERS[[#This Row],[StaffMemberCode]],10)," ","")=TEXT(MEMBERS[[#This Row],[StaffMemberCode]],10),0,1)</f>
        <v>0</v>
      </c>
      <c r="M402" s="57">
        <f ca="1">SUM(MEMBERS[[#This Row],[Duplicate NameService Start]:[Space in Code]])</f>
        <v>0</v>
      </c>
      <c r="O402" s="15">
        <v>91073440</v>
      </c>
      <c r="P402" s="15" t="s">
        <v>3315</v>
      </c>
      <c r="Q402" s="15" t="s">
        <v>3709</v>
      </c>
      <c r="R402" s="133" t="str">
        <f>MEMBERS[[#This Row],[FirstName]]&amp;" "&amp;MEMBERS[[#This Row],[LastName]]</f>
        <v>Kate Thorne</v>
      </c>
      <c r="S402" s="21">
        <v>44205</v>
      </c>
      <c r="U402" s="21">
        <v>33879</v>
      </c>
      <c r="V402" t="b">
        <v>0</v>
      </c>
      <c r="W402" t="b">
        <v>0</v>
      </c>
      <c r="X402" t="b">
        <v>0</v>
      </c>
      <c r="Y402" t="s">
        <v>2094</v>
      </c>
      <c r="Z402" t="b">
        <v>1</v>
      </c>
      <c r="AB402" t="s">
        <v>1571</v>
      </c>
      <c r="AC402" t="b">
        <v>0</v>
      </c>
    </row>
    <row r="403" spans="1:29" x14ac:dyDescent="0.3">
      <c r="A403" s="57" t="str">
        <f>MEMBERS[[#This Row],[Title]]&amp;MEMBERS[[#This Row],[ServiceStartDate]]</f>
        <v>Katharine Campbell41283</v>
      </c>
      <c r="B403" s="57">
        <f>IF(COUNTIF(MEMBERS[NameServiceStart],MEMBERS[[#This Row],[NameServiceStart]])=1,0,1)</f>
        <v>0</v>
      </c>
      <c r="C403" s="57">
        <f>IF(COUNTIF(MEMBERS[StaffMemberCode],MEMBERS[[#This Row],[StaffMemberCode]])=1,0,1)</f>
        <v>0</v>
      </c>
      <c r="D403" s="57">
        <f>IF(ISBLANK(MEMBERS[[#This Row],[PayrollLocation]]),0,IF(COUNTIF(SCHOOLS[SchoolCode],MEMBERS[[#This Row],[PayrollLocation]])=1,0,1))</f>
        <v>0</v>
      </c>
      <c r="E403" s="57">
        <f>IF(MEMBERS[[#This Row],[AvailableToAllSchools]]=FALSE,IF(ISBLANK(MEMBERS[[#This Row],[SchoolCodes]]),1,0),IF(MEMBERS[[#This Row],[AvailableToAllSchools]]=TRUE,IF(ISBLANK(MEMBERS[[#This Row],[SchoolCodes]]),0,1)))</f>
        <v>0</v>
      </c>
      <c r="F403" s="57">
        <f>IF(ISBLANK(MEMBERS[[#This Row],[ServiceEndDate]]),0,IF(MEMBERS[[#This Row],[ServiceStartDate]]&lt;MEMBERS[[#This Row],[ServiceEndDate]],0,1))</f>
        <v>0</v>
      </c>
      <c r="G403" s="57" cm="1">
        <f t="array" aca="1" ref="G403" ca="1">IF(CELL("format",MEMBERS[[#This Row],[ServiceStartDate]])="D1",0,1)+IF(CELL("format",MEMBERS[[#This Row],[ServiceEndDate]])="D1",0,1)</f>
        <v>0</v>
      </c>
      <c r="H40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03" s="57">
        <f>IF(LEN(MEMBERS[[#This Row],[StaffMemberCode]])&lt;100,0,1)</f>
        <v>0</v>
      </c>
      <c r="J403" s="57">
        <f>IF(LEN(MEMBERS[[#This Row],[Title]])&lt;100,0,1)</f>
        <v>0</v>
      </c>
      <c r="K403" s="57">
        <f>COUNTBLANK(MEMBERS[[#This Row],[StaffMemberCode]:[ServiceStartDate]])+COUNTBLANK(MEMBERS[[#This Row],[Apprenticeship]]:MEMBERS[[#This Row],[StaffMemberEnabled]])+COUNTBLANK(MEMBERS[[#This Row],[GenderCode]]:MEMBERS[[#This Row],[Casual]])</f>
        <v>0</v>
      </c>
      <c r="L403" s="57">
        <f>IF(SUBSTITUTE(TEXT(MEMBERS[[#This Row],[StaffMemberCode]],10)," ","")=TEXT(MEMBERS[[#This Row],[StaffMemberCode]],10),0,1)</f>
        <v>0</v>
      </c>
      <c r="M403" s="57">
        <f ca="1">SUM(MEMBERS[[#This Row],[Duplicate NameService Start]:[Space in Code]])</f>
        <v>0</v>
      </c>
      <c r="O403" s="15">
        <v>91073755</v>
      </c>
      <c r="P403" s="15" t="s">
        <v>3316</v>
      </c>
      <c r="Q403" s="15" t="s">
        <v>3710</v>
      </c>
      <c r="R403" s="133" t="str">
        <f>MEMBERS[[#This Row],[FirstName]]&amp;" "&amp;MEMBERS[[#This Row],[LastName]]</f>
        <v>Katharine Campbell</v>
      </c>
      <c r="S403" s="21">
        <v>41283</v>
      </c>
      <c r="U403" s="21">
        <v>31670</v>
      </c>
      <c r="V403" t="b">
        <v>0</v>
      </c>
      <c r="W403" t="b">
        <v>0</v>
      </c>
      <c r="X403" t="b">
        <v>0</v>
      </c>
      <c r="Y403" t="s">
        <v>2082</v>
      </c>
      <c r="Z403" t="b">
        <v>1</v>
      </c>
      <c r="AB403" t="s">
        <v>1571</v>
      </c>
      <c r="AC403" t="b">
        <v>0</v>
      </c>
    </row>
    <row r="404" spans="1:29" x14ac:dyDescent="0.3">
      <c r="A404" s="57" t="str">
        <f>MEMBERS[[#This Row],[Title]]&amp;MEMBERS[[#This Row],[ServiceStartDate]]</f>
        <v>Katherine Hoey39326</v>
      </c>
      <c r="B404" s="57">
        <f>IF(COUNTIF(MEMBERS[NameServiceStart],MEMBERS[[#This Row],[NameServiceStart]])=1,0,1)</f>
        <v>0</v>
      </c>
      <c r="C404" s="57">
        <f>IF(COUNTIF(MEMBERS[StaffMemberCode],MEMBERS[[#This Row],[StaffMemberCode]])=1,0,1)</f>
        <v>0</v>
      </c>
      <c r="D404" s="57">
        <f>IF(ISBLANK(MEMBERS[[#This Row],[PayrollLocation]]),0,IF(COUNTIF(SCHOOLS[SchoolCode],MEMBERS[[#This Row],[PayrollLocation]])=1,0,1))</f>
        <v>0</v>
      </c>
      <c r="E404" s="57">
        <f>IF(MEMBERS[[#This Row],[AvailableToAllSchools]]=FALSE,IF(ISBLANK(MEMBERS[[#This Row],[SchoolCodes]]),1,0),IF(MEMBERS[[#This Row],[AvailableToAllSchools]]=TRUE,IF(ISBLANK(MEMBERS[[#This Row],[SchoolCodes]]),0,1)))</f>
        <v>0</v>
      </c>
      <c r="F404" s="57">
        <f>IF(ISBLANK(MEMBERS[[#This Row],[ServiceEndDate]]),0,IF(MEMBERS[[#This Row],[ServiceStartDate]]&lt;MEMBERS[[#This Row],[ServiceEndDate]],0,1))</f>
        <v>0</v>
      </c>
      <c r="G404" s="57" cm="1">
        <f t="array" aca="1" ref="G404" ca="1">IF(CELL("format",MEMBERS[[#This Row],[ServiceStartDate]])="D1",0,1)+IF(CELL("format",MEMBERS[[#This Row],[ServiceEndDate]])="D1",0,1)</f>
        <v>0</v>
      </c>
      <c r="H40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04" s="57">
        <f>IF(LEN(MEMBERS[[#This Row],[StaffMemberCode]])&lt;100,0,1)</f>
        <v>0</v>
      </c>
      <c r="J404" s="57">
        <f>IF(LEN(MEMBERS[[#This Row],[Title]])&lt;100,0,1)</f>
        <v>0</v>
      </c>
      <c r="K404" s="57">
        <f>COUNTBLANK(MEMBERS[[#This Row],[StaffMemberCode]:[ServiceStartDate]])+COUNTBLANK(MEMBERS[[#This Row],[Apprenticeship]]:MEMBERS[[#This Row],[StaffMemberEnabled]])+COUNTBLANK(MEMBERS[[#This Row],[GenderCode]]:MEMBERS[[#This Row],[Casual]])</f>
        <v>0</v>
      </c>
      <c r="L404" s="57">
        <f>IF(SUBSTITUTE(TEXT(MEMBERS[[#This Row],[StaffMemberCode]],10)," ","")=TEXT(MEMBERS[[#This Row],[StaffMemberCode]],10),0,1)</f>
        <v>0</v>
      </c>
      <c r="M404" s="57">
        <f ca="1">SUM(MEMBERS[[#This Row],[Duplicate NameService Start]:[Space in Code]])</f>
        <v>0</v>
      </c>
      <c r="O404" s="15">
        <v>10005326</v>
      </c>
      <c r="P404" s="15" t="s">
        <v>3317</v>
      </c>
      <c r="Q404" s="15" t="s">
        <v>4081</v>
      </c>
      <c r="R404" s="133" t="str">
        <f>MEMBERS[[#This Row],[FirstName]]&amp;" "&amp;MEMBERS[[#This Row],[LastName]]</f>
        <v>Katherine Hoey</v>
      </c>
      <c r="S404" s="21">
        <v>39326</v>
      </c>
      <c r="U404" s="21">
        <v>29680</v>
      </c>
      <c r="V404" s="138" t="b">
        <v>0</v>
      </c>
      <c r="W404" t="b">
        <v>0</v>
      </c>
      <c r="X404" t="b">
        <v>0</v>
      </c>
      <c r="Y404" t="s">
        <v>2126</v>
      </c>
      <c r="Z404" t="b">
        <v>1</v>
      </c>
      <c r="AB404" t="s">
        <v>1571</v>
      </c>
      <c r="AC404" t="b">
        <v>0</v>
      </c>
    </row>
    <row r="405" spans="1:29" x14ac:dyDescent="0.3">
      <c r="A405" s="57" t="str">
        <f>MEMBERS[[#This Row],[Title]]&amp;MEMBERS[[#This Row],[ServiceStartDate]]</f>
        <v>Katherine Meacock38361</v>
      </c>
      <c r="B405" s="57">
        <f>IF(COUNTIF(MEMBERS[NameServiceStart],MEMBERS[[#This Row],[NameServiceStart]])=1,0,1)</f>
        <v>0</v>
      </c>
      <c r="C405" s="57">
        <f>IF(COUNTIF(MEMBERS[StaffMemberCode],MEMBERS[[#This Row],[StaffMemberCode]])=1,0,1)</f>
        <v>0</v>
      </c>
      <c r="D405" s="57">
        <f>IF(ISBLANK(MEMBERS[[#This Row],[PayrollLocation]]),0,IF(COUNTIF(SCHOOLS[SchoolCode],MEMBERS[[#This Row],[PayrollLocation]])=1,0,1))</f>
        <v>0</v>
      </c>
      <c r="E405" s="57">
        <f>IF(MEMBERS[[#This Row],[AvailableToAllSchools]]=FALSE,IF(ISBLANK(MEMBERS[[#This Row],[SchoolCodes]]),1,0),IF(MEMBERS[[#This Row],[AvailableToAllSchools]]=TRUE,IF(ISBLANK(MEMBERS[[#This Row],[SchoolCodes]]),0,1)))</f>
        <v>0</v>
      </c>
      <c r="F405" s="57">
        <f>IF(ISBLANK(MEMBERS[[#This Row],[ServiceEndDate]]),0,IF(MEMBERS[[#This Row],[ServiceStartDate]]&lt;MEMBERS[[#This Row],[ServiceEndDate]],0,1))</f>
        <v>0</v>
      </c>
      <c r="G405" s="57" cm="1">
        <f t="array" aca="1" ref="G405" ca="1">IF(CELL("format",MEMBERS[[#This Row],[ServiceStartDate]])="D1",0,1)+IF(CELL("format",MEMBERS[[#This Row],[ServiceEndDate]])="D1",0,1)</f>
        <v>0</v>
      </c>
      <c r="H40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05" s="57">
        <f>IF(LEN(MEMBERS[[#This Row],[StaffMemberCode]])&lt;100,0,1)</f>
        <v>0</v>
      </c>
      <c r="J405" s="57">
        <f>IF(LEN(MEMBERS[[#This Row],[Title]])&lt;100,0,1)</f>
        <v>0</v>
      </c>
      <c r="K405" s="57">
        <f>COUNTBLANK(MEMBERS[[#This Row],[StaffMemberCode]:[ServiceStartDate]])+COUNTBLANK(MEMBERS[[#This Row],[Apprenticeship]]:MEMBERS[[#This Row],[StaffMemberEnabled]])+COUNTBLANK(MEMBERS[[#This Row],[GenderCode]]:MEMBERS[[#This Row],[Casual]])</f>
        <v>0</v>
      </c>
      <c r="L405" s="57">
        <f>IF(SUBSTITUTE(TEXT(MEMBERS[[#This Row],[StaffMemberCode]],10)," ","")=TEXT(MEMBERS[[#This Row],[StaffMemberCode]],10),0,1)</f>
        <v>0</v>
      </c>
      <c r="M405" s="57">
        <f ca="1">SUM(MEMBERS[[#This Row],[Duplicate NameService Start]:[Space in Code]])</f>
        <v>0</v>
      </c>
      <c r="O405" s="15">
        <v>91073773</v>
      </c>
      <c r="P405" s="15" t="s">
        <v>3317</v>
      </c>
      <c r="Q405" s="15" t="s">
        <v>3711</v>
      </c>
      <c r="R405" s="133" t="str">
        <f>MEMBERS[[#This Row],[FirstName]]&amp;" "&amp;MEMBERS[[#This Row],[LastName]]</f>
        <v>Katherine Meacock</v>
      </c>
      <c r="S405" s="21">
        <v>38361</v>
      </c>
      <c r="U405" s="21">
        <v>30155</v>
      </c>
      <c r="V405" t="b">
        <v>0</v>
      </c>
      <c r="W405" t="b">
        <v>0</v>
      </c>
      <c r="X405" t="b">
        <v>0</v>
      </c>
      <c r="Y405" t="s">
        <v>2082</v>
      </c>
      <c r="Z405" t="b">
        <v>1</v>
      </c>
      <c r="AB405" t="s">
        <v>1571</v>
      </c>
      <c r="AC405" t="b">
        <v>0</v>
      </c>
    </row>
    <row r="406" spans="1:29" x14ac:dyDescent="0.3">
      <c r="A406" s="57" t="str">
        <f>MEMBERS[[#This Row],[Title]]&amp;MEMBERS[[#This Row],[ServiceStartDate]]</f>
        <v>Katherine Sealey45901</v>
      </c>
      <c r="B406" s="57">
        <f>IF(COUNTIF(MEMBERS[NameServiceStart],MEMBERS[[#This Row],[NameServiceStart]])=1,0,1)</f>
        <v>0</v>
      </c>
      <c r="C406" s="57">
        <f>IF(COUNTIF(MEMBERS[StaffMemberCode],MEMBERS[[#This Row],[StaffMemberCode]])=1,0,1)</f>
        <v>0</v>
      </c>
      <c r="D406" s="57">
        <f>IF(ISBLANK(MEMBERS[[#This Row],[PayrollLocation]]),0,IF(COUNTIF(SCHOOLS[SchoolCode],MEMBERS[[#This Row],[PayrollLocation]])=1,0,1))</f>
        <v>0</v>
      </c>
      <c r="E406" s="57">
        <f>IF(MEMBERS[[#This Row],[AvailableToAllSchools]]=FALSE,IF(ISBLANK(MEMBERS[[#This Row],[SchoolCodes]]),1,0),IF(MEMBERS[[#This Row],[AvailableToAllSchools]]=TRUE,IF(ISBLANK(MEMBERS[[#This Row],[SchoolCodes]]),0,1)))</f>
        <v>0</v>
      </c>
      <c r="F406" s="57">
        <f>IF(ISBLANK(MEMBERS[[#This Row],[ServiceEndDate]]),0,IF(MEMBERS[[#This Row],[ServiceStartDate]]&lt;MEMBERS[[#This Row],[ServiceEndDate]],0,1))</f>
        <v>0</v>
      </c>
      <c r="G406" s="57" cm="1">
        <f t="array" aca="1" ref="G406" ca="1">IF(CELL("format",MEMBERS[[#This Row],[ServiceStartDate]])="D1",0,1)+IF(CELL("format",MEMBERS[[#This Row],[ServiceEndDate]])="D1",0,1)</f>
        <v>0</v>
      </c>
      <c r="H40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06" s="57">
        <f>IF(LEN(MEMBERS[[#This Row],[StaffMemberCode]])&lt;100,0,1)</f>
        <v>0</v>
      </c>
      <c r="J406" s="57">
        <f>IF(LEN(MEMBERS[[#This Row],[Title]])&lt;100,0,1)</f>
        <v>0</v>
      </c>
      <c r="K406" s="57">
        <f>COUNTBLANK(MEMBERS[[#This Row],[StaffMemberCode]:[ServiceStartDate]])+COUNTBLANK(MEMBERS[[#This Row],[Apprenticeship]]:MEMBERS[[#This Row],[StaffMemberEnabled]])+COUNTBLANK(MEMBERS[[#This Row],[GenderCode]]:MEMBERS[[#This Row],[Casual]])</f>
        <v>0</v>
      </c>
      <c r="L406" s="57">
        <f>IF(SUBSTITUTE(TEXT(MEMBERS[[#This Row],[StaffMemberCode]],10)," ","")=TEXT(MEMBERS[[#This Row],[StaffMemberCode]],10),0,1)</f>
        <v>0</v>
      </c>
      <c r="M406" s="57">
        <f ca="1">SUM(MEMBERS[[#This Row],[Duplicate NameService Start]:[Space in Code]])</f>
        <v>0</v>
      </c>
      <c r="O406" s="15">
        <v>91850067</v>
      </c>
      <c r="P406" s="15" t="s">
        <v>3317</v>
      </c>
      <c r="Q406" s="15" t="s">
        <v>3712</v>
      </c>
      <c r="R406" s="133" t="str">
        <f>MEMBERS[[#This Row],[FirstName]]&amp;" "&amp;MEMBERS[[#This Row],[LastName]]</f>
        <v>Katherine Sealey</v>
      </c>
      <c r="S406" s="21">
        <v>45901</v>
      </c>
      <c r="U406" s="21">
        <v>20552</v>
      </c>
      <c r="V406" t="b">
        <v>0</v>
      </c>
      <c r="W406" t="b">
        <v>0</v>
      </c>
      <c r="X406" t="b">
        <v>0</v>
      </c>
      <c r="Y406" t="s">
        <v>2094</v>
      </c>
      <c r="Z406" t="b">
        <v>1</v>
      </c>
      <c r="AB406" t="s">
        <v>1571</v>
      </c>
      <c r="AC406" t="b">
        <v>0</v>
      </c>
    </row>
    <row r="407" spans="1:29" x14ac:dyDescent="0.3">
      <c r="A407" s="57" t="str">
        <f>MEMBERS[[#This Row],[Title]]&amp;MEMBERS[[#This Row],[ServiceStartDate]]</f>
        <v>Katherine Woolliscroft43505</v>
      </c>
      <c r="B407" s="57">
        <f>IF(COUNTIF(MEMBERS[NameServiceStart],MEMBERS[[#This Row],[NameServiceStart]])=1,0,1)</f>
        <v>0</v>
      </c>
      <c r="C407" s="57">
        <f>IF(COUNTIF(MEMBERS[StaffMemberCode],MEMBERS[[#This Row],[StaffMemberCode]])=1,0,1)</f>
        <v>0</v>
      </c>
      <c r="D407" s="57">
        <f>IF(ISBLANK(MEMBERS[[#This Row],[PayrollLocation]]),0,IF(COUNTIF(SCHOOLS[SchoolCode],MEMBERS[[#This Row],[PayrollLocation]])=1,0,1))</f>
        <v>0</v>
      </c>
      <c r="E407" s="57">
        <f>IF(MEMBERS[[#This Row],[AvailableToAllSchools]]=FALSE,IF(ISBLANK(MEMBERS[[#This Row],[SchoolCodes]]),1,0),IF(MEMBERS[[#This Row],[AvailableToAllSchools]]=TRUE,IF(ISBLANK(MEMBERS[[#This Row],[SchoolCodes]]),0,1)))</f>
        <v>0</v>
      </c>
      <c r="F407" s="57">
        <f>IF(ISBLANK(MEMBERS[[#This Row],[ServiceEndDate]]),0,IF(MEMBERS[[#This Row],[ServiceStartDate]]&lt;MEMBERS[[#This Row],[ServiceEndDate]],0,1))</f>
        <v>0</v>
      </c>
      <c r="G407" s="57" cm="1">
        <f t="array" aca="1" ref="G407" ca="1">IF(CELL("format",MEMBERS[[#This Row],[ServiceStartDate]])="D1",0,1)+IF(CELL("format",MEMBERS[[#This Row],[ServiceEndDate]])="D1",0,1)</f>
        <v>0</v>
      </c>
      <c r="H40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07" s="57">
        <f>IF(LEN(MEMBERS[[#This Row],[StaffMemberCode]])&lt;100,0,1)</f>
        <v>0</v>
      </c>
      <c r="J407" s="57">
        <f>IF(LEN(MEMBERS[[#This Row],[Title]])&lt;100,0,1)</f>
        <v>0</v>
      </c>
      <c r="K407" s="57">
        <f>COUNTBLANK(MEMBERS[[#This Row],[StaffMemberCode]:[ServiceStartDate]])+COUNTBLANK(MEMBERS[[#This Row],[Apprenticeship]]:MEMBERS[[#This Row],[StaffMemberEnabled]])+COUNTBLANK(MEMBERS[[#This Row],[GenderCode]]:MEMBERS[[#This Row],[Casual]])</f>
        <v>0</v>
      </c>
      <c r="L407" s="57">
        <f>IF(SUBSTITUTE(TEXT(MEMBERS[[#This Row],[StaffMemberCode]],10)," ","")=TEXT(MEMBERS[[#This Row],[StaffMemberCode]],10),0,1)</f>
        <v>0</v>
      </c>
      <c r="M407" s="57">
        <f ca="1">SUM(MEMBERS[[#This Row],[Duplicate NameService Start]:[Space in Code]])</f>
        <v>0</v>
      </c>
      <c r="O407" s="15">
        <v>91073767</v>
      </c>
      <c r="P407" s="15" t="s">
        <v>3317</v>
      </c>
      <c r="Q407" s="15" t="s">
        <v>3713</v>
      </c>
      <c r="R407" s="133" t="str">
        <f>MEMBERS[[#This Row],[FirstName]]&amp;" "&amp;MEMBERS[[#This Row],[LastName]]</f>
        <v>Katherine Woolliscroft</v>
      </c>
      <c r="S407" s="21">
        <v>43505</v>
      </c>
      <c r="U407" s="21">
        <v>35167</v>
      </c>
      <c r="V407" t="b">
        <v>0</v>
      </c>
      <c r="W407" t="b">
        <v>0</v>
      </c>
      <c r="X407" t="b">
        <v>0</v>
      </c>
      <c r="Y407" t="s">
        <v>2082</v>
      </c>
      <c r="Z407" t="b">
        <v>1</v>
      </c>
      <c r="AB407" t="s">
        <v>1571</v>
      </c>
      <c r="AC407" t="b">
        <v>0</v>
      </c>
    </row>
    <row r="408" spans="1:29" x14ac:dyDescent="0.3">
      <c r="A408" s="57" t="str">
        <f>MEMBERS[[#This Row],[Title]]&amp;MEMBERS[[#This Row],[ServiceStartDate]]</f>
        <v>Kathleen Baddeley44095</v>
      </c>
      <c r="B408" s="57">
        <f>IF(COUNTIF(MEMBERS[NameServiceStart],MEMBERS[[#This Row],[NameServiceStart]])=1,0,1)</f>
        <v>0</v>
      </c>
      <c r="C408" s="57">
        <f>IF(COUNTIF(MEMBERS[StaffMemberCode],MEMBERS[[#This Row],[StaffMemberCode]])=1,0,1)</f>
        <v>0</v>
      </c>
      <c r="D408" s="57">
        <f>IF(ISBLANK(MEMBERS[[#This Row],[PayrollLocation]]),0,IF(COUNTIF(SCHOOLS[SchoolCode],MEMBERS[[#This Row],[PayrollLocation]])=1,0,1))</f>
        <v>0</v>
      </c>
      <c r="E408" s="57">
        <f>IF(MEMBERS[[#This Row],[AvailableToAllSchools]]=FALSE,IF(ISBLANK(MEMBERS[[#This Row],[SchoolCodes]]),1,0),IF(MEMBERS[[#This Row],[AvailableToAllSchools]]=TRUE,IF(ISBLANK(MEMBERS[[#This Row],[SchoolCodes]]),0,1)))</f>
        <v>0</v>
      </c>
      <c r="F408" s="57">
        <f>IF(ISBLANK(MEMBERS[[#This Row],[ServiceEndDate]]),0,IF(MEMBERS[[#This Row],[ServiceStartDate]]&lt;MEMBERS[[#This Row],[ServiceEndDate]],0,1))</f>
        <v>0</v>
      </c>
      <c r="G408" s="57" cm="1">
        <f t="array" aca="1" ref="G408" ca="1">IF(CELL("format",MEMBERS[[#This Row],[ServiceStartDate]])="D1",0,1)+IF(CELL("format",MEMBERS[[#This Row],[ServiceEndDate]])="D1",0,1)</f>
        <v>0</v>
      </c>
      <c r="H40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08" s="57">
        <f>IF(LEN(MEMBERS[[#This Row],[StaffMemberCode]])&lt;100,0,1)</f>
        <v>0</v>
      </c>
      <c r="J408" s="57">
        <f>IF(LEN(MEMBERS[[#This Row],[Title]])&lt;100,0,1)</f>
        <v>0</v>
      </c>
      <c r="K408" s="57">
        <f>COUNTBLANK(MEMBERS[[#This Row],[StaffMemberCode]:[ServiceStartDate]])+COUNTBLANK(MEMBERS[[#This Row],[Apprenticeship]]:MEMBERS[[#This Row],[StaffMemberEnabled]])+COUNTBLANK(MEMBERS[[#This Row],[GenderCode]]:MEMBERS[[#This Row],[Casual]])</f>
        <v>0</v>
      </c>
      <c r="L408" s="57">
        <f>IF(SUBSTITUTE(TEXT(MEMBERS[[#This Row],[StaffMemberCode]],10)," ","")=TEXT(MEMBERS[[#This Row],[StaffMemberCode]],10),0,1)</f>
        <v>0</v>
      </c>
      <c r="M408" s="57">
        <f ca="1">SUM(MEMBERS[[#This Row],[Duplicate NameService Start]:[Space in Code]])</f>
        <v>0</v>
      </c>
      <c r="O408" s="15">
        <v>91073894</v>
      </c>
      <c r="P408" s="15" t="s">
        <v>3318</v>
      </c>
      <c r="Q408" s="15" t="s">
        <v>3714</v>
      </c>
      <c r="R408" s="133" t="str">
        <f>MEMBERS[[#This Row],[FirstName]]&amp;" "&amp;MEMBERS[[#This Row],[LastName]]</f>
        <v>Kathleen Baddeley</v>
      </c>
      <c r="S408" s="21">
        <v>44095</v>
      </c>
      <c r="U408" s="21">
        <v>22341</v>
      </c>
      <c r="V408" t="b">
        <v>0</v>
      </c>
      <c r="W408" t="b">
        <v>0</v>
      </c>
      <c r="X408" t="b">
        <v>0</v>
      </c>
      <c r="Y408" t="s">
        <v>2266</v>
      </c>
      <c r="Z408" t="b">
        <v>1</v>
      </c>
      <c r="AB408" t="s">
        <v>1571</v>
      </c>
      <c r="AC408" t="b">
        <v>0</v>
      </c>
    </row>
    <row r="409" spans="1:29" x14ac:dyDescent="0.3">
      <c r="A409" s="57" t="str">
        <f>MEMBERS[[#This Row],[Title]]&amp;MEMBERS[[#This Row],[ServiceStartDate]]</f>
        <v>Kathleen Farrington45310</v>
      </c>
      <c r="B409" s="57">
        <f>IF(COUNTIF(MEMBERS[NameServiceStart],MEMBERS[[#This Row],[NameServiceStart]])=1,0,1)</f>
        <v>0</v>
      </c>
      <c r="C409" s="57">
        <f>IF(COUNTIF(MEMBERS[StaffMemberCode],MEMBERS[[#This Row],[StaffMemberCode]])=1,0,1)</f>
        <v>0</v>
      </c>
      <c r="D409" s="57">
        <f>IF(ISBLANK(MEMBERS[[#This Row],[PayrollLocation]]),0,IF(COUNTIF(SCHOOLS[SchoolCode],MEMBERS[[#This Row],[PayrollLocation]])=1,0,1))</f>
        <v>0</v>
      </c>
      <c r="E409" s="57">
        <f>IF(MEMBERS[[#This Row],[AvailableToAllSchools]]=FALSE,IF(ISBLANK(MEMBERS[[#This Row],[SchoolCodes]]),1,0),IF(MEMBERS[[#This Row],[AvailableToAllSchools]]=TRUE,IF(ISBLANK(MEMBERS[[#This Row],[SchoolCodes]]),0,1)))</f>
        <v>0</v>
      </c>
      <c r="F409" s="57">
        <f>IF(ISBLANK(MEMBERS[[#This Row],[ServiceEndDate]]),0,IF(MEMBERS[[#This Row],[ServiceStartDate]]&lt;MEMBERS[[#This Row],[ServiceEndDate]],0,1))</f>
        <v>0</v>
      </c>
      <c r="G409" s="57" cm="1">
        <f t="array" aca="1" ref="G409" ca="1">IF(CELL("format",MEMBERS[[#This Row],[ServiceStartDate]])="D1",0,1)+IF(CELL("format",MEMBERS[[#This Row],[ServiceEndDate]])="D1",0,1)</f>
        <v>0</v>
      </c>
      <c r="H40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09" s="57">
        <f>IF(LEN(MEMBERS[[#This Row],[StaffMemberCode]])&lt;100,0,1)</f>
        <v>0</v>
      </c>
      <c r="J409" s="57">
        <f>IF(LEN(MEMBERS[[#This Row],[Title]])&lt;100,0,1)</f>
        <v>0</v>
      </c>
      <c r="K409" s="57">
        <f>COUNTBLANK(MEMBERS[[#This Row],[StaffMemberCode]:[ServiceStartDate]])+COUNTBLANK(MEMBERS[[#This Row],[Apprenticeship]]:MEMBERS[[#This Row],[StaffMemberEnabled]])+COUNTBLANK(MEMBERS[[#This Row],[GenderCode]]:MEMBERS[[#This Row],[Casual]])</f>
        <v>0</v>
      </c>
      <c r="L409" s="57">
        <f>IF(SUBSTITUTE(TEXT(MEMBERS[[#This Row],[StaffMemberCode]],10)," ","")=TEXT(MEMBERS[[#This Row],[StaffMemberCode]],10),0,1)</f>
        <v>0</v>
      </c>
      <c r="M409" s="57">
        <f ca="1">SUM(MEMBERS[[#This Row],[Duplicate NameService Start]:[Space in Code]])</f>
        <v>0</v>
      </c>
      <c r="O409" s="15">
        <v>10013549</v>
      </c>
      <c r="P409" s="15" t="s">
        <v>3318</v>
      </c>
      <c r="Q409" s="15" t="s">
        <v>4082</v>
      </c>
      <c r="R409" s="133" t="str">
        <f>MEMBERS[[#This Row],[FirstName]]&amp;" "&amp;MEMBERS[[#This Row],[LastName]]</f>
        <v>Kathleen Farrington</v>
      </c>
      <c r="S409" s="21">
        <v>45310</v>
      </c>
      <c r="U409" s="21">
        <v>19561</v>
      </c>
      <c r="V409" s="138" t="b">
        <v>0</v>
      </c>
      <c r="W409" t="b">
        <v>0</v>
      </c>
      <c r="X409" t="b">
        <v>0</v>
      </c>
      <c r="Y409" t="s">
        <v>2126</v>
      </c>
      <c r="Z409" t="b">
        <v>1</v>
      </c>
      <c r="AB409" t="s">
        <v>1571</v>
      </c>
      <c r="AC409" t="b">
        <v>1</v>
      </c>
    </row>
    <row r="410" spans="1:29" x14ac:dyDescent="0.3">
      <c r="A410" s="57" t="str">
        <f>MEMBERS[[#This Row],[Title]]&amp;MEMBERS[[#This Row],[ServiceStartDate]]</f>
        <v>Kathryn Batty38961</v>
      </c>
      <c r="B410" s="57">
        <f>IF(COUNTIF(MEMBERS[NameServiceStart],MEMBERS[[#This Row],[NameServiceStart]])=1,0,1)</f>
        <v>0</v>
      </c>
      <c r="C410" s="57">
        <f>IF(COUNTIF(MEMBERS[StaffMemberCode],MEMBERS[[#This Row],[StaffMemberCode]])=1,0,1)</f>
        <v>0</v>
      </c>
      <c r="D410" s="57">
        <f>IF(ISBLANK(MEMBERS[[#This Row],[PayrollLocation]]),0,IF(COUNTIF(SCHOOLS[SchoolCode],MEMBERS[[#This Row],[PayrollLocation]])=1,0,1))</f>
        <v>0</v>
      </c>
      <c r="E410" s="57">
        <f>IF(MEMBERS[[#This Row],[AvailableToAllSchools]]=FALSE,IF(ISBLANK(MEMBERS[[#This Row],[SchoolCodes]]),1,0),IF(MEMBERS[[#This Row],[AvailableToAllSchools]]=TRUE,IF(ISBLANK(MEMBERS[[#This Row],[SchoolCodes]]),0,1)))</f>
        <v>0</v>
      </c>
      <c r="F410" s="57">
        <f>IF(ISBLANK(MEMBERS[[#This Row],[ServiceEndDate]]),0,IF(MEMBERS[[#This Row],[ServiceStartDate]]&lt;MEMBERS[[#This Row],[ServiceEndDate]],0,1))</f>
        <v>0</v>
      </c>
      <c r="G410" s="57" cm="1">
        <f t="array" aca="1" ref="G410" ca="1">IF(CELL("format",MEMBERS[[#This Row],[ServiceStartDate]])="D1",0,1)+IF(CELL("format",MEMBERS[[#This Row],[ServiceEndDate]])="D1",0,1)</f>
        <v>0</v>
      </c>
      <c r="H41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10" s="57">
        <f>IF(LEN(MEMBERS[[#This Row],[StaffMemberCode]])&lt;100,0,1)</f>
        <v>0</v>
      </c>
      <c r="J410" s="57">
        <f>IF(LEN(MEMBERS[[#This Row],[Title]])&lt;100,0,1)</f>
        <v>0</v>
      </c>
      <c r="K410" s="57">
        <f>COUNTBLANK(MEMBERS[[#This Row],[StaffMemberCode]:[ServiceStartDate]])+COUNTBLANK(MEMBERS[[#This Row],[Apprenticeship]]:MEMBERS[[#This Row],[StaffMemberEnabled]])+COUNTBLANK(MEMBERS[[#This Row],[GenderCode]]:MEMBERS[[#This Row],[Casual]])</f>
        <v>0</v>
      </c>
      <c r="L410" s="57">
        <f>IF(SUBSTITUTE(TEXT(MEMBERS[[#This Row],[StaffMemberCode]],10)," ","")=TEXT(MEMBERS[[#This Row],[StaffMemberCode]],10),0,1)</f>
        <v>0</v>
      </c>
      <c r="M410" s="57">
        <f ca="1">SUM(MEMBERS[[#This Row],[Duplicate NameService Start]:[Space in Code]])</f>
        <v>0</v>
      </c>
      <c r="O410" s="15">
        <v>10005312</v>
      </c>
      <c r="P410" s="15" t="s">
        <v>3319</v>
      </c>
      <c r="Q410" s="15" t="s">
        <v>4083</v>
      </c>
      <c r="R410" s="133" t="str">
        <f>MEMBERS[[#This Row],[FirstName]]&amp;" "&amp;MEMBERS[[#This Row],[LastName]]</f>
        <v>Kathryn Batty</v>
      </c>
      <c r="S410" s="21">
        <v>38961</v>
      </c>
      <c r="U410" s="21">
        <v>30285</v>
      </c>
      <c r="V410" s="138" t="b">
        <v>0</v>
      </c>
      <c r="W410" t="b">
        <v>0</v>
      </c>
      <c r="X410" t="b">
        <v>0</v>
      </c>
      <c r="Y410" t="s">
        <v>2126</v>
      </c>
      <c r="Z410" t="b">
        <v>1</v>
      </c>
      <c r="AB410" t="s">
        <v>1571</v>
      </c>
      <c r="AC410" t="b">
        <v>0</v>
      </c>
    </row>
    <row r="411" spans="1:29" x14ac:dyDescent="0.3">
      <c r="A411" s="57" t="str">
        <f>MEMBERS[[#This Row],[Title]]&amp;MEMBERS[[#This Row],[ServiceStartDate]]</f>
        <v>Kathryn Brookes36900</v>
      </c>
      <c r="B411" s="57">
        <f>IF(COUNTIF(MEMBERS[NameServiceStart],MEMBERS[[#This Row],[NameServiceStart]])=1,0,1)</f>
        <v>0</v>
      </c>
      <c r="C411" s="57">
        <f>IF(COUNTIF(MEMBERS[StaffMemberCode],MEMBERS[[#This Row],[StaffMemberCode]])=1,0,1)</f>
        <v>0</v>
      </c>
      <c r="D411" s="57">
        <f>IF(ISBLANK(MEMBERS[[#This Row],[PayrollLocation]]),0,IF(COUNTIF(SCHOOLS[SchoolCode],MEMBERS[[#This Row],[PayrollLocation]])=1,0,1))</f>
        <v>0</v>
      </c>
      <c r="E411" s="57">
        <f>IF(MEMBERS[[#This Row],[AvailableToAllSchools]]=FALSE,IF(ISBLANK(MEMBERS[[#This Row],[SchoolCodes]]),1,0),IF(MEMBERS[[#This Row],[AvailableToAllSchools]]=TRUE,IF(ISBLANK(MEMBERS[[#This Row],[SchoolCodes]]),0,1)))</f>
        <v>0</v>
      </c>
      <c r="F411" s="57">
        <f>IF(ISBLANK(MEMBERS[[#This Row],[ServiceEndDate]]),0,IF(MEMBERS[[#This Row],[ServiceStartDate]]&lt;MEMBERS[[#This Row],[ServiceEndDate]],0,1))</f>
        <v>0</v>
      </c>
      <c r="G411" s="57" cm="1">
        <f t="array" aca="1" ref="G411" ca="1">IF(CELL("format",MEMBERS[[#This Row],[ServiceStartDate]])="D1",0,1)+IF(CELL("format",MEMBERS[[#This Row],[ServiceEndDate]])="D1",0,1)</f>
        <v>0</v>
      </c>
      <c r="H41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11" s="57">
        <f>IF(LEN(MEMBERS[[#This Row],[StaffMemberCode]])&lt;100,0,1)</f>
        <v>0</v>
      </c>
      <c r="J411" s="57">
        <f>IF(LEN(MEMBERS[[#This Row],[Title]])&lt;100,0,1)</f>
        <v>0</v>
      </c>
      <c r="K411" s="57">
        <f>COUNTBLANK(MEMBERS[[#This Row],[StaffMemberCode]:[ServiceStartDate]])+COUNTBLANK(MEMBERS[[#This Row],[Apprenticeship]]:MEMBERS[[#This Row],[StaffMemberEnabled]])+COUNTBLANK(MEMBERS[[#This Row],[GenderCode]]:MEMBERS[[#This Row],[Casual]])</f>
        <v>0</v>
      </c>
      <c r="L411" s="57">
        <f>IF(SUBSTITUTE(TEXT(MEMBERS[[#This Row],[StaffMemberCode]],10)," ","")=TEXT(MEMBERS[[#This Row],[StaffMemberCode]],10),0,1)</f>
        <v>0</v>
      </c>
      <c r="M411" s="57">
        <f ca="1">SUM(MEMBERS[[#This Row],[Duplicate NameService Start]:[Space in Code]])</f>
        <v>0</v>
      </c>
      <c r="O411" s="15">
        <v>91073448</v>
      </c>
      <c r="P411" s="15" t="s">
        <v>3319</v>
      </c>
      <c r="Q411" s="15" t="s">
        <v>3566</v>
      </c>
      <c r="R411" s="133" t="str">
        <f>MEMBERS[[#This Row],[FirstName]]&amp;" "&amp;MEMBERS[[#This Row],[LastName]]</f>
        <v>Kathryn Brookes</v>
      </c>
      <c r="S411" s="21">
        <v>36900</v>
      </c>
      <c r="U411" s="21">
        <v>25232</v>
      </c>
      <c r="V411" t="b">
        <v>0</v>
      </c>
      <c r="W411" t="b">
        <v>0</v>
      </c>
      <c r="X411" t="b">
        <v>0</v>
      </c>
      <c r="Y411" t="s">
        <v>2094</v>
      </c>
      <c r="Z411" t="b">
        <v>1</v>
      </c>
      <c r="AB411" t="s">
        <v>1571</v>
      </c>
      <c r="AC411" t="b">
        <v>0</v>
      </c>
    </row>
    <row r="412" spans="1:29" x14ac:dyDescent="0.3">
      <c r="A412" s="57" t="str">
        <f>MEMBERS[[#This Row],[Title]]&amp;MEMBERS[[#This Row],[ServiceStartDate]]</f>
        <v>Kathryn Cheetham45901</v>
      </c>
      <c r="B412" s="57">
        <f>IF(COUNTIF(MEMBERS[NameServiceStart],MEMBERS[[#This Row],[NameServiceStart]])=1,0,1)</f>
        <v>0</v>
      </c>
      <c r="C412" s="57">
        <f>IF(COUNTIF(MEMBERS[StaffMemberCode],MEMBERS[[#This Row],[StaffMemberCode]])=1,0,1)</f>
        <v>0</v>
      </c>
      <c r="D412" s="57">
        <f>IF(ISBLANK(MEMBERS[[#This Row],[PayrollLocation]]),0,IF(COUNTIF(SCHOOLS[SchoolCode],MEMBERS[[#This Row],[PayrollLocation]])=1,0,1))</f>
        <v>0</v>
      </c>
      <c r="E412" s="57">
        <f>IF(MEMBERS[[#This Row],[AvailableToAllSchools]]=FALSE,IF(ISBLANK(MEMBERS[[#This Row],[SchoolCodes]]),1,0),IF(MEMBERS[[#This Row],[AvailableToAllSchools]]=TRUE,IF(ISBLANK(MEMBERS[[#This Row],[SchoolCodes]]),0,1)))</f>
        <v>0</v>
      </c>
      <c r="F412" s="57">
        <f>IF(ISBLANK(MEMBERS[[#This Row],[ServiceEndDate]]),0,IF(MEMBERS[[#This Row],[ServiceStartDate]]&lt;MEMBERS[[#This Row],[ServiceEndDate]],0,1))</f>
        <v>0</v>
      </c>
      <c r="G412" s="57" cm="1">
        <f t="array" aca="1" ref="G412" ca="1">IF(CELL("format",MEMBERS[[#This Row],[ServiceStartDate]])="D1",0,1)+IF(CELL("format",MEMBERS[[#This Row],[ServiceEndDate]])="D1",0,1)</f>
        <v>0</v>
      </c>
      <c r="H41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12" s="57">
        <f>IF(LEN(MEMBERS[[#This Row],[StaffMemberCode]])&lt;100,0,1)</f>
        <v>0</v>
      </c>
      <c r="J412" s="57">
        <f>IF(LEN(MEMBERS[[#This Row],[Title]])&lt;100,0,1)</f>
        <v>0</v>
      </c>
      <c r="K412" s="57">
        <f>COUNTBLANK(MEMBERS[[#This Row],[StaffMemberCode]:[ServiceStartDate]])+COUNTBLANK(MEMBERS[[#This Row],[Apprenticeship]]:MEMBERS[[#This Row],[StaffMemberEnabled]])+COUNTBLANK(MEMBERS[[#This Row],[GenderCode]]:MEMBERS[[#This Row],[Casual]])</f>
        <v>0</v>
      </c>
      <c r="L412" s="57">
        <f>IF(SUBSTITUTE(TEXT(MEMBERS[[#This Row],[StaffMemberCode]],10)," ","")=TEXT(MEMBERS[[#This Row],[StaffMemberCode]],10),0,1)</f>
        <v>0</v>
      </c>
      <c r="M412" s="57">
        <f ca="1">SUM(MEMBERS[[#This Row],[Duplicate NameService Start]:[Space in Code]])</f>
        <v>0</v>
      </c>
      <c r="O412" s="15">
        <v>91850047</v>
      </c>
      <c r="P412" s="15" t="s">
        <v>3319</v>
      </c>
      <c r="Q412" s="15" t="s">
        <v>3715</v>
      </c>
      <c r="R412" s="133" t="str">
        <f>MEMBERS[[#This Row],[FirstName]]&amp;" "&amp;MEMBERS[[#This Row],[LastName]]</f>
        <v>Kathryn Cheetham</v>
      </c>
      <c r="S412" s="21">
        <v>45901</v>
      </c>
      <c r="U412" s="21">
        <v>28995</v>
      </c>
      <c r="V412" t="b">
        <v>0</v>
      </c>
      <c r="W412" t="b">
        <v>0</v>
      </c>
      <c r="X412" t="b">
        <v>0</v>
      </c>
      <c r="Y412" t="s">
        <v>51</v>
      </c>
      <c r="Z412" t="b">
        <v>1</v>
      </c>
      <c r="AB412" t="s">
        <v>1571</v>
      </c>
      <c r="AC412" t="b">
        <v>0</v>
      </c>
    </row>
    <row r="413" spans="1:29" x14ac:dyDescent="0.3">
      <c r="A413" s="57" t="str">
        <f>MEMBERS[[#This Row],[Title]]&amp;MEMBERS[[#This Row],[ServiceStartDate]]</f>
        <v>Kathryn Greenwood42660</v>
      </c>
      <c r="B413" s="57">
        <f>IF(COUNTIF(MEMBERS[NameServiceStart],MEMBERS[[#This Row],[NameServiceStart]])=1,0,1)</f>
        <v>0</v>
      </c>
      <c r="C413" s="57">
        <f>IF(COUNTIF(MEMBERS[StaffMemberCode],MEMBERS[[#This Row],[StaffMemberCode]])=1,0,1)</f>
        <v>0</v>
      </c>
      <c r="D413" s="57">
        <f>IF(ISBLANK(MEMBERS[[#This Row],[PayrollLocation]]),0,IF(COUNTIF(SCHOOLS[SchoolCode],MEMBERS[[#This Row],[PayrollLocation]])=1,0,1))</f>
        <v>0</v>
      </c>
      <c r="E413" s="57">
        <f>IF(MEMBERS[[#This Row],[AvailableToAllSchools]]=FALSE,IF(ISBLANK(MEMBERS[[#This Row],[SchoolCodes]]),1,0),IF(MEMBERS[[#This Row],[AvailableToAllSchools]]=TRUE,IF(ISBLANK(MEMBERS[[#This Row],[SchoolCodes]]),0,1)))</f>
        <v>0</v>
      </c>
      <c r="F413" s="57">
        <f>IF(ISBLANK(MEMBERS[[#This Row],[ServiceEndDate]]),0,IF(MEMBERS[[#This Row],[ServiceStartDate]]&lt;MEMBERS[[#This Row],[ServiceEndDate]],0,1))</f>
        <v>0</v>
      </c>
      <c r="G413" s="57" cm="1">
        <f t="array" aca="1" ref="G413" ca="1">IF(CELL("format",MEMBERS[[#This Row],[ServiceStartDate]])="D1",0,1)+IF(CELL("format",MEMBERS[[#This Row],[ServiceEndDate]])="D1",0,1)</f>
        <v>0</v>
      </c>
      <c r="H41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13" s="57">
        <f>IF(LEN(MEMBERS[[#This Row],[StaffMemberCode]])&lt;100,0,1)</f>
        <v>0</v>
      </c>
      <c r="J413" s="57">
        <f>IF(LEN(MEMBERS[[#This Row],[Title]])&lt;100,0,1)</f>
        <v>0</v>
      </c>
      <c r="K413" s="57">
        <f>COUNTBLANK(MEMBERS[[#This Row],[StaffMemberCode]:[ServiceStartDate]])+COUNTBLANK(MEMBERS[[#This Row],[Apprenticeship]]:MEMBERS[[#This Row],[StaffMemberEnabled]])+COUNTBLANK(MEMBERS[[#This Row],[GenderCode]]:MEMBERS[[#This Row],[Casual]])</f>
        <v>0</v>
      </c>
      <c r="L413" s="57">
        <f>IF(SUBSTITUTE(TEXT(MEMBERS[[#This Row],[StaffMemberCode]],10)," ","")=TEXT(MEMBERS[[#This Row],[StaffMemberCode]],10),0,1)</f>
        <v>0</v>
      </c>
      <c r="M413" s="57">
        <f ca="1">SUM(MEMBERS[[#This Row],[Duplicate NameService Start]:[Space in Code]])</f>
        <v>0</v>
      </c>
      <c r="O413" s="15">
        <v>91073722</v>
      </c>
      <c r="P413" s="15" t="s">
        <v>3319</v>
      </c>
      <c r="Q413" s="15" t="s">
        <v>3716</v>
      </c>
      <c r="R413" s="133" t="str">
        <f>MEMBERS[[#This Row],[FirstName]]&amp;" "&amp;MEMBERS[[#This Row],[LastName]]</f>
        <v>Kathryn Greenwood</v>
      </c>
      <c r="S413" s="21">
        <v>42660</v>
      </c>
      <c r="U413" s="21">
        <v>28965</v>
      </c>
      <c r="V413" t="b">
        <v>0</v>
      </c>
      <c r="W413" t="b">
        <v>0</v>
      </c>
      <c r="X413" t="b">
        <v>0</v>
      </c>
      <c r="Y413" t="s">
        <v>2082</v>
      </c>
      <c r="Z413" t="b">
        <v>1</v>
      </c>
      <c r="AB413" t="s">
        <v>1571</v>
      </c>
      <c r="AC413" t="b">
        <v>0</v>
      </c>
    </row>
    <row r="414" spans="1:29" x14ac:dyDescent="0.3">
      <c r="A414" s="57" t="str">
        <f>MEMBERS[[#This Row],[Title]]&amp;MEMBERS[[#This Row],[ServiceStartDate]]</f>
        <v>Kathryn Hey35073</v>
      </c>
      <c r="B414" s="57">
        <f>IF(COUNTIF(MEMBERS[NameServiceStart],MEMBERS[[#This Row],[NameServiceStart]])=1,0,1)</f>
        <v>0</v>
      </c>
      <c r="C414" s="57">
        <f>IF(COUNTIF(MEMBERS[StaffMemberCode],MEMBERS[[#This Row],[StaffMemberCode]])=1,0,1)</f>
        <v>0</v>
      </c>
      <c r="D414" s="57">
        <f>IF(ISBLANK(MEMBERS[[#This Row],[PayrollLocation]]),0,IF(COUNTIF(SCHOOLS[SchoolCode],MEMBERS[[#This Row],[PayrollLocation]])=1,0,1))</f>
        <v>0</v>
      </c>
      <c r="E414" s="57">
        <f>IF(MEMBERS[[#This Row],[AvailableToAllSchools]]=FALSE,IF(ISBLANK(MEMBERS[[#This Row],[SchoolCodes]]),1,0),IF(MEMBERS[[#This Row],[AvailableToAllSchools]]=TRUE,IF(ISBLANK(MEMBERS[[#This Row],[SchoolCodes]]),0,1)))</f>
        <v>0</v>
      </c>
      <c r="F414" s="57">
        <f>IF(ISBLANK(MEMBERS[[#This Row],[ServiceEndDate]]),0,IF(MEMBERS[[#This Row],[ServiceStartDate]]&lt;MEMBERS[[#This Row],[ServiceEndDate]],0,1))</f>
        <v>0</v>
      </c>
      <c r="G414" s="57" cm="1">
        <f t="array" aca="1" ref="G414" ca="1">IF(CELL("format",MEMBERS[[#This Row],[ServiceStartDate]])="D1",0,1)+IF(CELL("format",MEMBERS[[#This Row],[ServiceEndDate]])="D1",0,1)</f>
        <v>0</v>
      </c>
      <c r="H41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14" s="57">
        <f>IF(LEN(MEMBERS[[#This Row],[StaffMemberCode]])&lt;100,0,1)</f>
        <v>0</v>
      </c>
      <c r="J414" s="57">
        <f>IF(LEN(MEMBERS[[#This Row],[Title]])&lt;100,0,1)</f>
        <v>0</v>
      </c>
      <c r="K414" s="57">
        <f>COUNTBLANK(MEMBERS[[#This Row],[StaffMemberCode]:[ServiceStartDate]])+COUNTBLANK(MEMBERS[[#This Row],[Apprenticeship]]:MEMBERS[[#This Row],[StaffMemberEnabled]])+COUNTBLANK(MEMBERS[[#This Row],[GenderCode]]:MEMBERS[[#This Row],[Casual]])</f>
        <v>0</v>
      </c>
      <c r="L414" s="57">
        <f>IF(SUBSTITUTE(TEXT(MEMBERS[[#This Row],[StaffMemberCode]],10)," ","")=TEXT(MEMBERS[[#This Row],[StaffMemberCode]],10),0,1)</f>
        <v>0</v>
      </c>
      <c r="M414" s="57">
        <f ca="1">SUM(MEMBERS[[#This Row],[Duplicate NameService Start]:[Space in Code]])</f>
        <v>0</v>
      </c>
      <c r="O414" s="15">
        <v>91073666</v>
      </c>
      <c r="P414" s="15" t="s">
        <v>3319</v>
      </c>
      <c r="Q414" s="15" t="s">
        <v>3717</v>
      </c>
      <c r="R414" s="133" t="str">
        <f>MEMBERS[[#This Row],[FirstName]]&amp;" "&amp;MEMBERS[[#This Row],[LastName]]</f>
        <v>Kathryn Hey</v>
      </c>
      <c r="S414" s="21">
        <v>35073</v>
      </c>
      <c r="U414" s="21">
        <v>26673</v>
      </c>
      <c r="V414" t="b">
        <v>0</v>
      </c>
      <c r="W414" t="b">
        <v>0</v>
      </c>
      <c r="X414" t="b">
        <v>0</v>
      </c>
      <c r="Y414" t="s">
        <v>2082</v>
      </c>
      <c r="Z414" t="b">
        <v>1</v>
      </c>
      <c r="AB414" t="s">
        <v>1571</v>
      </c>
      <c r="AC414" t="b">
        <v>0</v>
      </c>
    </row>
    <row r="415" spans="1:29" x14ac:dyDescent="0.3">
      <c r="A415" s="57" t="str">
        <f>MEMBERS[[#This Row],[Title]]&amp;MEMBERS[[#This Row],[ServiceStartDate]]</f>
        <v>Kathryn Inskip39734</v>
      </c>
      <c r="B415" s="57">
        <f>IF(COUNTIF(MEMBERS[NameServiceStart],MEMBERS[[#This Row],[NameServiceStart]])=1,0,1)</f>
        <v>0</v>
      </c>
      <c r="C415" s="57">
        <f>IF(COUNTIF(MEMBERS[StaffMemberCode],MEMBERS[[#This Row],[StaffMemberCode]])=1,0,1)</f>
        <v>0</v>
      </c>
      <c r="D415" s="57">
        <f>IF(ISBLANK(MEMBERS[[#This Row],[PayrollLocation]]),0,IF(COUNTIF(SCHOOLS[SchoolCode],MEMBERS[[#This Row],[PayrollLocation]])=1,0,1))</f>
        <v>0</v>
      </c>
      <c r="E415" s="57">
        <f>IF(MEMBERS[[#This Row],[AvailableToAllSchools]]=FALSE,IF(ISBLANK(MEMBERS[[#This Row],[SchoolCodes]]),1,0),IF(MEMBERS[[#This Row],[AvailableToAllSchools]]=TRUE,IF(ISBLANK(MEMBERS[[#This Row],[SchoolCodes]]),0,1)))</f>
        <v>0</v>
      </c>
      <c r="F415" s="57">
        <f>IF(ISBLANK(MEMBERS[[#This Row],[ServiceEndDate]]),0,IF(MEMBERS[[#This Row],[ServiceStartDate]]&lt;MEMBERS[[#This Row],[ServiceEndDate]],0,1))</f>
        <v>0</v>
      </c>
      <c r="G415" s="57" cm="1">
        <f t="array" aca="1" ref="G415" ca="1">IF(CELL("format",MEMBERS[[#This Row],[ServiceStartDate]])="D1",0,1)+IF(CELL("format",MEMBERS[[#This Row],[ServiceEndDate]])="D1",0,1)</f>
        <v>0</v>
      </c>
      <c r="H41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15" s="57">
        <f>IF(LEN(MEMBERS[[#This Row],[StaffMemberCode]])&lt;100,0,1)</f>
        <v>0</v>
      </c>
      <c r="J415" s="57">
        <f>IF(LEN(MEMBERS[[#This Row],[Title]])&lt;100,0,1)</f>
        <v>0</v>
      </c>
      <c r="K415" s="57">
        <f>COUNTBLANK(MEMBERS[[#This Row],[StaffMemberCode]:[ServiceStartDate]])+COUNTBLANK(MEMBERS[[#This Row],[Apprenticeship]]:MEMBERS[[#This Row],[StaffMemberEnabled]])+COUNTBLANK(MEMBERS[[#This Row],[GenderCode]]:MEMBERS[[#This Row],[Casual]])</f>
        <v>0</v>
      </c>
      <c r="L415" s="57">
        <f>IF(SUBSTITUTE(TEXT(MEMBERS[[#This Row],[StaffMemberCode]],10)," ","")=TEXT(MEMBERS[[#This Row],[StaffMemberCode]],10),0,1)</f>
        <v>0</v>
      </c>
      <c r="M415" s="57">
        <f ca="1">SUM(MEMBERS[[#This Row],[Duplicate NameService Start]:[Space in Code]])</f>
        <v>0</v>
      </c>
      <c r="O415" s="15">
        <v>91073398</v>
      </c>
      <c r="P415" s="15" t="s">
        <v>3319</v>
      </c>
      <c r="Q415" s="15" t="s">
        <v>3718</v>
      </c>
      <c r="R415" s="133" t="str">
        <f>MEMBERS[[#This Row],[FirstName]]&amp;" "&amp;MEMBERS[[#This Row],[LastName]]</f>
        <v>Kathryn Inskip</v>
      </c>
      <c r="S415" s="21">
        <v>39734</v>
      </c>
      <c r="U415" s="21">
        <v>26277</v>
      </c>
      <c r="V415" t="b">
        <v>0</v>
      </c>
      <c r="W415" t="b">
        <v>0</v>
      </c>
      <c r="X415" t="b">
        <v>0</v>
      </c>
      <c r="Y415" t="s">
        <v>2275</v>
      </c>
      <c r="Z415" t="b">
        <v>1</v>
      </c>
      <c r="AB415" t="s">
        <v>1571</v>
      </c>
      <c r="AC415" t="b">
        <v>0</v>
      </c>
    </row>
    <row r="416" spans="1:29" x14ac:dyDescent="0.3">
      <c r="A416" s="57" t="str">
        <f>MEMBERS[[#This Row],[Title]]&amp;MEMBERS[[#This Row],[ServiceStartDate]]</f>
        <v>Kathryn Lindblad42013</v>
      </c>
      <c r="B416" s="57">
        <f>IF(COUNTIF(MEMBERS[NameServiceStart],MEMBERS[[#This Row],[NameServiceStart]])=1,0,1)</f>
        <v>0</v>
      </c>
      <c r="C416" s="57">
        <f>IF(COUNTIF(MEMBERS[StaffMemberCode],MEMBERS[[#This Row],[StaffMemberCode]])=1,0,1)</f>
        <v>0</v>
      </c>
      <c r="D416" s="57">
        <f>IF(ISBLANK(MEMBERS[[#This Row],[PayrollLocation]]),0,IF(COUNTIF(SCHOOLS[SchoolCode],MEMBERS[[#This Row],[PayrollLocation]])=1,0,1))</f>
        <v>0</v>
      </c>
      <c r="E416" s="57">
        <f>IF(MEMBERS[[#This Row],[AvailableToAllSchools]]=FALSE,IF(ISBLANK(MEMBERS[[#This Row],[SchoolCodes]]),1,0),IF(MEMBERS[[#This Row],[AvailableToAllSchools]]=TRUE,IF(ISBLANK(MEMBERS[[#This Row],[SchoolCodes]]),0,1)))</f>
        <v>0</v>
      </c>
      <c r="F416" s="57">
        <f>IF(ISBLANK(MEMBERS[[#This Row],[ServiceEndDate]]),0,IF(MEMBERS[[#This Row],[ServiceStartDate]]&lt;MEMBERS[[#This Row],[ServiceEndDate]],0,1))</f>
        <v>0</v>
      </c>
      <c r="G416" s="57" cm="1">
        <f t="array" aca="1" ref="G416" ca="1">IF(CELL("format",MEMBERS[[#This Row],[ServiceStartDate]])="D1",0,1)+IF(CELL("format",MEMBERS[[#This Row],[ServiceEndDate]])="D1",0,1)</f>
        <v>0</v>
      </c>
      <c r="H41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16" s="57">
        <f>IF(LEN(MEMBERS[[#This Row],[StaffMemberCode]])&lt;100,0,1)</f>
        <v>0</v>
      </c>
      <c r="J416" s="57">
        <f>IF(LEN(MEMBERS[[#This Row],[Title]])&lt;100,0,1)</f>
        <v>0</v>
      </c>
      <c r="K416" s="57">
        <f>COUNTBLANK(MEMBERS[[#This Row],[StaffMemberCode]:[ServiceStartDate]])+COUNTBLANK(MEMBERS[[#This Row],[Apprenticeship]]:MEMBERS[[#This Row],[StaffMemberEnabled]])+COUNTBLANK(MEMBERS[[#This Row],[GenderCode]]:MEMBERS[[#This Row],[Casual]])</f>
        <v>0</v>
      </c>
      <c r="L416" s="57">
        <f>IF(SUBSTITUTE(TEXT(MEMBERS[[#This Row],[StaffMemberCode]],10)," ","")=TEXT(MEMBERS[[#This Row],[StaffMemberCode]],10),0,1)</f>
        <v>0</v>
      </c>
      <c r="M416" s="57">
        <f ca="1">SUM(MEMBERS[[#This Row],[Duplicate NameService Start]:[Space in Code]])</f>
        <v>0</v>
      </c>
      <c r="O416" s="15">
        <v>91073882</v>
      </c>
      <c r="P416" s="15" t="s">
        <v>3319</v>
      </c>
      <c r="Q416" s="15" t="s">
        <v>3719</v>
      </c>
      <c r="R416" s="133" t="str">
        <f>MEMBERS[[#This Row],[FirstName]]&amp;" "&amp;MEMBERS[[#This Row],[LastName]]</f>
        <v>Kathryn Lindblad</v>
      </c>
      <c r="S416" s="21">
        <v>42013</v>
      </c>
      <c r="U416" s="21">
        <v>26655</v>
      </c>
      <c r="V416" t="b">
        <v>0</v>
      </c>
      <c r="W416" t="b">
        <v>0</v>
      </c>
      <c r="X416" t="b">
        <v>0</v>
      </c>
      <c r="Y416" t="s">
        <v>2266</v>
      </c>
      <c r="Z416" t="b">
        <v>1</v>
      </c>
      <c r="AB416" t="s">
        <v>1571</v>
      </c>
      <c r="AC416" t="b">
        <v>0</v>
      </c>
    </row>
    <row r="417" spans="1:29" x14ac:dyDescent="0.3">
      <c r="A417" s="57" t="str">
        <f>MEMBERS[[#This Row],[Title]]&amp;MEMBERS[[#This Row],[ServiceStartDate]]</f>
        <v>Kathryn Tate44570</v>
      </c>
      <c r="B417" s="57">
        <f>IF(COUNTIF(MEMBERS[NameServiceStart],MEMBERS[[#This Row],[NameServiceStart]])=1,0,1)</f>
        <v>0</v>
      </c>
      <c r="C417" s="57">
        <f>IF(COUNTIF(MEMBERS[StaffMemberCode],MEMBERS[[#This Row],[StaffMemberCode]])=1,0,1)</f>
        <v>0</v>
      </c>
      <c r="D417" s="57">
        <f>IF(ISBLANK(MEMBERS[[#This Row],[PayrollLocation]]),0,IF(COUNTIF(SCHOOLS[SchoolCode],MEMBERS[[#This Row],[PayrollLocation]])=1,0,1))</f>
        <v>0</v>
      </c>
      <c r="E417" s="57">
        <f>IF(MEMBERS[[#This Row],[AvailableToAllSchools]]=FALSE,IF(ISBLANK(MEMBERS[[#This Row],[SchoolCodes]]),1,0),IF(MEMBERS[[#This Row],[AvailableToAllSchools]]=TRUE,IF(ISBLANK(MEMBERS[[#This Row],[SchoolCodes]]),0,1)))</f>
        <v>0</v>
      </c>
      <c r="F417" s="57">
        <f>IF(ISBLANK(MEMBERS[[#This Row],[ServiceEndDate]]),0,IF(MEMBERS[[#This Row],[ServiceStartDate]]&lt;MEMBERS[[#This Row],[ServiceEndDate]],0,1))</f>
        <v>0</v>
      </c>
      <c r="G417" s="57" cm="1">
        <f t="array" aca="1" ref="G417" ca="1">IF(CELL("format",MEMBERS[[#This Row],[ServiceStartDate]])="D1",0,1)+IF(CELL("format",MEMBERS[[#This Row],[ServiceEndDate]])="D1",0,1)</f>
        <v>0</v>
      </c>
      <c r="H41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17" s="57">
        <f>IF(LEN(MEMBERS[[#This Row],[StaffMemberCode]])&lt;100,0,1)</f>
        <v>0</v>
      </c>
      <c r="J417" s="57">
        <f>IF(LEN(MEMBERS[[#This Row],[Title]])&lt;100,0,1)</f>
        <v>0</v>
      </c>
      <c r="K417" s="57">
        <f>COUNTBLANK(MEMBERS[[#This Row],[StaffMemberCode]:[ServiceStartDate]])+COUNTBLANK(MEMBERS[[#This Row],[Apprenticeship]]:MEMBERS[[#This Row],[StaffMemberEnabled]])+COUNTBLANK(MEMBERS[[#This Row],[GenderCode]]:MEMBERS[[#This Row],[Casual]])</f>
        <v>0</v>
      </c>
      <c r="L417" s="57">
        <f>IF(SUBSTITUTE(TEXT(MEMBERS[[#This Row],[StaffMemberCode]],10)," ","")=TEXT(MEMBERS[[#This Row],[StaffMemberCode]],10),0,1)</f>
        <v>0</v>
      </c>
      <c r="M417" s="57">
        <f ca="1">SUM(MEMBERS[[#This Row],[Duplicate NameService Start]:[Space in Code]])</f>
        <v>0</v>
      </c>
      <c r="O417" s="15">
        <v>91073596</v>
      </c>
      <c r="P417" s="15" t="s">
        <v>3319</v>
      </c>
      <c r="Q417" s="15" t="s">
        <v>3720</v>
      </c>
      <c r="R417" s="133" t="str">
        <f>MEMBERS[[#This Row],[FirstName]]&amp;" "&amp;MEMBERS[[#This Row],[LastName]]</f>
        <v>Kathryn Tate</v>
      </c>
      <c r="S417" s="21">
        <v>44570</v>
      </c>
      <c r="U417" s="21">
        <v>23245</v>
      </c>
      <c r="V417" t="b">
        <v>0</v>
      </c>
      <c r="W417" t="b">
        <v>0</v>
      </c>
      <c r="X417" t="b">
        <v>0</v>
      </c>
      <c r="Y417" t="s">
        <v>2094</v>
      </c>
      <c r="Z417" t="b">
        <v>1</v>
      </c>
      <c r="AB417" t="s">
        <v>1571</v>
      </c>
      <c r="AC417" t="b">
        <v>1</v>
      </c>
    </row>
    <row r="418" spans="1:29" x14ac:dyDescent="0.3">
      <c r="A418" s="57" t="str">
        <f>MEMBERS[[#This Row],[Title]]&amp;MEMBERS[[#This Row],[ServiceStartDate]]</f>
        <v>Kathy Harris44299</v>
      </c>
      <c r="B418" s="57">
        <f>IF(COUNTIF(MEMBERS[NameServiceStart],MEMBERS[[#This Row],[NameServiceStart]])=1,0,1)</f>
        <v>0</v>
      </c>
      <c r="C418" s="57">
        <f>IF(COUNTIF(MEMBERS[StaffMemberCode],MEMBERS[[#This Row],[StaffMemberCode]])=1,0,1)</f>
        <v>0</v>
      </c>
      <c r="D418" s="57">
        <f>IF(ISBLANK(MEMBERS[[#This Row],[PayrollLocation]]),0,IF(COUNTIF(SCHOOLS[SchoolCode],MEMBERS[[#This Row],[PayrollLocation]])=1,0,1))</f>
        <v>0</v>
      </c>
      <c r="E418" s="57">
        <f>IF(MEMBERS[[#This Row],[AvailableToAllSchools]]=FALSE,IF(ISBLANK(MEMBERS[[#This Row],[SchoolCodes]]),1,0),IF(MEMBERS[[#This Row],[AvailableToAllSchools]]=TRUE,IF(ISBLANK(MEMBERS[[#This Row],[SchoolCodes]]),0,1)))</f>
        <v>0</v>
      </c>
      <c r="F418" s="57">
        <f>IF(ISBLANK(MEMBERS[[#This Row],[ServiceEndDate]]),0,IF(MEMBERS[[#This Row],[ServiceStartDate]]&lt;MEMBERS[[#This Row],[ServiceEndDate]],0,1))</f>
        <v>0</v>
      </c>
      <c r="G418" s="57" cm="1">
        <f t="array" aca="1" ref="G418" ca="1">IF(CELL("format",MEMBERS[[#This Row],[ServiceStartDate]])="D1",0,1)+IF(CELL("format",MEMBERS[[#This Row],[ServiceEndDate]])="D1",0,1)</f>
        <v>0</v>
      </c>
      <c r="H41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18" s="57">
        <f>IF(LEN(MEMBERS[[#This Row],[StaffMemberCode]])&lt;100,0,1)</f>
        <v>0</v>
      </c>
      <c r="J418" s="57">
        <f>IF(LEN(MEMBERS[[#This Row],[Title]])&lt;100,0,1)</f>
        <v>0</v>
      </c>
      <c r="K418" s="57">
        <f>COUNTBLANK(MEMBERS[[#This Row],[StaffMemberCode]:[ServiceStartDate]])+COUNTBLANK(MEMBERS[[#This Row],[Apprenticeship]]:MEMBERS[[#This Row],[StaffMemberEnabled]])+COUNTBLANK(MEMBERS[[#This Row],[GenderCode]]:MEMBERS[[#This Row],[Casual]])</f>
        <v>0</v>
      </c>
      <c r="L418" s="57">
        <f>IF(SUBSTITUTE(TEXT(MEMBERS[[#This Row],[StaffMemberCode]],10)," ","")=TEXT(MEMBERS[[#This Row],[StaffMemberCode]],10),0,1)</f>
        <v>0</v>
      </c>
      <c r="M418" s="57">
        <f ca="1">SUM(MEMBERS[[#This Row],[Duplicate NameService Start]:[Space in Code]])</f>
        <v>0</v>
      </c>
      <c r="O418" s="15">
        <v>91073433</v>
      </c>
      <c r="P418" s="15" t="s">
        <v>3320</v>
      </c>
      <c r="Q418" s="15" t="s">
        <v>3721</v>
      </c>
      <c r="R418" s="133" t="str">
        <f>MEMBERS[[#This Row],[FirstName]]&amp;" "&amp;MEMBERS[[#This Row],[LastName]]</f>
        <v>Kathy Harris</v>
      </c>
      <c r="S418" s="21">
        <v>44299</v>
      </c>
      <c r="U418" s="21">
        <v>24800</v>
      </c>
      <c r="V418" t="b">
        <v>0</v>
      </c>
      <c r="W418" t="b">
        <v>0</v>
      </c>
      <c r="X418" t="b">
        <v>0</v>
      </c>
      <c r="Y418" t="s">
        <v>2275</v>
      </c>
      <c r="Z418" t="b">
        <v>1</v>
      </c>
      <c r="AB418" t="s">
        <v>1571</v>
      </c>
      <c r="AC418" t="b">
        <v>0</v>
      </c>
    </row>
    <row r="419" spans="1:29" x14ac:dyDescent="0.3">
      <c r="A419" s="57" t="str">
        <f>MEMBERS[[#This Row],[Title]]&amp;MEMBERS[[#This Row],[ServiceStartDate]]</f>
        <v>Katie Hassall45215</v>
      </c>
      <c r="B419" s="57">
        <f>IF(COUNTIF(MEMBERS[NameServiceStart],MEMBERS[[#This Row],[NameServiceStart]])=1,0,1)</f>
        <v>0</v>
      </c>
      <c r="C419" s="57">
        <f>IF(COUNTIF(MEMBERS[StaffMemberCode],MEMBERS[[#This Row],[StaffMemberCode]])=1,0,1)</f>
        <v>0</v>
      </c>
      <c r="D419" s="57">
        <f>IF(ISBLANK(MEMBERS[[#This Row],[PayrollLocation]]),0,IF(COUNTIF(SCHOOLS[SchoolCode],MEMBERS[[#This Row],[PayrollLocation]])=1,0,1))</f>
        <v>0</v>
      </c>
      <c r="E419" s="57">
        <f>IF(MEMBERS[[#This Row],[AvailableToAllSchools]]=FALSE,IF(ISBLANK(MEMBERS[[#This Row],[SchoolCodes]]),1,0),IF(MEMBERS[[#This Row],[AvailableToAllSchools]]=TRUE,IF(ISBLANK(MEMBERS[[#This Row],[SchoolCodes]]),0,1)))</f>
        <v>0</v>
      </c>
      <c r="F419" s="57">
        <f>IF(ISBLANK(MEMBERS[[#This Row],[ServiceEndDate]]),0,IF(MEMBERS[[#This Row],[ServiceStartDate]]&lt;MEMBERS[[#This Row],[ServiceEndDate]],0,1))</f>
        <v>0</v>
      </c>
      <c r="G419" s="57" cm="1">
        <f t="array" aca="1" ref="G419" ca="1">IF(CELL("format",MEMBERS[[#This Row],[ServiceStartDate]])="D1",0,1)+IF(CELL("format",MEMBERS[[#This Row],[ServiceEndDate]])="D1",0,1)</f>
        <v>0</v>
      </c>
      <c r="H41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19" s="57">
        <f>IF(LEN(MEMBERS[[#This Row],[StaffMemberCode]])&lt;100,0,1)</f>
        <v>0</v>
      </c>
      <c r="J419" s="57">
        <f>IF(LEN(MEMBERS[[#This Row],[Title]])&lt;100,0,1)</f>
        <v>0</v>
      </c>
      <c r="K419" s="57">
        <f>COUNTBLANK(MEMBERS[[#This Row],[StaffMemberCode]:[ServiceStartDate]])+COUNTBLANK(MEMBERS[[#This Row],[Apprenticeship]]:MEMBERS[[#This Row],[StaffMemberEnabled]])+COUNTBLANK(MEMBERS[[#This Row],[GenderCode]]:MEMBERS[[#This Row],[Casual]])</f>
        <v>0</v>
      </c>
      <c r="L419" s="57">
        <f>IF(SUBSTITUTE(TEXT(MEMBERS[[#This Row],[StaffMemberCode]],10)," ","")=TEXT(MEMBERS[[#This Row],[StaffMemberCode]],10),0,1)</f>
        <v>0</v>
      </c>
      <c r="M419" s="57">
        <f ca="1">SUM(MEMBERS[[#This Row],[Duplicate NameService Start]:[Space in Code]])</f>
        <v>0</v>
      </c>
      <c r="O419" s="15">
        <v>10013228</v>
      </c>
      <c r="P419" s="15" t="s">
        <v>3321</v>
      </c>
      <c r="Q419" s="15" t="s">
        <v>3919</v>
      </c>
      <c r="R419" s="133" t="str">
        <f>MEMBERS[[#This Row],[FirstName]]&amp;" "&amp;MEMBERS[[#This Row],[LastName]]</f>
        <v>Katie Hassall</v>
      </c>
      <c r="S419" s="21">
        <v>45215</v>
      </c>
      <c r="U419" s="21">
        <v>33054</v>
      </c>
      <c r="V419" s="138" t="b">
        <v>0</v>
      </c>
      <c r="W419" t="b">
        <v>0</v>
      </c>
      <c r="X419" t="b">
        <v>0</v>
      </c>
      <c r="Y419" t="s">
        <v>2126</v>
      </c>
      <c r="Z419" t="b">
        <v>1</v>
      </c>
      <c r="AB419" t="s">
        <v>1571</v>
      </c>
      <c r="AC419" t="b">
        <v>0</v>
      </c>
    </row>
    <row r="420" spans="1:29" x14ac:dyDescent="0.3">
      <c r="A420" s="57" t="str">
        <f>MEMBERS[[#This Row],[Title]]&amp;MEMBERS[[#This Row],[ServiceStartDate]]</f>
        <v>Katie Maclellan44851</v>
      </c>
      <c r="B420" s="57">
        <f>IF(COUNTIF(MEMBERS[NameServiceStart],MEMBERS[[#This Row],[NameServiceStart]])=1,0,1)</f>
        <v>0</v>
      </c>
      <c r="C420" s="57">
        <f>IF(COUNTIF(MEMBERS[StaffMemberCode],MEMBERS[[#This Row],[StaffMemberCode]])=1,0,1)</f>
        <v>0</v>
      </c>
      <c r="D420" s="57">
        <f>IF(ISBLANK(MEMBERS[[#This Row],[PayrollLocation]]),0,IF(COUNTIF(SCHOOLS[SchoolCode],MEMBERS[[#This Row],[PayrollLocation]])=1,0,1))</f>
        <v>0</v>
      </c>
      <c r="E420" s="57">
        <f>IF(MEMBERS[[#This Row],[AvailableToAllSchools]]=FALSE,IF(ISBLANK(MEMBERS[[#This Row],[SchoolCodes]]),1,0),IF(MEMBERS[[#This Row],[AvailableToAllSchools]]=TRUE,IF(ISBLANK(MEMBERS[[#This Row],[SchoolCodes]]),0,1)))</f>
        <v>0</v>
      </c>
      <c r="F420" s="57">
        <f>IF(ISBLANK(MEMBERS[[#This Row],[ServiceEndDate]]),0,IF(MEMBERS[[#This Row],[ServiceStartDate]]&lt;MEMBERS[[#This Row],[ServiceEndDate]],0,1))</f>
        <v>0</v>
      </c>
      <c r="G420" s="57" cm="1">
        <f t="array" aca="1" ref="G420" ca="1">IF(CELL("format",MEMBERS[[#This Row],[ServiceStartDate]])="D1",0,1)+IF(CELL("format",MEMBERS[[#This Row],[ServiceEndDate]])="D1",0,1)</f>
        <v>0</v>
      </c>
      <c r="H42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20" s="57">
        <f>IF(LEN(MEMBERS[[#This Row],[StaffMemberCode]])&lt;100,0,1)</f>
        <v>0</v>
      </c>
      <c r="J420" s="57">
        <f>IF(LEN(MEMBERS[[#This Row],[Title]])&lt;100,0,1)</f>
        <v>0</v>
      </c>
      <c r="K420" s="57">
        <f>COUNTBLANK(MEMBERS[[#This Row],[StaffMemberCode]:[ServiceStartDate]])+COUNTBLANK(MEMBERS[[#This Row],[Apprenticeship]]:MEMBERS[[#This Row],[StaffMemberEnabled]])+COUNTBLANK(MEMBERS[[#This Row],[GenderCode]]:MEMBERS[[#This Row],[Casual]])</f>
        <v>0</v>
      </c>
      <c r="L420" s="57">
        <f>IF(SUBSTITUTE(TEXT(MEMBERS[[#This Row],[StaffMemberCode]],10)," ","")=TEXT(MEMBERS[[#This Row],[StaffMemberCode]],10),0,1)</f>
        <v>0</v>
      </c>
      <c r="M420" s="57">
        <f ca="1">SUM(MEMBERS[[#This Row],[Duplicate NameService Start]:[Space in Code]])</f>
        <v>0</v>
      </c>
      <c r="O420" s="15">
        <v>91073603</v>
      </c>
      <c r="P420" s="15" t="s">
        <v>3321</v>
      </c>
      <c r="Q420" s="15" t="s">
        <v>3722</v>
      </c>
      <c r="R420" s="133" t="str">
        <f>MEMBERS[[#This Row],[FirstName]]&amp;" "&amp;MEMBERS[[#This Row],[LastName]]</f>
        <v>Katie Maclellan</v>
      </c>
      <c r="S420" s="21">
        <v>44851</v>
      </c>
      <c r="U420" s="21">
        <v>28595</v>
      </c>
      <c r="V420" t="b">
        <v>0</v>
      </c>
      <c r="W420" t="b">
        <v>0</v>
      </c>
      <c r="X420" t="b">
        <v>0</v>
      </c>
      <c r="Y420" t="s">
        <v>2094</v>
      </c>
      <c r="Z420" t="b">
        <v>1</v>
      </c>
      <c r="AB420" t="s">
        <v>1571</v>
      </c>
      <c r="AC420" t="b">
        <v>0</v>
      </c>
    </row>
    <row r="421" spans="1:29" x14ac:dyDescent="0.3">
      <c r="A421" s="57" t="str">
        <f>MEMBERS[[#This Row],[Title]]&amp;MEMBERS[[#This Row],[ServiceStartDate]]</f>
        <v>Katie McCulloch-Robinson45200</v>
      </c>
      <c r="B421" s="57">
        <f>IF(COUNTIF(MEMBERS[NameServiceStart],MEMBERS[[#This Row],[NameServiceStart]])=1,0,1)</f>
        <v>0</v>
      </c>
      <c r="C421" s="57">
        <f>IF(COUNTIF(MEMBERS[StaffMemberCode],MEMBERS[[#This Row],[StaffMemberCode]])=1,0,1)</f>
        <v>0</v>
      </c>
      <c r="D421" s="57">
        <f>IF(ISBLANK(MEMBERS[[#This Row],[PayrollLocation]]),0,IF(COUNTIF(SCHOOLS[SchoolCode],MEMBERS[[#This Row],[PayrollLocation]])=1,0,1))</f>
        <v>0</v>
      </c>
      <c r="E421" s="57">
        <f>IF(MEMBERS[[#This Row],[AvailableToAllSchools]]=FALSE,IF(ISBLANK(MEMBERS[[#This Row],[SchoolCodes]]),1,0),IF(MEMBERS[[#This Row],[AvailableToAllSchools]]=TRUE,IF(ISBLANK(MEMBERS[[#This Row],[SchoolCodes]]),0,1)))</f>
        <v>0</v>
      </c>
      <c r="F421" s="57">
        <f>IF(ISBLANK(MEMBERS[[#This Row],[ServiceEndDate]]),0,IF(MEMBERS[[#This Row],[ServiceStartDate]]&lt;MEMBERS[[#This Row],[ServiceEndDate]],0,1))</f>
        <v>0</v>
      </c>
      <c r="G421" s="57" cm="1">
        <f t="array" aca="1" ref="G421" ca="1">IF(CELL("format",MEMBERS[[#This Row],[ServiceStartDate]])="D1",0,1)+IF(CELL("format",MEMBERS[[#This Row],[ServiceEndDate]])="D1",0,1)</f>
        <v>0</v>
      </c>
      <c r="H42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21" s="57">
        <f>IF(LEN(MEMBERS[[#This Row],[StaffMemberCode]])&lt;100,0,1)</f>
        <v>0</v>
      </c>
      <c r="J421" s="57">
        <f>IF(LEN(MEMBERS[[#This Row],[Title]])&lt;100,0,1)</f>
        <v>0</v>
      </c>
      <c r="K421" s="57">
        <f>COUNTBLANK(MEMBERS[[#This Row],[StaffMemberCode]:[ServiceStartDate]])+COUNTBLANK(MEMBERS[[#This Row],[Apprenticeship]]:MEMBERS[[#This Row],[StaffMemberEnabled]])+COUNTBLANK(MEMBERS[[#This Row],[GenderCode]]:MEMBERS[[#This Row],[Casual]])</f>
        <v>0</v>
      </c>
      <c r="L421" s="57">
        <f>IF(SUBSTITUTE(TEXT(MEMBERS[[#This Row],[StaffMemberCode]],10)," ","")=TEXT(MEMBERS[[#This Row],[StaffMemberCode]],10),0,1)</f>
        <v>0</v>
      </c>
      <c r="M421" s="57">
        <f ca="1">SUM(MEMBERS[[#This Row],[Duplicate NameService Start]:[Space in Code]])</f>
        <v>0</v>
      </c>
      <c r="O421" s="15">
        <v>10014575</v>
      </c>
      <c r="P421" s="15" t="s">
        <v>3321</v>
      </c>
      <c r="Q421" s="15" t="s">
        <v>4154</v>
      </c>
      <c r="R421" s="133" t="str">
        <f>MEMBERS[[#This Row],[FirstName]]&amp;" "&amp;MEMBERS[[#This Row],[LastName]]</f>
        <v>Katie McCulloch-Robinson</v>
      </c>
      <c r="S421" s="21">
        <v>45200</v>
      </c>
      <c r="U421" s="21">
        <v>32172</v>
      </c>
      <c r="V421" s="138" t="b">
        <v>0</v>
      </c>
      <c r="W421" t="b">
        <v>0</v>
      </c>
      <c r="X421" t="b">
        <v>0</v>
      </c>
      <c r="Y421" t="s">
        <v>2126</v>
      </c>
      <c r="Z421" t="b">
        <v>1</v>
      </c>
      <c r="AB421" t="s">
        <v>1571</v>
      </c>
      <c r="AC421" t="b">
        <v>0</v>
      </c>
    </row>
    <row r="422" spans="1:29" x14ac:dyDescent="0.3">
      <c r="A422" s="57" t="str">
        <f>MEMBERS[[#This Row],[Title]]&amp;MEMBERS[[#This Row],[ServiceStartDate]]</f>
        <v>Katie Southerton44596</v>
      </c>
      <c r="B422" s="57">
        <f>IF(COUNTIF(MEMBERS[NameServiceStart],MEMBERS[[#This Row],[NameServiceStart]])=1,0,1)</f>
        <v>0</v>
      </c>
      <c r="C422" s="57">
        <f>IF(COUNTIF(MEMBERS[StaffMemberCode],MEMBERS[[#This Row],[StaffMemberCode]])=1,0,1)</f>
        <v>0</v>
      </c>
      <c r="D422" s="57">
        <f>IF(ISBLANK(MEMBERS[[#This Row],[PayrollLocation]]),0,IF(COUNTIF(SCHOOLS[SchoolCode],MEMBERS[[#This Row],[PayrollLocation]])=1,0,1))</f>
        <v>0</v>
      </c>
      <c r="E422" s="57">
        <f>IF(MEMBERS[[#This Row],[AvailableToAllSchools]]=FALSE,IF(ISBLANK(MEMBERS[[#This Row],[SchoolCodes]]),1,0),IF(MEMBERS[[#This Row],[AvailableToAllSchools]]=TRUE,IF(ISBLANK(MEMBERS[[#This Row],[SchoolCodes]]),0,1)))</f>
        <v>0</v>
      </c>
      <c r="F422" s="57">
        <f>IF(ISBLANK(MEMBERS[[#This Row],[ServiceEndDate]]),0,IF(MEMBERS[[#This Row],[ServiceStartDate]]&lt;MEMBERS[[#This Row],[ServiceEndDate]],0,1))</f>
        <v>0</v>
      </c>
      <c r="G422" s="57" cm="1">
        <f t="array" aca="1" ref="G422" ca="1">IF(CELL("format",MEMBERS[[#This Row],[ServiceStartDate]])="D1",0,1)+IF(CELL("format",MEMBERS[[#This Row],[ServiceEndDate]])="D1",0,1)</f>
        <v>0</v>
      </c>
      <c r="H42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22" s="57">
        <f>IF(LEN(MEMBERS[[#This Row],[StaffMemberCode]])&lt;100,0,1)</f>
        <v>0</v>
      </c>
      <c r="J422" s="57">
        <f>IF(LEN(MEMBERS[[#This Row],[Title]])&lt;100,0,1)</f>
        <v>0</v>
      </c>
      <c r="K422" s="57">
        <f>COUNTBLANK(MEMBERS[[#This Row],[StaffMemberCode]:[ServiceStartDate]])+COUNTBLANK(MEMBERS[[#This Row],[Apprenticeship]]:MEMBERS[[#This Row],[StaffMemberEnabled]])+COUNTBLANK(MEMBERS[[#This Row],[GenderCode]]:MEMBERS[[#This Row],[Casual]])</f>
        <v>0</v>
      </c>
      <c r="L422" s="57">
        <f>IF(SUBSTITUTE(TEXT(MEMBERS[[#This Row],[StaffMemberCode]],10)," ","")=TEXT(MEMBERS[[#This Row],[StaffMemberCode]],10),0,1)</f>
        <v>0</v>
      </c>
      <c r="M422" s="57">
        <f ca="1">SUM(MEMBERS[[#This Row],[Duplicate NameService Start]:[Space in Code]])</f>
        <v>0</v>
      </c>
      <c r="O422" s="15">
        <v>10009818</v>
      </c>
      <c r="P422" s="15" t="s">
        <v>3321</v>
      </c>
      <c r="Q422" s="15" t="s">
        <v>4084</v>
      </c>
      <c r="R422" s="133" t="str">
        <f>MEMBERS[[#This Row],[FirstName]]&amp;" "&amp;MEMBERS[[#This Row],[LastName]]</f>
        <v>Katie Southerton</v>
      </c>
      <c r="S422" s="21">
        <v>44596</v>
      </c>
      <c r="U422" s="21">
        <v>27862</v>
      </c>
      <c r="V422" s="138" t="b">
        <v>0</v>
      </c>
      <c r="W422" t="b">
        <v>0</v>
      </c>
      <c r="X422" t="b">
        <v>0</v>
      </c>
      <c r="Y422" t="s">
        <v>2126</v>
      </c>
      <c r="Z422" t="b">
        <v>1</v>
      </c>
      <c r="AB422" t="s">
        <v>1571</v>
      </c>
      <c r="AC422" t="b">
        <v>0</v>
      </c>
    </row>
    <row r="423" spans="1:29" x14ac:dyDescent="0.3">
      <c r="A423" s="57" t="str">
        <f>MEMBERS[[#This Row],[Title]]&amp;MEMBERS[[#This Row],[ServiceStartDate]]</f>
        <v>Katy Andrews44744</v>
      </c>
      <c r="B423" s="57">
        <f>IF(COUNTIF(MEMBERS[NameServiceStart],MEMBERS[[#This Row],[NameServiceStart]])=1,0,1)</f>
        <v>0</v>
      </c>
      <c r="C423" s="57">
        <f>IF(COUNTIF(MEMBERS[StaffMemberCode],MEMBERS[[#This Row],[StaffMemberCode]])=1,0,1)</f>
        <v>0</v>
      </c>
      <c r="D423" s="57">
        <f>IF(ISBLANK(MEMBERS[[#This Row],[PayrollLocation]]),0,IF(COUNTIF(SCHOOLS[SchoolCode],MEMBERS[[#This Row],[PayrollLocation]])=1,0,1))</f>
        <v>0</v>
      </c>
      <c r="E423" s="57">
        <f>IF(MEMBERS[[#This Row],[AvailableToAllSchools]]=FALSE,IF(ISBLANK(MEMBERS[[#This Row],[SchoolCodes]]),1,0),IF(MEMBERS[[#This Row],[AvailableToAllSchools]]=TRUE,IF(ISBLANK(MEMBERS[[#This Row],[SchoolCodes]]),0,1)))</f>
        <v>0</v>
      </c>
      <c r="F423" s="57">
        <f>IF(ISBLANK(MEMBERS[[#This Row],[ServiceEndDate]]),0,IF(MEMBERS[[#This Row],[ServiceStartDate]]&lt;MEMBERS[[#This Row],[ServiceEndDate]],0,1))</f>
        <v>0</v>
      </c>
      <c r="G423" s="57" cm="1">
        <f t="array" aca="1" ref="G423" ca="1">IF(CELL("format",MEMBERS[[#This Row],[ServiceStartDate]])="D1",0,1)+IF(CELL("format",MEMBERS[[#This Row],[ServiceEndDate]])="D1",0,1)</f>
        <v>0</v>
      </c>
      <c r="H42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23" s="57">
        <f>IF(LEN(MEMBERS[[#This Row],[StaffMemberCode]])&lt;100,0,1)</f>
        <v>0</v>
      </c>
      <c r="J423" s="57">
        <f>IF(LEN(MEMBERS[[#This Row],[Title]])&lt;100,0,1)</f>
        <v>0</v>
      </c>
      <c r="K423" s="57">
        <f>COUNTBLANK(MEMBERS[[#This Row],[StaffMemberCode]:[ServiceStartDate]])+COUNTBLANK(MEMBERS[[#This Row],[Apprenticeship]]:MEMBERS[[#This Row],[StaffMemberEnabled]])+COUNTBLANK(MEMBERS[[#This Row],[GenderCode]]:MEMBERS[[#This Row],[Casual]])</f>
        <v>0</v>
      </c>
      <c r="L423" s="57">
        <f>IF(SUBSTITUTE(TEXT(MEMBERS[[#This Row],[StaffMemberCode]],10)," ","")=TEXT(MEMBERS[[#This Row],[StaffMemberCode]],10),0,1)</f>
        <v>0</v>
      </c>
      <c r="M423" s="57">
        <f ca="1">SUM(MEMBERS[[#This Row],[Duplicate NameService Start]:[Space in Code]])</f>
        <v>0</v>
      </c>
      <c r="O423" s="15">
        <v>91073895</v>
      </c>
      <c r="P423" s="15" t="s">
        <v>3322</v>
      </c>
      <c r="Q423" s="15" t="s">
        <v>3723</v>
      </c>
      <c r="R423" s="133" t="str">
        <f>MEMBERS[[#This Row],[FirstName]]&amp;" "&amp;MEMBERS[[#This Row],[LastName]]</f>
        <v>Katy Andrews</v>
      </c>
      <c r="S423" s="21">
        <v>44744</v>
      </c>
      <c r="U423" s="21">
        <v>34291</v>
      </c>
      <c r="V423" t="b">
        <v>0</v>
      </c>
      <c r="W423" t="b">
        <v>0</v>
      </c>
      <c r="X423" t="b">
        <v>0</v>
      </c>
      <c r="Y423" t="s">
        <v>2266</v>
      </c>
      <c r="Z423" t="b">
        <v>1</v>
      </c>
      <c r="AB423" t="s">
        <v>1571</v>
      </c>
      <c r="AC423" t="b">
        <v>0</v>
      </c>
    </row>
    <row r="424" spans="1:29" x14ac:dyDescent="0.3">
      <c r="A424" s="57" t="str">
        <f>MEMBERS[[#This Row],[Title]]&amp;MEMBERS[[#This Row],[ServiceStartDate]]</f>
        <v>Kayleigh Birchall45537</v>
      </c>
      <c r="B424" s="57">
        <f>IF(COUNTIF(MEMBERS[NameServiceStart],MEMBERS[[#This Row],[NameServiceStart]])=1,0,1)</f>
        <v>0</v>
      </c>
      <c r="C424" s="57">
        <f>IF(COUNTIF(MEMBERS[StaffMemberCode],MEMBERS[[#This Row],[StaffMemberCode]])=1,0,1)</f>
        <v>0</v>
      </c>
      <c r="D424" s="57">
        <f>IF(ISBLANK(MEMBERS[[#This Row],[PayrollLocation]]),0,IF(COUNTIF(SCHOOLS[SchoolCode],MEMBERS[[#This Row],[PayrollLocation]])=1,0,1))</f>
        <v>0</v>
      </c>
      <c r="E424" s="57">
        <f>IF(MEMBERS[[#This Row],[AvailableToAllSchools]]=FALSE,IF(ISBLANK(MEMBERS[[#This Row],[SchoolCodes]]),1,0),IF(MEMBERS[[#This Row],[AvailableToAllSchools]]=TRUE,IF(ISBLANK(MEMBERS[[#This Row],[SchoolCodes]]),0,1)))</f>
        <v>0</v>
      </c>
      <c r="F424" s="57">
        <f>IF(ISBLANK(MEMBERS[[#This Row],[ServiceEndDate]]),0,IF(MEMBERS[[#This Row],[ServiceStartDate]]&lt;MEMBERS[[#This Row],[ServiceEndDate]],0,1))</f>
        <v>0</v>
      </c>
      <c r="G424" s="57" cm="1">
        <f t="array" aca="1" ref="G424" ca="1">IF(CELL("format",MEMBERS[[#This Row],[ServiceStartDate]])="D1",0,1)+IF(CELL("format",MEMBERS[[#This Row],[ServiceEndDate]])="D1",0,1)</f>
        <v>0</v>
      </c>
      <c r="H42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24" s="57">
        <f>IF(LEN(MEMBERS[[#This Row],[StaffMemberCode]])&lt;100,0,1)</f>
        <v>0</v>
      </c>
      <c r="J424" s="57">
        <f>IF(LEN(MEMBERS[[#This Row],[Title]])&lt;100,0,1)</f>
        <v>0</v>
      </c>
      <c r="K424" s="57">
        <f>COUNTBLANK(MEMBERS[[#This Row],[StaffMemberCode]:[ServiceStartDate]])+COUNTBLANK(MEMBERS[[#This Row],[Apprenticeship]]:MEMBERS[[#This Row],[StaffMemberEnabled]])+COUNTBLANK(MEMBERS[[#This Row],[GenderCode]]:MEMBERS[[#This Row],[Casual]])</f>
        <v>0</v>
      </c>
      <c r="L424" s="57">
        <f>IF(SUBSTITUTE(TEXT(MEMBERS[[#This Row],[StaffMemberCode]],10)," ","")=TEXT(MEMBERS[[#This Row],[StaffMemberCode]],10),0,1)</f>
        <v>0</v>
      </c>
      <c r="M424" s="57">
        <f ca="1">SUM(MEMBERS[[#This Row],[Duplicate NameService Start]:[Space in Code]])</f>
        <v>0</v>
      </c>
      <c r="O424" s="15">
        <v>91324404</v>
      </c>
      <c r="P424" s="15" t="s">
        <v>3323</v>
      </c>
      <c r="Q424" s="15" t="s">
        <v>3724</v>
      </c>
      <c r="R424" s="133" t="str">
        <f>MEMBERS[[#This Row],[FirstName]]&amp;" "&amp;MEMBERS[[#This Row],[LastName]]</f>
        <v>Kayleigh Birchall</v>
      </c>
      <c r="S424" s="21">
        <v>45537</v>
      </c>
      <c r="U424" s="21">
        <v>38418</v>
      </c>
      <c r="V424" t="b">
        <v>0</v>
      </c>
      <c r="W424" t="b">
        <v>0</v>
      </c>
      <c r="X424" t="b">
        <v>0</v>
      </c>
      <c r="Y424" t="s">
        <v>2094</v>
      </c>
      <c r="Z424" t="b">
        <v>1</v>
      </c>
      <c r="AB424" t="s">
        <v>1571</v>
      </c>
      <c r="AC424" t="b">
        <v>0</v>
      </c>
    </row>
    <row r="425" spans="1:29" x14ac:dyDescent="0.3">
      <c r="A425" s="57" t="str">
        <f>MEMBERS[[#This Row],[Title]]&amp;MEMBERS[[#This Row],[ServiceStartDate]]</f>
        <v>Keira D'Angelo43109</v>
      </c>
      <c r="B425" s="57">
        <f>IF(COUNTIF(MEMBERS[NameServiceStart],MEMBERS[[#This Row],[NameServiceStart]])=1,0,1)</f>
        <v>0</v>
      </c>
      <c r="C425" s="57">
        <f>IF(COUNTIF(MEMBERS[StaffMemberCode],MEMBERS[[#This Row],[StaffMemberCode]])=1,0,1)</f>
        <v>0</v>
      </c>
      <c r="D425" s="57">
        <f>IF(ISBLANK(MEMBERS[[#This Row],[PayrollLocation]]),0,IF(COUNTIF(SCHOOLS[SchoolCode],MEMBERS[[#This Row],[PayrollLocation]])=1,0,1))</f>
        <v>0</v>
      </c>
      <c r="E425" s="57">
        <f>IF(MEMBERS[[#This Row],[AvailableToAllSchools]]=FALSE,IF(ISBLANK(MEMBERS[[#This Row],[SchoolCodes]]),1,0),IF(MEMBERS[[#This Row],[AvailableToAllSchools]]=TRUE,IF(ISBLANK(MEMBERS[[#This Row],[SchoolCodes]]),0,1)))</f>
        <v>0</v>
      </c>
      <c r="F425" s="57">
        <f>IF(ISBLANK(MEMBERS[[#This Row],[ServiceEndDate]]),0,IF(MEMBERS[[#This Row],[ServiceStartDate]]&lt;MEMBERS[[#This Row],[ServiceEndDate]],0,1))</f>
        <v>0</v>
      </c>
      <c r="G425" s="57" cm="1">
        <f t="array" aca="1" ref="G425" ca="1">IF(CELL("format",MEMBERS[[#This Row],[ServiceStartDate]])="D1",0,1)+IF(CELL("format",MEMBERS[[#This Row],[ServiceEndDate]])="D1",0,1)</f>
        <v>0</v>
      </c>
      <c r="H42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25" s="57">
        <f>IF(LEN(MEMBERS[[#This Row],[StaffMemberCode]])&lt;100,0,1)</f>
        <v>0</v>
      </c>
      <c r="J425" s="57">
        <f>IF(LEN(MEMBERS[[#This Row],[Title]])&lt;100,0,1)</f>
        <v>0</v>
      </c>
      <c r="K425" s="57">
        <f>COUNTBLANK(MEMBERS[[#This Row],[StaffMemberCode]:[ServiceStartDate]])+COUNTBLANK(MEMBERS[[#This Row],[Apprenticeship]]:MEMBERS[[#This Row],[StaffMemberEnabled]])+COUNTBLANK(MEMBERS[[#This Row],[GenderCode]]:MEMBERS[[#This Row],[Casual]])</f>
        <v>0</v>
      </c>
      <c r="L425" s="57">
        <f>IF(SUBSTITUTE(TEXT(MEMBERS[[#This Row],[StaffMemberCode]],10)," ","")=TEXT(MEMBERS[[#This Row],[StaffMemberCode]],10),0,1)</f>
        <v>0</v>
      </c>
      <c r="M425" s="57">
        <f ca="1">SUM(MEMBERS[[#This Row],[Duplicate NameService Start]:[Space in Code]])</f>
        <v>0</v>
      </c>
      <c r="O425" s="15">
        <v>91073839</v>
      </c>
      <c r="P425" s="15" t="s">
        <v>3324</v>
      </c>
      <c r="Q425" s="15" t="s">
        <v>3725</v>
      </c>
      <c r="R425" s="133" t="str">
        <f>MEMBERS[[#This Row],[FirstName]]&amp;" "&amp;MEMBERS[[#This Row],[LastName]]</f>
        <v>Keira D'Angelo</v>
      </c>
      <c r="S425" s="21">
        <v>43109</v>
      </c>
      <c r="U425" s="21">
        <v>35156</v>
      </c>
      <c r="V425" t="b">
        <v>0</v>
      </c>
      <c r="W425" t="b">
        <v>0</v>
      </c>
      <c r="X425" t="b">
        <v>0</v>
      </c>
      <c r="Y425" t="s">
        <v>2082</v>
      </c>
      <c r="Z425" t="b">
        <v>1</v>
      </c>
      <c r="AB425" t="s">
        <v>1571</v>
      </c>
      <c r="AC425" t="b">
        <v>0</v>
      </c>
    </row>
    <row r="426" spans="1:29" x14ac:dyDescent="0.3">
      <c r="A426" s="57" t="str">
        <f>MEMBERS[[#This Row],[Title]]&amp;MEMBERS[[#This Row],[ServiceStartDate]]</f>
        <v>Keira Lancaster42013</v>
      </c>
      <c r="B426" s="57">
        <f>IF(COUNTIF(MEMBERS[NameServiceStart],MEMBERS[[#This Row],[NameServiceStart]])=1,0,1)</f>
        <v>0</v>
      </c>
      <c r="C426" s="57">
        <f>IF(COUNTIF(MEMBERS[StaffMemberCode],MEMBERS[[#This Row],[StaffMemberCode]])=1,0,1)</f>
        <v>0</v>
      </c>
      <c r="D426" s="57">
        <f>IF(ISBLANK(MEMBERS[[#This Row],[PayrollLocation]]),0,IF(COUNTIF(SCHOOLS[SchoolCode],MEMBERS[[#This Row],[PayrollLocation]])=1,0,1))</f>
        <v>0</v>
      </c>
      <c r="E426" s="57">
        <f>IF(MEMBERS[[#This Row],[AvailableToAllSchools]]=FALSE,IF(ISBLANK(MEMBERS[[#This Row],[SchoolCodes]]),1,0),IF(MEMBERS[[#This Row],[AvailableToAllSchools]]=TRUE,IF(ISBLANK(MEMBERS[[#This Row],[SchoolCodes]]),0,1)))</f>
        <v>0</v>
      </c>
      <c r="F426" s="57">
        <f>IF(ISBLANK(MEMBERS[[#This Row],[ServiceEndDate]]),0,IF(MEMBERS[[#This Row],[ServiceStartDate]]&lt;MEMBERS[[#This Row],[ServiceEndDate]],0,1))</f>
        <v>0</v>
      </c>
      <c r="G426" s="57" cm="1">
        <f t="array" aca="1" ref="G426" ca="1">IF(CELL("format",MEMBERS[[#This Row],[ServiceStartDate]])="D1",0,1)+IF(CELL("format",MEMBERS[[#This Row],[ServiceEndDate]])="D1",0,1)</f>
        <v>0</v>
      </c>
      <c r="H42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26" s="57">
        <f>IF(LEN(MEMBERS[[#This Row],[StaffMemberCode]])&lt;100,0,1)</f>
        <v>0</v>
      </c>
      <c r="J426" s="57">
        <f>IF(LEN(MEMBERS[[#This Row],[Title]])&lt;100,0,1)</f>
        <v>0</v>
      </c>
      <c r="K426" s="57">
        <f>COUNTBLANK(MEMBERS[[#This Row],[StaffMemberCode]:[ServiceStartDate]])+COUNTBLANK(MEMBERS[[#This Row],[Apprenticeship]]:MEMBERS[[#This Row],[StaffMemberEnabled]])+COUNTBLANK(MEMBERS[[#This Row],[GenderCode]]:MEMBERS[[#This Row],[Casual]])</f>
        <v>0</v>
      </c>
      <c r="L426" s="57">
        <f>IF(SUBSTITUTE(TEXT(MEMBERS[[#This Row],[StaffMemberCode]],10)," ","")=TEXT(MEMBERS[[#This Row],[StaffMemberCode]],10),0,1)</f>
        <v>0</v>
      </c>
      <c r="M426" s="57">
        <f ca="1">SUM(MEMBERS[[#This Row],[Duplicate NameService Start]:[Space in Code]])</f>
        <v>0</v>
      </c>
      <c r="O426" s="15">
        <v>91073571</v>
      </c>
      <c r="P426" s="15" t="s">
        <v>3324</v>
      </c>
      <c r="Q426" s="15" t="s">
        <v>3726</v>
      </c>
      <c r="R426" s="133" t="str">
        <f>MEMBERS[[#This Row],[FirstName]]&amp;" "&amp;MEMBERS[[#This Row],[LastName]]</f>
        <v>Keira Lancaster</v>
      </c>
      <c r="S426" s="21">
        <v>42013</v>
      </c>
      <c r="U426" s="21">
        <v>33594</v>
      </c>
      <c r="V426" t="b">
        <v>0</v>
      </c>
      <c r="W426" t="b">
        <v>0</v>
      </c>
      <c r="X426" t="b">
        <v>0</v>
      </c>
      <c r="Y426" t="s">
        <v>2094</v>
      </c>
      <c r="Z426" t="b">
        <v>1</v>
      </c>
      <c r="AB426" t="s">
        <v>1571</v>
      </c>
      <c r="AC426" t="b">
        <v>0</v>
      </c>
    </row>
    <row r="427" spans="1:29" x14ac:dyDescent="0.3">
      <c r="A427" s="57" t="str">
        <f>MEMBERS[[#This Row],[Title]]&amp;MEMBERS[[#This Row],[ServiceStartDate]]</f>
        <v>Kelly Barker44570</v>
      </c>
      <c r="B427" s="57">
        <f>IF(COUNTIF(MEMBERS[NameServiceStart],MEMBERS[[#This Row],[NameServiceStart]])=1,0,1)</f>
        <v>0</v>
      </c>
      <c r="C427" s="57">
        <f>IF(COUNTIF(MEMBERS[StaffMemberCode],MEMBERS[[#This Row],[StaffMemberCode]])=1,0,1)</f>
        <v>0</v>
      </c>
      <c r="D427" s="57">
        <f>IF(ISBLANK(MEMBERS[[#This Row],[PayrollLocation]]),0,IF(COUNTIF(SCHOOLS[SchoolCode],MEMBERS[[#This Row],[PayrollLocation]])=1,0,1))</f>
        <v>0</v>
      </c>
      <c r="E427" s="57">
        <f>IF(MEMBERS[[#This Row],[AvailableToAllSchools]]=FALSE,IF(ISBLANK(MEMBERS[[#This Row],[SchoolCodes]]),1,0),IF(MEMBERS[[#This Row],[AvailableToAllSchools]]=TRUE,IF(ISBLANK(MEMBERS[[#This Row],[SchoolCodes]]),0,1)))</f>
        <v>0</v>
      </c>
      <c r="F427" s="57">
        <f>IF(ISBLANK(MEMBERS[[#This Row],[ServiceEndDate]]),0,IF(MEMBERS[[#This Row],[ServiceStartDate]]&lt;MEMBERS[[#This Row],[ServiceEndDate]],0,1))</f>
        <v>0</v>
      </c>
      <c r="G427" s="57" cm="1">
        <f t="array" aca="1" ref="G427" ca="1">IF(CELL("format",MEMBERS[[#This Row],[ServiceStartDate]])="D1",0,1)+IF(CELL("format",MEMBERS[[#This Row],[ServiceEndDate]])="D1",0,1)</f>
        <v>0</v>
      </c>
      <c r="H42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27" s="57">
        <f>IF(LEN(MEMBERS[[#This Row],[StaffMemberCode]])&lt;100,0,1)</f>
        <v>0</v>
      </c>
      <c r="J427" s="57">
        <f>IF(LEN(MEMBERS[[#This Row],[Title]])&lt;100,0,1)</f>
        <v>0</v>
      </c>
      <c r="K427" s="57">
        <f>COUNTBLANK(MEMBERS[[#This Row],[StaffMemberCode]:[ServiceStartDate]])+COUNTBLANK(MEMBERS[[#This Row],[Apprenticeship]]:MEMBERS[[#This Row],[StaffMemberEnabled]])+COUNTBLANK(MEMBERS[[#This Row],[GenderCode]]:MEMBERS[[#This Row],[Casual]])</f>
        <v>0</v>
      </c>
      <c r="L427" s="57">
        <f>IF(SUBSTITUTE(TEXT(MEMBERS[[#This Row],[StaffMemberCode]],10)," ","")=TEXT(MEMBERS[[#This Row],[StaffMemberCode]],10),0,1)</f>
        <v>0</v>
      </c>
      <c r="M427" s="57">
        <f ca="1">SUM(MEMBERS[[#This Row],[Duplicate NameService Start]:[Space in Code]])</f>
        <v>0</v>
      </c>
      <c r="O427" s="15">
        <v>91073945</v>
      </c>
      <c r="P427" s="15" t="s">
        <v>3325</v>
      </c>
      <c r="Q427" s="15" t="s">
        <v>3542</v>
      </c>
      <c r="R427" s="133" t="str">
        <f>MEMBERS[[#This Row],[FirstName]]&amp;" "&amp;MEMBERS[[#This Row],[LastName]]</f>
        <v>Kelly Barker</v>
      </c>
      <c r="S427" s="21">
        <v>44570</v>
      </c>
      <c r="U427" s="21">
        <v>30008</v>
      </c>
      <c r="V427" t="b">
        <v>0</v>
      </c>
      <c r="W427" t="b">
        <v>0</v>
      </c>
      <c r="X427" t="b">
        <v>0</v>
      </c>
      <c r="Y427" t="s">
        <v>2299</v>
      </c>
      <c r="Z427" t="b">
        <v>1</v>
      </c>
      <c r="AB427" t="s">
        <v>1571</v>
      </c>
      <c r="AC427" t="b">
        <v>0</v>
      </c>
    </row>
    <row r="428" spans="1:29" x14ac:dyDescent="0.3">
      <c r="A428" s="57" t="str">
        <f>MEMBERS[[#This Row],[Title]]&amp;MEMBERS[[#This Row],[ServiceStartDate]]</f>
        <v>Kelly Brown44744</v>
      </c>
      <c r="B428" s="57">
        <f>IF(COUNTIF(MEMBERS[NameServiceStart],MEMBERS[[#This Row],[NameServiceStart]])=1,0,1)</f>
        <v>0</v>
      </c>
      <c r="C428" s="57">
        <f>IF(COUNTIF(MEMBERS[StaffMemberCode],MEMBERS[[#This Row],[StaffMemberCode]])=1,0,1)</f>
        <v>0</v>
      </c>
      <c r="D428" s="57">
        <f>IF(ISBLANK(MEMBERS[[#This Row],[PayrollLocation]]),0,IF(COUNTIF(SCHOOLS[SchoolCode],MEMBERS[[#This Row],[PayrollLocation]])=1,0,1))</f>
        <v>0</v>
      </c>
      <c r="E428" s="57">
        <f>IF(MEMBERS[[#This Row],[AvailableToAllSchools]]=FALSE,IF(ISBLANK(MEMBERS[[#This Row],[SchoolCodes]]),1,0),IF(MEMBERS[[#This Row],[AvailableToAllSchools]]=TRUE,IF(ISBLANK(MEMBERS[[#This Row],[SchoolCodes]]),0,1)))</f>
        <v>0</v>
      </c>
      <c r="F428" s="57">
        <f>IF(ISBLANK(MEMBERS[[#This Row],[ServiceEndDate]]),0,IF(MEMBERS[[#This Row],[ServiceStartDate]]&lt;MEMBERS[[#This Row],[ServiceEndDate]],0,1))</f>
        <v>0</v>
      </c>
      <c r="G428" s="57" cm="1">
        <f t="array" aca="1" ref="G428" ca="1">IF(CELL("format",MEMBERS[[#This Row],[ServiceStartDate]])="D1",0,1)+IF(CELL("format",MEMBERS[[#This Row],[ServiceEndDate]])="D1",0,1)</f>
        <v>0</v>
      </c>
      <c r="H42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28" s="57">
        <f>IF(LEN(MEMBERS[[#This Row],[StaffMemberCode]])&lt;100,0,1)</f>
        <v>0</v>
      </c>
      <c r="J428" s="57">
        <f>IF(LEN(MEMBERS[[#This Row],[Title]])&lt;100,0,1)</f>
        <v>0</v>
      </c>
      <c r="K428" s="57">
        <f>COUNTBLANK(MEMBERS[[#This Row],[StaffMemberCode]:[ServiceStartDate]])+COUNTBLANK(MEMBERS[[#This Row],[Apprenticeship]]:MEMBERS[[#This Row],[StaffMemberEnabled]])+COUNTBLANK(MEMBERS[[#This Row],[GenderCode]]:MEMBERS[[#This Row],[Casual]])</f>
        <v>0</v>
      </c>
      <c r="L428" s="57">
        <f>IF(SUBSTITUTE(TEXT(MEMBERS[[#This Row],[StaffMemberCode]],10)," ","")=TEXT(MEMBERS[[#This Row],[StaffMemberCode]],10),0,1)</f>
        <v>0</v>
      </c>
      <c r="M428" s="57">
        <f ca="1">SUM(MEMBERS[[#This Row],[Duplicate NameService Start]:[Space in Code]])</f>
        <v>0</v>
      </c>
      <c r="O428" s="15">
        <v>91073795</v>
      </c>
      <c r="P428" s="15" t="s">
        <v>3325</v>
      </c>
      <c r="Q428" s="15" t="s">
        <v>3727</v>
      </c>
      <c r="R428" s="133" t="str">
        <f>MEMBERS[[#This Row],[FirstName]]&amp;" "&amp;MEMBERS[[#This Row],[LastName]]</f>
        <v>Kelly Brown</v>
      </c>
      <c r="S428" s="21">
        <v>44744</v>
      </c>
      <c r="U428" s="21">
        <v>31000</v>
      </c>
      <c r="V428" t="b">
        <v>0</v>
      </c>
      <c r="W428" t="b">
        <v>0</v>
      </c>
      <c r="X428" t="b">
        <v>0</v>
      </c>
      <c r="Y428" t="s">
        <v>2082</v>
      </c>
      <c r="Z428" t="b">
        <v>1</v>
      </c>
      <c r="AB428" t="s">
        <v>1571</v>
      </c>
      <c r="AC428" t="b">
        <v>1</v>
      </c>
    </row>
    <row r="429" spans="1:29" x14ac:dyDescent="0.3">
      <c r="A429" s="57" t="str">
        <f>MEMBERS[[#This Row],[Title]]&amp;MEMBERS[[#This Row],[ServiceStartDate]]</f>
        <v>Kelly Golding45545</v>
      </c>
      <c r="B429" s="57">
        <f>IF(COUNTIF(MEMBERS[NameServiceStart],MEMBERS[[#This Row],[NameServiceStart]])=1,0,1)</f>
        <v>0</v>
      </c>
      <c r="C429" s="57">
        <f>IF(COUNTIF(MEMBERS[StaffMemberCode],MEMBERS[[#This Row],[StaffMemberCode]])=1,0,1)</f>
        <v>0</v>
      </c>
      <c r="D429" s="57">
        <f>IF(ISBLANK(MEMBERS[[#This Row],[PayrollLocation]]),0,IF(COUNTIF(SCHOOLS[SchoolCode],MEMBERS[[#This Row],[PayrollLocation]])=1,0,1))</f>
        <v>0</v>
      </c>
      <c r="E429" s="57">
        <f>IF(MEMBERS[[#This Row],[AvailableToAllSchools]]=FALSE,IF(ISBLANK(MEMBERS[[#This Row],[SchoolCodes]]),1,0),IF(MEMBERS[[#This Row],[AvailableToAllSchools]]=TRUE,IF(ISBLANK(MEMBERS[[#This Row],[SchoolCodes]]),0,1)))</f>
        <v>0</v>
      </c>
      <c r="F429" s="57">
        <f>IF(ISBLANK(MEMBERS[[#This Row],[ServiceEndDate]]),0,IF(MEMBERS[[#This Row],[ServiceStartDate]]&lt;MEMBERS[[#This Row],[ServiceEndDate]],0,1))</f>
        <v>0</v>
      </c>
      <c r="G429" s="57" cm="1">
        <f t="array" aca="1" ref="G429" ca="1">IF(CELL("format",MEMBERS[[#This Row],[ServiceStartDate]])="D1",0,1)+IF(CELL("format",MEMBERS[[#This Row],[ServiceEndDate]])="D1",0,1)</f>
        <v>0</v>
      </c>
      <c r="H42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29" s="57">
        <f>IF(LEN(MEMBERS[[#This Row],[StaffMemberCode]])&lt;100,0,1)</f>
        <v>0</v>
      </c>
      <c r="J429" s="57">
        <f>IF(LEN(MEMBERS[[#This Row],[Title]])&lt;100,0,1)</f>
        <v>0</v>
      </c>
      <c r="K429" s="57">
        <f>COUNTBLANK(MEMBERS[[#This Row],[StaffMemberCode]:[ServiceStartDate]])+COUNTBLANK(MEMBERS[[#This Row],[Apprenticeship]]:MEMBERS[[#This Row],[StaffMemberEnabled]])+COUNTBLANK(MEMBERS[[#This Row],[GenderCode]]:MEMBERS[[#This Row],[Casual]])</f>
        <v>0</v>
      </c>
      <c r="L429" s="57">
        <f>IF(SUBSTITUTE(TEXT(MEMBERS[[#This Row],[StaffMemberCode]],10)," ","")=TEXT(MEMBERS[[#This Row],[StaffMemberCode]],10),0,1)</f>
        <v>0</v>
      </c>
      <c r="M429" s="57">
        <f ca="1">SUM(MEMBERS[[#This Row],[Duplicate NameService Start]:[Space in Code]])</f>
        <v>0</v>
      </c>
      <c r="O429" s="15">
        <v>91328406</v>
      </c>
      <c r="P429" s="15" t="s">
        <v>3325</v>
      </c>
      <c r="Q429" s="15" t="s">
        <v>3728</v>
      </c>
      <c r="R429" s="133" t="str">
        <f>MEMBERS[[#This Row],[FirstName]]&amp;" "&amp;MEMBERS[[#This Row],[LastName]]</f>
        <v>Kelly Golding</v>
      </c>
      <c r="S429" s="21">
        <v>45545</v>
      </c>
      <c r="U429" s="21">
        <v>29589</v>
      </c>
      <c r="V429" t="b">
        <v>0</v>
      </c>
      <c r="W429" t="b">
        <v>0</v>
      </c>
      <c r="X429" t="b">
        <v>0</v>
      </c>
      <c r="Y429" t="s">
        <v>2082</v>
      </c>
      <c r="Z429" t="b">
        <v>1</v>
      </c>
      <c r="AB429" t="s">
        <v>1571</v>
      </c>
      <c r="AC429" t="b">
        <v>0</v>
      </c>
    </row>
    <row r="430" spans="1:29" x14ac:dyDescent="0.3">
      <c r="A430" s="57" t="str">
        <f>MEMBERS[[#This Row],[Title]]&amp;MEMBERS[[#This Row],[ServiceStartDate]]</f>
        <v>Kelly Lomas39173</v>
      </c>
      <c r="B430" s="57">
        <f>IF(COUNTIF(MEMBERS[NameServiceStart],MEMBERS[[#This Row],[NameServiceStart]])=1,0,1)</f>
        <v>0</v>
      </c>
      <c r="C430" s="57">
        <f>IF(COUNTIF(MEMBERS[StaffMemberCode],MEMBERS[[#This Row],[StaffMemberCode]])=1,0,1)</f>
        <v>0</v>
      </c>
      <c r="D430" s="57">
        <f>IF(ISBLANK(MEMBERS[[#This Row],[PayrollLocation]]),0,IF(COUNTIF(SCHOOLS[SchoolCode],MEMBERS[[#This Row],[PayrollLocation]])=1,0,1))</f>
        <v>0</v>
      </c>
      <c r="E430" s="57">
        <f>IF(MEMBERS[[#This Row],[AvailableToAllSchools]]=FALSE,IF(ISBLANK(MEMBERS[[#This Row],[SchoolCodes]]),1,0),IF(MEMBERS[[#This Row],[AvailableToAllSchools]]=TRUE,IF(ISBLANK(MEMBERS[[#This Row],[SchoolCodes]]),0,1)))</f>
        <v>0</v>
      </c>
      <c r="F430" s="57">
        <f>IF(ISBLANK(MEMBERS[[#This Row],[ServiceEndDate]]),0,IF(MEMBERS[[#This Row],[ServiceStartDate]]&lt;MEMBERS[[#This Row],[ServiceEndDate]],0,1))</f>
        <v>0</v>
      </c>
      <c r="G430" s="57" cm="1">
        <f t="array" aca="1" ref="G430" ca="1">IF(CELL("format",MEMBERS[[#This Row],[ServiceStartDate]])="D1",0,1)+IF(CELL("format",MEMBERS[[#This Row],[ServiceEndDate]])="D1",0,1)</f>
        <v>0</v>
      </c>
      <c r="H43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30" s="57">
        <f>IF(LEN(MEMBERS[[#This Row],[StaffMemberCode]])&lt;100,0,1)</f>
        <v>0</v>
      </c>
      <c r="J430" s="57">
        <f>IF(LEN(MEMBERS[[#This Row],[Title]])&lt;100,0,1)</f>
        <v>0</v>
      </c>
      <c r="K430" s="57">
        <f>COUNTBLANK(MEMBERS[[#This Row],[StaffMemberCode]:[ServiceStartDate]])+COUNTBLANK(MEMBERS[[#This Row],[Apprenticeship]]:MEMBERS[[#This Row],[StaffMemberEnabled]])+COUNTBLANK(MEMBERS[[#This Row],[GenderCode]]:MEMBERS[[#This Row],[Casual]])</f>
        <v>0</v>
      </c>
      <c r="L430" s="57">
        <f>IF(SUBSTITUTE(TEXT(MEMBERS[[#This Row],[StaffMemberCode]],10)," ","")=TEXT(MEMBERS[[#This Row],[StaffMemberCode]],10),0,1)</f>
        <v>0</v>
      </c>
      <c r="M430" s="57">
        <f ca="1">SUM(MEMBERS[[#This Row],[Duplicate NameService Start]:[Space in Code]])</f>
        <v>0</v>
      </c>
      <c r="O430" s="15">
        <v>91075745</v>
      </c>
      <c r="P430" s="15" t="s">
        <v>3325</v>
      </c>
      <c r="Q430" s="15" t="s">
        <v>3729</v>
      </c>
      <c r="R430" s="133" t="str">
        <f>MEMBERS[[#This Row],[FirstName]]&amp;" "&amp;MEMBERS[[#This Row],[LastName]]</f>
        <v>Kelly Lomas</v>
      </c>
      <c r="S430" s="21">
        <v>39173</v>
      </c>
      <c r="U430" s="21">
        <v>28956</v>
      </c>
      <c r="V430" t="b">
        <v>0</v>
      </c>
      <c r="W430" t="b">
        <v>0</v>
      </c>
      <c r="X430" t="b">
        <v>0</v>
      </c>
      <c r="Y430" t="s">
        <v>2200</v>
      </c>
      <c r="Z430" t="b">
        <v>1</v>
      </c>
      <c r="AB430" t="s">
        <v>1571</v>
      </c>
      <c r="AC430" t="b">
        <v>0</v>
      </c>
    </row>
    <row r="431" spans="1:29" x14ac:dyDescent="0.3">
      <c r="A431" s="57" t="str">
        <f>MEMBERS[[#This Row],[Title]]&amp;MEMBERS[[#This Row],[ServiceStartDate]]</f>
        <v>Kelly Stubbs43110</v>
      </c>
      <c r="B431" s="57">
        <f>IF(COUNTIF(MEMBERS[NameServiceStart],MEMBERS[[#This Row],[NameServiceStart]])=1,0,1)</f>
        <v>0</v>
      </c>
      <c r="C431" s="57">
        <f>IF(COUNTIF(MEMBERS[StaffMemberCode],MEMBERS[[#This Row],[StaffMemberCode]])=1,0,1)</f>
        <v>0</v>
      </c>
      <c r="D431" s="57">
        <f>IF(ISBLANK(MEMBERS[[#This Row],[PayrollLocation]]),0,IF(COUNTIF(SCHOOLS[SchoolCode],MEMBERS[[#This Row],[PayrollLocation]])=1,0,1))</f>
        <v>0</v>
      </c>
      <c r="E431" s="57">
        <f>IF(MEMBERS[[#This Row],[AvailableToAllSchools]]=FALSE,IF(ISBLANK(MEMBERS[[#This Row],[SchoolCodes]]),1,0),IF(MEMBERS[[#This Row],[AvailableToAllSchools]]=TRUE,IF(ISBLANK(MEMBERS[[#This Row],[SchoolCodes]]),0,1)))</f>
        <v>0</v>
      </c>
      <c r="F431" s="57">
        <f>IF(ISBLANK(MEMBERS[[#This Row],[ServiceEndDate]]),0,IF(MEMBERS[[#This Row],[ServiceStartDate]]&lt;MEMBERS[[#This Row],[ServiceEndDate]],0,1))</f>
        <v>0</v>
      </c>
      <c r="G431" s="57" cm="1">
        <f t="array" aca="1" ref="G431" ca="1">IF(CELL("format",MEMBERS[[#This Row],[ServiceStartDate]])="D1",0,1)+IF(CELL("format",MEMBERS[[#This Row],[ServiceEndDate]])="D1",0,1)</f>
        <v>0</v>
      </c>
      <c r="H43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31" s="57">
        <f>IF(LEN(MEMBERS[[#This Row],[StaffMemberCode]])&lt;100,0,1)</f>
        <v>0</v>
      </c>
      <c r="J431" s="57">
        <f>IF(LEN(MEMBERS[[#This Row],[Title]])&lt;100,0,1)</f>
        <v>0</v>
      </c>
      <c r="K431" s="57">
        <f>COUNTBLANK(MEMBERS[[#This Row],[StaffMemberCode]:[ServiceStartDate]])+COUNTBLANK(MEMBERS[[#This Row],[Apprenticeship]]:MEMBERS[[#This Row],[StaffMemberEnabled]])+COUNTBLANK(MEMBERS[[#This Row],[GenderCode]]:MEMBERS[[#This Row],[Casual]])</f>
        <v>0</v>
      </c>
      <c r="L431" s="57">
        <f>IF(SUBSTITUTE(TEXT(MEMBERS[[#This Row],[StaffMemberCode]],10)," ","")=TEXT(MEMBERS[[#This Row],[StaffMemberCode]],10),0,1)</f>
        <v>0</v>
      </c>
      <c r="M431" s="57">
        <f ca="1">SUM(MEMBERS[[#This Row],[Duplicate NameService Start]:[Space in Code]])</f>
        <v>0</v>
      </c>
      <c r="O431" s="15">
        <v>91073724</v>
      </c>
      <c r="P431" s="15" t="s">
        <v>3325</v>
      </c>
      <c r="Q431" s="15" t="s">
        <v>3730</v>
      </c>
      <c r="R431" s="133" t="str">
        <f>MEMBERS[[#This Row],[FirstName]]&amp;" "&amp;MEMBERS[[#This Row],[LastName]]</f>
        <v>Kelly Stubbs</v>
      </c>
      <c r="S431" s="21">
        <v>43110</v>
      </c>
      <c r="U431" s="21">
        <v>29596</v>
      </c>
      <c r="V431" t="b">
        <v>0</v>
      </c>
      <c r="W431" t="b">
        <v>0</v>
      </c>
      <c r="X431" t="b">
        <v>0</v>
      </c>
      <c r="Y431" t="s">
        <v>2082</v>
      </c>
      <c r="Z431" t="b">
        <v>1</v>
      </c>
      <c r="AB431" t="s">
        <v>1571</v>
      </c>
      <c r="AC431" t="b">
        <v>0</v>
      </c>
    </row>
    <row r="432" spans="1:29" x14ac:dyDescent="0.3">
      <c r="A432" s="57" t="str">
        <f>MEMBERS[[#This Row],[Title]]&amp;MEMBERS[[#This Row],[ServiceStartDate]]</f>
        <v>Kelly Williams43479</v>
      </c>
      <c r="B432" s="57">
        <f>IF(COUNTIF(MEMBERS[NameServiceStart],MEMBERS[[#This Row],[NameServiceStart]])=1,0,1)</f>
        <v>0</v>
      </c>
      <c r="C432" s="57">
        <f>IF(COUNTIF(MEMBERS[StaffMemberCode],MEMBERS[[#This Row],[StaffMemberCode]])=1,0,1)</f>
        <v>0</v>
      </c>
      <c r="D432" s="57">
        <f>IF(ISBLANK(MEMBERS[[#This Row],[PayrollLocation]]),0,IF(COUNTIF(SCHOOLS[SchoolCode],MEMBERS[[#This Row],[PayrollLocation]])=1,0,1))</f>
        <v>0</v>
      </c>
      <c r="E432" s="57">
        <f>IF(MEMBERS[[#This Row],[AvailableToAllSchools]]=FALSE,IF(ISBLANK(MEMBERS[[#This Row],[SchoolCodes]]),1,0),IF(MEMBERS[[#This Row],[AvailableToAllSchools]]=TRUE,IF(ISBLANK(MEMBERS[[#This Row],[SchoolCodes]]),0,1)))</f>
        <v>0</v>
      </c>
      <c r="F432" s="57">
        <f>IF(ISBLANK(MEMBERS[[#This Row],[ServiceEndDate]]),0,IF(MEMBERS[[#This Row],[ServiceStartDate]]&lt;MEMBERS[[#This Row],[ServiceEndDate]],0,1))</f>
        <v>0</v>
      </c>
      <c r="G432" s="57" cm="1">
        <f t="array" aca="1" ref="G432" ca="1">IF(CELL("format",MEMBERS[[#This Row],[ServiceStartDate]])="D1",0,1)+IF(CELL("format",MEMBERS[[#This Row],[ServiceEndDate]])="D1",0,1)</f>
        <v>0</v>
      </c>
      <c r="H43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32" s="57">
        <f>IF(LEN(MEMBERS[[#This Row],[StaffMemberCode]])&lt;100,0,1)</f>
        <v>0</v>
      </c>
      <c r="J432" s="57">
        <f>IF(LEN(MEMBERS[[#This Row],[Title]])&lt;100,0,1)</f>
        <v>0</v>
      </c>
      <c r="K432" s="57">
        <f>COUNTBLANK(MEMBERS[[#This Row],[StaffMemberCode]:[ServiceStartDate]])+COUNTBLANK(MEMBERS[[#This Row],[Apprenticeship]]:MEMBERS[[#This Row],[StaffMemberEnabled]])+COUNTBLANK(MEMBERS[[#This Row],[GenderCode]]:MEMBERS[[#This Row],[Casual]])</f>
        <v>0</v>
      </c>
      <c r="L432" s="57">
        <f>IF(SUBSTITUTE(TEXT(MEMBERS[[#This Row],[StaffMemberCode]],10)," ","")=TEXT(MEMBERS[[#This Row],[StaffMemberCode]],10),0,1)</f>
        <v>0</v>
      </c>
      <c r="M432" s="57">
        <f ca="1">SUM(MEMBERS[[#This Row],[Duplicate NameService Start]:[Space in Code]])</f>
        <v>0</v>
      </c>
      <c r="O432" s="15">
        <v>91073496</v>
      </c>
      <c r="P432" s="15" t="s">
        <v>3325</v>
      </c>
      <c r="Q432" s="15" t="s">
        <v>3698</v>
      </c>
      <c r="R432" s="133" t="str">
        <f>MEMBERS[[#This Row],[FirstName]]&amp;" "&amp;MEMBERS[[#This Row],[LastName]]</f>
        <v>Kelly Williams</v>
      </c>
      <c r="S432" s="21">
        <v>43479</v>
      </c>
      <c r="U432" s="21">
        <v>30852</v>
      </c>
      <c r="V432" t="b">
        <v>0</v>
      </c>
      <c r="W432" t="b">
        <v>0</v>
      </c>
      <c r="X432" t="b">
        <v>0</v>
      </c>
      <c r="Y432" t="s">
        <v>2094</v>
      </c>
      <c r="Z432" t="b">
        <v>1</v>
      </c>
      <c r="AB432" t="s">
        <v>1571</v>
      </c>
      <c r="AC432" t="b">
        <v>0</v>
      </c>
    </row>
    <row r="433" spans="1:29" x14ac:dyDescent="0.3">
      <c r="A433" s="57" t="str">
        <f>MEMBERS[[#This Row],[Title]]&amp;MEMBERS[[#This Row],[ServiceStartDate]]</f>
        <v>Kelsey Cooper45901</v>
      </c>
      <c r="B433" s="57">
        <f>IF(COUNTIF(MEMBERS[NameServiceStart],MEMBERS[[#This Row],[NameServiceStart]])=1,0,1)</f>
        <v>0</v>
      </c>
      <c r="C433" s="57">
        <f>IF(COUNTIF(MEMBERS[StaffMemberCode],MEMBERS[[#This Row],[StaffMemberCode]])=1,0,1)</f>
        <v>0</v>
      </c>
      <c r="D433" s="57">
        <f>IF(ISBLANK(MEMBERS[[#This Row],[PayrollLocation]]),0,IF(COUNTIF(SCHOOLS[SchoolCode],MEMBERS[[#This Row],[PayrollLocation]])=1,0,1))</f>
        <v>0</v>
      </c>
      <c r="E433" s="57">
        <f>IF(MEMBERS[[#This Row],[AvailableToAllSchools]]=FALSE,IF(ISBLANK(MEMBERS[[#This Row],[SchoolCodes]]),1,0),IF(MEMBERS[[#This Row],[AvailableToAllSchools]]=TRUE,IF(ISBLANK(MEMBERS[[#This Row],[SchoolCodes]]),0,1)))</f>
        <v>0</v>
      </c>
      <c r="F433" s="57">
        <f>IF(ISBLANK(MEMBERS[[#This Row],[ServiceEndDate]]),0,IF(MEMBERS[[#This Row],[ServiceStartDate]]&lt;MEMBERS[[#This Row],[ServiceEndDate]],0,1))</f>
        <v>0</v>
      </c>
      <c r="G433" s="57" cm="1">
        <f t="array" aca="1" ref="G433" ca="1">IF(CELL("format",MEMBERS[[#This Row],[ServiceStartDate]])="D1",0,1)+IF(CELL("format",MEMBERS[[#This Row],[ServiceEndDate]])="D1",0,1)</f>
        <v>0</v>
      </c>
      <c r="H43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33" s="57">
        <f>IF(LEN(MEMBERS[[#This Row],[StaffMemberCode]])&lt;100,0,1)</f>
        <v>0</v>
      </c>
      <c r="J433" s="57">
        <f>IF(LEN(MEMBERS[[#This Row],[Title]])&lt;100,0,1)</f>
        <v>0</v>
      </c>
      <c r="K433" s="57">
        <f>COUNTBLANK(MEMBERS[[#This Row],[StaffMemberCode]:[ServiceStartDate]])+COUNTBLANK(MEMBERS[[#This Row],[Apprenticeship]]:MEMBERS[[#This Row],[StaffMemberEnabled]])+COUNTBLANK(MEMBERS[[#This Row],[GenderCode]]:MEMBERS[[#This Row],[Casual]])</f>
        <v>0</v>
      </c>
      <c r="L433" s="57">
        <f>IF(SUBSTITUTE(TEXT(MEMBERS[[#This Row],[StaffMemberCode]],10)," ","")=TEXT(MEMBERS[[#This Row],[StaffMemberCode]],10),0,1)</f>
        <v>0</v>
      </c>
      <c r="M433" s="57">
        <f ca="1">SUM(MEMBERS[[#This Row],[Duplicate NameService Start]:[Space in Code]])</f>
        <v>0</v>
      </c>
      <c r="O433" s="15">
        <v>91850040</v>
      </c>
      <c r="P433" s="15" t="s">
        <v>3326</v>
      </c>
      <c r="Q433" s="15" t="s">
        <v>3517</v>
      </c>
      <c r="R433" s="133" t="str">
        <f>MEMBERS[[#This Row],[FirstName]]&amp;" "&amp;MEMBERS[[#This Row],[LastName]]</f>
        <v>Kelsey Cooper</v>
      </c>
      <c r="S433" s="21">
        <v>45901</v>
      </c>
      <c r="U433" s="21">
        <v>37135</v>
      </c>
      <c r="V433" t="b">
        <v>0</v>
      </c>
      <c r="W433" t="b">
        <v>0</v>
      </c>
      <c r="X433" t="b">
        <v>0</v>
      </c>
      <c r="Y433" t="s">
        <v>2266</v>
      </c>
      <c r="Z433" t="b">
        <v>1</v>
      </c>
      <c r="AB433" t="s">
        <v>1571</v>
      </c>
      <c r="AC433" t="b">
        <v>0</v>
      </c>
    </row>
    <row r="434" spans="1:29" x14ac:dyDescent="0.3">
      <c r="A434" s="57" t="str">
        <f>MEMBERS[[#This Row],[Title]]&amp;MEMBERS[[#This Row],[ServiceStartDate]]</f>
        <v>Kerry Clough37816</v>
      </c>
      <c r="B434" s="57">
        <f>IF(COUNTIF(MEMBERS[NameServiceStart],MEMBERS[[#This Row],[NameServiceStart]])=1,0,1)</f>
        <v>0</v>
      </c>
      <c r="C434" s="57">
        <f>IF(COUNTIF(MEMBERS[StaffMemberCode],MEMBERS[[#This Row],[StaffMemberCode]])=1,0,1)</f>
        <v>0</v>
      </c>
      <c r="D434" s="57">
        <f>IF(ISBLANK(MEMBERS[[#This Row],[PayrollLocation]]),0,IF(COUNTIF(SCHOOLS[SchoolCode],MEMBERS[[#This Row],[PayrollLocation]])=1,0,1))</f>
        <v>0</v>
      </c>
      <c r="E434" s="57">
        <f>IF(MEMBERS[[#This Row],[AvailableToAllSchools]]=FALSE,IF(ISBLANK(MEMBERS[[#This Row],[SchoolCodes]]),1,0),IF(MEMBERS[[#This Row],[AvailableToAllSchools]]=TRUE,IF(ISBLANK(MEMBERS[[#This Row],[SchoolCodes]]),0,1)))</f>
        <v>0</v>
      </c>
      <c r="F434" s="57">
        <f>IF(ISBLANK(MEMBERS[[#This Row],[ServiceEndDate]]),0,IF(MEMBERS[[#This Row],[ServiceStartDate]]&lt;MEMBERS[[#This Row],[ServiceEndDate]],0,1))</f>
        <v>0</v>
      </c>
      <c r="G434" s="57" cm="1">
        <f t="array" aca="1" ref="G434" ca="1">IF(CELL("format",MEMBERS[[#This Row],[ServiceStartDate]])="D1",0,1)+IF(CELL("format",MEMBERS[[#This Row],[ServiceEndDate]])="D1",0,1)</f>
        <v>0</v>
      </c>
      <c r="H43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34" s="57">
        <f>IF(LEN(MEMBERS[[#This Row],[StaffMemberCode]])&lt;100,0,1)</f>
        <v>0</v>
      </c>
      <c r="J434" s="57">
        <f>IF(LEN(MEMBERS[[#This Row],[Title]])&lt;100,0,1)</f>
        <v>0</v>
      </c>
      <c r="K434" s="57">
        <f>COUNTBLANK(MEMBERS[[#This Row],[StaffMemberCode]:[ServiceStartDate]])+COUNTBLANK(MEMBERS[[#This Row],[Apprenticeship]]:MEMBERS[[#This Row],[StaffMemberEnabled]])+COUNTBLANK(MEMBERS[[#This Row],[GenderCode]]:MEMBERS[[#This Row],[Casual]])</f>
        <v>0</v>
      </c>
      <c r="L434" s="57">
        <f>IF(SUBSTITUTE(TEXT(MEMBERS[[#This Row],[StaffMemberCode]],10)," ","")=TEXT(MEMBERS[[#This Row],[StaffMemberCode]],10),0,1)</f>
        <v>0</v>
      </c>
      <c r="M434" s="57">
        <f ca="1">SUM(MEMBERS[[#This Row],[Duplicate NameService Start]:[Space in Code]])</f>
        <v>0</v>
      </c>
      <c r="O434" s="15">
        <v>91073586</v>
      </c>
      <c r="P434" s="15" t="s">
        <v>3327</v>
      </c>
      <c r="Q434" s="15" t="s">
        <v>3731</v>
      </c>
      <c r="R434" s="133" t="str">
        <f>MEMBERS[[#This Row],[FirstName]]&amp;" "&amp;MEMBERS[[#This Row],[LastName]]</f>
        <v>Kerry Clough</v>
      </c>
      <c r="S434" s="21">
        <v>37816</v>
      </c>
      <c r="U434" s="21">
        <v>23139</v>
      </c>
      <c r="V434" t="b">
        <v>0</v>
      </c>
      <c r="W434" t="b">
        <v>0</v>
      </c>
      <c r="X434" t="b">
        <v>0</v>
      </c>
      <c r="Y434" t="s">
        <v>2094</v>
      </c>
      <c r="Z434" t="b">
        <v>1</v>
      </c>
      <c r="AB434" t="s">
        <v>1571</v>
      </c>
      <c r="AC434" t="b">
        <v>0</v>
      </c>
    </row>
    <row r="435" spans="1:29" x14ac:dyDescent="0.3">
      <c r="A435" s="57" t="str">
        <f>MEMBERS[[#This Row],[Title]]&amp;MEMBERS[[#This Row],[ServiceStartDate]]</f>
        <v>Kerry Elson44529</v>
      </c>
      <c r="B435" s="57">
        <f>IF(COUNTIF(MEMBERS[NameServiceStart],MEMBERS[[#This Row],[NameServiceStart]])=1,0,1)</f>
        <v>0</v>
      </c>
      <c r="C435" s="57">
        <f>IF(COUNTIF(MEMBERS[StaffMemberCode],MEMBERS[[#This Row],[StaffMemberCode]])=1,0,1)</f>
        <v>0</v>
      </c>
      <c r="D435" s="57">
        <f>IF(ISBLANK(MEMBERS[[#This Row],[PayrollLocation]]),0,IF(COUNTIF(SCHOOLS[SchoolCode],MEMBERS[[#This Row],[PayrollLocation]])=1,0,1))</f>
        <v>0</v>
      </c>
      <c r="E435" s="57">
        <f>IF(MEMBERS[[#This Row],[AvailableToAllSchools]]=FALSE,IF(ISBLANK(MEMBERS[[#This Row],[SchoolCodes]]),1,0),IF(MEMBERS[[#This Row],[AvailableToAllSchools]]=TRUE,IF(ISBLANK(MEMBERS[[#This Row],[SchoolCodes]]),0,1)))</f>
        <v>0</v>
      </c>
      <c r="F435" s="57">
        <f>IF(ISBLANK(MEMBERS[[#This Row],[ServiceEndDate]]),0,IF(MEMBERS[[#This Row],[ServiceStartDate]]&lt;MEMBERS[[#This Row],[ServiceEndDate]],0,1))</f>
        <v>0</v>
      </c>
      <c r="G435" s="57" cm="1">
        <f t="array" aca="1" ref="G435" ca="1">IF(CELL("format",MEMBERS[[#This Row],[ServiceStartDate]])="D1",0,1)+IF(CELL("format",MEMBERS[[#This Row],[ServiceEndDate]])="D1",0,1)</f>
        <v>0</v>
      </c>
      <c r="H43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35" s="57">
        <f>IF(LEN(MEMBERS[[#This Row],[StaffMemberCode]])&lt;100,0,1)</f>
        <v>0</v>
      </c>
      <c r="J435" s="57">
        <f>IF(LEN(MEMBERS[[#This Row],[Title]])&lt;100,0,1)</f>
        <v>0</v>
      </c>
      <c r="K435" s="57">
        <f>COUNTBLANK(MEMBERS[[#This Row],[StaffMemberCode]:[ServiceStartDate]])+COUNTBLANK(MEMBERS[[#This Row],[Apprenticeship]]:MEMBERS[[#This Row],[StaffMemberEnabled]])+COUNTBLANK(MEMBERS[[#This Row],[GenderCode]]:MEMBERS[[#This Row],[Casual]])</f>
        <v>0</v>
      </c>
      <c r="L435" s="57">
        <f>IF(SUBSTITUTE(TEXT(MEMBERS[[#This Row],[StaffMemberCode]],10)," ","")=TEXT(MEMBERS[[#This Row],[StaffMemberCode]],10),0,1)</f>
        <v>0</v>
      </c>
      <c r="M435" s="57">
        <f ca="1">SUM(MEMBERS[[#This Row],[Duplicate NameService Start]:[Space in Code]])</f>
        <v>0</v>
      </c>
      <c r="O435" s="15">
        <v>91073557</v>
      </c>
      <c r="P435" s="15" t="s">
        <v>3327</v>
      </c>
      <c r="Q435" s="15" t="s">
        <v>3500</v>
      </c>
      <c r="R435" s="133" t="str">
        <f>MEMBERS[[#This Row],[FirstName]]&amp;" "&amp;MEMBERS[[#This Row],[LastName]]</f>
        <v>Kerry Elson</v>
      </c>
      <c r="S435" s="21">
        <v>44529</v>
      </c>
      <c r="U435" s="21">
        <v>24406</v>
      </c>
      <c r="V435" t="b">
        <v>0</v>
      </c>
      <c r="W435" t="b">
        <v>0</v>
      </c>
      <c r="X435" t="b">
        <v>0</v>
      </c>
      <c r="Y435" t="s">
        <v>2094</v>
      </c>
      <c r="Z435" t="b">
        <v>1</v>
      </c>
      <c r="AB435" t="s">
        <v>1571</v>
      </c>
      <c r="AC435" t="b">
        <v>1</v>
      </c>
    </row>
    <row r="436" spans="1:29" x14ac:dyDescent="0.3">
      <c r="A436" s="57" t="str">
        <f>MEMBERS[[#This Row],[Title]]&amp;MEMBERS[[#This Row],[ServiceStartDate]]</f>
        <v>Kerry Highfield45005</v>
      </c>
      <c r="B436" s="57">
        <f>IF(COUNTIF(MEMBERS[NameServiceStart],MEMBERS[[#This Row],[NameServiceStart]])=1,0,1)</f>
        <v>0</v>
      </c>
      <c r="C436" s="57">
        <f>IF(COUNTIF(MEMBERS[StaffMemberCode],MEMBERS[[#This Row],[StaffMemberCode]])=1,0,1)</f>
        <v>0</v>
      </c>
      <c r="D436" s="57">
        <f>IF(ISBLANK(MEMBERS[[#This Row],[PayrollLocation]]),0,IF(COUNTIF(SCHOOLS[SchoolCode],MEMBERS[[#This Row],[PayrollLocation]])=1,0,1))</f>
        <v>0</v>
      </c>
      <c r="E436" s="57">
        <f>IF(MEMBERS[[#This Row],[AvailableToAllSchools]]=FALSE,IF(ISBLANK(MEMBERS[[#This Row],[SchoolCodes]]),1,0),IF(MEMBERS[[#This Row],[AvailableToAllSchools]]=TRUE,IF(ISBLANK(MEMBERS[[#This Row],[SchoolCodes]]),0,1)))</f>
        <v>0</v>
      </c>
      <c r="F436" s="57">
        <f>IF(ISBLANK(MEMBERS[[#This Row],[ServiceEndDate]]),0,IF(MEMBERS[[#This Row],[ServiceStartDate]]&lt;MEMBERS[[#This Row],[ServiceEndDate]],0,1))</f>
        <v>0</v>
      </c>
      <c r="G436" s="57" cm="1">
        <f t="array" aca="1" ref="G436" ca="1">IF(CELL("format",MEMBERS[[#This Row],[ServiceStartDate]])="D1",0,1)+IF(CELL("format",MEMBERS[[#This Row],[ServiceEndDate]])="D1",0,1)</f>
        <v>0</v>
      </c>
      <c r="H43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36" s="57">
        <f>IF(LEN(MEMBERS[[#This Row],[StaffMemberCode]])&lt;100,0,1)</f>
        <v>0</v>
      </c>
      <c r="J436" s="57">
        <f>IF(LEN(MEMBERS[[#This Row],[Title]])&lt;100,0,1)</f>
        <v>0</v>
      </c>
      <c r="K436" s="57">
        <f>COUNTBLANK(MEMBERS[[#This Row],[StaffMemberCode]:[ServiceStartDate]])+COUNTBLANK(MEMBERS[[#This Row],[Apprenticeship]]:MEMBERS[[#This Row],[StaffMemberEnabled]])+COUNTBLANK(MEMBERS[[#This Row],[GenderCode]]:MEMBERS[[#This Row],[Casual]])</f>
        <v>0</v>
      </c>
      <c r="L436" s="57">
        <f>IF(SUBSTITUTE(TEXT(MEMBERS[[#This Row],[StaffMemberCode]],10)," ","")=TEXT(MEMBERS[[#This Row],[StaffMemberCode]],10),0,1)</f>
        <v>0</v>
      </c>
      <c r="M436" s="57">
        <f ca="1">SUM(MEMBERS[[#This Row],[Duplicate NameService Start]:[Space in Code]])</f>
        <v>0</v>
      </c>
      <c r="O436" s="15">
        <v>10016034</v>
      </c>
      <c r="P436" s="15" t="s">
        <v>3327</v>
      </c>
      <c r="Q436" s="15" t="s">
        <v>4085</v>
      </c>
      <c r="R436" s="133" t="str">
        <f>MEMBERS[[#This Row],[FirstName]]&amp;" "&amp;MEMBERS[[#This Row],[LastName]]</f>
        <v>Kerry Highfield</v>
      </c>
      <c r="S436" s="21">
        <v>45005</v>
      </c>
      <c r="U436" s="21">
        <v>31162</v>
      </c>
      <c r="V436" s="138" t="b">
        <v>0</v>
      </c>
      <c r="W436" t="b">
        <v>0</v>
      </c>
      <c r="X436" t="b">
        <v>0</v>
      </c>
      <c r="Y436" t="s">
        <v>2126</v>
      </c>
      <c r="Z436" t="b">
        <v>1</v>
      </c>
      <c r="AB436" t="s">
        <v>1571</v>
      </c>
      <c r="AC436" t="b">
        <v>0</v>
      </c>
    </row>
    <row r="437" spans="1:29" x14ac:dyDescent="0.3">
      <c r="A437" s="57" t="str">
        <f>MEMBERS[[#This Row],[Title]]&amp;MEMBERS[[#This Row],[ServiceStartDate]]</f>
        <v>Kerry Hulson44775</v>
      </c>
      <c r="B437" s="57">
        <f>IF(COUNTIF(MEMBERS[NameServiceStart],MEMBERS[[#This Row],[NameServiceStart]])=1,0,1)</f>
        <v>0</v>
      </c>
      <c r="C437" s="57">
        <f>IF(COUNTIF(MEMBERS[StaffMemberCode],MEMBERS[[#This Row],[StaffMemberCode]])=1,0,1)</f>
        <v>0</v>
      </c>
      <c r="D437" s="57">
        <f>IF(ISBLANK(MEMBERS[[#This Row],[PayrollLocation]]),0,IF(COUNTIF(SCHOOLS[SchoolCode],MEMBERS[[#This Row],[PayrollLocation]])=1,0,1))</f>
        <v>0</v>
      </c>
      <c r="E437" s="57">
        <f>IF(MEMBERS[[#This Row],[AvailableToAllSchools]]=FALSE,IF(ISBLANK(MEMBERS[[#This Row],[SchoolCodes]]),1,0),IF(MEMBERS[[#This Row],[AvailableToAllSchools]]=TRUE,IF(ISBLANK(MEMBERS[[#This Row],[SchoolCodes]]),0,1)))</f>
        <v>0</v>
      </c>
      <c r="F437" s="57">
        <f>IF(ISBLANK(MEMBERS[[#This Row],[ServiceEndDate]]),0,IF(MEMBERS[[#This Row],[ServiceStartDate]]&lt;MEMBERS[[#This Row],[ServiceEndDate]],0,1))</f>
        <v>0</v>
      </c>
      <c r="G437" s="57" cm="1">
        <f t="array" aca="1" ref="G437" ca="1">IF(CELL("format",MEMBERS[[#This Row],[ServiceStartDate]])="D1",0,1)+IF(CELL("format",MEMBERS[[#This Row],[ServiceEndDate]])="D1",0,1)</f>
        <v>0</v>
      </c>
      <c r="H43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37" s="57">
        <f>IF(LEN(MEMBERS[[#This Row],[StaffMemberCode]])&lt;100,0,1)</f>
        <v>0</v>
      </c>
      <c r="J437" s="57">
        <f>IF(LEN(MEMBERS[[#This Row],[Title]])&lt;100,0,1)</f>
        <v>0</v>
      </c>
      <c r="K437" s="57">
        <f>COUNTBLANK(MEMBERS[[#This Row],[StaffMemberCode]:[ServiceStartDate]])+COUNTBLANK(MEMBERS[[#This Row],[Apprenticeship]]:MEMBERS[[#This Row],[StaffMemberEnabled]])+COUNTBLANK(MEMBERS[[#This Row],[GenderCode]]:MEMBERS[[#This Row],[Casual]])</f>
        <v>0</v>
      </c>
      <c r="L437" s="57">
        <f>IF(SUBSTITUTE(TEXT(MEMBERS[[#This Row],[StaffMemberCode]],10)," ","")=TEXT(MEMBERS[[#This Row],[StaffMemberCode]],10),0,1)</f>
        <v>0</v>
      </c>
      <c r="M437" s="57">
        <f ca="1">SUM(MEMBERS[[#This Row],[Duplicate NameService Start]:[Space in Code]])</f>
        <v>0</v>
      </c>
      <c r="O437" s="15">
        <v>91073797</v>
      </c>
      <c r="P437" s="15" t="s">
        <v>3327</v>
      </c>
      <c r="Q437" s="15" t="s">
        <v>3732</v>
      </c>
      <c r="R437" s="133" t="str">
        <f>MEMBERS[[#This Row],[FirstName]]&amp;" "&amp;MEMBERS[[#This Row],[LastName]]</f>
        <v>Kerry Hulson</v>
      </c>
      <c r="S437" s="21">
        <v>44775</v>
      </c>
      <c r="U437" s="21">
        <v>24784</v>
      </c>
      <c r="V437" t="b">
        <v>0</v>
      </c>
      <c r="W437" t="b">
        <v>0</v>
      </c>
      <c r="X437" t="b">
        <v>0</v>
      </c>
      <c r="Y437" t="s">
        <v>2082</v>
      </c>
      <c r="Z437" t="b">
        <v>1</v>
      </c>
      <c r="AB437" t="s">
        <v>1571</v>
      </c>
      <c r="AC437" t="b">
        <v>1</v>
      </c>
    </row>
    <row r="438" spans="1:29" x14ac:dyDescent="0.3">
      <c r="A438" s="57" t="str">
        <f>MEMBERS[[#This Row],[Title]]&amp;MEMBERS[[#This Row],[ServiceStartDate]]</f>
        <v>Kerry Moore37060</v>
      </c>
      <c r="B438" s="57">
        <f>IF(COUNTIF(MEMBERS[NameServiceStart],MEMBERS[[#This Row],[NameServiceStart]])=1,0,1)</f>
        <v>0</v>
      </c>
      <c r="C438" s="57">
        <f>IF(COUNTIF(MEMBERS[StaffMemberCode],MEMBERS[[#This Row],[StaffMemberCode]])=1,0,1)</f>
        <v>0</v>
      </c>
      <c r="D438" s="57">
        <f>IF(ISBLANK(MEMBERS[[#This Row],[PayrollLocation]]),0,IF(COUNTIF(SCHOOLS[SchoolCode],MEMBERS[[#This Row],[PayrollLocation]])=1,0,1))</f>
        <v>0</v>
      </c>
      <c r="E438" s="57">
        <f>IF(MEMBERS[[#This Row],[AvailableToAllSchools]]=FALSE,IF(ISBLANK(MEMBERS[[#This Row],[SchoolCodes]]),1,0),IF(MEMBERS[[#This Row],[AvailableToAllSchools]]=TRUE,IF(ISBLANK(MEMBERS[[#This Row],[SchoolCodes]]),0,1)))</f>
        <v>0</v>
      </c>
      <c r="F438" s="57">
        <f>IF(ISBLANK(MEMBERS[[#This Row],[ServiceEndDate]]),0,IF(MEMBERS[[#This Row],[ServiceStartDate]]&lt;MEMBERS[[#This Row],[ServiceEndDate]],0,1))</f>
        <v>0</v>
      </c>
      <c r="G438" s="57" cm="1">
        <f t="array" aca="1" ref="G438" ca="1">IF(CELL("format",MEMBERS[[#This Row],[ServiceStartDate]])="D1",0,1)+IF(CELL("format",MEMBERS[[#This Row],[ServiceEndDate]])="D1",0,1)</f>
        <v>0</v>
      </c>
      <c r="H43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38" s="57">
        <f>IF(LEN(MEMBERS[[#This Row],[StaffMemberCode]])&lt;100,0,1)</f>
        <v>0</v>
      </c>
      <c r="J438" s="57">
        <f>IF(LEN(MEMBERS[[#This Row],[Title]])&lt;100,0,1)</f>
        <v>0</v>
      </c>
      <c r="K438" s="57">
        <f>COUNTBLANK(MEMBERS[[#This Row],[StaffMemberCode]:[ServiceStartDate]])+COUNTBLANK(MEMBERS[[#This Row],[Apprenticeship]]:MEMBERS[[#This Row],[StaffMemberEnabled]])+COUNTBLANK(MEMBERS[[#This Row],[GenderCode]]:MEMBERS[[#This Row],[Casual]])</f>
        <v>0</v>
      </c>
      <c r="L438" s="57">
        <f>IF(SUBSTITUTE(TEXT(MEMBERS[[#This Row],[StaffMemberCode]],10)," ","")=TEXT(MEMBERS[[#This Row],[StaffMemberCode]],10),0,1)</f>
        <v>0</v>
      </c>
      <c r="M438" s="57">
        <f ca="1">SUM(MEMBERS[[#This Row],[Duplicate NameService Start]:[Space in Code]])</f>
        <v>0</v>
      </c>
      <c r="O438" s="15">
        <v>91073911</v>
      </c>
      <c r="P438" s="15" t="s">
        <v>3327</v>
      </c>
      <c r="Q438" s="15" t="s">
        <v>3733</v>
      </c>
      <c r="R438" s="133" t="str">
        <f>MEMBERS[[#This Row],[FirstName]]&amp;" "&amp;MEMBERS[[#This Row],[LastName]]</f>
        <v>Kerry Moore</v>
      </c>
      <c r="S438" s="21">
        <v>37060</v>
      </c>
      <c r="U438" s="21">
        <v>25957</v>
      </c>
      <c r="V438" t="b">
        <v>0</v>
      </c>
      <c r="W438" t="b">
        <v>0</v>
      </c>
      <c r="X438" t="b">
        <v>0</v>
      </c>
      <c r="Y438" t="s">
        <v>51</v>
      </c>
      <c r="Z438" t="b">
        <v>1</v>
      </c>
      <c r="AB438" t="s">
        <v>1571</v>
      </c>
      <c r="AC438" t="b">
        <v>0</v>
      </c>
    </row>
    <row r="439" spans="1:29" x14ac:dyDescent="0.3">
      <c r="A439" s="57" t="str">
        <f>MEMBERS[[#This Row],[Title]]&amp;MEMBERS[[#This Row],[ServiceStartDate]]</f>
        <v>Kerry Simcock45271</v>
      </c>
      <c r="B439" s="57">
        <f>IF(COUNTIF(MEMBERS[NameServiceStart],MEMBERS[[#This Row],[NameServiceStart]])=1,0,1)</f>
        <v>0</v>
      </c>
      <c r="C439" s="57">
        <f>IF(COUNTIF(MEMBERS[StaffMemberCode],MEMBERS[[#This Row],[StaffMemberCode]])=1,0,1)</f>
        <v>0</v>
      </c>
      <c r="D439" s="57">
        <f>IF(ISBLANK(MEMBERS[[#This Row],[PayrollLocation]]),0,IF(COUNTIF(SCHOOLS[SchoolCode],MEMBERS[[#This Row],[PayrollLocation]])=1,0,1))</f>
        <v>0</v>
      </c>
      <c r="E439" s="57">
        <f>IF(MEMBERS[[#This Row],[AvailableToAllSchools]]=FALSE,IF(ISBLANK(MEMBERS[[#This Row],[SchoolCodes]]),1,0),IF(MEMBERS[[#This Row],[AvailableToAllSchools]]=TRUE,IF(ISBLANK(MEMBERS[[#This Row],[SchoolCodes]]),0,1)))</f>
        <v>0</v>
      </c>
      <c r="F439" s="57">
        <f>IF(ISBLANK(MEMBERS[[#This Row],[ServiceEndDate]]),0,IF(MEMBERS[[#This Row],[ServiceStartDate]]&lt;MEMBERS[[#This Row],[ServiceEndDate]],0,1))</f>
        <v>0</v>
      </c>
      <c r="G439" s="57" cm="1">
        <f t="array" aca="1" ref="G439" ca="1">IF(CELL("format",MEMBERS[[#This Row],[ServiceStartDate]])="D1",0,1)+IF(CELL("format",MEMBERS[[#This Row],[ServiceEndDate]])="D1",0,1)</f>
        <v>0</v>
      </c>
      <c r="H43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39" s="57">
        <f>IF(LEN(MEMBERS[[#This Row],[StaffMemberCode]])&lt;100,0,1)</f>
        <v>0</v>
      </c>
      <c r="J439" s="57">
        <f>IF(LEN(MEMBERS[[#This Row],[Title]])&lt;100,0,1)</f>
        <v>0</v>
      </c>
      <c r="K439" s="57">
        <f>COUNTBLANK(MEMBERS[[#This Row],[StaffMemberCode]:[ServiceStartDate]])+COUNTBLANK(MEMBERS[[#This Row],[Apprenticeship]]:MEMBERS[[#This Row],[StaffMemberEnabled]])+COUNTBLANK(MEMBERS[[#This Row],[GenderCode]]:MEMBERS[[#This Row],[Casual]])</f>
        <v>0</v>
      </c>
      <c r="L439" s="57">
        <f>IF(SUBSTITUTE(TEXT(MEMBERS[[#This Row],[StaffMemberCode]],10)," ","")=TEXT(MEMBERS[[#This Row],[StaffMemberCode]],10),0,1)</f>
        <v>0</v>
      </c>
      <c r="M439" s="57">
        <f ca="1">SUM(MEMBERS[[#This Row],[Duplicate NameService Start]:[Space in Code]])</f>
        <v>0</v>
      </c>
      <c r="O439" s="15">
        <v>10013441</v>
      </c>
      <c r="P439" s="15" t="s">
        <v>3327</v>
      </c>
      <c r="Q439" s="15" t="s">
        <v>4086</v>
      </c>
      <c r="R439" s="133" t="str">
        <f>MEMBERS[[#This Row],[FirstName]]&amp;" "&amp;MEMBERS[[#This Row],[LastName]]</f>
        <v>Kerry Simcock</v>
      </c>
      <c r="S439" s="21">
        <v>45271</v>
      </c>
      <c r="U439" s="21">
        <v>32986</v>
      </c>
      <c r="V439" s="138" t="b">
        <v>0</v>
      </c>
      <c r="W439" t="b">
        <v>0</v>
      </c>
      <c r="X439" t="b">
        <v>0</v>
      </c>
      <c r="Y439" t="s">
        <v>2126</v>
      </c>
      <c r="Z439" t="b">
        <v>1</v>
      </c>
      <c r="AB439" t="s">
        <v>1571</v>
      </c>
      <c r="AC439" t="b">
        <v>0</v>
      </c>
    </row>
    <row r="440" spans="1:29" x14ac:dyDescent="0.3">
      <c r="A440" s="57" t="str">
        <f>MEMBERS[[#This Row],[Title]]&amp;MEMBERS[[#This Row],[ServiceStartDate]]</f>
        <v>Kirsty Beeston44572</v>
      </c>
      <c r="B440" s="57">
        <f>IF(COUNTIF(MEMBERS[NameServiceStart],MEMBERS[[#This Row],[NameServiceStart]])=1,0,1)</f>
        <v>0</v>
      </c>
      <c r="C440" s="57">
        <f>IF(COUNTIF(MEMBERS[StaffMemberCode],MEMBERS[[#This Row],[StaffMemberCode]])=1,0,1)</f>
        <v>0</v>
      </c>
      <c r="D440" s="57">
        <f>IF(ISBLANK(MEMBERS[[#This Row],[PayrollLocation]]),0,IF(COUNTIF(SCHOOLS[SchoolCode],MEMBERS[[#This Row],[PayrollLocation]])=1,0,1))</f>
        <v>0</v>
      </c>
      <c r="E440" s="57">
        <f>IF(MEMBERS[[#This Row],[AvailableToAllSchools]]=FALSE,IF(ISBLANK(MEMBERS[[#This Row],[SchoolCodes]]),1,0),IF(MEMBERS[[#This Row],[AvailableToAllSchools]]=TRUE,IF(ISBLANK(MEMBERS[[#This Row],[SchoolCodes]]),0,1)))</f>
        <v>0</v>
      </c>
      <c r="F440" s="57">
        <f>IF(ISBLANK(MEMBERS[[#This Row],[ServiceEndDate]]),0,IF(MEMBERS[[#This Row],[ServiceStartDate]]&lt;MEMBERS[[#This Row],[ServiceEndDate]],0,1))</f>
        <v>0</v>
      </c>
      <c r="G440" s="57" cm="1">
        <f t="array" aca="1" ref="G440" ca="1">IF(CELL("format",MEMBERS[[#This Row],[ServiceStartDate]])="D1",0,1)+IF(CELL("format",MEMBERS[[#This Row],[ServiceEndDate]])="D1",0,1)</f>
        <v>0</v>
      </c>
      <c r="H44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40" s="57">
        <f>IF(LEN(MEMBERS[[#This Row],[StaffMemberCode]])&lt;100,0,1)</f>
        <v>0</v>
      </c>
      <c r="J440" s="57">
        <f>IF(LEN(MEMBERS[[#This Row],[Title]])&lt;100,0,1)</f>
        <v>0</v>
      </c>
      <c r="K440" s="57">
        <f>COUNTBLANK(MEMBERS[[#This Row],[StaffMemberCode]:[ServiceStartDate]])+COUNTBLANK(MEMBERS[[#This Row],[Apprenticeship]]:MEMBERS[[#This Row],[StaffMemberEnabled]])+COUNTBLANK(MEMBERS[[#This Row],[GenderCode]]:MEMBERS[[#This Row],[Casual]])</f>
        <v>0</v>
      </c>
      <c r="L440" s="57">
        <f>IF(SUBSTITUTE(TEXT(MEMBERS[[#This Row],[StaffMemberCode]],10)," ","")=TEXT(MEMBERS[[#This Row],[StaffMemberCode]],10),0,1)</f>
        <v>0</v>
      </c>
      <c r="M440" s="57">
        <f ca="1">SUM(MEMBERS[[#This Row],[Duplicate NameService Start]:[Space in Code]])</f>
        <v>0</v>
      </c>
      <c r="O440" s="15">
        <v>91073948</v>
      </c>
      <c r="P440" s="15" t="s">
        <v>3328</v>
      </c>
      <c r="Q440" s="15" t="s">
        <v>3734</v>
      </c>
      <c r="R440" s="133" t="str">
        <f>MEMBERS[[#This Row],[FirstName]]&amp;" "&amp;MEMBERS[[#This Row],[LastName]]</f>
        <v>Kirsty Beeston</v>
      </c>
      <c r="S440" s="21">
        <v>44572</v>
      </c>
      <c r="U440" s="21">
        <v>33819</v>
      </c>
      <c r="V440" t="b">
        <v>0</v>
      </c>
      <c r="W440" t="b">
        <v>0</v>
      </c>
      <c r="X440" t="b">
        <v>0</v>
      </c>
      <c r="Y440" t="s">
        <v>2299</v>
      </c>
      <c r="Z440" t="b">
        <v>1</v>
      </c>
      <c r="AB440" t="s">
        <v>1571</v>
      </c>
      <c r="AC440" t="b">
        <v>0</v>
      </c>
    </row>
    <row r="441" spans="1:29" x14ac:dyDescent="0.3">
      <c r="A441" s="57" t="str">
        <f>MEMBERS[[#This Row],[Title]]&amp;MEMBERS[[#This Row],[ServiceStartDate]]</f>
        <v>Kirsty Elston44034</v>
      </c>
      <c r="B441" s="57">
        <f>IF(COUNTIF(MEMBERS[NameServiceStart],MEMBERS[[#This Row],[NameServiceStart]])=1,0,1)</f>
        <v>0</v>
      </c>
      <c r="C441" s="57">
        <f>IF(COUNTIF(MEMBERS[StaffMemberCode],MEMBERS[[#This Row],[StaffMemberCode]])=1,0,1)</f>
        <v>0</v>
      </c>
      <c r="D441" s="57">
        <f>IF(ISBLANK(MEMBERS[[#This Row],[PayrollLocation]]),0,IF(COUNTIF(SCHOOLS[SchoolCode],MEMBERS[[#This Row],[PayrollLocation]])=1,0,1))</f>
        <v>0</v>
      </c>
      <c r="E441" s="57">
        <f>IF(MEMBERS[[#This Row],[AvailableToAllSchools]]=FALSE,IF(ISBLANK(MEMBERS[[#This Row],[SchoolCodes]]),1,0),IF(MEMBERS[[#This Row],[AvailableToAllSchools]]=TRUE,IF(ISBLANK(MEMBERS[[#This Row],[SchoolCodes]]),0,1)))</f>
        <v>0</v>
      </c>
      <c r="F441" s="57">
        <f>IF(ISBLANK(MEMBERS[[#This Row],[ServiceEndDate]]),0,IF(MEMBERS[[#This Row],[ServiceStartDate]]&lt;MEMBERS[[#This Row],[ServiceEndDate]],0,1))</f>
        <v>0</v>
      </c>
      <c r="G441" s="57" cm="1">
        <f t="array" aca="1" ref="G441" ca="1">IF(CELL("format",MEMBERS[[#This Row],[ServiceStartDate]])="D1",0,1)+IF(CELL("format",MEMBERS[[#This Row],[ServiceEndDate]])="D1",0,1)</f>
        <v>0</v>
      </c>
      <c r="H44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41" s="57">
        <f>IF(LEN(MEMBERS[[#This Row],[StaffMemberCode]])&lt;100,0,1)</f>
        <v>0</v>
      </c>
      <c r="J441" s="57">
        <f>IF(LEN(MEMBERS[[#This Row],[Title]])&lt;100,0,1)</f>
        <v>0</v>
      </c>
      <c r="K441" s="57">
        <f>COUNTBLANK(MEMBERS[[#This Row],[StaffMemberCode]:[ServiceStartDate]])+COUNTBLANK(MEMBERS[[#This Row],[Apprenticeship]]:MEMBERS[[#This Row],[StaffMemberEnabled]])+COUNTBLANK(MEMBERS[[#This Row],[GenderCode]]:MEMBERS[[#This Row],[Casual]])</f>
        <v>0</v>
      </c>
      <c r="L441" s="57">
        <f>IF(SUBSTITUTE(TEXT(MEMBERS[[#This Row],[StaffMemberCode]],10)," ","")=TEXT(MEMBERS[[#This Row],[StaffMemberCode]],10),0,1)</f>
        <v>0</v>
      </c>
      <c r="M441" s="57">
        <f ca="1">SUM(MEMBERS[[#This Row],[Duplicate NameService Start]:[Space in Code]])</f>
        <v>0</v>
      </c>
      <c r="O441" s="15">
        <v>10007394</v>
      </c>
      <c r="P441" s="15" t="s">
        <v>3328</v>
      </c>
      <c r="Q441" s="15" t="s">
        <v>4087</v>
      </c>
      <c r="R441" s="133" t="str">
        <f>MEMBERS[[#This Row],[FirstName]]&amp;" "&amp;MEMBERS[[#This Row],[LastName]]</f>
        <v>Kirsty Elston</v>
      </c>
      <c r="S441" s="21">
        <v>44034</v>
      </c>
      <c r="U441" s="21">
        <v>32454</v>
      </c>
      <c r="V441" s="138" t="b">
        <v>0</v>
      </c>
      <c r="W441" t="b">
        <v>0</v>
      </c>
      <c r="X441" t="b">
        <v>0</v>
      </c>
      <c r="Y441" t="s">
        <v>2126</v>
      </c>
      <c r="Z441" t="b">
        <v>1</v>
      </c>
      <c r="AB441" t="s">
        <v>1571</v>
      </c>
      <c r="AC441" t="b">
        <v>0</v>
      </c>
    </row>
    <row r="442" spans="1:29" x14ac:dyDescent="0.3">
      <c r="A442" s="57" t="str">
        <f>MEMBERS[[#This Row],[Title]]&amp;MEMBERS[[#This Row],[ServiceStartDate]]</f>
        <v>Kirsty Hickman45839</v>
      </c>
      <c r="B442" s="57">
        <f>IF(COUNTIF(MEMBERS[NameServiceStart],MEMBERS[[#This Row],[NameServiceStart]])=1,0,1)</f>
        <v>0</v>
      </c>
      <c r="C442" s="57">
        <f>IF(COUNTIF(MEMBERS[StaffMemberCode],MEMBERS[[#This Row],[StaffMemberCode]])=1,0,1)</f>
        <v>0</v>
      </c>
      <c r="D442" s="57">
        <f>IF(ISBLANK(MEMBERS[[#This Row],[PayrollLocation]]),0,IF(COUNTIF(SCHOOLS[SchoolCode],MEMBERS[[#This Row],[PayrollLocation]])=1,0,1))</f>
        <v>0</v>
      </c>
      <c r="E442" s="57">
        <f>IF(MEMBERS[[#This Row],[AvailableToAllSchools]]=FALSE,IF(ISBLANK(MEMBERS[[#This Row],[SchoolCodes]]),1,0),IF(MEMBERS[[#This Row],[AvailableToAllSchools]]=TRUE,IF(ISBLANK(MEMBERS[[#This Row],[SchoolCodes]]),0,1)))</f>
        <v>0</v>
      </c>
      <c r="F442" s="57">
        <f>IF(ISBLANK(MEMBERS[[#This Row],[ServiceEndDate]]),0,IF(MEMBERS[[#This Row],[ServiceStartDate]]&lt;MEMBERS[[#This Row],[ServiceEndDate]],0,1))</f>
        <v>0</v>
      </c>
      <c r="G442" s="57" cm="1">
        <f t="array" aca="1" ref="G442" ca="1">IF(CELL("format",MEMBERS[[#This Row],[ServiceStartDate]])="D1",0,1)+IF(CELL("format",MEMBERS[[#This Row],[ServiceEndDate]])="D1",0,1)</f>
        <v>0</v>
      </c>
      <c r="H44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42" s="57">
        <f>IF(LEN(MEMBERS[[#This Row],[StaffMemberCode]])&lt;100,0,1)</f>
        <v>0</v>
      </c>
      <c r="J442" s="57">
        <f>IF(LEN(MEMBERS[[#This Row],[Title]])&lt;100,0,1)</f>
        <v>0</v>
      </c>
      <c r="K442" s="57">
        <f>COUNTBLANK(MEMBERS[[#This Row],[StaffMemberCode]:[ServiceStartDate]])+COUNTBLANK(MEMBERS[[#This Row],[Apprenticeship]]:MEMBERS[[#This Row],[StaffMemberEnabled]])+COUNTBLANK(MEMBERS[[#This Row],[GenderCode]]:MEMBERS[[#This Row],[Casual]])</f>
        <v>0</v>
      </c>
      <c r="L442" s="57">
        <f>IF(SUBSTITUTE(TEXT(MEMBERS[[#This Row],[StaffMemberCode]],10)," ","")=TEXT(MEMBERS[[#This Row],[StaffMemberCode]],10),0,1)</f>
        <v>0</v>
      </c>
      <c r="M442" s="57">
        <f ca="1">SUM(MEMBERS[[#This Row],[Duplicate NameService Start]:[Space in Code]])</f>
        <v>0</v>
      </c>
      <c r="O442" s="15">
        <v>91850029</v>
      </c>
      <c r="P442" s="15" t="s">
        <v>3328</v>
      </c>
      <c r="Q442" s="15" t="s">
        <v>3735</v>
      </c>
      <c r="R442" s="133" t="str">
        <f>MEMBERS[[#This Row],[FirstName]]&amp;" "&amp;MEMBERS[[#This Row],[LastName]]</f>
        <v>Kirsty Hickman</v>
      </c>
      <c r="S442" s="21">
        <v>45839</v>
      </c>
      <c r="U442" s="21">
        <v>25839</v>
      </c>
      <c r="V442" t="b">
        <v>0</v>
      </c>
      <c r="W442" t="b">
        <v>0</v>
      </c>
      <c r="X442" t="b">
        <v>0</v>
      </c>
      <c r="Y442" t="s">
        <v>2082</v>
      </c>
      <c r="Z442" t="b">
        <v>1</v>
      </c>
      <c r="AB442" t="s">
        <v>1571</v>
      </c>
      <c r="AC442" t="b">
        <v>0</v>
      </c>
    </row>
    <row r="443" spans="1:29" x14ac:dyDescent="0.3">
      <c r="A443" s="57" t="str">
        <f>MEMBERS[[#This Row],[Title]]&amp;MEMBERS[[#This Row],[ServiceStartDate]]</f>
        <v>Kirsty Lister37989</v>
      </c>
      <c r="B443" s="57">
        <f>IF(COUNTIF(MEMBERS[NameServiceStart],MEMBERS[[#This Row],[NameServiceStart]])=1,0,1)</f>
        <v>0</v>
      </c>
      <c r="C443" s="57">
        <f>IF(COUNTIF(MEMBERS[StaffMemberCode],MEMBERS[[#This Row],[StaffMemberCode]])=1,0,1)</f>
        <v>0</v>
      </c>
      <c r="D443" s="57">
        <f>IF(ISBLANK(MEMBERS[[#This Row],[PayrollLocation]]),0,IF(COUNTIF(SCHOOLS[SchoolCode],MEMBERS[[#This Row],[PayrollLocation]])=1,0,1))</f>
        <v>0</v>
      </c>
      <c r="E443" s="57">
        <f>IF(MEMBERS[[#This Row],[AvailableToAllSchools]]=FALSE,IF(ISBLANK(MEMBERS[[#This Row],[SchoolCodes]]),1,0),IF(MEMBERS[[#This Row],[AvailableToAllSchools]]=TRUE,IF(ISBLANK(MEMBERS[[#This Row],[SchoolCodes]]),0,1)))</f>
        <v>0</v>
      </c>
      <c r="F443" s="57">
        <f>IF(ISBLANK(MEMBERS[[#This Row],[ServiceEndDate]]),0,IF(MEMBERS[[#This Row],[ServiceStartDate]]&lt;MEMBERS[[#This Row],[ServiceEndDate]],0,1))</f>
        <v>0</v>
      </c>
      <c r="G443" s="57" cm="1">
        <f t="array" aca="1" ref="G443" ca="1">IF(CELL("format",MEMBERS[[#This Row],[ServiceStartDate]])="D1",0,1)+IF(CELL("format",MEMBERS[[#This Row],[ServiceEndDate]])="D1",0,1)</f>
        <v>0</v>
      </c>
      <c r="H44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43" s="57">
        <f>IF(LEN(MEMBERS[[#This Row],[StaffMemberCode]])&lt;100,0,1)</f>
        <v>0</v>
      </c>
      <c r="J443" s="57">
        <f>IF(LEN(MEMBERS[[#This Row],[Title]])&lt;100,0,1)</f>
        <v>0</v>
      </c>
      <c r="K443" s="57">
        <f>COUNTBLANK(MEMBERS[[#This Row],[StaffMemberCode]:[ServiceStartDate]])+COUNTBLANK(MEMBERS[[#This Row],[Apprenticeship]]:MEMBERS[[#This Row],[StaffMemberEnabled]])+COUNTBLANK(MEMBERS[[#This Row],[GenderCode]]:MEMBERS[[#This Row],[Casual]])</f>
        <v>0</v>
      </c>
      <c r="L443" s="57">
        <f>IF(SUBSTITUTE(TEXT(MEMBERS[[#This Row],[StaffMemberCode]],10)," ","")=TEXT(MEMBERS[[#This Row],[StaffMemberCode]],10),0,1)</f>
        <v>0</v>
      </c>
      <c r="M443" s="57">
        <f ca="1">SUM(MEMBERS[[#This Row],[Duplicate NameService Start]:[Space in Code]])</f>
        <v>0</v>
      </c>
      <c r="O443" s="15">
        <v>91073400</v>
      </c>
      <c r="P443" s="15" t="s">
        <v>3328</v>
      </c>
      <c r="Q443" s="15" t="s">
        <v>3736</v>
      </c>
      <c r="R443" s="133" t="str">
        <f>MEMBERS[[#This Row],[FirstName]]&amp;" "&amp;MEMBERS[[#This Row],[LastName]]</f>
        <v>Kirsty Lister</v>
      </c>
      <c r="S443" s="21">
        <v>37989</v>
      </c>
      <c r="U443" s="21">
        <v>28307</v>
      </c>
      <c r="V443" t="b">
        <v>0</v>
      </c>
      <c r="W443" t="b">
        <v>0</v>
      </c>
      <c r="X443" t="b">
        <v>0</v>
      </c>
      <c r="Y443" t="s">
        <v>2275</v>
      </c>
      <c r="Z443" t="b">
        <v>1</v>
      </c>
      <c r="AB443" t="s">
        <v>1571</v>
      </c>
      <c r="AC443" t="b">
        <v>0</v>
      </c>
    </row>
    <row r="444" spans="1:29" x14ac:dyDescent="0.3">
      <c r="A444" s="57" t="str">
        <f>MEMBERS[[#This Row],[Title]]&amp;MEMBERS[[#This Row],[ServiceStartDate]]</f>
        <v>Kirsty MacGregor42534</v>
      </c>
      <c r="B444" s="57">
        <f>IF(COUNTIF(MEMBERS[NameServiceStart],MEMBERS[[#This Row],[NameServiceStart]])=1,0,1)</f>
        <v>0</v>
      </c>
      <c r="C444" s="57">
        <f>IF(COUNTIF(MEMBERS[StaffMemberCode],MEMBERS[[#This Row],[StaffMemberCode]])=1,0,1)</f>
        <v>0</v>
      </c>
      <c r="D444" s="57">
        <f>IF(ISBLANK(MEMBERS[[#This Row],[PayrollLocation]]),0,IF(COUNTIF(SCHOOLS[SchoolCode],MEMBERS[[#This Row],[PayrollLocation]])=1,0,1))</f>
        <v>0</v>
      </c>
      <c r="E444" s="57">
        <f>IF(MEMBERS[[#This Row],[AvailableToAllSchools]]=FALSE,IF(ISBLANK(MEMBERS[[#This Row],[SchoolCodes]]),1,0),IF(MEMBERS[[#This Row],[AvailableToAllSchools]]=TRUE,IF(ISBLANK(MEMBERS[[#This Row],[SchoolCodes]]),0,1)))</f>
        <v>0</v>
      </c>
      <c r="F444" s="57">
        <f>IF(ISBLANK(MEMBERS[[#This Row],[ServiceEndDate]]),0,IF(MEMBERS[[#This Row],[ServiceStartDate]]&lt;MEMBERS[[#This Row],[ServiceEndDate]],0,1))</f>
        <v>0</v>
      </c>
      <c r="G444" s="57" cm="1">
        <f t="array" aca="1" ref="G444" ca="1">IF(CELL("format",MEMBERS[[#This Row],[ServiceStartDate]])="D1",0,1)+IF(CELL("format",MEMBERS[[#This Row],[ServiceEndDate]])="D1",0,1)</f>
        <v>0</v>
      </c>
      <c r="H44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44" s="57">
        <f>IF(LEN(MEMBERS[[#This Row],[StaffMemberCode]])&lt;100,0,1)</f>
        <v>0</v>
      </c>
      <c r="J444" s="57">
        <f>IF(LEN(MEMBERS[[#This Row],[Title]])&lt;100,0,1)</f>
        <v>0</v>
      </c>
      <c r="K444" s="57">
        <f>COUNTBLANK(MEMBERS[[#This Row],[StaffMemberCode]:[ServiceStartDate]])+COUNTBLANK(MEMBERS[[#This Row],[Apprenticeship]]:MEMBERS[[#This Row],[StaffMemberEnabled]])+COUNTBLANK(MEMBERS[[#This Row],[GenderCode]]:MEMBERS[[#This Row],[Casual]])</f>
        <v>0</v>
      </c>
      <c r="L444" s="57">
        <f>IF(SUBSTITUTE(TEXT(MEMBERS[[#This Row],[StaffMemberCode]],10)," ","")=TEXT(MEMBERS[[#This Row],[StaffMemberCode]],10),0,1)</f>
        <v>0</v>
      </c>
      <c r="M444" s="57">
        <f ca="1">SUM(MEMBERS[[#This Row],[Duplicate NameService Start]:[Space in Code]])</f>
        <v>0</v>
      </c>
      <c r="O444" s="15">
        <v>91073441</v>
      </c>
      <c r="P444" s="15" t="s">
        <v>3328</v>
      </c>
      <c r="Q444" s="15" t="s">
        <v>3737</v>
      </c>
      <c r="R444" s="133" t="str">
        <f>MEMBERS[[#This Row],[FirstName]]&amp;" "&amp;MEMBERS[[#This Row],[LastName]]</f>
        <v>Kirsty MacGregor</v>
      </c>
      <c r="S444" s="21">
        <v>42534</v>
      </c>
      <c r="U444" s="21">
        <v>34319</v>
      </c>
      <c r="V444" t="b">
        <v>0</v>
      </c>
      <c r="W444" t="b">
        <v>0</v>
      </c>
      <c r="X444" t="b">
        <v>0</v>
      </c>
      <c r="Y444" t="s">
        <v>2094</v>
      </c>
      <c r="Z444" t="b">
        <v>1</v>
      </c>
      <c r="AB444" t="s">
        <v>1571</v>
      </c>
      <c r="AC444" t="b">
        <v>0</v>
      </c>
    </row>
    <row r="445" spans="1:29" x14ac:dyDescent="0.3">
      <c r="A445" s="57" t="str">
        <f>MEMBERS[[#This Row],[Title]]&amp;MEMBERS[[#This Row],[ServiceStartDate]]</f>
        <v>Kirsty Phillips44354</v>
      </c>
      <c r="B445" s="57">
        <f>IF(COUNTIF(MEMBERS[NameServiceStart],MEMBERS[[#This Row],[NameServiceStart]])=1,0,1)</f>
        <v>0</v>
      </c>
      <c r="C445" s="57">
        <f>IF(COUNTIF(MEMBERS[StaffMemberCode],MEMBERS[[#This Row],[StaffMemberCode]])=1,0,1)</f>
        <v>0</v>
      </c>
      <c r="D445" s="57">
        <f>IF(ISBLANK(MEMBERS[[#This Row],[PayrollLocation]]),0,IF(COUNTIF(SCHOOLS[SchoolCode],MEMBERS[[#This Row],[PayrollLocation]])=1,0,1))</f>
        <v>0</v>
      </c>
      <c r="E445" s="57">
        <f>IF(MEMBERS[[#This Row],[AvailableToAllSchools]]=FALSE,IF(ISBLANK(MEMBERS[[#This Row],[SchoolCodes]]),1,0),IF(MEMBERS[[#This Row],[AvailableToAllSchools]]=TRUE,IF(ISBLANK(MEMBERS[[#This Row],[SchoolCodes]]),0,1)))</f>
        <v>0</v>
      </c>
      <c r="F445" s="57">
        <f>IF(ISBLANK(MEMBERS[[#This Row],[ServiceEndDate]]),0,IF(MEMBERS[[#This Row],[ServiceStartDate]]&lt;MEMBERS[[#This Row],[ServiceEndDate]],0,1))</f>
        <v>0</v>
      </c>
      <c r="G445" s="57" cm="1">
        <f t="array" aca="1" ref="G445" ca="1">IF(CELL("format",MEMBERS[[#This Row],[ServiceStartDate]])="D1",0,1)+IF(CELL("format",MEMBERS[[#This Row],[ServiceEndDate]])="D1",0,1)</f>
        <v>0</v>
      </c>
      <c r="H44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45" s="57">
        <f>IF(LEN(MEMBERS[[#This Row],[StaffMemberCode]])&lt;100,0,1)</f>
        <v>0</v>
      </c>
      <c r="J445" s="57">
        <f>IF(LEN(MEMBERS[[#This Row],[Title]])&lt;100,0,1)</f>
        <v>0</v>
      </c>
      <c r="K445" s="57">
        <f>COUNTBLANK(MEMBERS[[#This Row],[StaffMemberCode]:[ServiceStartDate]])+COUNTBLANK(MEMBERS[[#This Row],[Apprenticeship]]:MEMBERS[[#This Row],[StaffMemberEnabled]])+COUNTBLANK(MEMBERS[[#This Row],[GenderCode]]:MEMBERS[[#This Row],[Casual]])</f>
        <v>0</v>
      </c>
      <c r="L445" s="57">
        <f>IF(SUBSTITUTE(TEXT(MEMBERS[[#This Row],[StaffMemberCode]],10)," ","")=TEXT(MEMBERS[[#This Row],[StaffMemberCode]],10),0,1)</f>
        <v>0</v>
      </c>
      <c r="M445" s="57">
        <f ca="1">SUM(MEMBERS[[#This Row],[Duplicate NameService Start]:[Space in Code]])</f>
        <v>0</v>
      </c>
      <c r="O445" s="15">
        <v>91075761</v>
      </c>
      <c r="P445" s="15" t="s">
        <v>3328</v>
      </c>
      <c r="Q445" s="15" t="s">
        <v>3738</v>
      </c>
      <c r="R445" s="133" t="str">
        <f>MEMBERS[[#This Row],[FirstName]]&amp;" "&amp;MEMBERS[[#This Row],[LastName]]</f>
        <v>Kirsty Phillips</v>
      </c>
      <c r="S445" s="21">
        <v>44354</v>
      </c>
      <c r="U445" s="21">
        <v>30833</v>
      </c>
      <c r="V445" t="b">
        <v>0</v>
      </c>
      <c r="W445" t="b">
        <v>0</v>
      </c>
      <c r="X445" t="b">
        <v>0</v>
      </c>
      <c r="Y445" t="s">
        <v>2200</v>
      </c>
      <c r="Z445" t="b">
        <v>1</v>
      </c>
      <c r="AB445" t="s">
        <v>1571</v>
      </c>
      <c r="AC445" t="b">
        <v>0</v>
      </c>
    </row>
    <row r="446" spans="1:29" x14ac:dyDescent="0.3">
      <c r="A446" s="57" t="str">
        <f>MEMBERS[[#This Row],[Title]]&amp;MEMBERS[[#This Row],[ServiceStartDate]]</f>
        <v>Kyra Paine45888</v>
      </c>
      <c r="B446" s="57">
        <f>IF(COUNTIF(MEMBERS[NameServiceStart],MEMBERS[[#This Row],[NameServiceStart]])=1,0,1)</f>
        <v>0</v>
      </c>
      <c r="C446" s="57">
        <f>IF(COUNTIF(MEMBERS[StaffMemberCode],MEMBERS[[#This Row],[StaffMemberCode]])=1,0,1)</f>
        <v>0</v>
      </c>
      <c r="D446" s="57">
        <f>IF(ISBLANK(MEMBERS[[#This Row],[PayrollLocation]]),0,IF(COUNTIF(SCHOOLS[SchoolCode],MEMBERS[[#This Row],[PayrollLocation]])=1,0,1))</f>
        <v>0</v>
      </c>
      <c r="E446" s="57">
        <f>IF(MEMBERS[[#This Row],[AvailableToAllSchools]]=FALSE,IF(ISBLANK(MEMBERS[[#This Row],[SchoolCodes]]),1,0),IF(MEMBERS[[#This Row],[AvailableToAllSchools]]=TRUE,IF(ISBLANK(MEMBERS[[#This Row],[SchoolCodes]]),0,1)))</f>
        <v>0</v>
      </c>
      <c r="F446" s="57">
        <f>IF(ISBLANK(MEMBERS[[#This Row],[ServiceEndDate]]),0,IF(MEMBERS[[#This Row],[ServiceStartDate]]&lt;MEMBERS[[#This Row],[ServiceEndDate]],0,1))</f>
        <v>0</v>
      </c>
      <c r="G446" s="57" cm="1">
        <f t="array" aca="1" ref="G446" ca="1">IF(CELL("format",MEMBERS[[#This Row],[ServiceStartDate]])="D1",0,1)+IF(CELL("format",MEMBERS[[#This Row],[ServiceEndDate]])="D1",0,1)</f>
        <v>0</v>
      </c>
      <c r="H44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46" s="57">
        <f>IF(LEN(MEMBERS[[#This Row],[StaffMemberCode]])&lt;100,0,1)</f>
        <v>0</v>
      </c>
      <c r="J446" s="57">
        <f>IF(LEN(MEMBERS[[#This Row],[Title]])&lt;100,0,1)</f>
        <v>0</v>
      </c>
      <c r="K446" s="57">
        <f>COUNTBLANK(MEMBERS[[#This Row],[StaffMemberCode]:[ServiceStartDate]])+COUNTBLANK(MEMBERS[[#This Row],[Apprenticeship]]:MEMBERS[[#This Row],[StaffMemberEnabled]])+COUNTBLANK(MEMBERS[[#This Row],[GenderCode]]:MEMBERS[[#This Row],[Casual]])</f>
        <v>0</v>
      </c>
      <c r="L446" s="57">
        <f>IF(SUBSTITUTE(TEXT(MEMBERS[[#This Row],[StaffMemberCode]],10)," ","")=TEXT(MEMBERS[[#This Row],[StaffMemberCode]],10),0,1)</f>
        <v>0</v>
      </c>
      <c r="M446" s="57">
        <f ca="1">SUM(MEMBERS[[#This Row],[Duplicate NameService Start]:[Space in Code]])</f>
        <v>0</v>
      </c>
      <c r="O446" s="15">
        <v>91850053</v>
      </c>
      <c r="P446" s="15" t="s">
        <v>3329</v>
      </c>
      <c r="Q446" s="15" t="s">
        <v>3739</v>
      </c>
      <c r="R446" s="133" t="str">
        <f>MEMBERS[[#This Row],[FirstName]]&amp;" "&amp;MEMBERS[[#This Row],[LastName]]</f>
        <v>Kyra Paine</v>
      </c>
      <c r="S446" s="21">
        <v>45888</v>
      </c>
      <c r="U446" s="21">
        <v>36502</v>
      </c>
      <c r="V446" t="b">
        <v>0</v>
      </c>
      <c r="W446" t="b">
        <v>0</v>
      </c>
      <c r="X446" t="b">
        <v>0</v>
      </c>
      <c r="Y446" t="s">
        <v>51</v>
      </c>
      <c r="Z446" t="b">
        <v>1</v>
      </c>
      <c r="AB446" t="s">
        <v>1571</v>
      </c>
      <c r="AC446" t="b">
        <v>0</v>
      </c>
    </row>
    <row r="447" spans="1:29" x14ac:dyDescent="0.3">
      <c r="A447" s="57" t="str">
        <f>MEMBERS[[#This Row],[Title]]&amp;MEMBERS[[#This Row],[ServiceStartDate]]</f>
        <v>Laura Beniston42233</v>
      </c>
      <c r="B447" s="57">
        <f>IF(COUNTIF(MEMBERS[NameServiceStart],MEMBERS[[#This Row],[NameServiceStart]])=1,0,1)</f>
        <v>0</v>
      </c>
      <c r="C447" s="57">
        <f>IF(COUNTIF(MEMBERS[StaffMemberCode],MEMBERS[[#This Row],[StaffMemberCode]])=1,0,1)</f>
        <v>0</v>
      </c>
      <c r="D447" s="57">
        <f>IF(ISBLANK(MEMBERS[[#This Row],[PayrollLocation]]),0,IF(COUNTIF(SCHOOLS[SchoolCode],MEMBERS[[#This Row],[PayrollLocation]])=1,0,1))</f>
        <v>0</v>
      </c>
      <c r="E447" s="57">
        <f>IF(MEMBERS[[#This Row],[AvailableToAllSchools]]=FALSE,IF(ISBLANK(MEMBERS[[#This Row],[SchoolCodes]]),1,0),IF(MEMBERS[[#This Row],[AvailableToAllSchools]]=TRUE,IF(ISBLANK(MEMBERS[[#This Row],[SchoolCodes]]),0,1)))</f>
        <v>0</v>
      </c>
      <c r="F447" s="57">
        <f>IF(ISBLANK(MEMBERS[[#This Row],[ServiceEndDate]]),0,IF(MEMBERS[[#This Row],[ServiceStartDate]]&lt;MEMBERS[[#This Row],[ServiceEndDate]],0,1))</f>
        <v>0</v>
      </c>
      <c r="G447" s="57" cm="1">
        <f t="array" aca="1" ref="G447" ca="1">IF(CELL("format",MEMBERS[[#This Row],[ServiceStartDate]])="D1",0,1)+IF(CELL("format",MEMBERS[[#This Row],[ServiceEndDate]])="D1",0,1)</f>
        <v>0</v>
      </c>
      <c r="H44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47" s="57">
        <f>IF(LEN(MEMBERS[[#This Row],[StaffMemberCode]])&lt;100,0,1)</f>
        <v>0</v>
      </c>
      <c r="J447" s="57">
        <f>IF(LEN(MEMBERS[[#This Row],[Title]])&lt;100,0,1)</f>
        <v>0</v>
      </c>
      <c r="K447" s="57">
        <f>COUNTBLANK(MEMBERS[[#This Row],[StaffMemberCode]:[ServiceStartDate]])+COUNTBLANK(MEMBERS[[#This Row],[Apprenticeship]]:MEMBERS[[#This Row],[StaffMemberEnabled]])+COUNTBLANK(MEMBERS[[#This Row],[GenderCode]]:MEMBERS[[#This Row],[Casual]])</f>
        <v>0</v>
      </c>
      <c r="L447" s="57">
        <f>IF(SUBSTITUTE(TEXT(MEMBERS[[#This Row],[StaffMemberCode]],10)," ","")=TEXT(MEMBERS[[#This Row],[StaffMemberCode]],10),0,1)</f>
        <v>0</v>
      </c>
      <c r="M447" s="57">
        <f ca="1">SUM(MEMBERS[[#This Row],[Duplicate NameService Start]:[Space in Code]])</f>
        <v>0</v>
      </c>
      <c r="O447" s="15">
        <v>10005362</v>
      </c>
      <c r="P447" s="15" t="s">
        <v>3330</v>
      </c>
      <c r="Q447" s="15" t="s">
        <v>4088</v>
      </c>
      <c r="R447" s="133" t="str">
        <f>MEMBERS[[#This Row],[FirstName]]&amp;" "&amp;MEMBERS[[#This Row],[LastName]]</f>
        <v>Laura Beniston</v>
      </c>
      <c r="S447" s="21">
        <v>42233</v>
      </c>
      <c r="U447" s="21">
        <v>33336</v>
      </c>
      <c r="V447" s="138" t="b">
        <v>0</v>
      </c>
      <c r="W447" t="b">
        <v>0</v>
      </c>
      <c r="X447" t="b">
        <v>0</v>
      </c>
      <c r="Y447" t="s">
        <v>2126</v>
      </c>
      <c r="Z447" t="b">
        <v>1</v>
      </c>
      <c r="AB447" t="s">
        <v>1571</v>
      </c>
      <c r="AC447" t="b">
        <v>0</v>
      </c>
    </row>
    <row r="448" spans="1:29" x14ac:dyDescent="0.3">
      <c r="A448" s="57" t="str">
        <f>MEMBERS[[#This Row],[Title]]&amp;MEMBERS[[#This Row],[ServiceStartDate]]</f>
        <v>Laura Carney-Cox39091</v>
      </c>
      <c r="B448" s="57">
        <f>IF(COUNTIF(MEMBERS[NameServiceStart],MEMBERS[[#This Row],[NameServiceStart]])=1,0,1)</f>
        <v>0</v>
      </c>
      <c r="C448" s="57">
        <f>IF(COUNTIF(MEMBERS[StaffMemberCode],MEMBERS[[#This Row],[StaffMemberCode]])=1,0,1)</f>
        <v>0</v>
      </c>
      <c r="D448" s="57">
        <f>IF(ISBLANK(MEMBERS[[#This Row],[PayrollLocation]]),0,IF(COUNTIF(SCHOOLS[SchoolCode],MEMBERS[[#This Row],[PayrollLocation]])=1,0,1))</f>
        <v>0</v>
      </c>
      <c r="E448" s="57">
        <f>IF(MEMBERS[[#This Row],[AvailableToAllSchools]]=FALSE,IF(ISBLANK(MEMBERS[[#This Row],[SchoolCodes]]),1,0),IF(MEMBERS[[#This Row],[AvailableToAllSchools]]=TRUE,IF(ISBLANK(MEMBERS[[#This Row],[SchoolCodes]]),0,1)))</f>
        <v>0</v>
      </c>
      <c r="F448" s="57">
        <f>IF(ISBLANK(MEMBERS[[#This Row],[ServiceEndDate]]),0,IF(MEMBERS[[#This Row],[ServiceStartDate]]&lt;MEMBERS[[#This Row],[ServiceEndDate]],0,1))</f>
        <v>0</v>
      </c>
      <c r="G448" s="57" cm="1">
        <f t="array" aca="1" ref="G448" ca="1">IF(CELL("format",MEMBERS[[#This Row],[ServiceStartDate]])="D1",0,1)+IF(CELL("format",MEMBERS[[#This Row],[ServiceEndDate]])="D1",0,1)</f>
        <v>0</v>
      </c>
      <c r="H44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48" s="57">
        <f>IF(LEN(MEMBERS[[#This Row],[StaffMemberCode]])&lt;100,0,1)</f>
        <v>0</v>
      </c>
      <c r="J448" s="57">
        <f>IF(LEN(MEMBERS[[#This Row],[Title]])&lt;100,0,1)</f>
        <v>0</v>
      </c>
      <c r="K448" s="57">
        <f>COUNTBLANK(MEMBERS[[#This Row],[StaffMemberCode]:[ServiceStartDate]])+COUNTBLANK(MEMBERS[[#This Row],[Apprenticeship]]:MEMBERS[[#This Row],[StaffMemberEnabled]])+COUNTBLANK(MEMBERS[[#This Row],[GenderCode]]:MEMBERS[[#This Row],[Casual]])</f>
        <v>0</v>
      </c>
      <c r="L448" s="57">
        <f>IF(SUBSTITUTE(TEXT(MEMBERS[[#This Row],[StaffMemberCode]],10)," ","")=TEXT(MEMBERS[[#This Row],[StaffMemberCode]],10),0,1)</f>
        <v>0</v>
      </c>
      <c r="M448" s="57">
        <f ca="1">SUM(MEMBERS[[#This Row],[Duplicate NameService Start]:[Space in Code]])</f>
        <v>0</v>
      </c>
      <c r="O448" s="15">
        <v>91073683</v>
      </c>
      <c r="P448" s="15" t="s">
        <v>3330</v>
      </c>
      <c r="Q448" s="15" t="s">
        <v>3740</v>
      </c>
      <c r="R448" s="133" t="str">
        <f>MEMBERS[[#This Row],[FirstName]]&amp;" "&amp;MEMBERS[[#This Row],[LastName]]</f>
        <v>Laura Carney-Cox</v>
      </c>
      <c r="S448" s="21">
        <v>39091</v>
      </c>
      <c r="U448" s="21">
        <v>30219</v>
      </c>
      <c r="V448" t="b">
        <v>0</v>
      </c>
      <c r="W448" t="b">
        <v>0</v>
      </c>
      <c r="X448" t="b">
        <v>0</v>
      </c>
      <c r="Y448" t="s">
        <v>2082</v>
      </c>
      <c r="Z448" t="b">
        <v>1</v>
      </c>
      <c r="AB448" t="s">
        <v>1571</v>
      </c>
      <c r="AC448" t="b">
        <v>0</v>
      </c>
    </row>
    <row r="449" spans="1:29" x14ac:dyDescent="0.3">
      <c r="A449" s="57" t="str">
        <f>MEMBERS[[#This Row],[Title]]&amp;MEMBERS[[#This Row],[ServiceStartDate]]</f>
        <v>Laura Carrigg43199</v>
      </c>
      <c r="B449" s="57">
        <f>IF(COUNTIF(MEMBERS[NameServiceStart],MEMBERS[[#This Row],[NameServiceStart]])=1,0,1)</f>
        <v>0</v>
      </c>
      <c r="C449" s="57">
        <f>IF(COUNTIF(MEMBERS[StaffMemberCode],MEMBERS[[#This Row],[StaffMemberCode]])=1,0,1)</f>
        <v>0</v>
      </c>
      <c r="D449" s="57">
        <f>IF(ISBLANK(MEMBERS[[#This Row],[PayrollLocation]]),0,IF(COUNTIF(SCHOOLS[SchoolCode],MEMBERS[[#This Row],[PayrollLocation]])=1,0,1))</f>
        <v>0</v>
      </c>
      <c r="E449" s="57">
        <f>IF(MEMBERS[[#This Row],[AvailableToAllSchools]]=FALSE,IF(ISBLANK(MEMBERS[[#This Row],[SchoolCodes]]),1,0),IF(MEMBERS[[#This Row],[AvailableToAllSchools]]=TRUE,IF(ISBLANK(MEMBERS[[#This Row],[SchoolCodes]]),0,1)))</f>
        <v>0</v>
      </c>
      <c r="F449" s="57">
        <f>IF(ISBLANK(MEMBERS[[#This Row],[ServiceEndDate]]),0,IF(MEMBERS[[#This Row],[ServiceStartDate]]&lt;MEMBERS[[#This Row],[ServiceEndDate]],0,1))</f>
        <v>0</v>
      </c>
      <c r="G449" s="57" cm="1">
        <f t="array" aca="1" ref="G449" ca="1">IF(CELL("format",MEMBERS[[#This Row],[ServiceStartDate]])="D1",0,1)+IF(CELL("format",MEMBERS[[#This Row],[ServiceEndDate]])="D1",0,1)</f>
        <v>0</v>
      </c>
      <c r="H44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49" s="57">
        <f>IF(LEN(MEMBERS[[#This Row],[StaffMemberCode]])&lt;100,0,1)</f>
        <v>0</v>
      </c>
      <c r="J449" s="57">
        <f>IF(LEN(MEMBERS[[#This Row],[Title]])&lt;100,0,1)</f>
        <v>0</v>
      </c>
      <c r="K449" s="57">
        <f>COUNTBLANK(MEMBERS[[#This Row],[StaffMemberCode]:[ServiceStartDate]])+COUNTBLANK(MEMBERS[[#This Row],[Apprenticeship]]:MEMBERS[[#This Row],[StaffMemberEnabled]])+COUNTBLANK(MEMBERS[[#This Row],[GenderCode]]:MEMBERS[[#This Row],[Casual]])</f>
        <v>0</v>
      </c>
      <c r="L449" s="57">
        <f>IF(SUBSTITUTE(TEXT(MEMBERS[[#This Row],[StaffMemberCode]],10)," ","")=TEXT(MEMBERS[[#This Row],[StaffMemberCode]],10),0,1)</f>
        <v>0</v>
      </c>
      <c r="M449" s="57">
        <f ca="1">SUM(MEMBERS[[#This Row],[Duplicate NameService Start]:[Space in Code]])</f>
        <v>0</v>
      </c>
      <c r="O449" s="15">
        <v>91073751</v>
      </c>
      <c r="P449" s="15" t="s">
        <v>3330</v>
      </c>
      <c r="Q449" s="15" t="s">
        <v>3741</v>
      </c>
      <c r="R449" s="133" t="str">
        <f>MEMBERS[[#This Row],[FirstName]]&amp;" "&amp;MEMBERS[[#This Row],[LastName]]</f>
        <v>Laura Carrigg</v>
      </c>
      <c r="S449" s="21">
        <v>43199</v>
      </c>
      <c r="U449" s="21">
        <v>34073</v>
      </c>
      <c r="V449" t="b">
        <v>0</v>
      </c>
      <c r="W449" t="b">
        <v>0</v>
      </c>
      <c r="X449" t="b">
        <v>0</v>
      </c>
      <c r="Y449" t="s">
        <v>2082</v>
      </c>
      <c r="Z449" t="b">
        <v>1</v>
      </c>
      <c r="AB449" t="s">
        <v>1571</v>
      </c>
      <c r="AC449" t="b">
        <v>0</v>
      </c>
    </row>
    <row r="450" spans="1:29" x14ac:dyDescent="0.3">
      <c r="A450" s="57" t="str">
        <f>MEMBERS[[#This Row],[Title]]&amp;MEMBERS[[#This Row],[ServiceStartDate]]</f>
        <v>Laura Cooper45446</v>
      </c>
      <c r="B450" s="57">
        <f>IF(COUNTIF(MEMBERS[NameServiceStart],MEMBERS[[#This Row],[NameServiceStart]])=1,0,1)</f>
        <v>0</v>
      </c>
      <c r="C450" s="57">
        <f>IF(COUNTIF(MEMBERS[StaffMemberCode],MEMBERS[[#This Row],[StaffMemberCode]])=1,0,1)</f>
        <v>0</v>
      </c>
      <c r="D450" s="57">
        <f>IF(ISBLANK(MEMBERS[[#This Row],[PayrollLocation]]),0,IF(COUNTIF(SCHOOLS[SchoolCode],MEMBERS[[#This Row],[PayrollLocation]])=1,0,1))</f>
        <v>0</v>
      </c>
      <c r="E450" s="57">
        <f>IF(MEMBERS[[#This Row],[AvailableToAllSchools]]=FALSE,IF(ISBLANK(MEMBERS[[#This Row],[SchoolCodes]]),1,0),IF(MEMBERS[[#This Row],[AvailableToAllSchools]]=TRUE,IF(ISBLANK(MEMBERS[[#This Row],[SchoolCodes]]),0,1)))</f>
        <v>0</v>
      </c>
      <c r="F450" s="57">
        <f>IF(ISBLANK(MEMBERS[[#This Row],[ServiceEndDate]]),0,IF(MEMBERS[[#This Row],[ServiceStartDate]]&lt;MEMBERS[[#This Row],[ServiceEndDate]],0,1))</f>
        <v>0</v>
      </c>
      <c r="G450" s="57" cm="1">
        <f t="array" aca="1" ref="G450" ca="1">IF(CELL("format",MEMBERS[[#This Row],[ServiceStartDate]])="D1",0,1)+IF(CELL("format",MEMBERS[[#This Row],[ServiceEndDate]])="D1",0,1)</f>
        <v>0</v>
      </c>
      <c r="H45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50" s="57">
        <f>IF(LEN(MEMBERS[[#This Row],[StaffMemberCode]])&lt;100,0,1)</f>
        <v>0</v>
      </c>
      <c r="J450" s="57">
        <f>IF(LEN(MEMBERS[[#This Row],[Title]])&lt;100,0,1)</f>
        <v>0</v>
      </c>
      <c r="K450" s="57">
        <f>COUNTBLANK(MEMBERS[[#This Row],[StaffMemberCode]:[ServiceStartDate]])+COUNTBLANK(MEMBERS[[#This Row],[Apprenticeship]]:MEMBERS[[#This Row],[StaffMemberEnabled]])+COUNTBLANK(MEMBERS[[#This Row],[GenderCode]]:MEMBERS[[#This Row],[Casual]])</f>
        <v>0</v>
      </c>
      <c r="L450" s="57">
        <f>IF(SUBSTITUTE(TEXT(MEMBERS[[#This Row],[StaffMemberCode]],10)," ","")=TEXT(MEMBERS[[#This Row],[StaffMemberCode]],10),0,1)</f>
        <v>0</v>
      </c>
      <c r="M450" s="57">
        <f ca="1">SUM(MEMBERS[[#This Row],[Duplicate NameService Start]:[Space in Code]])</f>
        <v>0</v>
      </c>
      <c r="O450" s="15">
        <v>91323887</v>
      </c>
      <c r="P450" s="15" t="s">
        <v>3330</v>
      </c>
      <c r="Q450" s="15" t="s">
        <v>3517</v>
      </c>
      <c r="R450" s="133" t="str">
        <f>MEMBERS[[#This Row],[FirstName]]&amp;" "&amp;MEMBERS[[#This Row],[LastName]]</f>
        <v>Laura Cooper</v>
      </c>
      <c r="S450" s="21">
        <v>45446</v>
      </c>
      <c r="U450" s="21">
        <v>31734</v>
      </c>
      <c r="V450" t="b">
        <v>0</v>
      </c>
      <c r="W450" t="b">
        <v>0</v>
      </c>
      <c r="X450" t="b">
        <v>0</v>
      </c>
      <c r="Y450" t="s">
        <v>2275</v>
      </c>
      <c r="Z450" t="b">
        <v>1</v>
      </c>
      <c r="AB450" t="s">
        <v>1571</v>
      </c>
      <c r="AC450" t="b">
        <v>0</v>
      </c>
    </row>
    <row r="451" spans="1:29" x14ac:dyDescent="0.3">
      <c r="A451" s="57" t="str">
        <f>MEMBERS[[#This Row],[Title]]&amp;MEMBERS[[#This Row],[ServiceStartDate]]</f>
        <v>Laura Holland44805</v>
      </c>
      <c r="B451" s="57">
        <f>IF(COUNTIF(MEMBERS[NameServiceStart],MEMBERS[[#This Row],[NameServiceStart]])=1,0,1)</f>
        <v>0</v>
      </c>
      <c r="C451" s="57">
        <f>IF(COUNTIF(MEMBERS[StaffMemberCode],MEMBERS[[#This Row],[StaffMemberCode]])=1,0,1)</f>
        <v>0</v>
      </c>
      <c r="D451" s="57">
        <f>IF(ISBLANK(MEMBERS[[#This Row],[PayrollLocation]]),0,IF(COUNTIF(SCHOOLS[SchoolCode],MEMBERS[[#This Row],[PayrollLocation]])=1,0,1))</f>
        <v>0</v>
      </c>
      <c r="E451" s="57">
        <f>IF(MEMBERS[[#This Row],[AvailableToAllSchools]]=FALSE,IF(ISBLANK(MEMBERS[[#This Row],[SchoolCodes]]),1,0),IF(MEMBERS[[#This Row],[AvailableToAllSchools]]=TRUE,IF(ISBLANK(MEMBERS[[#This Row],[SchoolCodes]]),0,1)))</f>
        <v>0</v>
      </c>
      <c r="F451" s="57">
        <f>IF(ISBLANK(MEMBERS[[#This Row],[ServiceEndDate]]),0,IF(MEMBERS[[#This Row],[ServiceStartDate]]&lt;MEMBERS[[#This Row],[ServiceEndDate]],0,1))</f>
        <v>0</v>
      </c>
      <c r="G451" s="57" cm="1">
        <f t="array" aca="1" ref="G451" ca="1">IF(CELL("format",MEMBERS[[#This Row],[ServiceStartDate]])="D1",0,1)+IF(CELL("format",MEMBERS[[#This Row],[ServiceEndDate]])="D1",0,1)</f>
        <v>0</v>
      </c>
      <c r="H45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51" s="57">
        <f>IF(LEN(MEMBERS[[#This Row],[StaffMemberCode]])&lt;100,0,1)</f>
        <v>0</v>
      </c>
      <c r="J451" s="57">
        <f>IF(LEN(MEMBERS[[#This Row],[Title]])&lt;100,0,1)</f>
        <v>0</v>
      </c>
      <c r="K451" s="57">
        <f>COUNTBLANK(MEMBERS[[#This Row],[StaffMemberCode]:[ServiceStartDate]])+COUNTBLANK(MEMBERS[[#This Row],[Apprenticeship]]:MEMBERS[[#This Row],[StaffMemberEnabled]])+COUNTBLANK(MEMBERS[[#This Row],[GenderCode]]:MEMBERS[[#This Row],[Casual]])</f>
        <v>0</v>
      </c>
      <c r="L451" s="57">
        <f>IF(SUBSTITUTE(TEXT(MEMBERS[[#This Row],[StaffMemberCode]],10)," ","")=TEXT(MEMBERS[[#This Row],[StaffMemberCode]],10),0,1)</f>
        <v>0</v>
      </c>
      <c r="M451" s="57">
        <f ca="1">SUM(MEMBERS[[#This Row],[Duplicate NameService Start]:[Space in Code]])</f>
        <v>0</v>
      </c>
      <c r="O451" s="15">
        <v>10010504</v>
      </c>
      <c r="P451" s="15" t="s">
        <v>3330</v>
      </c>
      <c r="Q451" s="15" t="s">
        <v>3659</v>
      </c>
      <c r="R451" s="133" t="str">
        <f>MEMBERS[[#This Row],[FirstName]]&amp;" "&amp;MEMBERS[[#This Row],[LastName]]</f>
        <v>Laura Holland</v>
      </c>
      <c r="S451" s="21">
        <v>44805</v>
      </c>
      <c r="U451" s="21">
        <v>36728</v>
      </c>
      <c r="V451" s="138" t="b">
        <v>0</v>
      </c>
      <c r="W451" t="b">
        <v>0</v>
      </c>
      <c r="X451" t="b">
        <v>0</v>
      </c>
      <c r="Y451" t="s">
        <v>2126</v>
      </c>
      <c r="Z451" t="b">
        <v>1</v>
      </c>
      <c r="AB451" t="s">
        <v>1571</v>
      </c>
      <c r="AC451" t="b">
        <v>0</v>
      </c>
    </row>
    <row r="452" spans="1:29" x14ac:dyDescent="0.3">
      <c r="A452" s="57" t="str">
        <f>MEMBERS[[#This Row],[Title]]&amp;MEMBERS[[#This Row],[ServiceStartDate]]</f>
        <v>Laura Howard39091</v>
      </c>
      <c r="B452" s="57">
        <f>IF(COUNTIF(MEMBERS[NameServiceStart],MEMBERS[[#This Row],[NameServiceStart]])=1,0,1)</f>
        <v>0</v>
      </c>
      <c r="C452" s="57">
        <f>IF(COUNTIF(MEMBERS[StaffMemberCode],MEMBERS[[#This Row],[StaffMemberCode]])=1,0,1)</f>
        <v>0</v>
      </c>
      <c r="D452" s="57">
        <f>IF(ISBLANK(MEMBERS[[#This Row],[PayrollLocation]]),0,IF(COUNTIF(SCHOOLS[SchoolCode],MEMBERS[[#This Row],[PayrollLocation]])=1,0,1))</f>
        <v>0</v>
      </c>
      <c r="E452" s="57">
        <f>IF(MEMBERS[[#This Row],[AvailableToAllSchools]]=FALSE,IF(ISBLANK(MEMBERS[[#This Row],[SchoolCodes]]),1,0),IF(MEMBERS[[#This Row],[AvailableToAllSchools]]=TRUE,IF(ISBLANK(MEMBERS[[#This Row],[SchoolCodes]]),0,1)))</f>
        <v>0</v>
      </c>
      <c r="F452" s="57">
        <f>IF(ISBLANK(MEMBERS[[#This Row],[ServiceEndDate]]),0,IF(MEMBERS[[#This Row],[ServiceStartDate]]&lt;MEMBERS[[#This Row],[ServiceEndDate]],0,1))</f>
        <v>0</v>
      </c>
      <c r="G452" s="57" cm="1">
        <f t="array" aca="1" ref="G452" ca="1">IF(CELL("format",MEMBERS[[#This Row],[ServiceStartDate]])="D1",0,1)+IF(CELL("format",MEMBERS[[#This Row],[ServiceEndDate]])="D1",0,1)</f>
        <v>0</v>
      </c>
      <c r="H45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52" s="57">
        <f>IF(LEN(MEMBERS[[#This Row],[StaffMemberCode]])&lt;100,0,1)</f>
        <v>0</v>
      </c>
      <c r="J452" s="57">
        <f>IF(LEN(MEMBERS[[#This Row],[Title]])&lt;100,0,1)</f>
        <v>0</v>
      </c>
      <c r="K452" s="57">
        <f>COUNTBLANK(MEMBERS[[#This Row],[StaffMemberCode]:[ServiceStartDate]])+COUNTBLANK(MEMBERS[[#This Row],[Apprenticeship]]:MEMBERS[[#This Row],[StaffMemberEnabled]])+COUNTBLANK(MEMBERS[[#This Row],[GenderCode]]:MEMBERS[[#This Row],[Casual]])</f>
        <v>0</v>
      </c>
      <c r="L452" s="57">
        <f>IF(SUBSTITUTE(TEXT(MEMBERS[[#This Row],[StaffMemberCode]],10)," ","")=TEXT(MEMBERS[[#This Row],[StaffMemberCode]],10),0,1)</f>
        <v>0</v>
      </c>
      <c r="M452" s="57">
        <f ca="1">SUM(MEMBERS[[#This Row],[Duplicate NameService Start]:[Space in Code]])</f>
        <v>0</v>
      </c>
      <c r="O452" s="15">
        <v>91073684</v>
      </c>
      <c r="P452" s="15" t="s">
        <v>3330</v>
      </c>
      <c r="Q452" s="15" t="s">
        <v>3657</v>
      </c>
      <c r="R452" s="133" t="str">
        <f>MEMBERS[[#This Row],[FirstName]]&amp;" "&amp;MEMBERS[[#This Row],[LastName]]</f>
        <v>Laura Howard</v>
      </c>
      <c r="S452" s="21">
        <v>39091</v>
      </c>
      <c r="U452" s="21">
        <v>30370</v>
      </c>
      <c r="V452" t="b">
        <v>0</v>
      </c>
      <c r="W452" t="b">
        <v>0</v>
      </c>
      <c r="X452" t="b">
        <v>0</v>
      </c>
      <c r="Y452" t="s">
        <v>2082</v>
      </c>
      <c r="Z452" t="b">
        <v>1</v>
      </c>
      <c r="AB452" t="s">
        <v>1571</v>
      </c>
      <c r="AC452" t="b">
        <v>0</v>
      </c>
    </row>
    <row r="453" spans="1:29" x14ac:dyDescent="0.3">
      <c r="A453" s="57" t="str">
        <f>MEMBERS[[#This Row],[Title]]&amp;MEMBERS[[#This Row],[ServiceStartDate]]</f>
        <v>Laura Jolley40187</v>
      </c>
      <c r="B453" s="57">
        <f>IF(COUNTIF(MEMBERS[NameServiceStart],MEMBERS[[#This Row],[NameServiceStart]])=1,0,1)</f>
        <v>0</v>
      </c>
      <c r="C453" s="57">
        <f>IF(COUNTIF(MEMBERS[StaffMemberCode],MEMBERS[[#This Row],[StaffMemberCode]])=1,0,1)</f>
        <v>0</v>
      </c>
      <c r="D453" s="57">
        <f>IF(ISBLANK(MEMBERS[[#This Row],[PayrollLocation]]),0,IF(COUNTIF(SCHOOLS[SchoolCode],MEMBERS[[#This Row],[PayrollLocation]])=1,0,1))</f>
        <v>0</v>
      </c>
      <c r="E453" s="57">
        <f>IF(MEMBERS[[#This Row],[AvailableToAllSchools]]=FALSE,IF(ISBLANK(MEMBERS[[#This Row],[SchoolCodes]]),1,0),IF(MEMBERS[[#This Row],[AvailableToAllSchools]]=TRUE,IF(ISBLANK(MEMBERS[[#This Row],[SchoolCodes]]),0,1)))</f>
        <v>0</v>
      </c>
      <c r="F453" s="57">
        <f>IF(ISBLANK(MEMBERS[[#This Row],[ServiceEndDate]]),0,IF(MEMBERS[[#This Row],[ServiceStartDate]]&lt;MEMBERS[[#This Row],[ServiceEndDate]],0,1))</f>
        <v>0</v>
      </c>
      <c r="G453" s="57" cm="1">
        <f t="array" aca="1" ref="G453" ca="1">IF(CELL("format",MEMBERS[[#This Row],[ServiceStartDate]])="D1",0,1)+IF(CELL("format",MEMBERS[[#This Row],[ServiceEndDate]])="D1",0,1)</f>
        <v>0</v>
      </c>
      <c r="H45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53" s="57">
        <f>IF(LEN(MEMBERS[[#This Row],[StaffMemberCode]])&lt;100,0,1)</f>
        <v>0</v>
      </c>
      <c r="J453" s="57">
        <f>IF(LEN(MEMBERS[[#This Row],[Title]])&lt;100,0,1)</f>
        <v>0</v>
      </c>
      <c r="K453" s="57">
        <f>COUNTBLANK(MEMBERS[[#This Row],[StaffMemberCode]:[ServiceStartDate]])+COUNTBLANK(MEMBERS[[#This Row],[Apprenticeship]]:MEMBERS[[#This Row],[StaffMemberEnabled]])+COUNTBLANK(MEMBERS[[#This Row],[GenderCode]]:MEMBERS[[#This Row],[Casual]])</f>
        <v>0</v>
      </c>
      <c r="L453" s="57">
        <f>IF(SUBSTITUTE(TEXT(MEMBERS[[#This Row],[StaffMemberCode]],10)," ","")=TEXT(MEMBERS[[#This Row],[StaffMemberCode]],10),0,1)</f>
        <v>0</v>
      </c>
      <c r="M453" s="57">
        <f ca="1">SUM(MEMBERS[[#This Row],[Duplicate NameService Start]:[Space in Code]])</f>
        <v>0</v>
      </c>
      <c r="O453" s="15">
        <v>91073812</v>
      </c>
      <c r="P453" s="15" t="s">
        <v>3330</v>
      </c>
      <c r="Q453" s="15" t="s">
        <v>3742</v>
      </c>
      <c r="R453" s="133" t="str">
        <f>MEMBERS[[#This Row],[FirstName]]&amp;" "&amp;MEMBERS[[#This Row],[LastName]]</f>
        <v>Laura Jolley</v>
      </c>
      <c r="S453" s="21">
        <v>40187</v>
      </c>
      <c r="U453" s="21">
        <v>31800</v>
      </c>
      <c r="V453" t="b">
        <v>0</v>
      </c>
      <c r="W453" t="b">
        <v>0</v>
      </c>
      <c r="X453" t="b">
        <v>0</v>
      </c>
      <c r="Y453" t="s">
        <v>2082</v>
      </c>
      <c r="Z453" t="b">
        <v>1</v>
      </c>
      <c r="AB453" t="s">
        <v>1571</v>
      </c>
      <c r="AC453" t="b">
        <v>0</v>
      </c>
    </row>
    <row r="454" spans="1:29" x14ac:dyDescent="0.3">
      <c r="A454" s="57" t="str">
        <f>MEMBERS[[#This Row],[Title]]&amp;MEMBERS[[#This Row],[ServiceStartDate]]</f>
        <v>Laura Jones40187</v>
      </c>
      <c r="B454" s="57">
        <f>IF(COUNTIF(MEMBERS[NameServiceStart],MEMBERS[[#This Row],[NameServiceStart]])=1,0,1)</f>
        <v>0</v>
      </c>
      <c r="C454" s="57">
        <f>IF(COUNTIF(MEMBERS[StaffMemberCode],MEMBERS[[#This Row],[StaffMemberCode]])=1,0,1)</f>
        <v>0</v>
      </c>
      <c r="D454" s="57">
        <f>IF(ISBLANK(MEMBERS[[#This Row],[PayrollLocation]]),0,IF(COUNTIF(SCHOOLS[SchoolCode],MEMBERS[[#This Row],[PayrollLocation]])=1,0,1))</f>
        <v>0</v>
      </c>
      <c r="E454" s="57">
        <f>IF(MEMBERS[[#This Row],[AvailableToAllSchools]]=FALSE,IF(ISBLANK(MEMBERS[[#This Row],[SchoolCodes]]),1,0),IF(MEMBERS[[#This Row],[AvailableToAllSchools]]=TRUE,IF(ISBLANK(MEMBERS[[#This Row],[SchoolCodes]]),0,1)))</f>
        <v>0</v>
      </c>
      <c r="F454" s="57">
        <f>IF(ISBLANK(MEMBERS[[#This Row],[ServiceEndDate]]),0,IF(MEMBERS[[#This Row],[ServiceStartDate]]&lt;MEMBERS[[#This Row],[ServiceEndDate]],0,1))</f>
        <v>0</v>
      </c>
      <c r="G454" s="57" cm="1">
        <f t="array" aca="1" ref="G454" ca="1">IF(CELL("format",MEMBERS[[#This Row],[ServiceStartDate]])="D1",0,1)+IF(CELL("format",MEMBERS[[#This Row],[ServiceEndDate]])="D1",0,1)</f>
        <v>0</v>
      </c>
      <c r="H45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54" s="57">
        <f>IF(LEN(MEMBERS[[#This Row],[StaffMemberCode]])&lt;100,0,1)</f>
        <v>0</v>
      </c>
      <c r="J454" s="57">
        <f>IF(LEN(MEMBERS[[#This Row],[Title]])&lt;100,0,1)</f>
        <v>0</v>
      </c>
      <c r="K454" s="57">
        <f>COUNTBLANK(MEMBERS[[#This Row],[StaffMemberCode]:[ServiceStartDate]])+COUNTBLANK(MEMBERS[[#This Row],[Apprenticeship]]:MEMBERS[[#This Row],[StaffMemberEnabled]])+COUNTBLANK(MEMBERS[[#This Row],[GenderCode]]:MEMBERS[[#This Row],[Casual]])</f>
        <v>0</v>
      </c>
      <c r="L454" s="57">
        <f>IF(SUBSTITUTE(TEXT(MEMBERS[[#This Row],[StaffMemberCode]],10)," ","")=TEXT(MEMBERS[[#This Row],[StaffMemberCode]],10),0,1)</f>
        <v>0</v>
      </c>
      <c r="M454" s="57">
        <f ca="1">SUM(MEMBERS[[#This Row],[Duplicate NameService Start]:[Space in Code]])</f>
        <v>0</v>
      </c>
      <c r="O454" s="15">
        <v>91073487</v>
      </c>
      <c r="P454" s="15" t="s">
        <v>3330</v>
      </c>
      <c r="Q454" s="15" t="s">
        <v>3473</v>
      </c>
      <c r="R454" s="133" t="str">
        <f>MEMBERS[[#This Row],[FirstName]]&amp;" "&amp;MEMBERS[[#This Row],[LastName]]</f>
        <v>Laura Jones</v>
      </c>
      <c r="S454" s="21">
        <v>40187</v>
      </c>
      <c r="U454" s="21">
        <v>32330</v>
      </c>
      <c r="V454" t="b">
        <v>0</v>
      </c>
      <c r="W454" t="b">
        <v>0</v>
      </c>
      <c r="X454" t="b">
        <v>0</v>
      </c>
      <c r="Y454" t="s">
        <v>2094</v>
      </c>
      <c r="Z454" t="b">
        <v>1</v>
      </c>
      <c r="AB454" t="s">
        <v>1571</v>
      </c>
      <c r="AC454" t="b">
        <v>0</v>
      </c>
    </row>
    <row r="455" spans="1:29" x14ac:dyDescent="0.3">
      <c r="A455" s="57" t="str">
        <f>MEMBERS[[#This Row],[Title]]&amp;MEMBERS[[#This Row],[ServiceStartDate]]</f>
        <v>Laura Kirk-Bradshaw44641</v>
      </c>
      <c r="B455" s="57">
        <f>IF(COUNTIF(MEMBERS[NameServiceStart],MEMBERS[[#This Row],[NameServiceStart]])=1,0,1)</f>
        <v>0</v>
      </c>
      <c r="C455" s="57">
        <f>IF(COUNTIF(MEMBERS[StaffMemberCode],MEMBERS[[#This Row],[StaffMemberCode]])=1,0,1)</f>
        <v>0</v>
      </c>
      <c r="D455" s="57">
        <f>IF(ISBLANK(MEMBERS[[#This Row],[PayrollLocation]]),0,IF(COUNTIF(SCHOOLS[SchoolCode],MEMBERS[[#This Row],[PayrollLocation]])=1,0,1))</f>
        <v>0</v>
      </c>
      <c r="E455" s="57">
        <f>IF(MEMBERS[[#This Row],[AvailableToAllSchools]]=FALSE,IF(ISBLANK(MEMBERS[[#This Row],[SchoolCodes]]),1,0),IF(MEMBERS[[#This Row],[AvailableToAllSchools]]=TRUE,IF(ISBLANK(MEMBERS[[#This Row],[SchoolCodes]]),0,1)))</f>
        <v>0</v>
      </c>
      <c r="F455" s="57">
        <f>IF(ISBLANK(MEMBERS[[#This Row],[ServiceEndDate]]),0,IF(MEMBERS[[#This Row],[ServiceStartDate]]&lt;MEMBERS[[#This Row],[ServiceEndDate]],0,1))</f>
        <v>0</v>
      </c>
      <c r="G455" s="57" cm="1">
        <f t="array" aca="1" ref="G455" ca="1">IF(CELL("format",MEMBERS[[#This Row],[ServiceStartDate]])="D1",0,1)+IF(CELL("format",MEMBERS[[#This Row],[ServiceEndDate]])="D1",0,1)</f>
        <v>0</v>
      </c>
      <c r="H45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55" s="57">
        <f>IF(LEN(MEMBERS[[#This Row],[StaffMemberCode]])&lt;100,0,1)</f>
        <v>0</v>
      </c>
      <c r="J455" s="57">
        <f>IF(LEN(MEMBERS[[#This Row],[Title]])&lt;100,0,1)</f>
        <v>0</v>
      </c>
      <c r="K455" s="57">
        <f>COUNTBLANK(MEMBERS[[#This Row],[StaffMemberCode]:[ServiceStartDate]])+COUNTBLANK(MEMBERS[[#This Row],[Apprenticeship]]:MEMBERS[[#This Row],[StaffMemberEnabled]])+COUNTBLANK(MEMBERS[[#This Row],[GenderCode]]:MEMBERS[[#This Row],[Casual]])</f>
        <v>0</v>
      </c>
      <c r="L455" s="57">
        <f>IF(SUBSTITUTE(TEXT(MEMBERS[[#This Row],[StaffMemberCode]],10)," ","")=TEXT(MEMBERS[[#This Row],[StaffMemberCode]],10),0,1)</f>
        <v>0</v>
      </c>
      <c r="M455" s="57">
        <f ca="1">SUM(MEMBERS[[#This Row],[Duplicate NameService Start]:[Space in Code]])</f>
        <v>0</v>
      </c>
      <c r="O455" s="15">
        <v>10009923</v>
      </c>
      <c r="P455" s="15" t="s">
        <v>3330</v>
      </c>
      <c r="Q455" s="15" t="s">
        <v>4089</v>
      </c>
      <c r="R455" s="133" t="str">
        <f>MEMBERS[[#This Row],[FirstName]]&amp;" "&amp;MEMBERS[[#This Row],[LastName]]</f>
        <v>Laura Kirk-Bradshaw</v>
      </c>
      <c r="S455" s="21">
        <v>44641</v>
      </c>
      <c r="U455" s="21">
        <v>30493</v>
      </c>
      <c r="V455" s="138" t="b">
        <v>0</v>
      </c>
      <c r="W455" t="b">
        <v>0</v>
      </c>
      <c r="X455" t="b">
        <v>0</v>
      </c>
      <c r="Y455" t="s">
        <v>2126</v>
      </c>
      <c r="Z455" t="b">
        <v>1</v>
      </c>
      <c r="AB455" t="s">
        <v>1571</v>
      </c>
      <c r="AC455" t="b">
        <v>0</v>
      </c>
    </row>
    <row r="456" spans="1:29" x14ac:dyDescent="0.3">
      <c r="A456" s="57" t="str">
        <f>MEMBERS[[#This Row],[Title]]&amp;MEMBERS[[#This Row],[ServiceStartDate]]</f>
        <v>Laura Linde40552</v>
      </c>
      <c r="B456" s="57">
        <f>IF(COUNTIF(MEMBERS[NameServiceStart],MEMBERS[[#This Row],[NameServiceStart]])=1,0,1)</f>
        <v>0</v>
      </c>
      <c r="C456" s="57">
        <f>IF(COUNTIF(MEMBERS[StaffMemberCode],MEMBERS[[#This Row],[StaffMemberCode]])=1,0,1)</f>
        <v>0</v>
      </c>
      <c r="D456" s="57">
        <f>IF(ISBLANK(MEMBERS[[#This Row],[PayrollLocation]]),0,IF(COUNTIF(SCHOOLS[SchoolCode],MEMBERS[[#This Row],[PayrollLocation]])=1,0,1))</f>
        <v>0</v>
      </c>
      <c r="E456" s="57">
        <f>IF(MEMBERS[[#This Row],[AvailableToAllSchools]]=FALSE,IF(ISBLANK(MEMBERS[[#This Row],[SchoolCodes]]),1,0),IF(MEMBERS[[#This Row],[AvailableToAllSchools]]=TRUE,IF(ISBLANK(MEMBERS[[#This Row],[SchoolCodes]]),0,1)))</f>
        <v>0</v>
      </c>
      <c r="F456" s="57">
        <f>IF(ISBLANK(MEMBERS[[#This Row],[ServiceEndDate]]),0,IF(MEMBERS[[#This Row],[ServiceStartDate]]&lt;MEMBERS[[#This Row],[ServiceEndDate]],0,1))</f>
        <v>0</v>
      </c>
      <c r="G456" s="57" cm="1">
        <f t="array" aca="1" ref="G456" ca="1">IF(CELL("format",MEMBERS[[#This Row],[ServiceStartDate]])="D1",0,1)+IF(CELL("format",MEMBERS[[#This Row],[ServiceEndDate]])="D1",0,1)</f>
        <v>0</v>
      </c>
      <c r="H45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56" s="57">
        <f>IF(LEN(MEMBERS[[#This Row],[StaffMemberCode]])&lt;100,0,1)</f>
        <v>0</v>
      </c>
      <c r="J456" s="57">
        <f>IF(LEN(MEMBERS[[#This Row],[Title]])&lt;100,0,1)</f>
        <v>0</v>
      </c>
      <c r="K456" s="57">
        <f>COUNTBLANK(MEMBERS[[#This Row],[StaffMemberCode]:[ServiceStartDate]])+COUNTBLANK(MEMBERS[[#This Row],[Apprenticeship]]:MEMBERS[[#This Row],[StaffMemberEnabled]])+COUNTBLANK(MEMBERS[[#This Row],[GenderCode]]:MEMBERS[[#This Row],[Casual]])</f>
        <v>0</v>
      </c>
      <c r="L456" s="57">
        <f>IF(SUBSTITUTE(TEXT(MEMBERS[[#This Row],[StaffMemberCode]],10)," ","")=TEXT(MEMBERS[[#This Row],[StaffMemberCode]],10),0,1)</f>
        <v>0</v>
      </c>
      <c r="M456" s="57">
        <f ca="1">SUM(MEMBERS[[#This Row],[Duplicate NameService Start]:[Space in Code]])</f>
        <v>0</v>
      </c>
      <c r="O456" s="15">
        <v>91073503</v>
      </c>
      <c r="P456" s="15" t="s">
        <v>3330</v>
      </c>
      <c r="Q456" s="15" t="s">
        <v>3743</v>
      </c>
      <c r="R456" s="133" t="str">
        <f>MEMBERS[[#This Row],[FirstName]]&amp;" "&amp;MEMBERS[[#This Row],[LastName]]</f>
        <v>Laura Linde</v>
      </c>
      <c r="S456" s="21">
        <v>40552</v>
      </c>
      <c r="U456" s="21">
        <v>32314</v>
      </c>
      <c r="V456" t="b">
        <v>0</v>
      </c>
      <c r="W456" t="b">
        <v>0</v>
      </c>
      <c r="X456" t="b">
        <v>0</v>
      </c>
      <c r="Y456" t="s">
        <v>2094</v>
      </c>
      <c r="Z456" t="b">
        <v>1</v>
      </c>
      <c r="AB456" t="s">
        <v>1571</v>
      </c>
      <c r="AC456" t="b">
        <v>0</v>
      </c>
    </row>
    <row r="457" spans="1:29" x14ac:dyDescent="0.3">
      <c r="A457" s="57" t="str">
        <f>MEMBERS[[#This Row],[Title]]&amp;MEMBERS[[#This Row],[ServiceStartDate]]</f>
        <v>Laura Maddocks41648</v>
      </c>
      <c r="B457" s="57">
        <f>IF(COUNTIF(MEMBERS[NameServiceStart],MEMBERS[[#This Row],[NameServiceStart]])=1,0,1)</f>
        <v>0</v>
      </c>
      <c r="C457" s="57">
        <f>IF(COUNTIF(MEMBERS[StaffMemberCode],MEMBERS[[#This Row],[StaffMemberCode]])=1,0,1)</f>
        <v>0</v>
      </c>
      <c r="D457" s="57">
        <f>IF(ISBLANK(MEMBERS[[#This Row],[PayrollLocation]]),0,IF(COUNTIF(SCHOOLS[SchoolCode],MEMBERS[[#This Row],[PayrollLocation]])=1,0,1))</f>
        <v>0</v>
      </c>
      <c r="E457" s="57">
        <f>IF(MEMBERS[[#This Row],[AvailableToAllSchools]]=FALSE,IF(ISBLANK(MEMBERS[[#This Row],[SchoolCodes]]),1,0),IF(MEMBERS[[#This Row],[AvailableToAllSchools]]=TRUE,IF(ISBLANK(MEMBERS[[#This Row],[SchoolCodes]]),0,1)))</f>
        <v>0</v>
      </c>
      <c r="F457" s="57">
        <f>IF(ISBLANK(MEMBERS[[#This Row],[ServiceEndDate]]),0,IF(MEMBERS[[#This Row],[ServiceStartDate]]&lt;MEMBERS[[#This Row],[ServiceEndDate]],0,1))</f>
        <v>0</v>
      </c>
      <c r="G457" s="57" cm="1">
        <f t="array" aca="1" ref="G457" ca="1">IF(CELL("format",MEMBERS[[#This Row],[ServiceStartDate]])="D1",0,1)+IF(CELL("format",MEMBERS[[#This Row],[ServiceEndDate]])="D1",0,1)</f>
        <v>0</v>
      </c>
      <c r="H45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57" s="57">
        <f>IF(LEN(MEMBERS[[#This Row],[StaffMemberCode]])&lt;100,0,1)</f>
        <v>0</v>
      </c>
      <c r="J457" s="57">
        <f>IF(LEN(MEMBERS[[#This Row],[Title]])&lt;100,0,1)</f>
        <v>0</v>
      </c>
      <c r="K457" s="57">
        <f>COUNTBLANK(MEMBERS[[#This Row],[StaffMemberCode]:[ServiceStartDate]])+COUNTBLANK(MEMBERS[[#This Row],[Apprenticeship]]:MEMBERS[[#This Row],[StaffMemberEnabled]])+COUNTBLANK(MEMBERS[[#This Row],[GenderCode]]:MEMBERS[[#This Row],[Casual]])</f>
        <v>0</v>
      </c>
      <c r="L457" s="57">
        <f>IF(SUBSTITUTE(TEXT(MEMBERS[[#This Row],[StaffMemberCode]],10)," ","")=TEXT(MEMBERS[[#This Row],[StaffMemberCode]],10),0,1)</f>
        <v>0</v>
      </c>
      <c r="M457" s="57">
        <f ca="1">SUM(MEMBERS[[#This Row],[Duplicate NameService Start]:[Space in Code]])</f>
        <v>0</v>
      </c>
      <c r="O457" s="15">
        <v>91073567</v>
      </c>
      <c r="P457" s="15" t="s">
        <v>3330</v>
      </c>
      <c r="Q457" s="15" t="s">
        <v>3744</v>
      </c>
      <c r="R457" s="133" t="str">
        <f>MEMBERS[[#This Row],[FirstName]]&amp;" "&amp;MEMBERS[[#This Row],[LastName]]</f>
        <v>Laura Maddocks</v>
      </c>
      <c r="S457" s="21">
        <v>41648</v>
      </c>
      <c r="U457" s="21">
        <v>32873</v>
      </c>
      <c r="V457" t="b">
        <v>0</v>
      </c>
      <c r="W457" t="b">
        <v>0</v>
      </c>
      <c r="X457" t="b">
        <v>0</v>
      </c>
      <c r="Y457" t="s">
        <v>2094</v>
      </c>
      <c r="Z457" t="b">
        <v>1</v>
      </c>
      <c r="AB457" t="s">
        <v>1571</v>
      </c>
      <c r="AC457" t="b">
        <v>0</v>
      </c>
    </row>
    <row r="458" spans="1:29" x14ac:dyDescent="0.3">
      <c r="A458" s="57" t="str">
        <f>MEMBERS[[#This Row],[Title]]&amp;MEMBERS[[#This Row],[ServiceStartDate]]</f>
        <v>Laura Matthew42378</v>
      </c>
      <c r="B458" s="57">
        <f>IF(COUNTIF(MEMBERS[NameServiceStart],MEMBERS[[#This Row],[NameServiceStart]])=1,0,1)</f>
        <v>0</v>
      </c>
      <c r="C458" s="57">
        <f>IF(COUNTIF(MEMBERS[StaffMemberCode],MEMBERS[[#This Row],[StaffMemberCode]])=1,0,1)</f>
        <v>0</v>
      </c>
      <c r="D458" s="57">
        <f>IF(ISBLANK(MEMBERS[[#This Row],[PayrollLocation]]),0,IF(COUNTIF(SCHOOLS[SchoolCode],MEMBERS[[#This Row],[PayrollLocation]])=1,0,1))</f>
        <v>0</v>
      </c>
      <c r="E458" s="57">
        <f>IF(MEMBERS[[#This Row],[AvailableToAllSchools]]=FALSE,IF(ISBLANK(MEMBERS[[#This Row],[SchoolCodes]]),1,0),IF(MEMBERS[[#This Row],[AvailableToAllSchools]]=TRUE,IF(ISBLANK(MEMBERS[[#This Row],[SchoolCodes]]),0,1)))</f>
        <v>0</v>
      </c>
      <c r="F458" s="57">
        <f>IF(ISBLANK(MEMBERS[[#This Row],[ServiceEndDate]]),0,IF(MEMBERS[[#This Row],[ServiceStartDate]]&lt;MEMBERS[[#This Row],[ServiceEndDate]],0,1))</f>
        <v>0</v>
      </c>
      <c r="G458" s="57" cm="1">
        <f t="array" aca="1" ref="G458" ca="1">IF(CELL("format",MEMBERS[[#This Row],[ServiceStartDate]])="D1",0,1)+IF(CELL("format",MEMBERS[[#This Row],[ServiceEndDate]])="D1",0,1)</f>
        <v>0</v>
      </c>
      <c r="H45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58" s="57">
        <f>IF(LEN(MEMBERS[[#This Row],[StaffMemberCode]])&lt;100,0,1)</f>
        <v>0</v>
      </c>
      <c r="J458" s="57">
        <f>IF(LEN(MEMBERS[[#This Row],[Title]])&lt;100,0,1)</f>
        <v>0</v>
      </c>
      <c r="K458" s="57">
        <f>COUNTBLANK(MEMBERS[[#This Row],[StaffMemberCode]:[ServiceStartDate]])+COUNTBLANK(MEMBERS[[#This Row],[Apprenticeship]]:MEMBERS[[#This Row],[StaffMemberEnabled]])+COUNTBLANK(MEMBERS[[#This Row],[GenderCode]]:MEMBERS[[#This Row],[Casual]])</f>
        <v>0</v>
      </c>
      <c r="L458" s="57">
        <f>IF(SUBSTITUTE(TEXT(MEMBERS[[#This Row],[StaffMemberCode]],10)," ","")=TEXT(MEMBERS[[#This Row],[StaffMemberCode]],10),0,1)</f>
        <v>0</v>
      </c>
      <c r="M458" s="57">
        <f ca="1">SUM(MEMBERS[[#This Row],[Duplicate NameService Start]:[Space in Code]])</f>
        <v>0</v>
      </c>
      <c r="O458" s="15">
        <v>91073898</v>
      </c>
      <c r="P458" s="15" t="s">
        <v>3330</v>
      </c>
      <c r="Q458" s="15" t="s">
        <v>3359</v>
      </c>
      <c r="R458" s="133" t="str">
        <f>MEMBERS[[#This Row],[FirstName]]&amp;" "&amp;MEMBERS[[#This Row],[LastName]]</f>
        <v>Laura Matthew</v>
      </c>
      <c r="S458" s="21">
        <v>42378</v>
      </c>
      <c r="U458" s="21">
        <v>32664</v>
      </c>
      <c r="V458" t="b">
        <v>0</v>
      </c>
      <c r="W458" t="b">
        <v>0</v>
      </c>
      <c r="X458" t="b">
        <v>0</v>
      </c>
      <c r="Y458" t="s">
        <v>2266</v>
      </c>
      <c r="Z458" t="b">
        <v>1</v>
      </c>
      <c r="AB458" t="s">
        <v>1571</v>
      </c>
      <c r="AC458" t="b">
        <v>0</v>
      </c>
    </row>
    <row r="459" spans="1:29" x14ac:dyDescent="0.3">
      <c r="A459" s="57" t="str">
        <f>MEMBERS[[#This Row],[Title]]&amp;MEMBERS[[#This Row],[ServiceStartDate]]</f>
        <v>Laura Nolan41283</v>
      </c>
      <c r="B459" s="57">
        <f>IF(COUNTIF(MEMBERS[NameServiceStart],MEMBERS[[#This Row],[NameServiceStart]])=1,0,1)</f>
        <v>0</v>
      </c>
      <c r="C459" s="57">
        <f>IF(COUNTIF(MEMBERS[StaffMemberCode],MEMBERS[[#This Row],[StaffMemberCode]])=1,0,1)</f>
        <v>0</v>
      </c>
      <c r="D459" s="57">
        <f>IF(ISBLANK(MEMBERS[[#This Row],[PayrollLocation]]),0,IF(COUNTIF(SCHOOLS[SchoolCode],MEMBERS[[#This Row],[PayrollLocation]])=1,0,1))</f>
        <v>0</v>
      </c>
      <c r="E459" s="57">
        <f>IF(MEMBERS[[#This Row],[AvailableToAllSchools]]=FALSE,IF(ISBLANK(MEMBERS[[#This Row],[SchoolCodes]]),1,0),IF(MEMBERS[[#This Row],[AvailableToAllSchools]]=TRUE,IF(ISBLANK(MEMBERS[[#This Row],[SchoolCodes]]),0,1)))</f>
        <v>0</v>
      </c>
      <c r="F459" s="57">
        <f>IF(ISBLANK(MEMBERS[[#This Row],[ServiceEndDate]]),0,IF(MEMBERS[[#This Row],[ServiceStartDate]]&lt;MEMBERS[[#This Row],[ServiceEndDate]],0,1))</f>
        <v>0</v>
      </c>
      <c r="G459" s="57" cm="1">
        <f t="array" aca="1" ref="G459" ca="1">IF(CELL("format",MEMBERS[[#This Row],[ServiceStartDate]])="D1",0,1)+IF(CELL("format",MEMBERS[[#This Row],[ServiceEndDate]])="D1",0,1)</f>
        <v>0</v>
      </c>
      <c r="H45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59" s="57">
        <f>IF(LEN(MEMBERS[[#This Row],[StaffMemberCode]])&lt;100,0,1)</f>
        <v>0</v>
      </c>
      <c r="J459" s="57">
        <f>IF(LEN(MEMBERS[[#This Row],[Title]])&lt;100,0,1)</f>
        <v>0</v>
      </c>
      <c r="K459" s="57">
        <f>COUNTBLANK(MEMBERS[[#This Row],[StaffMemberCode]:[ServiceStartDate]])+COUNTBLANK(MEMBERS[[#This Row],[Apprenticeship]]:MEMBERS[[#This Row],[StaffMemberEnabled]])+COUNTBLANK(MEMBERS[[#This Row],[GenderCode]]:MEMBERS[[#This Row],[Casual]])</f>
        <v>0</v>
      </c>
      <c r="L459" s="57">
        <f>IF(SUBSTITUTE(TEXT(MEMBERS[[#This Row],[StaffMemberCode]],10)," ","")=TEXT(MEMBERS[[#This Row],[StaffMemberCode]],10),0,1)</f>
        <v>0</v>
      </c>
      <c r="M459" s="57">
        <f ca="1">SUM(MEMBERS[[#This Row],[Duplicate NameService Start]:[Space in Code]])</f>
        <v>0</v>
      </c>
      <c r="O459" s="15">
        <v>91073733</v>
      </c>
      <c r="P459" s="15" t="s">
        <v>3330</v>
      </c>
      <c r="Q459" s="15" t="s">
        <v>3745</v>
      </c>
      <c r="R459" s="133" t="str">
        <f>MEMBERS[[#This Row],[FirstName]]&amp;" "&amp;MEMBERS[[#This Row],[LastName]]</f>
        <v>Laura Nolan</v>
      </c>
      <c r="S459" s="21">
        <v>41283</v>
      </c>
      <c r="U459" s="21">
        <v>32910</v>
      </c>
      <c r="V459" t="b">
        <v>0</v>
      </c>
      <c r="W459" t="b">
        <v>0</v>
      </c>
      <c r="X459" t="b">
        <v>0</v>
      </c>
      <c r="Y459" t="s">
        <v>2082</v>
      </c>
      <c r="Z459" t="b">
        <v>1</v>
      </c>
      <c r="AB459" t="s">
        <v>1571</v>
      </c>
      <c r="AC459" t="b">
        <v>0</v>
      </c>
    </row>
    <row r="460" spans="1:29" x14ac:dyDescent="0.3">
      <c r="A460" s="57" t="str">
        <f>MEMBERS[[#This Row],[Title]]&amp;MEMBERS[[#This Row],[ServiceStartDate]]</f>
        <v>Laura Parr42378</v>
      </c>
      <c r="B460" s="57">
        <f>IF(COUNTIF(MEMBERS[NameServiceStart],MEMBERS[[#This Row],[NameServiceStart]])=1,0,1)</f>
        <v>0</v>
      </c>
      <c r="C460" s="57">
        <f>IF(COUNTIF(MEMBERS[StaffMemberCode],MEMBERS[[#This Row],[StaffMemberCode]])=1,0,1)</f>
        <v>0</v>
      </c>
      <c r="D460" s="57">
        <f>IF(ISBLANK(MEMBERS[[#This Row],[PayrollLocation]]),0,IF(COUNTIF(SCHOOLS[SchoolCode],MEMBERS[[#This Row],[PayrollLocation]])=1,0,1))</f>
        <v>0</v>
      </c>
      <c r="E460" s="57">
        <f>IF(MEMBERS[[#This Row],[AvailableToAllSchools]]=FALSE,IF(ISBLANK(MEMBERS[[#This Row],[SchoolCodes]]),1,0),IF(MEMBERS[[#This Row],[AvailableToAllSchools]]=TRUE,IF(ISBLANK(MEMBERS[[#This Row],[SchoolCodes]]),0,1)))</f>
        <v>0</v>
      </c>
      <c r="F460" s="57">
        <f>IF(ISBLANK(MEMBERS[[#This Row],[ServiceEndDate]]),0,IF(MEMBERS[[#This Row],[ServiceStartDate]]&lt;MEMBERS[[#This Row],[ServiceEndDate]],0,1))</f>
        <v>0</v>
      </c>
      <c r="G460" s="57" cm="1">
        <f t="array" aca="1" ref="G460" ca="1">IF(CELL("format",MEMBERS[[#This Row],[ServiceStartDate]])="D1",0,1)+IF(CELL("format",MEMBERS[[#This Row],[ServiceEndDate]])="D1",0,1)</f>
        <v>0</v>
      </c>
      <c r="H46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60" s="57">
        <f>IF(LEN(MEMBERS[[#This Row],[StaffMemberCode]])&lt;100,0,1)</f>
        <v>0</v>
      </c>
      <c r="J460" s="57">
        <f>IF(LEN(MEMBERS[[#This Row],[Title]])&lt;100,0,1)</f>
        <v>0</v>
      </c>
      <c r="K460" s="57">
        <f>COUNTBLANK(MEMBERS[[#This Row],[StaffMemberCode]:[ServiceStartDate]])+COUNTBLANK(MEMBERS[[#This Row],[Apprenticeship]]:MEMBERS[[#This Row],[StaffMemberEnabled]])+COUNTBLANK(MEMBERS[[#This Row],[GenderCode]]:MEMBERS[[#This Row],[Casual]])</f>
        <v>0</v>
      </c>
      <c r="L460" s="57">
        <f>IF(SUBSTITUTE(TEXT(MEMBERS[[#This Row],[StaffMemberCode]],10)," ","")=TEXT(MEMBERS[[#This Row],[StaffMemberCode]],10),0,1)</f>
        <v>0</v>
      </c>
      <c r="M460" s="57">
        <f ca="1">SUM(MEMBERS[[#This Row],[Duplicate NameService Start]:[Space in Code]])</f>
        <v>0</v>
      </c>
      <c r="O460" s="15">
        <v>91073730</v>
      </c>
      <c r="P460" s="15" t="s">
        <v>3330</v>
      </c>
      <c r="Q460" s="15" t="s">
        <v>3746</v>
      </c>
      <c r="R460" s="133" t="str">
        <f>MEMBERS[[#This Row],[FirstName]]&amp;" "&amp;MEMBERS[[#This Row],[LastName]]</f>
        <v>Laura Parr</v>
      </c>
      <c r="S460" s="21">
        <v>42378</v>
      </c>
      <c r="U460" s="21">
        <v>32567</v>
      </c>
      <c r="V460" t="b">
        <v>0</v>
      </c>
      <c r="W460" t="b">
        <v>0</v>
      </c>
      <c r="X460" t="b">
        <v>0</v>
      </c>
      <c r="Y460" t="s">
        <v>2082</v>
      </c>
      <c r="Z460" t="b">
        <v>1</v>
      </c>
      <c r="AB460" t="s">
        <v>1571</v>
      </c>
      <c r="AC460" t="b">
        <v>0</v>
      </c>
    </row>
    <row r="461" spans="1:29" x14ac:dyDescent="0.3">
      <c r="A461" s="57" t="str">
        <f>MEMBERS[[#This Row],[Title]]&amp;MEMBERS[[#This Row],[ServiceStartDate]]</f>
        <v>Lauren Brown44570</v>
      </c>
      <c r="B461" s="57">
        <f>IF(COUNTIF(MEMBERS[NameServiceStart],MEMBERS[[#This Row],[NameServiceStart]])=1,0,1)</f>
        <v>0</v>
      </c>
      <c r="C461" s="57">
        <f>IF(COUNTIF(MEMBERS[StaffMemberCode],MEMBERS[[#This Row],[StaffMemberCode]])=1,0,1)</f>
        <v>0</v>
      </c>
      <c r="D461" s="57">
        <f>IF(ISBLANK(MEMBERS[[#This Row],[PayrollLocation]]),0,IF(COUNTIF(SCHOOLS[SchoolCode],MEMBERS[[#This Row],[PayrollLocation]])=1,0,1))</f>
        <v>0</v>
      </c>
      <c r="E461" s="57">
        <f>IF(MEMBERS[[#This Row],[AvailableToAllSchools]]=FALSE,IF(ISBLANK(MEMBERS[[#This Row],[SchoolCodes]]),1,0),IF(MEMBERS[[#This Row],[AvailableToAllSchools]]=TRUE,IF(ISBLANK(MEMBERS[[#This Row],[SchoolCodes]]),0,1)))</f>
        <v>0</v>
      </c>
      <c r="F461" s="57">
        <f>IF(ISBLANK(MEMBERS[[#This Row],[ServiceEndDate]]),0,IF(MEMBERS[[#This Row],[ServiceStartDate]]&lt;MEMBERS[[#This Row],[ServiceEndDate]],0,1))</f>
        <v>0</v>
      </c>
      <c r="G461" s="57" cm="1">
        <f t="array" aca="1" ref="G461" ca="1">IF(CELL("format",MEMBERS[[#This Row],[ServiceStartDate]])="D1",0,1)+IF(CELL("format",MEMBERS[[#This Row],[ServiceEndDate]])="D1",0,1)</f>
        <v>0</v>
      </c>
      <c r="H46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61" s="57">
        <f>IF(LEN(MEMBERS[[#This Row],[StaffMemberCode]])&lt;100,0,1)</f>
        <v>0</v>
      </c>
      <c r="J461" s="57">
        <f>IF(LEN(MEMBERS[[#This Row],[Title]])&lt;100,0,1)</f>
        <v>0</v>
      </c>
      <c r="K461" s="57">
        <f>COUNTBLANK(MEMBERS[[#This Row],[StaffMemberCode]:[ServiceStartDate]])+COUNTBLANK(MEMBERS[[#This Row],[Apprenticeship]]:MEMBERS[[#This Row],[StaffMemberEnabled]])+COUNTBLANK(MEMBERS[[#This Row],[GenderCode]]:MEMBERS[[#This Row],[Casual]])</f>
        <v>0</v>
      </c>
      <c r="L461" s="57">
        <f>IF(SUBSTITUTE(TEXT(MEMBERS[[#This Row],[StaffMemberCode]],10)," ","")=TEXT(MEMBERS[[#This Row],[StaffMemberCode]],10),0,1)</f>
        <v>0</v>
      </c>
      <c r="M461" s="57">
        <f ca="1">SUM(MEMBERS[[#This Row],[Duplicate NameService Start]:[Space in Code]])</f>
        <v>0</v>
      </c>
      <c r="O461" s="15">
        <v>91073815</v>
      </c>
      <c r="P461" s="15" t="s">
        <v>3331</v>
      </c>
      <c r="Q461" s="15" t="s">
        <v>3727</v>
      </c>
      <c r="R461" s="133" t="str">
        <f>MEMBERS[[#This Row],[FirstName]]&amp;" "&amp;MEMBERS[[#This Row],[LastName]]</f>
        <v>Lauren Brown</v>
      </c>
      <c r="S461" s="21">
        <v>44570</v>
      </c>
      <c r="U461" s="21">
        <v>36728</v>
      </c>
      <c r="V461" t="b">
        <v>0</v>
      </c>
      <c r="W461" t="b">
        <v>0</v>
      </c>
      <c r="X461" t="b">
        <v>0</v>
      </c>
      <c r="Y461" t="s">
        <v>2082</v>
      </c>
      <c r="Z461" t="b">
        <v>1</v>
      </c>
      <c r="AB461" t="s">
        <v>1571</v>
      </c>
      <c r="AC461" t="b">
        <v>0</v>
      </c>
    </row>
    <row r="462" spans="1:29" x14ac:dyDescent="0.3">
      <c r="A462" s="57" t="str">
        <f>MEMBERS[[#This Row],[Title]]&amp;MEMBERS[[#This Row],[ServiceStartDate]]</f>
        <v>Lauren Frayling45432</v>
      </c>
      <c r="B462" s="57">
        <f>IF(COUNTIF(MEMBERS[NameServiceStart],MEMBERS[[#This Row],[NameServiceStart]])=1,0,1)</f>
        <v>0</v>
      </c>
      <c r="C462" s="57">
        <f>IF(COUNTIF(MEMBERS[StaffMemberCode],MEMBERS[[#This Row],[StaffMemberCode]])=1,0,1)</f>
        <v>0</v>
      </c>
      <c r="D462" s="57">
        <f>IF(ISBLANK(MEMBERS[[#This Row],[PayrollLocation]]),0,IF(COUNTIF(SCHOOLS[SchoolCode],MEMBERS[[#This Row],[PayrollLocation]])=1,0,1))</f>
        <v>0</v>
      </c>
      <c r="E462" s="57">
        <f>IF(MEMBERS[[#This Row],[AvailableToAllSchools]]=FALSE,IF(ISBLANK(MEMBERS[[#This Row],[SchoolCodes]]),1,0),IF(MEMBERS[[#This Row],[AvailableToAllSchools]]=TRUE,IF(ISBLANK(MEMBERS[[#This Row],[SchoolCodes]]),0,1)))</f>
        <v>0</v>
      </c>
      <c r="F462" s="57">
        <f>IF(ISBLANK(MEMBERS[[#This Row],[ServiceEndDate]]),0,IF(MEMBERS[[#This Row],[ServiceStartDate]]&lt;MEMBERS[[#This Row],[ServiceEndDate]],0,1))</f>
        <v>0</v>
      </c>
      <c r="G462" s="57" cm="1">
        <f t="array" aca="1" ref="G462" ca="1">IF(CELL("format",MEMBERS[[#This Row],[ServiceStartDate]])="D1",0,1)+IF(CELL("format",MEMBERS[[#This Row],[ServiceEndDate]])="D1",0,1)</f>
        <v>0</v>
      </c>
      <c r="H46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62" s="57">
        <f>IF(LEN(MEMBERS[[#This Row],[StaffMemberCode]])&lt;100,0,1)</f>
        <v>0</v>
      </c>
      <c r="J462" s="57">
        <f>IF(LEN(MEMBERS[[#This Row],[Title]])&lt;100,0,1)</f>
        <v>0</v>
      </c>
      <c r="K462" s="57">
        <f>COUNTBLANK(MEMBERS[[#This Row],[StaffMemberCode]:[ServiceStartDate]])+COUNTBLANK(MEMBERS[[#This Row],[Apprenticeship]]:MEMBERS[[#This Row],[StaffMemberEnabled]])+COUNTBLANK(MEMBERS[[#This Row],[GenderCode]]:MEMBERS[[#This Row],[Casual]])</f>
        <v>0</v>
      </c>
      <c r="L462" s="57">
        <f>IF(SUBSTITUTE(TEXT(MEMBERS[[#This Row],[StaffMemberCode]],10)," ","")=TEXT(MEMBERS[[#This Row],[StaffMemberCode]],10),0,1)</f>
        <v>0</v>
      </c>
      <c r="M462" s="57">
        <f ca="1">SUM(MEMBERS[[#This Row],[Duplicate NameService Start]:[Space in Code]])</f>
        <v>0</v>
      </c>
      <c r="O462" s="15">
        <v>10014008</v>
      </c>
      <c r="P462" s="15" t="s">
        <v>3331</v>
      </c>
      <c r="Q462" s="15" t="s">
        <v>4090</v>
      </c>
      <c r="R462" s="133" t="str">
        <f>MEMBERS[[#This Row],[FirstName]]&amp;" "&amp;MEMBERS[[#This Row],[LastName]]</f>
        <v>Lauren Frayling</v>
      </c>
      <c r="S462" s="21">
        <v>45432</v>
      </c>
      <c r="U462" s="21">
        <v>30569</v>
      </c>
      <c r="V462" s="138" t="b">
        <v>0</v>
      </c>
      <c r="W462" t="b">
        <v>0</v>
      </c>
      <c r="X462" t="b">
        <v>0</v>
      </c>
      <c r="Y462" t="s">
        <v>2126</v>
      </c>
      <c r="Z462" t="b">
        <v>1</v>
      </c>
      <c r="AB462" t="s">
        <v>1571</v>
      </c>
      <c r="AC462" t="b">
        <v>0</v>
      </c>
    </row>
    <row r="463" spans="1:29" x14ac:dyDescent="0.3">
      <c r="A463" s="57" t="str">
        <f>MEMBERS[[#This Row],[Title]]&amp;MEMBERS[[#This Row],[ServiceStartDate]]</f>
        <v>Lauren Taylor39822</v>
      </c>
      <c r="B463" s="57">
        <f>IF(COUNTIF(MEMBERS[NameServiceStart],MEMBERS[[#This Row],[NameServiceStart]])=1,0,1)</f>
        <v>0</v>
      </c>
      <c r="C463" s="57">
        <f>IF(COUNTIF(MEMBERS[StaffMemberCode],MEMBERS[[#This Row],[StaffMemberCode]])=1,0,1)</f>
        <v>0</v>
      </c>
      <c r="D463" s="57">
        <f>IF(ISBLANK(MEMBERS[[#This Row],[PayrollLocation]]),0,IF(COUNTIF(SCHOOLS[SchoolCode],MEMBERS[[#This Row],[PayrollLocation]])=1,0,1))</f>
        <v>0</v>
      </c>
      <c r="E463" s="57">
        <f>IF(MEMBERS[[#This Row],[AvailableToAllSchools]]=FALSE,IF(ISBLANK(MEMBERS[[#This Row],[SchoolCodes]]),1,0),IF(MEMBERS[[#This Row],[AvailableToAllSchools]]=TRUE,IF(ISBLANK(MEMBERS[[#This Row],[SchoolCodes]]),0,1)))</f>
        <v>0</v>
      </c>
      <c r="F463" s="57">
        <f>IF(ISBLANK(MEMBERS[[#This Row],[ServiceEndDate]]),0,IF(MEMBERS[[#This Row],[ServiceStartDate]]&lt;MEMBERS[[#This Row],[ServiceEndDate]],0,1))</f>
        <v>0</v>
      </c>
      <c r="G463" s="57" cm="1">
        <f t="array" aca="1" ref="G463" ca="1">IF(CELL("format",MEMBERS[[#This Row],[ServiceStartDate]])="D1",0,1)+IF(CELL("format",MEMBERS[[#This Row],[ServiceEndDate]])="D1",0,1)</f>
        <v>0</v>
      </c>
      <c r="H46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63" s="57">
        <f>IF(LEN(MEMBERS[[#This Row],[StaffMemberCode]])&lt;100,0,1)</f>
        <v>0</v>
      </c>
      <c r="J463" s="57">
        <f>IF(LEN(MEMBERS[[#This Row],[Title]])&lt;100,0,1)</f>
        <v>0</v>
      </c>
      <c r="K463" s="57">
        <f>COUNTBLANK(MEMBERS[[#This Row],[StaffMemberCode]:[ServiceStartDate]])+COUNTBLANK(MEMBERS[[#This Row],[Apprenticeship]]:MEMBERS[[#This Row],[StaffMemberEnabled]])+COUNTBLANK(MEMBERS[[#This Row],[GenderCode]]:MEMBERS[[#This Row],[Casual]])</f>
        <v>0</v>
      </c>
      <c r="L463" s="57">
        <f>IF(SUBSTITUTE(TEXT(MEMBERS[[#This Row],[StaffMemberCode]],10)," ","")=TEXT(MEMBERS[[#This Row],[StaffMemberCode]],10),0,1)</f>
        <v>0</v>
      </c>
      <c r="M463" s="57">
        <f ca="1">SUM(MEMBERS[[#This Row],[Duplicate NameService Start]:[Space in Code]])</f>
        <v>0</v>
      </c>
      <c r="O463" s="15">
        <v>91073761</v>
      </c>
      <c r="P463" s="15" t="s">
        <v>3331</v>
      </c>
      <c r="Q463" s="15" t="s">
        <v>3436</v>
      </c>
      <c r="R463" s="133" t="str">
        <f>MEMBERS[[#This Row],[FirstName]]&amp;" "&amp;MEMBERS[[#This Row],[LastName]]</f>
        <v>Lauren Taylor</v>
      </c>
      <c r="S463" s="21">
        <v>39822</v>
      </c>
      <c r="U463" s="21">
        <v>31740</v>
      </c>
      <c r="V463" t="b">
        <v>0</v>
      </c>
      <c r="W463" t="b">
        <v>0</v>
      </c>
      <c r="X463" t="b">
        <v>0</v>
      </c>
      <c r="Y463" t="s">
        <v>2082</v>
      </c>
      <c r="Z463" t="b">
        <v>1</v>
      </c>
      <c r="AB463" t="s">
        <v>1571</v>
      </c>
      <c r="AC463" t="b">
        <v>0</v>
      </c>
    </row>
    <row r="464" spans="1:29" x14ac:dyDescent="0.3">
      <c r="A464" s="57" t="str">
        <f>MEMBERS[[#This Row],[Title]]&amp;MEMBERS[[#This Row],[ServiceStartDate]]</f>
        <v>Lauren Whitewalker43107</v>
      </c>
      <c r="B464" s="57">
        <f>IF(COUNTIF(MEMBERS[NameServiceStart],MEMBERS[[#This Row],[NameServiceStart]])=1,0,1)</f>
        <v>0</v>
      </c>
      <c r="C464" s="57">
        <f>IF(COUNTIF(MEMBERS[StaffMemberCode],MEMBERS[[#This Row],[StaffMemberCode]])=1,0,1)</f>
        <v>0</v>
      </c>
      <c r="D464" s="57">
        <f>IF(ISBLANK(MEMBERS[[#This Row],[PayrollLocation]]),0,IF(COUNTIF(SCHOOLS[SchoolCode],MEMBERS[[#This Row],[PayrollLocation]])=1,0,1))</f>
        <v>0</v>
      </c>
      <c r="E464" s="57">
        <f>IF(MEMBERS[[#This Row],[AvailableToAllSchools]]=FALSE,IF(ISBLANK(MEMBERS[[#This Row],[SchoolCodes]]),1,0),IF(MEMBERS[[#This Row],[AvailableToAllSchools]]=TRUE,IF(ISBLANK(MEMBERS[[#This Row],[SchoolCodes]]),0,1)))</f>
        <v>0</v>
      </c>
      <c r="F464" s="57">
        <f>IF(ISBLANK(MEMBERS[[#This Row],[ServiceEndDate]]),0,IF(MEMBERS[[#This Row],[ServiceStartDate]]&lt;MEMBERS[[#This Row],[ServiceEndDate]],0,1))</f>
        <v>0</v>
      </c>
      <c r="G464" s="57" cm="1">
        <f t="array" aca="1" ref="G464" ca="1">IF(CELL("format",MEMBERS[[#This Row],[ServiceStartDate]])="D1",0,1)+IF(CELL("format",MEMBERS[[#This Row],[ServiceEndDate]])="D1",0,1)</f>
        <v>0</v>
      </c>
      <c r="H46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64" s="57">
        <f>IF(LEN(MEMBERS[[#This Row],[StaffMemberCode]])&lt;100,0,1)</f>
        <v>0</v>
      </c>
      <c r="J464" s="57">
        <f>IF(LEN(MEMBERS[[#This Row],[Title]])&lt;100,0,1)</f>
        <v>0</v>
      </c>
      <c r="K464" s="57">
        <f>COUNTBLANK(MEMBERS[[#This Row],[StaffMemberCode]:[ServiceStartDate]])+COUNTBLANK(MEMBERS[[#This Row],[Apprenticeship]]:MEMBERS[[#This Row],[StaffMemberEnabled]])+COUNTBLANK(MEMBERS[[#This Row],[GenderCode]]:MEMBERS[[#This Row],[Casual]])</f>
        <v>0</v>
      </c>
      <c r="L464" s="57">
        <f>IF(SUBSTITUTE(TEXT(MEMBERS[[#This Row],[StaffMemberCode]],10)," ","")=TEXT(MEMBERS[[#This Row],[StaffMemberCode]],10),0,1)</f>
        <v>0</v>
      </c>
      <c r="M464" s="57">
        <f ca="1">SUM(MEMBERS[[#This Row],[Duplicate NameService Start]:[Space in Code]])</f>
        <v>0</v>
      </c>
      <c r="O464" s="15">
        <v>91073738</v>
      </c>
      <c r="P464" s="15" t="s">
        <v>3331</v>
      </c>
      <c r="Q464" s="15" t="s">
        <v>3747</v>
      </c>
      <c r="R464" s="133" t="str">
        <f>MEMBERS[[#This Row],[FirstName]]&amp;" "&amp;MEMBERS[[#This Row],[LastName]]</f>
        <v>Lauren Whitewalker</v>
      </c>
      <c r="S464" s="21">
        <v>43107</v>
      </c>
      <c r="U464" s="21">
        <v>34635</v>
      </c>
      <c r="V464" t="b">
        <v>0</v>
      </c>
      <c r="W464" t="b">
        <v>0</v>
      </c>
      <c r="X464" t="b">
        <v>0</v>
      </c>
      <c r="Y464" t="s">
        <v>2082</v>
      </c>
      <c r="Z464" t="b">
        <v>1</v>
      </c>
      <c r="AB464" t="s">
        <v>1571</v>
      </c>
      <c r="AC464" t="b">
        <v>0</v>
      </c>
    </row>
    <row r="465" spans="1:29" x14ac:dyDescent="0.3">
      <c r="A465" s="57" t="str">
        <f>MEMBERS[[#This Row],[Title]]&amp;MEMBERS[[#This Row],[ServiceStartDate]]</f>
        <v>Lea Duenas45903</v>
      </c>
      <c r="B465" s="57">
        <f>IF(COUNTIF(MEMBERS[NameServiceStart],MEMBERS[[#This Row],[NameServiceStart]])=1,0,1)</f>
        <v>0</v>
      </c>
      <c r="C465" s="57">
        <f>IF(COUNTIF(MEMBERS[StaffMemberCode],MEMBERS[[#This Row],[StaffMemberCode]])=1,0,1)</f>
        <v>0</v>
      </c>
      <c r="D465" s="57">
        <f>IF(ISBLANK(MEMBERS[[#This Row],[PayrollLocation]]),0,IF(COUNTIF(SCHOOLS[SchoolCode],MEMBERS[[#This Row],[PayrollLocation]])=1,0,1))</f>
        <v>0</v>
      </c>
      <c r="E465" s="57">
        <f>IF(MEMBERS[[#This Row],[AvailableToAllSchools]]=FALSE,IF(ISBLANK(MEMBERS[[#This Row],[SchoolCodes]]),1,0),IF(MEMBERS[[#This Row],[AvailableToAllSchools]]=TRUE,IF(ISBLANK(MEMBERS[[#This Row],[SchoolCodes]]),0,1)))</f>
        <v>0</v>
      </c>
      <c r="F465" s="57">
        <f>IF(ISBLANK(MEMBERS[[#This Row],[ServiceEndDate]]),0,IF(MEMBERS[[#This Row],[ServiceStartDate]]&lt;MEMBERS[[#This Row],[ServiceEndDate]],0,1))</f>
        <v>0</v>
      </c>
      <c r="G465" s="57" cm="1">
        <f t="array" aca="1" ref="G465" ca="1">IF(CELL("format",MEMBERS[[#This Row],[ServiceStartDate]])="D1",0,1)+IF(CELL("format",MEMBERS[[#This Row],[ServiceEndDate]])="D1",0,1)</f>
        <v>0</v>
      </c>
      <c r="H46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65" s="57">
        <f>IF(LEN(MEMBERS[[#This Row],[StaffMemberCode]])&lt;100,0,1)</f>
        <v>0</v>
      </c>
      <c r="J465" s="57">
        <f>IF(LEN(MEMBERS[[#This Row],[Title]])&lt;100,0,1)</f>
        <v>0</v>
      </c>
      <c r="K465" s="57">
        <f>COUNTBLANK(MEMBERS[[#This Row],[StaffMemberCode]:[ServiceStartDate]])+COUNTBLANK(MEMBERS[[#This Row],[Apprenticeship]]:MEMBERS[[#This Row],[StaffMemberEnabled]])+COUNTBLANK(MEMBERS[[#This Row],[GenderCode]]:MEMBERS[[#This Row],[Casual]])</f>
        <v>0</v>
      </c>
      <c r="L465" s="57">
        <f>IF(SUBSTITUTE(TEXT(MEMBERS[[#This Row],[StaffMemberCode]],10)," ","")=TEXT(MEMBERS[[#This Row],[StaffMemberCode]],10),0,1)</f>
        <v>0</v>
      </c>
      <c r="M465" s="57">
        <f ca="1">SUM(MEMBERS[[#This Row],[Duplicate NameService Start]:[Space in Code]])</f>
        <v>0</v>
      </c>
      <c r="O465" s="15">
        <v>91850049</v>
      </c>
      <c r="P465" s="15" t="s">
        <v>3332</v>
      </c>
      <c r="Q465" s="15" t="s">
        <v>3748</v>
      </c>
      <c r="R465" s="133" t="str">
        <f>MEMBERS[[#This Row],[FirstName]]&amp;" "&amp;MEMBERS[[#This Row],[LastName]]</f>
        <v>Lea Duenas</v>
      </c>
      <c r="S465" s="21">
        <v>45903</v>
      </c>
      <c r="U465" s="21">
        <v>29871</v>
      </c>
      <c r="V465" t="b">
        <v>0</v>
      </c>
      <c r="W465" t="b">
        <v>0</v>
      </c>
      <c r="X465" t="b">
        <v>0</v>
      </c>
      <c r="Y465" t="s">
        <v>2082</v>
      </c>
      <c r="Z465" t="b">
        <v>1</v>
      </c>
      <c r="AB465" t="s">
        <v>1571</v>
      </c>
      <c r="AC465" t="b">
        <v>0</v>
      </c>
    </row>
    <row r="466" spans="1:29" x14ac:dyDescent="0.3">
      <c r="A466" s="57" t="str">
        <f>MEMBERS[[#This Row],[Title]]&amp;MEMBERS[[#This Row],[ServiceStartDate]]</f>
        <v>Leanie O'Connor43109</v>
      </c>
      <c r="B466" s="57">
        <f>IF(COUNTIF(MEMBERS[NameServiceStart],MEMBERS[[#This Row],[NameServiceStart]])=1,0,1)</f>
        <v>0</v>
      </c>
      <c r="C466" s="57">
        <f>IF(COUNTIF(MEMBERS[StaffMemberCode],MEMBERS[[#This Row],[StaffMemberCode]])=1,0,1)</f>
        <v>0</v>
      </c>
      <c r="D466" s="57">
        <f>IF(ISBLANK(MEMBERS[[#This Row],[PayrollLocation]]),0,IF(COUNTIF(SCHOOLS[SchoolCode],MEMBERS[[#This Row],[PayrollLocation]])=1,0,1))</f>
        <v>0</v>
      </c>
      <c r="E466" s="57">
        <f>IF(MEMBERS[[#This Row],[AvailableToAllSchools]]=FALSE,IF(ISBLANK(MEMBERS[[#This Row],[SchoolCodes]]),1,0),IF(MEMBERS[[#This Row],[AvailableToAllSchools]]=TRUE,IF(ISBLANK(MEMBERS[[#This Row],[SchoolCodes]]),0,1)))</f>
        <v>0</v>
      </c>
      <c r="F466" s="57">
        <f>IF(ISBLANK(MEMBERS[[#This Row],[ServiceEndDate]]),0,IF(MEMBERS[[#This Row],[ServiceStartDate]]&lt;MEMBERS[[#This Row],[ServiceEndDate]],0,1))</f>
        <v>0</v>
      </c>
      <c r="G466" s="57" cm="1">
        <f t="array" aca="1" ref="G466" ca="1">IF(CELL("format",MEMBERS[[#This Row],[ServiceStartDate]])="D1",0,1)+IF(CELL("format",MEMBERS[[#This Row],[ServiceEndDate]])="D1",0,1)</f>
        <v>0</v>
      </c>
      <c r="H46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66" s="57">
        <f>IF(LEN(MEMBERS[[#This Row],[StaffMemberCode]])&lt;100,0,1)</f>
        <v>0</v>
      </c>
      <c r="J466" s="57">
        <f>IF(LEN(MEMBERS[[#This Row],[Title]])&lt;100,0,1)</f>
        <v>0</v>
      </c>
      <c r="K466" s="57">
        <f>COUNTBLANK(MEMBERS[[#This Row],[StaffMemberCode]:[ServiceStartDate]])+COUNTBLANK(MEMBERS[[#This Row],[Apprenticeship]]:MEMBERS[[#This Row],[StaffMemberEnabled]])+COUNTBLANK(MEMBERS[[#This Row],[GenderCode]]:MEMBERS[[#This Row],[Casual]])</f>
        <v>0</v>
      </c>
      <c r="L466" s="57">
        <f>IF(SUBSTITUTE(TEXT(MEMBERS[[#This Row],[StaffMemberCode]],10)," ","")=TEXT(MEMBERS[[#This Row],[StaffMemberCode]],10),0,1)</f>
        <v>0</v>
      </c>
      <c r="M466" s="57">
        <f ca="1">SUM(MEMBERS[[#This Row],[Duplicate NameService Start]:[Space in Code]])</f>
        <v>0</v>
      </c>
      <c r="O466" s="15">
        <v>91073935</v>
      </c>
      <c r="P466" s="15" t="s">
        <v>3333</v>
      </c>
      <c r="Q466" s="15" t="s">
        <v>3749</v>
      </c>
      <c r="R466" s="133" t="str">
        <f>MEMBERS[[#This Row],[FirstName]]&amp;" "&amp;MEMBERS[[#This Row],[LastName]]</f>
        <v>Leanie O'Connor</v>
      </c>
      <c r="S466" s="21">
        <v>43109</v>
      </c>
      <c r="U466" s="21">
        <v>29042</v>
      </c>
      <c r="V466" t="b">
        <v>0</v>
      </c>
      <c r="W466" t="b">
        <v>0</v>
      </c>
      <c r="X466" t="b">
        <v>0</v>
      </c>
      <c r="Y466" t="s">
        <v>2299</v>
      </c>
      <c r="Z466" t="b">
        <v>1</v>
      </c>
      <c r="AB466" t="s">
        <v>1571</v>
      </c>
      <c r="AC466" t="b">
        <v>0</v>
      </c>
    </row>
    <row r="467" spans="1:29" x14ac:dyDescent="0.3">
      <c r="A467" s="57" t="str">
        <f>MEMBERS[[#This Row],[Title]]&amp;MEMBERS[[#This Row],[ServiceStartDate]]</f>
        <v>Leanne Herbert-Jackson42620</v>
      </c>
      <c r="B467" s="57">
        <f>IF(COUNTIF(MEMBERS[NameServiceStart],MEMBERS[[#This Row],[NameServiceStart]])=1,0,1)</f>
        <v>0</v>
      </c>
      <c r="C467" s="57">
        <f>IF(COUNTIF(MEMBERS[StaffMemberCode],MEMBERS[[#This Row],[StaffMemberCode]])=1,0,1)</f>
        <v>0</v>
      </c>
      <c r="D467" s="57">
        <f>IF(ISBLANK(MEMBERS[[#This Row],[PayrollLocation]]),0,IF(COUNTIF(SCHOOLS[SchoolCode],MEMBERS[[#This Row],[PayrollLocation]])=1,0,1))</f>
        <v>0</v>
      </c>
      <c r="E467" s="57">
        <f>IF(MEMBERS[[#This Row],[AvailableToAllSchools]]=FALSE,IF(ISBLANK(MEMBERS[[#This Row],[SchoolCodes]]),1,0),IF(MEMBERS[[#This Row],[AvailableToAllSchools]]=TRUE,IF(ISBLANK(MEMBERS[[#This Row],[SchoolCodes]]),0,1)))</f>
        <v>0</v>
      </c>
      <c r="F467" s="57">
        <f>IF(ISBLANK(MEMBERS[[#This Row],[ServiceEndDate]]),0,IF(MEMBERS[[#This Row],[ServiceStartDate]]&lt;MEMBERS[[#This Row],[ServiceEndDate]],0,1))</f>
        <v>0</v>
      </c>
      <c r="G467" s="57" cm="1">
        <f t="array" aca="1" ref="G467" ca="1">IF(CELL("format",MEMBERS[[#This Row],[ServiceStartDate]])="D1",0,1)+IF(CELL("format",MEMBERS[[#This Row],[ServiceEndDate]])="D1",0,1)</f>
        <v>0</v>
      </c>
      <c r="H46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67" s="57">
        <f>IF(LEN(MEMBERS[[#This Row],[StaffMemberCode]])&lt;100,0,1)</f>
        <v>0</v>
      </c>
      <c r="J467" s="57">
        <f>IF(LEN(MEMBERS[[#This Row],[Title]])&lt;100,0,1)</f>
        <v>0</v>
      </c>
      <c r="K467" s="57">
        <f>COUNTBLANK(MEMBERS[[#This Row],[StaffMemberCode]:[ServiceStartDate]])+COUNTBLANK(MEMBERS[[#This Row],[Apprenticeship]]:MEMBERS[[#This Row],[StaffMemberEnabled]])+COUNTBLANK(MEMBERS[[#This Row],[GenderCode]]:MEMBERS[[#This Row],[Casual]])</f>
        <v>0</v>
      </c>
      <c r="L467" s="57">
        <f>IF(SUBSTITUTE(TEXT(MEMBERS[[#This Row],[StaffMemberCode]],10)," ","")=TEXT(MEMBERS[[#This Row],[StaffMemberCode]],10),0,1)</f>
        <v>0</v>
      </c>
      <c r="M467" s="57">
        <f ca="1">SUM(MEMBERS[[#This Row],[Duplicate NameService Start]:[Space in Code]])</f>
        <v>0</v>
      </c>
      <c r="O467" s="15">
        <v>91075754</v>
      </c>
      <c r="P467" s="15" t="s">
        <v>3334</v>
      </c>
      <c r="Q467" s="15" t="s">
        <v>3750</v>
      </c>
      <c r="R467" s="133" t="str">
        <f>MEMBERS[[#This Row],[FirstName]]&amp;" "&amp;MEMBERS[[#This Row],[LastName]]</f>
        <v>Leanne Herbert-Jackson</v>
      </c>
      <c r="S467" s="21">
        <v>42620</v>
      </c>
      <c r="U467" s="21">
        <v>25273</v>
      </c>
      <c r="V467" t="b">
        <v>0</v>
      </c>
      <c r="W467" t="b">
        <v>0</v>
      </c>
      <c r="X467" t="b">
        <v>0</v>
      </c>
      <c r="Y467" t="s">
        <v>2200</v>
      </c>
      <c r="Z467" t="b">
        <v>1</v>
      </c>
      <c r="AB467" t="s">
        <v>1571</v>
      </c>
      <c r="AC467" t="b">
        <v>0</v>
      </c>
    </row>
    <row r="468" spans="1:29" x14ac:dyDescent="0.3">
      <c r="A468" s="57" t="str">
        <f>MEMBERS[[#This Row],[Title]]&amp;MEMBERS[[#This Row],[ServiceStartDate]]</f>
        <v>Leanne Peters41914</v>
      </c>
      <c r="B468" s="57">
        <f>IF(COUNTIF(MEMBERS[NameServiceStart],MEMBERS[[#This Row],[NameServiceStart]])=1,0,1)</f>
        <v>0</v>
      </c>
      <c r="C468" s="57">
        <f>IF(COUNTIF(MEMBERS[StaffMemberCode],MEMBERS[[#This Row],[StaffMemberCode]])=1,0,1)</f>
        <v>0</v>
      </c>
      <c r="D468" s="57">
        <f>IF(ISBLANK(MEMBERS[[#This Row],[PayrollLocation]]),0,IF(COUNTIF(SCHOOLS[SchoolCode],MEMBERS[[#This Row],[PayrollLocation]])=1,0,1))</f>
        <v>0</v>
      </c>
      <c r="E468" s="57">
        <f>IF(MEMBERS[[#This Row],[AvailableToAllSchools]]=FALSE,IF(ISBLANK(MEMBERS[[#This Row],[SchoolCodes]]),1,0),IF(MEMBERS[[#This Row],[AvailableToAllSchools]]=TRUE,IF(ISBLANK(MEMBERS[[#This Row],[SchoolCodes]]),0,1)))</f>
        <v>0</v>
      </c>
      <c r="F468" s="57">
        <f>IF(ISBLANK(MEMBERS[[#This Row],[ServiceEndDate]]),0,IF(MEMBERS[[#This Row],[ServiceStartDate]]&lt;MEMBERS[[#This Row],[ServiceEndDate]],0,1))</f>
        <v>0</v>
      </c>
      <c r="G468" s="57" cm="1">
        <f t="array" aca="1" ref="G468" ca="1">IF(CELL("format",MEMBERS[[#This Row],[ServiceStartDate]])="D1",0,1)+IF(CELL("format",MEMBERS[[#This Row],[ServiceEndDate]])="D1",0,1)</f>
        <v>0</v>
      </c>
      <c r="H46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68" s="57">
        <f>IF(LEN(MEMBERS[[#This Row],[StaffMemberCode]])&lt;100,0,1)</f>
        <v>0</v>
      </c>
      <c r="J468" s="57">
        <f>IF(LEN(MEMBERS[[#This Row],[Title]])&lt;100,0,1)</f>
        <v>0</v>
      </c>
      <c r="K468" s="57">
        <f>COUNTBLANK(MEMBERS[[#This Row],[StaffMemberCode]:[ServiceStartDate]])+COUNTBLANK(MEMBERS[[#This Row],[Apprenticeship]]:MEMBERS[[#This Row],[StaffMemberEnabled]])+COUNTBLANK(MEMBERS[[#This Row],[GenderCode]]:MEMBERS[[#This Row],[Casual]])</f>
        <v>0</v>
      </c>
      <c r="L468" s="57">
        <f>IF(SUBSTITUTE(TEXT(MEMBERS[[#This Row],[StaffMemberCode]],10)," ","")=TEXT(MEMBERS[[#This Row],[StaffMemberCode]],10),0,1)</f>
        <v>0</v>
      </c>
      <c r="M468" s="57">
        <f ca="1">SUM(MEMBERS[[#This Row],[Duplicate NameService Start]:[Space in Code]])</f>
        <v>0</v>
      </c>
      <c r="O468" s="15">
        <v>91073592</v>
      </c>
      <c r="P468" s="15" t="s">
        <v>3334</v>
      </c>
      <c r="Q468" s="15" t="s">
        <v>3751</v>
      </c>
      <c r="R468" s="133" t="str">
        <f>MEMBERS[[#This Row],[FirstName]]&amp;" "&amp;MEMBERS[[#This Row],[LastName]]</f>
        <v>Leanne Peters</v>
      </c>
      <c r="S468" s="21">
        <v>41914</v>
      </c>
      <c r="U468" s="21">
        <v>31684</v>
      </c>
      <c r="V468" t="b">
        <v>0</v>
      </c>
      <c r="W468" t="b">
        <v>0</v>
      </c>
      <c r="X468" t="b">
        <v>0</v>
      </c>
      <c r="Y468" t="s">
        <v>2094</v>
      </c>
      <c r="Z468" t="b">
        <v>1</v>
      </c>
      <c r="AB468" t="s">
        <v>1571</v>
      </c>
      <c r="AC468" t="b">
        <v>0</v>
      </c>
    </row>
    <row r="469" spans="1:29" x14ac:dyDescent="0.3">
      <c r="A469" s="57" t="str">
        <f>MEMBERS[[#This Row],[Title]]&amp;MEMBERS[[#This Row],[ServiceStartDate]]</f>
        <v>Leanne Welsh43322</v>
      </c>
      <c r="B469" s="57">
        <f>IF(COUNTIF(MEMBERS[NameServiceStart],MEMBERS[[#This Row],[NameServiceStart]])=1,0,1)</f>
        <v>0</v>
      </c>
      <c r="C469" s="57">
        <f>IF(COUNTIF(MEMBERS[StaffMemberCode],MEMBERS[[#This Row],[StaffMemberCode]])=1,0,1)</f>
        <v>0</v>
      </c>
      <c r="D469" s="57">
        <f>IF(ISBLANK(MEMBERS[[#This Row],[PayrollLocation]]),0,IF(COUNTIF(SCHOOLS[SchoolCode],MEMBERS[[#This Row],[PayrollLocation]])=1,0,1))</f>
        <v>0</v>
      </c>
      <c r="E469" s="57">
        <f>IF(MEMBERS[[#This Row],[AvailableToAllSchools]]=FALSE,IF(ISBLANK(MEMBERS[[#This Row],[SchoolCodes]]),1,0),IF(MEMBERS[[#This Row],[AvailableToAllSchools]]=TRUE,IF(ISBLANK(MEMBERS[[#This Row],[SchoolCodes]]),0,1)))</f>
        <v>0</v>
      </c>
      <c r="F469" s="57">
        <f>IF(ISBLANK(MEMBERS[[#This Row],[ServiceEndDate]]),0,IF(MEMBERS[[#This Row],[ServiceStartDate]]&lt;MEMBERS[[#This Row],[ServiceEndDate]],0,1))</f>
        <v>0</v>
      </c>
      <c r="G469" s="57" cm="1">
        <f t="array" aca="1" ref="G469" ca="1">IF(CELL("format",MEMBERS[[#This Row],[ServiceStartDate]])="D1",0,1)+IF(CELL("format",MEMBERS[[#This Row],[ServiceEndDate]])="D1",0,1)</f>
        <v>0</v>
      </c>
      <c r="H46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69" s="57">
        <f>IF(LEN(MEMBERS[[#This Row],[StaffMemberCode]])&lt;100,0,1)</f>
        <v>0</v>
      </c>
      <c r="J469" s="57">
        <f>IF(LEN(MEMBERS[[#This Row],[Title]])&lt;100,0,1)</f>
        <v>0</v>
      </c>
      <c r="K469" s="57">
        <f>COUNTBLANK(MEMBERS[[#This Row],[StaffMemberCode]:[ServiceStartDate]])+COUNTBLANK(MEMBERS[[#This Row],[Apprenticeship]]:MEMBERS[[#This Row],[StaffMemberEnabled]])+COUNTBLANK(MEMBERS[[#This Row],[GenderCode]]:MEMBERS[[#This Row],[Casual]])</f>
        <v>0</v>
      </c>
      <c r="L469" s="57">
        <f>IF(SUBSTITUTE(TEXT(MEMBERS[[#This Row],[StaffMemberCode]],10)," ","")=TEXT(MEMBERS[[#This Row],[StaffMemberCode]],10),0,1)</f>
        <v>0</v>
      </c>
      <c r="M469" s="57">
        <f ca="1">SUM(MEMBERS[[#This Row],[Duplicate NameService Start]:[Space in Code]])</f>
        <v>0</v>
      </c>
      <c r="O469" s="15">
        <v>91073745</v>
      </c>
      <c r="P469" s="15" t="s">
        <v>3334</v>
      </c>
      <c r="Q469" s="15" t="s">
        <v>3752</v>
      </c>
      <c r="R469" s="133" t="str">
        <f>MEMBERS[[#This Row],[FirstName]]&amp;" "&amp;MEMBERS[[#This Row],[LastName]]</f>
        <v>Leanne Welsh</v>
      </c>
      <c r="S469" s="21">
        <v>43322</v>
      </c>
      <c r="U469" s="21">
        <v>32598</v>
      </c>
      <c r="V469" t="b">
        <v>0</v>
      </c>
      <c r="W469" t="b">
        <v>0</v>
      </c>
      <c r="X469" t="b">
        <v>0</v>
      </c>
      <c r="Y469" t="s">
        <v>2082</v>
      </c>
      <c r="Z469" t="b">
        <v>1</v>
      </c>
      <c r="AB469" t="s">
        <v>1571</v>
      </c>
      <c r="AC469" t="b">
        <v>0</v>
      </c>
    </row>
    <row r="470" spans="1:29" x14ac:dyDescent="0.3">
      <c r="A470" s="57" t="str">
        <f>MEMBERS[[#This Row],[Title]]&amp;MEMBERS[[#This Row],[ServiceStartDate]]</f>
        <v>Leonard Simm44570</v>
      </c>
      <c r="B470" s="57">
        <f>IF(COUNTIF(MEMBERS[NameServiceStart],MEMBERS[[#This Row],[NameServiceStart]])=1,0,1)</f>
        <v>0</v>
      </c>
      <c r="C470" s="57">
        <f>IF(COUNTIF(MEMBERS[StaffMemberCode],MEMBERS[[#This Row],[StaffMemberCode]])=1,0,1)</f>
        <v>0</v>
      </c>
      <c r="D470" s="57">
        <f>IF(ISBLANK(MEMBERS[[#This Row],[PayrollLocation]]),0,IF(COUNTIF(SCHOOLS[SchoolCode],MEMBERS[[#This Row],[PayrollLocation]])=1,0,1))</f>
        <v>0</v>
      </c>
      <c r="E470" s="57">
        <f>IF(MEMBERS[[#This Row],[AvailableToAllSchools]]=FALSE,IF(ISBLANK(MEMBERS[[#This Row],[SchoolCodes]]),1,0),IF(MEMBERS[[#This Row],[AvailableToAllSchools]]=TRUE,IF(ISBLANK(MEMBERS[[#This Row],[SchoolCodes]]),0,1)))</f>
        <v>0</v>
      </c>
      <c r="F470" s="57">
        <f>IF(ISBLANK(MEMBERS[[#This Row],[ServiceEndDate]]),0,IF(MEMBERS[[#This Row],[ServiceStartDate]]&lt;MEMBERS[[#This Row],[ServiceEndDate]],0,1))</f>
        <v>0</v>
      </c>
      <c r="G470" s="57" cm="1">
        <f t="array" aca="1" ref="G470" ca="1">IF(CELL("format",MEMBERS[[#This Row],[ServiceStartDate]])="D1",0,1)+IF(CELL("format",MEMBERS[[#This Row],[ServiceEndDate]])="D1",0,1)</f>
        <v>0</v>
      </c>
      <c r="H47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70" s="57">
        <f>IF(LEN(MEMBERS[[#This Row],[StaffMemberCode]])&lt;100,0,1)</f>
        <v>0</v>
      </c>
      <c r="J470" s="57">
        <f>IF(LEN(MEMBERS[[#This Row],[Title]])&lt;100,0,1)</f>
        <v>0</v>
      </c>
      <c r="K470" s="57">
        <f>COUNTBLANK(MEMBERS[[#This Row],[StaffMemberCode]:[ServiceStartDate]])+COUNTBLANK(MEMBERS[[#This Row],[Apprenticeship]]:MEMBERS[[#This Row],[StaffMemberEnabled]])+COUNTBLANK(MEMBERS[[#This Row],[GenderCode]]:MEMBERS[[#This Row],[Casual]])</f>
        <v>0</v>
      </c>
      <c r="L470" s="57">
        <f>IF(SUBSTITUTE(TEXT(MEMBERS[[#This Row],[StaffMemberCode]],10)," ","")=TEXT(MEMBERS[[#This Row],[StaffMemberCode]],10),0,1)</f>
        <v>0</v>
      </c>
      <c r="M470" s="57">
        <f ca="1">SUM(MEMBERS[[#This Row],[Duplicate NameService Start]:[Space in Code]])</f>
        <v>0</v>
      </c>
      <c r="O470" s="15">
        <v>91073556</v>
      </c>
      <c r="P470" s="15" t="s">
        <v>3335</v>
      </c>
      <c r="Q470" s="15" t="s">
        <v>3753</v>
      </c>
      <c r="R470" s="133" t="str">
        <f>MEMBERS[[#This Row],[FirstName]]&amp;" "&amp;MEMBERS[[#This Row],[LastName]]</f>
        <v>Leonard Simm</v>
      </c>
      <c r="S470" s="21">
        <v>44570</v>
      </c>
      <c r="U470" s="21">
        <v>15844</v>
      </c>
      <c r="V470" t="b">
        <v>0</v>
      </c>
      <c r="W470" t="b">
        <v>0</v>
      </c>
      <c r="X470" t="b">
        <v>0</v>
      </c>
      <c r="Y470" t="s">
        <v>2094</v>
      </c>
      <c r="Z470" t="b">
        <v>1</v>
      </c>
      <c r="AB470" t="s">
        <v>1572</v>
      </c>
      <c r="AC470" t="b">
        <v>1</v>
      </c>
    </row>
    <row r="471" spans="1:29" x14ac:dyDescent="0.3">
      <c r="A471" s="57" t="str">
        <f>MEMBERS[[#This Row],[Title]]&amp;MEMBERS[[#This Row],[ServiceStartDate]]</f>
        <v>Lesley Brown33117</v>
      </c>
      <c r="B471" s="57">
        <f>IF(COUNTIF(MEMBERS[NameServiceStart],MEMBERS[[#This Row],[NameServiceStart]])=1,0,1)</f>
        <v>0</v>
      </c>
      <c r="C471" s="57">
        <f>IF(COUNTIF(MEMBERS[StaffMemberCode],MEMBERS[[#This Row],[StaffMemberCode]])=1,0,1)</f>
        <v>0</v>
      </c>
      <c r="D471" s="57">
        <f>IF(ISBLANK(MEMBERS[[#This Row],[PayrollLocation]]),0,IF(COUNTIF(SCHOOLS[SchoolCode],MEMBERS[[#This Row],[PayrollLocation]])=1,0,1))</f>
        <v>0</v>
      </c>
      <c r="E471" s="57">
        <f>IF(MEMBERS[[#This Row],[AvailableToAllSchools]]=FALSE,IF(ISBLANK(MEMBERS[[#This Row],[SchoolCodes]]),1,0),IF(MEMBERS[[#This Row],[AvailableToAllSchools]]=TRUE,IF(ISBLANK(MEMBERS[[#This Row],[SchoolCodes]]),0,1)))</f>
        <v>0</v>
      </c>
      <c r="F471" s="57">
        <f>IF(ISBLANK(MEMBERS[[#This Row],[ServiceEndDate]]),0,IF(MEMBERS[[#This Row],[ServiceStartDate]]&lt;MEMBERS[[#This Row],[ServiceEndDate]],0,1))</f>
        <v>0</v>
      </c>
      <c r="G471" s="57" cm="1">
        <f t="array" aca="1" ref="G471" ca="1">IF(CELL("format",MEMBERS[[#This Row],[ServiceStartDate]])="D1",0,1)+IF(CELL("format",MEMBERS[[#This Row],[ServiceEndDate]])="D1",0,1)</f>
        <v>0</v>
      </c>
      <c r="H47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71" s="57">
        <f>IF(LEN(MEMBERS[[#This Row],[StaffMemberCode]])&lt;100,0,1)</f>
        <v>0</v>
      </c>
      <c r="J471" s="57">
        <f>IF(LEN(MEMBERS[[#This Row],[Title]])&lt;100,0,1)</f>
        <v>0</v>
      </c>
      <c r="K471" s="57">
        <f>COUNTBLANK(MEMBERS[[#This Row],[StaffMemberCode]:[ServiceStartDate]])+COUNTBLANK(MEMBERS[[#This Row],[Apprenticeship]]:MEMBERS[[#This Row],[StaffMemberEnabled]])+COUNTBLANK(MEMBERS[[#This Row],[GenderCode]]:MEMBERS[[#This Row],[Casual]])</f>
        <v>0</v>
      </c>
      <c r="L471" s="57">
        <f>IF(SUBSTITUTE(TEXT(MEMBERS[[#This Row],[StaffMemberCode]],10)," ","")=TEXT(MEMBERS[[#This Row],[StaffMemberCode]],10),0,1)</f>
        <v>0</v>
      </c>
      <c r="M471" s="57">
        <f ca="1">SUM(MEMBERS[[#This Row],[Duplicate NameService Start]:[Space in Code]])</f>
        <v>0</v>
      </c>
      <c r="O471" s="15">
        <v>10016188</v>
      </c>
      <c r="P471" s="15" t="s">
        <v>3983</v>
      </c>
      <c r="Q471" s="15" t="s">
        <v>3727</v>
      </c>
      <c r="R471" s="133" t="str">
        <f>MEMBERS[[#This Row],[FirstName]]&amp;" "&amp;MEMBERS[[#This Row],[LastName]]</f>
        <v>Lesley Brown</v>
      </c>
      <c r="S471" s="21">
        <v>33117</v>
      </c>
      <c r="U471" s="21">
        <v>24075</v>
      </c>
      <c r="V471" s="138" t="b">
        <v>0</v>
      </c>
      <c r="W471" t="b">
        <v>0</v>
      </c>
      <c r="X471" t="b">
        <v>0</v>
      </c>
      <c r="Y471" t="s">
        <v>2126</v>
      </c>
      <c r="Z471" t="b">
        <v>1</v>
      </c>
      <c r="AB471" t="s">
        <v>1571</v>
      </c>
      <c r="AC471" t="b">
        <v>0</v>
      </c>
    </row>
    <row r="472" spans="1:29" x14ac:dyDescent="0.3">
      <c r="A472" s="57" t="str">
        <f>MEMBERS[[#This Row],[Title]]&amp;MEMBERS[[#This Row],[ServiceStartDate]]</f>
        <v>Levi Rhodes-McKenzie45497</v>
      </c>
      <c r="B472" s="57">
        <f>IF(COUNTIF(MEMBERS[NameServiceStart],MEMBERS[[#This Row],[NameServiceStart]])=1,0,1)</f>
        <v>0</v>
      </c>
      <c r="C472" s="57">
        <f>IF(COUNTIF(MEMBERS[StaffMemberCode],MEMBERS[[#This Row],[StaffMemberCode]])=1,0,1)</f>
        <v>0</v>
      </c>
      <c r="D472" s="57">
        <f>IF(ISBLANK(MEMBERS[[#This Row],[PayrollLocation]]),0,IF(COUNTIF(SCHOOLS[SchoolCode],MEMBERS[[#This Row],[PayrollLocation]])=1,0,1))</f>
        <v>0</v>
      </c>
      <c r="E472" s="57">
        <f>IF(MEMBERS[[#This Row],[AvailableToAllSchools]]=FALSE,IF(ISBLANK(MEMBERS[[#This Row],[SchoolCodes]]),1,0),IF(MEMBERS[[#This Row],[AvailableToAllSchools]]=TRUE,IF(ISBLANK(MEMBERS[[#This Row],[SchoolCodes]]),0,1)))</f>
        <v>0</v>
      </c>
      <c r="F472" s="57">
        <f>IF(ISBLANK(MEMBERS[[#This Row],[ServiceEndDate]]),0,IF(MEMBERS[[#This Row],[ServiceStartDate]]&lt;MEMBERS[[#This Row],[ServiceEndDate]],0,1))</f>
        <v>0</v>
      </c>
      <c r="G472" s="57" cm="1">
        <f t="array" aca="1" ref="G472" ca="1">IF(CELL("format",MEMBERS[[#This Row],[ServiceStartDate]])="D1",0,1)+IF(CELL("format",MEMBERS[[#This Row],[ServiceEndDate]])="D1",0,1)</f>
        <v>0</v>
      </c>
      <c r="H47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72" s="57">
        <f>IF(LEN(MEMBERS[[#This Row],[StaffMemberCode]])&lt;100,0,1)</f>
        <v>0</v>
      </c>
      <c r="J472" s="57">
        <f>IF(LEN(MEMBERS[[#This Row],[Title]])&lt;100,0,1)</f>
        <v>0</v>
      </c>
      <c r="K472" s="57">
        <f>COUNTBLANK(MEMBERS[[#This Row],[StaffMemberCode]:[ServiceStartDate]])+COUNTBLANK(MEMBERS[[#This Row],[Apprenticeship]]:MEMBERS[[#This Row],[StaffMemberEnabled]])+COUNTBLANK(MEMBERS[[#This Row],[GenderCode]]:MEMBERS[[#This Row],[Casual]])</f>
        <v>0</v>
      </c>
      <c r="L472" s="57">
        <f>IF(SUBSTITUTE(TEXT(MEMBERS[[#This Row],[StaffMemberCode]],10)," ","")=TEXT(MEMBERS[[#This Row],[StaffMemberCode]],10),0,1)</f>
        <v>0</v>
      </c>
      <c r="M472" s="57">
        <f ca="1">SUM(MEMBERS[[#This Row],[Duplicate NameService Start]:[Space in Code]])</f>
        <v>0</v>
      </c>
      <c r="O472" s="15">
        <v>10014500</v>
      </c>
      <c r="P472" s="15" t="s">
        <v>3984</v>
      </c>
      <c r="Q472" s="15" t="s">
        <v>4091</v>
      </c>
      <c r="R472" s="133" t="str">
        <f>MEMBERS[[#This Row],[FirstName]]&amp;" "&amp;MEMBERS[[#This Row],[LastName]]</f>
        <v>Levi Rhodes-McKenzie</v>
      </c>
      <c r="S472" s="21">
        <v>45497</v>
      </c>
      <c r="U472" s="21">
        <v>38244</v>
      </c>
      <c r="V472" s="138" t="b">
        <v>0</v>
      </c>
      <c r="W472" t="b">
        <v>0</v>
      </c>
      <c r="X472" t="b">
        <v>0</v>
      </c>
      <c r="Y472" t="s">
        <v>2126</v>
      </c>
      <c r="Z472" t="b">
        <v>1</v>
      </c>
      <c r="AB472" t="s">
        <v>1572</v>
      </c>
      <c r="AC472" t="b">
        <v>0</v>
      </c>
    </row>
    <row r="473" spans="1:29" x14ac:dyDescent="0.3">
      <c r="A473" s="57" t="str">
        <f>MEMBERS[[#This Row],[Title]]&amp;MEMBERS[[#This Row],[ServiceStartDate]]</f>
        <v>Lewis Platt45593</v>
      </c>
      <c r="B473" s="57">
        <f>IF(COUNTIF(MEMBERS[NameServiceStart],MEMBERS[[#This Row],[NameServiceStart]])=1,0,1)</f>
        <v>0</v>
      </c>
      <c r="C473" s="57">
        <f>IF(COUNTIF(MEMBERS[StaffMemberCode],MEMBERS[[#This Row],[StaffMemberCode]])=1,0,1)</f>
        <v>0</v>
      </c>
      <c r="D473" s="57">
        <f>IF(ISBLANK(MEMBERS[[#This Row],[PayrollLocation]]),0,IF(COUNTIF(SCHOOLS[SchoolCode],MEMBERS[[#This Row],[PayrollLocation]])=1,0,1))</f>
        <v>0</v>
      </c>
      <c r="E473" s="57">
        <f>IF(MEMBERS[[#This Row],[AvailableToAllSchools]]=FALSE,IF(ISBLANK(MEMBERS[[#This Row],[SchoolCodes]]),1,0),IF(MEMBERS[[#This Row],[AvailableToAllSchools]]=TRUE,IF(ISBLANK(MEMBERS[[#This Row],[SchoolCodes]]),0,1)))</f>
        <v>0</v>
      </c>
      <c r="F473" s="57">
        <f>IF(ISBLANK(MEMBERS[[#This Row],[ServiceEndDate]]),0,IF(MEMBERS[[#This Row],[ServiceStartDate]]&lt;MEMBERS[[#This Row],[ServiceEndDate]],0,1))</f>
        <v>0</v>
      </c>
      <c r="G473" s="57" cm="1">
        <f t="array" aca="1" ref="G473" ca="1">IF(CELL("format",MEMBERS[[#This Row],[ServiceStartDate]])="D1",0,1)+IF(CELL("format",MEMBERS[[#This Row],[ServiceEndDate]])="D1",0,1)</f>
        <v>0</v>
      </c>
      <c r="H47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73" s="57">
        <f>IF(LEN(MEMBERS[[#This Row],[StaffMemberCode]])&lt;100,0,1)</f>
        <v>0</v>
      </c>
      <c r="J473" s="57">
        <f>IF(LEN(MEMBERS[[#This Row],[Title]])&lt;100,0,1)</f>
        <v>0</v>
      </c>
      <c r="K473" s="57">
        <f>COUNTBLANK(MEMBERS[[#This Row],[StaffMemberCode]:[ServiceStartDate]])+COUNTBLANK(MEMBERS[[#This Row],[Apprenticeship]]:MEMBERS[[#This Row],[StaffMemberEnabled]])+COUNTBLANK(MEMBERS[[#This Row],[GenderCode]]:MEMBERS[[#This Row],[Casual]])</f>
        <v>0</v>
      </c>
      <c r="L473" s="57">
        <f>IF(SUBSTITUTE(TEXT(MEMBERS[[#This Row],[StaffMemberCode]],10)," ","")=TEXT(MEMBERS[[#This Row],[StaffMemberCode]],10),0,1)</f>
        <v>0</v>
      </c>
      <c r="M473" s="57">
        <f ca="1">SUM(MEMBERS[[#This Row],[Duplicate NameService Start]:[Space in Code]])</f>
        <v>0</v>
      </c>
      <c r="O473" s="15">
        <v>91327758</v>
      </c>
      <c r="P473" s="15" t="s">
        <v>3336</v>
      </c>
      <c r="Q473" s="15" t="s">
        <v>3490</v>
      </c>
      <c r="R473" s="133" t="str">
        <f>MEMBERS[[#This Row],[FirstName]]&amp;" "&amp;MEMBERS[[#This Row],[LastName]]</f>
        <v>Lewis Platt</v>
      </c>
      <c r="S473" s="21">
        <v>45593</v>
      </c>
      <c r="U473" s="21">
        <v>38349</v>
      </c>
      <c r="V473" t="b">
        <v>0</v>
      </c>
      <c r="W473" t="b">
        <v>0</v>
      </c>
      <c r="X473" t="b">
        <v>0</v>
      </c>
      <c r="Y473" t="s">
        <v>2094</v>
      </c>
      <c r="Z473" t="b">
        <v>1</v>
      </c>
      <c r="AB473" t="s">
        <v>1572</v>
      </c>
      <c r="AC473" t="b">
        <v>0</v>
      </c>
    </row>
    <row r="474" spans="1:29" x14ac:dyDescent="0.3">
      <c r="A474" s="57" t="str">
        <f>MEMBERS[[#This Row],[Title]]&amp;MEMBERS[[#This Row],[ServiceStartDate]]</f>
        <v>Liam Mulhern42744</v>
      </c>
      <c r="B474" s="57">
        <f>IF(COUNTIF(MEMBERS[NameServiceStart],MEMBERS[[#This Row],[NameServiceStart]])=1,0,1)</f>
        <v>0</v>
      </c>
      <c r="C474" s="57">
        <f>IF(COUNTIF(MEMBERS[StaffMemberCode],MEMBERS[[#This Row],[StaffMemberCode]])=1,0,1)</f>
        <v>0</v>
      </c>
      <c r="D474" s="57">
        <f>IF(ISBLANK(MEMBERS[[#This Row],[PayrollLocation]]),0,IF(COUNTIF(SCHOOLS[SchoolCode],MEMBERS[[#This Row],[PayrollLocation]])=1,0,1))</f>
        <v>0</v>
      </c>
      <c r="E474" s="57">
        <f>IF(MEMBERS[[#This Row],[AvailableToAllSchools]]=FALSE,IF(ISBLANK(MEMBERS[[#This Row],[SchoolCodes]]),1,0),IF(MEMBERS[[#This Row],[AvailableToAllSchools]]=TRUE,IF(ISBLANK(MEMBERS[[#This Row],[SchoolCodes]]),0,1)))</f>
        <v>0</v>
      </c>
      <c r="F474" s="57">
        <f>IF(ISBLANK(MEMBERS[[#This Row],[ServiceEndDate]]),0,IF(MEMBERS[[#This Row],[ServiceStartDate]]&lt;MEMBERS[[#This Row],[ServiceEndDate]],0,1))</f>
        <v>0</v>
      </c>
      <c r="G474" s="57" cm="1">
        <f t="array" aca="1" ref="G474" ca="1">IF(CELL("format",MEMBERS[[#This Row],[ServiceStartDate]])="D1",0,1)+IF(CELL("format",MEMBERS[[#This Row],[ServiceEndDate]])="D1",0,1)</f>
        <v>0</v>
      </c>
      <c r="H47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74" s="57">
        <f>IF(LEN(MEMBERS[[#This Row],[StaffMemberCode]])&lt;100,0,1)</f>
        <v>0</v>
      </c>
      <c r="J474" s="57">
        <f>IF(LEN(MEMBERS[[#This Row],[Title]])&lt;100,0,1)</f>
        <v>0</v>
      </c>
      <c r="K474" s="57">
        <f>COUNTBLANK(MEMBERS[[#This Row],[StaffMemberCode]:[ServiceStartDate]])+COUNTBLANK(MEMBERS[[#This Row],[Apprenticeship]]:MEMBERS[[#This Row],[StaffMemberEnabled]])+COUNTBLANK(MEMBERS[[#This Row],[GenderCode]]:MEMBERS[[#This Row],[Casual]])</f>
        <v>0</v>
      </c>
      <c r="L474" s="57">
        <f>IF(SUBSTITUTE(TEXT(MEMBERS[[#This Row],[StaffMemberCode]],10)," ","")=TEXT(MEMBERS[[#This Row],[StaffMemberCode]],10),0,1)</f>
        <v>0</v>
      </c>
      <c r="M474" s="57">
        <f ca="1">SUM(MEMBERS[[#This Row],[Duplicate NameService Start]:[Space in Code]])</f>
        <v>0</v>
      </c>
      <c r="O474" s="15">
        <v>91073546</v>
      </c>
      <c r="P474" s="15" t="s">
        <v>3337</v>
      </c>
      <c r="Q474" s="15" t="s">
        <v>3754</v>
      </c>
      <c r="R474" s="133" t="str">
        <f>MEMBERS[[#This Row],[FirstName]]&amp;" "&amp;MEMBERS[[#This Row],[LastName]]</f>
        <v>Liam Mulhern</v>
      </c>
      <c r="S474" s="21">
        <v>42744</v>
      </c>
      <c r="U474" s="21">
        <v>32002</v>
      </c>
      <c r="V474" t="b">
        <v>0</v>
      </c>
      <c r="W474" t="b">
        <v>0</v>
      </c>
      <c r="X474" t="b">
        <v>0</v>
      </c>
      <c r="Y474" t="s">
        <v>2094</v>
      </c>
      <c r="Z474" t="b">
        <v>1</v>
      </c>
      <c r="AB474" t="s">
        <v>1572</v>
      </c>
      <c r="AC474" t="b">
        <v>0</v>
      </c>
    </row>
    <row r="475" spans="1:29" x14ac:dyDescent="0.3">
      <c r="A475" s="57" t="str">
        <f>MEMBERS[[#This Row],[Title]]&amp;MEMBERS[[#This Row],[ServiceStartDate]]</f>
        <v>Liam Potts42979</v>
      </c>
      <c r="B475" s="57">
        <f>IF(COUNTIF(MEMBERS[NameServiceStart],MEMBERS[[#This Row],[NameServiceStart]])=1,0,1)</f>
        <v>0</v>
      </c>
      <c r="C475" s="57">
        <f>IF(COUNTIF(MEMBERS[StaffMemberCode],MEMBERS[[#This Row],[StaffMemberCode]])=1,0,1)</f>
        <v>0</v>
      </c>
      <c r="D475" s="57">
        <f>IF(ISBLANK(MEMBERS[[#This Row],[PayrollLocation]]),0,IF(COUNTIF(SCHOOLS[SchoolCode],MEMBERS[[#This Row],[PayrollLocation]])=1,0,1))</f>
        <v>0</v>
      </c>
      <c r="E475" s="57">
        <f>IF(MEMBERS[[#This Row],[AvailableToAllSchools]]=FALSE,IF(ISBLANK(MEMBERS[[#This Row],[SchoolCodes]]),1,0),IF(MEMBERS[[#This Row],[AvailableToAllSchools]]=TRUE,IF(ISBLANK(MEMBERS[[#This Row],[SchoolCodes]]),0,1)))</f>
        <v>0</v>
      </c>
      <c r="F475" s="57">
        <f>IF(ISBLANK(MEMBERS[[#This Row],[ServiceEndDate]]),0,IF(MEMBERS[[#This Row],[ServiceStartDate]]&lt;MEMBERS[[#This Row],[ServiceEndDate]],0,1))</f>
        <v>0</v>
      </c>
      <c r="G475" s="57" cm="1">
        <f t="array" aca="1" ref="G475" ca="1">IF(CELL("format",MEMBERS[[#This Row],[ServiceStartDate]])="D1",0,1)+IF(CELL("format",MEMBERS[[#This Row],[ServiceEndDate]])="D1",0,1)</f>
        <v>0</v>
      </c>
      <c r="H47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75" s="57">
        <f>IF(LEN(MEMBERS[[#This Row],[StaffMemberCode]])&lt;100,0,1)</f>
        <v>0</v>
      </c>
      <c r="J475" s="57">
        <f>IF(LEN(MEMBERS[[#This Row],[Title]])&lt;100,0,1)</f>
        <v>0</v>
      </c>
      <c r="K475" s="57">
        <f>COUNTBLANK(MEMBERS[[#This Row],[StaffMemberCode]:[ServiceStartDate]])+COUNTBLANK(MEMBERS[[#This Row],[Apprenticeship]]:MEMBERS[[#This Row],[StaffMemberEnabled]])+COUNTBLANK(MEMBERS[[#This Row],[GenderCode]]:MEMBERS[[#This Row],[Casual]])</f>
        <v>0</v>
      </c>
      <c r="L475" s="57">
        <f>IF(SUBSTITUTE(TEXT(MEMBERS[[#This Row],[StaffMemberCode]],10)," ","")=TEXT(MEMBERS[[#This Row],[StaffMemberCode]],10),0,1)</f>
        <v>0</v>
      </c>
      <c r="M475" s="57">
        <f ca="1">SUM(MEMBERS[[#This Row],[Duplicate NameService Start]:[Space in Code]])</f>
        <v>0</v>
      </c>
      <c r="O475" s="15">
        <v>10011150</v>
      </c>
      <c r="P475" s="15" t="s">
        <v>3337</v>
      </c>
      <c r="Q475" s="15" t="s">
        <v>3625</v>
      </c>
      <c r="R475" s="133" t="str">
        <f>MEMBERS[[#This Row],[FirstName]]&amp;" "&amp;MEMBERS[[#This Row],[LastName]]</f>
        <v>Liam Potts</v>
      </c>
      <c r="S475" s="21">
        <v>42979</v>
      </c>
      <c r="U475" s="21">
        <v>34808</v>
      </c>
      <c r="V475" s="138" t="b">
        <v>0</v>
      </c>
      <c r="W475" t="b">
        <v>0</v>
      </c>
      <c r="X475" t="b">
        <v>0</v>
      </c>
      <c r="Y475" t="s">
        <v>2126</v>
      </c>
      <c r="Z475" t="b">
        <v>1</v>
      </c>
      <c r="AB475" t="s">
        <v>1572</v>
      </c>
      <c r="AC475" t="b">
        <v>0</v>
      </c>
    </row>
    <row r="476" spans="1:29" x14ac:dyDescent="0.3">
      <c r="A476" s="57" t="str">
        <f>MEMBERS[[#This Row],[Title]]&amp;MEMBERS[[#This Row],[ServiceStartDate]]</f>
        <v>Liana Becking45901</v>
      </c>
      <c r="B476" s="57">
        <f>IF(COUNTIF(MEMBERS[NameServiceStart],MEMBERS[[#This Row],[NameServiceStart]])=1,0,1)</f>
        <v>0</v>
      </c>
      <c r="C476" s="57">
        <f>IF(COUNTIF(MEMBERS[StaffMemberCode],MEMBERS[[#This Row],[StaffMemberCode]])=1,0,1)</f>
        <v>0</v>
      </c>
      <c r="D476" s="57">
        <f>IF(ISBLANK(MEMBERS[[#This Row],[PayrollLocation]]),0,IF(COUNTIF(SCHOOLS[SchoolCode],MEMBERS[[#This Row],[PayrollLocation]])=1,0,1))</f>
        <v>0</v>
      </c>
      <c r="E476" s="57">
        <f>IF(MEMBERS[[#This Row],[AvailableToAllSchools]]=FALSE,IF(ISBLANK(MEMBERS[[#This Row],[SchoolCodes]]),1,0),IF(MEMBERS[[#This Row],[AvailableToAllSchools]]=TRUE,IF(ISBLANK(MEMBERS[[#This Row],[SchoolCodes]]),0,1)))</f>
        <v>0</v>
      </c>
      <c r="F476" s="57">
        <f>IF(ISBLANK(MEMBERS[[#This Row],[ServiceEndDate]]),0,IF(MEMBERS[[#This Row],[ServiceStartDate]]&lt;MEMBERS[[#This Row],[ServiceEndDate]],0,1))</f>
        <v>0</v>
      </c>
      <c r="G476" s="57" cm="1">
        <f t="array" aca="1" ref="G476" ca="1">IF(CELL("format",MEMBERS[[#This Row],[ServiceStartDate]])="D1",0,1)+IF(CELL("format",MEMBERS[[#This Row],[ServiceEndDate]])="D1",0,1)</f>
        <v>0</v>
      </c>
      <c r="H47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76" s="57">
        <f>IF(LEN(MEMBERS[[#This Row],[StaffMemberCode]])&lt;100,0,1)</f>
        <v>0</v>
      </c>
      <c r="J476" s="57">
        <f>IF(LEN(MEMBERS[[#This Row],[Title]])&lt;100,0,1)</f>
        <v>0</v>
      </c>
      <c r="K476" s="57">
        <f>COUNTBLANK(MEMBERS[[#This Row],[StaffMemberCode]:[ServiceStartDate]])+COUNTBLANK(MEMBERS[[#This Row],[Apprenticeship]]:MEMBERS[[#This Row],[StaffMemberEnabled]])+COUNTBLANK(MEMBERS[[#This Row],[GenderCode]]:MEMBERS[[#This Row],[Casual]])</f>
        <v>0</v>
      </c>
      <c r="L476" s="57">
        <f>IF(SUBSTITUTE(TEXT(MEMBERS[[#This Row],[StaffMemberCode]],10)," ","")=TEXT(MEMBERS[[#This Row],[StaffMemberCode]],10),0,1)</f>
        <v>0</v>
      </c>
      <c r="M476" s="57">
        <f ca="1">SUM(MEMBERS[[#This Row],[Duplicate NameService Start]:[Space in Code]])</f>
        <v>0</v>
      </c>
      <c r="O476" s="15">
        <v>91850041</v>
      </c>
      <c r="P476" s="15" t="s">
        <v>3338</v>
      </c>
      <c r="Q476" s="15" t="s">
        <v>3755</v>
      </c>
      <c r="R476" s="133" t="str">
        <f>MEMBERS[[#This Row],[FirstName]]&amp;" "&amp;MEMBERS[[#This Row],[LastName]]</f>
        <v>Liana Becking</v>
      </c>
      <c r="S476" s="21">
        <v>45901</v>
      </c>
      <c r="U476" s="21">
        <v>32986</v>
      </c>
      <c r="V476" t="b">
        <v>0</v>
      </c>
      <c r="W476" t="b">
        <v>0</v>
      </c>
      <c r="X476" t="b">
        <v>0</v>
      </c>
      <c r="Y476" t="s">
        <v>2275</v>
      </c>
      <c r="Z476" t="b">
        <v>1</v>
      </c>
      <c r="AB476" t="s">
        <v>1571</v>
      </c>
      <c r="AC476" t="b">
        <v>0</v>
      </c>
    </row>
    <row r="477" spans="1:29" x14ac:dyDescent="0.3">
      <c r="A477" s="57" t="str">
        <f>MEMBERS[[#This Row],[Title]]&amp;MEMBERS[[#This Row],[ServiceStartDate]]</f>
        <v>Liane Young38726</v>
      </c>
      <c r="B477" s="57">
        <f>IF(COUNTIF(MEMBERS[NameServiceStart],MEMBERS[[#This Row],[NameServiceStart]])=1,0,1)</f>
        <v>0</v>
      </c>
      <c r="C477" s="57">
        <f>IF(COUNTIF(MEMBERS[StaffMemberCode],MEMBERS[[#This Row],[StaffMemberCode]])=1,0,1)</f>
        <v>0</v>
      </c>
      <c r="D477" s="57">
        <f>IF(ISBLANK(MEMBERS[[#This Row],[PayrollLocation]]),0,IF(COUNTIF(SCHOOLS[SchoolCode],MEMBERS[[#This Row],[PayrollLocation]])=1,0,1))</f>
        <v>0</v>
      </c>
      <c r="E477" s="57">
        <f>IF(MEMBERS[[#This Row],[AvailableToAllSchools]]=FALSE,IF(ISBLANK(MEMBERS[[#This Row],[SchoolCodes]]),1,0),IF(MEMBERS[[#This Row],[AvailableToAllSchools]]=TRUE,IF(ISBLANK(MEMBERS[[#This Row],[SchoolCodes]]),0,1)))</f>
        <v>0</v>
      </c>
      <c r="F477" s="57">
        <f>IF(ISBLANK(MEMBERS[[#This Row],[ServiceEndDate]]),0,IF(MEMBERS[[#This Row],[ServiceStartDate]]&lt;MEMBERS[[#This Row],[ServiceEndDate]],0,1))</f>
        <v>0</v>
      </c>
      <c r="G477" s="57" cm="1">
        <f t="array" aca="1" ref="G477" ca="1">IF(CELL("format",MEMBERS[[#This Row],[ServiceStartDate]])="D1",0,1)+IF(CELL("format",MEMBERS[[#This Row],[ServiceEndDate]])="D1",0,1)</f>
        <v>0</v>
      </c>
      <c r="H47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77" s="57">
        <f>IF(LEN(MEMBERS[[#This Row],[StaffMemberCode]])&lt;100,0,1)</f>
        <v>0</v>
      </c>
      <c r="J477" s="57">
        <f>IF(LEN(MEMBERS[[#This Row],[Title]])&lt;100,0,1)</f>
        <v>0</v>
      </c>
      <c r="K477" s="57">
        <f>COUNTBLANK(MEMBERS[[#This Row],[StaffMemberCode]:[ServiceStartDate]])+COUNTBLANK(MEMBERS[[#This Row],[Apprenticeship]]:MEMBERS[[#This Row],[StaffMemberEnabled]])+COUNTBLANK(MEMBERS[[#This Row],[GenderCode]]:MEMBERS[[#This Row],[Casual]])</f>
        <v>0</v>
      </c>
      <c r="L477" s="57">
        <f>IF(SUBSTITUTE(TEXT(MEMBERS[[#This Row],[StaffMemberCode]],10)," ","")=TEXT(MEMBERS[[#This Row],[StaffMemberCode]],10),0,1)</f>
        <v>0</v>
      </c>
      <c r="M477" s="57">
        <f ca="1">SUM(MEMBERS[[#This Row],[Duplicate NameService Start]:[Space in Code]])</f>
        <v>0</v>
      </c>
      <c r="O477" s="15">
        <v>91073707</v>
      </c>
      <c r="P477" s="15" t="s">
        <v>3339</v>
      </c>
      <c r="Q477" s="15" t="s">
        <v>3545</v>
      </c>
      <c r="R477" s="133" t="str">
        <f>MEMBERS[[#This Row],[FirstName]]&amp;" "&amp;MEMBERS[[#This Row],[LastName]]</f>
        <v>Liane Young</v>
      </c>
      <c r="S477" s="21">
        <v>38726</v>
      </c>
      <c r="U477" s="21">
        <v>30750</v>
      </c>
      <c r="V477" t="b">
        <v>0</v>
      </c>
      <c r="W477" t="b">
        <v>0</v>
      </c>
      <c r="X477" t="b">
        <v>0</v>
      </c>
      <c r="Y477" t="s">
        <v>2082</v>
      </c>
      <c r="Z477" t="b">
        <v>1</v>
      </c>
      <c r="AB477" t="s">
        <v>1571</v>
      </c>
      <c r="AC477" t="b">
        <v>0</v>
      </c>
    </row>
    <row r="478" spans="1:29" x14ac:dyDescent="0.3">
      <c r="A478" s="57" t="str">
        <f>MEMBERS[[#This Row],[Title]]&amp;MEMBERS[[#This Row],[ServiceStartDate]]</f>
        <v>Lianne Jardine39822</v>
      </c>
      <c r="B478" s="57">
        <f>IF(COUNTIF(MEMBERS[NameServiceStart],MEMBERS[[#This Row],[NameServiceStart]])=1,0,1)</f>
        <v>0</v>
      </c>
      <c r="C478" s="57">
        <f>IF(COUNTIF(MEMBERS[StaffMemberCode],MEMBERS[[#This Row],[StaffMemberCode]])=1,0,1)</f>
        <v>0</v>
      </c>
      <c r="D478" s="57">
        <f>IF(ISBLANK(MEMBERS[[#This Row],[PayrollLocation]]),0,IF(COUNTIF(SCHOOLS[SchoolCode],MEMBERS[[#This Row],[PayrollLocation]])=1,0,1))</f>
        <v>0</v>
      </c>
      <c r="E478" s="57">
        <f>IF(MEMBERS[[#This Row],[AvailableToAllSchools]]=FALSE,IF(ISBLANK(MEMBERS[[#This Row],[SchoolCodes]]),1,0),IF(MEMBERS[[#This Row],[AvailableToAllSchools]]=TRUE,IF(ISBLANK(MEMBERS[[#This Row],[SchoolCodes]]),0,1)))</f>
        <v>0</v>
      </c>
      <c r="F478" s="57">
        <f>IF(ISBLANK(MEMBERS[[#This Row],[ServiceEndDate]]),0,IF(MEMBERS[[#This Row],[ServiceStartDate]]&lt;MEMBERS[[#This Row],[ServiceEndDate]],0,1))</f>
        <v>0</v>
      </c>
      <c r="G478" s="57" cm="1">
        <f t="array" aca="1" ref="G478" ca="1">IF(CELL("format",MEMBERS[[#This Row],[ServiceStartDate]])="D1",0,1)+IF(CELL("format",MEMBERS[[#This Row],[ServiceEndDate]])="D1",0,1)</f>
        <v>0</v>
      </c>
      <c r="H47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78" s="57">
        <f>IF(LEN(MEMBERS[[#This Row],[StaffMemberCode]])&lt;100,0,1)</f>
        <v>0</v>
      </c>
      <c r="J478" s="57">
        <f>IF(LEN(MEMBERS[[#This Row],[Title]])&lt;100,0,1)</f>
        <v>0</v>
      </c>
      <c r="K478" s="57">
        <f>COUNTBLANK(MEMBERS[[#This Row],[StaffMemberCode]:[ServiceStartDate]])+COUNTBLANK(MEMBERS[[#This Row],[Apprenticeship]]:MEMBERS[[#This Row],[StaffMemberEnabled]])+COUNTBLANK(MEMBERS[[#This Row],[GenderCode]]:MEMBERS[[#This Row],[Casual]])</f>
        <v>0</v>
      </c>
      <c r="L478" s="57">
        <f>IF(SUBSTITUTE(TEXT(MEMBERS[[#This Row],[StaffMemberCode]],10)," ","")=TEXT(MEMBERS[[#This Row],[StaffMemberCode]],10),0,1)</f>
        <v>0</v>
      </c>
      <c r="M478" s="57">
        <f ca="1">SUM(MEMBERS[[#This Row],[Duplicate NameService Start]:[Space in Code]])</f>
        <v>0</v>
      </c>
      <c r="O478" s="15">
        <v>91073694</v>
      </c>
      <c r="P478" s="15" t="s">
        <v>3340</v>
      </c>
      <c r="Q478" s="15" t="s">
        <v>3756</v>
      </c>
      <c r="R478" s="133" t="str">
        <f>MEMBERS[[#This Row],[FirstName]]&amp;" "&amp;MEMBERS[[#This Row],[LastName]]</f>
        <v>Lianne Jardine</v>
      </c>
      <c r="S478" s="21">
        <v>39822</v>
      </c>
      <c r="U478" s="21">
        <v>30592</v>
      </c>
      <c r="V478" t="b">
        <v>0</v>
      </c>
      <c r="W478" t="b">
        <v>0</v>
      </c>
      <c r="X478" t="b">
        <v>0</v>
      </c>
      <c r="Y478" t="s">
        <v>2082</v>
      </c>
      <c r="Z478" t="b">
        <v>1</v>
      </c>
      <c r="AB478" t="s">
        <v>1571</v>
      </c>
      <c r="AC478" t="b">
        <v>0</v>
      </c>
    </row>
    <row r="479" spans="1:29" x14ac:dyDescent="0.3">
      <c r="A479" s="57" t="str">
        <f>MEMBERS[[#This Row],[Title]]&amp;MEMBERS[[#This Row],[ServiceStartDate]]</f>
        <v>Lillie Bebbington45784</v>
      </c>
      <c r="B479" s="57">
        <f>IF(COUNTIF(MEMBERS[NameServiceStart],MEMBERS[[#This Row],[NameServiceStart]])=1,0,1)</f>
        <v>0</v>
      </c>
      <c r="C479" s="57">
        <f>IF(COUNTIF(MEMBERS[StaffMemberCode],MEMBERS[[#This Row],[StaffMemberCode]])=1,0,1)</f>
        <v>0</v>
      </c>
      <c r="D479" s="57">
        <f>IF(ISBLANK(MEMBERS[[#This Row],[PayrollLocation]]),0,IF(COUNTIF(SCHOOLS[SchoolCode],MEMBERS[[#This Row],[PayrollLocation]])=1,0,1))</f>
        <v>0</v>
      </c>
      <c r="E479" s="57">
        <f>IF(MEMBERS[[#This Row],[AvailableToAllSchools]]=FALSE,IF(ISBLANK(MEMBERS[[#This Row],[SchoolCodes]]),1,0),IF(MEMBERS[[#This Row],[AvailableToAllSchools]]=TRUE,IF(ISBLANK(MEMBERS[[#This Row],[SchoolCodes]]),0,1)))</f>
        <v>0</v>
      </c>
      <c r="F479" s="57">
        <f>IF(ISBLANK(MEMBERS[[#This Row],[ServiceEndDate]]),0,IF(MEMBERS[[#This Row],[ServiceStartDate]]&lt;MEMBERS[[#This Row],[ServiceEndDate]],0,1))</f>
        <v>0</v>
      </c>
      <c r="G479" s="57" cm="1">
        <f t="array" aca="1" ref="G479" ca="1">IF(CELL("format",MEMBERS[[#This Row],[ServiceStartDate]])="D1",0,1)+IF(CELL("format",MEMBERS[[#This Row],[ServiceEndDate]])="D1",0,1)</f>
        <v>0</v>
      </c>
      <c r="H47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79" s="57">
        <f>IF(LEN(MEMBERS[[#This Row],[StaffMemberCode]])&lt;100,0,1)</f>
        <v>0</v>
      </c>
      <c r="J479" s="57">
        <f>IF(LEN(MEMBERS[[#This Row],[Title]])&lt;100,0,1)</f>
        <v>0</v>
      </c>
      <c r="K479" s="57">
        <f>COUNTBLANK(MEMBERS[[#This Row],[StaffMemberCode]:[ServiceStartDate]])+COUNTBLANK(MEMBERS[[#This Row],[Apprenticeship]]:MEMBERS[[#This Row],[StaffMemberEnabled]])+COUNTBLANK(MEMBERS[[#This Row],[GenderCode]]:MEMBERS[[#This Row],[Casual]])</f>
        <v>0</v>
      </c>
      <c r="L479" s="57">
        <f>IF(SUBSTITUTE(TEXT(MEMBERS[[#This Row],[StaffMemberCode]],10)," ","")=TEXT(MEMBERS[[#This Row],[StaffMemberCode]],10),0,1)</f>
        <v>0</v>
      </c>
      <c r="M479" s="57">
        <f ca="1">SUM(MEMBERS[[#This Row],[Duplicate NameService Start]:[Space in Code]])</f>
        <v>0</v>
      </c>
      <c r="O479" s="15">
        <v>10015925</v>
      </c>
      <c r="P479" s="15" t="s">
        <v>3985</v>
      </c>
      <c r="Q479" s="15" t="s">
        <v>4092</v>
      </c>
      <c r="R479" s="133" t="str">
        <f>MEMBERS[[#This Row],[FirstName]]&amp;" "&amp;MEMBERS[[#This Row],[LastName]]</f>
        <v>Lillie Bebbington</v>
      </c>
      <c r="S479" s="21">
        <v>45784</v>
      </c>
      <c r="U479" s="21">
        <v>39031</v>
      </c>
      <c r="V479" s="138" t="b">
        <v>0</v>
      </c>
      <c r="W479" t="b">
        <v>0</v>
      </c>
      <c r="X479" t="b">
        <v>0</v>
      </c>
      <c r="Y479" t="s">
        <v>2126</v>
      </c>
      <c r="Z479" t="b">
        <v>1</v>
      </c>
      <c r="AB479" t="s">
        <v>1571</v>
      </c>
      <c r="AC479" t="b">
        <v>0</v>
      </c>
    </row>
    <row r="480" spans="1:29" x14ac:dyDescent="0.3">
      <c r="A480" s="57" t="str">
        <f>MEMBERS[[#This Row],[Title]]&amp;MEMBERS[[#This Row],[ServiceStartDate]]</f>
        <v>Linda Barwick42461</v>
      </c>
      <c r="B480" s="57">
        <f>IF(COUNTIF(MEMBERS[NameServiceStart],MEMBERS[[#This Row],[NameServiceStart]])=1,0,1)</f>
        <v>0</v>
      </c>
      <c r="C480" s="57">
        <f>IF(COUNTIF(MEMBERS[StaffMemberCode],MEMBERS[[#This Row],[StaffMemberCode]])=1,0,1)</f>
        <v>0</v>
      </c>
      <c r="D480" s="57">
        <f>IF(ISBLANK(MEMBERS[[#This Row],[PayrollLocation]]),0,IF(COUNTIF(SCHOOLS[SchoolCode],MEMBERS[[#This Row],[PayrollLocation]])=1,0,1))</f>
        <v>0</v>
      </c>
      <c r="E480" s="57">
        <f>IF(MEMBERS[[#This Row],[AvailableToAllSchools]]=FALSE,IF(ISBLANK(MEMBERS[[#This Row],[SchoolCodes]]),1,0),IF(MEMBERS[[#This Row],[AvailableToAllSchools]]=TRUE,IF(ISBLANK(MEMBERS[[#This Row],[SchoolCodes]]),0,1)))</f>
        <v>0</v>
      </c>
      <c r="F480" s="57">
        <f>IF(ISBLANK(MEMBERS[[#This Row],[ServiceEndDate]]),0,IF(MEMBERS[[#This Row],[ServiceStartDate]]&lt;MEMBERS[[#This Row],[ServiceEndDate]],0,1))</f>
        <v>0</v>
      </c>
      <c r="G480" s="57" cm="1">
        <f t="array" aca="1" ref="G480" ca="1">IF(CELL("format",MEMBERS[[#This Row],[ServiceStartDate]])="D1",0,1)+IF(CELL("format",MEMBERS[[#This Row],[ServiceEndDate]])="D1",0,1)</f>
        <v>0</v>
      </c>
      <c r="H48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80" s="57">
        <f>IF(LEN(MEMBERS[[#This Row],[StaffMemberCode]])&lt;100,0,1)</f>
        <v>0</v>
      </c>
      <c r="J480" s="57">
        <f>IF(LEN(MEMBERS[[#This Row],[Title]])&lt;100,0,1)</f>
        <v>0</v>
      </c>
      <c r="K480" s="57">
        <f>COUNTBLANK(MEMBERS[[#This Row],[StaffMemberCode]:[ServiceStartDate]])+COUNTBLANK(MEMBERS[[#This Row],[Apprenticeship]]:MEMBERS[[#This Row],[StaffMemberEnabled]])+COUNTBLANK(MEMBERS[[#This Row],[GenderCode]]:MEMBERS[[#This Row],[Casual]])</f>
        <v>0</v>
      </c>
      <c r="L480" s="57">
        <f>IF(SUBSTITUTE(TEXT(MEMBERS[[#This Row],[StaffMemberCode]],10)," ","")=TEXT(MEMBERS[[#This Row],[StaffMemberCode]],10),0,1)</f>
        <v>0</v>
      </c>
      <c r="M480" s="57">
        <f ca="1">SUM(MEMBERS[[#This Row],[Duplicate NameService Start]:[Space in Code]])</f>
        <v>0</v>
      </c>
      <c r="O480" s="15">
        <v>91073560</v>
      </c>
      <c r="P480" s="15" t="s">
        <v>3341</v>
      </c>
      <c r="Q480" s="15" t="s">
        <v>3695</v>
      </c>
      <c r="R480" s="133" t="str">
        <f>MEMBERS[[#This Row],[FirstName]]&amp;" "&amp;MEMBERS[[#This Row],[LastName]]</f>
        <v>Linda Barwick</v>
      </c>
      <c r="S480" s="21">
        <v>42461</v>
      </c>
      <c r="U480" s="21">
        <v>23278</v>
      </c>
      <c r="V480" t="b">
        <v>0</v>
      </c>
      <c r="W480" t="b">
        <v>0</v>
      </c>
      <c r="X480" t="b">
        <v>0</v>
      </c>
      <c r="Y480" t="s">
        <v>2094</v>
      </c>
      <c r="Z480" t="b">
        <v>1</v>
      </c>
      <c r="AB480" t="s">
        <v>1571</v>
      </c>
      <c r="AC480" t="b">
        <v>0</v>
      </c>
    </row>
    <row r="481" spans="1:29" x14ac:dyDescent="0.3">
      <c r="A481" s="57" t="str">
        <f>MEMBERS[[#This Row],[Title]]&amp;MEMBERS[[#This Row],[ServiceStartDate]]</f>
        <v>Linda Rendall44570</v>
      </c>
      <c r="B481" s="57">
        <f>IF(COUNTIF(MEMBERS[NameServiceStart],MEMBERS[[#This Row],[NameServiceStart]])=1,0,1)</f>
        <v>0</v>
      </c>
      <c r="C481" s="57">
        <f>IF(COUNTIF(MEMBERS[StaffMemberCode],MEMBERS[[#This Row],[StaffMemberCode]])=1,0,1)</f>
        <v>0</v>
      </c>
      <c r="D481" s="57">
        <f>IF(ISBLANK(MEMBERS[[#This Row],[PayrollLocation]]),0,IF(COUNTIF(SCHOOLS[SchoolCode],MEMBERS[[#This Row],[PayrollLocation]])=1,0,1))</f>
        <v>0</v>
      </c>
      <c r="E481" s="57">
        <f>IF(MEMBERS[[#This Row],[AvailableToAllSchools]]=FALSE,IF(ISBLANK(MEMBERS[[#This Row],[SchoolCodes]]),1,0),IF(MEMBERS[[#This Row],[AvailableToAllSchools]]=TRUE,IF(ISBLANK(MEMBERS[[#This Row],[SchoolCodes]]),0,1)))</f>
        <v>0</v>
      </c>
      <c r="F481" s="57">
        <f>IF(ISBLANK(MEMBERS[[#This Row],[ServiceEndDate]]),0,IF(MEMBERS[[#This Row],[ServiceStartDate]]&lt;MEMBERS[[#This Row],[ServiceEndDate]],0,1))</f>
        <v>0</v>
      </c>
      <c r="G481" s="57" cm="1">
        <f t="array" aca="1" ref="G481" ca="1">IF(CELL("format",MEMBERS[[#This Row],[ServiceStartDate]])="D1",0,1)+IF(CELL("format",MEMBERS[[#This Row],[ServiceEndDate]])="D1",0,1)</f>
        <v>0</v>
      </c>
      <c r="H48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81" s="57">
        <f>IF(LEN(MEMBERS[[#This Row],[StaffMemberCode]])&lt;100,0,1)</f>
        <v>0</v>
      </c>
      <c r="J481" s="57">
        <f>IF(LEN(MEMBERS[[#This Row],[Title]])&lt;100,0,1)</f>
        <v>0</v>
      </c>
      <c r="K481" s="57">
        <f>COUNTBLANK(MEMBERS[[#This Row],[StaffMemberCode]:[ServiceStartDate]])+COUNTBLANK(MEMBERS[[#This Row],[Apprenticeship]]:MEMBERS[[#This Row],[StaffMemberEnabled]])+COUNTBLANK(MEMBERS[[#This Row],[GenderCode]]:MEMBERS[[#This Row],[Casual]])</f>
        <v>0</v>
      </c>
      <c r="L481" s="57">
        <f>IF(SUBSTITUTE(TEXT(MEMBERS[[#This Row],[StaffMemberCode]],10)," ","")=TEXT(MEMBERS[[#This Row],[StaffMemberCode]],10),0,1)</f>
        <v>0</v>
      </c>
      <c r="M481" s="57">
        <f ca="1">SUM(MEMBERS[[#This Row],[Duplicate NameService Start]:[Space in Code]])</f>
        <v>0</v>
      </c>
      <c r="O481" s="15">
        <v>91073421</v>
      </c>
      <c r="P481" s="15" t="s">
        <v>3341</v>
      </c>
      <c r="Q481" s="15" t="s">
        <v>3757</v>
      </c>
      <c r="R481" s="133" t="str">
        <f>MEMBERS[[#This Row],[FirstName]]&amp;" "&amp;MEMBERS[[#This Row],[LastName]]</f>
        <v>Linda Rendall</v>
      </c>
      <c r="S481" s="21">
        <v>44570</v>
      </c>
      <c r="U481" s="21">
        <v>21877</v>
      </c>
      <c r="V481" t="b">
        <v>0</v>
      </c>
      <c r="W481" t="b">
        <v>0</v>
      </c>
      <c r="X481" t="b">
        <v>0</v>
      </c>
      <c r="Y481" t="s">
        <v>2275</v>
      </c>
      <c r="Z481" t="b">
        <v>1</v>
      </c>
      <c r="AB481" t="s">
        <v>1571</v>
      </c>
      <c r="AC481" t="b">
        <v>1</v>
      </c>
    </row>
    <row r="482" spans="1:29" x14ac:dyDescent="0.3">
      <c r="A482" s="57" t="str">
        <f>MEMBERS[[#This Row],[Title]]&amp;MEMBERS[[#This Row],[ServiceStartDate]]</f>
        <v>Linda Shepherd45310</v>
      </c>
      <c r="B482" s="57">
        <f>IF(COUNTIF(MEMBERS[NameServiceStart],MEMBERS[[#This Row],[NameServiceStart]])=1,0,1)</f>
        <v>0</v>
      </c>
      <c r="C482" s="57">
        <f>IF(COUNTIF(MEMBERS[StaffMemberCode],MEMBERS[[#This Row],[StaffMemberCode]])=1,0,1)</f>
        <v>0</v>
      </c>
      <c r="D482" s="57">
        <f>IF(ISBLANK(MEMBERS[[#This Row],[PayrollLocation]]),0,IF(COUNTIF(SCHOOLS[SchoolCode],MEMBERS[[#This Row],[PayrollLocation]])=1,0,1))</f>
        <v>0</v>
      </c>
      <c r="E482" s="57">
        <f>IF(MEMBERS[[#This Row],[AvailableToAllSchools]]=FALSE,IF(ISBLANK(MEMBERS[[#This Row],[SchoolCodes]]),1,0),IF(MEMBERS[[#This Row],[AvailableToAllSchools]]=TRUE,IF(ISBLANK(MEMBERS[[#This Row],[SchoolCodes]]),0,1)))</f>
        <v>0</v>
      </c>
      <c r="F482" s="57">
        <f>IF(ISBLANK(MEMBERS[[#This Row],[ServiceEndDate]]),0,IF(MEMBERS[[#This Row],[ServiceStartDate]]&lt;MEMBERS[[#This Row],[ServiceEndDate]],0,1))</f>
        <v>0</v>
      </c>
      <c r="G482" s="57" cm="1">
        <f t="array" aca="1" ref="G482" ca="1">IF(CELL("format",MEMBERS[[#This Row],[ServiceStartDate]])="D1",0,1)+IF(CELL("format",MEMBERS[[#This Row],[ServiceEndDate]])="D1",0,1)</f>
        <v>0</v>
      </c>
      <c r="H48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82" s="57">
        <f>IF(LEN(MEMBERS[[#This Row],[StaffMemberCode]])&lt;100,0,1)</f>
        <v>0</v>
      </c>
      <c r="J482" s="57">
        <f>IF(LEN(MEMBERS[[#This Row],[Title]])&lt;100,0,1)</f>
        <v>0</v>
      </c>
      <c r="K482" s="57">
        <f>COUNTBLANK(MEMBERS[[#This Row],[StaffMemberCode]:[ServiceStartDate]])+COUNTBLANK(MEMBERS[[#This Row],[Apprenticeship]]:MEMBERS[[#This Row],[StaffMemberEnabled]])+COUNTBLANK(MEMBERS[[#This Row],[GenderCode]]:MEMBERS[[#This Row],[Casual]])</f>
        <v>0</v>
      </c>
      <c r="L482" s="57">
        <f>IF(SUBSTITUTE(TEXT(MEMBERS[[#This Row],[StaffMemberCode]],10)," ","")=TEXT(MEMBERS[[#This Row],[StaffMemberCode]],10),0,1)</f>
        <v>0</v>
      </c>
      <c r="M482" s="57">
        <f ca="1">SUM(MEMBERS[[#This Row],[Duplicate NameService Start]:[Space in Code]])</f>
        <v>0</v>
      </c>
      <c r="O482" s="15">
        <v>91073633</v>
      </c>
      <c r="P482" s="15" t="s">
        <v>3341</v>
      </c>
      <c r="Q482" s="15" t="s">
        <v>3758</v>
      </c>
      <c r="R482" s="133" t="str">
        <f>MEMBERS[[#This Row],[FirstName]]&amp;" "&amp;MEMBERS[[#This Row],[LastName]]</f>
        <v>Linda Shepherd</v>
      </c>
      <c r="S482" s="21">
        <v>45310</v>
      </c>
      <c r="U482" s="21">
        <v>23684</v>
      </c>
      <c r="V482" t="b">
        <v>0</v>
      </c>
      <c r="W482" t="b">
        <v>0</v>
      </c>
      <c r="X482" t="b">
        <v>0</v>
      </c>
      <c r="Y482" t="s">
        <v>2094</v>
      </c>
      <c r="Z482" t="b">
        <v>1</v>
      </c>
      <c r="AB482" t="s">
        <v>1571</v>
      </c>
      <c r="AC482" t="b">
        <v>1</v>
      </c>
    </row>
    <row r="483" spans="1:29" x14ac:dyDescent="0.3">
      <c r="A483" s="57" t="str">
        <f>MEMBERS[[#This Row],[Title]]&amp;MEMBERS[[#This Row],[ServiceStartDate]]</f>
        <v>Lindsey Durkin44753</v>
      </c>
      <c r="B483" s="57">
        <f>IF(COUNTIF(MEMBERS[NameServiceStart],MEMBERS[[#This Row],[NameServiceStart]])=1,0,1)</f>
        <v>0</v>
      </c>
      <c r="C483" s="57">
        <f>IF(COUNTIF(MEMBERS[StaffMemberCode],MEMBERS[[#This Row],[StaffMemberCode]])=1,0,1)</f>
        <v>0</v>
      </c>
      <c r="D483" s="57">
        <f>IF(ISBLANK(MEMBERS[[#This Row],[PayrollLocation]]),0,IF(COUNTIF(SCHOOLS[SchoolCode],MEMBERS[[#This Row],[PayrollLocation]])=1,0,1))</f>
        <v>0</v>
      </c>
      <c r="E483" s="57">
        <f>IF(MEMBERS[[#This Row],[AvailableToAllSchools]]=FALSE,IF(ISBLANK(MEMBERS[[#This Row],[SchoolCodes]]),1,0),IF(MEMBERS[[#This Row],[AvailableToAllSchools]]=TRUE,IF(ISBLANK(MEMBERS[[#This Row],[SchoolCodes]]),0,1)))</f>
        <v>0</v>
      </c>
      <c r="F483" s="57">
        <f>IF(ISBLANK(MEMBERS[[#This Row],[ServiceEndDate]]),0,IF(MEMBERS[[#This Row],[ServiceStartDate]]&lt;MEMBERS[[#This Row],[ServiceEndDate]],0,1))</f>
        <v>0</v>
      </c>
      <c r="G483" s="57" cm="1">
        <f t="array" aca="1" ref="G483" ca="1">IF(CELL("format",MEMBERS[[#This Row],[ServiceStartDate]])="D1",0,1)+IF(CELL("format",MEMBERS[[#This Row],[ServiceEndDate]])="D1",0,1)</f>
        <v>0</v>
      </c>
      <c r="H48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83" s="57">
        <f>IF(LEN(MEMBERS[[#This Row],[StaffMemberCode]])&lt;100,0,1)</f>
        <v>0</v>
      </c>
      <c r="J483" s="57">
        <f>IF(LEN(MEMBERS[[#This Row],[Title]])&lt;100,0,1)</f>
        <v>0</v>
      </c>
      <c r="K483" s="57">
        <f>COUNTBLANK(MEMBERS[[#This Row],[StaffMemberCode]:[ServiceStartDate]])+COUNTBLANK(MEMBERS[[#This Row],[Apprenticeship]]:MEMBERS[[#This Row],[StaffMemberEnabled]])+COUNTBLANK(MEMBERS[[#This Row],[GenderCode]]:MEMBERS[[#This Row],[Casual]])</f>
        <v>0</v>
      </c>
      <c r="L483" s="57">
        <f>IF(SUBSTITUTE(TEXT(MEMBERS[[#This Row],[StaffMemberCode]],10)," ","")=TEXT(MEMBERS[[#This Row],[StaffMemberCode]],10),0,1)</f>
        <v>0</v>
      </c>
      <c r="M483" s="57">
        <f ca="1">SUM(MEMBERS[[#This Row],[Duplicate NameService Start]:[Space in Code]])</f>
        <v>0</v>
      </c>
      <c r="O483" s="15">
        <v>91073606</v>
      </c>
      <c r="P483" s="15" t="s">
        <v>3342</v>
      </c>
      <c r="Q483" s="15" t="s">
        <v>3759</v>
      </c>
      <c r="R483" s="133" t="str">
        <f>MEMBERS[[#This Row],[FirstName]]&amp;" "&amp;MEMBERS[[#This Row],[LastName]]</f>
        <v>Lindsey Durkin</v>
      </c>
      <c r="S483" s="21">
        <v>44753</v>
      </c>
      <c r="U483" s="21">
        <v>27077</v>
      </c>
      <c r="V483" t="b">
        <v>0</v>
      </c>
      <c r="W483" t="b">
        <v>0</v>
      </c>
      <c r="X483" t="b">
        <v>0</v>
      </c>
      <c r="Y483" t="s">
        <v>2094</v>
      </c>
      <c r="Z483" t="b">
        <v>1</v>
      </c>
      <c r="AB483" t="s">
        <v>1571</v>
      </c>
      <c r="AC483" t="b">
        <v>1</v>
      </c>
    </row>
    <row r="484" spans="1:29" x14ac:dyDescent="0.3">
      <c r="A484" s="57" t="str">
        <f>MEMBERS[[#This Row],[Title]]&amp;MEMBERS[[#This Row],[ServiceStartDate]]</f>
        <v>Lisa Cliff42013</v>
      </c>
      <c r="B484" s="57">
        <f>IF(COUNTIF(MEMBERS[NameServiceStart],MEMBERS[[#This Row],[NameServiceStart]])=1,0,1)</f>
        <v>0</v>
      </c>
      <c r="C484" s="57">
        <f>IF(COUNTIF(MEMBERS[StaffMemberCode],MEMBERS[[#This Row],[StaffMemberCode]])=1,0,1)</f>
        <v>0</v>
      </c>
      <c r="D484" s="57">
        <f>IF(ISBLANK(MEMBERS[[#This Row],[PayrollLocation]]),0,IF(COUNTIF(SCHOOLS[SchoolCode],MEMBERS[[#This Row],[PayrollLocation]])=1,0,1))</f>
        <v>0</v>
      </c>
      <c r="E484" s="57">
        <f>IF(MEMBERS[[#This Row],[AvailableToAllSchools]]=FALSE,IF(ISBLANK(MEMBERS[[#This Row],[SchoolCodes]]),1,0),IF(MEMBERS[[#This Row],[AvailableToAllSchools]]=TRUE,IF(ISBLANK(MEMBERS[[#This Row],[SchoolCodes]]),0,1)))</f>
        <v>0</v>
      </c>
      <c r="F484" s="57">
        <f>IF(ISBLANK(MEMBERS[[#This Row],[ServiceEndDate]]),0,IF(MEMBERS[[#This Row],[ServiceStartDate]]&lt;MEMBERS[[#This Row],[ServiceEndDate]],0,1))</f>
        <v>0</v>
      </c>
      <c r="G484" s="57" cm="1">
        <f t="array" aca="1" ref="G484" ca="1">IF(CELL("format",MEMBERS[[#This Row],[ServiceStartDate]])="D1",0,1)+IF(CELL("format",MEMBERS[[#This Row],[ServiceEndDate]])="D1",0,1)</f>
        <v>0</v>
      </c>
      <c r="H48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84" s="57">
        <f>IF(LEN(MEMBERS[[#This Row],[StaffMemberCode]])&lt;100,0,1)</f>
        <v>0</v>
      </c>
      <c r="J484" s="57">
        <f>IF(LEN(MEMBERS[[#This Row],[Title]])&lt;100,0,1)</f>
        <v>0</v>
      </c>
      <c r="K484" s="57">
        <f>COUNTBLANK(MEMBERS[[#This Row],[StaffMemberCode]:[ServiceStartDate]])+COUNTBLANK(MEMBERS[[#This Row],[Apprenticeship]]:MEMBERS[[#This Row],[StaffMemberEnabled]])+COUNTBLANK(MEMBERS[[#This Row],[GenderCode]]:MEMBERS[[#This Row],[Casual]])</f>
        <v>0</v>
      </c>
      <c r="L484" s="57">
        <f>IF(SUBSTITUTE(TEXT(MEMBERS[[#This Row],[StaffMemberCode]],10)," ","")=TEXT(MEMBERS[[#This Row],[StaffMemberCode]],10),0,1)</f>
        <v>0</v>
      </c>
      <c r="M484" s="57">
        <f ca="1">SUM(MEMBERS[[#This Row],[Duplicate NameService Start]:[Space in Code]])</f>
        <v>0</v>
      </c>
      <c r="O484" s="15">
        <v>91073928</v>
      </c>
      <c r="P484" s="15" t="s">
        <v>3343</v>
      </c>
      <c r="Q484" s="15" t="s">
        <v>3760</v>
      </c>
      <c r="R484" s="133" t="str">
        <f>MEMBERS[[#This Row],[FirstName]]&amp;" "&amp;MEMBERS[[#This Row],[LastName]]</f>
        <v>Lisa Cliff</v>
      </c>
      <c r="S484" s="21">
        <v>42013</v>
      </c>
      <c r="U484" s="21">
        <v>27469</v>
      </c>
      <c r="V484" t="b">
        <v>0</v>
      </c>
      <c r="W484" t="b">
        <v>0</v>
      </c>
      <c r="X484" t="b">
        <v>0</v>
      </c>
      <c r="Y484" t="s">
        <v>2299</v>
      </c>
      <c r="Z484" t="b">
        <v>1</v>
      </c>
      <c r="AB484" t="s">
        <v>1571</v>
      </c>
      <c r="AC484" t="b">
        <v>0</v>
      </c>
    </row>
    <row r="485" spans="1:29" x14ac:dyDescent="0.3">
      <c r="A485" s="57" t="str">
        <f>MEMBERS[[#This Row],[Title]]&amp;MEMBERS[[#This Row],[ServiceStartDate]]</f>
        <v>Lisa Donathy39822</v>
      </c>
      <c r="B485" s="57">
        <f>IF(COUNTIF(MEMBERS[NameServiceStart],MEMBERS[[#This Row],[NameServiceStart]])=1,0,1)</f>
        <v>0</v>
      </c>
      <c r="C485" s="57">
        <f>IF(COUNTIF(MEMBERS[StaffMemberCode],MEMBERS[[#This Row],[StaffMemberCode]])=1,0,1)</f>
        <v>0</v>
      </c>
      <c r="D485" s="57">
        <f>IF(ISBLANK(MEMBERS[[#This Row],[PayrollLocation]]),0,IF(COUNTIF(SCHOOLS[SchoolCode],MEMBERS[[#This Row],[PayrollLocation]])=1,0,1))</f>
        <v>0</v>
      </c>
      <c r="E485" s="57">
        <f>IF(MEMBERS[[#This Row],[AvailableToAllSchools]]=FALSE,IF(ISBLANK(MEMBERS[[#This Row],[SchoolCodes]]),1,0),IF(MEMBERS[[#This Row],[AvailableToAllSchools]]=TRUE,IF(ISBLANK(MEMBERS[[#This Row],[SchoolCodes]]),0,1)))</f>
        <v>0</v>
      </c>
      <c r="F485" s="57">
        <f>IF(ISBLANK(MEMBERS[[#This Row],[ServiceEndDate]]),0,IF(MEMBERS[[#This Row],[ServiceStartDate]]&lt;MEMBERS[[#This Row],[ServiceEndDate]],0,1))</f>
        <v>0</v>
      </c>
      <c r="G485" s="57" cm="1">
        <f t="array" aca="1" ref="G485" ca="1">IF(CELL("format",MEMBERS[[#This Row],[ServiceStartDate]])="D1",0,1)+IF(CELL("format",MEMBERS[[#This Row],[ServiceEndDate]])="D1",0,1)</f>
        <v>0</v>
      </c>
      <c r="H48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85" s="57">
        <f>IF(LEN(MEMBERS[[#This Row],[StaffMemberCode]])&lt;100,0,1)</f>
        <v>0</v>
      </c>
      <c r="J485" s="57">
        <f>IF(LEN(MEMBERS[[#This Row],[Title]])&lt;100,0,1)</f>
        <v>0</v>
      </c>
      <c r="K485" s="57">
        <f>COUNTBLANK(MEMBERS[[#This Row],[StaffMemberCode]:[ServiceStartDate]])+COUNTBLANK(MEMBERS[[#This Row],[Apprenticeship]]:MEMBERS[[#This Row],[StaffMemberEnabled]])+COUNTBLANK(MEMBERS[[#This Row],[GenderCode]]:MEMBERS[[#This Row],[Casual]])</f>
        <v>0</v>
      </c>
      <c r="L485" s="57">
        <f>IF(SUBSTITUTE(TEXT(MEMBERS[[#This Row],[StaffMemberCode]],10)," ","")=TEXT(MEMBERS[[#This Row],[StaffMemberCode]],10),0,1)</f>
        <v>0</v>
      </c>
      <c r="M485" s="57">
        <f ca="1">SUM(MEMBERS[[#This Row],[Duplicate NameService Start]:[Space in Code]])</f>
        <v>0</v>
      </c>
      <c r="O485" s="15">
        <v>91073693</v>
      </c>
      <c r="P485" s="15" t="s">
        <v>3343</v>
      </c>
      <c r="Q485" s="15" t="s">
        <v>3761</v>
      </c>
      <c r="R485" s="133" t="str">
        <f>MEMBERS[[#This Row],[FirstName]]&amp;" "&amp;MEMBERS[[#This Row],[LastName]]</f>
        <v>Lisa Donathy</v>
      </c>
      <c r="S485" s="21">
        <v>39822</v>
      </c>
      <c r="U485" s="21">
        <v>26561</v>
      </c>
      <c r="V485" t="b">
        <v>0</v>
      </c>
      <c r="W485" t="b">
        <v>0</v>
      </c>
      <c r="X485" t="b">
        <v>0</v>
      </c>
      <c r="Y485" t="s">
        <v>2082</v>
      </c>
      <c r="Z485" t="b">
        <v>1</v>
      </c>
      <c r="AB485" t="s">
        <v>1571</v>
      </c>
      <c r="AC485" t="b">
        <v>0</v>
      </c>
    </row>
    <row r="486" spans="1:29" x14ac:dyDescent="0.3">
      <c r="A486" s="57" t="str">
        <f>MEMBERS[[#This Row],[Title]]&amp;MEMBERS[[#This Row],[ServiceStartDate]]</f>
        <v>Lisa Lacy37987</v>
      </c>
      <c r="B486" s="57">
        <f>IF(COUNTIF(MEMBERS[NameServiceStart],MEMBERS[[#This Row],[NameServiceStart]])=1,0,1)</f>
        <v>0</v>
      </c>
      <c r="C486" s="57">
        <f>IF(COUNTIF(MEMBERS[StaffMemberCode],MEMBERS[[#This Row],[StaffMemberCode]])=1,0,1)</f>
        <v>0</v>
      </c>
      <c r="D486" s="57">
        <f>IF(ISBLANK(MEMBERS[[#This Row],[PayrollLocation]]),0,IF(COUNTIF(SCHOOLS[SchoolCode],MEMBERS[[#This Row],[PayrollLocation]])=1,0,1))</f>
        <v>0</v>
      </c>
      <c r="E486" s="57">
        <f>IF(MEMBERS[[#This Row],[AvailableToAllSchools]]=FALSE,IF(ISBLANK(MEMBERS[[#This Row],[SchoolCodes]]),1,0),IF(MEMBERS[[#This Row],[AvailableToAllSchools]]=TRUE,IF(ISBLANK(MEMBERS[[#This Row],[SchoolCodes]]),0,1)))</f>
        <v>0</v>
      </c>
      <c r="F486" s="57">
        <f>IF(ISBLANK(MEMBERS[[#This Row],[ServiceEndDate]]),0,IF(MEMBERS[[#This Row],[ServiceStartDate]]&lt;MEMBERS[[#This Row],[ServiceEndDate]],0,1))</f>
        <v>0</v>
      </c>
      <c r="G486" s="57" cm="1">
        <f t="array" aca="1" ref="G486" ca="1">IF(CELL("format",MEMBERS[[#This Row],[ServiceStartDate]])="D1",0,1)+IF(CELL("format",MEMBERS[[#This Row],[ServiceEndDate]])="D1",0,1)</f>
        <v>0</v>
      </c>
      <c r="H48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86" s="57">
        <f>IF(LEN(MEMBERS[[#This Row],[StaffMemberCode]])&lt;100,0,1)</f>
        <v>0</v>
      </c>
      <c r="J486" s="57">
        <f>IF(LEN(MEMBERS[[#This Row],[Title]])&lt;100,0,1)</f>
        <v>0</v>
      </c>
      <c r="K486" s="57">
        <f>COUNTBLANK(MEMBERS[[#This Row],[StaffMemberCode]:[ServiceStartDate]])+COUNTBLANK(MEMBERS[[#This Row],[Apprenticeship]]:MEMBERS[[#This Row],[StaffMemberEnabled]])+COUNTBLANK(MEMBERS[[#This Row],[GenderCode]]:MEMBERS[[#This Row],[Casual]])</f>
        <v>0</v>
      </c>
      <c r="L486" s="57">
        <f>IF(SUBSTITUTE(TEXT(MEMBERS[[#This Row],[StaffMemberCode]],10)," ","")=TEXT(MEMBERS[[#This Row],[StaffMemberCode]],10),0,1)</f>
        <v>0</v>
      </c>
      <c r="M486" s="57">
        <f ca="1">SUM(MEMBERS[[#This Row],[Duplicate NameService Start]:[Space in Code]])</f>
        <v>0</v>
      </c>
      <c r="O486" s="15">
        <v>91073930</v>
      </c>
      <c r="P486" s="15" t="s">
        <v>3343</v>
      </c>
      <c r="Q486" s="15" t="s">
        <v>3762</v>
      </c>
      <c r="R486" s="133" t="str">
        <f>MEMBERS[[#This Row],[FirstName]]&amp;" "&amp;MEMBERS[[#This Row],[LastName]]</f>
        <v>Lisa Lacy</v>
      </c>
      <c r="S486" s="21">
        <v>37987</v>
      </c>
      <c r="U486" s="21">
        <v>26193</v>
      </c>
      <c r="V486" t="b">
        <v>0</v>
      </c>
      <c r="W486" t="b">
        <v>0</v>
      </c>
      <c r="X486" t="b">
        <v>0</v>
      </c>
      <c r="Y486" t="s">
        <v>2299</v>
      </c>
      <c r="Z486" t="b">
        <v>1</v>
      </c>
      <c r="AB486" t="s">
        <v>1571</v>
      </c>
      <c r="AC486" t="b">
        <v>1</v>
      </c>
    </row>
    <row r="487" spans="1:29" x14ac:dyDescent="0.3">
      <c r="A487" s="57" t="str">
        <f>MEMBERS[[#This Row],[Title]]&amp;MEMBERS[[#This Row],[ServiceStartDate]]</f>
        <v>Lisa Murrell42186</v>
      </c>
      <c r="B487" s="57">
        <f>IF(COUNTIF(MEMBERS[NameServiceStart],MEMBERS[[#This Row],[NameServiceStart]])=1,0,1)</f>
        <v>0</v>
      </c>
      <c r="C487" s="57">
        <f>IF(COUNTIF(MEMBERS[StaffMemberCode],MEMBERS[[#This Row],[StaffMemberCode]])=1,0,1)</f>
        <v>0</v>
      </c>
      <c r="D487" s="57">
        <f>IF(ISBLANK(MEMBERS[[#This Row],[PayrollLocation]]),0,IF(COUNTIF(SCHOOLS[SchoolCode],MEMBERS[[#This Row],[PayrollLocation]])=1,0,1))</f>
        <v>0</v>
      </c>
      <c r="E487" s="57">
        <f>IF(MEMBERS[[#This Row],[AvailableToAllSchools]]=FALSE,IF(ISBLANK(MEMBERS[[#This Row],[SchoolCodes]]),1,0),IF(MEMBERS[[#This Row],[AvailableToAllSchools]]=TRUE,IF(ISBLANK(MEMBERS[[#This Row],[SchoolCodes]]),0,1)))</f>
        <v>0</v>
      </c>
      <c r="F487" s="57">
        <f>IF(ISBLANK(MEMBERS[[#This Row],[ServiceEndDate]]),0,IF(MEMBERS[[#This Row],[ServiceStartDate]]&lt;MEMBERS[[#This Row],[ServiceEndDate]],0,1))</f>
        <v>0</v>
      </c>
      <c r="G487" s="57" cm="1">
        <f t="array" aca="1" ref="G487" ca="1">IF(CELL("format",MEMBERS[[#This Row],[ServiceStartDate]])="D1",0,1)+IF(CELL("format",MEMBERS[[#This Row],[ServiceEndDate]])="D1",0,1)</f>
        <v>0</v>
      </c>
      <c r="H48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87" s="57">
        <f>IF(LEN(MEMBERS[[#This Row],[StaffMemberCode]])&lt;100,0,1)</f>
        <v>0</v>
      </c>
      <c r="J487" s="57">
        <f>IF(LEN(MEMBERS[[#This Row],[Title]])&lt;100,0,1)</f>
        <v>0</v>
      </c>
      <c r="K487" s="57">
        <f>COUNTBLANK(MEMBERS[[#This Row],[StaffMemberCode]:[ServiceStartDate]])+COUNTBLANK(MEMBERS[[#This Row],[Apprenticeship]]:MEMBERS[[#This Row],[StaffMemberEnabled]])+COUNTBLANK(MEMBERS[[#This Row],[GenderCode]]:MEMBERS[[#This Row],[Casual]])</f>
        <v>0</v>
      </c>
      <c r="L487" s="57">
        <f>IF(SUBSTITUTE(TEXT(MEMBERS[[#This Row],[StaffMemberCode]],10)," ","")=TEXT(MEMBERS[[#This Row],[StaffMemberCode]],10),0,1)</f>
        <v>0</v>
      </c>
      <c r="M487" s="57">
        <f ca="1">SUM(MEMBERS[[#This Row],[Duplicate NameService Start]:[Space in Code]])</f>
        <v>0</v>
      </c>
      <c r="O487" s="15">
        <v>10005351</v>
      </c>
      <c r="P487" s="15" t="s">
        <v>3343</v>
      </c>
      <c r="Q487" s="15" t="s">
        <v>4093</v>
      </c>
      <c r="R487" s="133" t="str">
        <f>MEMBERS[[#This Row],[FirstName]]&amp;" "&amp;MEMBERS[[#This Row],[LastName]]</f>
        <v>Lisa Murrell</v>
      </c>
      <c r="S487" s="21">
        <v>42186</v>
      </c>
      <c r="U487" s="21">
        <v>29827</v>
      </c>
      <c r="V487" s="138" t="b">
        <v>0</v>
      </c>
      <c r="W487" t="b">
        <v>0</v>
      </c>
      <c r="X487" t="b">
        <v>0</v>
      </c>
      <c r="Y487" t="s">
        <v>2126</v>
      </c>
      <c r="Z487" t="b">
        <v>1</v>
      </c>
      <c r="AB487" t="s">
        <v>1571</v>
      </c>
      <c r="AC487" t="b">
        <v>0</v>
      </c>
    </row>
    <row r="488" spans="1:29" x14ac:dyDescent="0.3">
      <c r="A488" s="57" t="str">
        <f>MEMBERS[[#This Row],[Title]]&amp;MEMBERS[[#This Row],[ServiceStartDate]]</f>
        <v>Lisa Thorley45323</v>
      </c>
      <c r="B488" s="57">
        <f>IF(COUNTIF(MEMBERS[NameServiceStart],MEMBERS[[#This Row],[NameServiceStart]])=1,0,1)</f>
        <v>0</v>
      </c>
      <c r="C488" s="57">
        <f>IF(COUNTIF(MEMBERS[StaffMemberCode],MEMBERS[[#This Row],[StaffMemberCode]])=1,0,1)</f>
        <v>0</v>
      </c>
      <c r="D488" s="57">
        <f>IF(ISBLANK(MEMBERS[[#This Row],[PayrollLocation]]),0,IF(COUNTIF(SCHOOLS[SchoolCode],MEMBERS[[#This Row],[PayrollLocation]])=1,0,1))</f>
        <v>0</v>
      </c>
      <c r="E488" s="57">
        <f>IF(MEMBERS[[#This Row],[AvailableToAllSchools]]=FALSE,IF(ISBLANK(MEMBERS[[#This Row],[SchoolCodes]]),1,0),IF(MEMBERS[[#This Row],[AvailableToAllSchools]]=TRUE,IF(ISBLANK(MEMBERS[[#This Row],[SchoolCodes]]),0,1)))</f>
        <v>0</v>
      </c>
      <c r="F488" s="57">
        <f>IF(ISBLANK(MEMBERS[[#This Row],[ServiceEndDate]]),0,IF(MEMBERS[[#This Row],[ServiceStartDate]]&lt;MEMBERS[[#This Row],[ServiceEndDate]],0,1))</f>
        <v>0</v>
      </c>
      <c r="G488" s="57" cm="1">
        <f t="array" aca="1" ref="G488" ca="1">IF(CELL("format",MEMBERS[[#This Row],[ServiceStartDate]])="D1",0,1)+IF(CELL("format",MEMBERS[[#This Row],[ServiceEndDate]])="D1",0,1)</f>
        <v>0</v>
      </c>
      <c r="H48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88" s="57">
        <f>IF(LEN(MEMBERS[[#This Row],[StaffMemberCode]])&lt;100,0,1)</f>
        <v>0</v>
      </c>
      <c r="J488" s="57">
        <f>IF(LEN(MEMBERS[[#This Row],[Title]])&lt;100,0,1)</f>
        <v>0</v>
      </c>
      <c r="K488" s="57">
        <f>COUNTBLANK(MEMBERS[[#This Row],[StaffMemberCode]:[ServiceStartDate]])+COUNTBLANK(MEMBERS[[#This Row],[Apprenticeship]]:MEMBERS[[#This Row],[StaffMemberEnabled]])+COUNTBLANK(MEMBERS[[#This Row],[GenderCode]]:MEMBERS[[#This Row],[Casual]])</f>
        <v>0</v>
      </c>
      <c r="L488" s="57">
        <f>IF(SUBSTITUTE(TEXT(MEMBERS[[#This Row],[StaffMemberCode]],10)," ","")=TEXT(MEMBERS[[#This Row],[StaffMemberCode]],10),0,1)</f>
        <v>0</v>
      </c>
      <c r="M488" s="57">
        <f ca="1">SUM(MEMBERS[[#This Row],[Duplicate NameService Start]:[Space in Code]])</f>
        <v>0</v>
      </c>
      <c r="O488" s="15">
        <v>91075779</v>
      </c>
      <c r="P488" s="15" t="s">
        <v>3343</v>
      </c>
      <c r="Q488" s="15" t="s">
        <v>3763</v>
      </c>
      <c r="R488" s="133" t="str">
        <f>MEMBERS[[#This Row],[FirstName]]&amp;" "&amp;MEMBERS[[#This Row],[LastName]]</f>
        <v>Lisa Thorley</v>
      </c>
      <c r="S488" s="21">
        <v>45323</v>
      </c>
      <c r="U488" s="21">
        <v>29304</v>
      </c>
      <c r="V488" t="b">
        <v>0</v>
      </c>
      <c r="W488" t="b">
        <v>0</v>
      </c>
      <c r="X488" t="b">
        <v>0</v>
      </c>
      <c r="Y488" t="s">
        <v>2200</v>
      </c>
      <c r="Z488" t="b">
        <v>1</v>
      </c>
      <c r="AB488" t="s">
        <v>1571</v>
      </c>
      <c r="AC488" t="b">
        <v>0</v>
      </c>
    </row>
    <row r="489" spans="1:29" x14ac:dyDescent="0.3">
      <c r="A489" s="57" t="str">
        <f>MEMBERS[[#This Row],[Title]]&amp;MEMBERS[[#This Row],[ServiceStartDate]]</f>
        <v>Liza Ryde45943</v>
      </c>
      <c r="B489" s="57">
        <f>IF(COUNTIF(MEMBERS[NameServiceStart],MEMBERS[[#This Row],[NameServiceStart]])=1,0,1)</f>
        <v>0</v>
      </c>
      <c r="C489" s="57">
        <f>IF(COUNTIF(MEMBERS[StaffMemberCode],MEMBERS[[#This Row],[StaffMemberCode]])=1,0,1)</f>
        <v>0</v>
      </c>
      <c r="D489" s="57">
        <f>IF(ISBLANK(MEMBERS[[#This Row],[PayrollLocation]]),0,IF(COUNTIF(SCHOOLS[SchoolCode],MEMBERS[[#This Row],[PayrollLocation]])=1,0,1))</f>
        <v>0</v>
      </c>
      <c r="E489" s="57">
        <f>IF(MEMBERS[[#This Row],[AvailableToAllSchools]]=FALSE,IF(ISBLANK(MEMBERS[[#This Row],[SchoolCodes]]),1,0),IF(MEMBERS[[#This Row],[AvailableToAllSchools]]=TRUE,IF(ISBLANK(MEMBERS[[#This Row],[SchoolCodes]]),0,1)))</f>
        <v>0</v>
      </c>
      <c r="F489" s="57">
        <f>IF(ISBLANK(MEMBERS[[#This Row],[ServiceEndDate]]),0,IF(MEMBERS[[#This Row],[ServiceStartDate]]&lt;MEMBERS[[#This Row],[ServiceEndDate]],0,1))</f>
        <v>0</v>
      </c>
      <c r="G489" s="57" cm="1">
        <f t="array" aca="1" ref="G489" ca="1">IF(CELL("format",MEMBERS[[#This Row],[ServiceStartDate]])="D1",0,1)+IF(CELL("format",MEMBERS[[#This Row],[ServiceEndDate]])="D1",0,1)</f>
        <v>0</v>
      </c>
      <c r="H48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89" s="57">
        <f>IF(LEN(MEMBERS[[#This Row],[StaffMemberCode]])&lt;100,0,1)</f>
        <v>0</v>
      </c>
      <c r="J489" s="57">
        <f>IF(LEN(MEMBERS[[#This Row],[Title]])&lt;100,0,1)</f>
        <v>0</v>
      </c>
      <c r="K489" s="57">
        <f>COUNTBLANK(MEMBERS[[#This Row],[StaffMemberCode]:[ServiceStartDate]])+COUNTBLANK(MEMBERS[[#This Row],[Apprenticeship]]:MEMBERS[[#This Row],[StaffMemberEnabled]])+COUNTBLANK(MEMBERS[[#This Row],[GenderCode]]:MEMBERS[[#This Row],[Casual]])</f>
        <v>0</v>
      </c>
      <c r="L489" s="57">
        <f>IF(SUBSTITUTE(TEXT(MEMBERS[[#This Row],[StaffMemberCode]],10)," ","")=TEXT(MEMBERS[[#This Row],[StaffMemberCode]],10),0,1)</f>
        <v>0</v>
      </c>
      <c r="M489" s="57">
        <f ca="1">SUM(MEMBERS[[#This Row],[Duplicate NameService Start]:[Space in Code]])</f>
        <v>0</v>
      </c>
      <c r="O489" s="15">
        <v>91850065</v>
      </c>
      <c r="P489" s="15" t="s">
        <v>3344</v>
      </c>
      <c r="Q489" s="15" t="s">
        <v>3764</v>
      </c>
      <c r="R489" s="133" t="str">
        <f>MEMBERS[[#This Row],[FirstName]]&amp;" "&amp;MEMBERS[[#This Row],[LastName]]</f>
        <v>Liza Ryde</v>
      </c>
      <c r="S489" s="21">
        <v>45943</v>
      </c>
      <c r="U489" s="21">
        <v>24720</v>
      </c>
      <c r="V489" t="b">
        <v>0</v>
      </c>
      <c r="W489" t="b">
        <v>0</v>
      </c>
      <c r="X489" t="b">
        <v>0</v>
      </c>
      <c r="Y489" t="s">
        <v>2266</v>
      </c>
      <c r="Z489" t="b">
        <v>1</v>
      </c>
      <c r="AB489" t="s">
        <v>1571</v>
      </c>
      <c r="AC489" t="b">
        <v>0</v>
      </c>
    </row>
    <row r="490" spans="1:29" x14ac:dyDescent="0.3">
      <c r="A490" s="57" t="str">
        <f>MEMBERS[[#This Row],[Title]]&amp;MEMBERS[[#This Row],[ServiceStartDate]]</f>
        <v>Lorraine Donovan38635</v>
      </c>
      <c r="B490" s="57">
        <f>IF(COUNTIF(MEMBERS[NameServiceStart],MEMBERS[[#This Row],[NameServiceStart]])=1,0,1)</f>
        <v>0</v>
      </c>
      <c r="C490" s="57">
        <f>IF(COUNTIF(MEMBERS[StaffMemberCode],MEMBERS[[#This Row],[StaffMemberCode]])=1,0,1)</f>
        <v>0</v>
      </c>
      <c r="D490" s="57">
        <f>IF(ISBLANK(MEMBERS[[#This Row],[PayrollLocation]]),0,IF(COUNTIF(SCHOOLS[SchoolCode],MEMBERS[[#This Row],[PayrollLocation]])=1,0,1))</f>
        <v>0</v>
      </c>
      <c r="E490" s="57">
        <f>IF(MEMBERS[[#This Row],[AvailableToAllSchools]]=FALSE,IF(ISBLANK(MEMBERS[[#This Row],[SchoolCodes]]),1,0),IF(MEMBERS[[#This Row],[AvailableToAllSchools]]=TRUE,IF(ISBLANK(MEMBERS[[#This Row],[SchoolCodes]]),0,1)))</f>
        <v>0</v>
      </c>
      <c r="F490" s="57">
        <f>IF(ISBLANK(MEMBERS[[#This Row],[ServiceEndDate]]),0,IF(MEMBERS[[#This Row],[ServiceStartDate]]&lt;MEMBERS[[#This Row],[ServiceEndDate]],0,1))</f>
        <v>0</v>
      </c>
      <c r="G490" s="57" cm="1">
        <f t="array" aca="1" ref="G490" ca="1">IF(CELL("format",MEMBERS[[#This Row],[ServiceStartDate]])="D1",0,1)+IF(CELL("format",MEMBERS[[#This Row],[ServiceEndDate]])="D1",0,1)</f>
        <v>0</v>
      </c>
      <c r="H49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90" s="57">
        <f>IF(LEN(MEMBERS[[#This Row],[StaffMemberCode]])&lt;100,0,1)</f>
        <v>0</v>
      </c>
      <c r="J490" s="57">
        <f>IF(LEN(MEMBERS[[#This Row],[Title]])&lt;100,0,1)</f>
        <v>0</v>
      </c>
      <c r="K490" s="57">
        <f>COUNTBLANK(MEMBERS[[#This Row],[StaffMemberCode]:[ServiceStartDate]])+COUNTBLANK(MEMBERS[[#This Row],[Apprenticeship]]:MEMBERS[[#This Row],[StaffMemberEnabled]])+COUNTBLANK(MEMBERS[[#This Row],[GenderCode]]:MEMBERS[[#This Row],[Casual]])</f>
        <v>0</v>
      </c>
      <c r="L490" s="57">
        <f>IF(SUBSTITUTE(TEXT(MEMBERS[[#This Row],[StaffMemberCode]],10)," ","")=TEXT(MEMBERS[[#This Row],[StaffMemberCode]],10),0,1)</f>
        <v>0</v>
      </c>
      <c r="M490" s="57">
        <f ca="1">SUM(MEMBERS[[#This Row],[Duplicate NameService Start]:[Space in Code]])</f>
        <v>0</v>
      </c>
      <c r="O490" s="15">
        <v>91073877</v>
      </c>
      <c r="P490" s="15" t="s">
        <v>3345</v>
      </c>
      <c r="Q490" s="15" t="s">
        <v>3765</v>
      </c>
      <c r="R490" s="133" t="str">
        <f>MEMBERS[[#This Row],[FirstName]]&amp;" "&amp;MEMBERS[[#This Row],[LastName]]</f>
        <v>Lorraine Donovan</v>
      </c>
      <c r="S490" s="21">
        <v>38635</v>
      </c>
      <c r="U490" s="21">
        <v>22438</v>
      </c>
      <c r="V490" t="b">
        <v>0</v>
      </c>
      <c r="W490" t="b">
        <v>0</v>
      </c>
      <c r="X490" t="b">
        <v>0</v>
      </c>
      <c r="Y490" t="s">
        <v>2266</v>
      </c>
      <c r="Z490" t="b">
        <v>1</v>
      </c>
      <c r="AB490" t="s">
        <v>1571</v>
      </c>
      <c r="AC490" t="b">
        <v>0</v>
      </c>
    </row>
    <row r="491" spans="1:29" x14ac:dyDescent="0.3">
      <c r="A491" s="57" t="str">
        <f>MEMBERS[[#This Row],[Title]]&amp;MEMBERS[[#This Row],[ServiceStartDate]]</f>
        <v>Lorraine Murphy42186</v>
      </c>
      <c r="B491" s="57">
        <f>IF(COUNTIF(MEMBERS[NameServiceStart],MEMBERS[[#This Row],[NameServiceStart]])=1,0,1)</f>
        <v>0</v>
      </c>
      <c r="C491" s="57">
        <f>IF(COUNTIF(MEMBERS[StaffMemberCode],MEMBERS[[#This Row],[StaffMemberCode]])=1,0,1)</f>
        <v>0</v>
      </c>
      <c r="D491" s="57">
        <f>IF(ISBLANK(MEMBERS[[#This Row],[PayrollLocation]]),0,IF(COUNTIF(SCHOOLS[SchoolCode],MEMBERS[[#This Row],[PayrollLocation]])=1,0,1))</f>
        <v>0</v>
      </c>
      <c r="E491" s="57">
        <f>IF(MEMBERS[[#This Row],[AvailableToAllSchools]]=FALSE,IF(ISBLANK(MEMBERS[[#This Row],[SchoolCodes]]),1,0),IF(MEMBERS[[#This Row],[AvailableToAllSchools]]=TRUE,IF(ISBLANK(MEMBERS[[#This Row],[SchoolCodes]]),0,1)))</f>
        <v>0</v>
      </c>
      <c r="F491" s="57">
        <f>IF(ISBLANK(MEMBERS[[#This Row],[ServiceEndDate]]),0,IF(MEMBERS[[#This Row],[ServiceStartDate]]&lt;MEMBERS[[#This Row],[ServiceEndDate]],0,1))</f>
        <v>0</v>
      </c>
      <c r="G491" s="57" cm="1">
        <f t="array" aca="1" ref="G491" ca="1">IF(CELL("format",MEMBERS[[#This Row],[ServiceStartDate]])="D1",0,1)+IF(CELL("format",MEMBERS[[#This Row],[ServiceEndDate]])="D1",0,1)</f>
        <v>0</v>
      </c>
      <c r="H49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91" s="57">
        <f>IF(LEN(MEMBERS[[#This Row],[StaffMemberCode]])&lt;100,0,1)</f>
        <v>0</v>
      </c>
      <c r="J491" s="57">
        <f>IF(LEN(MEMBERS[[#This Row],[Title]])&lt;100,0,1)</f>
        <v>0</v>
      </c>
      <c r="K491" s="57">
        <f>COUNTBLANK(MEMBERS[[#This Row],[StaffMemberCode]:[ServiceStartDate]])+COUNTBLANK(MEMBERS[[#This Row],[Apprenticeship]]:MEMBERS[[#This Row],[StaffMemberEnabled]])+COUNTBLANK(MEMBERS[[#This Row],[GenderCode]]:MEMBERS[[#This Row],[Casual]])</f>
        <v>0</v>
      </c>
      <c r="L491" s="57">
        <f>IF(SUBSTITUTE(TEXT(MEMBERS[[#This Row],[StaffMemberCode]],10)," ","")=TEXT(MEMBERS[[#This Row],[StaffMemberCode]],10),0,1)</f>
        <v>0</v>
      </c>
      <c r="M491" s="57">
        <f ca="1">SUM(MEMBERS[[#This Row],[Duplicate NameService Start]:[Space in Code]])</f>
        <v>0</v>
      </c>
      <c r="O491" s="15">
        <v>10005354</v>
      </c>
      <c r="P491" s="15" t="s">
        <v>3345</v>
      </c>
      <c r="Q491" s="15" t="s">
        <v>4094</v>
      </c>
      <c r="R491" s="133" t="str">
        <f>MEMBERS[[#This Row],[FirstName]]&amp;" "&amp;MEMBERS[[#This Row],[LastName]]</f>
        <v>Lorraine Murphy</v>
      </c>
      <c r="S491" s="21">
        <v>42186</v>
      </c>
      <c r="U491" s="21">
        <v>20776</v>
      </c>
      <c r="V491" s="138" t="b">
        <v>0</v>
      </c>
      <c r="W491" t="b">
        <v>0</v>
      </c>
      <c r="X491" t="b">
        <v>0</v>
      </c>
      <c r="Y491" t="s">
        <v>2126</v>
      </c>
      <c r="Z491" t="b">
        <v>1</v>
      </c>
      <c r="AB491" t="s">
        <v>1571</v>
      </c>
      <c r="AC491" t="b">
        <v>0</v>
      </c>
    </row>
    <row r="492" spans="1:29" x14ac:dyDescent="0.3">
      <c r="A492" s="57" t="str">
        <f>MEMBERS[[#This Row],[Title]]&amp;MEMBERS[[#This Row],[ServiceStartDate]]</f>
        <v>Louisa Woodbine44075</v>
      </c>
      <c r="B492" s="57">
        <f>IF(COUNTIF(MEMBERS[NameServiceStart],MEMBERS[[#This Row],[NameServiceStart]])=1,0,1)</f>
        <v>0</v>
      </c>
      <c r="C492" s="57">
        <f>IF(COUNTIF(MEMBERS[StaffMemberCode],MEMBERS[[#This Row],[StaffMemberCode]])=1,0,1)</f>
        <v>0</v>
      </c>
      <c r="D492" s="57">
        <f>IF(ISBLANK(MEMBERS[[#This Row],[PayrollLocation]]),0,IF(COUNTIF(SCHOOLS[SchoolCode],MEMBERS[[#This Row],[PayrollLocation]])=1,0,1))</f>
        <v>0</v>
      </c>
      <c r="E492" s="57">
        <f>IF(MEMBERS[[#This Row],[AvailableToAllSchools]]=FALSE,IF(ISBLANK(MEMBERS[[#This Row],[SchoolCodes]]),1,0),IF(MEMBERS[[#This Row],[AvailableToAllSchools]]=TRUE,IF(ISBLANK(MEMBERS[[#This Row],[SchoolCodes]]),0,1)))</f>
        <v>0</v>
      </c>
      <c r="F492" s="57">
        <f>IF(ISBLANK(MEMBERS[[#This Row],[ServiceEndDate]]),0,IF(MEMBERS[[#This Row],[ServiceStartDate]]&lt;MEMBERS[[#This Row],[ServiceEndDate]],0,1))</f>
        <v>0</v>
      </c>
      <c r="G492" s="57" cm="1">
        <f t="array" aca="1" ref="G492" ca="1">IF(CELL("format",MEMBERS[[#This Row],[ServiceStartDate]])="D1",0,1)+IF(CELL("format",MEMBERS[[#This Row],[ServiceEndDate]])="D1",0,1)</f>
        <v>0</v>
      </c>
      <c r="H49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92" s="57">
        <f>IF(LEN(MEMBERS[[#This Row],[StaffMemberCode]])&lt;100,0,1)</f>
        <v>0</v>
      </c>
      <c r="J492" s="57">
        <f>IF(LEN(MEMBERS[[#This Row],[Title]])&lt;100,0,1)</f>
        <v>0</v>
      </c>
      <c r="K492" s="57">
        <f>COUNTBLANK(MEMBERS[[#This Row],[StaffMemberCode]:[ServiceStartDate]])+COUNTBLANK(MEMBERS[[#This Row],[Apprenticeship]]:MEMBERS[[#This Row],[StaffMemberEnabled]])+COUNTBLANK(MEMBERS[[#This Row],[GenderCode]]:MEMBERS[[#This Row],[Casual]])</f>
        <v>0</v>
      </c>
      <c r="L492" s="57">
        <f>IF(SUBSTITUTE(TEXT(MEMBERS[[#This Row],[StaffMemberCode]],10)," ","")=TEXT(MEMBERS[[#This Row],[StaffMemberCode]],10),0,1)</f>
        <v>0</v>
      </c>
      <c r="M492" s="57">
        <f ca="1">SUM(MEMBERS[[#This Row],[Duplicate NameService Start]:[Space in Code]])</f>
        <v>0</v>
      </c>
      <c r="O492" s="15">
        <v>10005127</v>
      </c>
      <c r="P492" s="15" t="s">
        <v>3986</v>
      </c>
      <c r="Q492" s="15" t="s">
        <v>4095</v>
      </c>
      <c r="R492" s="133" t="str">
        <f>MEMBERS[[#This Row],[FirstName]]&amp;" "&amp;MEMBERS[[#This Row],[LastName]]</f>
        <v>Louisa Woodbine</v>
      </c>
      <c r="S492" s="21">
        <v>44075</v>
      </c>
      <c r="U492" s="21">
        <v>30332</v>
      </c>
      <c r="V492" s="138" t="b">
        <v>0</v>
      </c>
      <c r="W492" t="b">
        <v>0</v>
      </c>
      <c r="X492" t="b">
        <v>0</v>
      </c>
      <c r="Y492" t="s">
        <v>2126</v>
      </c>
      <c r="Z492" t="b">
        <v>1</v>
      </c>
      <c r="AB492" t="s">
        <v>1571</v>
      </c>
      <c r="AC492" t="b">
        <v>0</v>
      </c>
    </row>
    <row r="493" spans="1:29" x14ac:dyDescent="0.3">
      <c r="A493" s="57" t="str">
        <f>MEMBERS[[#This Row],[Title]]&amp;MEMBERS[[#This Row],[ServiceStartDate]]</f>
        <v>Louise Ashton44296</v>
      </c>
      <c r="B493" s="57">
        <f>IF(COUNTIF(MEMBERS[NameServiceStart],MEMBERS[[#This Row],[NameServiceStart]])=1,0,1)</f>
        <v>0</v>
      </c>
      <c r="C493" s="57">
        <f>IF(COUNTIF(MEMBERS[StaffMemberCode],MEMBERS[[#This Row],[StaffMemberCode]])=1,0,1)</f>
        <v>0</v>
      </c>
      <c r="D493" s="57">
        <f>IF(ISBLANK(MEMBERS[[#This Row],[PayrollLocation]]),0,IF(COUNTIF(SCHOOLS[SchoolCode],MEMBERS[[#This Row],[PayrollLocation]])=1,0,1))</f>
        <v>0</v>
      </c>
      <c r="E493" s="57">
        <f>IF(MEMBERS[[#This Row],[AvailableToAllSchools]]=FALSE,IF(ISBLANK(MEMBERS[[#This Row],[SchoolCodes]]),1,0),IF(MEMBERS[[#This Row],[AvailableToAllSchools]]=TRUE,IF(ISBLANK(MEMBERS[[#This Row],[SchoolCodes]]),0,1)))</f>
        <v>0</v>
      </c>
      <c r="F493" s="57">
        <f>IF(ISBLANK(MEMBERS[[#This Row],[ServiceEndDate]]),0,IF(MEMBERS[[#This Row],[ServiceStartDate]]&lt;MEMBERS[[#This Row],[ServiceEndDate]],0,1))</f>
        <v>0</v>
      </c>
      <c r="G493" s="57" cm="1">
        <f t="array" aca="1" ref="G493" ca="1">IF(CELL("format",MEMBERS[[#This Row],[ServiceStartDate]])="D1",0,1)+IF(CELL("format",MEMBERS[[#This Row],[ServiceEndDate]])="D1",0,1)</f>
        <v>0</v>
      </c>
      <c r="H49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93" s="57">
        <f>IF(LEN(MEMBERS[[#This Row],[StaffMemberCode]])&lt;100,0,1)</f>
        <v>0</v>
      </c>
      <c r="J493" s="57">
        <f>IF(LEN(MEMBERS[[#This Row],[Title]])&lt;100,0,1)</f>
        <v>0</v>
      </c>
      <c r="K493" s="57">
        <f>COUNTBLANK(MEMBERS[[#This Row],[StaffMemberCode]:[ServiceStartDate]])+COUNTBLANK(MEMBERS[[#This Row],[Apprenticeship]]:MEMBERS[[#This Row],[StaffMemberEnabled]])+COUNTBLANK(MEMBERS[[#This Row],[GenderCode]]:MEMBERS[[#This Row],[Casual]])</f>
        <v>0</v>
      </c>
      <c r="L493" s="57">
        <f>IF(SUBSTITUTE(TEXT(MEMBERS[[#This Row],[StaffMemberCode]],10)," ","")=TEXT(MEMBERS[[#This Row],[StaffMemberCode]],10),0,1)</f>
        <v>0</v>
      </c>
      <c r="M493" s="57">
        <f ca="1">SUM(MEMBERS[[#This Row],[Duplicate NameService Start]:[Space in Code]])</f>
        <v>0</v>
      </c>
      <c r="O493" s="15">
        <v>91073554</v>
      </c>
      <c r="P493" s="15" t="s">
        <v>3346</v>
      </c>
      <c r="Q493" s="15" t="s">
        <v>3766</v>
      </c>
      <c r="R493" s="133" t="str">
        <f>MEMBERS[[#This Row],[FirstName]]&amp;" "&amp;MEMBERS[[#This Row],[LastName]]</f>
        <v>Louise Ashton</v>
      </c>
      <c r="S493" s="21">
        <v>44296</v>
      </c>
      <c r="U493" s="21">
        <v>28864</v>
      </c>
      <c r="V493" t="b">
        <v>0</v>
      </c>
      <c r="W493" t="b">
        <v>0</v>
      </c>
      <c r="X493" t="b">
        <v>0</v>
      </c>
      <c r="Y493" t="s">
        <v>2094</v>
      </c>
      <c r="Z493" t="b">
        <v>1</v>
      </c>
      <c r="AB493" t="s">
        <v>1571</v>
      </c>
      <c r="AC493" t="b">
        <v>0</v>
      </c>
    </row>
    <row r="494" spans="1:29" x14ac:dyDescent="0.3">
      <c r="A494" s="57" t="str">
        <f>MEMBERS[[#This Row],[Title]]&amp;MEMBERS[[#This Row],[ServiceStartDate]]</f>
        <v>Louise Cracknell42005</v>
      </c>
      <c r="B494" s="57">
        <f>IF(COUNTIF(MEMBERS[NameServiceStart],MEMBERS[[#This Row],[NameServiceStart]])=1,0,1)</f>
        <v>0</v>
      </c>
      <c r="C494" s="57">
        <f>IF(COUNTIF(MEMBERS[StaffMemberCode],MEMBERS[[#This Row],[StaffMemberCode]])=1,0,1)</f>
        <v>0</v>
      </c>
      <c r="D494" s="57">
        <f>IF(ISBLANK(MEMBERS[[#This Row],[PayrollLocation]]),0,IF(COUNTIF(SCHOOLS[SchoolCode],MEMBERS[[#This Row],[PayrollLocation]])=1,0,1))</f>
        <v>0</v>
      </c>
      <c r="E494" s="57">
        <f>IF(MEMBERS[[#This Row],[AvailableToAllSchools]]=FALSE,IF(ISBLANK(MEMBERS[[#This Row],[SchoolCodes]]),1,0),IF(MEMBERS[[#This Row],[AvailableToAllSchools]]=TRUE,IF(ISBLANK(MEMBERS[[#This Row],[SchoolCodes]]),0,1)))</f>
        <v>0</v>
      </c>
      <c r="F494" s="57">
        <f>IF(ISBLANK(MEMBERS[[#This Row],[ServiceEndDate]]),0,IF(MEMBERS[[#This Row],[ServiceStartDate]]&lt;MEMBERS[[#This Row],[ServiceEndDate]],0,1))</f>
        <v>0</v>
      </c>
      <c r="G494" s="57" cm="1">
        <f t="array" aca="1" ref="G494" ca="1">IF(CELL("format",MEMBERS[[#This Row],[ServiceStartDate]])="D1",0,1)+IF(CELL("format",MEMBERS[[#This Row],[ServiceEndDate]])="D1",0,1)</f>
        <v>0</v>
      </c>
      <c r="H49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94" s="57">
        <f>IF(LEN(MEMBERS[[#This Row],[StaffMemberCode]])&lt;100,0,1)</f>
        <v>0</v>
      </c>
      <c r="J494" s="57">
        <f>IF(LEN(MEMBERS[[#This Row],[Title]])&lt;100,0,1)</f>
        <v>0</v>
      </c>
      <c r="K494" s="57">
        <f>COUNTBLANK(MEMBERS[[#This Row],[StaffMemberCode]:[ServiceStartDate]])+COUNTBLANK(MEMBERS[[#This Row],[Apprenticeship]]:MEMBERS[[#This Row],[StaffMemberEnabled]])+COUNTBLANK(MEMBERS[[#This Row],[GenderCode]]:MEMBERS[[#This Row],[Casual]])</f>
        <v>0</v>
      </c>
      <c r="L494" s="57">
        <f>IF(SUBSTITUTE(TEXT(MEMBERS[[#This Row],[StaffMemberCode]],10)," ","")=TEXT(MEMBERS[[#This Row],[StaffMemberCode]],10),0,1)</f>
        <v>0</v>
      </c>
      <c r="M494" s="57">
        <f ca="1">SUM(MEMBERS[[#This Row],[Duplicate NameService Start]:[Space in Code]])</f>
        <v>0</v>
      </c>
      <c r="O494" s="15">
        <v>10005355</v>
      </c>
      <c r="P494" s="15" t="s">
        <v>3346</v>
      </c>
      <c r="Q494" s="15" t="s">
        <v>4096</v>
      </c>
      <c r="R494" s="133" t="str">
        <f>MEMBERS[[#This Row],[FirstName]]&amp;" "&amp;MEMBERS[[#This Row],[LastName]]</f>
        <v>Louise Cracknell</v>
      </c>
      <c r="S494" s="21">
        <v>42005</v>
      </c>
      <c r="U494" s="21">
        <v>29294</v>
      </c>
      <c r="V494" s="138" t="b">
        <v>0</v>
      </c>
      <c r="W494" t="b">
        <v>0</v>
      </c>
      <c r="X494" t="b">
        <v>0</v>
      </c>
      <c r="Y494" t="s">
        <v>2126</v>
      </c>
      <c r="Z494" t="b">
        <v>1</v>
      </c>
      <c r="AB494" t="s">
        <v>1571</v>
      </c>
      <c r="AC494" t="b">
        <v>0</v>
      </c>
    </row>
    <row r="495" spans="1:29" x14ac:dyDescent="0.3">
      <c r="A495" s="57" t="str">
        <f>MEMBERS[[#This Row],[Title]]&amp;MEMBERS[[#This Row],[ServiceStartDate]]</f>
        <v>Louise Doyle44570</v>
      </c>
      <c r="B495" s="57">
        <f>IF(COUNTIF(MEMBERS[NameServiceStart],MEMBERS[[#This Row],[NameServiceStart]])=1,0,1)</f>
        <v>0</v>
      </c>
      <c r="C495" s="57">
        <f>IF(COUNTIF(MEMBERS[StaffMemberCode],MEMBERS[[#This Row],[StaffMemberCode]])=1,0,1)</f>
        <v>0</v>
      </c>
      <c r="D495" s="57">
        <f>IF(ISBLANK(MEMBERS[[#This Row],[PayrollLocation]]),0,IF(COUNTIF(SCHOOLS[SchoolCode],MEMBERS[[#This Row],[PayrollLocation]])=1,0,1))</f>
        <v>0</v>
      </c>
      <c r="E495" s="57">
        <f>IF(MEMBERS[[#This Row],[AvailableToAllSchools]]=FALSE,IF(ISBLANK(MEMBERS[[#This Row],[SchoolCodes]]),1,0),IF(MEMBERS[[#This Row],[AvailableToAllSchools]]=TRUE,IF(ISBLANK(MEMBERS[[#This Row],[SchoolCodes]]),0,1)))</f>
        <v>0</v>
      </c>
      <c r="F495" s="57">
        <f>IF(ISBLANK(MEMBERS[[#This Row],[ServiceEndDate]]),0,IF(MEMBERS[[#This Row],[ServiceStartDate]]&lt;MEMBERS[[#This Row],[ServiceEndDate]],0,1))</f>
        <v>0</v>
      </c>
      <c r="G495" s="57" cm="1">
        <f t="array" aca="1" ref="G495" ca="1">IF(CELL("format",MEMBERS[[#This Row],[ServiceStartDate]])="D1",0,1)+IF(CELL("format",MEMBERS[[#This Row],[ServiceEndDate]])="D1",0,1)</f>
        <v>0</v>
      </c>
      <c r="H49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95" s="57">
        <f>IF(LEN(MEMBERS[[#This Row],[StaffMemberCode]])&lt;100,0,1)</f>
        <v>0</v>
      </c>
      <c r="J495" s="57">
        <f>IF(LEN(MEMBERS[[#This Row],[Title]])&lt;100,0,1)</f>
        <v>0</v>
      </c>
      <c r="K495" s="57">
        <f>COUNTBLANK(MEMBERS[[#This Row],[StaffMemberCode]:[ServiceStartDate]])+COUNTBLANK(MEMBERS[[#This Row],[Apprenticeship]]:MEMBERS[[#This Row],[StaffMemberEnabled]])+COUNTBLANK(MEMBERS[[#This Row],[GenderCode]]:MEMBERS[[#This Row],[Casual]])</f>
        <v>0</v>
      </c>
      <c r="L495" s="57">
        <f>IF(SUBSTITUTE(TEXT(MEMBERS[[#This Row],[StaffMemberCode]],10)," ","")=TEXT(MEMBERS[[#This Row],[StaffMemberCode]],10),0,1)</f>
        <v>0</v>
      </c>
      <c r="M495" s="57">
        <f ca="1">SUM(MEMBERS[[#This Row],[Duplicate NameService Start]:[Space in Code]])</f>
        <v>0</v>
      </c>
      <c r="O495" s="15">
        <v>91073455</v>
      </c>
      <c r="P495" s="15" t="s">
        <v>3346</v>
      </c>
      <c r="Q495" s="15" t="s">
        <v>3767</v>
      </c>
      <c r="R495" s="133" t="str">
        <f>MEMBERS[[#This Row],[FirstName]]&amp;" "&amp;MEMBERS[[#This Row],[LastName]]</f>
        <v>Louise Doyle</v>
      </c>
      <c r="S495" s="21">
        <v>44570</v>
      </c>
      <c r="U495" s="21">
        <v>28297</v>
      </c>
      <c r="V495" t="b">
        <v>0</v>
      </c>
      <c r="W495" t="b">
        <v>0</v>
      </c>
      <c r="X495" t="b">
        <v>0</v>
      </c>
      <c r="Y495" t="s">
        <v>2094</v>
      </c>
      <c r="Z495" t="b">
        <v>1</v>
      </c>
      <c r="AB495" t="s">
        <v>1571</v>
      </c>
      <c r="AC495" t="b">
        <v>0</v>
      </c>
    </row>
    <row r="496" spans="1:29" x14ac:dyDescent="0.3">
      <c r="A496" s="57" t="str">
        <f>MEMBERS[[#This Row],[Title]]&amp;MEMBERS[[#This Row],[ServiceStartDate]]</f>
        <v>Louise Jennings39326</v>
      </c>
      <c r="B496" s="57">
        <f>IF(COUNTIF(MEMBERS[NameServiceStart],MEMBERS[[#This Row],[NameServiceStart]])=1,0,1)</f>
        <v>0</v>
      </c>
      <c r="C496" s="57">
        <f>IF(COUNTIF(MEMBERS[StaffMemberCode],MEMBERS[[#This Row],[StaffMemberCode]])=1,0,1)</f>
        <v>0</v>
      </c>
      <c r="D496" s="57">
        <f>IF(ISBLANK(MEMBERS[[#This Row],[PayrollLocation]]),0,IF(COUNTIF(SCHOOLS[SchoolCode],MEMBERS[[#This Row],[PayrollLocation]])=1,0,1))</f>
        <v>0</v>
      </c>
      <c r="E496" s="57">
        <f>IF(MEMBERS[[#This Row],[AvailableToAllSchools]]=FALSE,IF(ISBLANK(MEMBERS[[#This Row],[SchoolCodes]]),1,0),IF(MEMBERS[[#This Row],[AvailableToAllSchools]]=TRUE,IF(ISBLANK(MEMBERS[[#This Row],[SchoolCodes]]),0,1)))</f>
        <v>0</v>
      </c>
      <c r="F496" s="57">
        <f>IF(ISBLANK(MEMBERS[[#This Row],[ServiceEndDate]]),0,IF(MEMBERS[[#This Row],[ServiceStartDate]]&lt;MEMBERS[[#This Row],[ServiceEndDate]],0,1))</f>
        <v>0</v>
      </c>
      <c r="G496" s="57" cm="1">
        <f t="array" aca="1" ref="G496" ca="1">IF(CELL("format",MEMBERS[[#This Row],[ServiceStartDate]])="D1",0,1)+IF(CELL("format",MEMBERS[[#This Row],[ServiceEndDate]])="D1",0,1)</f>
        <v>0</v>
      </c>
      <c r="H49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96" s="57">
        <f>IF(LEN(MEMBERS[[#This Row],[StaffMemberCode]])&lt;100,0,1)</f>
        <v>0</v>
      </c>
      <c r="J496" s="57">
        <f>IF(LEN(MEMBERS[[#This Row],[Title]])&lt;100,0,1)</f>
        <v>0</v>
      </c>
      <c r="K496" s="57">
        <f>COUNTBLANK(MEMBERS[[#This Row],[StaffMemberCode]:[ServiceStartDate]])+COUNTBLANK(MEMBERS[[#This Row],[Apprenticeship]]:MEMBERS[[#This Row],[StaffMemberEnabled]])+COUNTBLANK(MEMBERS[[#This Row],[GenderCode]]:MEMBERS[[#This Row],[Casual]])</f>
        <v>0</v>
      </c>
      <c r="L496" s="57">
        <f>IF(SUBSTITUTE(TEXT(MEMBERS[[#This Row],[StaffMemberCode]],10)," ","")=TEXT(MEMBERS[[#This Row],[StaffMemberCode]],10),0,1)</f>
        <v>0</v>
      </c>
      <c r="M496" s="57">
        <f ca="1">SUM(MEMBERS[[#This Row],[Duplicate NameService Start]:[Space in Code]])</f>
        <v>0</v>
      </c>
      <c r="O496" s="15">
        <v>10005294</v>
      </c>
      <c r="P496" s="15" t="s">
        <v>3346</v>
      </c>
      <c r="Q496" s="15" t="s">
        <v>4097</v>
      </c>
      <c r="R496" s="133" t="str">
        <f>MEMBERS[[#This Row],[FirstName]]&amp;" "&amp;MEMBERS[[#This Row],[LastName]]</f>
        <v>Louise Jennings</v>
      </c>
      <c r="S496" s="21">
        <v>39326</v>
      </c>
      <c r="U496" s="21">
        <v>29150</v>
      </c>
      <c r="V496" s="138" t="b">
        <v>0</v>
      </c>
      <c r="W496" t="b">
        <v>0</v>
      </c>
      <c r="X496" t="b">
        <v>0</v>
      </c>
      <c r="Y496" t="s">
        <v>2126</v>
      </c>
      <c r="Z496" t="b">
        <v>1</v>
      </c>
      <c r="AB496" t="s">
        <v>1571</v>
      </c>
      <c r="AC496" t="b">
        <v>0</v>
      </c>
    </row>
    <row r="497" spans="1:29" x14ac:dyDescent="0.3">
      <c r="A497" s="57" t="str">
        <f>MEMBERS[[#This Row],[Title]]&amp;MEMBERS[[#This Row],[ServiceStartDate]]</f>
        <v>Louise Keenan45034</v>
      </c>
      <c r="B497" s="57">
        <f>IF(COUNTIF(MEMBERS[NameServiceStart],MEMBERS[[#This Row],[NameServiceStart]])=1,0,1)</f>
        <v>0</v>
      </c>
      <c r="C497" s="57">
        <f>IF(COUNTIF(MEMBERS[StaffMemberCode],MEMBERS[[#This Row],[StaffMemberCode]])=1,0,1)</f>
        <v>0</v>
      </c>
      <c r="D497" s="57">
        <f>IF(ISBLANK(MEMBERS[[#This Row],[PayrollLocation]]),0,IF(COUNTIF(SCHOOLS[SchoolCode],MEMBERS[[#This Row],[PayrollLocation]])=1,0,1))</f>
        <v>0</v>
      </c>
      <c r="E497" s="57">
        <f>IF(MEMBERS[[#This Row],[AvailableToAllSchools]]=FALSE,IF(ISBLANK(MEMBERS[[#This Row],[SchoolCodes]]),1,0),IF(MEMBERS[[#This Row],[AvailableToAllSchools]]=TRUE,IF(ISBLANK(MEMBERS[[#This Row],[SchoolCodes]]),0,1)))</f>
        <v>0</v>
      </c>
      <c r="F497" s="57">
        <f>IF(ISBLANK(MEMBERS[[#This Row],[ServiceEndDate]]),0,IF(MEMBERS[[#This Row],[ServiceStartDate]]&lt;MEMBERS[[#This Row],[ServiceEndDate]],0,1))</f>
        <v>0</v>
      </c>
      <c r="G497" s="57" cm="1">
        <f t="array" aca="1" ref="G497" ca="1">IF(CELL("format",MEMBERS[[#This Row],[ServiceStartDate]])="D1",0,1)+IF(CELL("format",MEMBERS[[#This Row],[ServiceEndDate]])="D1",0,1)</f>
        <v>0</v>
      </c>
      <c r="H49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97" s="57">
        <f>IF(LEN(MEMBERS[[#This Row],[StaffMemberCode]])&lt;100,0,1)</f>
        <v>0</v>
      </c>
      <c r="J497" s="57">
        <f>IF(LEN(MEMBERS[[#This Row],[Title]])&lt;100,0,1)</f>
        <v>0</v>
      </c>
      <c r="K497" s="57">
        <f>COUNTBLANK(MEMBERS[[#This Row],[StaffMemberCode]:[ServiceStartDate]])+COUNTBLANK(MEMBERS[[#This Row],[Apprenticeship]]:MEMBERS[[#This Row],[StaffMemberEnabled]])+COUNTBLANK(MEMBERS[[#This Row],[GenderCode]]:MEMBERS[[#This Row],[Casual]])</f>
        <v>0</v>
      </c>
      <c r="L497" s="57">
        <f>IF(SUBSTITUTE(TEXT(MEMBERS[[#This Row],[StaffMemberCode]],10)," ","")=TEXT(MEMBERS[[#This Row],[StaffMemberCode]],10),0,1)</f>
        <v>0</v>
      </c>
      <c r="M497" s="57">
        <f ca="1">SUM(MEMBERS[[#This Row],[Duplicate NameService Start]:[Space in Code]])</f>
        <v>0</v>
      </c>
      <c r="O497" s="15">
        <v>91075774</v>
      </c>
      <c r="P497" s="15" t="s">
        <v>3346</v>
      </c>
      <c r="Q497" s="15" t="s">
        <v>3768</v>
      </c>
      <c r="R497" s="133" t="str">
        <f>MEMBERS[[#This Row],[FirstName]]&amp;" "&amp;MEMBERS[[#This Row],[LastName]]</f>
        <v>Louise Keenan</v>
      </c>
      <c r="S497" s="21">
        <v>45034</v>
      </c>
      <c r="U497" s="21">
        <v>24096</v>
      </c>
      <c r="V497" t="b">
        <v>0</v>
      </c>
      <c r="W497" t="b">
        <v>0</v>
      </c>
      <c r="X497" t="b">
        <v>0</v>
      </c>
      <c r="Y497" t="s">
        <v>2200</v>
      </c>
      <c r="Z497" t="b">
        <v>1</v>
      </c>
      <c r="AB497" t="s">
        <v>1571</v>
      </c>
      <c r="AC497" t="b">
        <v>0</v>
      </c>
    </row>
    <row r="498" spans="1:29" x14ac:dyDescent="0.3">
      <c r="A498" s="57" t="str">
        <f>MEMBERS[[#This Row],[Title]]&amp;MEMBERS[[#This Row],[ServiceStartDate]]</f>
        <v>Louise Monks44809</v>
      </c>
      <c r="B498" s="57">
        <f>IF(COUNTIF(MEMBERS[NameServiceStart],MEMBERS[[#This Row],[NameServiceStart]])=1,0,1)</f>
        <v>0</v>
      </c>
      <c r="C498" s="57">
        <f>IF(COUNTIF(MEMBERS[StaffMemberCode],MEMBERS[[#This Row],[StaffMemberCode]])=1,0,1)</f>
        <v>0</v>
      </c>
      <c r="D498" s="57">
        <f>IF(ISBLANK(MEMBERS[[#This Row],[PayrollLocation]]),0,IF(COUNTIF(SCHOOLS[SchoolCode],MEMBERS[[#This Row],[PayrollLocation]])=1,0,1))</f>
        <v>0</v>
      </c>
      <c r="E498" s="57">
        <f>IF(MEMBERS[[#This Row],[AvailableToAllSchools]]=FALSE,IF(ISBLANK(MEMBERS[[#This Row],[SchoolCodes]]),1,0),IF(MEMBERS[[#This Row],[AvailableToAllSchools]]=TRUE,IF(ISBLANK(MEMBERS[[#This Row],[SchoolCodes]]),0,1)))</f>
        <v>0</v>
      </c>
      <c r="F498" s="57">
        <f>IF(ISBLANK(MEMBERS[[#This Row],[ServiceEndDate]]),0,IF(MEMBERS[[#This Row],[ServiceStartDate]]&lt;MEMBERS[[#This Row],[ServiceEndDate]],0,1))</f>
        <v>0</v>
      </c>
      <c r="G498" s="57" cm="1">
        <f t="array" aca="1" ref="G498" ca="1">IF(CELL("format",MEMBERS[[#This Row],[ServiceStartDate]])="D1",0,1)+IF(CELL("format",MEMBERS[[#This Row],[ServiceEndDate]])="D1",0,1)</f>
        <v>0</v>
      </c>
      <c r="H49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98" s="57">
        <f>IF(LEN(MEMBERS[[#This Row],[StaffMemberCode]])&lt;100,0,1)</f>
        <v>0</v>
      </c>
      <c r="J498" s="57">
        <f>IF(LEN(MEMBERS[[#This Row],[Title]])&lt;100,0,1)</f>
        <v>0</v>
      </c>
      <c r="K498" s="57">
        <f>COUNTBLANK(MEMBERS[[#This Row],[StaffMemberCode]:[ServiceStartDate]])+COUNTBLANK(MEMBERS[[#This Row],[Apprenticeship]]:MEMBERS[[#This Row],[StaffMemberEnabled]])+COUNTBLANK(MEMBERS[[#This Row],[GenderCode]]:MEMBERS[[#This Row],[Casual]])</f>
        <v>0</v>
      </c>
      <c r="L498" s="57">
        <f>IF(SUBSTITUTE(TEXT(MEMBERS[[#This Row],[StaffMemberCode]],10)," ","")=TEXT(MEMBERS[[#This Row],[StaffMemberCode]],10),0,1)</f>
        <v>0</v>
      </c>
      <c r="M498" s="57">
        <f ca="1">SUM(MEMBERS[[#This Row],[Duplicate NameService Start]:[Space in Code]])</f>
        <v>0</v>
      </c>
      <c r="O498" s="15">
        <v>91073579</v>
      </c>
      <c r="P498" s="15" t="s">
        <v>3346</v>
      </c>
      <c r="Q498" s="15" t="s">
        <v>3769</v>
      </c>
      <c r="R498" s="133" t="str">
        <f>MEMBERS[[#This Row],[FirstName]]&amp;" "&amp;MEMBERS[[#This Row],[LastName]]</f>
        <v>Louise Monks</v>
      </c>
      <c r="S498" s="21">
        <v>44809</v>
      </c>
      <c r="U498" s="21">
        <v>29063</v>
      </c>
      <c r="V498" t="b">
        <v>0</v>
      </c>
      <c r="W498" t="b">
        <v>0</v>
      </c>
      <c r="X498" t="b">
        <v>0</v>
      </c>
      <c r="Y498" t="s">
        <v>2094</v>
      </c>
      <c r="Z498" t="b">
        <v>1</v>
      </c>
      <c r="AB498" t="s">
        <v>1571</v>
      </c>
      <c r="AC498" t="b">
        <v>0</v>
      </c>
    </row>
    <row r="499" spans="1:29" x14ac:dyDescent="0.3">
      <c r="A499" s="57" t="str">
        <f>MEMBERS[[#This Row],[Title]]&amp;MEMBERS[[#This Row],[ServiceStartDate]]</f>
        <v>Louise Ratcliffe41518</v>
      </c>
      <c r="B499" s="57">
        <f>IF(COUNTIF(MEMBERS[NameServiceStart],MEMBERS[[#This Row],[NameServiceStart]])=1,0,1)</f>
        <v>0</v>
      </c>
      <c r="C499" s="57">
        <f>IF(COUNTIF(MEMBERS[StaffMemberCode],MEMBERS[[#This Row],[StaffMemberCode]])=1,0,1)</f>
        <v>0</v>
      </c>
      <c r="D499" s="57">
        <f>IF(ISBLANK(MEMBERS[[#This Row],[PayrollLocation]]),0,IF(COUNTIF(SCHOOLS[SchoolCode],MEMBERS[[#This Row],[PayrollLocation]])=1,0,1))</f>
        <v>0</v>
      </c>
      <c r="E499" s="57">
        <f>IF(MEMBERS[[#This Row],[AvailableToAllSchools]]=FALSE,IF(ISBLANK(MEMBERS[[#This Row],[SchoolCodes]]),1,0),IF(MEMBERS[[#This Row],[AvailableToAllSchools]]=TRUE,IF(ISBLANK(MEMBERS[[#This Row],[SchoolCodes]]),0,1)))</f>
        <v>0</v>
      </c>
      <c r="F499" s="57">
        <f>IF(ISBLANK(MEMBERS[[#This Row],[ServiceEndDate]]),0,IF(MEMBERS[[#This Row],[ServiceStartDate]]&lt;MEMBERS[[#This Row],[ServiceEndDate]],0,1))</f>
        <v>0</v>
      </c>
      <c r="G499" s="57" cm="1">
        <f t="array" aca="1" ref="G499" ca="1">IF(CELL("format",MEMBERS[[#This Row],[ServiceStartDate]])="D1",0,1)+IF(CELL("format",MEMBERS[[#This Row],[ServiceEndDate]])="D1",0,1)</f>
        <v>0</v>
      </c>
      <c r="H49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499" s="57">
        <f>IF(LEN(MEMBERS[[#This Row],[StaffMemberCode]])&lt;100,0,1)</f>
        <v>0</v>
      </c>
      <c r="J499" s="57">
        <f>IF(LEN(MEMBERS[[#This Row],[Title]])&lt;100,0,1)</f>
        <v>0</v>
      </c>
      <c r="K499" s="57">
        <f>COUNTBLANK(MEMBERS[[#This Row],[StaffMemberCode]:[ServiceStartDate]])+COUNTBLANK(MEMBERS[[#This Row],[Apprenticeship]]:MEMBERS[[#This Row],[StaffMemberEnabled]])+COUNTBLANK(MEMBERS[[#This Row],[GenderCode]]:MEMBERS[[#This Row],[Casual]])</f>
        <v>0</v>
      </c>
      <c r="L499" s="57">
        <f>IF(SUBSTITUTE(TEXT(MEMBERS[[#This Row],[StaffMemberCode]],10)," ","")=TEXT(MEMBERS[[#This Row],[StaffMemberCode]],10),0,1)</f>
        <v>0</v>
      </c>
      <c r="M499" s="57">
        <f ca="1">SUM(MEMBERS[[#This Row],[Duplicate NameService Start]:[Space in Code]])</f>
        <v>0</v>
      </c>
      <c r="O499" s="15">
        <v>10005291</v>
      </c>
      <c r="P499" s="15" t="s">
        <v>3346</v>
      </c>
      <c r="Q499" s="15" t="s">
        <v>4098</v>
      </c>
      <c r="R499" s="133" t="str">
        <f>MEMBERS[[#This Row],[FirstName]]&amp;" "&amp;MEMBERS[[#This Row],[LastName]]</f>
        <v>Louise Ratcliffe</v>
      </c>
      <c r="S499" s="21">
        <v>41518</v>
      </c>
      <c r="U499" s="21">
        <v>29207</v>
      </c>
      <c r="V499" s="138" t="b">
        <v>0</v>
      </c>
      <c r="W499" t="b">
        <v>0</v>
      </c>
      <c r="X499" t="b">
        <v>0</v>
      </c>
      <c r="Y499" t="s">
        <v>2126</v>
      </c>
      <c r="Z499" t="b">
        <v>1</v>
      </c>
      <c r="AB499" t="s">
        <v>1571</v>
      </c>
      <c r="AC499" t="b">
        <v>0</v>
      </c>
    </row>
    <row r="500" spans="1:29" x14ac:dyDescent="0.3">
      <c r="A500" s="57" t="str">
        <f>MEMBERS[[#This Row],[Title]]&amp;MEMBERS[[#This Row],[ServiceStartDate]]</f>
        <v>Louise Read39822</v>
      </c>
      <c r="B500" s="57">
        <f>IF(COUNTIF(MEMBERS[NameServiceStart],MEMBERS[[#This Row],[NameServiceStart]])=1,0,1)</f>
        <v>0</v>
      </c>
      <c r="C500" s="57">
        <f>IF(COUNTIF(MEMBERS[StaffMemberCode],MEMBERS[[#This Row],[StaffMemberCode]])=1,0,1)</f>
        <v>0</v>
      </c>
      <c r="D500" s="57">
        <f>IF(ISBLANK(MEMBERS[[#This Row],[PayrollLocation]]),0,IF(COUNTIF(SCHOOLS[SchoolCode],MEMBERS[[#This Row],[PayrollLocation]])=1,0,1))</f>
        <v>0</v>
      </c>
      <c r="E500" s="57">
        <f>IF(MEMBERS[[#This Row],[AvailableToAllSchools]]=FALSE,IF(ISBLANK(MEMBERS[[#This Row],[SchoolCodes]]),1,0),IF(MEMBERS[[#This Row],[AvailableToAllSchools]]=TRUE,IF(ISBLANK(MEMBERS[[#This Row],[SchoolCodes]]),0,1)))</f>
        <v>0</v>
      </c>
      <c r="F500" s="57">
        <f>IF(ISBLANK(MEMBERS[[#This Row],[ServiceEndDate]]),0,IF(MEMBERS[[#This Row],[ServiceStartDate]]&lt;MEMBERS[[#This Row],[ServiceEndDate]],0,1))</f>
        <v>0</v>
      </c>
      <c r="G500" s="57" cm="1">
        <f t="array" aca="1" ref="G500" ca="1">IF(CELL("format",MEMBERS[[#This Row],[ServiceStartDate]])="D1",0,1)+IF(CELL("format",MEMBERS[[#This Row],[ServiceEndDate]])="D1",0,1)</f>
        <v>0</v>
      </c>
      <c r="H50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00" s="57">
        <f>IF(LEN(MEMBERS[[#This Row],[StaffMemberCode]])&lt;100,0,1)</f>
        <v>0</v>
      </c>
      <c r="J500" s="57">
        <f>IF(LEN(MEMBERS[[#This Row],[Title]])&lt;100,0,1)</f>
        <v>0</v>
      </c>
      <c r="K500" s="57">
        <f>COUNTBLANK(MEMBERS[[#This Row],[StaffMemberCode]:[ServiceStartDate]])+COUNTBLANK(MEMBERS[[#This Row],[Apprenticeship]]:MEMBERS[[#This Row],[StaffMemberEnabled]])+COUNTBLANK(MEMBERS[[#This Row],[GenderCode]]:MEMBERS[[#This Row],[Casual]])</f>
        <v>0</v>
      </c>
      <c r="L500" s="57">
        <f>IF(SUBSTITUTE(TEXT(MEMBERS[[#This Row],[StaffMemberCode]],10)," ","")=TEXT(MEMBERS[[#This Row],[StaffMemberCode]],10),0,1)</f>
        <v>0</v>
      </c>
      <c r="M500" s="57">
        <f ca="1">SUM(MEMBERS[[#This Row],[Duplicate NameService Start]:[Space in Code]])</f>
        <v>0</v>
      </c>
      <c r="O500" s="15">
        <v>91073843</v>
      </c>
      <c r="P500" s="15" t="s">
        <v>3346</v>
      </c>
      <c r="Q500" s="15" t="s">
        <v>3770</v>
      </c>
      <c r="R500" s="133" t="str">
        <f>MEMBERS[[#This Row],[FirstName]]&amp;" "&amp;MEMBERS[[#This Row],[LastName]]</f>
        <v>Louise Read</v>
      </c>
      <c r="S500" s="21">
        <v>39822</v>
      </c>
      <c r="U500" s="21">
        <v>31958</v>
      </c>
      <c r="V500" t="b">
        <v>0</v>
      </c>
      <c r="W500" t="b">
        <v>0</v>
      </c>
      <c r="X500" t="b">
        <v>0</v>
      </c>
      <c r="Y500" t="s">
        <v>2082</v>
      </c>
      <c r="Z500" t="b">
        <v>1</v>
      </c>
      <c r="AB500" t="s">
        <v>1571</v>
      </c>
      <c r="AC500" t="b">
        <v>0</v>
      </c>
    </row>
    <row r="501" spans="1:29" x14ac:dyDescent="0.3">
      <c r="A501" s="57" t="str">
        <f>MEMBERS[[#This Row],[Title]]&amp;MEMBERS[[#This Row],[ServiceStartDate]]</f>
        <v>Louise Reynolds45474</v>
      </c>
      <c r="B501" s="57">
        <f>IF(COUNTIF(MEMBERS[NameServiceStart],MEMBERS[[#This Row],[NameServiceStart]])=1,0,1)</f>
        <v>0</v>
      </c>
      <c r="C501" s="57">
        <f>IF(COUNTIF(MEMBERS[StaffMemberCode],MEMBERS[[#This Row],[StaffMemberCode]])=1,0,1)</f>
        <v>0</v>
      </c>
      <c r="D501" s="57">
        <f>IF(ISBLANK(MEMBERS[[#This Row],[PayrollLocation]]),0,IF(COUNTIF(SCHOOLS[SchoolCode],MEMBERS[[#This Row],[PayrollLocation]])=1,0,1))</f>
        <v>0</v>
      </c>
      <c r="E501" s="57">
        <f>IF(MEMBERS[[#This Row],[AvailableToAllSchools]]=FALSE,IF(ISBLANK(MEMBERS[[#This Row],[SchoolCodes]]),1,0),IF(MEMBERS[[#This Row],[AvailableToAllSchools]]=TRUE,IF(ISBLANK(MEMBERS[[#This Row],[SchoolCodes]]),0,1)))</f>
        <v>0</v>
      </c>
      <c r="F501" s="57">
        <f>IF(ISBLANK(MEMBERS[[#This Row],[ServiceEndDate]]),0,IF(MEMBERS[[#This Row],[ServiceStartDate]]&lt;MEMBERS[[#This Row],[ServiceEndDate]],0,1))</f>
        <v>0</v>
      </c>
      <c r="G501" s="57" cm="1">
        <f t="array" aca="1" ref="G501" ca="1">IF(CELL("format",MEMBERS[[#This Row],[ServiceStartDate]])="D1",0,1)+IF(CELL("format",MEMBERS[[#This Row],[ServiceEndDate]])="D1",0,1)</f>
        <v>0</v>
      </c>
      <c r="H50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01" s="57">
        <f>IF(LEN(MEMBERS[[#This Row],[StaffMemberCode]])&lt;100,0,1)</f>
        <v>0</v>
      </c>
      <c r="J501" s="57">
        <f>IF(LEN(MEMBERS[[#This Row],[Title]])&lt;100,0,1)</f>
        <v>0</v>
      </c>
      <c r="K501" s="57">
        <f>COUNTBLANK(MEMBERS[[#This Row],[StaffMemberCode]:[ServiceStartDate]])+COUNTBLANK(MEMBERS[[#This Row],[Apprenticeship]]:MEMBERS[[#This Row],[StaffMemberEnabled]])+COUNTBLANK(MEMBERS[[#This Row],[GenderCode]]:MEMBERS[[#This Row],[Casual]])</f>
        <v>0</v>
      </c>
      <c r="L501" s="57">
        <f>IF(SUBSTITUTE(TEXT(MEMBERS[[#This Row],[StaffMemberCode]],10)," ","")=TEXT(MEMBERS[[#This Row],[StaffMemberCode]],10),0,1)</f>
        <v>0</v>
      </c>
      <c r="M501" s="57">
        <f ca="1">SUM(MEMBERS[[#This Row],[Duplicate NameService Start]:[Space in Code]])</f>
        <v>0</v>
      </c>
      <c r="O501" s="15">
        <v>91075782</v>
      </c>
      <c r="P501" s="15" t="s">
        <v>3346</v>
      </c>
      <c r="Q501" s="15" t="s">
        <v>3582</v>
      </c>
      <c r="R501" s="133" t="str">
        <f>MEMBERS[[#This Row],[FirstName]]&amp;" "&amp;MEMBERS[[#This Row],[LastName]]</f>
        <v>Louise Reynolds</v>
      </c>
      <c r="S501" s="21">
        <v>45474</v>
      </c>
      <c r="U501" s="21">
        <v>29154</v>
      </c>
      <c r="V501" t="b">
        <v>0</v>
      </c>
      <c r="W501" t="b">
        <v>0</v>
      </c>
      <c r="X501" t="b">
        <v>0</v>
      </c>
      <c r="Y501" t="s">
        <v>2200</v>
      </c>
      <c r="Z501" t="b">
        <v>1</v>
      </c>
      <c r="AB501" t="s">
        <v>1571</v>
      </c>
      <c r="AC501" t="b">
        <v>1</v>
      </c>
    </row>
    <row r="502" spans="1:29" x14ac:dyDescent="0.3">
      <c r="A502" s="57" t="str">
        <f>MEMBERS[[#This Row],[Title]]&amp;MEMBERS[[#This Row],[ServiceStartDate]]</f>
        <v>Louise Rhodes45670</v>
      </c>
      <c r="B502" s="57">
        <f>IF(COUNTIF(MEMBERS[NameServiceStart],MEMBERS[[#This Row],[NameServiceStart]])=1,0,1)</f>
        <v>0</v>
      </c>
      <c r="C502" s="57">
        <f>IF(COUNTIF(MEMBERS[StaffMemberCode],MEMBERS[[#This Row],[StaffMemberCode]])=1,0,1)</f>
        <v>0</v>
      </c>
      <c r="D502" s="57">
        <f>IF(ISBLANK(MEMBERS[[#This Row],[PayrollLocation]]),0,IF(COUNTIF(SCHOOLS[SchoolCode],MEMBERS[[#This Row],[PayrollLocation]])=1,0,1))</f>
        <v>0</v>
      </c>
      <c r="E502" s="57">
        <f>IF(MEMBERS[[#This Row],[AvailableToAllSchools]]=FALSE,IF(ISBLANK(MEMBERS[[#This Row],[SchoolCodes]]),1,0),IF(MEMBERS[[#This Row],[AvailableToAllSchools]]=TRUE,IF(ISBLANK(MEMBERS[[#This Row],[SchoolCodes]]),0,1)))</f>
        <v>0</v>
      </c>
      <c r="F502" s="57">
        <f>IF(ISBLANK(MEMBERS[[#This Row],[ServiceEndDate]]),0,IF(MEMBERS[[#This Row],[ServiceStartDate]]&lt;MEMBERS[[#This Row],[ServiceEndDate]],0,1))</f>
        <v>0</v>
      </c>
      <c r="G502" s="57" cm="1">
        <f t="array" aca="1" ref="G502" ca="1">IF(CELL("format",MEMBERS[[#This Row],[ServiceStartDate]])="D1",0,1)+IF(CELL("format",MEMBERS[[#This Row],[ServiceEndDate]])="D1",0,1)</f>
        <v>0</v>
      </c>
      <c r="H50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02" s="57">
        <f>IF(LEN(MEMBERS[[#This Row],[StaffMemberCode]])&lt;100,0,1)</f>
        <v>0</v>
      </c>
      <c r="J502" s="57">
        <f>IF(LEN(MEMBERS[[#This Row],[Title]])&lt;100,0,1)</f>
        <v>0</v>
      </c>
      <c r="K502" s="57">
        <f>COUNTBLANK(MEMBERS[[#This Row],[StaffMemberCode]:[ServiceStartDate]])+COUNTBLANK(MEMBERS[[#This Row],[Apprenticeship]]:MEMBERS[[#This Row],[StaffMemberEnabled]])+COUNTBLANK(MEMBERS[[#This Row],[GenderCode]]:MEMBERS[[#This Row],[Casual]])</f>
        <v>0</v>
      </c>
      <c r="L502" s="57">
        <f>IF(SUBSTITUTE(TEXT(MEMBERS[[#This Row],[StaffMemberCode]],10)," ","")=TEXT(MEMBERS[[#This Row],[StaffMemberCode]],10),0,1)</f>
        <v>0</v>
      </c>
      <c r="M502" s="57">
        <f ca="1">SUM(MEMBERS[[#This Row],[Duplicate NameService Start]:[Space in Code]])</f>
        <v>0</v>
      </c>
      <c r="O502" s="15">
        <v>10015147</v>
      </c>
      <c r="P502" s="15" t="s">
        <v>3346</v>
      </c>
      <c r="Q502" s="15" t="s">
        <v>4099</v>
      </c>
      <c r="R502" s="133" t="str">
        <f>MEMBERS[[#This Row],[FirstName]]&amp;" "&amp;MEMBERS[[#This Row],[LastName]]</f>
        <v>Louise Rhodes</v>
      </c>
      <c r="S502" s="21">
        <v>45670</v>
      </c>
      <c r="U502" s="21">
        <v>30031</v>
      </c>
      <c r="V502" s="138" t="b">
        <v>0</v>
      </c>
      <c r="W502" t="b">
        <v>0</v>
      </c>
      <c r="X502" t="b">
        <v>0</v>
      </c>
      <c r="Y502" t="s">
        <v>2126</v>
      </c>
      <c r="Z502" t="b">
        <v>1</v>
      </c>
      <c r="AB502" t="s">
        <v>1571</v>
      </c>
      <c r="AC502" t="b">
        <v>0</v>
      </c>
    </row>
    <row r="503" spans="1:29" x14ac:dyDescent="0.3">
      <c r="A503" s="57" t="str">
        <f>MEMBERS[[#This Row],[Title]]&amp;MEMBERS[[#This Row],[ServiceStartDate]]</f>
        <v>Louise Wilmore40187</v>
      </c>
      <c r="B503" s="57">
        <f>IF(COUNTIF(MEMBERS[NameServiceStart],MEMBERS[[#This Row],[NameServiceStart]])=1,0,1)</f>
        <v>0</v>
      </c>
      <c r="C503" s="57">
        <f>IF(COUNTIF(MEMBERS[StaffMemberCode],MEMBERS[[#This Row],[StaffMemberCode]])=1,0,1)</f>
        <v>0</v>
      </c>
      <c r="D503" s="57">
        <f>IF(ISBLANK(MEMBERS[[#This Row],[PayrollLocation]]),0,IF(COUNTIF(SCHOOLS[SchoolCode],MEMBERS[[#This Row],[PayrollLocation]])=1,0,1))</f>
        <v>0</v>
      </c>
      <c r="E503" s="57">
        <f>IF(MEMBERS[[#This Row],[AvailableToAllSchools]]=FALSE,IF(ISBLANK(MEMBERS[[#This Row],[SchoolCodes]]),1,0),IF(MEMBERS[[#This Row],[AvailableToAllSchools]]=TRUE,IF(ISBLANK(MEMBERS[[#This Row],[SchoolCodes]]),0,1)))</f>
        <v>0</v>
      </c>
      <c r="F503" s="57">
        <f>IF(ISBLANK(MEMBERS[[#This Row],[ServiceEndDate]]),0,IF(MEMBERS[[#This Row],[ServiceStartDate]]&lt;MEMBERS[[#This Row],[ServiceEndDate]],0,1))</f>
        <v>0</v>
      </c>
      <c r="G503" s="57" cm="1">
        <f t="array" aca="1" ref="G503" ca="1">IF(CELL("format",MEMBERS[[#This Row],[ServiceStartDate]])="D1",0,1)+IF(CELL("format",MEMBERS[[#This Row],[ServiceEndDate]])="D1",0,1)</f>
        <v>0</v>
      </c>
      <c r="H50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03" s="57">
        <f>IF(LEN(MEMBERS[[#This Row],[StaffMemberCode]])&lt;100,0,1)</f>
        <v>0</v>
      </c>
      <c r="J503" s="57">
        <f>IF(LEN(MEMBERS[[#This Row],[Title]])&lt;100,0,1)</f>
        <v>0</v>
      </c>
      <c r="K503" s="57">
        <f>COUNTBLANK(MEMBERS[[#This Row],[StaffMemberCode]:[ServiceStartDate]])+COUNTBLANK(MEMBERS[[#This Row],[Apprenticeship]]:MEMBERS[[#This Row],[StaffMemberEnabled]])+COUNTBLANK(MEMBERS[[#This Row],[GenderCode]]:MEMBERS[[#This Row],[Casual]])</f>
        <v>0</v>
      </c>
      <c r="L503" s="57">
        <f>IF(SUBSTITUTE(TEXT(MEMBERS[[#This Row],[StaffMemberCode]],10)," ","")=TEXT(MEMBERS[[#This Row],[StaffMemberCode]],10),0,1)</f>
        <v>0</v>
      </c>
      <c r="M503" s="57">
        <f ca="1">SUM(MEMBERS[[#This Row],[Duplicate NameService Start]:[Space in Code]])</f>
        <v>0</v>
      </c>
      <c r="O503" s="15">
        <v>91073769</v>
      </c>
      <c r="P503" s="15" t="s">
        <v>3346</v>
      </c>
      <c r="Q503" s="15" t="s">
        <v>3771</v>
      </c>
      <c r="R503" s="133" t="str">
        <f>MEMBERS[[#This Row],[FirstName]]&amp;" "&amp;MEMBERS[[#This Row],[LastName]]</f>
        <v>Louise Wilmore</v>
      </c>
      <c r="S503" s="21">
        <v>40187</v>
      </c>
      <c r="U503" s="21">
        <v>31360</v>
      </c>
      <c r="V503" t="b">
        <v>0</v>
      </c>
      <c r="W503" t="b">
        <v>0</v>
      </c>
      <c r="X503" t="b">
        <v>0</v>
      </c>
      <c r="Y503" t="s">
        <v>2082</v>
      </c>
      <c r="Z503" t="b">
        <v>1</v>
      </c>
      <c r="AB503" t="s">
        <v>1571</v>
      </c>
      <c r="AC503" t="b">
        <v>0</v>
      </c>
    </row>
    <row r="504" spans="1:29" x14ac:dyDescent="0.3">
      <c r="A504" s="57" t="str">
        <f>MEMBERS[[#This Row],[Title]]&amp;MEMBERS[[#This Row],[ServiceStartDate]]</f>
        <v>Lucy Kennedy-Chalk45719</v>
      </c>
      <c r="B504" s="57">
        <f>IF(COUNTIF(MEMBERS[NameServiceStart],MEMBERS[[#This Row],[NameServiceStart]])=1,0,1)</f>
        <v>0</v>
      </c>
      <c r="C504" s="57">
        <f>IF(COUNTIF(MEMBERS[StaffMemberCode],MEMBERS[[#This Row],[StaffMemberCode]])=1,0,1)</f>
        <v>0</v>
      </c>
      <c r="D504" s="57">
        <f>IF(ISBLANK(MEMBERS[[#This Row],[PayrollLocation]]),0,IF(COUNTIF(SCHOOLS[SchoolCode],MEMBERS[[#This Row],[PayrollLocation]])=1,0,1))</f>
        <v>0</v>
      </c>
      <c r="E504" s="57">
        <f>IF(MEMBERS[[#This Row],[AvailableToAllSchools]]=FALSE,IF(ISBLANK(MEMBERS[[#This Row],[SchoolCodes]]),1,0),IF(MEMBERS[[#This Row],[AvailableToAllSchools]]=TRUE,IF(ISBLANK(MEMBERS[[#This Row],[SchoolCodes]]),0,1)))</f>
        <v>0</v>
      </c>
      <c r="F504" s="57">
        <f>IF(ISBLANK(MEMBERS[[#This Row],[ServiceEndDate]]),0,IF(MEMBERS[[#This Row],[ServiceStartDate]]&lt;MEMBERS[[#This Row],[ServiceEndDate]],0,1))</f>
        <v>0</v>
      </c>
      <c r="G504" s="57" cm="1">
        <f t="array" aca="1" ref="G504" ca="1">IF(CELL("format",MEMBERS[[#This Row],[ServiceStartDate]])="D1",0,1)+IF(CELL("format",MEMBERS[[#This Row],[ServiceEndDate]])="D1",0,1)</f>
        <v>0</v>
      </c>
      <c r="H50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04" s="57">
        <f>IF(LEN(MEMBERS[[#This Row],[StaffMemberCode]])&lt;100,0,1)</f>
        <v>0</v>
      </c>
      <c r="J504" s="57">
        <f>IF(LEN(MEMBERS[[#This Row],[Title]])&lt;100,0,1)</f>
        <v>0</v>
      </c>
      <c r="K504" s="57">
        <f>COUNTBLANK(MEMBERS[[#This Row],[StaffMemberCode]:[ServiceStartDate]])+COUNTBLANK(MEMBERS[[#This Row],[Apprenticeship]]:MEMBERS[[#This Row],[StaffMemberEnabled]])+COUNTBLANK(MEMBERS[[#This Row],[GenderCode]]:MEMBERS[[#This Row],[Casual]])</f>
        <v>0</v>
      </c>
      <c r="L504" s="57">
        <f>IF(SUBSTITUTE(TEXT(MEMBERS[[#This Row],[StaffMemberCode]],10)," ","")=TEXT(MEMBERS[[#This Row],[StaffMemberCode]],10),0,1)</f>
        <v>0</v>
      </c>
      <c r="M504" s="57">
        <f ca="1">SUM(MEMBERS[[#This Row],[Duplicate NameService Start]:[Space in Code]])</f>
        <v>0</v>
      </c>
      <c r="O504" s="15">
        <v>10015721</v>
      </c>
      <c r="P504" s="15" t="s">
        <v>3987</v>
      </c>
      <c r="Q504" s="15" t="s">
        <v>4100</v>
      </c>
      <c r="R504" s="133" t="str">
        <f>MEMBERS[[#This Row],[FirstName]]&amp;" "&amp;MEMBERS[[#This Row],[LastName]]</f>
        <v>Lucy Kennedy-Chalk</v>
      </c>
      <c r="S504" s="21">
        <v>45719</v>
      </c>
      <c r="U504" s="21">
        <v>34800</v>
      </c>
      <c r="V504" s="138" t="b">
        <v>0</v>
      </c>
      <c r="W504" t="b">
        <v>0</v>
      </c>
      <c r="X504" t="b">
        <v>0</v>
      </c>
      <c r="Y504" t="s">
        <v>2126</v>
      </c>
      <c r="Z504" t="b">
        <v>1</v>
      </c>
      <c r="AB504" t="s">
        <v>1571</v>
      </c>
      <c r="AC504" t="b">
        <v>0</v>
      </c>
    </row>
    <row r="505" spans="1:29" x14ac:dyDescent="0.3">
      <c r="A505" s="57" t="str">
        <f>MEMBERS[[#This Row],[Title]]&amp;MEMBERS[[#This Row],[ServiceStartDate]]</f>
        <v>Luke Preston44934</v>
      </c>
      <c r="B505" s="57">
        <f>IF(COUNTIF(MEMBERS[NameServiceStart],MEMBERS[[#This Row],[NameServiceStart]])=1,0,1)</f>
        <v>0</v>
      </c>
      <c r="C505" s="57">
        <f>IF(COUNTIF(MEMBERS[StaffMemberCode],MEMBERS[[#This Row],[StaffMemberCode]])=1,0,1)</f>
        <v>0</v>
      </c>
      <c r="D505" s="57">
        <f>IF(ISBLANK(MEMBERS[[#This Row],[PayrollLocation]]),0,IF(COUNTIF(SCHOOLS[SchoolCode],MEMBERS[[#This Row],[PayrollLocation]])=1,0,1))</f>
        <v>0</v>
      </c>
      <c r="E505" s="57">
        <f>IF(MEMBERS[[#This Row],[AvailableToAllSchools]]=FALSE,IF(ISBLANK(MEMBERS[[#This Row],[SchoolCodes]]),1,0),IF(MEMBERS[[#This Row],[AvailableToAllSchools]]=TRUE,IF(ISBLANK(MEMBERS[[#This Row],[SchoolCodes]]),0,1)))</f>
        <v>0</v>
      </c>
      <c r="F505" s="57">
        <f>IF(ISBLANK(MEMBERS[[#This Row],[ServiceEndDate]]),0,IF(MEMBERS[[#This Row],[ServiceStartDate]]&lt;MEMBERS[[#This Row],[ServiceEndDate]],0,1))</f>
        <v>0</v>
      </c>
      <c r="G505" s="57" cm="1">
        <f t="array" aca="1" ref="G505" ca="1">IF(CELL("format",MEMBERS[[#This Row],[ServiceStartDate]])="D1",0,1)+IF(CELL("format",MEMBERS[[#This Row],[ServiceEndDate]])="D1",0,1)</f>
        <v>0</v>
      </c>
      <c r="H50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05" s="57">
        <f>IF(LEN(MEMBERS[[#This Row],[StaffMemberCode]])&lt;100,0,1)</f>
        <v>0</v>
      </c>
      <c r="J505" s="57">
        <f>IF(LEN(MEMBERS[[#This Row],[Title]])&lt;100,0,1)</f>
        <v>0</v>
      </c>
      <c r="K505" s="57">
        <f>COUNTBLANK(MEMBERS[[#This Row],[StaffMemberCode]:[ServiceStartDate]])+COUNTBLANK(MEMBERS[[#This Row],[Apprenticeship]]:MEMBERS[[#This Row],[StaffMemberEnabled]])+COUNTBLANK(MEMBERS[[#This Row],[GenderCode]]:MEMBERS[[#This Row],[Casual]])</f>
        <v>0</v>
      </c>
      <c r="L505" s="57">
        <f>IF(SUBSTITUTE(TEXT(MEMBERS[[#This Row],[StaffMemberCode]],10)," ","")=TEXT(MEMBERS[[#This Row],[StaffMemberCode]],10),0,1)</f>
        <v>0</v>
      </c>
      <c r="M505" s="57">
        <f ca="1">SUM(MEMBERS[[#This Row],[Duplicate NameService Start]:[Space in Code]])</f>
        <v>0</v>
      </c>
      <c r="O505" s="15">
        <v>91073860</v>
      </c>
      <c r="P505" s="15" t="s">
        <v>3347</v>
      </c>
      <c r="Q505" s="15" t="s">
        <v>3499</v>
      </c>
      <c r="R505" s="133" t="str">
        <f>MEMBERS[[#This Row],[FirstName]]&amp;" "&amp;MEMBERS[[#This Row],[LastName]]</f>
        <v>Luke Preston</v>
      </c>
      <c r="S505" s="21">
        <v>44934</v>
      </c>
      <c r="U505" s="21">
        <v>36957</v>
      </c>
      <c r="V505" t="b">
        <v>0</v>
      </c>
      <c r="W505" t="b">
        <v>0</v>
      </c>
      <c r="X505" t="b">
        <v>0</v>
      </c>
      <c r="Y505" t="s">
        <v>2082</v>
      </c>
      <c r="Z505" t="b">
        <v>1</v>
      </c>
      <c r="AB505" t="s">
        <v>1572</v>
      </c>
      <c r="AC505" t="b">
        <v>0</v>
      </c>
    </row>
    <row r="506" spans="1:29" x14ac:dyDescent="0.3">
      <c r="A506" s="57" t="str">
        <f>MEMBERS[[#This Row],[Title]]&amp;MEMBERS[[#This Row],[ServiceStartDate]]</f>
        <v>Luke Walker45495</v>
      </c>
      <c r="B506" s="57">
        <f>IF(COUNTIF(MEMBERS[NameServiceStart],MEMBERS[[#This Row],[NameServiceStart]])=1,0,1)</f>
        <v>0</v>
      </c>
      <c r="C506" s="57">
        <f>IF(COUNTIF(MEMBERS[StaffMemberCode],MEMBERS[[#This Row],[StaffMemberCode]])=1,0,1)</f>
        <v>0</v>
      </c>
      <c r="D506" s="57">
        <f>IF(ISBLANK(MEMBERS[[#This Row],[PayrollLocation]]),0,IF(COUNTIF(SCHOOLS[SchoolCode],MEMBERS[[#This Row],[PayrollLocation]])=1,0,1))</f>
        <v>0</v>
      </c>
      <c r="E506" s="57">
        <f>IF(MEMBERS[[#This Row],[AvailableToAllSchools]]=FALSE,IF(ISBLANK(MEMBERS[[#This Row],[SchoolCodes]]),1,0),IF(MEMBERS[[#This Row],[AvailableToAllSchools]]=TRUE,IF(ISBLANK(MEMBERS[[#This Row],[SchoolCodes]]),0,1)))</f>
        <v>0</v>
      </c>
      <c r="F506" s="57">
        <f>IF(ISBLANK(MEMBERS[[#This Row],[ServiceEndDate]]),0,IF(MEMBERS[[#This Row],[ServiceStartDate]]&lt;MEMBERS[[#This Row],[ServiceEndDate]],0,1))</f>
        <v>0</v>
      </c>
      <c r="G506" s="57" cm="1">
        <f t="array" aca="1" ref="G506" ca="1">IF(CELL("format",MEMBERS[[#This Row],[ServiceStartDate]])="D1",0,1)+IF(CELL("format",MEMBERS[[#This Row],[ServiceEndDate]])="D1",0,1)</f>
        <v>0</v>
      </c>
      <c r="H50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06" s="57">
        <f>IF(LEN(MEMBERS[[#This Row],[StaffMemberCode]])&lt;100,0,1)</f>
        <v>0</v>
      </c>
      <c r="J506" s="57">
        <f>IF(LEN(MEMBERS[[#This Row],[Title]])&lt;100,0,1)</f>
        <v>0</v>
      </c>
      <c r="K506" s="57">
        <f>COUNTBLANK(MEMBERS[[#This Row],[StaffMemberCode]:[ServiceStartDate]])+COUNTBLANK(MEMBERS[[#This Row],[Apprenticeship]]:MEMBERS[[#This Row],[StaffMemberEnabled]])+COUNTBLANK(MEMBERS[[#This Row],[GenderCode]]:MEMBERS[[#This Row],[Casual]])</f>
        <v>0</v>
      </c>
      <c r="L506" s="57">
        <f>IF(SUBSTITUTE(TEXT(MEMBERS[[#This Row],[StaffMemberCode]],10)," ","")=TEXT(MEMBERS[[#This Row],[StaffMemberCode]],10),0,1)</f>
        <v>0</v>
      </c>
      <c r="M506" s="57">
        <f ca="1">SUM(MEMBERS[[#This Row],[Duplicate NameService Start]:[Space in Code]])</f>
        <v>0</v>
      </c>
      <c r="O506" s="15">
        <v>91324204</v>
      </c>
      <c r="P506" s="15" t="s">
        <v>3347</v>
      </c>
      <c r="Q506" s="15" t="s">
        <v>3616</v>
      </c>
      <c r="R506" s="133" t="str">
        <f>MEMBERS[[#This Row],[FirstName]]&amp;" "&amp;MEMBERS[[#This Row],[LastName]]</f>
        <v>Luke Walker</v>
      </c>
      <c r="S506" s="21">
        <v>45495</v>
      </c>
      <c r="U506" s="21">
        <v>33718</v>
      </c>
      <c r="V506" t="b">
        <v>0</v>
      </c>
      <c r="W506" t="b">
        <v>0</v>
      </c>
      <c r="X506" t="b">
        <v>0</v>
      </c>
      <c r="Y506" t="s">
        <v>51</v>
      </c>
      <c r="Z506" t="b">
        <v>1</v>
      </c>
      <c r="AB506" t="s">
        <v>1572</v>
      </c>
      <c r="AC506" t="b">
        <v>0</v>
      </c>
    </row>
    <row r="507" spans="1:29" x14ac:dyDescent="0.3">
      <c r="A507" s="57" t="str">
        <f>MEMBERS[[#This Row],[Title]]&amp;MEMBERS[[#This Row],[ServiceStartDate]]</f>
        <v>Lyn Blount44676</v>
      </c>
      <c r="B507" s="57">
        <f>IF(COUNTIF(MEMBERS[NameServiceStart],MEMBERS[[#This Row],[NameServiceStart]])=1,0,1)</f>
        <v>0</v>
      </c>
      <c r="C507" s="57">
        <f>IF(COUNTIF(MEMBERS[StaffMemberCode],MEMBERS[[#This Row],[StaffMemberCode]])=1,0,1)</f>
        <v>0</v>
      </c>
      <c r="D507" s="57">
        <f>IF(ISBLANK(MEMBERS[[#This Row],[PayrollLocation]]),0,IF(COUNTIF(SCHOOLS[SchoolCode],MEMBERS[[#This Row],[PayrollLocation]])=1,0,1))</f>
        <v>0</v>
      </c>
      <c r="E507" s="57">
        <f>IF(MEMBERS[[#This Row],[AvailableToAllSchools]]=FALSE,IF(ISBLANK(MEMBERS[[#This Row],[SchoolCodes]]),1,0),IF(MEMBERS[[#This Row],[AvailableToAllSchools]]=TRUE,IF(ISBLANK(MEMBERS[[#This Row],[SchoolCodes]]),0,1)))</f>
        <v>0</v>
      </c>
      <c r="F507" s="57">
        <f>IF(ISBLANK(MEMBERS[[#This Row],[ServiceEndDate]]),0,IF(MEMBERS[[#This Row],[ServiceStartDate]]&lt;MEMBERS[[#This Row],[ServiceEndDate]],0,1))</f>
        <v>0</v>
      </c>
      <c r="G507" s="57" cm="1">
        <f t="array" aca="1" ref="G507" ca="1">IF(CELL("format",MEMBERS[[#This Row],[ServiceStartDate]])="D1",0,1)+IF(CELL("format",MEMBERS[[#This Row],[ServiceEndDate]])="D1",0,1)</f>
        <v>0</v>
      </c>
      <c r="H50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07" s="57">
        <f>IF(LEN(MEMBERS[[#This Row],[StaffMemberCode]])&lt;100,0,1)</f>
        <v>0</v>
      </c>
      <c r="J507" s="57">
        <f>IF(LEN(MEMBERS[[#This Row],[Title]])&lt;100,0,1)</f>
        <v>0</v>
      </c>
      <c r="K507" s="57">
        <f>COUNTBLANK(MEMBERS[[#This Row],[StaffMemberCode]:[ServiceStartDate]])+COUNTBLANK(MEMBERS[[#This Row],[Apprenticeship]]:MEMBERS[[#This Row],[StaffMemberEnabled]])+COUNTBLANK(MEMBERS[[#This Row],[GenderCode]]:MEMBERS[[#This Row],[Casual]])</f>
        <v>0</v>
      </c>
      <c r="L507" s="57">
        <f>IF(SUBSTITUTE(TEXT(MEMBERS[[#This Row],[StaffMemberCode]],10)," ","")=TEXT(MEMBERS[[#This Row],[StaffMemberCode]],10),0,1)</f>
        <v>0</v>
      </c>
      <c r="M507" s="57">
        <f ca="1">SUM(MEMBERS[[#This Row],[Duplicate NameService Start]:[Space in Code]])</f>
        <v>0</v>
      </c>
      <c r="O507" s="15">
        <v>91073804</v>
      </c>
      <c r="P507" s="15" t="s">
        <v>3348</v>
      </c>
      <c r="Q507" s="15" t="s">
        <v>3772</v>
      </c>
      <c r="R507" s="133" t="str">
        <f>MEMBERS[[#This Row],[FirstName]]&amp;" "&amp;MEMBERS[[#This Row],[LastName]]</f>
        <v>Lyn Blount</v>
      </c>
      <c r="S507" s="21">
        <v>44676</v>
      </c>
      <c r="U507" s="21">
        <v>22771</v>
      </c>
      <c r="V507" t="b">
        <v>0</v>
      </c>
      <c r="W507" t="b">
        <v>0</v>
      </c>
      <c r="X507" t="b">
        <v>0</v>
      </c>
      <c r="Y507" t="s">
        <v>2082</v>
      </c>
      <c r="Z507" t="b">
        <v>1</v>
      </c>
      <c r="AB507" t="s">
        <v>1571</v>
      </c>
      <c r="AC507" t="b">
        <v>1</v>
      </c>
    </row>
    <row r="508" spans="1:29" x14ac:dyDescent="0.3">
      <c r="A508" s="57" t="str">
        <f>MEMBERS[[#This Row],[Title]]&amp;MEMBERS[[#This Row],[ServiceStartDate]]</f>
        <v>Lynn Peacock42478</v>
      </c>
      <c r="B508" s="57">
        <f>IF(COUNTIF(MEMBERS[NameServiceStart],MEMBERS[[#This Row],[NameServiceStart]])=1,0,1)</f>
        <v>0</v>
      </c>
      <c r="C508" s="57">
        <f>IF(COUNTIF(MEMBERS[StaffMemberCode],MEMBERS[[#This Row],[StaffMemberCode]])=1,0,1)</f>
        <v>0</v>
      </c>
      <c r="D508" s="57">
        <f>IF(ISBLANK(MEMBERS[[#This Row],[PayrollLocation]]),0,IF(COUNTIF(SCHOOLS[SchoolCode],MEMBERS[[#This Row],[PayrollLocation]])=1,0,1))</f>
        <v>0</v>
      </c>
      <c r="E508" s="57">
        <f>IF(MEMBERS[[#This Row],[AvailableToAllSchools]]=FALSE,IF(ISBLANK(MEMBERS[[#This Row],[SchoolCodes]]),1,0),IF(MEMBERS[[#This Row],[AvailableToAllSchools]]=TRUE,IF(ISBLANK(MEMBERS[[#This Row],[SchoolCodes]]),0,1)))</f>
        <v>0</v>
      </c>
      <c r="F508" s="57">
        <f>IF(ISBLANK(MEMBERS[[#This Row],[ServiceEndDate]]),0,IF(MEMBERS[[#This Row],[ServiceStartDate]]&lt;MEMBERS[[#This Row],[ServiceEndDate]],0,1))</f>
        <v>0</v>
      </c>
      <c r="G508" s="57" cm="1">
        <f t="array" aca="1" ref="G508" ca="1">IF(CELL("format",MEMBERS[[#This Row],[ServiceStartDate]])="D1",0,1)+IF(CELL("format",MEMBERS[[#This Row],[ServiceEndDate]])="D1",0,1)</f>
        <v>0</v>
      </c>
      <c r="H50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08" s="57">
        <f>IF(LEN(MEMBERS[[#This Row],[StaffMemberCode]])&lt;100,0,1)</f>
        <v>0</v>
      </c>
      <c r="J508" s="57">
        <f>IF(LEN(MEMBERS[[#This Row],[Title]])&lt;100,0,1)</f>
        <v>0</v>
      </c>
      <c r="K508" s="57">
        <f>COUNTBLANK(MEMBERS[[#This Row],[StaffMemberCode]:[ServiceStartDate]])+COUNTBLANK(MEMBERS[[#This Row],[Apprenticeship]]:MEMBERS[[#This Row],[StaffMemberEnabled]])+COUNTBLANK(MEMBERS[[#This Row],[GenderCode]]:MEMBERS[[#This Row],[Casual]])</f>
        <v>0</v>
      </c>
      <c r="L508" s="57">
        <f>IF(SUBSTITUTE(TEXT(MEMBERS[[#This Row],[StaffMemberCode]],10)," ","")=TEXT(MEMBERS[[#This Row],[StaffMemberCode]],10),0,1)</f>
        <v>0</v>
      </c>
      <c r="M508" s="57">
        <f ca="1">SUM(MEMBERS[[#This Row],[Duplicate NameService Start]:[Space in Code]])</f>
        <v>0</v>
      </c>
      <c r="O508" s="15">
        <v>91073413</v>
      </c>
      <c r="P508" s="15" t="s">
        <v>3349</v>
      </c>
      <c r="Q508" s="15" t="s">
        <v>3773</v>
      </c>
      <c r="R508" s="133" t="str">
        <f>MEMBERS[[#This Row],[FirstName]]&amp;" "&amp;MEMBERS[[#This Row],[LastName]]</f>
        <v>Lynn Peacock</v>
      </c>
      <c r="S508" s="21">
        <v>42478</v>
      </c>
      <c r="U508" s="21">
        <v>26116</v>
      </c>
      <c r="V508" t="b">
        <v>0</v>
      </c>
      <c r="W508" t="b">
        <v>0</v>
      </c>
      <c r="X508" t="b">
        <v>0</v>
      </c>
      <c r="Y508" t="s">
        <v>2275</v>
      </c>
      <c r="Z508" t="b">
        <v>1</v>
      </c>
      <c r="AB508" t="s">
        <v>1571</v>
      </c>
      <c r="AC508" t="b">
        <v>0</v>
      </c>
    </row>
    <row r="509" spans="1:29" x14ac:dyDescent="0.3">
      <c r="A509" s="57" t="str">
        <f>MEMBERS[[#This Row],[Title]]&amp;MEMBERS[[#This Row],[ServiceStartDate]]</f>
        <v>Lynsey Martin45726</v>
      </c>
      <c r="B509" s="57">
        <f>IF(COUNTIF(MEMBERS[NameServiceStart],MEMBERS[[#This Row],[NameServiceStart]])=1,0,1)</f>
        <v>0</v>
      </c>
      <c r="C509" s="57">
        <f>IF(COUNTIF(MEMBERS[StaffMemberCode],MEMBERS[[#This Row],[StaffMemberCode]])=1,0,1)</f>
        <v>0</v>
      </c>
      <c r="D509" s="57">
        <f>IF(ISBLANK(MEMBERS[[#This Row],[PayrollLocation]]),0,IF(COUNTIF(SCHOOLS[SchoolCode],MEMBERS[[#This Row],[PayrollLocation]])=1,0,1))</f>
        <v>0</v>
      </c>
      <c r="E509" s="57">
        <f>IF(MEMBERS[[#This Row],[AvailableToAllSchools]]=FALSE,IF(ISBLANK(MEMBERS[[#This Row],[SchoolCodes]]),1,0),IF(MEMBERS[[#This Row],[AvailableToAllSchools]]=TRUE,IF(ISBLANK(MEMBERS[[#This Row],[SchoolCodes]]),0,1)))</f>
        <v>0</v>
      </c>
      <c r="F509" s="57">
        <f>IF(ISBLANK(MEMBERS[[#This Row],[ServiceEndDate]]),0,IF(MEMBERS[[#This Row],[ServiceStartDate]]&lt;MEMBERS[[#This Row],[ServiceEndDate]],0,1))</f>
        <v>0</v>
      </c>
      <c r="G509" s="57" cm="1">
        <f t="array" aca="1" ref="G509" ca="1">IF(CELL("format",MEMBERS[[#This Row],[ServiceStartDate]])="D1",0,1)+IF(CELL("format",MEMBERS[[#This Row],[ServiceEndDate]])="D1",0,1)</f>
        <v>0</v>
      </c>
      <c r="H50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09" s="57">
        <f>IF(LEN(MEMBERS[[#This Row],[StaffMemberCode]])&lt;100,0,1)</f>
        <v>0</v>
      </c>
      <c r="J509" s="57">
        <f>IF(LEN(MEMBERS[[#This Row],[Title]])&lt;100,0,1)</f>
        <v>0</v>
      </c>
      <c r="K509" s="57">
        <f>COUNTBLANK(MEMBERS[[#This Row],[StaffMemberCode]:[ServiceStartDate]])+COUNTBLANK(MEMBERS[[#This Row],[Apprenticeship]]:MEMBERS[[#This Row],[StaffMemberEnabled]])+COUNTBLANK(MEMBERS[[#This Row],[GenderCode]]:MEMBERS[[#This Row],[Casual]])</f>
        <v>0</v>
      </c>
      <c r="L509" s="57">
        <f>IF(SUBSTITUTE(TEXT(MEMBERS[[#This Row],[StaffMemberCode]],10)," ","")=TEXT(MEMBERS[[#This Row],[StaffMemberCode]],10),0,1)</f>
        <v>0</v>
      </c>
      <c r="M509" s="57">
        <f ca="1">SUM(MEMBERS[[#This Row],[Duplicate NameService Start]:[Space in Code]])</f>
        <v>0</v>
      </c>
      <c r="O509" s="15">
        <v>91850000</v>
      </c>
      <c r="P509" s="15" t="s">
        <v>3350</v>
      </c>
      <c r="Q509" s="15" t="s">
        <v>3356</v>
      </c>
      <c r="R509" s="133" t="str">
        <f>MEMBERS[[#This Row],[FirstName]]&amp;" "&amp;MEMBERS[[#This Row],[LastName]]</f>
        <v>Lynsey Martin</v>
      </c>
      <c r="S509" s="21">
        <v>45726</v>
      </c>
      <c r="U509" s="21">
        <v>26535</v>
      </c>
      <c r="V509" t="b">
        <v>0</v>
      </c>
      <c r="W509" t="b">
        <v>0</v>
      </c>
      <c r="X509" t="b">
        <v>0</v>
      </c>
      <c r="Y509" t="s">
        <v>2200</v>
      </c>
      <c r="Z509" t="b">
        <v>1</v>
      </c>
      <c r="AB509" t="s">
        <v>1571</v>
      </c>
      <c r="AC509" t="b">
        <v>0</v>
      </c>
    </row>
    <row r="510" spans="1:29" x14ac:dyDescent="0.3">
      <c r="A510" s="57" t="str">
        <f>MEMBERS[[#This Row],[Title]]&amp;MEMBERS[[#This Row],[ServiceStartDate]]</f>
        <v>Macie-Rose Sinclair45859</v>
      </c>
      <c r="B510" s="57">
        <f>IF(COUNTIF(MEMBERS[NameServiceStart],MEMBERS[[#This Row],[NameServiceStart]])=1,0,1)</f>
        <v>0</v>
      </c>
      <c r="C510" s="57">
        <f>IF(COUNTIF(MEMBERS[StaffMemberCode],MEMBERS[[#This Row],[StaffMemberCode]])=1,0,1)</f>
        <v>0</v>
      </c>
      <c r="D510" s="57">
        <f>IF(ISBLANK(MEMBERS[[#This Row],[PayrollLocation]]),0,IF(COUNTIF(SCHOOLS[SchoolCode],MEMBERS[[#This Row],[PayrollLocation]])=1,0,1))</f>
        <v>0</v>
      </c>
      <c r="E510" s="57">
        <f>IF(MEMBERS[[#This Row],[AvailableToAllSchools]]=FALSE,IF(ISBLANK(MEMBERS[[#This Row],[SchoolCodes]]),1,0),IF(MEMBERS[[#This Row],[AvailableToAllSchools]]=TRUE,IF(ISBLANK(MEMBERS[[#This Row],[SchoolCodes]]),0,1)))</f>
        <v>0</v>
      </c>
      <c r="F510" s="57">
        <f>IF(ISBLANK(MEMBERS[[#This Row],[ServiceEndDate]]),0,IF(MEMBERS[[#This Row],[ServiceStartDate]]&lt;MEMBERS[[#This Row],[ServiceEndDate]],0,1))</f>
        <v>0</v>
      </c>
      <c r="G510" s="57" cm="1">
        <f t="array" aca="1" ref="G510" ca="1">IF(CELL("format",MEMBERS[[#This Row],[ServiceStartDate]])="D1",0,1)+IF(CELL("format",MEMBERS[[#This Row],[ServiceEndDate]])="D1",0,1)</f>
        <v>0</v>
      </c>
      <c r="H51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10" s="57">
        <f>IF(LEN(MEMBERS[[#This Row],[StaffMemberCode]])&lt;100,0,1)</f>
        <v>0</v>
      </c>
      <c r="J510" s="57">
        <f>IF(LEN(MEMBERS[[#This Row],[Title]])&lt;100,0,1)</f>
        <v>0</v>
      </c>
      <c r="K510" s="57">
        <f>COUNTBLANK(MEMBERS[[#This Row],[StaffMemberCode]:[ServiceStartDate]])+COUNTBLANK(MEMBERS[[#This Row],[Apprenticeship]]:MEMBERS[[#This Row],[StaffMemberEnabled]])+COUNTBLANK(MEMBERS[[#This Row],[GenderCode]]:MEMBERS[[#This Row],[Casual]])</f>
        <v>0</v>
      </c>
      <c r="L510" s="57">
        <f>IF(SUBSTITUTE(TEXT(MEMBERS[[#This Row],[StaffMemberCode]],10)," ","")=TEXT(MEMBERS[[#This Row],[StaffMemberCode]],10),0,1)</f>
        <v>0</v>
      </c>
      <c r="M510" s="57">
        <f ca="1">SUM(MEMBERS[[#This Row],[Duplicate NameService Start]:[Space in Code]])</f>
        <v>0</v>
      </c>
      <c r="O510" s="15">
        <v>10016185</v>
      </c>
      <c r="P510" s="15" t="s">
        <v>3988</v>
      </c>
      <c r="Q510" s="15" t="s">
        <v>4101</v>
      </c>
      <c r="R510" s="133" t="str">
        <f>MEMBERS[[#This Row],[FirstName]]&amp;" "&amp;MEMBERS[[#This Row],[LastName]]</f>
        <v>Macie-Rose Sinclair</v>
      </c>
      <c r="S510" s="21">
        <v>45859</v>
      </c>
      <c r="U510" s="21">
        <v>40006</v>
      </c>
      <c r="V510" s="138" t="b">
        <v>0</v>
      </c>
      <c r="W510" t="b">
        <v>0</v>
      </c>
      <c r="X510" t="b">
        <v>0</v>
      </c>
      <c r="Y510" t="s">
        <v>2126</v>
      </c>
      <c r="Z510" t="b">
        <v>1</v>
      </c>
      <c r="AB510" t="s">
        <v>1571</v>
      </c>
      <c r="AC510" t="b">
        <v>1</v>
      </c>
    </row>
    <row r="511" spans="1:29" x14ac:dyDescent="0.3">
      <c r="A511" s="57" t="str">
        <f>MEMBERS[[#This Row],[Title]]&amp;MEMBERS[[#This Row],[ServiceStartDate]]</f>
        <v>Madeleine Neaum45950</v>
      </c>
      <c r="B511" s="57">
        <f>IF(COUNTIF(MEMBERS[NameServiceStart],MEMBERS[[#This Row],[NameServiceStart]])=1,0,1)</f>
        <v>0</v>
      </c>
      <c r="C511" s="57">
        <f>IF(COUNTIF(MEMBERS[StaffMemberCode],MEMBERS[[#This Row],[StaffMemberCode]])=1,0,1)</f>
        <v>0</v>
      </c>
      <c r="D511" s="57">
        <f>IF(ISBLANK(MEMBERS[[#This Row],[PayrollLocation]]),0,IF(COUNTIF(SCHOOLS[SchoolCode],MEMBERS[[#This Row],[PayrollLocation]])=1,0,1))</f>
        <v>0</v>
      </c>
      <c r="E511" s="57">
        <f>IF(MEMBERS[[#This Row],[AvailableToAllSchools]]=FALSE,IF(ISBLANK(MEMBERS[[#This Row],[SchoolCodes]]),1,0),IF(MEMBERS[[#This Row],[AvailableToAllSchools]]=TRUE,IF(ISBLANK(MEMBERS[[#This Row],[SchoolCodes]]),0,1)))</f>
        <v>0</v>
      </c>
      <c r="F511" s="57">
        <f>IF(ISBLANK(MEMBERS[[#This Row],[ServiceEndDate]]),0,IF(MEMBERS[[#This Row],[ServiceStartDate]]&lt;MEMBERS[[#This Row],[ServiceEndDate]],0,1))</f>
        <v>0</v>
      </c>
      <c r="G511" s="57" cm="1">
        <f t="array" aca="1" ref="G511" ca="1">IF(CELL("format",MEMBERS[[#This Row],[ServiceStartDate]])="D1",0,1)+IF(CELL("format",MEMBERS[[#This Row],[ServiceEndDate]])="D1",0,1)</f>
        <v>0</v>
      </c>
      <c r="H51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11" s="57">
        <f>IF(LEN(MEMBERS[[#This Row],[StaffMemberCode]])&lt;100,0,1)</f>
        <v>0</v>
      </c>
      <c r="J511" s="57">
        <f>IF(LEN(MEMBERS[[#This Row],[Title]])&lt;100,0,1)</f>
        <v>0</v>
      </c>
      <c r="K511" s="57">
        <f>COUNTBLANK(MEMBERS[[#This Row],[StaffMemberCode]:[ServiceStartDate]])+COUNTBLANK(MEMBERS[[#This Row],[Apprenticeship]]:MEMBERS[[#This Row],[StaffMemberEnabled]])+COUNTBLANK(MEMBERS[[#This Row],[GenderCode]]:MEMBERS[[#This Row],[Casual]])</f>
        <v>0</v>
      </c>
      <c r="L511" s="57">
        <f>IF(SUBSTITUTE(TEXT(MEMBERS[[#This Row],[StaffMemberCode]],10)," ","")=TEXT(MEMBERS[[#This Row],[StaffMemberCode]],10),0,1)</f>
        <v>0</v>
      </c>
      <c r="M511" s="57">
        <f ca="1">SUM(MEMBERS[[#This Row],[Duplicate NameService Start]:[Space in Code]])</f>
        <v>0</v>
      </c>
      <c r="O511" s="15">
        <v>91850070</v>
      </c>
      <c r="P511" s="15" t="s">
        <v>3351</v>
      </c>
      <c r="Q511" s="15" t="s">
        <v>3774</v>
      </c>
      <c r="R511" s="133" t="str">
        <f>MEMBERS[[#This Row],[FirstName]]&amp;" "&amp;MEMBERS[[#This Row],[LastName]]</f>
        <v>Madeleine Neaum</v>
      </c>
      <c r="S511" s="21">
        <v>45950</v>
      </c>
      <c r="U511" s="21">
        <v>36632</v>
      </c>
      <c r="V511" t="b">
        <v>0</v>
      </c>
      <c r="W511" t="b">
        <v>0</v>
      </c>
      <c r="X511" t="b">
        <v>0</v>
      </c>
      <c r="Y511" t="s">
        <v>2094</v>
      </c>
      <c r="Z511" t="b">
        <v>1</v>
      </c>
      <c r="AB511" t="s">
        <v>1571</v>
      </c>
      <c r="AC511" t="b">
        <v>0</v>
      </c>
    </row>
    <row r="512" spans="1:29" x14ac:dyDescent="0.3">
      <c r="A512" s="57" t="str">
        <f>MEMBERS[[#This Row],[Title]]&amp;MEMBERS[[#This Row],[ServiceStartDate]]</f>
        <v>Malcolm Edge44958</v>
      </c>
      <c r="B512" s="57">
        <f>IF(COUNTIF(MEMBERS[NameServiceStart],MEMBERS[[#This Row],[NameServiceStart]])=1,0,1)</f>
        <v>0</v>
      </c>
      <c r="C512" s="57">
        <f>IF(COUNTIF(MEMBERS[StaffMemberCode],MEMBERS[[#This Row],[StaffMemberCode]])=1,0,1)</f>
        <v>0</v>
      </c>
      <c r="D512" s="57">
        <f>IF(ISBLANK(MEMBERS[[#This Row],[PayrollLocation]]),0,IF(COUNTIF(SCHOOLS[SchoolCode],MEMBERS[[#This Row],[PayrollLocation]])=1,0,1))</f>
        <v>0</v>
      </c>
      <c r="E512" s="57">
        <f>IF(MEMBERS[[#This Row],[AvailableToAllSchools]]=FALSE,IF(ISBLANK(MEMBERS[[#This Row],[SchoolCodes]]),1,0),IF(MEMBERS[[#This Row],[AvailableToAllSchools]]=TRUE,IF(ISBLANK(MEMBERS[[#This Row],[SchoolCodes]]),0,1)))</f>
        <v>0</v>
      </c>
      <c r="F512" s="57">
        <f>IF(ISBLANK(MEMBERS[[#This Row],[ServiceEndDate]]),0,IF(MEMBERS[[#This Row],[ServiceStartDate]]&lt;MEMBERS[[#This Row],[ServiceEndDate]],0,1))</f>
        <v>0</v>
      </c>
      <c r="G512" s="57" cm="1">
        <f t="array" aca="1" ref="G512" ca="1">IF(CELL("format",MEMBERS[[#This Row],[ServiceStartDate]])="D1",0,1)+IF(CELL("format",MEMBERS[[#This Row],[ServiceEndDate]])="D1",0,1)</f>
        <v>0</v>
      </c>
      <c r="H51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12" s="57">
        <f>IF(LEN(MEMBERS[[#This Row],[StaffMemberCode]])&lt;100,0,1)</f>
        <v>0</v>
      </c>
      <c r="J512" s="57">
        <f>IF(LEN(MEMBERS[[#This Row],[Title]])&lt;100,0,1)</f>
        <v>0</v>
      </c>
      <c r="K512" s="57">
        <f>COUNTBLANK(MEMBERS[[#This Row],[StaffMemberCode]:[ServiceStartDate]])+COUNTBLANK(MEMBERS[[#This Row],[Apprenticeship]]:MEMBERS[[#This Row],[StaffMemberEnabled]])+COUNTBLANK(MEMBERS[[#This Row],[GenderCode]]:MEMBERS[[#This Row],[Casual]])</f>
        <v>0</v>
      </c>
      <c r="L512" s="57">
        <f>IF(SUBSTITUTE(TEXT(MEMBERS[[#This Row],[StaffMemberCode]],10)," ","")=TEXT(MEMBERS[[#This Row],[StaffMemberCode]],10),0,1)</f>
        <v>0</v>
      </c>
      <c r="M512" s="57">
        <f ca="1">SUM(MEMBERS[[#This Row],[Duplicate NameService Start]:[Space in Code]])</f>
        <v>0</v>
      </c>
      <c r="O512" s="15">
        <v>10011247</v>
      </c>
      <c r="P512" s="15" t="s">
        <v>3989</v>
      </c>
      <c r="Q512" s="15" t="s">
        <v>4102</v>
      </c>
      <c r="R512" s="133" t="str">
        <f>MEMBERS[[#This Row],[FirstName]]&amp;" "&amp;MEMBERS[[#This Row],[LastName]]</f>
        <v>Malcolm Edge</v>
      </c>
      <c r="S512" s="21">
        <v>44958</v>
      </c>
      <c r="U512" s="21">
        <v>20421</v>
      </c>
      <c r="V512" s="138" t="b">
        <v>0</v>
      </c>
      <c r="W512" t="b">
        <v>0</v>
      </c>
      <c r="X512" t="b">
        <v>0</v>
      </c>
      <c r="Y512" t="s">
        <v>2126</v>
      </c>
      <c r="Z512" t="b">
        <v>1</v>
      </c>
      <c r="AB512" t="s">
        <v>1572</v>
      </c>
      <c r="AC512" t="b">
        <v>1</v>
      </c>
    </row>
    <row r="513" spans="1:29" x14ac:dyDescent="0.3">
      <c r="A513" s="57" t="str">
        <f>MEMBERS[[#This Row],[Title]]&amp;MEMBERS[[#This Row],[ServiceStartDate]]</f>
        <v>Margaret Burndred36161</v>
      </c>
      <c r="B513" s="57">
        <f>IF(COUNTIF(MEMBERS[NameServiceStart],MEMBERS[[#This Row],[NameServiceStart]])=1,0,1)</f>
        <v>0</v>
      </c>
      <c r="C513" s="57">
        <f>IF(COUNTIF(MEMBERS[StaffMemberCode],MEMBERS[[#This Row],[StaffMemberCode]])=1,0,1)</f>
        <v>0</v>
      </c>
      <c r="D513" s="57">
        <f>IF(ISBLANK(MEMBERS[[#This Row],[PayrollLocation]]),0,IF(COUNTIF(SCHOOLS[SchoolCode],MEMBERS[[#This Row],[PayrollLocation]])=1,0,1))</f>
        <v>0</v>
      </c>
      <c r="E513" s="57">
        <f>IF(MEMBERS[[#This Row],[AvailableToAllSchools]]=FALSE,IF(ISBLANK(MEMBERS[[#This Row],[SchoolCodes]]),1,0),IF(MEMBERS[[#This Row],[AvailableToAllSchools]]=TRUE,IF(ISBLANK(MEMBERS[[#This Row],[SchoolCodes]]),0,1)))</f>
        <v>0</v>
      </c>
      <c r="F513" s="57">
        <f>IF(ISBLANK(MEMBERS[[#This Row],[ServiceEndDate]]),0,IF(MEMBERS[[#This Row],[ServiceStartDate]]&lt;MEMBERS[[#This Row],[ServiceEndDate]],0,1))</f>
        <v>0</v>
      </c>
      <c r="G513" s="57" cm="1">
        <f t="array" aca="1" ref="G513" ca="1">IF(CELL("format",MEMBERS[[#This Row],[ServiceStartDate]])="D1",0,1)+IF(CELL("format",MEMBERS[[#This Row],[ServiceEndDate]])="D1",0,1)</f>
        <v>0</v>
      </c>
      <c r="H51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13" s="57">
        <f>IF(LEN(MEMBERS[[#This Row],[StaffMemberCode]])&lt;100,0,1)</f>
        <v>0</v>
      </c>
      <c r="J513" s="57">
        <f>IF(LEN(MEMBERS[[#This Row],[Title]])&lt;100,0,1)</f>
        <v>0</v>
      </c>
      <c r="K513" s="57">
        <f>COUNTBLANK(MEMBERS[[#This Row],[StaffMemberCode]:[ServiceStartDate]])+COUNTBLANK(MEMBERS[[#This Row],[Apprenticeship]]:MEMBERS[[#This Row],[StaffMemberEnabled]])+COUNTBLANK(MEMBERS[[#This Row],[GenderCode]]:MEMBERS[[#This Row],[Casual]])</f>
        <v>0</v>
      </c>
      <c r="L513" s="57">
        <f>IF(SUBSTITUTE(TEXT(MEMBERS[[#This Row],[StaffMemberCode]],10)," ","")=TEXT(MEMBERS[[#This Row],[StaffMemberCode]],10),0,1)</f>
        <v>0</v>
      </c>
      <c r="M513" s="57">
        <f ca="1">SUM(MEMBERS[[#This Row],[Duplicate NameService Start]:[Space in Code]])</f>
        <v>0</v>
      </c>
      <c r="O513" s="15">
        <v>91073866</v>
      </c>
      <c r="P513" s="15" t="s">
        <v>3352</v>
      </c>
      <c r="Q513" s="15" t="s">
        <v>3775</v>
      </c>
      <c r="R513" s="133" t="str">
        <f>MEMBERS[[#This Row],[FirstName]]&amp;" "&amp;MEMBERS[[#This Row],[LastName]]</f>
        <v>Margaret Burndred</v>
      </c>
      <c r="S513" s="21">
        <v>36161</v>
      </c>
      <c r="U513" s="21">
        <v>22883</v>
      </c>
      <c r="V513" t="b">
        <v>0</v>
      </c>
      <c r="W513" t="b">
        <v>0</v>
      </c>
      <c r="X513" t="b">
        <v>0</v>
      </c>
      <c r="Y513" t="s">
        <v>2082</v>
      </c>
      <c r="Z513" t="b">
        <v>1</v>
      </c>
      <c r="AB513" t="s">
        <v>1571</v>
      </c>
      <c r="AC513" t="b">
        <v>1</v>
      </c>
    </row>
    <row r="514" spans="1:29" x14ac:dyDescent="0.3">
      <c r="A514" s="57" t="str">
        <f>MEMBERS[[#This Row],[Title]]&amp;MEMBERS[[#This Row],[ServiceStartDate]]</f>
        <v>Margaret Ellis36900</v>
      </c>
      <c r="B514" s="57">
        <f>IF(COUNTIF(MEMBERS[NameServiceStart],MEMBERS[[#This Row],[NameServiceStart]])=1,0,1)</f>
        <v>0</v>
      </c>
      <c r="C514" s="57">
        <f>IF(COUNTIF(MEMBERS[StaffMemberCode],MEMBERS[[#This Row],[StaffMemberCode]])=1,0,1)</f>
        <v>0</v>
      </c>
      <c r="D514" s="57">
        <f>IF(ISBLANK(MEMBERS[[#This Row],[PayrollLocation]]),0,IF(COUNTIF(SCHOOLS[SchoolCode],MEMBERS[[#This Row],[PayrollLocation]])=1,0,1))</f>
        <v>0</v>
      </c>
      <c r="E514" s="57">
        <f>IF(MEMBERS[[#This Row],[AvailableToAllSchools]]=FALSE,IF(ISBLANK(MEMBERS[[#This Row],[SchoolCodes]]),1,0),IF(MEMBERS[[#This Row],[AvailableToAllSchools]]=TRUE,IF(ISBLANK(MEMBERS[[#This Row],[SchoolCodes]]),0,1)))</f>
        <v>0</v>
      </c>
      <c r="F514" s="57">
        <f>IF(ISBLANK(MEMBERS[[#This Row],[ServiceEndDate]]),0,IF(MEMBERS[[#This Row],[ServiceStartDate]]&lt;MEMBERS[[#This Row],[ServiceEndDate]],0,1))</f>
        <v>0</v>
      </c>
      <c r="G514" s="57" cm="1">
        <f t="array" aca="1" ref="G514" ca="1">IF(CELL("format",MEMBERS[[#This Row],[ServiceStartDate]])="D1",0,1)+IF(CELL("format",MEMBERS[[#This Row],[ServiceEndDate]])="D1",0,1)</f>
        <v>0</v>
      </c>
      <c r="H51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14" s="57">
        <f>IF(LEN(MEMBERS[[#This Row],[StaffMemberCode]])&lt;100,0,1)</f>
        <v>0</v>
      </c>
      <c r="J514" s="57">
        <f>IF(LEN(MEMBERS[[#This Row],[Title]])&lt;100,0,1)</f>
        <v>0</v>
      </c>
      <c r="K514" s="57">
        <f>COUNTBLANK(MEMBERS[[#This Row],[StaffMemberCode]:[ServiceStartDate]])+COUNTBLANK(MEMBERS[[#This Row],[Apprenticeship]]:MEMBERS[[#This Row],[StaffMemberEnabled]])+COUNTBLANK(MEMBERS[[#This Row],[GenderCode]]:MEMBERS[[#This Row],[Casual]])</f>
        <v>0</v>
      </c>
      <c r="L514" s="57">
        <f>IF(SUBSTITUTE(TEXT(MEMBERS[[#This Row],[StaffMemberCode]],10)," ","")=TEXT(MEMBERS[[#This Row],[StaffMemberCode]],10),0,1)</f>
        <v>0</v>
      </c>
      <c r="M514" s="57">
        <f ca="1">SUM(MEMBERS[[#This Row],[Duplicate NameService Start]:[Space in Code]])</f>
        <v>0</v>
      </c>
      <c r="O514" s="15">
        <v>91073808</v>
      </c>
      <c r="P514" s="15" t="s">
        <v>3352</v>
      </c>
      <c r="Q514" s="15" t="s">
        <v>3549</v>
      </c>
      <c r="R514" s="133" t="str">
        <f>MEMBERS[[#This Row],[FirstName]]&amp;" "&amp;MEMBERS[[#This Row],[LastName]]</f>
        <v>Margaret Ellis</v>
      </c>
      <c r="S514" s="21">
        <v>36900</v>
      </c>
      <c r="U514" s="21">
        <v>27347</v>
      </c>
      <c r="V514" t="b">
        <v>0</v>
      </c>
      <c r="W514" t="b">
        <v>0</v>
      </c>
      <c r="X514" t="b">
        <v>0</v>
      </c>
      <c r="Y514" t="s">
        <v>2082</v>
      </c>
      <c r="Z514" t="b">
        <v>1</v>
      </c>
      <c r="AB514" t="s">
        <v>1571</v>
      </c>
      <c r="AC514" t="b">
        <v>0</v>
      </c>
    </row>
    <row r="515" spans="1:29" x14ac:dyDescent="0.3">
      <c r="A515" s="57" t="str">
        <f>MEMBERS[[#This Row],[Title]]&amp;MEMBERS[[#This Row],[ServiceStartDate]]</f>
        <v>Margaret Spafford44570</v>
      </c>
      <c r="B515" s="57">
        <f>IF(COUNTIF(MEMBERS[NameServiceStart],MEMBERS[[#This Row],[NameServiceStart]])=1,0,1)</f>
        <v>0</v>
      </c>
      <c r="C515" s="57">
        <f>IF(COUNTIF(MEMBERS[StaffMemberCode],MEMBERS[[#This Row],[StaffMemberCode]])=1,0,1)</f>
        <v>0</v>
      </c>
      <c r="D515" s="57">
        <f>IF(ISBLANK(MEMBERS[[#This Row],[PayrollLocation]]),0,IF(COUNTIF(SCHOOLS[SchoolCode],MEMBERS[[#This Row],[PayrollLocation]])=1,0,1))</f>
        <v>0</v>
      </c>
      <c r="E515" s="57">
        <f>IF(MEMBERS[[#This Row],[AvailableToAllSchools]]=FALSE,IF(ISBLANK(MEMBERS[[#This Row],[SchoolCodes]]),1,0),IF(MEMBERS[[#This Row],[AvailableToAllSchools]]=TRUE,IF(ISBLANK(MEMBERS[[#This Row],[SchoolCodes]]),0,1)))</f>
        <v>0</v>
      </c>
      <c r="F515" s="57">
        <f>IF(ISBLANK(MEMBERS[[#This Row],[ServiceEndDate]]),0,IF(MEMBERS[[#This Row],[ServiceStartDate]]&lt;MEMBERS[[#This Row],[ServiceEndDate]],0,1))</f>
        <v>0</v>
      </c>
      <c r="G515" s="57" cm="1">
        <f t="array" aca="1" ref="G515" ca="1">IF(CELL("format",MEMBERS[[#This Row],[ServiceStartDate]])="D1",0,1)+IF(CELL("format",MEMBERS[[#This Row],[ServiceEndDate]])="D1",0,1)</f>
        <v>0</v>
      </c>
      <c r="H51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15" s="57">
        <f>IF(LEN(MEMBERS[[#This Row],[StaffMemberCode]])&lt;100,0,1)</f>
        <v>0</v>
      </c>
      <c r="J515" s="57">
        <f>IF(LEN(MEMBERS[[#This Row],[Title]])&lt;100,0,1)</f>
        <v>0</v>
      </c>
      <c r="K515" s="57">
        <f>COUNTBLANK(MEMBERS[[#This Row],[StaffMemberCode]:[ServiceStartDate]])+COUNTBLANK(MEMBERS[[#This Row],[Apprenticeship]]:MEMBERS[[#This Row],[StaffMemberEnabled]])+COUNTBLANK(MEMBERS[[#This Row],[GenderCode]]:MEMBERS[[#This Row],[Casual]])</f>
        <v>0</v>
      </c>
      <c r="L515" s="57">
        <f>IF(SUBSTITUTE(TEXT(MEMBERS[[#This Row],[StaffMemberCode]],10)," ","")=TEXT(MEMBERS[[#This Row],[StaffMemberCode]],10),0,1)</f>
        <v>0</v>
      </c>
      <c r="M515" s="57">
        <f ca="1">SUM(MEMBERS[[#This Row],[Duplicate NameService Start]:[Space in Code]])</f>
        <v>0</v>
      </c>
      <c r="O515" s="15">
        <v>91073598</v>
      </c>
      <c r="P515" s="15" t="s">
        <v>3352</v>
      </c>
      <c r="Q515" s="15" t="s">
        <v>3776</v>
      </c>
      <c r="R515" s="133" t="str">
        <f>MEMBERS[[#This Row],[FirstName]]&amp;" "&amp;MEMBERS[[#This Row],[LastName]]</f>
        <v>Margaret Spafford</v>
      </c>
      <c r="S515" s="21">
        <v>44570</v>
      </c>
      <c r="U515" s="21">
        <v>20318</v>
      </c>
      <c r="V515" t="b">
        <v>0</v>
      </c>
      <c r="W515" t="b">
        <v>0</v>
      </c>
      <c r="X515" t="b">
        <v>0</v>
      </c>
      <c r="Y515" t="s">
        <v>2094</v>
      </c>
      <c r="Z515" t="b">
        <v>1</v>
      </c>
      <c r="AB515" t="s">
        <v>1571</v>
      </c>
      <c r="AC515" t="b">
        <v>1</v>
      </c>
    </row>
    <row r="516" spans="1:29" x14ac:dyDescent="0.3">
      <c r="A516" s="57" t="str">
        <f>MEMBERS[[#This Row],[Title]]&amp;MEMBERS[[#This Row],[ServiceStartDate]]</f>
        <v>Margaret Woods45537</v>
      </c>
      <c r="B516" s="57">
        <f>IF(COUNTIF(MEMBERS[NameServiceStart],MEMBERS[[#This Row],[NameServiceStart]])=1,0,1)</f>
        <v>0</v>
      </c>
      <c r="C516" s="57">
        <f>IF(COUNTIF(MEMBERS[StaffMemberCode],MEMBERS[[#This Row],[StaffMemberCode]])=1,0,1)</f>
        <v>0</v>
      </c>
      <c r="D516" s="57">
        <f>IF(ISBLANK(MEMBERS[[#This Row],[PayrollLocation]]),0,IF(COUNTIF(SCHOOLS[SchoolCode],MEMBERS[[#This Row],[PayrollLocation]])=1,0,1))</f>
        <v>0</v>
      </c>
      <c r="E516" s="57">
        <f>IF(MEMBERS[[#This Row],[AvailableToAllSchools]]=FALSE,IF(ISBLANK(MEMBERS[[#This Row],[SchoolCodes]]),1,0),IF(MEMBERS[[#This Row],[AvailableToAllSchools]]=TRUE,IF(ISBLANK(MEMBERS[[#This Row],[SchoolCodes]]),0,1)))</f>
        <v>0</v>
      </c>
      <c r="F516" s="57">
        <f>IF(ISBLANK(MEMBERS[[#This Row],[ServiceEndDate]]),0,IF(MEMBERS[[#This Row],[ServiceStartDate]]&lt;MEMBERS[[#This Row],[ServiceEndDate]],0,1))</f>
        <v>0</v>
      </c>
      <c r="G516" s="57" cm="1">
        <f t="array" aca="1" ref="G516" ca="1">IF(CELL("format",MEMBERS[[#This Row],[ServiceStartDate]])="D1",0,1)+IF(CELL("format",MEMBERS[[#This Row],[ServiceEndDate]])="D1",0,1)</f>
        <v>0</v>
      </c>
      <c r="H51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16" s="57">
        <f>IF(LEN(MEMBERS[[#This Row],[StaffMemberCode]])&lt;100,0,1)</f>
        <v>0</v>
      </c>
      <c r="J516" s="57">
        <f>IF(LEN(MEMBERS[[#This Row],[Title]])&lt;100,0,1)</f>
        <v>0</v>
      </c>
      <c r="K516" s="57">
        <f>COUNTBLANK(MEMBERS[[#This Row],[StaffMemberCode]:[ServiceStartDate]])+COUNTBLANK(MEMBERS[[#This Row],[Apprenticeship]]:MEMBERS[[#This Row],[StaffMemberEnabled]])+COUNTBLANK(MEMBERS[[#This Row],[GenderCode]]:MEMBERS[[#This Row],[Casual]])</f>
        <v>0</v>
      </c>
      <c r="L516" s="57">
        <f>IF(SUBSTITUTE(TEXT(MEMBERS[[#This Row],[StaffMemberCode]],10)," ","")=TEXT(MEMBERS[[#This Row],[StaffMemberCode]],10),0,1)</f>
        <v>0</v>
      </c>
      <c r="M516" s="57">
        <f ca="1">SUM(MEMBERS[[#This Row],[Duplicate NameService Start]:[Space in Code]])</f>
        <v>0</v>
      </c>
      <c r="O516" s="15">
        <v>91324609</v>
      </c>
      <c r="P516" s="15" t="s">
        <v>3352</v>
      </c>
      <c r="Q516" s="15" t="s">
        <v>3777</v>
      </c>
      <c r="R516" s="133" t="str">
        <f>MEMBERS[[#This Row],[FirstName]]&amp;" "&amp;MEMBERS[[#This Row],[LastName]]</f>
        <v>Margaret Woods</v>
      </c>
      <c r="S516" s="21">
        <v>45537</v>
      </c>
      <c r="U516" s="21">
        <v>23299</v>
      </c>
      <c r="V516" t="b">
        <v>0</v>
      </c>
      <c r="W516" t="b">
        <v>0</v>
      </c>
      <c r="X516" t="b">
        <v>0</v>
      </c>
      <c r="Y516" t="s">
        <v>2082</v>
      </c>
      <c r="Z516" t="b">
        <v>1</v>
      </c>
      <c r="AB516" t="s">
        <v>1571</v>
      </c>
      <c r="AC516" t="b">
        <v>0</v>
      </c>
    </row>
    <row r="517" spans="1:29" x14ac:dyDescent="0.3">
      <c r="A517" s="57" t="str">
        <f>MEMBERS[[#This Row],[Title]]&amp;MEMBERS[[#This Row],[ServiceStartDate]]</f>
        <v>Maria McKenzie38361</v>
      </c>
      <c r="B517" s="57">
        <f>IF(COUNTIF(MEMBERS[NameServiceStart],MEMBERS[[#This Row],[NameServiceStart]])=1,0,1)</f>
        <v>0</v>
      </c>
      <c r="C517" s="57">
        <f>IF(COUNTIF(MEMBERS[StaffMemberCode],MEMBERS[[#This Row],[StaffMemberCode]])=1,0,1)</f>
        <v>0</v>
      </c>
      <c r="D517" s="57">
        <f>IF(ISBLANK(MEMBERS[[#This Row],[PayrollLocation]]),0,IF(COUNTIF(SCHOOLS[SchoolCode],MEMBERS[[#This Row],[PayrollLocation]])=1,0,1))</f>
        <v>0</v>
      </c>
      <c r="E517" s="57">
        <f>IF(MEMBERS[[#This Row],[AvailableToAllSchools]]=FALSE,IF(ISBLANK(MEMBERS[[#This Row],[SchoolCodes]]),1,0),IF(MEMBERS[[#This Row],[AvailableToAllSchools]]=TRUE,IF(ISBLANK(MEMBERS[[#This Row],[SchoolCodes]]),0,1)))</f>
        <v>0</v>
      </c>
      <c r="F517" s="57">
        <f>IF(ISBLANK(MEMBERS[[#This Row],[ServiceEndDate]]),0,IF(MEMBERS[[#This Row],[ServiceStartDate]]&lt;MEMBERS[[#This Row],[ServiceEndDate]],0,1))</f>
        <v>0</v>
      </c>
      <c r="G517" s="57" cm="1">
        <f t="array" aca="1" ref="G517" ca="1">IF(CELL("format",MEMBERS[[#This Row],[ServiceStartDate]])="D1",0,1)+IF(CELL("format",MEMBERS[[#This Row],[ServiceEndDate]])="D1",0,1)</f>
        <v>0</v>
      </c>
      <c r="H51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17" s="57">
        <f>IF(LEN(MEMBERS[[#This Row],[StaffMemberCode]])&lt;100,0,1)</f>
        <v>0</v>
      </c>
      <c r="J517" s="57">
        <f>IF(LEN(MEMBERS[[#This Row],[Title]])&lt;100,0,1)</f>
        <v>0</v>
      </c>
      <c r="K517" s="57">
        <f>COUNTBLANK(MEMBERS[[#This Row],[StaffMemberCode]:[ServiceStartDate]])+COUNTBLANK(MEMBERS[[#This Row],[Apprenticeship]]:MEMBERS[[#This Row],[StaffMemberEnabled]])+COUNTBLANK(MEMBERS[[#This Row],[GenderCode]]:MEMBERS[[#This Row],[Casual]])</f>
        <v>0</v>
      </c>
      <c r="L517" s="57">
        <f>IF(SUBSTITUTE(TEXT(MEMBERS[[#This Row],[StaffMemberCode]],10)," ","")=TEXT(MEMBERS[[#This Row],[StaffMemberCode]],10),0,1)</f>
        <v>0</v>
      </c>
      <c r="M517" s="57">
        <f ca="1">SUM(MEMBERS[[#This Row],[Duplicate NameService Start]:[Space in Code]])</f>
        <v>0</v>
      </c>
      <c r="O517" s="15">
        <v>91073401</v>
      </c>
      <c r="P517" s="15" t="s">
        <v>3353</v>
      </c>
      <c r="Q517" s="15" t="s">
        <v>3778</v>
      </c>
      <c r="R517" s="133" t="str">
        <f>MEMBERS[[#This Row],[FirstName]]&amp;" "&amp;MEMBERS[[#This Row],[LastName]]</f>
        <v>Maria McKenzie</v>
      </c>
      <c r="S517" s="21">
        <v>38361</v>
      </c>
      <c r="U517" s="21">
        <v>30133</v>
      </c>
      <c r="V517" t="b">
        <v>0</v>
      </c>
      <c r="W517" t="b">
        <v>0</v>
      </c>
      <c r="X517" t="b">
        <v>0</v>
      </c>
      <c r="Y517" t="s">
        <v>2275</v>
      </c>
      <c r="Z517" t="b">
        <v>1</v>
      </c>
      <c r="AB517" t="s">
        <v>1571</v>
      </c>
      <c r="AC517" t="b">
        <v>0</v>
      </c>
    </row>
    <row r="518" spans="1:29" x14ac:dyDescent="0.3">
      <c r="A518" s="57" t="str">
        <f>MEMBERS[[#This Row],[Title]]&amp;MEMBERS[[#This Row],[ServiceStartDate]]</f>
        <v>Maria Millar43647</v>
      </c>
      <c r="B518" s="57">
        <f>IF(COUNTIF(MEMBERS[NameServiceStart],MEMBERS[[#This Row],[NameServiceStart]])=1,0,1)</f>
        <v>0</v>
      </c>
      <c r="C518" s="57">
        <f>IF(COUNTIF(MEMBERS[StaffMemberCode],MEMBERS[[#This Row],[StaffMemberCode]])=1,0,1)</f>
        <v>0</v>
      </c>
      <c r="D518" s="57">
        <f>IF(ISBLANK(MEMBERS[[#This Row],[PayrollLocation]]),0,IF(COUNTIF(SCHOOLS[SchoolCode],MEMBERS[[#This Row],[PayrollLocation]])=1,0,1))</f>
        <v>0</v>
      </c>
      <c r="E518" s="57">
        <f>IF(MEMBERS[[#This Row],[AvailableToAllSchools]]=FALSE,IF(ISBLANK(MEMBERS[[#This Row],[SchoolCodes]]),1,0),IF(MEMBERS[[#This Row],[AvailableToAllSchools]]=TRUE,IF(ISBLANK(MEMBERS[[#This Row],[SchoolCodes]]),0,1)))</f>
        <v>0</v>
      </c>
      <c r="F518" s="57">
        <f>IF(ISBLANK(MEMBERS[[#This Row],[ServiceEndDate]]),0,IF(MEMBERS[[#This Row],[ServiceStartDate]]&lt;MEMBERS[[#This Row],[ServiceEndDate]],0,1))</f>
        <v>0</v>
      </c>
      <c r="G518" s="57" cm="1">
        <f t="array" aca="1" ref="G518" ca="1">IF(CELL("format",MEMBERS[[#This Row],[ServiceStartDate]])="D1",0,1)+IF(CELL("format",MEMBERS[[#This Row],[ServiceEndDate]])="D1",0,1)</f>
        <v>0</v>
      </c>
      <c r="H51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18" s="57">
        <f>IF(LEN(MEMBERS[[#This Row],[StaffMemberCode]])&lt;100,0,1)</f>
        <v>0</v>
      </c>
      <c r="J518" s="57">
        <f>IF(LEN(MEMBERS[[#This Row],[Title]])&lt;100,0,1)</f>
        <v>0</v>
      </c>
      <c r="K518" s="57">
        <f>COUNTBLANK(MEMBERS[[#This Row],[StaffMemberCode]:[ServiceStartDate]])+COUNTBLANK(MEMBERS[[#This Row],[Apprenticeship]]:MEMBERS[[#This Row],[StaffMemberEnabled]])+COUNTBLANK(MEMBERS[[#This Row],[GenderCode]]:MEMBERS[[#This Row],[Casual]])</f>
        <v>0</v>
      </c>
      <c r="L518" s="57">
        <f>IF(SUBSTITUTE(TEXT(MEMBERS[[#This Row],[StaffMemberCode]],10)," ","")=TEXT(MEMBERS[[#This Row],[StaffMemberCode]],10),0,1)</f>
        <v>0</v>
      </c>
      <c r="M518" s="57">
        <f ca="1">SUM(MEMBERS[[#This Row],[Duplicate NameService Start]:[Space in Code]])</f>
        <v>0</v>
      </c>
      <c r="O518" s="15">
        <v>91073676</v>
      </c>
      <c r="P518" s="15" t="s">
        <v>3353</v>
      </c>
      <c r="Q518" s="15" t="s">
        <v>3779</v>
      </c>
      <c r="R518" s="133" t="str">
        <f>MEMBERS[[#This Row],[FirstName]]&amp;" "&amp;MEMBERS[[#This Row],[LastName]]</f>
        <v>Maria Millar</v>
      </c>
      <c r="S518" s="21">
        <v>43647</v>
      </c>
      <c r="U518" s="21">
        <v>23774</v>
      </c>
      <c r="V518" t="b">
        <v>0</v>
      </c>
      <c r="W518" t="b">
        <v>0</v>
      </c>
      <c r="X518" t="b">
        <v>0</v>
      </c>
      <c r="Y518" t="s">
        <v>2082</v>
      </c>
      <c r="Z518" t="b">
        <v>1</v>
      </c>
      <c r="AB518" t="s">
        <v>1571</v>
      </c>
      <c r="AC518" t="b">
        <v>0</v>
      </c>
    </row>
    <row r="519" spans="1:29" x14ac:dyDescent="0.3">
      <c r="A519" s="57" t="str">
        <f>MEMBERS[[#This Row],[Title]]&amp;MEMBERS[[#This Row],[ServiceStartDate]]</f>
        <v>Mariana Ambrus44062</v>
      </c>
      <c r="B519" s="57">
        <f>IF(COUNTIF(MEMBERS[NameServiceStart],MEMBERS[[#This Row],[NameServiceStart]])=1,0,1)</f>
        <v>0</v>
      </c>
      <c r="C519" s="57">
        <f>IF(COUNTIF(MEMBERS[StaffMemberCode],MEMBERS[[#This Row],[StaffMemberCode]])=1,0,1)</f>
        <v>0</v>
      </c>
      <c r="D519" s="57">
        <f>IF(ISBLANK(MEMBERS[[#This Row],[PayrollLocation]]),0,IF(COUNTIF(SCHOOLS[SchoolCode],MEMBERS[[#This Row],[PayrollLocation]])=1,0,1))</f>
        <v>0</v>
      </c>
      <c r="E519" s="57">
        <f>IF(MEMBERS[[#This Row],[AvailableToAllSchools]]=FALSE,IF(ISBLANK(MEMBERS[[#This Row],[SchoolCodes]]),1,0),IF(MEMBERS[[#This Row],[AvailableToAllSchools]]=TRUE,IF(ISBLANK(MEMBERS[[#This Row],[SchoolCodes]]),0,1)))</f>
        <v>0</v>
      </c>
      <c r="F519" s="57">
        <f>IF(ISBLANK(MEMBERS[[#This Row],[ServiceEndDate]]),0,IF(MEMBERS[[#This Row],[ServiceStartDate]]&lt;MEMBERS[[#This Row],[ServiceEndDate]],0,1))</f>
        <v>0</v>
      </c>
      <c r="G519" s="57" cm="1">
        <f t="array" aca="1" ref="G519" ca="1">IF(CELL("format",MEMBERS[[#This Row],[ServiceStartDate]])="D1",0,1)+IF(CELL("format",MEMBERS[[#This Row],[ServiceEndDate]])="D1",0,1)</f>
        <v>0</v>
      </c>
      <c r="H51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19" s="57">
        <f>IF(LEN(MEMBERS[[#This Row],[StaffMemberCode]])&lt;100,0,1)</f>
        <v>0</v>
      </c>
      <c r="J519" s="57">
        <f>IF(LEN(MEMBERS[[#This Row],[Title]])&lt;100,0,1)</f>
        <v>0</v>
      </c>
      <c r="K519" s="57">
        <f>COUNTBLANK(MEMBERS[[#This Row],[StaffMemberCode]:[ServiceStartDate]])+COUNTBLANK(MEMBERS[[#This Row],[Apprenticeship]]:MEMBERS[[#This Row],[StaffMemberEnabled]])+COUNTBLANK(MEMBERS[[#This Row],[GenderCode]]:MEMBERS[[#This Row],[Casual]])</f>
        <v>0</v>
      </c>
      <c r="L519" s="57">
        <f>IF(SUBSTITUTE(TEXT(MEMBERS[[#This Row],[StaffMemberCode]],10)," ","")=TEXT(MEMBERS[[#This Row],[StaffMemberCode]],10),0,1)</f>
        <v>0</v>
      </c>
      <c r="M519" s="57">
        <f ca="1">SUM(MEMBERS[[#This Row],[Duplicate NameService Start]:[Space in Code]])</f>
        <v>0</v>
      </c>
      <c r="O519" s="15">
        <v>10007477</v>
      </c>
      <c r="P519" s="15" t="s">
        <v>3990</v>
      </c>
      <c r="Q519" s="15" t="s">
        <v>4067</v>
      </c>
      <c r="R519" s="133" t="str">
        <f>MEMBERS[[#This Row],[FirstName]]&amp;" "&amp;MEMBERS[[#This Row],[LastName]]</f>
        <v>Mariana Ambrus</v>
      </c>
      <c r="S519" s="21">
        <v>44062</v>
      </c>
      <c r="U519" s="21">
        <v>28717</v>
      </c>
      <c r="V519" s="138" t="b">
        <v>0</v>
      </c>
      <c r="W519" t="b">
        <v>0</v>
      </c>
      <c r="X519" t="b">
        <v>0</v>
      </c>
      <c r="Y519" t="s">
        <v>2126</v>
      </c>
      <c r="Z519" t="b">
        <v>1</v>
      </c>
      <c r="AB519" t="s">
        <v>1571</v>
      </c>
      <c r="AC519" t="b">
        <v>0</v>
      </c>
    </row>
    <row r="520" spans="1:29" x14ac:dyDescent="0.3">
      <c r="A520" s="57" t="str">
        <f>MEMBERS[[#This Row],[Title]]&amp;MEMBERS[[#This Row],[ServiceStartDate]]</f>
        <v>Marianne Dyde41648</v>
      </c>
      <c r="B520" s="57">
        <f>IF(COUNTIF(MEMBERS[NameServiceStart],MEMBERS[[#This Row],[NameServiceStart]])=1,0,1)</f>
        <v>0</v>
      </c>
      <c r="C520" s="57">
        <f>IF(COUNTIF(MEMBERS[StaffMemberCode],MEMBERS[[#This Row],[StaffMemberCode]])=1,0,1)</f>
        <v>0</v>
      </c>
      <c r="D520" s="57">
        <f>IF(ISBLANK(MEMBERS[[#This Row],[PayrollLocation]]),0,IF(COUNTIF(SCHOOLS[SchoolCode],MEMBERS[[#This Row],[PayrollLocation]])=1,0,1))</f>
        <v>0</v>
      </c>
      <c r="E520" s="57">
        <f>IF(MEMBERS[[#This Row],[AvailableToAllSchools]]=FALSE,IF(ISBLANK(MEMBERS[[#This Row],[SchoolCodes]]),1,0),IF(MEMBERS[[#This Row],[AvailableToAllSchools]]=TRUE,IF(ISBLANK(MEMBERS[[#This Row],[SchoolCodes]]),0,1)))</f>
        <v>0</v>
      </c>
      <c r="F520" s="57">
        <f>IF(ISBLANK(MEMBERS[[#This Row],[ServiceEndDate]]),0,IF(MEMBERS[[#This Row],[ServiceStartDate]]&lt;MEMBERS[[#This Row],[ServiceEndDate]],0,1))</f>
        <v>0</v>
      </c>
      <c r="G520" s="57" cm="1">
        <f t="array" aca="1" ref="G520" ca="1">IF(CELL("format",MEMBERS[[#This Row],[ServiceStartDate]])="D1",0,1)+IF(CELL("format",MEMBERS[[#This Row],[ServiceEndDate]])="D1",0,1)</f>
        <v>0</v>
      </c>
      <c r="H52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20" s="57">
        <f>IF(LEN(MEMBERS[[#This Row],[StaffMemberCode]])&lt;100,0,1)</f>
        <v>0</v>
      </c>
      <c r="J520" s="57">
        <f>IF(LEN(MEMBERS[[#This Row],[Title]])&lt;100,0,1)</f>
        <v>0</v>
      </c>
      <c r="K520" s="57">
        <f>COUNTBLANK(MEMBERS[[#This Row],[StaffMemberCode]:[ServiceStartDate]])+COUNTBLANK(MEMBERS[[#This Row],[Apprenticeship]]:MEMBERS[[#This Row],[StaffMemberEnabled]])+COUNTBLANK(MEMBERS[[#This Row],[GenderCode]]:MEMBERS[[#This Row],[Casual]])</f>
        <v>0</v>
      </c>
      <c r="L520" s="57">
        <f>IF(SUBSTITUTE(TEXT(MEMBERS[[#This Row],[StaffMemberCode]],10)," ","")=TEXT(MEMBERS[[#This Row],[StaffMemberCode]],10),0,1)</f>
        <v>0</v>
      </c>
      <c r="M520" s="57">
        <f ca="1">SUM(MEMBERS[[#This Row],[Duplicate NameService Start]:[Space in Code]])</f>
        <v>0</v>
      </c>
      <c r="O520" s="15">
        <v>91073883</v>
      </c>
      <c r="P520" s="15" t="s">
        <v>3354</v>
      </c>
      <c r="Q520" s="15" t="s">
        <v>3780</v>
      </c>
      <c r="R520" s="133" t="str">
        <f>MEMBERS[[#This Row],[FirstName]]&amp;" "&amp;MEMBERS[[#This Row],[LastName]]</f>
        <v>Marianne Dyde</v>
      </c>
      <c r="S520" s="21">
        <v>41648</v>
      </c>
      <c r="U520" s="21">
        <v>26433</v>
      </c>
      <c r="V520" t="b">
        <v>0</v>
      </c>
      <c r="W520" t="b">
        <v>0</v>
      </c>
      <c r="X520" t="b">
        <v>0</v>
      </c>
      <c r="Y520" t="s">
        <v>2266</v>
      </c>
      <c r="Z520" t="b">
        <v>1</v>
      </c>
      <c r="AB520" t="s">
        <v>1571</v>
      </c>
      <c r="AC520" t="b">
        <v>0</v>
      </c>
    </row>
    <row r="521" spans="1:29" x14ac:dyDescent="0.3">
      <c r="A521" s="57" t="str">
        <f>MEMBERS[[#This Row],[Title]]&amp;MEMBERS[[#This Row],[ServiceStartDate]]</f>
        <v>Mariona Morera-Ivern44440</v>
      </c>
      <c r="B521" s="57">
        <f>IF(COUNTIF(MEMBERS[NameServiceStart],MEMBERS[[#This Row],[NameServiceStart]])=1,0,1)</f>
        <v>0</v>
      </c>
      <c r="C521" s="57">
        <f>IF(COUNTIF(MEMBERS[StaffMemberCode],MEMBERS[[#This Row],[StaffMemberCode]])=1,0,1)</f>
        <v>0</v>
      </c>
      <c r="D521" s="57">
        <f>IF(ISBLANK(MEMBERS[[#This Row],[PayrollLocation]]),0,IF(COUNTIF(SCHOOLS[SchoolCode],MEMBERS[[#This Row],[PayrollLocation]])=1,0,1))</f>
        <v>0</v>
      </c>
      <c r="E521" s="57">
        <f>IF(MEMBERS[[#This Row],[AvailableToAllSchools]]=FALSE,IF(ISBLANK(MEMBERS[[#This Row],[SchoolCodes]]),1,0),IF(MEMBERS[[#This Row],[AvailableToAllSchools]]=TRUE,IF(ISBLANK(MEMBERS[[#This Row],[SchoolCodes]]),0,1)))</f>
        <v>0</v>
      </c>
      <c r="F521" s="57">
        <f>IF(ISBLANK(MEMBERS[[#This Row],[ServiceEndDate]]),0,IF(MEMBERS[[#This Row],[ServiceStartDate]]&lt;MEMBERS[[#This Row],[ServiceEndDate]],0,1))</f>
        <v>0</v>
      </c>
      <c r="G521" s="57" cm="1">
        <f t="array" aca="1" ref="G521" ca="1">IF(CELL("format",MEMBERS[[#This Row],[ServiceStartDate]])="D1",0,1)+IF(CELL("format",MEMBERS[[#This Row],[ServiceEndDate]])="D1",0,1)</f>
        <v>0</v>
      </c>
      <c r="H52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21" s="57">
        <f>IF(LEN(MEMBERS[[#This Row],[StaffMemberCode]])&lt;100,0,1)</f>
        <v>0</v>
      </c>
      <c r="J521" s="57">
        <f>IF(LEN(MEMBERS[[#This Row],[Title]])&lt;100,0,1)</f>
        <v>0</v>
      </c>
      <c r="K521" s="57">
        <f>COUNTBLANK(MEMBERS[[#This Row],[StaffMemberCode]:[ServiceStartDate]])+COUNTBLANK(MEMBERS[[#This Row],[Apprenticeship]]:MEMBERS[[#This Row],[StaffMemberEnabled]])+COUNTBLANK(MEMBERS[[#This Row],[GenderCode]]:MEMBERS[[#This Row],[Casual]])</f>
        <v>0</v>
      </c>
      <c r="L521" s="57">
        <f>IF(SUBSTITUTE(TEXT(MEMBERS[[#This Row],[StaffMemberCode]],10)," ","")=TEXT(MEMBERS[[#This Row],[StaffMemberCode]],10),0,1)</f>
        <v>0</v>
      </c>
      <c r="M521" s="57">
        <f ca="1">SUM(MEMBERS[[#This Row],[Duplicate NameService Start]:[Space in Code]])</f>
        <v>0</v>
      </c>
      <c r="O521" s="15">
        <v>10009100</v>
      </c>
      <c r="P521" s="15" t="s">
        <v>3991</v>
      </c>
      <c r="Q521" s="15" t="s">
        <v>4103</v>
      </c>
      <c r="R521" s="133" t="str">
        <f>MEMBERS[[#This Row],[FirstName]]&amp;" "&amp;MEMBERS[[#This Row],[LastName]]</f>
        <v>Mariona Morera-Ivern</v>
      </c>
      <c r="S521" s="21">
        <v>44440</v>
      </c>
      <c r="U521" s="21">
        <v>32932</v>
      </c>
      <c r="V521" s="138" t="b">
        <v>0</v>
      </c>
      <c r="W521" t="b">
        <v>0</v>
      </c>
      <c r="X521" t="b">
        <v>0</v>
      </c>
      <c r="Y521" t="s">
        <v>2126</v>
      </c>
      <c r="Z521" t="b">
        <v>1</v>
      </c>
      <c r="AB521" t="s">
        <v>1571</v>
      </c>
      <c r="AC521" t="b">
        <v>0</v>
      </c>
    </row>
    <row r="522" spans="1:29" x14ac:dyDescent="0.3">
      <c r="A522" s="57" t="str">
        <f>MEMBERS[[#This Row],[Title]]&amp;MEMBERS[[#This Row],[ServiceStartDate]]</f>
        <v>Mark Bundy40917</v>
      </c>
      <c r="B522" s="57">
        <f>IF(COUNTIF(MEMBERS[NameServiceStart],MEMBERS[[#This Row],[NameServiceStart]])=1,0,1)</f>
        <v>0</v>
      </c>
      <c r="C522" s="57">
        <f>IF(COUNTIF(MEMBERS[StaffMemberCode],MEMBERS[[#This Row],[StaffMemberCode]])=1,0,1)</f>
        <v>0</v>
      </c>
      <c r="D522" s="57">
        <f>IF(ISBLANK(MEMBERS[[#This Row],[PayrollLocation]]),0,IF(COUNTIF(SCHOOLS[SchoolCode],MEMBERS[[#This Row],[PayrollLocation]])=1,0,1))</f>
        <v>0</v>
      </c>
      <c r="E522" s="57">
        <f>IF(MEMBERS[[#This Row],[AvailableToAllSchools]]=FALSE,IF(ISBLANK(MEMBERS[[#This Row],[SchoolCodes]]),1,0),IF(MEMBERS[[#This Row],[AvailableToAllSchools]]=TRUE,IF(ISBLANK(MEMBERS[[#This Row],[SchoolCodes]]),0,1)))</f>
        <v>0</v>
      </c>
      <c r="F522" s="57">
        <f>IF(ISBLANK(MEMBERS[[#This Row],[ServiceEndDate]]),0,IF(MEMBERS[[#This Row],[ServiceStartDate]]&lt;MEMBERS[[#This Row],[ServiceEndDate]],0,1))</f>
        <v>0</v>
      </c>
      <c r="G522" s="57" cm="1">
        <f t="array" aca="1" ref="G522" ca="1">IF(CELL("format",MEMBERS[[#This Row],[ServiceStartDate]])="D1",0,1)+IF(CELL("format",MEMBERS[[#This Row],[ServiceEndDate]])="D1",0,1)</f>
        <v>0</v>
      </c>
      <c r="H52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22" s="57">
        <f>IF(LEN(MEMBERS[[#This Row],[StaffMemberCode]])&lt;100,0,1)</f>
        <v>0</v>
      </c>
      <c r="J522" s="57">
        <f>IF(LEN(MEMBERS[[#This Row],[Title]])&lt;100,0,1)</f>
        <v>0</v>
      </c>
      <c r="K522" s="57">
        <f>COUNTBLANK(MEMBERS[[#This Row],[StaffMemberCode]:[ServiceStartDate]])+COUNTBLANK(MEMBERS[[#This Row],[Apprenticeship]]:MEMBERS[[#This Row],[StaffMemberEnabled]])+COUNTBLANK(MEMBERS[[#This Row],[GenderCode]]:MEMBERS[[#This Row],[Casual]])</f>
        <v>0</v>
      </c>
      <c r="L522" s="57">
        <f>IF(SUBSTITUTE(TEXT(MEMBERS[[#This Row],[StaffMemberCode]],10)," ","")=TEXT(MEMBERS[[#This Row],[StaffMemberCode]],10),0,1)</f>
        <v>0</v>
      </c>
      <c r="M522" s="57">
        <f ca="1">SUM(MEMBERS[[#This Row],[Duplicate NameService Start]:[Space in Code]])</f>
        <v>0</v>
      </c>
      <c r="O522" s="15">
        <v>91073881</v>
      </c>
      <c r="P522" s="15" t="s">
        <v>3355</v>
      </c>
      <c r="Q522" s="15" t="s">
        <v>3781</v>
      </c>
      <c r="R522" s="133" t="str">
        <f>MEMBERS[[#This Row],[FirstName]]&amp;" "&amp;MEMBERS[[#This Row],[LastName]]</f>
        <v>Mark Bundy</v>
      </c>
      <c r="S522" s="21">
        <v>40917</v>
      </c>
      <c r="U522" s="21">
        <v>24383</v>
      </c>
      <c r="V522" t="b">
        <v>0</v>
      </c>
      <c r="W522" t="b">
        <v>0</v>
      </c>
      <c r="X522" t="b">
        <v>0</v>
      </c>
      <c r="Y522" t="s">
        <v>2266</v>
      </c>
      <c r="Z522" t="b">
        <v>1</v>
      </c>
      <c r="AB522" t="s">
        <v>1572</v>
      </c>
      <c r="AC522" t="b">
        <v>0</v>
      </c>
    </row>
    <row r="523" spans="1:29" x14ac:dyDescent="0.3">
      <c r="A523" s="57" t="str">
        <f>MEMBERS[[#This Row],[Title]]&amp;MEMBERS[[#This Row],[ServiceStartDate]]</f>
        <v>Mark Preston44314</v>
      </c>
      <c r="B523" s="57">
        <f>IF(COUNTIF(MEMBERS[NameServiceStart],MEMBERS[[#This Row],[NameServiceStart]])=1,0,1)</f>
        <v>0</v>
      </c>
      <c r="C523" s="57">
        <f>IF(COUNTIF(MEMBERS[StaffMemberCode],MEMBERS[[#This Row],[StaffMemberCode]])=1,0,1)</f>
        <v>0</v>
      </c>
      <c r="D523" s="57">
        <f>IF(ISBLANK(MEMBERS[[#This Row],[PayrollLocation]]),0,IF(COUNTIF(SCHOOLS[SchoolCode],MEMBERS[[#This Row],[PayrollLocation]])=1,0,1))</f>
        <v>0</v>
      </c>
      <c r="E523" s="57">
        <f>IF(MEMBERS[[#This Row],[AvailableToAllSchools]]=FALSE,IF(ISBLANK(MEMBERS[[#This Row],[SchoolCodes]]),1,0),IF(MEMBERS[[#This Row],[AvailableToAllSchools]]=TRUE,IF(ISBLANK(MEMBERS[[#This Row],[SchoolCodes]]),0,1)))</f>
        <v>0</v>
      </c>
      <c r="F523" s="57">
        <f>IF(ISBLANK(MEMBERS[[#This Row],[ServiceEndDate]]),0,IF(MEMBERS[[#This Row],[ServiceStartDate]]&lt;MEMBERS[[#This Row],[ServiceEndDate]],0,1))</f>
        <v>0</v>
      </c>
      <c r="G523" s="57" cm="1">
        <f t="array" aca="1" ref="G523" ca="1">IF(CELL("format",MEMBERS[[#This Row],[ServiceStartDate]])="D1",0,1)+IF(CELL("format",MEMBERS[[#This Row],[ServiceEndDate]])="D1",0,1)</f>
        <v>0</v>
      </c>
      <c r="H52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23" s="57">
        <f>IF(LEN(MEMBERS[[#This Row],[StaffMemberCode]])&lt;100,0,1)</f>
        <v>0</v>
      </c>
      <c r="J523" s="57">
        <f>IF(LEN(MEMBERS[[#This Row],[Title]])&lt;100,0,1)</f>
        <v>0</v>
      </c>
      <c r="K523" s="57">
        <f>COUNTBLANK(MEMBERS[[#This Row],[StaffMemberCode]:[ServiceStartDate]])+COUNTBLANK(MEMBERS[[#This Row],[Apprenticeship]]:MEMBERS[[#This Row],[StaffMemberEnabled]])+COUNTBLANK(MEMBERS[[#This Row],[GenderCode]]:MEMBERS[[#This Row],[Casual]])</f>
        <v>0</v>
      </c>
      <c r="L523" s="57">
        <f>IF(SUBSTITUTE(TEXT(MEMBERS[[#This Row],[StaffMemberCode]],10)," ","")=TEXT(MEMBERS[[#This Row],[StaffMemberCode]],10),0,1)</f>
        <v>0</v>
      </c>
      <c r="M523" s="57">
        <f ca="1">SUM(MEMBERS[[#This Row],[Duplicate NameService Start]:[Space in Code]])</f>
        <v>0</v>
      </c>
      <c r="O523" s="15">
        <v>91073780</v>
      </c>
      <c r="P523" s="15" t="s">
        <v>3355</v>
      </c>
      <c r="Q523" s="15" t="s">
        <v>3499</v>
      </c>
      <c r="R523" s="133" t="str">
        <f>MEMBERS[[#This Row],[FirstName]]&amp;" "&amp;MEMBERS[[#This Row],[LastName]]</f>
        <v>Mark Preston</v>
      </c>
      <c r="S523" s="21">
        <v>44314</v>
      </c>
      <c r="U523" s="21">
        <v>23413</v>
      </c>
      <c r="V523" t="b">
        <v>0</v>
      </c>
      <c r="W523" t="b">
        <v>0</v>
      </c>
      <c r="X523" t="b">
        <v>0</v>
      </c>
      <c r="Y523" t="s">
        <v>2082</v>
      </c>
      <c r="Z523" t="b">
        <v>1</v>
      </c>
      <c r="AB523" t="s">
        <v>1572</v>
      </c>
      <c r="AC523" t="b">
        <v>0</v>
      </c>
    </row>
    <row r="524" spans="1:29" x14ac:dyDescent="0.3">
      <c r="A524" s="57" t="str">
        <f>MEMBERS[[#This Row],[Title]]&amp;MEMBERS[[#This Row],[ServiceStartDate]]</f>
        <v>Mark Price40552</v>
      </c>
      <c r="B524" s="57">
        <f>IF(COUNTIF(MEMBERS[NameServiceStart],MEMBERS[[#This Row],[NameServiceStart]])=1,0,1)</f>
        <v>0</v>
      </c>
      <c r="C524" s="57">
        <f>IF(COUNTIF(MEMBERS[StaffMemberCode],MEMBERS[[#This Row],[StaffMemberCode]])=1,0,1)</f>
        <v>0</v>
      </c>
      <c r="D524" s="57">
        <f>IF(ISBLANK(MEMBERS[[#This Row],[PayrollLocation]]),0,IF(COUNTIF(SCHOOLS[SchoolCode],MEMBERS[[#This Row],[PayrollLocation]])=1,0,1))</f>
        <v>0</v>
      </c>
      <c r="E524" s="57">
        <f>IF(MEMBERS[[#This Row],[AvailableToAllSchools]]=FALSE,IF(ISBLANK(MEMBERS[[#This Row],[SchoolCodes]]),1,0),IF(MEMBERS[[#This Row],[AvailableToAllSchools]]=TRUE,IF(ISBLANK(MEMBERS[[#This Row],[SchoolCodes]]),0,1)))</f>
        <v>0</v>
      </c>
      <c r="F524" s="57">
        <f>IF(ISBLANK(MEMBERS[[#This Row],[ServiceEndDate]]),0,IF(MEMBERS[[#This Row],[ServiceStartDate]]&lt;MEMBERS[[#This Row],[ServiceEndDate]],0,1))</f>
        <v>0</v>
      </c>
      <c r="G524" s="57" cm="1">
        <f t="array" aca="1" ref="G524" ca="1">IF(CELL("format",MEMBERS[[#This Row],[ServiceStartDate]])="D1",0,1)+IF(CELL("format",MEMBERS[[#This Row],[ServiceEndDate]])="D1",0,1)</f>
        <v>0</v>
      </c>
      <c r="H52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24" s="57">
        <f>IF(LEN(MEMBERS[[#This Row],[StaffMemberCode]])&lt;100,0,1)</f>
        <v>0</v>
      </c>
      <c r="J524" s="57">
        <f>IF(LEN(MEMBERS[[#This Row],[Title]])&lt;100,0,1)</f>
        <v>0</v>
      </c>
      <c r="K524" s="57">
        <f>COUNTBLANK(MEMBERS[[#This Row],[StaffMemberCode]:[ServiceStartDate]])+COUNTBLANK(MEMBERS[[#This Row],[Apprenticeship]]:MEMBERS[[#This Row],[StaffMemberEnabled]])+COUNTBLANK(MEMBERS[[#This Row],[GenderCode]]:MEMBERS[[#This Row],[Casual]])</f>
        <v>0</v>
      </c>
      <c r="L524" s="57">
        <f>IF(SUBSTITUTE(TEXT(MEMBERS[[#This Row],[StaffMemberCode]],10)," ","")=TEXT(MEMBERS[[#This Row],[StaffMemberCode]],10),0,1)</f>
        <v>0</v>
      </c>
      <c r="M524" s="57">
        <f ca="1">SUM(MEMBERS[[#This Row],[Duplicate NameService Start]:[Space in Code]])</f>
        <v>0</v>
      </c>
      <c r="O524" s="15">
        <v>91073482</v>
      </c>
      <c r="P524" s="15" t="s">
        <v>3355</v>
      </c>
      <c r="Q524" s="15" t="s">
        <v>3782</v>
      </c>
      <c r="R524" s="133" t="str">
        <f>MEMBERS[[#This Row],[FirstName]]&amp;" "&amp;MEMBERS[[#This Row],[LastName]]</f>
        <v>Mark Price</v>
      </c>
      <c r="S524" s="21">
        <v>40552</v>
      </c>
      <c r="U524" s="21">
        <v>24308</v>
      </c>
      <c r="V524" t="b">
        <v>0</v>
      </c>
      <c r="W524" t="b">
        <v>0</v>
      </c>
      <c r="X524" t="b">
        <v>0</v>
      </c>
      <c r="Y524" t="s">
        <v>2094</v>
      </c>
      <c r="Z524" t="b">
        <v>1</v>
      </c>
      <c r="AB524" t="s">
        <v>1572</v>
      </c>
      <c r="AC524" t="b">
        <v>0</v>
      </c>
    </row>
    <row r="525" spans="1:29" x14ac:dyDescent="0.3">
      <c r="A525" s="57" t="str">
        <f>MEMBERS[[#This Row],[Title]]&amp;MEMBERS[[#This Row],[ServiceStartDate]]</f>
        <v>Martin Blythe42378</v>
      </c>
      <c r="B525" s="57">
        <f>IF(COUNTIF(MEMBERS[NameServiceStart],MEMBERS[[#This Row],[NameServiceStart]])=1,0,1)</f>
        <v>0</v>
      </c>
      <c r="C525" s="57">
        <f>IF(COUNTIF(MEMBERS[StaffMemberCode],MEMBERS[[#This Row],[StaffMemberCode]])=1,0,1)</f>
        <v>0</v>
      </c>
      <c r="D525" s="57">
        <f>IF(ISBLANK(MEMBERS[[#This Row],[PayrollLocation]]),0,IF(COUNTIF(SCHOOLS[SchoolCode],MEMBERS[[#This Row],[PayrollLocation]])=1,0,1))</f>
        <v>0</v>
      </c>
      <c r="E525" s="57">
        <f>IF(MEMBERS[[#This Row],[AvailableToAllSchools]]=FALSE,IF(ISBLANK(MEMBERS[[#This Row],[SchoolCodes]]),1,0),IF(MEMBERS[[#This Row],[AvailableToAllSchools]]=TRUE,IF(ISBLANK(MEMBERS[[#This Row],[SchoolCodes]]),0,1)))</f>
        <v>0</v>
      </c>
      <c r="F525" s="57">
        <f>IF(ISBLANK(MEMBERS[[#This Row],[ServiceEndDate]]),0,IF(MEMBERS[[#This Row],[ServiceStartDate]]&lt;MEMBERS[[#This Row],[ServiceEndDate]],0,1))</f>
        <v>0</v>
      </c>
      <c r="G525" s="57" cm="1">
        <f t="array" aca="1" ref="G525" ca="1">IF(CELL("format",MEMBERS[[#This Row],[ServiceStartDate]])="D1",0,1)+IF(CELL("format",MEMBERS[[#This Row],[ServiceEndDate]])="D1",0,1)</f>
        <v>0</v>
      </c>
      <c r="H52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25" s="57">
        <f>IF(LEN(MEMBERS[[#This Row],[StaffMemberCode]])&lt;100,0,1)</f>
        <v>0</v>
      </c>
      <c r="J525" s="57">
        <f>IF(LEN(MEMBERS[[#This Row],[Title]])&lt;100,0,1)</f>
        <v>0</v>
      </c>
      <c r="K525" s="57">
        <f>COUNTBLANK(MEMBERS[[#This Row],[StaffMemberCode]:[ServiceStartDate]])+COUNTBLANK(MEMBERS[[#This Row],[Apprenticeship]]:MEMBERS[[#This Row],[StaffMemberEnabled]])+COUNTBLANK(MEMBERS[[#This Row],[GenderCode]]:MEMBERS[[#This Row],[Casual]])</f>
        <v>0</v>
      </c>
      <c r="L525" s="57">
        <f>IF(SUBSTITUTE(TEXT(MEMBERS[[#This Row],[StaffMemberCode]],10)," ","")=TEXT(MEMBERS[[#This Row],[StaffMemberCode]],10),0,1)</f>
        <v>0</v>
      </c>
      <c r="M525" s="57">
        <f ca="1">SUM(MEMBERS[[#This Row],[Duplicate NameService Start]:[Space in Code]])</f>
        <v>0</v>
      </c>
      <c r="O525" s="15">
        <v>91073810</v>
      </c>
      <c r="P525" s="15" t="s">
        <v>3356</v>
      </c>
      <c r="Q525" s="15" t="s">
        <v>3783</v>
      </c>
      <c r="R525" s="133" t="str">
        <f>MEMBERS[[#This Row],[FirstName]]&amp;" "&amp;MEMBERS[[#This Row],[LastName]]</f>
        <v>Martin Blythe</v>
      </c>
      <c r="S525" s="21">
        <v>42378</v>
      </c>
      <c r="U525" s="21">
        <v>34166</v>
      </c>
      <c r="V525" t="b">
        <v>0</v>
      </c>
      <c r="W525" t="b">
        <v>0</v>
      </c>
      <c r="X525" t="b">
        <v>0</v>
      </c>
      <c r="Y525" t="s">
        <v>2082</v>
      </c>
      <c r="Z525" t="b">
        <v>1</v>
      </c>
      <c r="AB525" t="s">
        <v>1572</v>
      </c>
      <c r="AC525" t="b">
        <v>0</v>
      </c>
    </row>
    <row r="526" spans="1:29" x14ac:dyDescent="0.3">
      <c r="A526" s="57" t="str">
        <f>MEMBERS[[#This Row],[Title]]&amp;MEMBERS[[#This Row],[ServiceStartDate]]</f>
        <v>Martyn Leveridge44581</v>
      </c>
      <c r="B526" s="57">
        <f>IF(COUNTIF(MEMBERS[NameServiceStart],MEMBERS[[#This Row],[NameServiceStart]])=1,0,1)</f>
        <v>0</v>
      </c>
      <c r="C526" s="57">
        <f>IF(COUNTIF(MEMBERS[StaffMemberCode],MEMBERS[[#This Row],[StaffMemberCode]])=1,0,1)</f>
        <v>0</v>
      </c>
      <c r="D526" s="57">
        <f>IF(ISBLANK(MEMBERS[[#This Row],[PayrollLocation]]),0,IF(COUNTIF(SCHOOLS[SchoolCode],MEMBERS[[#This Row],[PayrollLocation]])=1,0,1))</f>
        <v>0</v>
      </c>
      <c r="E526" s="57">
        <f>IF(MEMBERS[[#This Row],[AvailableToAllSchools]]=FALSE,IF(ISBLANK(MEMBERS[[#This Row],[SchoolCodes]]),1,0),IF(MEMBERS[[#This Row],[AvailableToAllSchools]]=TRUE,IF(ISBLANK(MEMBERS[[#This Row],[SchoolCodes]]),0,1)))</f>
        <v>0</v>
      </c>
      <c r="F526" s="57">
        <f>IF(ISBLANK(MEMBERS[[#This Row],[ServiceEndDate]]),0,IF(MEMBERS[[#This Row],[ServiceStartDate]]&lt;MEMBERS[[#This Row],[ServiceEndDate]],0,1))</f>
        <v>0</v>
      </c>
      <c r="G526" s="57" cm="1">
        <f t="array" aca="1" ref="G526" ca="1">IF(CELL("format",MEMBERS[[#This Row],[ServiceStartDate]])="D1",0,1)+IF(CELL("format",MEMBERS[[#This Row],[ServiceEndDate]])="D1",0,1)</f>
        <v>0</v>
      </c>
      <c r="H52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26" s="57">
        <f>IF(LEN(MEMBERS[[#This Row],[StaffMemberCode]])&lt;100,0,1)</f>
        <v>0</v>
      </c>
      <c r="J526" s="57">
        <f>IF(LEN(MEMBERS[[#This Row],[Title]])&lt;100,0,1)</f>
        <v>0</v>
      </c>
      <c r="K526" s="57">
        <f>COUNTBLANK(MEMBERS[[#This Row],[StaffMemberCode]:[ServiceStartDate]])+COUNTBLANK(MEMBERS[[#This Row],[Apprenticeship]]:MEMBERS[[#This Row],[StaffMemberEnabled]])+COUNTBLANK(MEMBERS[[#This Row],[GenderCode]]:MEMBERS[[#This Row],[Casual]])</f>
        <v>0</v>
      </c>
      <c r="L526" s="57">
        <f>IF(SUBSTITUTE(TEXT(MEMBERS[[#This Row],[StaffMemberCode]],10)," ","")=TEXT(MEMBERS[[#This Row],[StaffMemberCode]],10),0,1)</f>
        <v>0</v>
      </c>
      <c r="M526" s="57">
        <f ca="1">SUM(MEMBERS[[#This Row],[Duplicate NameService Start]:[Space in Code]])</f>
        <v>0</v>
      </c>
      <c r="O526" s="15">
        <v>91073566</v>
      </c>
      <c r="P526" s="15" t="s">
        <v>3357</v>
      </c>
      <c r="Q526" s="15" t="s">
        <v>3784</v>
      </c>
      <c r="R526" s="133" t="str">
        <f>MEMBERS[[#This Row],[FirstName]]&amp;" "&amp;MEMBERS[[#This Row],[LastName]]</f>
        <v>Martyn Leveridge</v>
      </c>
      <c r="S526" s="21">
        <v>44581</v>
      </c>
      <c r="U526" s="21">
        <v>22033</v>
      </c>
      <c r="V526" t="b">
        <v>0</v>
      </c>
      <c r="W526" t="b">
        <v>0</v>
      </c>
      <c r="X526" t="b">
        <v>0</v>
      </c>
      <c r="Y526" t="s">
        <v>2094</v>
      </c>
      <c r="Z526" t="b">
        <v>1</v>
      </c>
      <c r="AB526" t="s">
        <v>1572</v>
      </c>
      <c r="AC526" t="b">
        <v>1</v>
      </c>
    </row>
    <row r="527" spans="1:29" x14ac:dyDescent="0.3">
      <c r="A527" s="57" t="str">
        <f>MEMBERS[[#This Row],[Title]]&amp;MEMBERS[[#This Row],[ServiceStartDate]]</f>
        <v>Maryam Saido45679</v>
      </c>
      <c r="B527" s="57">
        <f>IF(COUNTIF(MEMBERS[NameServiceStart],MEMBERS[[#This Row],[NameServiceStart]])=1,0,1)</f>
        <v>0</v>
      </c>
      <c r="C527" s="57">
        <f>IF(COUNTIF(MEMBERS[StaffMemberCode],MEMBERS[[#This Row],[StaffMemberCode]])=1,0,1)</f>
        <v>0</v>
      </c>
      <c r="D527" s="57">
        <f>IF(ISBLANK(MEMBERS[[#This Row],[PayrollLocation]]),0,IF(COUNTIF(SCHOOLS[SchoolCode],MEMBERS[[#This Row],[PayrollLocation]])=1,0,1))</f>
        <v>0</v>
      </c>
      <c r="E527" s="57">
        <f>IF(MEMBERS[[#This Row],[AvailableToAllSchools]]=FALSE,IF(ISBLANK(MEMBERS[[#This Row],[SchoolCodes]]),1,0),IF(MEMBERS[[#This Row],[AvailableToAllSchools]]=TRUE,IF(ISBLANK(MEMBERS[[#This Row],[SchoolCodes]]),0,1)))</f>
        <v>0</v>
      </c>
      <c r="F527" s="57">
        <f>IF(ISBLANK(MEMBERS[[#This Row],[ServiceEndDate]]),0,IF(MEMBERS[[#This Row],[ServiceStartDate]]&lt;MEMBERS[[#This Row],[ServiceEndDate]],0,1))</f>
        <v>0</v>
      </c>
      <c r="G527" s="57" cm="1">
        <f t="array" aca="1" ref="G527" ca="1">IF(CELL("format",MEMBERS[[#This Row],[ServiceStartDate]])="D1",0,1)+IF(CELL("format",MEMBERS[[#This Row],[ServiceEndDate]])="D1",0,1)</f>
        <v>0</v>
      </c>
      <c r="H52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27" s="57">
        <f>IF(LEN(MEMBERS[[#This Row],[StaffMemberCode]])&lt;100,0,1)</f>
        <v>0</v>
      </c>
      <c r="J527" s="57">
        <f>IF(LEN(MEMBERS[[#This Row],[Title]])&lt;100,0,1)</f>
        <v>0</v>
      </c>
      <c r="K527" s="57">
        <f>COUNTBLANK(MEMBERS[[#This Row],[StaffMemberCode]:[ServiceStartDate]])+COUNTBLANK(MEMBERS[[#This Row],[Apprenticeship]]:MEMBERS[[#This Row],[StaffMemberEnabled]])+COUNTBLANK(MEMBERS[[#This Row],[GenderCode]]:MEMBERS[[#This Row],[Casual]])</f>
        <v>0</v>
      </c>
      <c r="L527" s="57">
        <f>IF(SUBSTITUTE(TEXT(MEMBERS[[#This Row],[StaffMemberCode]],10)," ","")=TEXT(MEMBERS[[#This Row],[StaffMemberCode]],10),0,1)</f>
        <v>0</v>
      </c>
      <c r="M527" s="57">
        <f ca="1">SUM(MEMBERS[[#This Row],[Duplicate NameService Start]:[Space in Code]])</f>
        <v>0</v>
      </c>
      <c r="O527" s="15">
        <v>91330576</v>
      </c>
      <c r="P527" s="15" t="s">
        <v>3358</v>
      </c>
      <c r="Q527" s="15" t="s">
        <v>3785</v>
      </c>
      <c r="R527" s="133" t="str">
        <f>MEMBERS[[#This Row],[FirstName]]&amp;" "&amp;MEMBERS[[#This Row],[LastName]]</f>
        <v>Maryam Saido</v>
      </c>
      <c r="S527" s="21">
        <v>45679</v>
      </c>
      <c r="U527" s="21">
        <v>39460</v>
      </c>
      <c r="V527" t="b">
        <v>0</v>
      </c>
      <c r="W527" t="b">
        <v>0</v>
      </c>
      <c r="X527" t="b">
        <v>0</v>
      </c>
      <c r="Y527" t="s">
        <v>2094</v>
      </c>
      <c r="Z527" t="b">
        <v>1</v>
      </c>
      <c r="AB527" t="s">
        <v>1571</v>
      </c>
      <c r="AC527" t="b">
        <v>1</v>
      </c>
    </row>
    <row r="528" spans="1:29" x14ac:dyDescent="0.3">
      <c r="A528" s="57" t="str">
        <f>MEMBERS[[#This Row],[Title]]&amp;MEMBERS[[#This Row],[ServiceStartDate]]</f>
        <v>Matthew Beeston39692</v>
      </c>
      <c r="B528" s="57">
        <f>IF(COUNTIF(MEMBERS[NameServiceStart],MEMBERS[[#This Row],[NameServiceStart]])=1,0,1)</f>
        <v>0</v>
      </c>
      <c r="C528" s="57">
        <f>IF(COUNTIF(MEMBERS[StaffMemberCode],MEMBERS[[#This Row],[StaffMemberCode]])=1,0,1)</f>
        <v>0</v>
      </c>
      <c r="D528" s="57">
        <f>IF(ISBLANK(MEMBERS[[#This Row],[PayrollLocation]]),0,IF(COUNTIF(SCHOOLS[SchoolCode],MEMBERS[[#This Row],[PayrollLocation]])=1,0,1))</f>
        <v>0</v>
      </c>
      <c r="E528" s="57">
        <f>IF(MEMBERS[[#This Row],[AvailableToAllSchools]]=FALSE,IF(ISBLANK(MEMBERS[[#This Row],[SchoolCodes]]),1,0),IF(MEMBERS[[#This Row],[AvailableToAllSchools]]=TRUE,IF(ISBLANK(MEMBERS[[#This Row],[SchoolCodes]]),0,1)))</f>
        <v>0</v>
      </c>
      <c r="F528" s="57">
        <f>IF(ISBLANK(MEMBERS[[#This Row],[ServiceEndDate]]),0,IF(MEMBERS[[#This Row],[ServiceStartDate]]&lt;MEMBERS[[#This Row],[ServiceEndDate]],0,1))</f>
        <v>0</v>
      </c>
      <c r="G528" s="57" cm="1">
        <f t="array" aca="1" ref="G528" ca="1">IF(CELL("format",MEMBERS[[#This Row],[ServiceStartDate]])="D1",0,1)+IF(CELL("format",MEMBERS[[#This Row],[ServiceEndDate]])="D1",0,1)</f>
        <v>0</v>
      </c>
      <c r="H52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28" s="57">
        <f>IF(LEN(MEMBERS[[#This Row],[StaffMemberCode]])&lt;100,0,1)</f>
        <v>0</v>
      </c>
      <c r="J528" s="57">
        <f>IF(LEN(MEMBERS[[#This Row],[Title]])&lt;100,0,1)</f>
        <v>0</v>
      </c>
      <c r="K528" s="57">
        <f>COUNTBLANK(MEMBERS[[#This Row],[StaffMemberCode]:[ServiceStartDate]])+COUNTBLANK(MEMBERS[[#This Row],[Apprenticeship]]:MEMBERS[[#This Row],[StaffMemberEnabled]])+COUNTBLANK(MEMBERS[[#This Row],[GenderCode]]:MEMBERS[[#This Row],[Casual]])</f>
        <v>0</v>
      </c>
      <c r="L528" s="57">
        <f>IF(SUBSTITUTE(TEXT(MEMBERS[[#This Row],[StaffMemberCode]],10)," ","")=TEXT(MEMBERS[[#This Row],[StaffMemberCode]],10),0,1)</f>
        <v>0</v>
      </c>
      <c r="M528" s="57">
        <f ca="1">SUM(MEMBERS[[#This Row],[Duplicate NameService Start]:[Space in Code]])</f>
        <v>0</v>
      </c>
      <c r="O528" s="15">
        <v>91075753</v>
      </c>
      <c r="P528" s="15" t="s">
        <v>3359</v>
      </c>
      <c r="Q528" s="15" t="s">
        <v>3734</v>
      </c>
      <c r="R528" s="133" t="str">
        <f>MEMBERS[[#This Row],[FirstName]]&amp;" "&amp;MEMBERS[[#This Row],[LastName]]</f>
        <v>Matthew Beeston</v>
      </c>
      <c r="S528" s="21">
        <v>39692</v>
      </c>
      <c r="U528" s="21">
        <v>30581</v>
      </c>
      <c r="V528" t="b">
        <v>0</v>
      </c>
      <c r="W528" t="b">
        <v>0</v>
      </c>
      <c r="X528" t="b">
        <v>0</v>
      </c>
      <c r="Y528" t="s">
        <v>2200</v>
      </c>
      <c r="Z528" t="b">
        <v>1</v>
      </c>
      <c r="AB528" t="s">
        <v>1572</v>
      </c>
      <c r="AC528" t="b">
        <v>0</v>
      </c>
    </row>
    <row r="529" spans="1:29" x14ac:dyDescent="0.3">
      <c r="A529" s="57" t="str">
        <f>MEMBERS[[#This Row],[Title]]&amp;MEMBERS[[#This Row],[ServiceStartDate]]</f>
        <v>Matthew Harris42843</v>
      </c>
      <c r="B529" s="57">
        <f>IF(COUNTIF(MEMBERS[NameServiceStart],MEMBERS[[#This Row],[NameServiceStart]])=1,0,1)</f>
        <v>0</v>
      </c>
      <c r="C529" s="57">
        <f>IF(COUNTIF(MEMBERS[StaffMemberCode],MEMBERS[[#This Row],[StaffMemberCode]])=1,0,1)</f>
        <v>0</v>
      </c>
      <c r="D529" s="57">
        <f>IF(ISBLANK(MEMBERS[[#This Row],[PayrollLocation]]),0,IF(COUNTIF(SCHOOLS[SchoolCode],MEMBERS[[#This Row],[PayrollLocation]])=1,0,1))</f>
        <v>0</v>
      </c>
      <c r="E529" s="57">
        <f>IF(MEMBERS[[#This Row],[AvailableToAllSchools]]=FALSE,IF(ISBLANK(MEMBERS[[#This Row],[SchoolCodes]]),1,0),IF(MEMBERS[[#This Row],[AvailableToAllSchools]]=TRUE,IF(ISBLANK(MEMBERS[[#This Row],[SchoolCodes]]),0,1)))</f>
        <v>0</v>
      </c>
      <c r="F529" s="57">
        <f>IF(ISBLANK(MEMBERS[[#This Row],[ServiceEndDate]]),0,IF(MEMBERS[[#This Row],[ServiceStartDate]]&lt;MEMBERS[[#This Row],[ServiceEndDate]],0,1))</f>
        <v>0</v>
      </c>
      <c r="G529" s="57" cm="1">
        <f t="array" aca="1" ref="G529" ca="1">IF(CELL("format",MEMBERS[[#This Row],[ServiceStartDate]])="D1",0,1)+IF(CELL("format",MEMBERS[[#This Row],[ServiceEndDate]])="D1",0,1)</f>
        <v>0</v>
      </c>
      <c r="H52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29" s="57">
        <f>IF(LEN(MEMBERS[[#This Row],[StaffMemberCode]])&lt;100,0,1)</f>
        <v>0</v>
      </c>
      <c r="J529" s="57">
        <f>IF(LEN(MEMBERS[[#This Row],[Title]])&lt;100,0,1)</f>
        <v>0</v>
      </c>
      <c r="K529" s="57">
        <f>COUNTBLANK(MEMBERS[[#This Row],[StaffMemberCode]:[ServiceStartDate]])+COUNTBLANK(MEMBERS[[#This Row],[Apprenticeship]]:MEMBERS[[#This Row],[StaffMemberEnabled]])+COUNTBLANK(MEMBERS[[#This Row],[GenderCode]]:MEMBERS[[#This Row],[Casual]])</f>
        <v>0</v>
      </c>
      <c r="L529" s="57">
        <f>IF(SUBSTITUTE(TEXT(MEMBERS[[#This Row],[StaffMemberCode]],10)," ","")=TEXT(MEMBERS[[#This Row],[StaffMemberCode]],10),0,1)</f>
        <v>0</v>
      </c>
      <c r="M529" s="57">
        <f ca="1">SUM(MEMBERS[[#This Row],[Duplicate NameService Start]:[Space in Code]])</f>
        <v>0</v>
      </c>
      <c r="O529" s="15">
        <v>91073905</v>
      </c>
      <c r="P529" s="15" t="s">
        <v>3359</v>
      </c>
      <c r="Q529" s="15" t="s">
        <v>3721</v>
      </c>
      <c r="R529" s="133" t="str">
        <f>MEMBERS[[#This Row],[FirstName]]&amp;" "&amp;MEMBERS[[#This Row],[LastName]]</f>
        <v>Matthew Harris</v>
      </c>
      <c r="S529" s="21">
        <v>42843</v>
      </c>
      <c r="U529" s="21">
        <v>25631</v>
      </c>
      <c r="V529" t="b">
        <v>0</v>
      </c>
      <c r="W529" t="b">
        <v>0</v>
      </c>
      <c r="X529" t="b">
        <v>0</v>
      </c>
      <c r="Y529" t="s">
        <v>51</v>
      </c>
      <c r="Z529" t="b">
        <v>1</v>
      </c>
      <c r="AB529" t="s">
        <v>1572</v>
      </c>
      <c r="AC529" t="b">
        <v>0</v>
      </c>
    </row>
    <row r="530" spans="1:29" x14ac:dyDescent="0.3">
      <c r="A530" s="57" t="str">
        <f>MEMBERS[[#This Row],[Title]]&amp;MEMBERS[[#This Row],[ServiceStartDate]]</f>
        <v>Matthew Hayhurst42013</v>
      </c>
      <c r="B530" s="57">
        <f>IF(COUNTIF(MEMBERS[NameServiceStart],MEMBERS[[#This Row],[NameServiceStart]])=1,0,1)</f>
        <v>0</v>
      </c>
      <c r="C530" s="57">
        <f>IF(COUNTIF(MEMBERS[StaffMemberCode],MEMBERS[[#This Row],[StaffMemberCode]])=1,0,1)</f>
        <v>0</v>
      </c>
      <c r="D530" s="57">
        <f>IF(ISBLANK(MEMBERS[[#This Row],[PayrollLocation]]),0,IF(COUNTIF(SCHOOLS[SchoolCode],MEMBERS[[#This Row],[PayrollLocation]])=1,0,1))</f>
        <v>0</v>
      </c>
      <c r="E530" s="57">
        <f>IF(MEMBERS[[#This Row],[AvailableToAllSchools]]=FALSE,IF(ISBLANK(MEMBERS[[#This Row],[SchoolCodes]]),1,0),IF(MEMBERS[[#This Row],[AvailableToAllSchools]]=TRUE,IF(ISBLANK(MEMBERS[[#This Row],[SchoolCodes]]),0,1)))</f>
        <v>0</v>
      </c>
      <c r="F530" s="57">
        <f>IF(ISBLANK(MEMBERS[[#This Row],[ServiceEndDate]]),0,IF(MEMBERS[[#This Row],[ServiceStartDate]]&lt;MEMBERS[[#This Row],[ServiceEndDate]],0,1))</f>
        <v>0</v>
      </c>
      <c r="G530" s="57" cm="1">
        <f t="array" aca="1" ref="G530" ca="1">IF(CELL("format",MEMBERS[[#This Row],[ServiceStartDate]])="D1",0,1)+IF(CELL("format",MEMBERS[[#This Row],[ServiceEndDate]])="D1",0,1)</f>
        <v>0</v>
      </c>
      <c r="H53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30" s="57">
        <f>IF(LEN(MEMBERS[[#This Row],[StaffMemberCode]])&lt;100,0,1)</f>
        <v>0</v>
      </c>
      <c r="J530" s="57">
        <f>IF(LEN(MEMBERS[[#This Row],[Title]])&lt;100,0,1)</f>
        <v>0</v>
      </c>
      <c r="K530" s="57">
        <f>COUNTBLANK(MEMBERS[[#This Row],[StaffMemberCode]:[ServiceStartDate]])+COUNTBLANK(MEMBERS[[#This Row],[Apprenticeship]]:MEMBERS[[#This Row],[StaffMemberEnabled]])+COUNTBLANK(MEMBERS[[#This Row],[GenderCode]]:MEMBERS[[#This Row],[Casual]])</f>
        <v>0</v>
      </c>
      <c r="L530" s="57">
        <f>IF(SUBSTITUTE(TEXT(MEMBERS[[#This Row],[StaffMemberCode]],10)," ","")=TEXT(MEMBERS[[#This Row],[StaffMemberCode]],10),0,1)</f>
        <v>0</v>
      </c>
      <c r="M530" s="57">
        <f ca="1">SUM(MEMBERS[[#This Row],[Duplicate NameService Start]:[Space in Code]])</f>
        <v>0</v>
      </c>
      <c r="O530" s="15">
        <v>91073572</v>
      </c>
      <c r="P530" s="15" t="s">
        <v>3359</v>
      </c>
      <c r="Q530" s="15" t="s">
        <v>3786</v>
      </c>
      <c r="R530" s="133" t="str">
        <f>MEMBERS[[#This Row],[FirstName]]&amp;" "&amp;MEMBERS[[#This Row],[LastName]]</f>
        <v>Matthew Hayhurst</v>
      </c>
      <c r="S530" s="21">
        <v>42013</v>
      </c>
      <c r="U530" s="21">
        <v>33088</v>
      </c>
      <c r="V530" t="b">
        <v>0</v>
      </c>
      <c r="W530" t="b">
        <v>0</v>
      </c>
      <c r="X530" t="b">
        <v>0</v>
      </c>
      <c r="Y530" t="s">
        <v>2094</v>
      </c>
      <c r="Z530" t="b">
        <v>1</v>
      </c>
      <c r="AB530" t="s">
        <v>1572</v>
      </c>
      <c r="AC530" t="b">
        <v>0</v>
      </c>
    </row>
    <row r="531" spans="1:29" x14ac:dyDescent="0.3">
      <c r="A531" s="57" t="str">
        <f>MEMBERS[[#This Row],[Title]]&amp;MEMBERS[[#This Row],[ServiceStartDate]]</f>
        <v>Matthew Hemmings45841</v>
      </c>
      <c r="B531" s="57">
        <f>IF(COUNTIF(MEMBERS[NameServiceStart],MEMBERS[[#This Row],[NameServiceStart]])=1,0,1)</f>
        <v>0</v>
      </c>
      <c r="C531" s="57">
        <f>IF(COUNTIF(MEMBERS[StaffMemberCode],MEMBERS[[#This Row],[StaffMemberCode]])=1,0,1)</f>
        <v>0</v>
      </c>
      <c r="D531" s="57">
        <f>IF(ISBLANK(MEMBERS[[#This Row],[PayrollLocation]]),0,IF(COUNTIF(SCHOOLS[SchoolCode],MEMBERS[[#This Row],[PayrollLocation]])=1,0,1))</f>
        <v>0</v>
      </c>
      <c r="E531" s="57">
        <f>IF(MEMBERS[[#This Row],[AvailableToAllSchools]]=FALSE,IF(ISBLANK(MEMBERS[[#This Row],[SchoolCodes]]),1,0),IF(MEMBERS[[#This Row],[AvailableToAllSchools]]=TRUE,IF(ISBLANK(MEMBERS[[#This Row],[SchoolCodes]]),0,1)))</f>
        <v>0</v>
      </c>
      <c r="F531" s="57">
        <f>IF(ISBLANK(MEMBERS[[#This Row],[ServiceEndDate]]),0,IF(MEMBERS[[#This Row],[ServiceStartDate]]&lt;MEMBERS[[#This Row],[ServiceEndDate]],0,1))</f>
        <v>0</v>
      </c>
      <c r="G531" s="57" cm="1">
        <f t="array" aca="1" ref="G531" ca="1">IF(CELL("format",MEMBERS[[#This Row],[ServiceStartDate]])="D1",0,1)+IF(CELL("format",MEMBERS[[#This Row],[ServiceEndDate]])="D1",0,1)</f>
        <v>0</v>
      </c>
      <c r="H53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31" s="57">
        <f>IF(LEN(MEMBERS[[#This Row],[StaffMemberCode]])&lt;100,0,1)</f>
        <v>0</v>
      </c>
      <c r="J531" s="57">
        <f>IF(LEN(MEMBERS[[#This Row],[Title]])&lt;100,0,1)</f>
        <v>0</v>
      </c>
      <c r="K531" s="57">
        <f>COUNTBLANK(MEMBERS[[#This Row],[StaffMemberCode]:[ServiceStartDate]])+COUNTBLANK(MEMBERS[[#This Row],[Apprenticeship]]:MEMBERS[[#This Row],[StaffMemberEnabled]])+COUNTBLANK(MEMBERS[[#This Row],[GenderCode]]:MEMBERS[[#This Row],[Casual]])</f>
        <v>0</v>
      </c>
      <c r="L531" s="57">
        <f>IF(SUBSTITUTE(TEXT(MEMBERS[[#This Row],[StaffMemberCode]],10)," ","")=TEXT(MEMBERS[[#This Row],[StaffMemberCode]],10),0,1)</f>
        <v>0</v>
      </c>
      <c r="M531" s="57">
        <f ca="1">SUM(MEMBERS[[#This Row],[Duplicate NameService Start]:[Space in Code]])</f>
        <v>0</v>
      </c>
      <c r="O531" s="15">
        <v>91850028</v>
      </c>
      <c r="P531" s="15" t="s">
        <v>3359</v>
      </c>
      <c r="Q531" s="15" t="s">
        <v>3787</v>
      </c>
      <c r="R531" s="133" t="str">
        <f>MEMBERS[[#This Row],[FirstName]]&amp;" "&amp;MEMBERS[[#This Row],[LastName]]</f>
        <v>Matthew Hemmings</v>
      </c>
      <c r="S531" s="21">
        <v>45841</v>
      </c>
      <c r="U531" s="21">
        <v>28609</v>
      </c>
      <c r="V531" t="b">
        <v>0</v>
      </c>
      <c r="W531" t="b">
        <v>0</v>
      </c>
      <c r="X531" t="b">
        <v>0</v>
      </c>
      <c r="Y531" t="s">
        <v>2082</v>
      </c>
      <c r="Z531" t="b">
        <v>1</v>
      </c>
      <c r="AB531" t="s">
        <v>1572</v>
      </c>
      <c r="AC531" t="b">
        <v>0</v>
      </c>
    </row>
    <row r="532" spans="1:29" x14ac:dyDescent="0.3">
      <c r="A532" s="57" t="str">
        <f>MEMBERS[[#This Row],[Title]]&amp;MEMBERS[[#This Row],[ServiceStartDate]]</f>
        <v>Matthew Snape41883</v>
      </c>
      <c r="B532" s="57">
        <f>IF(COUNTIF(MEMBERS[NameServiceStart],MEMBERS[[#This Row],[NameServiceStart]])=1,0,1)</f>
        <v>0</v>
      </c>
      <c r="C532" s="57">
        <f>IF(COUNTIF(MEMBERS[StaffMemberCode],MEMBERS[[#This Row],[StaffMemberCode]])=1,0,1)</f>
        <v>0</v>
      </c>
      <c r="D532" s="57">
        <f>IF(ISBLANK(MEMBERS[[#This Row],[PayrollLocation]]),0,IF(COUNTIF(SCHOOLS[SchoolCode],MEMBERS[[#This Row],[PayrollLocation]])=1,0,1))</f>
        <v>0</v>
      </c>
      <c r="E532" s="57">
        <f>IF(MEMBERS[[#This Row],[AvailableToAllSchools]]=FALSE,IF(ISBLANK(MEMBERS[[#This Row],[SchoolCodes]]),1,0),IF(MEMBERS[[#This Row],[AvailableToAllSchools]]=TRUE,IF(ISBLANK(MEMBERS[[#This Row],[SchoolCodes]]),0,1)))</f>
        <v>0</v>
      </c>
      <c r="F532" s="57">
        <f>IF(ISBLANK(MEMBERS[[#This Row],[ServiceEndDate]]),0,IF(MEMBERS[[#This Row],[ServiceStartDate]]&lt;MEMBERS[[#This Row],[ServiceEndDate]],0,1))</f>
        <v>0</v>
      </c>
      <c r="G532" s="57" cm="1">
        <f t="array" aca="1" ref="G532" ca="1">IF(CELL("format",MEMBERS[[#This Row],[ServiceStartDate]])="D1",0,1)+IF(CELL("format",MEMBERS[[#This Row],[ServiceEndDate]])="D1",0,1)</f>
        <v>0</v>
      </c>
      <c r="H53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32" s="57">
        <f>IF(LEN(MEMBERS[[#This Row],[StaffMemberCode]])&lt;100,0,1)</f>
        <v>0</v>
      </c>
      <c r="J532" s="57">
        <f>IF(LEN(MEMBERS[[#This Row],[Title]])&lt;100,0,1)</f>
        <v>0</v>
      </c>
      <c r="K532" s="57">
        <f>COUNTBLANK(MEMBERS[[#This Row],[StaffMemberCode]:[ServiceStartDate]])+COUNTBLANK(MEMBERS[[#This Row],[Apprenticeship]]:MEMBERS[[#This Row],[StaffMemberEnabled]])+COUNTBLANK(MEMBERS[[#This Row],[GenderCode]]:MEMBERS[[#This Row],[Casual]])</f>
        <v>0</v>
      </c>
      <c r="L532" s="57">
        <f>IF(SUBSTITUTE(TEXT(MEMBERS[[#This Row],[StaffMemberCode]],10)," ","")=TEXT(MEMBERS[[#This Row],[StaffMemberCode]],10),0,1)</f>
        <v>0</v>
      </c>
      <c r="M532" s="57">
        <f ca="1">SUM(MEMBERS[[#This Row],[Duplicate NameService Start]:[Space in Code]])</f>
        <v>0</v>
      </c>
      <c r="O532" s="15">
        <v>10005337</v>
      </c>
      <c r="P532" s="15" t="s">
        <v>3359</v>
      </c>
      <c r="Q532" s="15" t="s">
        <v>4104</v>
      </c>
      <c r="R532" s="133" t="str">
        <f>MEMBERS[[#This Row],[FirstName]]&amp;" "&amp;MEMBERS[[#This Row],[LastName]]</f>
        <v>Matthew Snape</v>
      </c>
      <c r="S532" s="21">
        <v>41883</v>
      </c>
      <c r="U532" s="21">
        <v>31065</v>
      </c>
      <c r="V532" s="138" t="b">
        <v>0</v>
      </c>
      <c r="W532" t="b">
        <v>0</v>
      </c>
      <c r="X532" t="b">
        <v>0</v>
      </c>
      <c r="Y532" t="s">
        <v>2126</v>
      </c>
      <c r="Z532" t="b">
        <v>1</v>
      </c>
      <c r="AB532" t="s">
        <v>1572</v>
      </c>
      <c r="AC532" t="b">
        <v>0</v>
      </c>
    </row>
    <row r="533" spans="1:29" x14ac:dyDescent="0.3">
      <c r="A533" s="57" t="str">
        <f>MEMBERS[[#This Row],[Title]]&amp;MEMBERS[[#This Row],[ServiceStartDate]]</f>
        <v>Matthew Toft44693</v>
      </c>
      <c r="B533" s="57">
        <f>IF(COUNTIF(MEMBERS[NameServiceStart],MEMBERS[[#This Row],[NameServiceStart]])=1,0,1)</f>
        <v>0</v>
      </c>
      <c r="C533" s="57">
        <f>IF(COUNTIF(MEMBERS[StaffMemberCode],MEMBERS[[#This Row],[StaffMemberCode]])=1,0,1)</f>
        <v>0</v>
      </c>
      <c r="D533" s="57">
        <f>IF(ISBLANK(MEMBERS[[#This Row],[PayrollLocation]]),0,IF(COUNTIF(SCHOOLS[SchoolCode],MEMBERS[[#This Row],[PayrollLocation]])=1,0,1))</f>
        <v>0</v>
      </c>
      <c r="E533" s="57">
        <f>IF(MEMBERS[[#This Row],[AvailableToAllSchools]]=FALSE,IF(ISBLANK(MEMBERS[[#This Row],[SchoolCodes]]),1,0),IF(MEMBERS[[#This Row],[AvailableToAllSchools]]=TRUE,IF(ISBLANK(MEMBERS[[#This Row],[SchoolCodes]]),0,1)))</f>
        <v>0</v>
      </c>
      <c r="F533" s="57">
        <f>IF(ISBLANK(MEMBERS[[#This Row],[ServiceEndDate]]),0,IF(MEMBERS[[#This Row],[ServiceStartDate]]&lt;MEMBERS[[#This Row],[ServiceEndDate]],0,1))</f>
        <v>0</v>
      </c>
      <c r="G533" s="57" cm="1">
        <f t="array" aca="1" ref="G533" ca="1">IF(CELL("format",MEMBERS[[#This Row],[ServiceStartDate]])="D1",0,1)+IF(CELL("format",MEMBERS[[#This Row],[ServiceEndDate]])="D1",0,1)</f>
        <v>0</v>
      </c>
      <c r="H53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33" s="57">
        <f>IF(LEN(MEMBERS[[#This Row],[StaffMemberCode]])&lt;100,0,1)</f>
        <v>0</v>
      </c>
      <c r="J533" s="57">
        <f>IF(LEN(MEMBERS[[#This Row],[Title]])&lt;100,0,1)</f>
        <v>0</v>
      </c>
      <c r="K533" s="57">
        <f>COUNTBLANK(MEMBERS[[#This Row],[StaffMemberCode]:[ServiceStartDate]])+COUNTBLANK(MEMBERS[[#This Row],[Apprenticeship]]:MEMBERS[[#This Row],[StaffMemberEnabled]])+COUNTBLANK(MEMBERS[[#This Row],[GenderCode]]:MEMBERS[[#This Row],[Casual]])</f>
        <v>0</v>
      </c>
      <c r="L533" s="57">
        <f>IF(SUBSTITUTE(TEXT(MEMBERS[[#This Row],[StaffMemberCode]],10)," ","")=TEXT(MEMBERS[[#This Row],[StaffMemberCode]],10),0,1)</f>
        <v>0</v>
      </c>
      <c r="M533" s="57">
        <f ca="1">SUM(MEMBERS[[#This Row],[Duplicate NameService Start]:[Space in Code]])</f>
        <v>0</v>
      </c>
      <c r="O533" s="15">
        <v>91073607</v>
      </c>
      <c r="P533" s="15" t="s">
        <v>3359</v>
      </c>
      <c r="Q533" s="15" t="s">
        <v>3788</v>
      </c>
      <c r="R533" s="133" t="str">
        <f>MEMBERS[[#This Row],[FirstName]]&amp;" "&amp;MEMBERS[[#This Row],[LastName]]</f>
        <v>Matthew Toft</v>
      </c>
      <c r="S533" s="21">
        <v>44693</v>
      </c>
      <c r="U533" s="21">
        <v>32429</v>
      </c>
      <c r="V533" t="b">
        <v>0</v>
      </c>
      <c r="W533" t="b">
        <v>0</v>
      </c>
      <c r="X533" t="b">
        <v>0</v>
      </c>
      <c r="Y533" t="s">
        <v>2094</v>
      </c>
      <c r="Z533" t="b">
        <v>1</v>
      </c>
      <c r="AB533" t="s">
        <v>1572</v>
      </c>
      <c r="AC533" t="b">
        <v>0</v>
      </c>
    </row>
    <row r="534" spans="1:29" x14ac:dyDescent="0.3">
      <c r="A534" s="57" t="str">
        <f>MEMBERS[[#This Row],[Title]]&amp;MEMBERS[[#This Row],[ServiceStartDate]]</f>
        <v>Megan Clark43752</v>
      </c>
      <c r="B534" s="57">
        <f>IF(COUNTIF(MEMBERS[NameServiceStart],MEMBERS[[#This Row],[NameServiceStart]])=1,0,1)</f>
        <v>0</v>
      </c>
      <c r="C534" s="57">
        <f>IF(COUNTIF(MEMBERS[StaffMemberCode],MEMBERS[[#This Row],[StaffMemberCode]])=1,0,1)</f>
        <v>0</v>
      </c>
      <c r="D534" s="57">
        <f>IF(ISBLANK(MEMBERS[[#This Row],[PayrollLocation]]),0,IF(COUNTIF(SCHOOLS[SchoolCode],MEMBERS[[#This Row],[PayrollLocation]])=1,0,1))</f>
        <v>0</v>
      </c>
      <c r="E534" s="57">
        <f>IF(MEMBERS[[#This Row],[AvailableToAllSchools]]=FALSE,IF(ISBLANK(MEMBERS[[#This Row],[SchoolCodes]]),1,0),IF(MEMBERS[[#This Row],[AvailableToAllSchools]]=TRUE,IF(ISBLANK(MEMBERS[[#This Row],[SchoolCodes]]),0,1)))</f>
        <v>0</v>
      </c>
      <c r="F534" s="57">
        <f>IF(ISBLANK(MEMBERS[[#This Row],[ServiceEndDate]]),0,IF(MEMBERS[[#This Row],[ServiceStartDate]]&lt;MEMBERS[[#This Row],[ServiceEndDate]],0,1))</f>
        <v>0</v>
      </c>
      <c r="G534" s="57" cm="1">
        <f t="array" aca="1" ref="G534" ca="1">IF(CELL("format",MEMBERS[[#This Row],[ServiceStartDate]])="D1",0,1)+IF(CELL("format",MEMBERS[[#This Row],[ServiceEndDate]])="D1",0,1)</f>
        <v>0</v>
      </c>
      <c r="H53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34" s="57">
        <f>IF(LEN(MEMBERS[[#This Row],[StaffMemberCode]])&lt;100,0,1)</f>
        <v>0</v>
      </c>
      <c r="J534" s="57">
        <f>IF(LEN(MEMBERS[[#This Row],[Title]])&lt;100,0,1)</f>
        <v>0</v>
      </c>
      <c r="K534" s="57">
        <f>COUNTBLANK(MEMBERS[[#This Row],[StaffMemberCode]:[ServiceStartDate]])+COUNTBLANK(MEMBERS[[#This Row],[Apprenticeship]]:MEMBERS[[#This Row],[StaffMemberEnabled]])+COUNTBLANK(MEMBERS[[#This Row],[GenderCode]]:MEMBERS[[#This Row],[Casual]])</f>
        <v>0</v>
      </c>
      <c r="L534" s="57">
        <f>IF(SUBSTITUTE(TEXT(MEMBERS[[#This Row],[StaffMemberCode]],10)," ","")=TEXT(MEMBERS[[#This Row],[StaffMemberCode]],10),0,1)</f>
        <v>0</v>
      </c>
      <c r="M534" s="57">
        <f ca="1">SUM(MEMBERS[[#This Row],[Duplicate NameService Start]:[Space in Code]])</f>
        <v>0</v>
      </c>
      <c r="O534" s="15">
        <v>91073539</v>
      </c>
      <c r="P534" s="15" t="s">
        <v>3360</v>
      </c>
      <c r="Q534" s="15" t="s">
        <v>3637</v>
      </c>
      <c r="R534" s="133" t="str">
        <f>MEMBERS[[#This Row],[FirstName]]&amp;" "&amp;MEMBERS[[#This Row],[LastName]]</f>
        <v>Megan Clark</v>
      </c>
      <c r="S534" s="21">
        <v>43752</v>
      </c>
      <c r="U534" s="21">
        <v>24248</v>
      </c>
      <c r="V534" t="b">
        <v>0</v>
      </c>
      <c r="W534" t="b">
        <v>0</v>
      </c>
      <c r="X534" t="b">
        <v>0</v>
      </c>
      <c r="Y534" t="s">
        <v>2094</v>
      </c>
      <c r="Z534" t="b">
        <v>1</v>
      </c>
      <c r="AB534" t="s">
        <v>1571</v>
      </c>
      <c r="AC534" t="b">
        <v>0</v>
      </c>
    </row>
    <row r="535" spans="1:29" x14ac:dyDescent="0.3">
      <c r="A535" s="57" t="str">
        <f>MEMBERS[[#This Row],[Title]]&amp;MEMBERS[[#This Row],[ServiceStartDate]]</f>
        <v>Megan Lawton42248</v>
      </c>
      <c r="B535" s="57">
        <f>IF(COUNTIF(MEMBERS[NameServiceStart],MEMBERS[[#This Row],[NameServiceStart]])=1,0,1)</f>
        <v>0</v>
      </c>
      <c r="C535" s="57">
        <f>IF(COUNTIF(MEMBERS[StaffMemberCode],MEMBERS[[#This Row],[StaffMemberCode]])=1,0,1)</f>
        <v>0</v>
      </c>
      <c r="D535" s="57">
        <f>IF(ISBLANK(MEMBERS[[#This Row],[PayrollLocation]]),0,IF(COUNTIF(SCHOOLS[SchoolCode],MEMBERS[[#This Row],[PayrollLocation]])=1,0,1))</f>
        <v>0</v>
      </c>
      <c r="E535" s="57">
        <f>IF(MEMBERS[[#This Row],[AvailableToAllSchools]]=FALSE,IF(ISBLANK(MEMBERS[[#This Row],[SchoolCodes]]),1,0),IF(MEMBERS[[#This Row],[AvailableToAllSchools]]=TRUE,IF(ISBLANK(MEMBERS[[#This Row],[SchoolCodes]]),0,1)))</f>
        <v>0</v>
      </c>
      <c r="F535" s="57">
        <f>IF(ISBLANK(MEMBERS[[#This Row],[ServiceEndDate]]),0,IF(MEMBERS[[#This Row],[ServiceStartDate]]&lt;MEMBERS[[#This Row],[ServiceEndDate]],0,1))</f>
        <v>0</v>
      </c>
      <c r="G535" s="57" cm="1">
        <f t="array" aca="1" ref="G535" ca="1">IF(CELL("format",MEMBERS[[#This Row],[ServiceStartDate]])="D1",0,1)+IF(CELL("format",MEMBERS[[#This Row],[ServiceEndDate]])="D1",0,1)</f>
        <v>0</v>
      </c>
      <c r="H53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35" s="57">
        <f>IF(LEN(MEMBERS[[#This Row],[StaffMemberCode]])&lt;100,0,1)</f>
        <v>0</v>
      </c>
      <c r="J535" s="57">
        <f>IF(LEN(MEMBERS[[#This Row],[Title]])&lt;100,0,1)</f>
        <v>0</v>
      </c>
      <c r="K535" s="57">
        <f>COUNTBLANK(MEMBERS[[#This Row],[StaffMemberCode]:[ServiceStartDate]])+COUNTBLANK(MEMBERS[[#This Row],[Apprenticeship]]:MEMBERS[[#This Row],[StaffMemberEnabled]])+COUNTBLANK(MEMBERS[[#This Row],[GenderCode]]:MEMBERS[[#This Row],[Casual]])</f>
        <v>0</v>
      </c>
      <c r="L535" s="57">
        <f>IF(SUBSTITUTE(TEXT(MEMBERS[[#This Row],[StaffMemberCode]],10)," ","")=TEXT(MEMBERS[[#This Row],[StaffMemberCode]],10),0,1)</f>
        <v>0</v>
      </c>
      <c r="M535" s="57">
        <f ca="1">SUM(MEMBERS[[#This Row],[Duplicate NameService Start]:[Space in Code]])</f>
        <v>0</v>
      </c>
      <c r="O535" s="15">
        <v>91075770</v>
      </c>
      <c r="P535" s="15" t="s">
        <v>3360</v>
      </c>
      <c r="Q535" s="15" t="s">
        <v>3789</v>
      </c>
      <c r="R535" s="133" t="str">
        <f>MEMBERS[[#This Row],[FirstName]]&amp;" "&amp;MEMBERS[[#This Row],[LastName]]</f>
        <v>Megan Lawton</v>
      </c>
      <c r="S535" s="21">
        <v>42248</v>
      </c>
      <c r="U535" s="21">
        <v>32363</v>
      </c>
      <c r="V535" t="b">
        <v>0</v>
      </c>
      <c r="W535" t="b">
        <v>0</v>
      </c>
      <c r="X535" t="b">
        <v>0</v>
      </c>
      <c r="Y535" t="s">
        <v>2200</v>
      </c>
      <c r="Z535" t="b">
        <v>1</v>
      </c>
      <c r="AB535" t="s">
        <v>1571</v>
      </c>
      <c r="AC535" t="b">
        <v>0</v>
      </c>
    </row>
    <row r="536" spans="1:29" x14ac:dyDescent="0.3">
      <c r="A536" s="57" t="str">
        <f>MEMBERS[[#This Row],[Title]]&amp;MEMBERS[[#This Row],[ServiceStartDate]]</f>
        <v>Melanie Butler44459</v>
      </c>
      <c r="B536" s="57">
        <f>IF(COUNTIF(MEMBERS[NameServiceStart],MEMBERS[[#This Row],[NameServiceStart]])=1,0,1)</f>
        <v>0</v>
      </c>
      <c r="C536" s="57">
        <f>IF(COUNTIF(MEMBERS[StaffMemberCode],MEMBERS[[#This Row],[StaffMemberCode]])=1,0,1)</f>
        <v>0</v>
      </c>
      <c r="D536" s="57">
        <f>IF(ISBLANK(MEMBERS[[#This Row],[PayrollLocation]]),0,IF(COUNTIF(SCHOOLS[SchoolCode],MEMBERS[[#This Row],[PayrollLocation]])=1,0,1))</f>
        <v>0</v>
      </c>
      <c r="E536" s="57">
        <f>IF(MEMBERS[[#This Row],[AvailableToAllSchools]]=FALSE,IF(ISBLANK(MEMBERS[[#This Row],[SchoolCodes]]),1,0),IF(MEMBERS[[#This Row],[AvailableToAllSchools]]=TRUE,IF(ISBLANK(MEMBERS[[#This Row],[SchoolCodes]]),0,1)))</f>
        <v>0</v>
      </c>
      <c r="F536" s="57">
        <f>IF(ISBLANK(MEMBERS[[#This Row],[ServiceEndDate]]),0,IF(MEMBERS[[#This Row],[ServiceStartDate]]&lt;MEMBERS[[#This Row],[ServiceEndDate]],0,1))</f>
        <v>0</v>
      </c>
      <c r="G536" s="57" cm="1">
        <f t="array" aca="1" ref="G536" ca="1">IF(CELL("format",MEMBERS[[#This Row],[ServiceStartDate]])="D1",0,1)+IF(CELL("format",MEMBERS[[#This Row],[ServiceEndDate]])="D1",0,1)</f>
        <v>0</v>
      </c>
      <c r="H53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36" s="57">
        <f>IF(LEN(MEMBERS[[#This Row],[StaffMemberCode]])&lt;100,0,1)</f>
        <v>0</v>
      </c>
      <c r="J536" s="57">
        <f>IF(LEN(MEMBERS[[#This Row],[Title]])&lt;100,0,1)</f>
        <v>0</v>
      </c>
      <c r="K536" s="57">
        <f>COUNTBLANK(MEMBERS[[#This Row],[StaffMemberCode]:[ServiceStartDate]])+COUNTBLANK(MEMBERS[[#This Row],[Apprenticeship]]:MEMBERS[[#This Row],[StaffMemberEnabled]])+COUNTBLANK(MEMBERS[[#This Row],[GenderCode]]:MEMBERS[[#This Row],[Casual]])</f>
        <v>0</v>
      </c>
      <c r="L536" s="57">
        <f>IF(SUBSTITUTE(TEXT(MEMBERS[[#This Row],[StaffMemberCode]],10)," ","")=TEXT(MEMBERS[[#This Row],[StaffMemberCode]],10),0,1)</f>
        <v>0</v>
      </c>
      <c r="M536" s="57">
        <f ca="1">SUM(MEMBERS[[#This Row],[Duplicate NameService Start]:[Space in Code]])</f>
        <v>0</v>
      </c>
      <c r="O536" s="15">
        <v>91073943</v>
      </c>
      <c r="P536" s="15" t="s">
        <v>3361</v>
      </c>
      <c r="Q536" s="15" t="s">
        <v>3546</v>
      </c>
      <c r="R536" s="133" t="str">
        <f>MEMBERS[[#This Row],[FirstName]]&amp;" "&amp;MEMBERS[[#This Row],[LastName]]</f>
        <v>Melanie Butler</v>
      </c>
      <c r="S536" s="21">
        <v>44459</v>
      </c>
      <c r="U536" s="21">
        <v>28329</v>
      </c>
      <c r="V536" t="b">
        <v>0</v>
      </c>
      <c r="W536" t="b">
        <v>0</v>
      </c>
      <c r="X536" t="b">
        <v>0</v>
      </c>
      <c r="Y536" t="s">
        <v>2299</v>
      </c>
      <c r="Z536" t="b">
        <v>1</v>
      </c>
      <c r="AB536" t="s">
        <v>1571</v>
      </c>
      <c r="AC536" t="b">
        <v>0</v>
      </c>
    </row>
    <row r="537" spans="1:29" x14ac:dyDescent="0.3">
      <c r="A537" s="57" t="str">
        <f>MEMBERS[[#This Row],[Title]]&amp;MEMBERS[[#This Row],[ServiceStartDate]]</f>
        <v>Melanie Lang44935</v>
      </c>
      <c r="B537" s="57">
        <f>IF(COUNTIF(MEMBERS[NameServiceStart],MEMBERS[[#This Row],[NameServiceStart]])=1,0,1)</f>
        <v>0</v>
      </c>
      <c r="C537" s="57">
        <f>IF(COUNTIF(MEMBERS[StaffMemberCode],MEMBERS[[#This Row],[StaffMemberCode]])=1,0,1)</f>
        <v>0</v>
      </c>
      <c r="D537" s="57">
        <f>IF(ISBLANK(MEMBERS[[#This Row],[PayrollLocation]]),0,IF(COUNTIF(SCHOOLS[SchoolCode],MEMBERS[[#This Row],[PayrollLocation]])=1,0,1))</f>
        <v>0</v>
      </c>
      <c r="E537" s="57">
        <f>IF(MEMBERS[[#This Row],[AvailableToAllSchools]]=FALSE,IF(ISBLANK(MEMBERS[[#This Row],[SchoolCodes]]),1,0),IF(MEMBERS[[#This Row],[AvailableToAllSchools]]=TRUE,IF(ISBLANK(MEMBERS[[#This Row],[SchoolCodes]]),0,1)))</f>
        <v>0</v>
      </c>
      <c r="F537" s="57">
        <f>IF(ISBLANK(MEMBERS[[#This Row],[ServiceEndDate]]),0,IF(MEMBERS[[#This Row],[ServiceStartDate]]&lt;MEMBERS[[#This Row],[ServiceEndDate]],0,1))</f>
        <v>0</v>
      </c>
      <c r="G537" s="57" cm="1">
        <f t="array" aca="1" ref="G537" ca="1">IF(CELL("format",MEMBERS[[#This Row],[ServiceStartDate]])="D1",0,1)+IF(CELL("format",MEMBERS[[#This Row],[ServiceEndDate]])="D1",0,1)</f>
        <v>0</v>
      </c>
      <c r="H53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37" s="57">
        <f>IF(LEN(MEMBERS[[#This Row],[StaffMemberCode]])&lt;100,0,1)</f>
        <v>0</v>
      </c>
      <c r="J537" s="57">
        <f>IF(LEN(MEMBERS[[#This Row],[Title]])&lt;100,0,1)</f>
        <v>0</v>
      </c>
      <c r="K537" s="57">
        <f>COUNTBLANK(MEMBERS[[#This Row],[StaffMemberCode]:[ServiceStartDate]])+COUNTBLANK(MEMBERS[[#This Row],[Apprenticeship]]:MEMBERS[[#This Row],[StaffMemberEnabled]])+COUNTBLANK(MEMBERS[[#This Row],[GenderCode]]:MEMBERS[[#This Row],[Casual]])</f>
        <v>0</v>
      </c>
      <c r="L537" s="57">
        <f>IF(SUBSTITUTE(TEXT(MEMBERS[[#This Row],[StaffMemberCode]],10)," ","")=TEXT(MEMBERS[[#This Row],[StaffMemberCode]],10),0,1)</f>
        <v>0</v>
      </c>
      <c r="M537" s="57">
        <f ca="1">SUM(MEMBERS[[#This Row],[Duplicate NameService Start]:[Space in Code]])</f>
        <v>0</v>
      </c>
      <c r="O537" s="15">
        <v>91073850</v>
      </c>
      <c r="P537" s="15" t="s">
        <v>3361</v>
      </c>
      <c r="Q537" s="15" t="s">
        <v>3790</v>
      </c>
      <c r="R537" s="133" t="str">
        <f>MEMBERS[[#This Row],[FirstName]]&amp;" "&amp;MEMBERS[[#This Row],[LastName]]</f>
        <v>Melanie Lang</v>
      </c>
      <c r="S537" s="21">
        <v>44935</v>
      </c>
      <c r="U537" s="21">
        <v>29495</v>
      </c>
      <c r="V537" t="b">
        <v>0</v>
      </c>
      <c r="W537" t="b">
        <v>0</v>
      </c>
      <c r="X537" t="b">
        <v>0</v>
      </c>
      <c r="Y537" t="s">
        <v>2082</v>
      </c>
      <c r="Z537" t="b">
        <v>1</v>
      </c>
      <c r="AB537" t="s">
        <v>1571</v>
      </c>
      <c r="AC537" t="b">
        <v>0</v>
      </c>
    </row>
    <row r="538" spans="1:29" x14ac:dyDescent="0.3">
      <c r="A538" s="57" t="str">
        <f>MEMBERS[[#This Row],[Title]]&amp;MEMBERS[[#This Row],[ServiceStartDate]]</f>
        <v>Melissa Allen-Gurr39091</v>
      </c>
      <c r="B538" s="57">
        <f>IF(COUNTIF(MEMBERS[NameServiceStart],MEMBERS[[#This Row],[NameServiceStart]])=1,0,1)</f>
        <v>0</v>
      </c>
      <c r="C538" s="57">
        <f>IF(COUNTIF(MEMBERS[StaffMemberCode],MEMBERS[[#This Row],[StaffMemberCode]])=1,0,1)</f>
        <v>0</v>
      </c>
      <c r="D538" s="57">
        <f>IF(ISBLANK(MEMBERS[[#This Row],[PayrollLocation]]),0,IF(COUNTIF(SCHOOLS[SchoolCode],MEMBERS[[#This Row],[PayrollLocation]])=1,0,1))</f>
        <v>0</v>
      </c>
      <c r="E538" s="57">
        <f>IF(MEMBERS[[#This Row],[AvailableToAllSchools]]=FALSE,IF(ISBLANK(MEMBERS[[#This Row],[SchoolCodes]]),1,0),IF(MEMBERS[[#This Row],[AvailableToAllSchools]]=TRUE,IF(ISBLANK(MEMBERS[[#This Row],[SchoolCodes]]),0,1)))</f>
        <v>0</v>
      </c>
      <c r="F538" s="57">
        <f>IF(ISBLANK(MEMBERS[[#This Row],[ServiceEndDate]]),0,IF(MEMBERS[[#This Row],[ServiceStartDate]]&lt;MEMBERS[[#This Row],[ServiceEndDate]],0,1))</f>
        <v>0</v>
      </c>
      <c r="G538" s="57" cm="1">
        <f t="array" aca="1" ref="G538" ca="1">IF(CELL("format",MEMBERS[[#This Row],[ServiceStartDate]])="D1",0,1)+IF(CELL("format",MEMBERS[[#This Row],[ServiceEndDate]])="D1",0,1)</f>
        <v>0</v>
      </c>
      <c r="H53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38" s="57">
        <f>IF(LEN(MEMBERS[[#This Row],[StaffMemberCode]])&lt;100,0,1)</f>
        <v>0</v>
      </c>
      <c r="J538" s="57">
        <f>IF(LEN(MEMBERS[[#This Row],[Title]])&lt;100,0,1)</f>
        <v>0</v>
      </c>
      <c r="K538" s="57">
        <f>COUNTBLANK(MEMBERS[[#This Row],[StaffMemberCode]:[ServiceStartDate]])+COUNTBLANK(MEMBERS[[#This Row],[Apprenticeship]]:MEMBERS[[#This Row],[StaffMemberEnabled]])+COUNTBLANK(MEMBERS[[#This Row],[GenderCode]]:MEMBERS[[#This Row],[Casual]])</f>
        <v>0</v>
      </c>
      <c r="L538" s="57">
        <f>IF(SUBSTITUTE(TEXT(MEMBERS[[#This Row],[StaffMemberCode]],10)," ","")=TEXT(MEMBERS[[#This Row],[StaffMemberCode]],10),0,1)</f>
        <v>0</v>
      </c>
      <c r="M538" s="57">
        <f ca="1">SUM(MEMBERS[[#This Row],[Duplicate NameService Start]:[Space in Code]])</f>
        <v>0</v>
      </c>
      <c r="O538" s="15">
        <v>91073472</v>
      </c>
      <c r="P538" s="15" t="s">
        <v>3362</v>
      </c>
      <c r="Q538" s="15" t="s">
        <v>3791</v>
      </c>
      <c r="R538" s="133" t="str">
        <f>MEMBERS[[#This Row],[FirstName]]&amp;" "&amp;MEMBERS[[#This Row],[LastName]]</f>
        <v>Melissa Allen-Gurr</v>
      </c>
      <c r="S538" s="21">
        <v>39091</v>
      </c>
      <c r="U538" s="21">
        <v>31159</v>
      </c>
      <c r="V538" t="b">
        <v>0</v>
      </c>
      <c r="W538" t="b">
        <v>0</v>
      </c>
      <c r="X538" t="b">
        <v>0</v>
      </c>
      <c r="Y538" t="s">
        <v>2094</v>
      </c>
      <c r="Z538" t="b">
        <v>1</v>
      </c>
      <c r="AB538" t="s">
        <v>1571</v>
      </c>
      <c r="AC538" t="b">
        <v>0</v>
      </c>
    </row>
    <row r="539" spans="1:29" x14ac:dyDescent="0.3">
      <c r="A539" s="57" t="str">
        <f>MEMBERS[[#This Row],[Title]]&amp;MEMBERS[[#This Row],[ServiceStartDate]]</f>
        <v>Melissa Meyler43346</v>
      </c>
      <c r="B539" s="57">
        <f>IF(COUNTIF(MEMBERS[NameServiceStart],MEMBERS[[#This Row],[NameServiceStart]])=1,0,1)</f>
        <v>0</v>
      </c>
      <c r="C539" s="57">
        <f>IF(COUNTIF(MEMBERS[StaffMemberCode],MEMBERS[[#This Row],[StaffMemberCode]])=1,0,1)</f>
        <v>0</v>
      </c>
      <c r="D539" s="57">
        <f>IF(ISBLANK(MEMBERS[[#This Row],[PayrollLocation]]),0,IF(COUNTIF(SCHOOLS[SchoolCode],MEMBERS[[#This Row],[PayrollLocation]])=1,0,1))</f>
        <v>0</v>
      </c>
      <c r="E539" s="57">
        <f>IF(MEMBERS[[#This Row],[AvailableToAllSchools]]=FALSE,IF(ISBLANK(MEMBERS[[#This Row],[SchoolCodes]]),1,0),IF(MEMBERS[[#This Row],[AvailableToAllSchools]]=TRUE,IF(ISBLANK(MEMBERS[[#This Row],[SchoolCodes]]),0,1)))</f>
        <v>0</v>
      </c>
      <c r="F539" s="57">
        <f>IF(ISBLANK(MEMBERS[[#This Row],[ServiceEndDate]]),0,IF(MEMBERS[[#This Row],[ServiceStartDate]]&lt;MEMBERS[[#This Row],[ServiceEndDate]],0,1))</f>
        <v>0</v>
      </c>
      <c r="G539" s="57" cm="1">
        <f t="array" aca="1" ref="G539" ca="1">IF(CELL("format",MEMBERS[[#This Row],[ServiceStartDate]])="D1",0,1)+IF(CELL("format",MEMBERS[[#This Row],[ServiceEndDate]])="D1",0,1)</f>
        <v>0</v>
      </c>
      <c r="H53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39" s="57">
        <f>IF(LEN(MEMBERS[[#This Row],[StaffMemberCode]])&lt;100,0,1)</f>
        <v>0</v>
      </c>
      <c r="J539" s="57">
        <f>IF(LEN(MEMBERS[[#This Row],[Title]])&lt;100,0,1)</f>
        <v>0</v>
      </c>
      <c r="K539" s="57">
        <f>COUNTBLANK(MEMBERS[[#This Row],[StaffMemberCode]:[ServiceStartDate]])+COUNTBLANK(MEMBERS[[#This Row],[Apprenticeship]]:MEMBERS[[#This Row],[StaffMemberEnabled]])+COUNTBLANK(MEMBERS[[#This Row],[GenderCode]]:MEMBERS[[#This Row],[Casual]])</f>
        <v>0</v>
      </c>
      <c r="L539" s="57">
        <f>IF(SUBSTITUTE(TEXT(MEMBERS[[#This Row],[StaffMemberCode]],10)," ","")=TEXT(MEMBERS[[#This Row],[StaffMemberCode]],10),0,1)</f>
        <v>0</v>
      </c>
      <c r="M539" s="57">
        <f ca="1">SUM(MEMBERS[[#This Row],[Duplicate NameService Start]:[Space in Code]])</f>
        <v>0</v>
      </c>
      <c r="O539" s="15">
        <v>91325006</v>
      </c>
      <c r="P539" s="15" t="s">
        <v>3362</v>
      </c>
      <c r="Q539" s="15" t="s">
        <v>3792</v>
      </c>
      <c r="R539" s="133" t="str">
        <f>MEMBERS[[#This Row],[FirstName]]&amp;" "&amp;MEMBERS[[#This Row],[LastName]]</f>
        <v>Melissa Meyler</v>
      </c>
      <c r="S539" s="21">
        <v>43346</v>
      </c>
      <c r="U539" s="21">
        <v>27033</v>
      </c>
      <c r="V539" t="b">
        <v>0</v>
      </c>
      <c r="W539" t="b">
        <v>0</v>
      </c>
      <c r="X539" t="b">
        <v>0</v>
      </c>
      <c r="Y539" t="s">
        <v>2094</v>
      </c>
      <c r="Z539" t="b">
        <v>1</v>
      </c>
      <c r="AB539" t="s">
        <v>1571</v>
      </c>
      <c r="AC539" t="b">
        <v>0</v>
      </c>
    </row>
    <row r="540" spans="1:29" x14ac:dyDescent="0.3">
      <c r="A540" s="57" t="str">
        <f>MEMBERS[[#This Row],[Title]]&amp;MEMBERS[[#This Row],[ServiceStartDate]]</f>
        <v>Mia Donathy45769</v>
      </c>
      <c r="B540" s="57">
        <f>IF(COUNTIF(MEMBERS[NameServiceStart],MEMBERS[[#This Row],[NameServiceStart]])=1,0,1)</f>
        <v>0</v>
      </c>
      <c r="C540" s="57">
        <f>IF(COUNTIF(MEMBERS[StaffMemberCode],MEMBERS[[#This Row],[StaffMemberCode]])=1,0,1)</f>
        <v>0</v>
      </c>
      <c r="D540" s="57">
        <f>IF(ISBLANK(MEMBERS[[#This Row],[PayrollLocation]]),0,IF(COUNTIF(SCHOOLS[SchoolCode],MEMBERS[[#This Row],[PayrollLocation]])=1,0,1))</f>
        <v>0</v>
      </c>
      <c r="E540" s="57">
        <f>IF(MEMBERS[[#This Row],[AvailableToAllSchools]]=FALSE,IF(ISBLANK(MEMBERS[[#This Row],[SchoolCodes]]),1,0),IF(MEMBERS[[#This Row],[AvailableToAllSchools]]=TRUE,IF(ISBLANK(MEMBERS[[#This Row],[SchoolCodes]]),0,1)))</f>
        <v>0</v>
      </c>
      <c r="F540" s="57">
        <f>IF(ISBLANK(MEMBERS[[#This Row],[ServiceEndDate]]),0,IF(MEMBERS[[#This Row],[ServiceStartDate]]&lt;MEMBERS[[#This Row],[ServiceEndDate]],0,1))</f>
        <v>0</v>
      </c>
      <c r="G540" s="57" cm="1">
        <f t="array" aca="1" ref="G540" ca="1">IF(CELL("format",MEMBERS[[#This Row],[ServiceStartDate]])="D1",0,1)+IF(CELL("format",MEMBERS[[#This Row],[ServiceEndDate]])="D1",0,1)</f>
        <v>0</v>
      </c>
      <c r="H54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40" s="57">
        <f>IF(LEN(MEMBERS[[#This Row],[StaffMemberCode]])&lt;100,0,1)</f>
        <v>0</v>
      </c>
      <c r="J540" s="57">
        <f>IF(LEN(MEMBERS[[#This Row],[Title]])&lt;100,0,1)</f>
        <v>0</v>
      </c>
      <c r="K540" s="57">
        <f>COUNTBLANK(MEMBERS[[#This Row],[StaffMemberCode]:[ServiceStartDate]])+COUNTBLANK(MEMBERS[[#This Row],[Apprenticeship]]:MEMBERS[[#This Row],[StaffMemberEnabled]])+COUNTBLANK(MEMBERS[[#This Row],[GenderCode]]:MEMBERS[[#This Row],[Casual]])</f>
        <v>0</v>
      </c>
      <c r="L540" s="57">
        <f>IF(SUBSTITUTE(TEXT(MEMBERS[[#This Row],[StaffMemberCode]],10)," ","")=TEXT(MEMBERS[[#This Row],[StaffMemberCode]],10),0,1)</f>
        <v>0</v>
      </c>
      <c r="M540" s="57">
        <f ca="1">SUM(MEMBERS[[#This Row],[Duplicate NameService Start]:[Space in Code]])</f>
        <v>0</v>
      </c>
      <c r="O540" s="15">
        <v>91850005</v>
      </c>
      <c r="P540" s="15" t="s">
        <v>3363</v>
      </c>
      <c r="Q540" s="15" t="s">
        <v>3761</v>
      </c>
      <c r="R540" s="133" t="str">
        <f>MEMBERS[[#This Row],[FirstName]]&amp;" "&amp;MEMBERS[[#This Row],[LastName]]</f>
        <v>Mia Donathy</v>
      </c>
      <c r="S540" s="21">
        <v>45769</v>
      </c>
      <c r="U540" s="21">
        <v>37632</v>
      </c>
      <c r="V540" t="b">
        <v>0</v>
      </c>
      <c r="W540" t="b">
        <v>0</v>
      </c>
      <c r="X540" t="b">
        <v>0</v>
      </c>
      <c r="Y540" t="s">
        <v>2082</v>
      </c>
      <c r="Z540" t="b">
        <v>1</v>
      </c>
      <c r="AB540" t="s">
        <v>1571</v>
      </c>
      <c r="AC540" t="b">
        <v>0</v>
      </c>
    </row>
    <row r="541" spans="1:29" x14ac:dyDescent="0.3">
      <c r="A541" s="57" t="str">
        <f>MEMBERS[[#This Row],[Title]]&amp;MEMBERS[[#This Row],[ServiceStartDate]]</f>
        <v>Michael Ollier45170</v>
      </c>
      <c r="B541" s="57">
        <f>IF(COUNTIF(MEMBERS[NameServiceStart],MEMBERS[[#This Row],[NameServiceStart]])=1,0,1)</f>
        <v>0</v>
      </c>
      <c r="C541" s="57">
        <f>IF(COUNTIF(MEMBERS[StaffMemberCode],MEMBERS[[#This Row],[StaffMemberCode]])=1,0,1)</f>
        <v>0</v>
      </c>
      <c r="D541" s="57">
        <f>IF(ISBLANK(MEMBERS[[#This Row],[PayrollLocation]]),0,IF(COUNTIF(SCHOOLS[SchoolCode],MEMBERS[[#This Row],[PayrollLocation]])=1,0,1))</f>
        <v>0</v>
      </c>
      <c r="E541" s="57">
        <f>IF(MEMBERS[[#This Row],[AvailableToAllSchools]]=FALSE,IF(ISBLANK(MEMBERS[[#This Row],[SchoolCodes]]),1,0),IF(MEMBERS[[#This Row],[AvailableToAllSchools]]=TRUE,IF(ISBLANK(MEMBERS[[#This Row],[SchoolCodes]]),0,1)))</f>
        <v>0</v>
      </c>
      <c r="F541" s="57">
        <f>IF(ISBLANK(MEMBERS[[#This Row],[ServiceEndDate]]),0,IF(MEMBERS[[#This Row],[ServiceStartDate]]&lt;MEMBERS[[#This Row],[ServiceEndDate]],0,1))</f>
        <v>0</v>
      </c>
      <c r="G541" s="57" cm="1">
        <f t="array" aca="1" ref="G541" ca="1">IF(CELL("format",MEMBERS[[#This Row],[ServiceStartDate]])="D1",0,1)+IF(CELL("format",MEMBERS[[#This Row],[ServiceEndDate]])="D1",0,1)</f>
        <v>0</v>
      </c>
      <c r="H54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41" s="57">
        <f>IF(LEN(MEMBERS[[#This Row],[StaffMemberCode]])&lt;100,0,1)</f>
        <v>0</v>
      </c>
      <c r="J541" s="57">
        <f>IF(LEN(MEMBERS[[#This Row],[Title]])&lt;100,0,1)</f>
        <v>0</v>
      </c>
      <c r="K541" s="57">
        <f>COUNTBLANK(MEMBERS[[#This Row],[StaffMemberCode]:[ServiceStartDate]])+COUNTBLANK(MEMBERS[[#This Row],[Apprenticeship]]:MEMBERS[[#This Row],[StaffMemberEnabled]])+COUNTBLANK(MEMBERS[[#This Row],[GenderCode]]:MEMBERS[[#This Row],[Casual]])</f>
        <v>0</v>
      </c>
      <c r="L541" s="57">
        <f>IF(SUBSTITUTE(TEXT(MEMBERS[[#This Row],[StaffMemberCode]],10)," ","")=TEXT(MEMBERS[[#This Row],[StaffMemberCode]],10),0,1)</f>
        <v>0</v>
      </c>
      <c r="M541" s="57">
        <f ca="1">SUM(MEMBERS[[#This Row],[Duplicate NameService Start]:[Space in Code]])</f>
        <v>0</v>
      </c>
      <c r="O541" s="15">
        <v>10012812</v>
      </c>
      <c r="P541" s="15" t="s">
        <v>3364</v>
      </c>
      <c r="Q541" s="15" t="s">
        <v>4105</v>
      </c>
      <c r="R541" s="133" t="str">
        <f>MEMBERS[[#This Row],[FirstName]]&amp;" "&amp;MEMBERS[[#This Row],[LastName]]</f>
        <v>Michael Ollier</v>
      </c>
      <c r="S541" s="21">
        <v>45170</v>
      </c>
      <c r="U541" s="21">
        <v>34947</v>
      </c>
      <c r="V541" s="138" t="b">
        <v>0</v>
      </c>
      <c r="W541" t="b">
        <v>0</v>
      </c>
      <c r="X541" t="b">
        <v>0</v>
      </c>
      <c r="Y541" t="s">
        <v>2126</v>
      </c>
      <c r="Z541" t="b">
        <v>1</v>
      </c>
      <c r="AB541" t="s">
        <v>1572</v>
      </c>
      <c r="AC541" t="b">
        <v>0</v>
      </c>
    </row>
    <row r="542" spans="1:29" x14ac:dyDescent="0.3">
      <c r="A542" s="57" t="str">
        <f>MEMBERS[[#This Row],[Title]]&amp;MEMBERS[[#This Row],[ServiceStartDate]]</f>
        <v>Michael Potts44671</v>
      </c>
      <c r="B542" s="57">
        <f>IF(COUNTIF(MEMBERS[NameServiceStart],MEMBERS[[#This Row],[NameServiceStart]])=1,0,1)</f>
        <v>0</v>
      </c>
      <c r="C542" s="57">
        <f>IF(COUNTIF(MEMBERS[StaffMemberCode],MEMBERS[[#This Row],[StaffMemberCode]])=1,0,1)</f>
        <v>0</v>
      </c>
      <c r="D542" s="57">
        <f>IF(ISBLANK(MEMBERS[[#This Row],[PayrollLocation]]),0,IF(COUNTIF(SCHOOLS[SchoolCode],MEMBERS[[#This Row],[PayrollLocation]])=1,0,1))</f>
        <v>0</v>
      </c>
      <c r="E542" s="57">
        <f>IF(MEMBERS[[#This Row],[AvailableToAllSchools]]=FALSE,IF(ISBLANK(MEMBERS[[#This Row],[SchoolCodes]]),1,0),IF(MEMBERS[[#This Row],[AvailableToAllSchools]]=TRUE,IF(ISBLANK(MEMBERS[[#This Row],[SchoolCodes]]),0,1)))</f>
        <v>0</v>
      </c>
      <c r="F542" s="57">
        <f>IF(ISBLANK(MEMBERS[[#This Row],[ServiceEndDate]]),0,IF(MEMBERS[[#This Row],[ServiceStartDate]]&lt;MEMBERS[[#This Row],[ServiceEndDate]],0,1))</f>
        <v>0</v>
      </c>
      <c r="G542" s="57" cm="1">
        <f t="array" aca="1" ref="G542" ca="1">IF(CELL("format",MEMBERS[[#This Row],[ServiceStartDate]])="D1",0,1)+IF(CELL("format",MEMBERS[[#This Row],[ServiceEndDate]])="D1",0,1)</f>
        <v>0</v>
      </c>
      <c r="H54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42" s="57">
        <f>IF(LEN(MEMBERS[[#This Row],[StaffMemberCode]])&lt;100,0,1)</f>
        <v>0</v>
      </c>
      <c r="J542" s="57">
        <f>IF(LEN(MEMBERS[[#This Row],[Title]])&lt;100,0,1)</f>
        <v>0</v>
      </c>
      <c r="K542" s="57">
        <f>COUNTBLANK(MEMBERS[[#This Row],[StaffMemberCode]:[ServiceStartDate]])+COUNTBLANK(MEMBERS[[#This Row],[Apprenticeship]]:MEMBERS[[#This Row],[StaffMemberEnabled]])+COUNTBLANK(MEMBERS[[#This Row],[GenderCode]]:MEMBERS[[#This Row],[Casual]])</f>
        <v>0</v>
      </c>
      <c r="L542" s="57">
        <f>IF(SUBSTITUTE(TEXT(MEMBERS[[#This Row],[StaffMemberCode]],10)," ","")=TEXT(MEMBERS[[#This Row],[StaffMemberCode]],10),0,1)</f>
        <v>0</v>
      </c>
      <c r="M542" s="57">
        <f ca="1">SUM(MEMBERS[[#This Row],[Duplicate NameService Start]:[Space in Code]])</f>
        <v>0</v>
      </c>
      <c r="O542" s="15">
        <v>91073800</v>
      </c>
      <c r="P542" s="15" t="s">
        <v>3364</v>
      </c>
      <c r="Q542" s="15" t="s">
        <v>3625</v>
      </c>
      <c r="R542" s="133" t="str">
        <f>MEMBERS[[#This Row],[FirstName]]&amp;" "&amp;MEMBERS[[#This Row],[LastName]]</f>
        <v>Michael Potts</v>
      </c>
      <c r="S542" s="21">
        <v>44671</v>
      </c>
      <c r="U542" s="21">
        <v>22754</v>
      </c>
      <c r="V542" t="b">
        <v>0</v>
      </c>
      <c r="W542" t="b">
        <v>0</v>
      </c>
      <c r="X542" t="b">
        <v>0</v>
      </c>
      <c r="Y542" t="s">
        <v>2082</v>
      </c>
      <c r="Z542" t="b">
        <v>1</v>
      </c>
      <c r="AB542" t="s">
        <v>1572</v>
      </c>
      <c r="AC542" t="b">
        <v>0</v>
      </c>
    </row>
    <row r="543" spans="1:29" x14ac:dyDescent="0.3">
      <c r="A543" s="57" t="str">
        <f>MEMBERS[[#This Row],[Title]]&amp;MEMBERS[[#This Row],[ServiceStartDate]]</f>
        <v>Michaela Buckle41283</v>
      </c>
      <c r="B543" s="57">
        <f>IF(COUNTIF(MEMBERS[NameServiceStart],MEMBERS[[#This Row],[NameServiceStart]])=1,0,1)</f>
        <v>0</v>
      </c>
      <c r="C543" s="57">
        <f>IF(COUNTIF(MEMBERS[StaffMemberCode],MEMBERS[[#This Row],[StaffMemberCode]])=1,0,1)</f>
        <v>0</v>
      </c>
      <c r="D543" s="57">
        <f>IF(ISBLANK(MEMBERS[[#This Row],[PayrollLocation]]),0,IF(COUNTIF(SCHOOLS[SchoolCode],MEMBERS[[#This Row],[PayrollLocation]])=1,0,1))</f>
        <v>0</v>
      </c>
      <c r="E543" s="57">
        <f>IF(MEMBERS[[#This Row],[AvailableToAllSchools]]=FALSE,IF(ISBLANK(MEMBERS[[#This Row],[SchoolCodes]]),1,0),IF(MEMBERS[[#This Row],[AvailableToAllSchools]]=TRUE,IF(ISBLANK(MEMBERS[[#This Row],[SchoolCodes]]),0,1)))</f>
        <v>0</v>
      </c>
      <c r="F543" s="57">
        <f>IF(ISBLANK(MEMBERS[[#This Row],[ServiceEndDate]]),0,IF(MEMBERS[[#This Row],[ServiceStartDate]]&lt;MEMBERS[[#This Row],[ServiceEndDate]],0,1))</f>
        <v>0</v>
      </c>
      <c r="G543" s="57" cm="1">
        <f t="array" aca="1" ref="G543" ca="1">IF(CELL("format",MEMBERS[[#This Row],[ServiceStartDate]])="D1",0,1)+IF(CELL("format",MEMBERS[[#This Row],[ServiceEndDate]])="D1",0,1)</f>
        <v>0</v>
      </c>
      <c r="H54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43" s="57">
        <f>IF(LEN(MEMBERS[[#This Row],[StaffMemberCode]])&lt;100,0,1)</f>
        <v>0</v>
      </c>
      <c r="J543" s="57">
        <f>IF(LEN(MEMBERS[[#This Row],[Title]])&lt;100,0,1)</f>
        <v>0</v>
      </c>
      <c r="K543" s="57">
        <f>COUNTBLANK(MEMBERS[[#This Row],[StaffMemberCode]:[ServiceStartDate]])+COUNTBLANK(MEMBERS[[#This Row],[Apprenticeship]]:MEMBERS[[#This Row],[StaffMemberEnabled]])+COUNTBLANK(MEMBERS[[#This Row],[GenderCode]]:MEMBERS[[#This Row],[Casual]])</f>
        <v>0</v>
      </c>
      <c r="L543" s="57">
        <f>IF(SUBSTITUTE(TEXT(MEMBERS[[#This Row],[StaffMemberCode]],10)," ","")=TEXT(MEMBERS[[#This Row],[StaffMemberCode]],10),0,1)</f>
        <v>0</v>
      </c>
      <c r="M543" s="57">
        <f ca="1">SUM(MEMBERS[[#This Row],[Duplicate NameService Start]:[Space in Code]])</f>
        <v>0</v>
      </c>
      <c r="O543" s="15">
        <v>91073728</v>
      </c>
      <c r="P543" s="15" t="s">
        <v>3365</v>
      </c>
      <c r="Q543" s="15" t="s">
        <v>3793</v>
      </c>
      <c r="R543" s="133" t="str">
        <f>MEMBERS[[#This Row],[FirstName]]&amp;" "&amp;MEMBERS[[#This Row],[LastName]]</f>
        <v>Michaela Buckle</v>
      </c>
      <c r="S543" s="21">
        <v>41283</v>
      </c>
      <c r="U543" s="21">
        <v>33180</v>
      </c>
      <c r="V543" t="b">
        <v>0</v>
      </c>
      <c r="W543" t="b">
        <v>0</v>
      </c>
      <c r="X543" t="b">
        <v>0</v>
      </c>
      <c r="Y543" t="s">
        <v>2082</v>
      </c>
      <c r="Z543" t="b">
        <v>1</v>
      </c>
      <c r="AB543" t="s">
        <v>1571</v>
      </c>
      <c r="AC543" t="b">
        <v>0</v>
      </c>
    </row>
    <row r="544" spans="1:29" x14ac:dyDescent="0.3">
      <c r="A544" s="57" t="str">
        <f>MEMBERS[[#This Row],[Title]]&amp;MEMBERS[[#This Row],[ServiceStartDate]]</f>
        <v>Michaela Waring44333</v>
      </c>
      <c r="B544" s="57">
        <f>IF(COUNTIF(MEMBERS[NameServiceStart],MEMBERS[[#This Row],[NameServiceStart]])=1,0,1)</f>
        <v>0</v>
      </c>
      <c r="C544" s="57">
        <f>IF(COUNTIF(MEMBERS[StaffMemberCode],MEMBERS[[#This Row],[StaffMemberCode]])=1,0,1)</f>
        <v>0</v>
      </c>
      <c r="D544" s="57">
        <f>IF(ISBLANK(MEMBERS[[#This Row],[PayrollLocation]]),0,IF(COUNTIF(SCHOOLS[SchoolCode],MEMBERS[[#This Row],[PayrollLocation]])=1,0,1))</f>
        <v>0</v>
      </c>
      <c r="E544" s="57">
        <f>IF(MEMBERS[[#This Row],[AvailableToAllSchools]]=FALSE,IF(ISBLANK(MEMBERS[[#This Row],[SchoolCodes]]),1,0),IF(MEMBERS[[#This Row],[AvailableToAllSchools]]=TRUE,IF(ISBLANK(MEMBERS[[#This Row],[SchoolCodes]]),0,1)))</f>
        <v>0</v>
      </c>
      <c r="F544" s="57">
        <f>IF(ISBLANK(MEMBERS[[#This Row],[ServiceEndDate]]),0,IF(MEMBERS[[#This Row],[ServiceStartDate]]&lt;MEMBERS[[#This Row],[ServiceEndDate]],0,1))</f>
        <v>0</v>
      </c>
      <c r="G544" s="57" cm="1">
        <f t="array" aca="1" ref="G544" ca="1">IF(CELL("format",MEMBERS[[#This Row],[ServiceStartDate]])="D1",0,1)+IF(CELL("format",MEMBERS[[#This Row],[ServiceEndDate]])="D1",0,1)</f>
        <v>0</v>
      </c>
      <c r="H54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44" s="57">
        <f>IF(LEN(MEMBERS[[#This Row],[StaffMemberCode]])&lt;100,0,1)</f>
        <v>0</v>
      </c>
      <c r="J544" s="57">
        <f>IF(LEN(MEMBERS[[#This Row],[Title]])&lt;100,0,1)</f>
        <v>0</v>
      </c>
      <c r="K544" s="57">
        <f>COUNTBLANK(MEMBERS[[#This Row],[StaffMemberCode]:[ServiceStartDate]])+COUNTBLANK(MEMBERS[[#This Row],[Apprenticeship]]:MEMBERS[[#This Row],[StaffMemberEnabled]])+COUNTBLANK(MEMBERS[[#This Row],[GenderCode]]:MEMBERS[[#This Row],[Casual]])</f>
        <v>0</v>
      </c>
      <c r="L544" s="57">
        <f>IF(SUBSTITUTE(TEXT(MEMBERS[[#This Row],[StaffMemberCode]],10)," ","")=TEXT(MEMBERS[[#This Row],[StaffMemberCode]],10),0,1)</f>
        <v>0</v>
      </c>
      <c r="M544" s="57">
        <f ca="1">SUM(MEMBERS[[#This Row],[Duplicate NameService Start]:[Space in Code]])</f>
        <v>0</v>
      </c>
      <c r="O544" s="15">
        <v>91073537</v>
      </c>
      <c r="P544" s="15" t="s">
        <v>3365</v>
      </c>
      <c r="Q544" s="15" t="s">
        <v>3794</v>
      </c>
      <c r="R544" s="133" t="str">
        <f>MEMBERS[[#This Row],[FirstName]]&amp;" "&amp;MEMBERS[[#This Row],[LastName]]</f>
        <v>Michaela Waring</v>
      </c>
      <c r="S544" s="21">
        <v>44333</v>
      </c>
      <c r="U544" s="21">
        <v>32611</v>
      </c>
      <c r="V544" t="b">
        <v>0</v>
      </c>
      <c r="W544" t="b">
        <v>0</v>
      </c>
      <c r="X544" t="b">
        <v>0</v>
      </c>
      <c r="Y544" t="s">
        <v>2094</v>
      </c>
      <c r="Z544" t="b">
        <v>1</v>
      </c>
      <c r="AB544" t="s">
        <v>1571</v>
      </c>
      <c r="AC544" t="b">
        <v>0</v>
      </c>
    </row>
    <row r="545" spans="1:29" x14ac:dyDescent="0.3">
      <c r="A545" s="57" t="str">
        <f>MEMBERS[[#This Row],[Title]]&amp;MEMBERS[[#This Row],[ServiceStartDate]]</f>
        <v>Michelle Perry43543</v>
      </c>
      <c r="B545" s="57">
        <f>IF(COUNTIF(MEMBERS[NameServiceStart],MEMBERS[[#This Row],[NameServiceStart]])=1,0,1)</f>
        <v>0</v>
      </c>
      <c r="C545" s="57">
        <f>IF(COUNTIF(MEMBERS[StaffMemberCode],MEMBERS[[#This Row],[StaffMemberCode]])=1,0,1)</f>
        <v>0</v>
      </c>
      <c r="D545" s="57">
        <f>IF(ISBLANK(MEMBERS[[#This Row],[PayrollLocation]]),0,IF(COUNTIF(SCHOOLS[SchoolCode],MEMBERS[[#This Row],[PayrollLocation]])=1,0,1))</f>
        <v>0</v>
      </c>
      <c r="E545" s="57">
        <f>IF(MEMBERS[[#This Row],[AvailableToAllSchools]]=FALSE,IF(ISBLANK(MEMBERS[[#This Row],[SchoolCodes]]),1,0),IF(MEMBERS[[#This Row],[AvailableToAllSchools]]=TRUE,IF(ISBLANK(MEMBERS[[#This Row],[SchoolCodes]]),0,1)))</f>
        <v>0</v>
      </c>
      <c r="F545" s="57">
        <f>IF(ISBLANK(MEMBERS[[#This Row],[ServiceEndDate]]),0,IF(MEMBERS[[#This Row],[ServiceStartDate]]&lt;MEMBERS[[#This Row],[ServiceEndDate]],0,1))</f>
        <v>0</v>
      </c>
      <c r="G545" s="57" cm="1">
        <f t="array" aca="1" ref="G545" ca="1">IF(CELL("format",MEMBERS[[#This Row],[ServiceStartDate]])="D1",0,1)+IF(CELL("format",MEMBERS[[#This Row],[ServiceEndDate]])="D1",0,1)</f>
        <v>0</v>
      </c>
      <c r="H54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45" s="57">
        <f>IF(LEN(MEMBERS[[#This Row],[StaffMemberCode]])&lt;100,0,1)</f>
        <v>0</v>
      </c>
      <c r="J545" s="57">
        <f>IF(LEN(MEMBERS[[#This Row],[Title]])&lt;100,0,1)</f>
        <v>0</v>
      </c>
      <c r="K545" s="57">
        <f>COUNTBLANK(MEMBERS[[#This Row],[StaffMemberCode]:[ServiceStartDate]])+COUNTBLANK(MEMBERS[[#This Row],[Apprenticeship]]:MEMBERS[[#This Row],[StaffMemberEnabled]])+COUNTBLANK(MEMBERS[[#This Row],[GenderCode]]:MEMBERS[[#This Row],[Casual]])</f>
        <v>0</v>
      </c>
      <c r="L545" s="57">
        <f>IF(SUBSTITUTE(TEXT(MEMBERS[[#This Row],[StaffMemberCode]],10)," ","")=TEXT(MEMBERS[[#This Row],[StaffMemberCode]],10),0,1)</f>
        <v>0</v>
      </c>
      <c r="M545" s="57">
        <f ca="1">SUM(MEMBERS[[#This Row],[Duplicate NameService Start]:[Space in Code]])</f>
        <v>0</v>
      </c>
      <c r="O545" s="15">
        <v>10006414</v>
      </c>
      <c r="P545" s="15" t="s">
        <v>3992</v>
      </c>
      <c r="Q545" s="15" t="s">
        <v>3486</v>
      </c>
      <c r="R545" s="133" t="str">
        <f>MEMBERS[[#This Row],[FirstName]]&amp;" "&amp;MEMBERS[[#This Row],[LastName]]</f>
        <v>Michelle Perry</v>
      </c>
      <c r="S545" s="21">
        <v>43543</v>
      </c>
      <c r="U545" s="21">
        <v>28386</v>
      </c>
      <c r="V545" s="138" t="b">
        <v>0</v>
      </c>
      <c r="W545" t="b">
        <v>0</v>
      </c>
      <c r="X545" t="b">
        <v>0</v>
      </c>
      <c r="Y545" t="s">
        <v>2126</v>
      </c>
      <c r="Z545" t="b">
        <v>1</v>
      </c>
      <c r="AB545" t="s">
        <v>1571</v>
      </c>
      <c r="AC545" t="b">
        <v>0</v>
      </c>
    </row>
    <row r="546" spans="1:29" x14ac:dyDescent="0.3">
      <c r="A546" s="57" t="str">
        <f>MEMBERS[[#This Row],[Title]]&amp;MEMBERS[[#This Row],[ServiceStartDate]]</f>
        <v>Michelle Wood44895</v>
      </c>
      <c r="B546" s="57">
        <f>IF(COUNTIF(MEMBERS[NameServiceStart],MEMBERS[[#This Row],[NameServiceStart]])=1,0,1)</f>
        <v>0</v>
      </c>
      <c r="C546" s="57">
        <f>IF(COUNTIF(MEMBERS[StaffMemberCode],MEMBERS[[#This Row],[StaffMemberCode]])=1,0,1)</f>
        <v>0</v>
      </c>
      <c r="D546" s="57">
        <f>IF(ISBLANK(MEMBERS[[#This Row],[PayrollLocation]]),0,IF(COUNTIF(SCHOOLS[SchoolCode],MEMBERS[[#This Row],[PayrollLocation]])=1,0,1))</f>
        <v>0</v>
      </c>
      <c r="E546" s="57">
        <f>IF(MEMBERS[[#This Row],[AvailableToAllSchools]]=FALSE,IF(ISBLANK(MEMBERS[[#This Row],[SchoolCodes]]),1,0),IF(MEMBERS[[#This Row],[AvailableToAllSchools]]=TRUE,IF(ISBLANK(MEMBERS[[#This Row],[SchoolCodes]]),0,1)))</f>
        <v>0</v>
      </c>
      <c r="F546" s="57">
        <f>IF(ISBLANK(MEMBERS[[#This Row],[ServiceEndDate]]),0,IF(MEMBERS[[#This Row],[ServiceStartDate]]&lt;MEMBERS[[#This Row],[ServiceEndDate]],0,1))</f>
        <v>0</v>
      </c>
      <c r="G546" s="57" cm="1">
        <f t="array" aca="1" ref="G546" ca="1">IF(CELL("format",MEMBERS[[#This Row],[ServiceStartDate]])="D1",0,1)+IF(CELL("format",MEMBERS[[#This Row],[ServiceEndDate]])="D1",0,1)</f>
        <v>0</v>
      </c>
      <c r="H54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46" s="57">
        <f>IF(LEN(MEMBERS[[#This Row],[StaffMemberCode]])&lt;100,0,1)</f>
        <v>0</v>
      </c>
      <c r="J546" s="57">
        <f>IF(LEN(MEMBERS[[#This Row],[Title]])&lt;100,0,1)</f>
        <v>0</v>
      </c>
      <c r="K546" s="57">
        <f>COUNTBLANK(MEMBERS[[#This Row],[StaffMemberCode]:[ServiceStartDate]])+COUNTBLANK(MEMBERS[[#This Row],[Apprenticeship]]:MEMBERS[[#This Row],[StaffMemberEnabled]])+COUNTBLANK(MEMBERS[[#This Row],[GenderCode]]:MEMBERS[[#This Row],[Casual]])</f>
        <v>0</v>
      </c>
      <c r="L546" s="57">
        <f>IF(SUBSTITUTE(TEXT(MEMBERS[[#This Row],[StaffMemberCode]],10)," ","")=TEXT(MEMBERS[[#This Row],[StaffMemberCode]],10),0,1)</f>
        <v>0</v>
      </c>
      <c r="M546" s="57">
        <f ca="1">SUM(MEMBERS[[#This Row],[Duplicate NameService Start]:[Space in Code]])</f>
        <v>0</v>
      </c>
      <c r="O546" s="15">
        <v>10014285</v>
      </c>
      <c r="P546" s="15" t="s">
        <v>3992</v>
      </c>
      <c r="Q546" s="15" t="s">
        <v>4106</v>
      </c>
      <c r="R546" s="133" t="str">
        <f>MEMBERS[[#This Row],[FirstName]]&amp;" "&amp;MEMBERS[[#This Row],[LastName]]</f>
        <v>Michelle Wood</v>
      </c>
      <c r="S546" s="21">
        <v>44895</v>
      </c>
      <c r="U546" s="21">
        <v>31540</v>
      </c>
      <c r="V546" s="138" t="b">
        <v>0</v>
      </c>
      <c r="W546" t="b">
        <v>0</v>
      </c>
      <c r="X546" t="b">
        <v>0</v>
      </c>
      <c r="Y546" t="s">
        <v>2126</v>
      </c>
      <c r="Z546" t="b">
        <v>1</v>
      </c>
      <c r="AB546" t="s">
        <v>1571</v>
      </c>
      <c r="AC546" t="b">
        <v>0</v>
      </c>
    </row>
    <row r="547" spans="1:29" x14ac:dyDescent="0.3">
      <c r="A547" s="57" t="str">
        <f>MEMBERS[[#This Row],[Title]]&amp;MEMBERS[[#This Row],[ServiceStartDate]]</f>
        <v>Ming Huang45044</v>
      </c>
      <c r="B547" s="57">
        <f>IF(COUNTIF(MEMBERS[NameServiceStart],MEMBERS[[#This Row],[NameServiceStart]])=1,0,1)</f>
        <v>0</v>
      </c>
      <c r="C547" s="57">
        <f>IF(COUNTIF(MEMBERS[StaffMemberCode],MEMBERS[[#This Row],[StaffMemberCode]])=1,0,1)</f>
        <v>0</v>
      </c>
      <c r="D547" s="57">
        <f>IF(ISBLANK(MEMBERS[[#This Row],[PayrollLocation]]),0,IF(COUNTIF(SCHOOLS[SchoolCode],MEMBERS[[#This Row],[PayrollLocation]])=1,0,1))</f>
        <v>0</v>
      </c>
      <c r="E547" s="57">
        <f>IF(MEMBERS[[#This Row],[AvailableToAllSchools]]=FALSE,IF(ISBLANK(MEMBERS[[#This Row],[SchoolCodes]]),1,0),IF(MEMBERS[[#This Row],[AvailableToAllSchools]]=TRUE,IF(ISBLANK(MEMBERS[[#This Row],[SchoolCodes]]),0,1)))</f>
        <v>0</v>
      </c>
      <c r="F547" s="57">
        <f>IF(ISBLANK(MEMBERS[[#This Row],[ServiceEndDate]]),0,IF(MEMBERS[[#This Row],[ServiceStartDate]]&lt;MEMBERS[[#This Row],[ServiceEndDate]],0,1))</f>
        <v>0</v>
      </c>
      <c r="G547" s="57" cm="1">
        <f t="array" aca="1" ref="G547" ca="1">IF(CELL("format",MEMBERS[[#This Row],[ServiceStartDate]])="D1",0,1)+IF(CELL("format",MEMBERS[[#This Row],[ServiceEndDate]])="D1",0,1)</f>
        <v>0</v>
      </c>
      <c r="H54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47" s="57">
        <f>IF(LEN(MEMBERS[[#This Row],[StaffMemberCode]])&lt;100,0,1)</f>
        <v>0</v>
      </c>
      <c r="J547" s="57">
        <f>IF(LEN(MEMBERS[[#This Row],[Title]])&lt;100,0,1)</f>
        <v>0</v>
      </c>
      <c r="K547" s="57">
        <f>COUNTBLANK(MEMBERS[[#This Row],[StaffMemberCode]:[ServiceStartDate]])+COUNTBLANK(MEMBERS[[#This Row],[Apprenticeship]]:MEMBERS[[#This Row],[StaffMemberEnabled]])+COUNTBLANK(MEMBERS[[#This Row],[GenderCode]]:MEMBERS[[#This Row],[Casual]])</f>
        <v>0</v>
      </c>
      <c r="L547" s="57">
        <f>IF(SUBSTITUTE(TEXT(MEMBERS[[#This Row],[StaffMemberCode]],10)," ","")=TEXT(MEMBERS[[#This Row],[StaffMemberCode]],10),0,1)</f>
        <v>0</v>
      </c>
      <c r="M547" s="57">
        <f ca="1">SUM(MEMBERS[[#This Row],[Duplicate NameService Start]:[Space in Code]])</f>
        <v>0</v>
      </c>
      <c r="O547" s="15">
        <v>91073837</v>
      </c>
      <c r="P547" s="15" t="s">
        <v>3366</v>
      </c>
      <c r="Q547" s="15" t="s">
        <v>3795</v>
      </c>
      <c r="R547" s="133" t="str">
        <f>MEMBERS[[#This Row],[FirstName]]&amp;" "&amp;MEMBERS[[#This Row],[LastName]]</f>
        <v>Ming Huang</v>
      </c>
      <c r="S547" s="21">
        <v>45044</v>
      </c>
      <c r="U547" s="21">
        <v>30173</v>
      </c>
      <c r="V547" t="b">
        <v>0</v>
      </c>
      <c r="W547" t="b">
        <v>0</v>
      </c>
      <c r="X547" t="b">
        <v>0</v>
      </c>
      <c r="Y547" t="s">
        <v>2082</v>
      </c>
      <c r="Z547" t="b">
        <v>1</v>
      </c>
      <c r="AB547" t="s">
        <v>1571</v>
      </c>
      <c r="AC547" t="b">
        <v>0</v>
      </c>
    </row>
    <row r="548" spans="1:29" x14ac:dyDescent="0.3">
      <c r="A548" s="57" t="str">
        <f>MEMBERS[[#This Row],[Title]]&amp;MEMBERS[[#This Row],[ServiceStartDate]]</f>
        <v>Mitchel Pattison42744</v>
      </c>
      <c r="B548" s="57">
        <f>IF(COUNTIF(MEMBERS[NameServiceStart],MEMBERS[[#This Row],[NameServiceStart]])=1,0,1)</f>
        <v>0</v>
      </c>
      <c r="C548" s="57">
        <f>IF(COUNTIF(MEMBERS[StaffMemberCode],MEMBERS[[#This Row],[StaffMemberCode]])=1,0,1)</f>
        <v>0</v>
      </c>
      <c r="D548" s="57">
        <f>IF(ISBLANK(MEMBERS[[#This Row],[PayrollLocation]]),0,IF(COUNTIF(SCHOOLS[SchoolCode],MEMBERS[[#This Row],[PayrollLocation]])=1,0,1))</f>
        <v>0</v>
      </c>
      <c r="E548" s="57">
        <f>IF(MEMBERS[[#This Row],[AvailableToAllSchools]]=FALSE,IF(ISBLANK(MEMBERS[[#This Row],[SchoolCodes]]),1,0),IF(MEMBERS[[#This Row],[AvailableToAllSchools]]=TRUE,IF(ISBLANK(MEMBERS[[#This Row],[SchoolCodes]]),0,1)))</f>
        <v>0</v>
      </c>
      <c r="F548" s="57">
        <f>IF(ISBLANK(MEMBERS[[#This Row],[ServiceEndDate]]),0,IF(MEMBERS[[#This Row],[ServiceStartDate]]&lt;MEMBERS[[#This Row],[ServiceEndDate]],0,1))</f>
        <v>0</v>
      </c>
      <c r="G548" s="57" cm="1">
        <f t="array" aca="1" ref="G548" ca="1">IF(CELL("format",MEMBERS[[#This Row],[ServiceStartDate]])="D1",0,1)+IF(CELL("format",MEMBERS[[#This Row],[ServiceEndDate]])="D1",0,1)</f>
        <v>0</v>
      </c>
      <c r="H54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48" s="57">
        <f>IF(LEN(MEMBERS[[#This Row],[StaffMemberCode]])&lt;100,0,1)</f>
        <v>0</v>
      </c>
      <c r="J548" s="57">
        <f>IF(LEN(MEMBERS[[#This Row],[Title]])&lt;100,0,1)</f>
        <v>0</v>
      </c>
      <c r="K548" s="57">
        <f>COUNTBLANK(MEMBERS[[#This Row],[StaffMemberCode]:[ServiceStartDate]])+COUNTBLANK(MEMBERS[[#This Row],[Apprenticeship]]:MEMBERS[[#This Row],[StaffMemberEnabled]])+COUNTBLANK(MEMBERS[[#This Row],[GenderCode]]:MEMBERS[[#This Row],[Casual]])</f>
        <v>0</v>
      </c>
      <c r="L548" s="57">
        <f>IF(SUBSTITUTE(TEXT(MEMBERS[[#This Row],[StaffMemberCode]],10)," ","")=TEXT(MEMBERS[[#This Row],[StaffMemberCode]],10),0,1)</f>
        <v>0</v>
      </c>
      <c r="M548" s="57">
        <f ca="1">SUM(MEMBERS[[#This Row],[Duplicate NameService Start]:[Space in Code]])</f>
        <v>0</v>
      </c>
      <c r="O548" s="15">
        <v>91073725</v>
      </c>
      <c r="P548" s="15" t="s">
        <v>3367</v>
      </c>
      <c r="Q548" s="15" t="s">
        <v>3796</v>
      </c>
      <c r="R548" s="133" t="str">
        <f>MEMBERS[[#This Row],[FirstName]]&amp;" "&amp;MEMBERS[[#This Row],[LastName]]</f>
        <v>Mitchel Pattison</v>
      </c>
      <c r="S548" s="21">
        <v>42744</v>
      </c>
      <c r="U548" s="21">
        <v>34589</v>
      </c>
      <c r="V548" t="b">
        <v>0</v>
      </c>
      <c r="W548" t="b">
        <v>0</v>
      </c>
      <c r="X548" t="b">
        <v>0</v>
      </c>
      <c r="Y548" t="s">
        <v>2082</v>
      </c>
      <c r="Z548" t="b">
        <v>1</v>
      </c>
      <c r="AB548" t="s">
        <v>1572</v>
      </c>
      <c r="AC548" t="b">
        <v>0</v>
      </c>
    </row>
    <row r="549" spans="1:29" x14ac:dyDescent="0.3">
      <c r="A549" s="57" t="str">
        <f>MEMBERS[[#This Row],[Title]]&amp;MEMBERS[[#This Row],[ServiceStartDate]]</f>
        <v>Moira Moller44570</v>
      </c>
      <c r="B549" s="57">
        <f>IF(COUNTIF(MEMBERS[NameServiceStart],MEMBERS[[#This Row],[NameServiceStart]])=1,0,1)</f>
        <v>0</v>
      </c>
      <c r="C549" s="57">
        <f>IF(COUNTIF(MEMBERS[StaffMemberCode],MEMBERS[[#This Row],[StaffMemberCode]])=1,0,1)</f>
        <v>0</v>
      </c>
      <c r="D549" s="57">
        <f>IF(ISBLANK(MEMBERS[[#This Row],[PayrollLocation]]),0,IF(COUNTIF(SCHOOLS[SchoolCode],MEMBERS[[#This Row],[PayrollLocation]])=1,0,1))</f>
        <v>0</v>
      </c>
      <c r="E549" s="57">
        <f>IF(MEMBERS[[#This Row],[AvailableToAllSchools]]=FALSE,IF(ISBLANK(MEMBERS[[#This Row],[SchoolCodes]]),1,0),IF(MEMBERS[[#This Row],[AvailableToAllSchools]]=TRUE,IF(ISBLANK(MEMBERS[[#This Row],[SchoolCodes]]),0,1)))</f>
        <v>0</v>
      </c>
      <c r="F549" s="57">
        <f>IF(ISBLANK(MEMBERS[[#This Row],[ServiceEndDate]]),0,IF(MEMBERS[[#This Row],[ServiceStartDate]]&lt;MEMBERS[[#This Row],[ServiceEndDate]],0,1))</f>
        <v>0</v>
      </c>
      <c r="G549" s="57" cm="1">
        <f t="array" aca="1" ref="G549" ca="1">IF(CELL("format",MEMBERS[[#This Row],[ServiceStartDate]])="D1",0,1)+IF(CELL("format",MEMBERS[[#This Row],[ServiceEndDate]])="D1",0,1)</f>
        <v>0</v>
      </c>
      <c r="H54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49" s="57">
        <f>IF(LEN(MEMBERS[[#This Row],[StaffMemberCode]])&lt;100,0,1)</f>
        <v>0</v>
      </c>
      <c r="J549" s="57">
        <f>IF(LEN(MEMBERS[[#This Row],[Title]])&lt;100,0,1)</f>
        <v>0</v>
      </c>
      <c r="K549" s="57">
        <f>COUNTBLANK(MEMBERS[[#This Row],[StaffMemberCode]:[ServiceStartDate]])+COUNTBLANK(MEMBERS[[#This Row],[Apprenticeship]]:MEMBERS[[#This Row],[StaffMemberEnabled]])+COUNTBLANK(MEMBERS[[#This Row],[GenderCode]]:MEMBERS[[#This Row],[Casual]])</f>
        <v>0</v>
      </c>
      <c r="L549" s="57">
        <f>IF(SUBSTITUTE(TEXT(MEMBERS[[#This Row],[StaffMemberCode]],10)," ","")=TEXT(MEMBERS[[#This Row],[StaffMemberCode]],10),0,1)</f>
        <v>0</v>
      </c>
      <c r="M549" s="57">
        <f ca="1">SUM(MEMBERS[[#This Row],[Duplicate NameService Start]:[Space in Code]])</f>
        <v>0</v>
      </c>
      <c r="O549" s="15">
        <v>91073456</v>
      </c>
      <c r="P549" s="15" t="s">
        <v>3368</v>
      </c>
      <c r="Q549" s="15" t="s">
        <v>3797</v>
      </c>
      <c r="R549" s="133" t="str">
        <f>MEMBERS[[#This Row],[FirstName]]&amp;" "&amp;MEMBERS[[#This Row],[LastName]]</f>
        <v>Moira Moller</v>
      </c>
      <c r="S549" s="21">
        <v>44570</v>
      </c>
      <c r="U549" s="21">
        <v>25193</v>
      </c>
      <c r="V549" t="b">
        <v>0</v>
      </c>
      <c r="W549" t="b">
        <v>0</v>
      </c>
      <c r="X549" t="b">
        <v>0</v>
      </c>
      <c r="Y549" t="s">
        <v>2094</v>
      </c>
      <c r="Z549" t="b">
        <v>1</v>
      </c>
      <c r="AB549" t="s">
        <v>1571</v>
      </c>
      <c r="AC549" t="b">
        <v>0</v>
      </c>
    </row>
    <row r="550" spans="1:29" x14ac:dyDescent="0.3">
      <c r="A550" s="57" t="str">
        <f>MEMBERS[[#This Row],[Title]]&amp;MEMBERS[[#This Row],[ServiceStartDate]]</f>
        <v>Mollie Addis45028</v>
      </c>
      <c r="B550" s="57">
        <f>IF(COUNTIF(MEMBERS[NameServiceStart],MEMBERS[[#This Row],[NameServiceStart]])=1,0,1)</f>
        <v>0</v>
      </c>
      <c r="C550" s="57">
        <f>IF(COUNTIF(MEMBERS[StaffMemberCode],MEMBERS[[#This Row],[StaffMemberCode]])=1,0,1)</f>
        <v>0</v>
      </c>
      <c r="D550" s="57">
        <f>IF(ISBLANK(MEMBERS[[#This Row],[PayrollLocation]]),0,IF(COUNTIF(SCHOOLS[SchoolCode],MEMBERS[[#This Row],[PayrollLocation]])=1,0,1))</f>
        <v>0</v>
      </c>
      <c r="E550" s="57">
        <f>IF(MEMBERS[[#This Row],[AvailableToAllSchools]]=FALSE,IF(ISBLANK(MEMBERS[[#This Row],[SchoolCodes]]),1,0),IF(MEMBERS[[#This Row],[AvailableToAllSchools]]=TRUE,IF(ISBLANK(MEMBERS[[#This Row],[SchoolCodes]]),0,1)))</f>
        <v>0</v>
      </c>
      <c r="F550" s="57">
        <f>IF(ISBLANK(MEMBERS[[#This Row],[ServiceEndDate]]),0,IF(MEMBERS[[#This Row],[ServiceStartDate]]&lt;MEMBERS[[#This Row],[ServiceEndDate]],0,1))</f>
        <v>0</v>
      </c>
      <c r="G550" s="57" cm="1">
        <f t="array" aca="1" ref="G550" ca="1">IF(CELL("format",MEMBERS[[#This Row],[ServiceStartDate]])="D1",0,1)+IF(CELL("format",MEMBERS[[#This Row],[ServiceEndDate]])="D1",0,1)</f>
        <v>0</v>
      </c>
      <c r="H55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50" s="57">
        <f>IF(LEN(MEMBERS[[#This Row],[StaffMemberCode]])&lt;100,0,1)</f>
        <v>0</v>
      </c>
      <c r="J550" s="57">
        <f>IF(LEN(MEMBERS[[#This Row],[Title]])&lt;100,0,1)</f>
        <v>0</v>
      </c>
      <c r="K550" s="57">
        <f>COUNTBLANK(MEMBERS[[#This Row],[StaffMemberCode]:[ServiceStartDate]])+COUNTBLANK(MEMBERS[[#This Row],[Apprenticeship]]:MEMBERS[[#This Row],[StaffMemberEnabled]])+COUNTBLANK(MEMBERS[[#This Row],[GenderCode]]:MEMBERS[[#This Row],[Casual]])</f>
        <v>0</v>
      </c>
      <c r="L550" s="57">
        <f>IF(SUBSTITUTE(TEXT(MEMBERS[[#This Row],[StaffMemberCode]],10)," ","")=TEXT(MEMBERS[[#This Row],[StaffMemberCode]],10),0,1)</f>
        <v>0</v>
      </c>
      <c r="M550" s="57">
        <f ca="1">SUM(MEMBERS[[#This Row],[Duplicate NameService Start]:[Space in Code]])</f>
        <v>0</v>
      </c>
      <c r="O550" s="15">
        <v>91073431</v>
      </c>
      <c r="P550" s="15" t="s">
        <v>3369</v>
      </c>
      <c r="Q550" s="15" t="s">
        <v>3798</v>
      </c>
      <c r="R550" s="133" t="str">
        <f>MEMBERS[[#This Row],[FirstName]]&amp;" "&amp;MEMBERS[[#This Row],[LastName]]</f>
        <v>Mollie Addis</v>
      </c>
      <c r="S550" s="21">
        <v>45028</v>
      </c>
      <c r="U550" s="21">
        <v>36533</v>
      </c>
      <c r="V550" t="b">
        <v>0</v>
      </c>
      <c r="W550" t="b">
        <v>0</v>
      </c>
      <c r="X550" t="b">
        <v>0</v>
      </c>
      <c r="Y550" t="s">
        <v>2275</v>
      </c>
      <c r="Z550" t="b">
        <v>1</v>
      </c>
      <c r="AB550" t="s">
        <v>1571</v>
      </c>
      <c r="AC550" t="b">
        <v>0</v>
      </c>
    </row>
    <row r="551" spans="1:29" x14ac:dyDescent="0.3">
      <c r="A551" s="57" t="str">
        <f>MEMBERS[[#This Row],[Title]]&amp;MEMBERS[[#This Row],[ServiceStartDate]]</f>
        <v>Molly Griffiths44893</v>
      </c>
      <c r="B551" s="57">
        <f>IF(COUNTIF(MEMBERS[NameServiceStart],MEMBERS[[#This Row],[NameServiceStart]])=1,0,1)</f>
        <v>0</v>
      </c>
      <c r="C551" s="57">
        <f>IF(COUNTIF(MEMBERS[StaffMemberCode],MEMBERS[[#This Row],[StaffMemberCode]])=1,0,1)</f>
        <v>0</v>
      </c>
      <c r="D551" s="57">
        <f>IF(ISBLANK(MEMBERS[[#This Row],[PayrollLocation]]),0,IF(COUNTIF(SCHOOLS[SchoolCode],MEMBERS[[#This Row],[PayrollLocation]])=1,0,1))</f>
        <v>0</v>
      </c>
      <c r="E551" s="57">
        <f>IF(MEMBERS[[#This Row],[AvailableToAllSchools]]=FALSE,IF(ISBLANK(MEMBERS[[#This Row],[SchoolCodes]]),1,0),IF(MEMBERS[[#This Row],[AvailableToAllSchools]]=TRUE,IF(ISBLANK(MEMBERS[[#This Row],[SchoolCodes]]),0,1)))</f>
        <v>0</v>
      </c>
      <c r="F551" s="57">
        <f>IF(ISBLANK(MEMBERS[[#This Row],[ServiceEndDate]]),0,IF(MEMBERS[[#This Row],[ServiceStartDate]]&lt;MEMBERS[[#This Row],[ServiceEndDate]],0,1))</f>
        <v>0</v>
      </c>
      <c r="G551" s="57" cm="1">
        <f t="array" aca="1" ref="G551" ca="1">IF(CELL("format",MEMBERS[[#This Row],[ServiceStartDate]])="D1",0,1)+IF(CELL("format",MEMBERS[[#This Row],[ServiceEndDate]])="D1",0,1)</f>
        <v>0</v>
      </c>
      <c r="H55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51" s="57">
        <f>IF(LEN(MEMBERS[[#This Row],[StaffMemberCode]])&lt;100,0,1)</f>
        <v>0</v>
      </c>
      <c r="J551" s="57">
        <f>IF(LEN(MEMBERS[[#This Row],[Title]])&lt;100,0,1)</f>
        <v>0</v>
      </c>
      <c r="K551" s="57">
        <f>COUNTBLANK(MEMBERS[[#This Row],[StaffMemberCode]:[ServiceStartDate]])+COUNTBLANK(MEMBERS[[#This Row],[Apprenticeship]]:MEMBERS[[#This Row],[StaffMemberEnabled]])+COUNTBLANK(MEMBERS[[#This Row],[GenderCode]]:MEMBERS[[#This Row],[Casual]])</f>
        <v>0</v>
      </c>
      <c r="L551" s="57">
        <f>IF(SUBSTITUTE(TEXT(MEMBERS[[#This Row],[StaffMemberCode]],10)," ","")=TEXT(MEMBERS[[#This Row],[StaffMemberCode]],10),0,1)</f>
        <v>0</v>
      </c>
      <c r="M551" s="57">
        <f ca="1">SUM(MEMBERS[[#This Row],[Duplicate NameService Start]:[Space in Code]])</f>
        <v>0</v>
      </c>
      <c r="O551" s="15">
        <v>10011133</v>
      </c>
      <c r="P551" s="15" t="s">
        <v>3993</v>
      </c>
      <c r="Q551" s="15" t="s">
        <v>3808</v>
      </c>
      <c r="R551" s="133" t="str">
        <f>MEMBERS[[#This Row],[FirstName]]&amp;" "&amp;MEMBERS[[#This Row],[LastName]]</f>
        <v>Molly Griffiths</v>
      </c>
      <c r="S551" s="21">
        <v>44893</v>
      </c>
      <c r="U551" s="21">
        <v>38660</v>
      </c>
      <c r="V551" s="138" t="b">
        <v>0</v>
      </c>
      <c r="W551" t="b">
        <v>0</v>
      </c>
      <c r="X551" t="b">
        <v>0</v>
      </c>
      <c r="Y551" t="s">
        <v>2126</v>
      </c>
      <c r="Z551" t="b">
        <v>1</v>
      </c>
      <c r="AB551" t="s">
        <v>1571</v>
      </c>
      <c r="AC551" t="b">
        <v>1</v>
      </c>
    </row>
    <row r="552" spans="1:29" x14ac:dyDescent="0.3">
      <c r="A552" s="57" t="str">
        <f>MEMBERS[[#This Row],[Title]]&amp;MEMBERS[[#This Row],[ServiceStartDate]]</f>
        <v>Monica McCluskey44570</v>
      </c>
      <c r="B552" s="57">
        <f>IF(COUNTIF(MEMBERS[NameServiceStart],MEMBERS[[#This Row],[NameServiceStart]])=1,0,1)</f>
        <v>0</v>
      </c>
      <c r="C552" s="57">
        <f>IF(COUNTIF(MEMBERS[StaffMemberCode],MEMBERS[[#This Row],[StaffMemberCode]])=1,0,1)</f>
        <v>0</v>
      </c>
      <c r="D552" s="57">
        <f>IF(ISBLANK(MEMBERS[[#This Row],[PayrollLocation]]),0,IF(COUNTIF(SCHOOLS[SchoolCode],MEMBERS[[#This Row],[PayrollLocation]])=1,0,1))</f>
        <v>0</v>
      </c>
      <c r="E552" s="57">
        <f>IF(MEMBERS[[#This Row],[AvailableToAllSchools]]=FALSE,IF(ISBLANK(MEMBERS[[#This Row],[SchoolCodes]]),1,0),IF(MEMBERS[[#This Row],[AvailableToAllSchools]]=TRUE,IF(ISBLANK(MEMBERS[[#This Row],[SchoolCodes]]),0,1)))</f>
        <v>0</v>
      </c>
      <c r="F552" s="57">
        <f>IF(ISBLANK(MEMBERS[[#This Row],[ServiceEndDate]]),0,IF(MEMBERS[[#This Row],[ServiceStartDate]]&lt;MEMBERS[[#This Row],[ServiceEndDate]],0,1))</f>
        <v>0</v>
      </c>
      <c r="G552" s="57" cm="1">
        <f t="array" aca="1" ref="G552" ca="1">IF(CELL("format",MEMBERS[[#This Row],[ServiceStartDate]])="D1",0,1)+IF(CELL("format",MEMBERS[[#This Row],[ServiceEndDate]])="D1",0,1)</f>
        <v>0</v>
      </c>
      <c r="H55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52" s="57">
        <f>IF(LEN(MEMBERS[[#This Row],[StaffMemberCode]])&lt;100,0,1)</f>
        <v>0</v>
      </c>
      <c r="J552" s="57">
        <f>IF(LEN(MEMBERS[[#This Row],[Title]])&lt;100,0,1)</f>
        <v>0</v>
      </c>
      <c r="K552" s="57">
        <f>COUNTBLANK(MEMBERS[[#This Row],[StaffMemberCode]:[ServiceStartDate]])+COUNTBLANK(MEMBERS[[#This Row],[Apprenticeship]]:MEMBERS[[#This Row],[StaffMemberEnabled]])+COUNTBLANK(MEMBERS[[#This Row],[GenderCode]]:MEMBERS[[#This Row],[Casual]])</f>
        <v>0</v>
      </c>
      <c r="L552" s="57">
        <f>IF(SUBSTITUTE(TEXT(MEMBERS[[#This Row],[StaffMemberCode]],10)," ","")=TEXT(MEMBERS[[#This Row],[StaffMemberCode]],10),0,1)</f>
        <v>0</v>
      </c>
      <c r="M552" s="57">
        <f ca="1">SUM(MEMBERS[[#This Row],[Duplicate NameService Start]:[Space in Code]])</f>
        <v>0</v>
      </c>
      <c r="O552" s="15">
        <v>91073550</v>
      </c>
      <c r="P552" s="15" t="s">
        <v>3370</v>
      </c>
      <c r="Q552" s="15" t="s">
        <v>3799</v>
      </c>
      <c r="R552" s="133" t="str">
        <f>MEMBERS[[#This Row],[FirstName]]&amp;" "&amp;MEMBERS[[#This Row],[LastName]]</f>
        <v>Monica McCluskey</v>
      </c>
      <c r="S552" s="21">
        <v>44570</v>
      </c>
      <c r="U552" s="21">
        <v>21273</v>
      </c>
      <c r="V552" t="b">
        <v>0</v>
      </c>
      <c r="W552" t="b">
        <v>0</v>
      </c>
      <c r="X552" t="b">
        <v>0</v>
      </c>
      <c r="Y552" t="s">
        <v>2094</v>
      </c>
      <c r="Z552" t="b">
        <v>1</v>
      </c>
      <c r="AB552" t="s">
        <v>1571</v>
      </c>
      <c r="AC552" t="b">
        <v>1</v>
      </c>
    </row>
    <row r="553" spans="1:29" x14ac:dyDescent="0.3">
      <c r="A553" s="57" t="str">
        <f>MEMBERS[[#This Row],[Title]]&amp;MEMBERS[[#This Row],[ServiceStartDate]]</f>
        <v>Myles Hocknell45229</v>
      </c>
      <c r="B553" s="57">
        <f>IF(COUNTIF(MEMBERS[NameServiceStart],MEMBERS[[#This Row],[NameServiceStart]])=1,0,1)</f>
        <v>0</v>
      </c>
      <c r="C553" s="57">
        <f>IF(COUNTIF(MEMBERS[StaffMemberCode],MEMBERS[[#This Row],[StaffMemberCode]])=1,0,1)</f>
        <v>0</v>
      </c>
      <c r="D553" s="57">
        <f>IF(ISBLANK(MEMBERS[[#This Row],[PayrollLocation]]),0,IF(COUNTIF(SCHOOLS[SchoolCode],MEMBERS[[#This Row],[PayrollLocation]])=1,0,1))</f>
        <v>0</v>
      </c>
      <c r="E553" s="57">
        <f>IF(MEMBERS[[#This Row],[AvailableToAllSchools]]=FALSE,IF(ISBLANK(MEMBERS[[#This Row],[SchoolCodes]]),1,0),IF(MEMBERS[[#This Row],[AvailableToAllSchools]]=TRUE,IF(ISBLANK(MEMBERS[[#This Row],[SchoolCodes]]),0,1)))</f>
        <v>0</v>
      </c>
      <c r="F553" s="57">
        <f>IF(ISBLANK(MEMBERS[[#This Row],[ServiceEndDate]]),0,IF(MEMBERS[[#This Row],[ServiceStartDate]]&lt;MEMBERS[[#This Row],[ServiceEndDate]],0,1))</f>
        <v>0</v>
      </c>
      <c r="G553" s="57" cm="1">
        <f t="array" aca="1" ref="G553" ca="1">IF(CELL("format",MEMBERS[[#This Row],[ServiceStartDate]])="D1",0,1)+IF(CELL("format",MEMBERS[[#This Row],[ServiceEndDate]])="D1",0,1)</f>
        <v>0</v>
      </c>
      <c r="H55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53" s="57">
        <f>IF(LEN(MEMBERS[[#This Row],[StaffMemberCode]])&lt;100,0,1)</f>
        <v>0</v>
      </c>
      <c r="J553" s="57">
        <f>IF(LEN(MEMBERS[[#This Row],[Title]])&lt;100,0,1)</f>
        <v>0</v>
      </c>
      <c r="K553" s="57">
        <f>COUNTBLANK(MEMBERS[[#This Row],[StaffMemberCode]:[ServiceStartDate]])+COUNTBLANK(MEMBERS[[#This Row],[Apprenticeship]]:MEMBERS[[#This Row],[StaffMemberEnabled]])+COUNTBLANK(MEMBERS[[#This Row],[GenderCode]]:MEMBERS[[#This Row],[Casual]])</f>
        <v>0</v>
      </c>
      <c r="L553" s="57">
        <f>IF(SUBSTITUTE(TEXT(MEMBERS[[#This Row],[StaffMemberCode]],10)," ","")=TEXT(MEMBERS[[#This Row],[StaffMemberCode]],10),0,1)</f>
        <v>0</v>
      </c>
      <c r="M553" s="57">
        <f ca="1">SUM(MEMBERS[[#This Row],[Duplicate NameService Start]:[Space in Code]])</f>
        <v>0</v>
      </c>
      <c r="O553" s="15">
        <v>91073902</v>
      </c>
      <c r="P553" s="15" t="s">
        <v>3371</v>
      </c>
      <c r="Q553" s="15" t="s">
        <v>3800</v>
      </c>
      <c r="R553" s="133" t="str">
        <f>MEMBERS[[#This Row],[FirstName]]&amp;" "&amp;MEMBERS[[#This Row],[LastName]]</f>
        <v>Myles Hocknell</v>
      </c>
      <c r="S553" s="21">
        <v>45229</v>
      </c>
      <c r="U553" s="21">
        <v>36021</v>
      </c>
      <c r="V553" t="b">
        <v>0</v>
      </c>
      <c r="W553" t="b">
        <v>0</v>
      </c>
      <c r="X553" t="b">
        <v>0</v>
      </c>
      <c r="Y553" t="s">
        <v>2266</v>
      </c>
      <c r="Z553" t="b">
        <v>1</v>
      </c>
      <c r="AB553" t="s">
        <v>1572</v>
      </c>
      <c r="AC553" t="b">
        <v>0</v>
      </c>
    </row>
    <row r="554" spans="1:29" x14ac:dyDescent="0.3">
      <c r="A554" s="57" t="str">
        <f>MEMBERS[[#This Row],[Title]]&amp;MEMBERS[[#This Row],[ServiceStartDate]]</f>
        <v>Nadine Darley41648</v>
      </c>
      <c r="B554" s="57">
        <f>IF(COUNTIF(MEMBERS[NameServiceStart],MEMBERS[[#This Row],[NameServiceStart]])=1,0,1)</f>
        <v>0</v>
      </c>
      <c r="C554" s="57">
        <f>IF(COUNTIF(MEMBERS[StaffMemberCode],MEMBERS[[#This Row],[StaffMemberCode]])=1,0,1)</f>
        <v>0</v>
      </c>
      <c r="D554" s="57">
        <f>IF(ISBLANK(MEMBERS[[#This Row],[PayrollLocation]]),0,IF(COUNTIF(SCHOOLS[SchoolCode],MEMBERS[[#This Row],[PayrollLocation]])=1,0,1))</f>
        <v>0</v>
      </c>
      <c r="E554" s="57">
        <f>IF(MEMBERS[[#This Row],[AvailableToAllSchools]]=FALSE,IF(ISBLANK(MEMBERS[[#This Row],[SchoolCodes]]),1,0),IF(MEMBERS[[#This Row],[AvailableToAllSchools]]=TRUE,IF(ISBLANK(MEMBERS[[#This Row],[SchoolCodes]]),0,1)))</f>
        <v>0</v>
      </c>
      <c r="F554" s="57">
        <f>IF(ISBLANK(MEMBERS[[#This Row],[ServiceEndDate]]),0,IF(MEMBERS[[#This Row],[ServiceStartDate]]&lt;MEMBERS[[#This Row],[ServiceEndDate]],0,1))</f>
        <v>0</v>
      </c>
      <c r="G554" s="57" cm="1">
        <f t="array" aca="1" ref="G554" ca="1">IF(CELL("format",MEMBERS[[#This Row],[ServiceStartDate]])="D1",0,1)+IF(CELL("format",MEMBERS[[#This Row],[ServiceEndDate]])="D1",0,1)</f>
        <v>0</v>
      </c>
      <c r="H55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54" s="57">
        <f>IF(LEN(MEMBERS[[#This Row],[StaffMemberCode]])&lt;100,0,1)</f>
        <v>0</v>
      </c>
      <c r="J554" s="57">
        <f>IF(LEN(MEMBERS[[#This Row],[Title]])&lt;100,0,1)</f>
        <v>0</v>
      </c>
      <c r="K554" s="57">
        <f>COUNTBLANK(MEMBERS[[#This Row],[StaffMemberCode]:[ServiceStartDate]])+COUNTBLANK(MEMBERS[[#This Row],[Apprenticeship]]:MEMBERS[[#This Row],[StaffMemberEnabled]])+COUNTBLANK(MEMBERS[[#This Row],[GenderCode]]:MEMBERS[[#This Row],[Casual]])</f>
        <v>0</v>
      </c>
      <c r="L554" s="57">
        <f>IF(SUBSTITUTE(TEXT(MEMBERS[[#This Row],[StaffMemberCode]],10)," ","")=TEXT(MEMBERS[[#This Row],[StaffMemberCode]],10),0,1)</f>
        <v>0</v>
      </c>
      <c r="M554" s="57">
        <f ca="1">SUM(MEMBERS[[#This Row],[Duplicate NameService Start]:[Space in Code]])</f>
        <v>0</v>
      </c>
      <c r="O554" s="15">
        <v>91073713</v>
      </c>
      <c r="P554" s="15" t="s">
        <v>3372</v>
      </c>
      <c r="Q554" s="15" t="s">
        <v>3801</v>
      </c>
      <c r="R554" s="133" t="str">
        <f>MEMBERS[[#This Row],[FirstName]]&amp;" "&amp;MEMBERS[[#This Row],[LastName]]</f>
        <v>Nadine Darley</v>
      </c>
      <c r="S554" s="21">
        <v>41648</v>
      </c>
      <c r="U554" s="21">
        <v>33746</v>
      </c>
      <c r="V554" t="b">
        <v>0</v>
      </c>
      <c r="W554" t="b">
        <v>0</v>
      </c>
      <c r="X554" t="b">
        <v>0</v>
      </c>
      <c r="Y554" t="s">
        <v>2082</v>
      </c>
      <c r="Z554" t="b">
        <v>1</v>
      </c>
      <c r="AB554" t="s">
        <v>1571</v>
      </c>
      <c r="AC554" t="b">
        <v>0</v>
      </c>
    </row>
    <row r="555" spans="1:29" x14ac:dyDescent="0.3">
      <c r="A555" s="57" t="str">
        <f>MEMBERS[[#This Row],[Title]]&amp;MEMBERS[[#This Row],[ServiceStartDate]]</f>
        <v>Nadiye Caglar45847</v>
      </c>
      <c r="B555" s="57">
        <f>IF(COUNTIF(MEMBERS[NameServiceStart],MEMBERS[[#This Row],[NameServiceStart]])=1,0,1)</f>
        <v>0</v>
      </c>
      <c r="C555" s="57">
        <f>IF(COUNTIF(MEMBERS[StaffMemberCode],MEMBERS[[#This Row],[StaffMemberCode]])=1,0,1)</f>
        <v>0</v>
      </c>
      <c r="D555" s="57">
        <f>IF(ISBLANK(MEMBERS[[#This Row],[PayrollLocation]]),0,IF(COUNTIF(SCHOOLS[SchoolCode],MEMBERS[[#This Row],[PayrollLocation]])=1,0,1))</f>
        <v>0</v>
      </c>
      <c r="E555" s="57">
        <f>IF(MEMBERS[[#This Row],[AvailableToAllSchools]]=FALSE,IF(ISBLANK(MEMBERS[[#This Row],[SchoolCodes]]),1,0),IF(MEMBERS[[#This Row],[AvailableToAllSchools]]=TRUE,IF(ISBLANK(MEMBERS[[#This Row],[SchoolCodes]]),0,1)))</f>
        <v>0</v>
      </c>
      <c r="F555" s="57">
        <f>IF(ISBLANK(MEMBERS[[#This Row],[ServiceEndDate]]),0,IF(MEMBERS[[#This Row],[ServiceStartDate]]&lt;MEMBERS[[#This Row],[ServiceEndDate]],0,1))</f>
        <v>0</v>
      </c>
      <c r="G555" s="57" cm="1">
        <f t="array" aca="1" ref="G555" ca="1">IF(CELL("format",MEMBERS[[#This Row],[ServiceStartDate]])="D1",0,1)+IF(CELL("format",MEMBERS[[#This Row],[ServiceEndDate]])="D1",0,1)</f>
        <v>0</v>
      </c>
      <c r="H55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55" s="57">
        <f>IF(LEN(MEMBERS[[#This Row],[StaffMemberCode]])&lt;100,0,1)</f>
        <v>0</v>
      </c>
      <c r="J555" s="57">
        <f>IF(LEN(MEMBERS[[#This Row],[Title]])&lt;100,0,1)</f>
        <v>0</v>
      </c>
      <c r="K555" s="57">
        <f>COUNTBLANK(MEMBERS[[#This Row],[StaffMemberCode]:[ServiceStartDate]])+COUNTBLANK(MEMBERS[[#This Row],[Apprenticeship]]:MEMBERS[[#This Row],[StaffMemberEnabled]])+COUNTBLANK(MEMBERS[[#This Row],[GenderCode]]:MEMBERS[[#This Row],[Casual]])</f>
        <v>0</v>
      </c>
      <c r="L555" s="57">
        <f>IF(SUBSTITUTE(TEXT(MEMBERS[[#This Row],[StaffMemberCode]],10)," ","")=TEXT(MEMBERS[[#This Row],[StaffMemberCode]],10),0,1)</f>
        <v>0</v>
      </c>
      <c r="M555" s="57">
        <f ca="1">SUM(MEMBERS[[#This Row],[Duplicate NameService Start]:[Space in Code]])</f>
        <v>0</v>
      </c>
      <c r="O555" s="15">
        <v>91850030</v>
      </c>
      <c r="P555" s="15" t="s">
        <v>3373</v>
      </c>
      <c r="Q555" s="15" t="s">
        <v>3802</v>
      </c>
      <c r="R555" s="133" t="str">
        <f>MEMBERS[[#This Row],[FirstName]]&amp;" "&amp;MEMBERS[[#This Row],[LastName]]</f>
        <v>Nadiye Caglar</v>
      </c>
      <c r="S555" s="21">
        <v>45847</v>
      </c>
      <c r="U555" s="21">
        <v>31322</v>
      </c>
      <c r="V555" t="b">
        <v>0</v>
      </c>
      <c r="W555" t="b">
        <v>0</v>
      </c>
      <c r="X555" t="b">
        <v>0</v>
      </c>
      <c r="Y555" t="s">
        <v>2082</v>
      </c>
      <c r="Z555" t="b">
        <v>1</v>
      </c>
      <c r="AB555" t="s">
        <v>1571</v>
      </c>
      <c r="AC555" t="b">
        <v>0</v>
      </c>
    </row>
    <row r="556" spans="1:29" x14ac:dyDescent="0.3">
      <c r="A556" s="57" t="str">
        <f>MEMBERS[[#This Row],[Title]]&amp;MEMBERS[[#This Row],[ServiceStartDate]]</f>
        <v>Naomi Forman38726</v>
      </c>
      <c r="B556" s="57">
        <f>IF(COUNTIF(MEMBERS[NameServiceStart],MEMBERS[[#This Row],[NameServiceStart]])=1,0,1)</f>
        <v>0</v>
      </c>
      <c r="C556" s="57">
        <f>IF(COUNTIF(MEMBERS[StaffMemberCode],MEMBERS[[#This Row],[StaffMemberCode]])=1,0,1)</f>
        <v>0</v>
      </c>
      <c r="D556" s="57">
        <f>IF(ISBLANK(MEMBERS[[#This Row],[PayrollLocation]]),0,IF(COUNTIF(SCHOOLS[SchoolCode],MEMBERS[[#This Row],[PayrollLocation]])=1,0,1))</f>
        <v>0</v>
      </c>
      <c r="E556" s="57">
        <f>IF(MEMBERS[[#This Row],[AvailableToAllSchools]]=FALSE,IF(ISBLANK(MEMBERS[[#This Row],[SchoolCodes]]),1,0),IF(MEMBERS[[#This Row],[AvailableToAllSchools]]=TRUE,IF(ISBLANK(MEMBERS[[#This Row],[SchoolCodes]]),0,1)))</f>
        <v>0</v>
      </c>
      <c r="F556" s="57">
        <f>IF(ISBLANK(MEMBERS[[#This Row],[ServiceEndDate]]),0,IF(MEMBERS[[#This Row],[ServiceStartDate]]&lt;MEMBERS[[#This Row],[ServiceEndDate]],0,1))</f>
        <v>0</v>
      </c>
      <c r="G556" s="57" cm="1">
        <f t="array" aca="1" ref="G556" ca="1">IF(CELL("format",MEMBERS[[#This Row],[ServiceStartDate]])="D1",0,1)+IF(CELL("format",MEMBERS[[#This Row],[ServiceEndDate]])="D1",0,1)</f>
        <v>0</v>
      </c>
      <c r="H55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56" s="57">
        <f>IF(LEN(MEMBERS[[#This Row],[StaffMemberCode]])&lt;100,0,1)</f>
        <v>0</v>
      </c>
      <c r="J556" s="57">
        <f>IF(LEN(MEMBERS[[#This Row],[Title]])&lt;100,0,1)</f>
        <v>0</v>
      </c>
      <c r="K556" s="57">
        <f>COUNTBLANK(MEMBERS[[#This Row],[StaffMemberCode]:[ServiceStartDate]])+COUNTBLANK(MEMBERS[[#This Row],[Apprenticeship]]:MEMBERS[[#This Row],[StaffMemberEnabled]])+COUNTBLANK(MEMBERS[[#This Row],[GenderCode]]:MEMBERS[[#This Row],[Casual]])</f>
        <v>0</v>
      </c>
      <c r="L556" s="57">
        <f>IF(SUBSTITUTE(TEXT(MEMBERS[[#This Row],[StaffMemberCode]],10)," ","")=TEXT(MEMBERS[[#This Row],[StaffMemberCode]],10),0,1)</f>
        <v>0</v>
      </c>
      <c r="M556" s="57">
        <f ca="1">SUM(MEMBERS[[#This Row],[Duplicate NameService Start]:[Space in Code]])</f>
        <v>0</v>
      </c>
      <c r="O556" s="15">
        <v>91073741</v>
      </c>
      <c r="P556" s="15" t="s">
        <v>3374</v>
      </c>
      <c r="Q556" s="15" t="s">
        <v>3803</v>
      </c>
      <c r="R556" s="133" t="str">
        <f>MEMBERS[[#This Row],[FirstName]]&amp;" "&amp;MEMBERS[[#This Row],[LastName]]</f>
        <v>Naomi Forman</v>
      </c>
      <c r="S556" s="21">
        <v>38726</v>
      </c>
      <c r="U556" s="21">
        <v>30748</v>
      </c>
      <c r="V556" t="b">
        <v>0</v>
      </c>
      <c r="W556" t="b">
        <v>0</v>
      </c>
      <c r="X556" t="b">
        <v>0</v>
      </c>
      <c r="Y556" t="s">
        <v>2082</v>
      </c>
      <c r="Z556" t="b">
        <v>1</v>
      </c>
      <c r="AB556" t="s">
        <v>1571</v>
      </c>
      <c r="AC556" t="b">
        <v>0</v>
      </c>
    </row>
    <row r="557" spans="1:29" x14ac:dyDescent="0.3">
      <c r="A557" s="57" t="str">
        <f>MEMBERS[[#This Row],[Title]]&amp;MEMBERS[[#This Row],[ServiceStartDate]]</f>
        <v>Naomi Waters44571</v>
      </c>
      <c r="B557" s="57">
        <f>IF(COUNTIF(MEMBERS[NameServiceStart],MEMBERS[[#This Row],[NameServiceStart]])=1,0,1)</f>
        <v>0</v>
      </c>
      <c r="C557" s="57">
        <f>IF(COUNTIF(MEMBERS[StaffMemberCode],MEMBERS[[#This Row],[StaffMemberCode]])=1,0,1)</f>
        <v>0</v>
      </c>
      <c r="D557" s="57">
        <f>IF(ISBLANK(MEMBERS[[#This Row],[PayrollLocation]]),0,IF(COUNTIF(SCHOOLS[SchoolCode],MEMBERS[[#This Row],[PayrollLocation]])=1,0,1))</f>
        <v>0</v>
      </c>
      <c r="E557" s="57">
        <f>IF(MEMBERS[[#This Row],[AvailableToAllSchools]]=FALSE,IF(ISBLANK(MEMBERS[[#This Row],[SchoolCodes]]),1,0),IF(MEMBERS[[#This Row],[AvailableToAllSchools]]=TRUE,IF(ISBLANK(MEMBERS[[#This Row],[SchoolCodes]]),0,1)))</f>
        <v>0</v>
      </c>
      <c r="F557" s="57">
        <f>IF(ISBLANK(MEMBERS[[#This Row],[ServiceEndDate]]),0,IF(MEMBERS[[#This Row],[ServiceStartDate]]&lt;MEMBERS[[#This Row],[ServiceEndDate]],0,1))</f>
        <v>0</v>
      </c>
      <c r="G557" s="57" cm="1">
        <f t="array" aca="1" ref="G557" ca="1">IF(CELL("format",MEMBERS[[#This Row],[ServiceStartDate]])="D1",0,1)+IF(CELL("format",MEMBERS[[#This Row],[ServiceEndDate]])="D1",0,1)</f>
        <v>0</v>
      </c>
      <c r="H55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57" s="57">
        <f>IF(LEN(MEMBERS[[#This Row],[StaffMemberCode]])&lt;100,0,1)</f>
        <v>0</v>
      </c>
      <c r="J557" s="57">
        <f>IF(LEN(MEMBERS[[#This Row],[Title]])&lt;100,0,1)</f>
        <v>0</v>
      </c>
      <c r="K557" s="57">
        <f>COUNTBLANK(MEMBERS[[#This Row],[StaffMemberCode]:[ServiceStartDate]])+COUNTBLANK(MEMBERS[[#This Row],[Apprenticeship]]:MEMBERS[[#This Row],[StaffMemberEnabled]])+COUNTBLANK(MEMBERS[[#This Row],[GenderCode]]:MEMBERS[[#This Row],[Casual]])</f>
        <v>0</v>
      </c>
      <c r="L557" s="57">
        <f>IF(SUBSTITUTE(TEXT(MEMBERS[[#This Row],[StaffMemberCode]],10)," ","")=TEXT(MEMBERS[[#This Row],[StaffMemberCode]],10),0,1)</f>
        <v>0</v>
      </c>
      <c r="M557" s="57">
        <f ca="1">SUM(MEMBERS[[#This Row],[Duplicate NameService Start]:[Space in Code]])</f>
        <v>0</v>
      </c>
      <c r="O557" s="15">
        <v>91073852</v>
      </c>
      <c r="P557" s="15" t="s">
        <v>3374</v>
      </c>
      <c r="Q557" s="15" t="s">
        <v>3804</v>
      </c>
      <c r="R557" s="133" t="str">
        <f>MEMBERS[[#This Row],[FirstName]]&amp;" "&amp;MEMBERS[[#This Row],[LastName]]</f>
        <v>Naomi Waters</v>
      </c>
      <c r="S557" s="21">
        <v>44571</v>
      </c>
      <c r="U557" s="21">
        <v>30953</v>
      </c>
      <c r="V557" t="b">
        <v>0</v>
      </c>
      <c r="W557" t="b">
        <v>0</v>
      </c>
      <c r="X557" t="b">
        <v>0</v>
      </c>
      <c r="Y557" t="s">
        <v>2082</v>
      </c>
      <c r="Z557" t="b">
        <v>1</v>
      </c>
      <c r="AB557" t="s">
        <v>1571</v>
      </c>
      <c r="AC557" t="b">
        <v>0</v>
      </c>
    </row>
    <row r="558" spans="1:29" x14ac:dyDescent="0.3">
      <c r="A558" s="57" t="str">
        <f>MEMBERS[[#This Row],[Title]]&amp;MEMBERS[[#This Row],[ServiceStartDate]]</f>
        <v>Natalie Daniels35439</v>
      </c>
      <c r="B558" s="57">
        <f>IF(COUNTIF(MEMBERS[NameServiceStart],MEMBERS[[#This Row],[NameServiceStart]])=1,0,1)</f>
        <v>0</v>
      </c>
      <c r="C558" s="57">
        <f>IF(COUNTIF(MEMBERS[StaffMemberCode],MEMBERS[[#This Row],[StaffMemberCode]])=1,0,1)</f>
        <v>0</v>
      </c>
      <c r="D558" s="57">
        <f>IF(ISBLANK(MEMBERS[[#This Row],[PayrollLocation]]),0,IF(COUNTIF(SCHOOLS[SchoolCode],MEMBERS[[#This Row],[PayrollLocation]])=1,0,1))</f>
        <v>0</v>
      </c>
      <c r="E558" s="57">
        <f>IF(MEMBERS[[#This Row],[AvailableToAllSchools]]=FALSE,IF(ISBLANK(MEMBERS[[#This Row],[SchoolCodes]]),1,0),IF(MEMBERS[[#This Row],[AvailableToAllSchools]]=TRUE,IF(ISBLANK(MEMBERS[[#This Row],[SchoolCodes]]),0,1)))</f>
        <v>0</v>
      </c>
      <c r="F558" s="57">
        <f>IF(ISBLANK(MEMBERS[[#This Row],[ServiceEndDate]]),0,IF(MEMBERS[[#This Row],[ServiceStartDate]]&lt;MEMBERS[[#This Row],[ServiceEndDate]],0,1))</f>
        <v>0</v>
      </c>
      <c r="G558" s="57" cm="1">
        <f t="array" aca="1" ref="G558" ca="1">IF(CELL("format",MEMBERS[[#This Row],[ServiceStartDate]])="D1",0,1)+IF(CELL("format",MEMBERS[[#This Row],[ServiceEndDate]])="D1",0,1)</f>
        <v>0</v>
      </c>
      <c r="H55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58" s="57">
        <f>IF(LEN(MEMBERS[[#This Row],[StaffMemberCode]])&lt;100,0,1)</f>
        <v>0</v>
      </c>
      <c r="J558" s="57">
        <f>IF(LEN(MEMBERS[[#This Row],[Title]])&lt;100,0,1)</f>
        <v>0</v>
      </c>
      <c r="K558" s="57">
        <f>COUNTBLANK(MEMBERS[[#This Row],[StaffMemberCode]:[ServiceStartDate]])+COUNTBLANK(MEMBERS[[#This Row],[Apprenticeship]]:MEMBERS[[#This Row],[StaffMemberEnabled]])+COUNTBLANK(MEMBERS[[#This Row],[GenderCode]]:MEMBERS[[#This Row],[Casual]])</f>
        <v>0</v>
      </c>
      <c r="L558" s="57">
        <f>IF(SUBSTITUTE(TEXT(MEMBERS[[#This Row],[StaffMemberCode]],10)," ","")=TEXT(MEMBERS[[#This Row],[StaffMemberCode]],10),0,1)</f>
        <v>0</v>
      </c>
      <c r="M558" s="57">
        <f ca="1">SUM(MEMBERS[[#This Row],[Duplicate NameService Start]:[Space in Code]])</f>
        <v>0</v>
      </c>
      <c r="O558" s="15">
        <v>91073846</v>
      </c>
      <c r="P558" s="15" t="s">
        <v>3375</v>
      </c>
      <c r="Q558" s="15" t="s">
        <v>3805</v>
      </c>
      <c r="R558" s="133" t="str">
        <f>MEMBERS[[#This Row],[FirstName]]&amp;" "&amp;MEMBERS[[#This Row],[LastName]]</f>
        <v>Natalie Daniels</v>
      </c>
      <c r="S558" s="21">
        <v>35439</v>
      </c>
      <c r="U558" s="21">
        <v>26836</v>
      </c>
      <c r="V558" t="b">
        <v>0</v>
      </c>
      <c r="W558" t="b">
        <v>0</v>
      </c>
      <c r="X558" t="b">
        <v>0</v>
      </c>
      <c r="Y558" t="s">
        <v>2082</v>
      </c>
      <c r="Z558" t="b">
        <v>1</v>
      </c>
      <c r="AB558" t="s">
        <v>1571</v>
      </c>
      <c r="AC558" t="b">
        <v>0</v>
      </c>
    </row>
    <row r="559" spans="1:29" x14ac:dyDescent="0.3">
      <c r="A559" s="57" t="str">
        <f>MEMBERS[[#This Row],[Title]]&amp;MEMBERS[[#This Row],[ServiceStartDate]]</f>
        <v>Natalie Elkin44075</v>
      </c>
      <c r="B559" s="57">
        <f>IF(COUNTIF(MEMBERS[NameServiceStart],MEMBERS[[#This Row],[NameServiceStart]])=1,0,1)</f>
        <v>0</v>
      </c>
      <c r="C559" s="57">
        <f>IF(COUNTIF(MEMBERS[StaffMemberCode],MEMBERS[[#This Row],[StaffMemberCode]])=1,0,1)</f>
        <v>0</v>
      </c>
      <c r="D559" s="57">
        <f>IF(ISBLANK(MEMBERS[[#This Row],[PayrollLocation]]),0,IF(COUNTIF(SCHOOLS[SchoolCode],MEMBERS[[#This Row],[PayrollLocation]])=1,0,1))</f>
        <v>0</v>
      </c>
      <c r="E559" s="57">
        <f>IF(MEMBERS[[#This Row],[AvailableToAllSchools]]=FALSE,IF(ISBLANK(MEMBERS[[#This Row],[SchoolCodes]]),1,0),IF(MEMBERS[[#This Row],[AvailableToAllSchools]]=TRUE,IF(ISBLANK(MEMBERS[[#This Row],[SchoolCodes]]),0,1)))</f>
        <v>0</v>
      </c>
      <c r="F559" s="57">
        <f>IF(ISBLANK(MEMBERS[[#This Row],[ServiceEndDate]]),0,IF(MEMBERS[[#This Row],[ServiceStartDate]]&lt;MEMBERS[[#This Row],[ServiceEndDate]],0,1))</f>
        <v>0</v>
      </c>
      <c r="G559" s="57" cm="1">
        <f t="array" aca="1" ref="G559" ca="1">IF(CELL("format",MEMBERS[[#This Row],[ServiceStartDate]])="D1",0,1)+IF(CELL("format",MEMBERS[[#This Row],[ServiceEndDate]])="D1",0,1)</f>
        <v>0</v>
      </c>
      <c r="H55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59" s="57">
        <f>IF(LEN(MEMBERS[[#This Row],[StaffMemberCode]])&lt;100,0,1)</f>
        <v>0</v>
      </c>
      <c r="J559" s="57">
        <f>IF(LEN(MEMBERS[[#This Row],[Title]])&lt;100,0,1)</f>
        <v>0</v>
      </c>
      <c r="K559" s="57">
        <f>COUNTBLANK(MEMBERS[[#This Row],[StaffMemberCode]:[ServiceStartDate]])+COUNTBLANK(MEMBERS[[#This Row],[Apprenticeship]]:MEMBERS[[#This Row],[StaffMemberEnabled]])+COUNTBLANK(MEMBERS[[#This Row],[GenderCode]]:MEMBERS[[#This Row],[Casual]])</f>
        <v>0</v>
      </c>
      <c r="L559" s="57">
        <f>IF(SUBSTITUTE(TEXT(MEMBERS[[#This Row],[StaffMemberCode]],10)," ","")=TEXT(MEMBERS[[#This Row],[StaffMemberCode]],10),0,1)</f>
        <v>0</v>
      </c>
      <c r="M559" s="57">
        <f ca="1">SUM(MEMBERS[[#This Row],[Duplicate NameService Start]:[Space in Code]])</f>
        <v>0</v>
      </c>
      <c r="O559" s="15">
        <v>10007458</v>
      </c>
      <c r="P559" s="15" t="s">
        <v>3375</v>
      </c>
      <c r="Q559" s="15" t="s">
        <v>4107</v>
      </c>
      <c r="R559" s="133" t="str">
        <f>MEMBERS[[#This Row],[FirstName]]&amp;" "&amp;MEMBERS[[#This Row],[LastName]]</f>
        <v>Natalie Elkin</v>
      </c>
      <c r="S559" s="21">
        <v>44075</v>
      </c>
      <c r="U559" s="21">
        <v>35661</v>
      </c>
      <c r="V559" s="138" t="b">
        <v>0</v>
      </c>
      <c r="W559" t="b">
        <v>0</v>
      </c>
      <c r="X559" t="b">
        <v>0</v>
      </c>
      <c r="Y559" t="s">
        <v>2126</v>
      </c>
      <c r="Z559" t="b">
        <v>1</v>
      </c>
      <c r="AB559" t="s">
        <v>1571</v>
      </c>
      <c r="AC559" t="b">
        <v>0</v>
      </c>
    </row>
    <row r="560" spans="1:29" x14ac:dyDescent="0.3">
      <c r="A560" s="57" t="str">
        <f>MEMBERS[[#This Row],[Title]]&amp;MEMBERS[[#This Row],[ServiceStartDate]]</f>
        <v>Natalie Newson40787</v>
      </c>
      <c r="B560" s="57">
        <f>IF(COUNTIF(MEMBERS[NameServiceStart],MEMBERS[[#This Row],[NameServiceStart]])=1,0,1)</f>
        <v>0</v>
      </c>
      <c r="C560" s="57">
        <f>IF(COUNTIF(MEMBERS[StaffMemberCode],MEMBERS[[#This Row],[StaffMemberCode]])=1,0,1)</f>
        <v>0</v>
      </c>
      <c r="D560" s="57">
        <f>IF(ISBLANK(MEMBERS[[#This Row],[PayrollLocation]]),0,IF(COUNTIF(SCHOOLS[SchoolCode],MEMBERS[[#This Row],[PayrollLocation]])=1,0,1))</f>
        <v>0</v>
      </c>
      <c r="E560" s="57">
        <f>IF(MEMBERS[[#This Row],[AvailableToAllSchools]]=FALSE,IF(ISBLANK(MEMBERS[[#This Row],[SchoolCodes]]),1,0),IF(MEMBERS[[#This Row],[AvailableToAllSchools]]=TRUE,IF(ISBLANK(MEMBERS[[#This Row],[SchoolCodes]]),0,1)))</f>
        <v>0</v>
      </c>
      <c r="F560" s="57">
        <f>IF(ISBLANK(MEMBERS[[#This Row],[ServiceEndDate]]),0,IF(MEMBERS[[#This Row],[ServiceStartDate]]&lt;MEMBERS[[#This Row],[ServiceEndDate]],0,1))</f>
        <v>0</v>
      </c>
      <c r="G560" s="57" cm="1">
        <f t="array" aca="1" ref="G560" ca="1">IF(CELL("format",MEMBERS[[#This Row],[ServiceStartDate]])="D1",0,1)+IF(CELL("format",MEMBERS[[#This Row],[ServiceEndDate]])="D1",0,1)</f>
        <v>0</v>
      </c>
      <c r="H56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60" s="57">
        <f>IF(LEN(MEMBERS[[#This Row],[StaffMemberCode]])&lt;100,0,1)</f>
        <v>0</v>
      </c>
      <c r="J560" s="57">
        <f>IF(LEN(MEMBERS[[#This Row],[Title]])&lt;100,0,1)</f>
        <v>0</v>
      </c>
      <c r="K560" s="57">
        <f>COUNTBLANK(MEMBERS[[#This Row],[StaffMemberCode]:[ServiceStartDate]])+COUNTBLANK(MEMBERS[[#This Row],[Apprenticeship]]:MEMBERS[[#This Row],[StaffMemberEnabled]])+COUNTBLANK(MEMBERS[[#This Row],[GenderCode]]:MEMBERS[[#This Row],[Casual]])</f>
        <v>0</v>
      </c>
      <c r="L560" s="57">
        <f>IF(SUBSTITUTE(TEXT(MEMBERS[[#This Row],[StaffMemberCode]],10)," ","")=TEXT(MEMBERS[[#This Row],[StaffMemberCode]],10),0,1)</f>
        <v>0</v>
      </c>
      <c r="M560" s="57">
        <f ca="1">SUM(MEMBERS[[#This Row],[Duplicate NameService Start]:[Space in Code]])</f>
        <v>0</v>
      </c>
      <c r="O560" s="15">
        <v>91075769</v>
      </c>
      <c r="P560" s="15" t="s">
        <v>3375</v>
      </c>
      <c r="Q560" s="15" t="s">
        <v>3806</v>
      </c>
      <c r="R560" s="133" t="str">
        <f>MEMBERS[[#This Row],[FirstName]]&amp;" "&amp;MEMBERS[[#This Row],[LastName]]</f>
        <v>Natalie Newson</v>
      </c>
      <c r="S560" s="21">
        <v>40787</v>
      </c>
      <c r="U560" s="21">
        <v>32585</v>
      </c>
      <c r="V560" t="b">
        <v>0</v>
      </c>
      <c r="W560" t="b">
        <v>0</v>
      </c>
      <c r="X560" t="b">
        <v>0</v>
      </c>
      <c r="Y560" t="s">
        <v>2200</v>
      </c>
      <c r="Z560" t="b">
        <v>1</v>
      </c>
      <c r="AB560" t="s">
        <v>1571</v>
      </c>
      <c r="AC560" t="b">
        <v>0</v>
      </c>
    </row>
    <row r="561" spans="1:29" x14ac:dyDescent="0.3">
      <c r="A561" s="57" t="str">
        <f>MEMBERS[[#This Row],[Title]]&amp;MEMBERS[[#This Row],[ServiceStartDate]]</f>
        <v>Natalie Zatrakova45536</v>
      </c>
      <c r="B561" s="57">
        <f>IF(COUNTIF(MEMBERS[NameServiceStart],MEMBERS[[#This Row],[NameServiceStart]])=1,0,1)</f>
        <v>0</v>
      </c>
      <c r="C561" s="57">
        <f>IF(COUNTIF(MEMBERS[StaffMemberCode],MEMBERS[[#This Row],[StaffMemberCode]])=1,0,1)</f>
        <v>0</v>
      </c>
      <c r="D561" s="57">
        <f>IF(ISBLANK(MEMBERS[[#This Row],[PayrollLocation]]),0,IF(COUNTIF(SCHOOLS[SchoolCode],MEMBERS[[#This Row],[PayrollLocation]])=1,0,1))</f>
        <v>0</v>
      </c>
      <c r="E561" s="57">
        <f>IF(MEMBERS[[#This Row],[AvailableToAllSchools]]=FALSE,IF(ISBLANK(MEMBERS[[#This Row],[SchoolCodes]]),1,0),IF(MEMBERS[[#This Row],[AvailableToAllSchools]]=TRUE,IF(ISBLANK(MEMBERS[[#This Row],[SchoolCodes]]),0,1)))</f>
        <v>0</v>
      </c>
      <c r="F561" s="57">
        <f>IF(ISBLANK(MEMBERS[[#This Row],[ServiceEndDate]]),0,IF(MEMBERS[[#This Row],[ServiceStartDate]]&lt;MEMBERS[[#This Row],[ServiceEndDate]],0,1))</f>
        <v>0</v>
      </c>
      <c r="G561" s="57" cm="1">
        <f t="array" aca="1" ref="G561" ca="1">IF(CELL("format",MEMBERS[[#This Row],[ServiceStartDate]])="D1",0,1)+IF(CELL("format",MEMBERS[[#This Row],[ServiceEndDate]])="D1",0,1)</f>
        <v>0</v>
      </c>
      <c r="H56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61" s="57">
        <f>IF(LEN(MEMBERS[[#This Row],[StaffMemberCode]])&lt;100,0,1)</f>
        <v>0</v>
      </c>
      <c r="J561" s="57">
        <f>IF(LEN(MEMBERS[[#This Row],[Title]])&lt;100,0,1)</f>
        <v>0</v>
      </c>
      <c r="K561" s="57">
        <f>COUNTBLANK(MEMBERS[[#This Row],[StaffMemberCode]:[ServiceStartDate]])+COUNTBLANK(MEMBERS[[#This Row],[Apprenticeship]]:MEMBERS[[#This Row],[StaffMemberEnabled]])+COUNTBLANK(MEMBERS[[#This Row],[GenderCode]]:MEMBERS[[#This Row],[Casual]])</f>
        <v>0</v>
      </c>
      <c r="L561" s="57">
        <f>IF(SUBSTITUTE(TEXT(MEMBERS[[#This Row],[StaffMemberCode]],10)," ","")=TEXT(MEMBERS[[#This Row],[StaffMemberCode]],10),0,1)</f>
        <v>0</v>
      </c>
      <c r="M561" s="57">
        <f ca="1">SUM(MEMBERS[[#This Row],[Duplicate NameService Start]:[Space in Code]])</f>
        <v>0</v>
      </c>
      <c r="O561" s="15">
        <v>91324672</v>
      </c>
      <c r="P561" s="15" t="s">
        <v>3375</v>
      </c>
      <c r="Q561" s="15" t="s">
        <v>3807</v>
      </c>
      <c r="R561" s="133" t="str">
        <f>MEMBERS[[#This Row],[FirstName]]&amp;" "&amp;MEMBERS[[#This Row],[LastName]]</f>
        <v>Natalie Zatrakova</v>
      </c>
      <c r="S561" s="21">
        <v>45536</v>
      </c>
      <c r="U561" s="21">
        <v>34385</v>
      </c>
      <c r="V561" t="b">
        <v>0</v>
      </c>
      <c r="W561" t="b">
        <v>0</v>
      </c>
      <c r="X561" t="b">
        <v>0</v>
      </c>
      <c r="Y561" t="s">
        <v>2299</v>
      </c>
      <c r="Z561" t="b">
        <v>1</v>
      </c>
      <c r="AB561" t="s">
        <v>1571</v>
      </c>
      <c r="AC561" t="b">
        <v>0</v>
      </c>
    </row>
    <row r="562" spans="1:29" x14ac:dyDescent="0.3">
      <c r="A562" s="57" t="str">
        <f>MEMBERS[[#This Row],[Title]]&amp;MEMBERS[[#This Row],[ServiceStartDate]]</f>
        <v>Natasha Griffiths43839</v>
      </c>
      <c r="B562" s="57">
        <f>IF(COUNTIF(MEMBERS[NameServiceStart],MEMBERS[[#This Row],[NameServiceStart]])=1,0,1)</f>
        <v>0</v>
      </c>
      <c r="C562" s="57">
        <f>IF(COUNTIF(MEMBERS[StaffMemberCode],MEMBERS[[#This Row],[StaffMemberCode]])=1,0,1)</f>
        <v>0</v>
      </c>
      <c r="D562" s="57">
        <f>IF(ISBLANK(MEMBERS[[#This Row],[PayrollLocation]]),0,IF(COUNTIF(SCHOOLS[SchoolCode],MEMBERS[[#This Row],[PayrollLocation]])=1,0,1))</f>
        <v>0</v>
      </c>
      <c r="E562" s="57">
        <f>IF(MEMBERS[[#This Row],[AvailableToAllSchools]]=FALSE,IF(ISBLANK(MEMBERS[[#This Row],[SchoolCodes]]),1,0),IF(MEMBERS[[#This Row],[AvailableToAllSchools]]=TRUE,IF(ISBLANK(MEMBERS[[#This Row],[SchoolCodes]]),0,1)))</f>
        <v>0</v>
      </c>
      <c r="F562" s="57">
        <f>IF(ISBLANK(MEMBERS[[#This Row],[ServiceEndDate]]),0,IF(MEMBERS[[#This Row],[ServiceStartDate]]&lt;MEMBERS[[#This Row],[ServiceEndDate]],0,1))</f>
        <v>0</v>
      </c>
      <c r="G562" s="57" cm="1">
        <f t="array" aca="1" ref="G562" ca="1">IF(CELL("format",MEMBERS[[#This Row],[ServiceStartDate]])="D1",0,1)+IF(CELL("format",MEMBERS[[#This Row],[ServiceEndDate]])="D1",0,1)</f>
        <v>0</v>
      </c>
      <c r="H56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62" s="57">
        <f>IF(LEN(MEMBERS[[#This Row],[StaffMemberCode]])&lt;100,0,1)</f>
        <v>0</v>
      </c>
      <c r="J562" s="57">
        <f>IF(LEN(MEMBERS[[#This Row],[Title]])&lt;100,0,1)</f>
        <v>0</v>
      </c>
      <c r="K562" s="57">
        <f>COUNTBLANK(MEMBERS[[#This Row],[StaffMemberCode]:[ServiceStartDate]])+COUNTBLANK(MEMBERS[[#This Row],[Apprenticeship]]:MEMBERS[[#This Row],[StaffMemberEnabled]])+COUNTBLANK(MEMBERS[[#This Row],[GenderCode]]:MEMBERS[[#This Row],[Casual]])</f>
        <v>0</v>
      </c>
      <c r="L562" s="57">
        <f>IF(SUBSTITUTE(TEXT(MEMBERS[[#This Row],[StaffMemberCode]],10)," ","")=TEXT(MEMBERS[[#This Row],[StaffMemberCode]],10),0,1)</f>
        <v>0</v>
      </c>
      <c r="M562" s="57">
        <f ca="1">SUM(MEMBERS[[#This Row],[Duplicate NameService Start]:[Space in Code]])</f>
        <v>0</v>
      </c>
      <c r="O562" s="15">
        <v>91073420</v>
      </c>
      <c r="P562" s="15" t="s">
        <v>3376</v>
      </c>
      <c r="Q562" s="15" t="s">
        <v>3808</v>
      </c>
      <c r="R562" s="133" t="str">
        <f>MEMBERS[[#This Row],[FirstName]]&amp;" "&amp;MEMBERS[[#This Row],[LastName]]</f>
        <v>Natasha Griffiths</v>
      </c>
      <c r="S562" s="21">
        <v>43839</v>
      </c>
      <c r="U562" s="21">
        <v>33815</v>
      </c>
      <c r="V562" t="b">
        <v>0</v>
      </c>
      <c r="W562" t="b">
        <v>0</v>
      </c>
      <c r="X562" t="b">
        <v>0</v>
      </c>
      <c r="Y562" t="s">
        <v>2275</v>
      </c>
      <c r="Z562" t="b">
        <v>1</v>
      </c>
      <c r="AB562" t="s">
        <v>1571</v>
      </c>
      <c r="AC562" t="b">
        <v>0</v>
      </c>
    </row>
    <row r="563" spans="1:29" x14ac:dyDescent="0.3">
      <c r="A563" s="57" t="str">
        <f>MEMBERS[[#This Row],[Title]]&amp;MEMBERS[[#This Row],[ServiceStartDate]]</f>
        <v>Natercia Dos Santos Marques42795</v>
      </c>
      <c r="B563" s="57">
        <f>IF(COUNTIF(MEMBERS[NameServiceStart],MEMBERS[[#This Row],[NameServiceStart]])=1,0,1)</f>
        <v>0</v>
      </c>
      <c r="C563" s="57">
        <f>IF(COUNTIF(MEMBERS[StaffMemberCode],MEMBERS[[#This Row],[StaffMemberCode]])=1,0,1)</f>
        <v>0</v>
      </c>
      <c r="D563" s="57">
        <f>IF(ISBLANK(MEMBERS[[#This Row],[PayrollLocation]]),0,IF(COUNTIF(SCHOOLS[SchoolCode],MEMBERS[[#This Row],[PayrollLocation]])=1,0,1))</f>
        <v>0</v>
      </c>
      <c r="E563" s="57">
        <f>IF(MEMBERS[[#This Row],[AvailableToAllSchools]]=FALSE,IF(ISBLANK(MEMBERS[[#This Row],[SchoolCodes]]),1,0),IF(MEMBERS[[#This Row],[AvailableToAllSchools]]=TRUE,IF(ISBLANK(MEMBERS[[#This Row],[SchoolCodes]]),0,1)))</f>
        <v>0</v>
      </c>
      <c r="F563" s="57">
        <f>IF(ISBLANK(MEMBERS[[#This Row],[ServiceEndDate]]),0,IF(MEMBERS[[#This Row],[ServiceStartDate]]&lt;MEMBERS[[#This Row],[ServiceEndDate]],0,1))</f>
        <v>0</v>
      </c>
      <c r="G563" s="57" cm="1">
        <f t="array" aca="1" ref="G563" ca="1">IF(CELL("format",MEMBERS[[#This Row],[ServiceStartDate]])="D1",0,1)+IF(CELL("format",MEMBERS[[#This Row],[ServiceEndDate]])="D1",0,1)</f>
        <v>0</v>
      </c>
      <c r="H56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63" s="57">
        <f>IF(LEN(MEMBERS[[#This Row],[StaffMemberCode]])&lt;100,0,1)</f>
        <v>0</v>
      </c>
      <c r="J563" s="57">
        <f>IF(LEN(MEMBERS[[#This Row],[Title]])&lt;100,0,1)</f>
        <v>0</v>
      </c>
      <c r="K563" s="57">
        <f>COUNTBLANK(MEMBERS[[#This Row],[StaffMemberCode]:[ServiceStartDate]])+COUNTBLANK(MEMBERS[[#This Row],[Apprenticeship]]:MEMBERS[[#This Row],[StaffMemberEnabled]])+COUNTBLANK(MEMBERS[[#This Row],[GenderCode]]:MEMBERS[[#This Row],[Casual]])</f>
        <v>0</v>
      </c>
      <c r="L563" s="57">
        <f>IF(SUBSTITUTE(TEXT(MEMBERS[[#This Row],[StaffMemberCode]],10)," ","")=TEXT(MEMBERS[[#This Row],[StaffMemberCode]],10),0,1)</f>
        <v>0</v>
      </c>
      <c r="M563" s="57">
        <f ca="1">SUM(MEMBERS[[#This Row],[Duplicate NameService Start]:[Space in Code]])</f>
        <v>0</v>
      </c>
      <c r="O563" s="15">
        <v>91324753</v>
      </c>
      <c r="P563" s="15" t="s">
        <v>3377</v>
      </c>
      <c r="Q563" s="15" t="s">
        <v>3809</v>
      </c>
      <c r="R563" s="133" t="str">
        <f>MEMBERS[[#This Row],[FirstName]]&amp;" "&amp;MEMBERS[[#This Row],[LastName]]</f>
        <v>Natercia Dos Santos Marques</v>
      </c>
      <c r="S563" s="21">
        <v>42795</v>
      </c>
      <c r="U563" s="21">
        <v>26556</v>
      </c>
      <c r="V563" t="b">
        <v>0</v>
      </c>
      <c r="W563" t="b">
        <v>0</v>
      </c>
      <c r="X563" t="b">
        <v>0</v>
      </c>
      <c r="Y563" t="s">
        <v>2082</v>
      </c>
      <c r="Z563" t="b">
        <v>1</v>
      </c>
      <c r="AB563" t="s">
        <v>1571</v>
      </c>
      <c r="AC563" t="b">
        <v>0</v>
      </c>
    </row>
    <row r="564" spans="1:29" x14ac:dyDescent="0.3">
      <c r="A564" s="57" t="str">
        <f>MEMBERS[[#This Row],[Title]]&amp;MEMBERS[[#This Row],[ServiceStartDate]]</f>
        <v>Nathan Watson44256</v>
      </c>
      <c r="B564" s="57">
        <f>IF(COUNTIF(MEMBERS[NameServiceStart],MEMBERS[[#This Row],[NameServiceStart]])=1,0,1)</f>
        <v>0</v>
      </c>
      <c r="C564" s="57">
        <f>IF(COUNTIF(MEMBERS[StaffMemberCode],MEMBERS[[#This Row],[StaffMemberCode]])=1,0,1)</f>
        <v>0</v>
      </c>
      <c r="D564" s="57">
        <f>IF(ISBLANK(MEMBERS[[#This Row],[PayrollLocation]]),0,IF(COUNTIF(SCHOOLS[SchoolCode],MEMBERS[[#This Row],[PayrollLocation]])=1,0,1))</f>
        <v>0</v>
      </c>
      <c r="E564" s="57">
        <f>IF(MEMBERS[[#This Row],[AvailableToAllSchools]]=FALSE,IF(ISBLANK(MEMBERS[[#This Row],[SchoolCodes]]),1,0),IF(MEMBERS[[#This Row],[AvailableToAllSchools]]=TRUE,IF(ISBLANK(MEMBERS[[#This Row],[SchoolCodes]]),0,1)))</f>
        <v>0</v>
      </c>
      <c r="F564" s="57">
        <f>IF(ISBLANK(MEMBERS[[#This Row],[ServiceEndDate]]),0,IF(MEMBERS[[#This Row],[ServiceStartDate]]&lt;MEMBERS[[#This Row],[ServiceEndDate]],0,1))</f>
        <v>0</v>
      </c>
      <c r="G564" s="57" cm="1">
        <f t="array" aca="1" ref="G564" ca="1">IF(CELL("format",MEMBERS[[#This Row],[ServiceStartDate]])="D1",0,1)+IF(CELL("format",MEMBERS[[#This Row],[ServiceEndDate]])="D1",0,1)</f>
        <v>0</v>
      </c>
      <c r="H56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64" s="57">
        <f>IF(LEN(MEMBERS[[#This Row],[StaffMemberCode]])&lt;100,0,1)</f>
        <v>0</v>
      </c>
      <c r="J564" s="57">
        <f>IF(LEN(MEMBERS[[#This Row],[Title]])&lt;100,0,1)</f>
        <v>0</v>
      </c>
      <c r="K564" s="57">
        <f>COUNTBLANK(MEMBERS[[#This Row],[StaffMemberCode]:[ServiceStartDate]])+COUNTBLANK(MEMBERS[[#This Row],[Apprenticeship]]:MEMBERS[[#This Row],[StaffMemberEnabled]])+COUNTBLANK(MEMBERS[[#This Row],[GenderCode]]:MEMBERS[[#This Row],[Casual]])</f>
        <v>0</v>
      </c>
      <c r="L564" s="57">
        <f>IF(SUBSTITUTE(TEXT(MEMBERS[[#This Row],[StaffMemberCode]],10)," ","")=TEXT(MEMBERS[[#This Row],[StaffMemberCode]],10),0,1)</f>
        <v>0</v>
      </c>
      <c r="M564" s="57">
        <f ca="1">SUM(MEMBERS[[#This Row],[Duplicate NameService Start]:[Space in Code]])</f>
        <v>0</v>
      </c>
      <c r="O564" s="15">
        <v>10014574</v>
      </c>
      <c r="P564" s="15" t="s">
        <v>3994</v>
      </c>
      <c r="Q564" s="15" t="s">
        <v>4108</v>
      </c>
      <c r="R564" s="133" t="str">
        <f>MEMBERS[[#This Row],[FirstName]]&amp;" "&amp;MEMBERS[[#This Row],[LastName]]</f>
        <v>Nathan Watson</v>
      </c>
      <c r="S564" s="21">
        <v>44256</v>
      </c>
      <c r="U564" s="21">
        <v>34498</v>
      </c>
      <c r="V564" s="138" t="b">
        <v>0</v>
      </c>
      <c r="W564" t="b">
        <v>0</v>
      </c>
      <c r="X564" t="b">
        <v>0</v>
      </c>
      <c r="Y564" t="s">
        <v>2126</v>
      </c>
      <c r="Z564" t="b">
        <v>1</v>
      </c>
      <c r="AB564" t="s">
        <v>1572</v>
      </c>
      <c r="AC564" t="b">
        <v>0</v>
      </c>
    </row>
    <row r="565" spans="1:29" x14ac:dyDescent="0.3">
      <c r="A565" s="57" t="str">
        <f>MEMBERS[[#This Row],[Title]]&amp;MEMBERS[[#This Row],[ServiceStartDate]]</f>
        <v>Neal Robinson45192</v>
      </c>
      <c r="B565" s="57">
        <f>IF(COUNTIF(MEMBERS[NameServiceStart],MEMBERS[[#This Row],[NameServiceStart]])=1,0,1)</f>
        <v>0</v>
      </c>
      <c r="C565" s="57">
        <f>IF(COUNTIF(MEMBERS[StaffMemberCode],MEMBERS[[#This Row],[StaffMemberCode]])=1,0,1)</f>
        <v>0</v>
      </c>
      <c r="D565" s="57">
        <f>IF(ISBLANK(MEMBERS[[#This Row],[PayrollLocation]]),0,IF(COUNTIF(SCHOOLS[SchoolCode],MEMBERS[[#This Row],[PayrollLocation]])=1,0,1))</f>
        <v>0</v>
      </c>
      <c r="E565" s="57">
        <f>IF(MEMBERS[[#This Row],[AvailableToAllSchools]]=FALSE,IF(ISBLANK(MEMBERS[[#This Row],[SchoolCodes]]),1,0),IF(MEMBERS[[#This Row],[AvailableToAllSchools]]=TRUE,IF(ISBLANK(MEMBERS[[#This Row],[SchoolCodes]]),0,1)))</f>
        <v>0</v>
      </c>
      <c r="F565" s="57">
        <f>IF(ISBLANK(MEMBERS[[#This Row],[ServiceEndDate]]),0,IF(MEMBERS[[#This Row],[ServiceStartDate]]&lt;MEMBERS[[#This Row],[ServiceEndDate]],0,1))</f>
        <v>0</v>
      </c>
      <c r="G565" s="57" cm="1">
        <f t="array" aca="1" ref="G565" ca="1">IF(CELL("format",MEMBERS[[#This Row],[ServiceStartDate]])="D1",0,1)+IF(CELL("format",MEMBERS[[#This Row],[ServiceEndDate]])="D1",0,1)</f>
        <v>0</v>
      </c>
      <c r="H56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65" s="57">
        <f>IF(LEN(MEMBERS[[#This Row],[StaffMemberCode]])&lt;100,0,1)</f>
        <v>0</v>
      </c>
      <c r="J565" s="57">
        <f>IF(LEN(MEMBERS[[#This Row],[Title]])&lt;100,0,1)</f>
        <v>0</v>
      </c>
      <c r="K565" s="57">
        <f>COUNTBLANK(MEMBERS[[#This Row],[StaffMemberCode]:[ServiceStartDate]])+COUNTBLANK(MEMBERS[[#This Row],[Apprenticeship]]:MEMBERS[[#This Row],[StaffMemberEnabled]])+COUNTBLANK(MEMBERS[[#This Row],[GenderCode]]:MEMBERS[[#This Row],[Casual]])</f>
        <v>0</v>
      </c>
      <c r="L565" s="57">
        <f>IF(SUBSTITUTE(TEXT(MEMBERS[[#This Row],[StaffMemberCode]],10)," ","")=TEXT(MEMBERS[[#This Row],[StaffMemberCode]],10),0,1)</f>
        <v>0</v>
      </c>
      <c r="M565" s="57">
        <f ca="1">SUM(MEMBERS[[#This Row],[Duplicate NameService Start]:[Space in Code]])</f>
        <v>0</v>
      </c>
      <c r="O565" s="15">
        <v>10013662</v>
      </c>
      <c r="P565" s="15" t="s">
        <v>3995</v>
      </c>
      <c r="Q565" s="15" t="s">
        <v>3519</v>
      </c>
      <c r="R565" s="133" t="str">
        <f>MEMBERS[[#This Row],[FirstName]]&amp;" "&amp;MEMBERS[[#This Row],[LastName]]</f>
        <v>Neal Robinson</v>
      </c>
      <c r="S565" s="21">
        <v>45192</v>
      </c>
      <c r="U565" s="21">
        <v>24749</v>
      </c>
      <c r="V565" s="138" t="b">
        <v>0</v>
      </c>
      <c r="W565" t="b">
        <v>0</v>
      </c>
      <c r="X565" t="b">
        <v>0</v>
      </c>
      <c r="Y565" t="s">
        <v>2126</v>
      </c>
      <c r="Z565" t="b">
        <v>1</v>
      </c>
      <c r="AB565" t="s">
        <v>1572</v>
      </c>
      <c r="AC565" t="b">
        <v>0</v>
      </c>
    </row>
    <row r="566" spans="1:29" x14ac:dyDescent="0.3">
      <c r="A566" s="57" t="str">
        <f>MEMBERS[[#This Row],[Title]]&amp;MEMBERS[[#This Row],[ServiceStartDate]]</f>
        <v>Neil Langton-Miller36536</v>
      </c>
      <c r="B566" s="57">
        <f>IF(COUNTIF(MEMBERS[NameServiceStart],MEMBERS[[#This Row],[NameServiceStart]])=1,0,1)</f>
        <v>0</v>
      </c>
      <c r="C566" s="57">
        <f>IF(COUNTIF(MEMBERS[StaffMemberCode],MEMBERS[[#This Row],[StaffMemberCode]])=1,0,1)</f>
        <v>0</v>
      </c>
      <c r="D566" s="57">
        <f>IF(ISBLANK(MEMBERS[[#This Row],[PayrollLocation]]),0,IF(COUNTIF(SCHOOLS[SchoolCode],MEMBERS[[#This Row],[PayrollLocation]])=1,0,1))</f>
        <v>0</v>
      </c>
      <c r="E566" s="57">
        <f>IF(MEMBERS[[#This Row],[AvailableToAllSchools]]=FALSE,IF(ISBLANK(MEMBERS[[#This Row],[SchoolCodes]]),1,0),IF(MEMBERS[[#This Row],[AvailableToAllSchools]]=TRUE,IF(ISBLANK(MEMBERS[[#This Row],[SchoolCodes]]),0,1)))</f>
        <v>0</v>
      </c>
      <c r="F566" s="57">
        <f>IF(ISBLANK(MEMBERS[[#This Row],[ServiceEndDate]]),0,IF(MEMBERS[[#This Row],[ServiceStartDate]]&lt;MEMBERS[[#This Row],[ServiceEndDate]],0,1))</f>
        <v>0</v>
      </c>
      <c r="G566" s="57" cm="1">
        <f t="array" aca="1" ref="G566" ca="1">IF(CELL("format",MEMBERS[[#This Row],[ServiceStartDate]])="D1",0,1)+IF(CELL("format",MEMBERS[[#This Row],[ServiceEndDate]])="D1",0,1)</f>
        <v>0</v>
      </c>
      <c r="H56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66" s="57">
        <f>IF(LEN(MEMBERS[[#This Row],[StaffMemberCode]])&lt;100,0,1)</f>
        <v>0</v>
      </c>
      <c r="J566" s="57">
        <f>IF(LEN(MEMBERS[[#This Row],[Title]])&lt;100,0,1)</f>
        <v>0</v>
      </c>
      <c r="K566" s="57">
        <f>COUNTBLANK(MEMBERS[[#This Row],[StaffMemberCode]:[ServiceStartDate]])+COUNTBLANK(MEMBERS[[#This Row],[Apprenticeship]]:MEMBERS[[#This Row],[StaffMemberEnabled]])+COUNTBLANK(MEMBERS[[#This Row],[GenderCode]]:MEMBERS[[#This Row],[Casual]])</f>
        <v>0</v>
      </c>
      <c r="L566" s="57">
        <f>IF(SUBSTITUTE(TEXT(MEMBERS[[#This Row],[StaffMemberCode]],10)," ","")=TEXT(MEMBERS[[#This Row],[StaffMemberCode]],10),0,1)</f>
        <v>0</v>
      </c>
      <c r="M566" s="57">
        <f ca="1">SUM(MEMBERS[[#This Row],[Duplicate NameService Start]:[Space in Code]])</f>
        <v>0</v>
      </c>
      <c r="O566" s="15">
        <v>91073766</v>
      </c>
      <c r="P566" s="15" t="s">
        <v>3378</v>
      </c>
      <c r="Q566" s="15" t="s">
        <v>3810</v>
      </c>
      <c r="R566" s="133" t="str">
        <f>MEMBERS[[#This Row],[FirstName]]&amp;" "&amp;MEMBERS[[#This Row],[LastName]]</f>
        <v>Neil Langton-Miller</v>
      </c>
      <c r="S566" s="21">
        <v>36536</v>
      </c>
      <c r="U566" s="21">
        <v>28093</v>
      </c>
      <c r="V566" t="b">
        <v>0</v>
      </c>
      <c r="W566" t="b">
        <v>0</v>
      </c>
      <c r="X566" t="b">
        <v>0</v>
      </c>
      <c r="Y566" t="s">
        <v>2082</v>
      </c>
      <c r="Z566" t="b">
        <v>1</v>
      </c>
      <c r="AB566" t="s">
        <v>1572</v>
      </c>
      <c r="AC566" t="b">
        <v>0</v>
      </c>
    </row>
    <row r="567" spans="1:29" x14ac:dyDescent="0.3">
      <c r="A567" s="57" t="str">
        <f>MEMBERS[[#This Row],[Title]]&amp;MEMBERS[[#This Row],[ServiceStartDate]]</f>
        <v>Nethmini Denipitiya45901</v>
      </c>
      <c r="B567" s="57">
        <f>IF(COUNTIF(MEMBERS[NameServiceStart],MEMBERS[[#This Row],[NameServiceStart]])=1,0,1)</f>
        <v>0</v>
      </c>
      <c r="C567" s="57">
        <f>IF(COUNTIF(MEMBERS[StaffMemberCode],MEMBERS[[#This Row],[StaffMemberCode]])=1,0,1)</f>
        <v>0</v>
      </c>
      <c r="D567" s="57">
        <f>IF(ISBLANK(MEMBERS[[#This Row],[PayrollLocation]]),0,IF(COUNTIF(SCHOOLS[SchoolCode],MEMBERS[[#This Row],[PayrollLocation]])=1,0,1))</f>
        <v>0</v>
      </c>
      <c r="E567" s="57">
        <f>IF(MEMBERS[[#This Row],[AvailableToAllSchools]]=FALSE,IF(ISBLANK(MEMBERS[[#This Row],[SchoolCodes]]),1,0),IF(MEMBERS[[#This Row],[AvailableToAllSchools]]=TRUE,IF(ISBLANK(MEMBERS[[#This Row],[SchoolCodes]]),0,1)))</f>
        <v>0</v>
      </c>
      <c r="F567" s="57">
        <f>IF(ISBLANK(MEMBERS[[#This Row],[ServiceEndDate]]),0,IF(MEMBERS[[#This Row],[ServiceStartDate]]&lt;MEMBERS[[#This Row],[ServiceEndDate]],0,1))</f>
        <v>0</v>
      </c>
      <c r="G567" s="57" cm="1">
        <f t="array" aca="1" ref="G567" ca="1">IF(CELL("format",MEMBERS[[#This Row],[ServiceStartDate]])="D1",0,1)+IF(CELL("format",MEMBERS[[#This Row],[ServiceEndDate]])="D1",0,1)</f>
        <v>0</v>
      </c>
      <c r="H56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67" s="57">
        <f>IF(LEN(MEMBERS[[#This Row],[StaffMemberCode]])&lt;100,0,1)</f>
        <v>0</v>
      </c>
      <c r="J567" s="57">
        <f>IF(LEN(MEMBERS[[#This Row],[Title]])&lt;100,0,1)</f>
        <v>0</v>
      </c>
      <c r="K567" s="57">
        <f>COUNTBLANK(MEMBERS[[#This Row],[StaffMemberCode]:[ServiceStartDate]])+COUNTBLANK(MEMBERS[[#This Row],[Apprenticeship]]:MEMBERS[[#This Row],[StaffMemberEnabled]])+COUNTBLANK(MEMBERS[[#This Row],[GenderCode]]:MEMBERS[[#This Row],[Casual]])</f>
        <v>0</v>
      </c>
      <c r="L567" s="57">
        <f>IF(SUBSTITUTE(TEXT(MEMBERS[[#This Row],[StaffMemberCode]],10)," ","")=TEXT(MEMBERS[[#This Row],[StaffMemberCode]],10),0,1)</f>
        <v>0</v>
      </c>
      <c r="M567" s="57">
        <f ca="1">SUM(MEMBERS[[#This Row],[Duplicate NameService Start]:[Space in Code]])</f>
        <v>0</v>
      </c>
      <c r="O567" s="15">
        <v>10016222</v>
      </c>
      <c r="P567" s="15" t="s">
        <v>3996</v>
      </c>
      <c r="Q567" s="15" t="s">
        <v>4109</v>
      </c>
      <c r="R567" s="133" t="str">
        <f>MEMBERS[[#This Row],[FirstName]]&amp;" "&amp;MEMBERS[[#This Row],[LastName]]</f>
        <v>Nethmini Denipitiya</v>
      </c>
      <c r="S567" s="21">
        <v>45901</v>
      </c>
      <c r="U567" s="21">
        <v>34009</v>
      </c>
      <c r="V567" s="138" t="b">
        <v>0</v>
      </c>
      <c r="W567" t="b">
        <v>0</v>
      </c>
      <c r="X567" t="b">
        <v>0</v>
      </c>
      <c r="Y567" t="s">
        <v>2126</v>
      </c>
      <c r="Z567" t="b">
        <v>1</v>
      </c>
      <c r="AB567" t="s">
        <v>1571</v>
      </c>
      <c r="AC567" t="b">
        <v>0</v>
      </c>
    </row>
    <row r="568" spans="1:29" x14ac:dyDescent="0.3">
      <c r="A568" s="57" t="str">
        <f>MEMBERS[[#This Row],[Title]]&amp;MEMBERS[[#This Row],[ServiceStartDate]]</f>
        <v>Nia Salt45161</v>
      </c>
      <c r="B568" s="57">
        <f>IF(COUNTIF(MEMBERS[NameServiceStart],MEMBERS[[#This Row],[NameServiceStart]])=1,0,1)</f>
        <v>0</v>
      </c>
      <c r="C568" s="57">
        <f>IF(COUNTIF(MEMBERS[StaffMemberCode],MEMBERS[[#This Row],[StaffMemberCode]])=1,0,1)</f>
        <v>0</v>
      </c>
      <c r="D568" s="57">
        <f>IF(ISBLANK(MEMBERS[[#This Row],[PayrollLocation]]),0,IF(COUNTIF(SCHOOLS[SchoolCode],MEMBERS[[#This Row],[PayrollLocation]])=1,0,1))</f>
        <v>0</v>
      </c>
      <c r="E568" s="57">
        <f>IF(MEMBERS[[#This Row],[AvailableToAllSchools]]=FALSE,IF(ISBLANK(MEMBERS[[#This Row],[SchoolCodes]]),1,0),IF(MEMBERS[[#This Row],[AvailableToAllSchools]]=TRUE,IF(ISBLANK(MEMBERS[[#This Row],[SchoolCodes]]),0,1)))</f>
        <v>0</v>
      </c>
      <c r="F568" s="57">
        <f>IF(ISBLANK(MEMBERS[[#This Row],[ServiceEndDate]]),0,IF(MEMBERS[[#This Row],[ServiceStartDate]]&lt;MEMBERS[[#This Row],[ServiceEndDate]],0,1))</f>
        <v>0</v>
      </c>
      <c r="G568" s="57" cm="1">
        <f t="array" aca="1" ref="G568" ca="1">IF(CELL("format",MEMBERS[[#This Row],[ServiceStartDate]])="D1",0,1)+IF(CELL("format",MEMBERS[[#This Row],[ServiceEndDate]])="D1",0,1)</f>
        <v>0</v>
      </c>
      <c r="H56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68" s="57">
        <f>IF(LEN(MEMBERS[[#This Row],[StaffMemberCode]])&lt;100,0,1)</f>
        <v>0</v>
      </c>
      <c r="J568" s="57">
        <f>IF(LEN(MEMBERS[[#This Row],[Title]])&lt;100,0,1)</f>
        <v>0</v>
      </c>
      <c r="K568" s="57">
        <f>COUNTBLANK(MEMBERS[[#This Row],[StaffMemberCode]:[ServiceStartDate]])+COUNTBLANK(MEMBERS[[#This Row],[Apprenticeship]]:MEMBERS[[#This Row],[StaffMemberEnabled]])+COUNTBLANK(MEMBERS[[#This Row],[GenderCode]]:MEMBERS[[#This Row],[Casual]])</f>
        <v>0</v>
      </c>
      <c r="L568" s="57">
        <f>IF(SUBSTITUTE(TEXT(MEMBERS[[#This Row],[StaffMemberCode]],10)," ","")=TEXT(MEMBERS[[#This Row],[StaffMemberCode]],10),0,1)</f>
        <v>0</v>
      </c>
      <c r="M568" s="57">
        <f ca="1">SUM(MEMBERS[[#This Row],[Duplicate NameService Start]:[Space in Code]])</f>
        <v>0</v>
      </c>
      <c r="O568" s="15">
        <v>91328392</v>
      </c>
      <c r="P568" s="15" t="s">
        <v>3379</v>
      </c>
      <c r="Q568" s="15" t="s">
        <v>3638</v>
      </c>
      <c r="R568" s="133" t="str">
        <f>MEMBERS[[#This Row],[FirstName]]&amp;" "&amp;MEMBERS[[#This Row],[LastName]]</f>
        <v>Nia Salt</v>
      </c>
      <c r="S568" s="21">
        <v>45161</v>
      </c>
      <c r="U568" s="21">
        <v>27296</v>
      </c>
      <c r="V568" t="b">
        <v>0</v>
      </c>
      <c r="W568" t="b">
        <v>0</v>
      </c>
      <c r="X568" t="b">
        <v>0</v>
      </c>
      <c r="Y568" t="s">
        <v>2082</v>
      </c>
      <c r="Z568" t="b">
        <v>1</v>
      </c>
      <c r="AB568" t="s">
        <v>1571</v>
      </c>
      <c r="AC568" t="b">
        <v>0</v>
      </c>
    </row>
    <row r="569" spans="1:29" x14ac:dyDescent="0.3">
      <c r="A569" s="57" t="str">
        <f>MEMBERS[[#This Row],[Title]]&amp;MEMBERS[[#This Row],[ServiceStartDate]]</f>
        <v>Nicholas Cover42205</v>
      </c>
      <c r="B569" s="57">
        <f>IF(COUNTIF(MEMBERS[NameServiceStart],MEMBERS[[#This Row],[NameServiceStart]])=1,0,1)</f>
        <v>0</v>
      </c>
      <c r="C569" s="57">
        <f>IF(COUNTIF(MEMBERS[StaffMemberCode],MEMBERS[[#This Row],[StaffMemberCode]])=1,0,1)</f>
        <v>0</v>
      </c>
      <c r="D569" s="57">
        <f>IF(ISBLANK(MEMBERS[[#This Row],[PayrollLocation]]),0,IF(COUNTIF(SCHOOLS[SchoolCode],MEMBERS[[#This Row],[PayrollLocation]])=1,0,1))</f>
        <v>0</v>
      </c>
      <c r="E569" s="57">
        <f>IF(MEMBERS[[#This Row],[AvailableToAllSchools]]=FALSE,IF(ISBLANK(MEMBERS[[#This Row],[SchoolCodes]]),1,0),IF(MEMBERS[[#This Row],[AvailableToAllSchools]]=TRUE,IF(ISBLANK(MEMBERS[[#This Row],[SchoolCodes]]),0,1)))</f>
        <v>0</v>
      </c>
      <c r="F569" s="57">
        <f>IF(ISBLANK(MEMBERS[[#This Row],[ServiceEndDate]]),0,IF(MEMBERS[[#This Row],[ServiceStartDate]]&lt;MEMBERS[[#This Row],[ServiceEndDate]],0,1))</f>
        <v>0</v>
      </c>
      <c r="G569" s="57" cm="1">
        <f t="array" aca="1" ref="G569" ca="1">IF(CELL("format",MEMBERS[[#This Row],[ServiceStartDate]])="D1",0,1)+IF(CELL("format",MEMBERS[[#This Row],[ServiceEndDate]])="D1",0,1)</f>
        <v>0</v>
      </c>
      <c r="H56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69" s="57">
        <f>IF(LEN(MEMBERS[[#This Row],[StaffMemberCode]])&lt;100,0,1)</f>
        <v>0</v>
      </c>
      <c r="J569" s="57">
        <f>IF(LEN(MEMBERS[[#This Row],[Title]])&lt;100,0,1)</f>
        <v>0</v>
      </c>
      <c r="K569" s="57">
        <f>COUNTBLANK(MEMBERS[[#This Row],[StaffMemberCode]:[ServiceStartDate]])+COUNTBLANK(MEMBERS[[#This Row],[Apprenticeship]]:MEMBERS[[#This Row],[StaffMemberEnabled]])+COUNTBLANK(MEMBERS[[#This Row],[GenderCode]]:MEMBERS[[#This Row],[Casual]])</f>
        <v>0</v>
      </c>
      <c r="L569" s="57">
        <f>IF(SUBSTITUTE(TEXT(MEMBERS[[#This Row],[StaffMemberCode]],10)," ","")=TEXT(MEMBERS[[#This Row],[StaffMemberCode]],10),0,1)</f>
        <v>0</v>
      </c>
      <c r="M569" s="57">
        <f ca="1">SUM(MEMBERS[[#This Row],[Duplicate NameService Start]:[Space in Code]])</f>
        <v>0</v>
      </c>
      <c r="O569" s="15">
        <v>91073715</v>
      </c>
      <c r="P569" s="15" t="s">
        <v>3380</v>
      </c>
      <c r="Q569" s="15" t="s">
        <v>3811</v>
      </c>
      <c r="R569" s="133" t="str">
        <f>MEMBERS[[#This Row],[FirstName]]&amp;" "&amp;MEMBERS[[#This Row],[LastName]]</f>
        <v>Nicholas Cover</v>
      </c>
      <c r="S569" s="21">
        <v>42205</v>
      </c>
      <c r="U569" s="21">
        <v>35429</v>
      </c>
      <c r="V569" t="b">
        <v>0</v>
      </c>
      <c r="W569" t="b">
        <v>0</v>
      </c>
      <c r="X569" t="b">
        <v>0</v>
      </c>
      <c r="Y569" t="s">
        <v>2082</v>
      </c>
      <c r="Z569" t="b">
        <v>1</v>
      </c>
      <c r="AB569" t="s">
        <v>1572</v>
      </c>
      <c r="AC569" t="b">
        <v>0</v>
      </c>
    </row>
    <row r="570" spans="1:29" x14ac:dyDescent="0.3">
      <c r="A570" s="57" t="str">
        <f>MEMBERS[[#This Row],[Title]]&amp;MEMBERS[[#This Row],[ServiceStartDate]]</f>
        <v>Nicholas Doyle45901</v>
      </c>
      <c r="B570" s="57">
        <f>IF(COUNTIF(MEMBERS[NameServiceStart],MEMBERS[[#This Row],[NameServiceStart]])=1,0,1)</f>
        <v>0</v>
      </c>
      <c r="C570" s="57">
        <f>IF(COUNTIF(MEMBERS[StaffMemberCode],MEMBERS[[#This Row],[StaffMemberCode]])=1,0,1)</f>
        <v>0</v>
      </c>
      <c r="D570" s="57">
        <f>IF(ISBLANK(MEMBERS[[#This Row],[PayrollLocation]]),0,IF(COUNTIF(SCHOOLS[SchoolCode],MEMBERS[[#This Row],[PayrollLocation]])=1,0,1))</f>
        <v>0</v>
      </c>
      <c r="E570" s="57">
        <f>IF(MEMBERS[[#This Row],[AvailableToAllSchools]]=FALSE,IF(ISBLANK(MEMBERS[[#This Row],[SchoolCodes]]),1,0),IF(MEMBERS[[#This Row],[AvailableToAllSchools]]=TRUE,IF(ISBLANK(MEMBERS[[#This Row],[SchoolCodes]]),0,1)))</f>
        <v>0</v>
      </c>
      <c r="F570" s="57">
        <f>IF(ISBLANK(MEMBERS[[#This Row],[ServiceEndDate]]),0,IF(MEMBERS[[#This Row],[ServiceStartDate]]&lt;MEMBERS[[#This Row],[ServiceEndDate]],0,1))</f>
        <v>0</v>
      </c>
      <c r="G570" s="57" cm="1">
        <f t="array" aca="1" ref="G570" ca="1">IF(CELL("format",MEMBERS[[#This Row],[ServiceStartDate]])="D1",0,1)+IF(CELL("format",MEMBERS[[#This Row],[ServiceEndDate]])="D1",0,1)</f>
        <v>0</v>
      </c>
      <c r="H57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70" s="57">
        <f>IF(LEN(MEMBERS[[#This Row],[StaffMemberCode]])&lt;100,0,1)</f>
        <v>0</v>
      </c>
      <c r="J570" s="57">
        <f>IF(LEN(MEMBERS[[#This Row],[Title]])&lt;100,0,1)</f>
        <v>0</v>
      </c>
      <c r="K570" s="57">
        <f>COUNTBLANK(MEMBERS[[#This Row],[StaffMemberCode]:[ServiceStartDate]])+COUNTBLANK(MEMBERS[[#This Row],[Apprenticeship]]:MEMBERS[[#This Row],[StaffMemberEnabled]])+COUNTBLANK(MEMBERS[[#This Row],[GenderCode]]:MEMBERS[[#This Row],[Casual]])</f>
        <v>0</v>
      </c>
      <c r="L570" s="57">
        <f>IF(SUBSTITUTE(TEXT(MEMBERS[[#This Row],[StaffMemberCode]],10)," ","")=TEXT(MEMBERS[[#This Row],[StaffMemberCode]],10),0,1)</f>
        <v>0</v>
      </c>
      <c r="M570" s="57">
        <f ca="1">SUM(MEMBERS[[#This Row],[Duplicate NameService Start]:[Space in Code]])</f>
        <v>0</v>
      </c>
      <c r="O570" s="15">
        <v>91850058</v>
      </c>
      <c r="P570" s="15" t="s">
        <v>3380</v>
      </c>
      <c r="Q570" s="15" t="s">
        <v>3767</v>
      </c>
      <c r="R570" s="133" t="str">
        <f>MEMBERS[[#This Row],[FirstName]]&amp;" "&amp;MEMBERS[[#This Row],[LastName]]</f>
        <v>Nicholas Doyle</v>
      </c>
      <c r="S570" s="21">
        <v>45901</v>
      </c>
      <c r="U570" s="21">
        <v>24568</v>
      </c>
      <c r="V570" t="b">
        <v>0</v>
      </c>
      <c r="W570" t="b">
        <v>0</v>
      </c>
      <c r="X570" t="b">
        <v>0</v>
      </c>
      <c r="Y570" t="s">
        <v>2094</v>
      </c>
      <c r="Z570" t="b">
        <v>1</v>
      </c>
      <c r="AB570" t="s">
        <v>1572</v>
      </c>
      <c r="AC570" t="b">
        <v>1</v>
      </c>
    </row>
    <row r="571" spans="1:29" x14ac:dyDescent="0.3">
      <c r="A571" s="57" t="str">
        <f>MEMBERS[[#This Row],[Title]]&amp;MEMBERS[[#This Row],[ServiceStartDate]]</f>
        <v>Nicholas Pridmore44287</v>
      </c>
      <c r="B571" s="57">
        <f>IF(COUNTIF(MEMBERS[NameServiceStart],MEMBERS[[#This Row],[NameServiceStart]])=1,0,1)</f>
        <v>0</v>
      </c>
      <c r="C571" s="57">
        <f>IF(COUNTIF(MEMBERS[StaffMemberCode],MEMBERS[[#This Row],[StaffMemberCode]])=1,0,1)</f>
        <v>0</v>
      </c>
      <c r="D571" s="57">
        <f>IF(ISBLANK(MEMBERS[[#This Row],[PayrollLocation]]),0,IF(COUNTIF(SCHOOLS[SchoolCode],MEMBERS[[#This Row],[PayrollLocation]])=1,0,1))</f>
        <v>0</v>
      </c>
      <c r="E571" s="57">
        <f>IF(MEMBERS[[#This Row],[AvailableToAllSchools]]=FALSE,IF(ISBLANK(MEMBERS[[#This Row],[SchoolCodes]]),1,0),IF(MEMBERS[[#This Row],[AvailableToAllSchools]]=TRUE,IF(ISBLANK(MEMBERS[[#This Row],[SchoolCodes]]),0,1)))</f>
        <v>0</v>
      </c>
      <c r="F571" s="57">
        <f>IF(ISBLANK(MEMBERS[[#This Row],[ServiceEndDate]]),0,IF(MEMBERS[[#This Row],[ServiceStartDate]]&lt;MEMBERS[[#This Row],[ServiceEndDate]],0,1))</f>
        <v>0</v>
      </c>
      <c r="G571" s="57" cm="1">
        <f t="array" aca="1" ref="G571" ca="1">IF(CELL("format",MEMBERS[[#This Row],[ServiceStartDate]])="D1",0,1)+IF(CELL("format",MEMBERS[[#This Row],[ServiceEndDate]])="D1",0,1)</f>
        <v>0</v>
      </c>
      <c r="H57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71" s="57">
        <f>IF(LEN(MEMBERS[[#This Row],[StaffMemberCode]])&lt;100,0,1)</f>
        <v>0</v>
      </c>
      <c r="J571" s="57">
        <f>IF(LEN(MEMBERS[[#This Row],[Title]])&lt;100,0,1)</f>
        <v>0</v>
      </c>
      <c r="K571" s="57">
        <f>COUNTBLANK(MEMBERS[[#This Row],[StaffMemberCode]:[ServiceStartDate]])+COUNTBLANK(MEMBERS[[#This Row],[Apprenticeship]]:MEMBERS[[#This Row],[StaffMemberEnabled]])+COUNTBLANK(MEMBERS[[#This Row],[GenderCode]]:MEMBERS[[#This Row],[Casual]])</f>
        <v>0</v>
      </c>
      <c r="L571" s="57">
        <f>IF(SUBSTITUTE(TEXT(MEMBERS[[#This Row],[StaffMemberCode]],10)," ","")=TEXT(MEMBERS[[#This Row],[StaffMemberCode]],10),0,1)</f>
        <v>0</v>
      </c>
      <c r="M571" s="57">
        <f ca="1">SUM(MEMBERS[[#This Row],[Duplicate NameService Start]:[Space in Code]])</f>
        <v>0</v>
      </c>
      <c r="O571" s="15">
        <v>91073531</v>
      </c>
      <c r="P571" s="15" t="s">
        <v>3380</v>
      </c>
      <c r="Q571" s="15" t="s">
        <v>3812</v>
      </c>
      <c r="R571" s="133" t="str">
        <f>MEMBERS[[#This Row],[FirstName]]&amp;" "&amp;MEMBERS[[#This Row],[LastName]]</f>
        <v>Nicholas Pridmore</v>
      </c>
      <c r="S571" s="21">
        <v>44287</v>
      </c>
      <c r="U571" s="21">
        <v>23023</v>
      </c>
      <c r="V571" t="b">
        <v>0</v>
      </c>
      <c r="W571" t="b">
        <v>0</v>
      </c>
      <c r="X571" t="b">
        <v>0</v>
      </c>
      <c r="Y571" t="s">
        <v>2094</v>
      </c>
      <c r="Z571" t="b">
        <v>1</v>
      </c>
      <c r="AB571" t="s">
        <v>1572</v>
      </c>
      <c r="AC571" t="b">
        <v>0</v>
      </c>
    </row>
    <row r="572" spans="1:29" x14ac:dyDescent="0.3">
      <c r="A572" s="57" t="str">
        <f>MEMBERS[[#This Row],[Title]]&amp;MEMBERS[[#This Row],[ServiceStartDate]]</f>
        <v>Nicholas Trude42378</v>
      </c>
      <c r="B572" s="57">
        <f>IF(COUNTIF(MEMBERS[NameServiceStart],MEMBERS[[#This Row],[NameServiceStart]])=1,0,1)</f>
        <v>0</v>
      </c>
      <c r="C572" s="57">
        <f>IF(COUNTIF(MEMBERS[StaffMemberCode],MEMBERS[[#This Row],[StaffMemberCode]])=1,0,1)</f>
        <v>0</v>
      </c>
      <c r="D572" s="57">
        <f>IF(ISBLANK(MEMBERS[[#This Row],[PayrollLocation]]),0,IF(COUNTIF(SCHOOLS[SchoolCode],MEMBERS[[#This Row],[PayrollLocation]])=1,0,1))</f>
        <v>0</v>
      </c>
      <c r="E572" s="57">
        <f>IF(MEMBERS[[#This Row],[AvailableToAllSchools]]=FALSE,IF(ISBLANK(MEMBERS[[#This Row],[SchoolCodes]]),1,0),IF(MEMBERS[[#This Row],[AvailableToAllSchools]]=TRUE,IF(ISBLANK(MEMBERS[[#This Row],[SchoolCodes]]),0,1)))</f>
        <v>0</v>
      </c>
      <c r="F572" s="57">
        <f>IF(ISBLANK(MEMBERS[[#This Row],[ServiceEndDate]]),0,IF(MEMBERS[[#This Row],[ServiceStartDate]]&lt;MEMBERS[[#This Row],[ServiceEndDate]],0,1))</f>
        <v>0</v>
      </c>
      <c r="G572" s="57" cm="1">
        <f t="array" aca="1" ref="G572" ca="1">IF(CELL("format",MEMBERS[[#This Row],[ServiceStartDate]])="D1",0,1)+IF(CELL("format",MEMBERS[[#This Row],[ServiceEndDate]])="D1",0,1)</f>
        <v>0</v>
      </c>
      <c r="H57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72" s="57">
        <f>IF(LEN(MEMBERS[[#This Row],[StaffMemberCode]])&lt;100,0,1)</f>
        <v>0</v>
      </c>
      <c r="J572" s="57">
        <f>IF(LEN(MEMBERS[[#This Row],[Title]])&lt;100,0,1)</f>
        <v>0</v>
      </c>
      <c r="K572" s="57">
        <f>COUNTBLANK(MEMBERS[[#This Row],[StaffMemberCode]:[ServiceStartDate]])+COUNTBLANK(MEMBERS[[#This Row],[Apprenticeship]]:MEMBERS[[#This Row],[StaffMemberEnabled]])+COUNTBLANK(MEMBERS[[#This Row],[GenderCode]]:MEMBERS[[#This Row],[Casual]])</f>
        <v>0</v>
      </c>
      <c r="L572" s="57">
        <f>IF(SUBSTITUTE(TEXT(MEMBERS[[#This Row],[StaffMemberCode]],10)," ","")=TEXT(MEMBERS[[#This Row],[StaffMemberCode]],10),0,1)</f>
        <v>0</v>
      </c>
      <c r="M572" s="57">
        <f ca="1">SUM(MEMBERS[[#This Row],[Duplicate NameService Start]:[Space in Code]])</f>
        <v>0</v>
      </c>
      <c r="O572" s="15">
        <v>91073660</v>
      </c>
      <c r="P572" s="15" t="s">
        <v>3380</v>
      </c>
      <c r="Q572" s="15" t="s">
        <v>3813</v>
      </c>
      <c r="R572" s="133" t="str">
        <f>MEMBERS[[#This Row],[FirstName]]&amp;" "&amp;MEMBERS[[#This Row],[LastName]]</f>
        <v>Nicholas Trude</v>
      </c>
      <c r="S572" s="21">
        <v>42378</v>
      </c>
      <c r="U572" s="21">
        <v>32056</v>
      </c>
      <c r="V572" t="b">
        <v>0</v>
      </c>
      <c r="W572" t="b">
        <v>0</v>
      </c>
      <c r="X572" t="b">
        <v>0</v>
      </c>
      <c r="Y572" t="s">
        <v>2299</v>
      </c>
      <c r="Z572" t="b">
        <v>1</v>
      </c>
      <c r="AB572" t="s">
        <v>1572</v>
      </c>
      <c r="AC572" t="b">
        <v>0</v>
      </c>
    </row>
    <row r="573" spans="1:29" x14ac:dyDescent="0.3">
      <c r="A573" s="57" t="str">
        <f>MEMBERS[[#This Row],[Title]]&amp;MEMBERS[[#This Row],[ServiceStartDate]]</f>
        <v>Nicola Blackburn45369</v>
      </c>
      <c r="B573" s="57">
        <f>IF(COUNTIF(MEMBERS[NameServiceStart],MEMBERS[[#This Row],[NameServiceStart]])=1,0,1)</f>
        <v>0</v>
      </c>
      <c r="C573" s="57">
        <f>IF(COUNTIF(MEMBERS[StaffMemberCode],MEMBERS[[#This Row],[StaffMemberCode]])=1,0,1)</f>
        <v>0</v>
      </c>
      <c r="D573" s="57">
        <f>IF(ISBLANK(MEMBERS[[#This Row],[PayrollLocation]]),0,IF(COUNTIF(SCHOOLS[SchoolCode],MEMBERS[[#This Row],[PayrollLocation]])=1,0,1))</f>
        <v>0</v>
      </c>
      <c r="E573" s="57">
        <f>IF(MEMBERS[[#This Row],[AvailableToAllSchools]]=FALSE,IF(ISBLANK(MEMBERS[[#This Row],[SchoolCodes]]),1,0),IF(MEMBERS[[#This Row],[AvailableToAllSchools]]=TRUE,IF(ISBLANK(MEMBERS[[#This Row],[SchoolCodes]]),0,1)))</f>
        <v>0</v>
      </c>
      <c r="F573" s="57">
        <f>IF(ISBLANK(MEMBERS[[#This Row],[ServiceEndDate]]),0,IF(MEMBERS[[#This Row],[ServiceStartDate]]&lt;MEMBERS[[#This Row],[ServiceEndDate]],0,1))</f>
        <v>0</v>
      </c>
      <c r="G573" s="57" cm="1">
        <f t="array" aca="1" ref="G573" ca="1">IF(CELL("format",MEMBERS[[#This Row],[ServiceStartDate]])="D1",0,1)+IF(CELL("format",MEMBERS[[#This Row],[ServiceEndDate]])="D1",0,1)</f>
        <v>0</v>
      </c>
      <c r="H57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73" s="57">
        <f>IF(LEN(MEMBERS[[#This Row],[StaffMemberCode]])&lt;100,0,1)</f>
        <v>0</v>
      </c>
      <c r="J573" s="57">
        <f>IF(LEN(MEMBERS[[#This Row],[Title]])&lt;100,0,1)</f>
        <v>0</v>
      </c>
      <c r="K573" s="57">
        <f>COUNTBLANK(MEMBERS[[#This Row],[StaffMemberCode]:[ServiceStartDate]])+COUNTBLANK(MEMBERS[[#This Row],[Apprenticeship]]:MEMBERS[[#This Row],[StaffMemberEnabled]])+COUNTBLANK(MEMBERS[[#This Row],[GenderCode]]:MEMBERS[[#This Row],[Casual]])</f>
        <v>0</v>
      </c>
      <c r="L573" s="57">
        <f>IF(SUBSTITUTE(TEXT(MEMBERS[[#This Row],[StaffMemberCode]],10)," ","")=TEXT(MEMBERS[[#This Row],[StaffMemberCode]],10),0,1)</f>
        <v>0</v>
      </c>
      <c r="M573" s="57">
        <f ca="1">SUM(MEMBERS[[#This Row],[Duplicate NameService Start]:[Space in Code]])</f>
        <v>0</v>
      </c>
      <c r="O573" s="15">
        <v>91073434</v>
      </c>
      <c r="P573" s="15" t="s">
        <v>3381</v>
      </c>
      <c r="Q573" s="15" t="s">
        <v>3814</v>
      </c>
      <c r="R573" s="133" t="str">
        <f>MEMBERS[[#This Row],[FirstName]]&amp;" "&amp;MEMBERS[[#This Row],[LastName]]</f>
        <v>Nicola Blackburn</v>
      </c>
      <c r="S573" s="21">
        <v>45369</v>
      </c>
      <c r="U573" s="21">
        <v>28212</v>
      </c>
      <c r="V573" t="b">
        <v>0</v>
      </c>
      <c r="W573" t="b">
        <v>0</v>
      </c>
      <c r="X573" t="b">
        <v>0</v>
      </c>
      <c r="Y573" t="s">
        <v>2275</v>
      </c>
      <c r="Z573" t="b">
        <v>1</v>
      </c>
      <c r="AB573" t="s">
        <v>1571</v>
      </c>
      <c r="AC573" t="b">
        <v>0</v>
      </c>
    </row>
    <row r="574" spans="1:29" x14ac:dyDescent="0.3">
      <c r="A574" s="57" t="str">
        <f>MEMBERS[[#This Row],[Title]]&amp;MEMBERS[[#This Row],[ServiceStartDate]]</f>
        <v>Nicola Brookfield36213</v>
      </c>
      <c r="B574" s="57">
        <f>IF(COUNTIF(MEMBERS[NameServiceStart],MEMBERS[[#This Row],[NameServiceStart]])=1,0,1)</f>
        <v>0</v>
      </c>
      <c r="C574" s="57">
        <f>IF(COUNTIF(MEMBERS[StaffMemberCode],MEMBERS[[#This Row],[StaffMemberCode]])=1,0,1)</f>
        <v>0</v>
      </c>
      <c r="D574" s="57">
        <f>IF(ISBLANK(MEMBERS[[#This Row],[PayrollLocation]]),0,IF(COUNTIF(SCHOOLS[SchoolCode],MEMBERS[[#This Row],[PayrollLocation]])=1,0,1))</f>
        <v>0</v>
      </c>
      <c r="E574" s="57">
        <f>IF(MEMBERS[[#This Row],[AvailableToAllSchools]]=FALSE,IF(ISBLANK(MEMBERS[[#This Row],[SchoolCodes]]),1,0),IF(MEMBERS[[#This Row],[AvailableToAllSchools]]=TRUE,IF(ISBLANK(MEMBERS[[#This Row],[SchoolCodes]]),0,1)))</f>
        <v>0</v>
      </c>
      <c r="F574" s="57">
        <f>IF(ISBLANK(MEMBERS[[#This Row],[ServiceEndDate]]),0,IF(MEMBERS[[#This Row],[ServiceStartDate]]&lt;MEMBERS[[#This Row],[ServiceEndDate]],0,1))</f>
        <v>0</v>
      </c>
      <c r="G574" s="57" cm="1">
        <f t="array" aca="1" ref="G574" ca="1">IF(CELL("format",MEMBERS[[#This Row],[ServiceStartDate]])="D1",0,1)+IF(CELL("format",MEMBERS[[#This Row],[ServiceEndDate]])="D1",0,1)</f>
        <v>0</v>
      </c>
      <c r="H57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74" s="57">
        <f>IF(LEN(MEMBERS[[#This Row],[StaffMemberCode]])&lt;100,0,1)</f>
        <v>0</v>
      </c>
      <c r="J574" s="57">
        <f>IF(LEN(MEMBERS[[#This Row],[Title]])&lt;100,0,1)</f>
        <v>0</v>
      </c>
      <c r="K574" s="57">
        <f>COUNTBLANK(MEMBERS[[#This Row],[StaffMemberCode]:[ServiceStartDate]])+COUNTBLANK(MEMBERS[[#This Row],[Apprenticeship]]:MEMBERS[[#This Row],[StaffMemberEnabled]])+COUNTBLANK(MEMBERS[[#This Row],[GenderCode]]:MEMBERS[[#This Row],[Casual]])</f>
        <v>0</v>
      </c>
      <c r="L574" s="57">
        <f>IF(SUBSTITUTE(TEXT(MEMBERS[[#This Row],[StaffMemberCode]],10)," ","")=TEXT(MEMBERS[[#This Row],[StaffMemberCode]],10),0,1)</f>
        <v>0</v>
      </c>
      <c r="M574" s="57">
        <f ca="1">SUM(MEMBERS[[#This Row],[Duplicate NameService Start]:[Space in Code]])</f>
        <v>0</v>
      </c>
      <c r="O574" s="15">
        <v>91073458</v>
      </c>
      <c r="P574" s="15" t="s">
        <v>3381</v>
      </c>
      <c r="Q574" s="15" t="s">
        <v>3815</v>
      </c>
      <c r="R574" s="133" t="str">
        <f>MEMBERS[[#This Row],[FirstName]]&amp;" "&amp;MEMBERS[[#This Row],[LastName]]</f>
        <v>Nicola Brookfield</v>
      </c>
      <c r="S574" s="21">
        <v>36213</v>
      </c>
      <c r="U574" s="21">
        <v>25428</v>
      </c>
      <c r="V574" t="b">
        <v>0</v>
      </c>
      <c r="W574" t="b">
        <v>0</v>
      </c>
      <c r="X574" t="b">
        <v>0</v>
      </c>
      <c r="Y574" t="s">
        <v>2094</v>
      </c>
      <c r="Z574" t="b">
        <v>1</v>
      </c>
      <c r="AB574" t="s">
        <v>1571</v>
      </c>
      <c r="AC574" t="b">
        <v>0</v>
      </c>
    </row>
    <row r="575" spans="1:29" x14ac:dyDescent="0.3">
      <c r="A575" s="57" t="str">
        <f>MEMBERS[[#This Row],[Title]]&amp;MEMBERS[[#This Row],[ServiceStartDate]]</f>
        <v>Nicola Casey45901</v>
      </c>
      <c r="B575" s="57">
        <f>IF(COUNTIF(MEMBERS[NameServiceStart],MEMBERS[[#This Row],[NameServiceStart]])=1,0,1)</f>
        <v>0</v>
      </c>
      <c r="C575" s="57">
        <f>IF(COUNTIF(MEMBERS[StaffMemberCode],MEMBERS[[#This Row],[StaffMemberCode]])=1,0,1)</f>
        <v>0</v>
      </c>
      <c r="D575" s="57">
        <f>IF(ISBLANK(MEMBERS[[#This Row],[PayrollLocation]]),0,IF(COUNTIF(SCHOOLS[SchoolCode],MEMBERS[[#This Row],[PayrollLocation]])=1,0,1))</f>
        <v>0</v>
      </c>
      <c r="E575" s="57">
        <f>IF(MEMBERS[[#This Row],[AvailableToAllSchools]]=FALSE,IF(ISBLANK(MEMBERS[[#This Row],[SchoolCodes]]),1,0),IF(MEMBERS[[#This Row],[AvailableToAllSchools]]=TRUE,IF(ISBLANK(MEMBERS[[#This Row],[SchoolCodes]]),0,1)))</f>
        <v>0</v>
      </c>
      <c r="F575" s="57">
        <f>IF(ISBLANK(MEMBERS[[#This Row],[ServiceEndDate]]),0,IF(MEMBERS[[#This Row],[ServiceStartDate]]&lt;MEMBERS[[#This Row],[ServiceEndDate]],0,1))</f>
        <v>0</v>
      </c>
      <c r="G575" s="57" cm="1">
        <f t="array" aca="1" ref="G575" ca="1">IF(CELL("format",MEMBERS[[#This Row],[ServiceStartDate]])="D1",0,1)+IF(CELL("format",MEMBERS[[#This Row],[ServiceEndDate]])="D1",0,1)</f>
        <v>0</v>
      </c>
      <c r="H57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75" s="57">
        <f>IF(LEN(MEMBERS[[#This Row],[StaffMemberCode]])&lt;100,0,1)</f>
        <v>0</v>
      </c>
      <c r="J575" s="57">
        <f>IF(LEN(MEMBERS[[#This Row],[Title]])&lt;100,0,1)</f>
        <v>0</v>
      </c>
      <c r="K575" s="57">
        <f>COUNTBLANK(MEMBERS[[#This Row],[StaffMemberCode]:[ServiceStartDate]])+COUNTBLANK(MEMBERS[[#This Row],[Apprenticeship]]:MEMBERS[[#This Row],[StaffMemberEnabled]])+COUNTBLANK(MEMBERS[[#This Row],[GenderCode]]:MEMBERS[[#This Row],[Casual]])</f>
        <v>0</v>
      </c>
      <c r="L575" s="57">
        <f>IF(SUBSTITUTE(TEXT(MEMBERS[[#This Row],[StaffMemberCode]],10)," ","")=TEXT(MEMBERS[[#This Row],[StaffMemberCode]],10),0,1)</f>
        <v>0</v>
      </c>
      <c r="M575" s="57">
        <f ca="1">SUM(MEMBERS[[#This Row],[Duplicate NameService Start]:[Space in Code]])</f>
        <v>0</v>
      </c>
      <c r="O575" s="15">
        <v>91850037</v>
      </c>
      <c r="P575" s="15" t="s">
        <v>3381</v>
      </c>
      <c r="Q575" s="15" t="s">
        <v>3816</v>
      </c>
      <c r="R575" s="133" t="str">
        <f>MEMBERS[[#This Row],[FirstName]]&amp;" "&amp;MEMBERS[[#This Row],[LastName]]</f>
        <v>Nicola Casey</v>
      </c>
      <c r="S575" s="21">
        <v>45901</v>
      </c>
      <c r="U575" s="21">
        <v>31933</v>
      </c>
      <c r="V575" t="b">
        <v>0</v>
      </c>
      <c r="W575" t="b">
        <v>0</v>
      </c>
      <c r="X575" t="b">
        <v>0</v>
      </c>
      <c r="Y575" t="s">
        <v>2299</v>
      </c>
      <c r="Z575" t="b">
        <v>1</v>
      </c>
      <c r="AB575" t="s">
        <v>1571</v>
      </c>
      <c r="AC575" t="b">
        <v>0</v>
      </c>
    </row>
    <row r="576" spans="1:29" x14ac:dyDescent="0.3">
      <c r="A576" s="57" t="str">
        <f>MEMBERS[[#This Row],[Title]]&amp;MEMBERS[[#This Row],[ServiceStartDate]]</f>
        <v>Nicola Ford42461</v>
      </c>
      <c r="B576" s="57">
        <f>IF(COUNTIF(MEMBERS[NameServiceStart],MEMBERS[[#This Row],[NameServiceStart]])=1,0,1)</f>
        <v>0</v>
      </c>
      <c r="C576" s="57">
        <f>IF(COUNTIF(MEMBERS[StaffMemberCode],MEMBERS[[#This Row],[StaffMemberCode]])=1,0,1)</f>
        <v>0</v>
      </c>
      <c r="D576" s="57">
        <f>IF(ISBLANK(MEMBERS[[#This Row],[PayrollLocation]]),0,IF(COUNTIF(SCHOOLS[SchoolCode],MEMBERS[[#This Row],[PayrollLocation]])=1,0,1))</f>
        <v>0</v>
      </c>
      <c r="E576" s="57">
        <f>IF(MEMBERS[[#This Row],[AvailableToAllSchools]]=FALSE,IF(ISBLANK(MEMBERS[[#This Row],[SchoolCodes]]),1,0),IF(MEMBERS[[#This Row],[AvailableToAllSchools]]=TRUE,IF(ISBLANK(MEMBERS[[#This Row],[SchoolCodes]]),0,1)))</f>
        <v>0</v>
      </c>
      <c r="F576" s="57">
        <f>IF(ISBLANK(MEMBERS[[#This Row],[ServiceEndDate]]),0,IF(MEMBERS[[#This Row],[ServiceStartDate]]&lt;MEMBERS[[#This Row],[ServiceEndDate]],0,1))</f>
        <v>0</v>
      </c>
      <c r="G576" s="57" cm="1">
        <f t="array" aca="1" ref="G576" ca="1">IF(CELL("format",MEMBERS[[#This Row],[ServiceStartDate]])="D1",0,1)+IF(CELL("format",MEMBERS[[#This Row],[ServiceEndDate]])="D1",0,1)</f>
        <v>0</v>
      </c>
      <c r="H57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76" s="57">
        <f>IF(LEN(MEMBERS[[#This Row],[StaffMemberCode]])&lt;100,0,1)</f>
        <v>0</v>
      </c>
      <c r="J576" s="57">
        <f>IF(LEN(MEMBERS[[#This Row],[Title]])&lt;100,0,1)</f>
        <v>0</v>
      </c>
      <c r="K576" s="57">
        <f>COUNTBLANK(MEMBERS[[#This Row],[StaffMemberCode]:[ServiceStartDate]])+COUNTBLANK(MEMBERS[[#This Row],[Apprenticeship]]:MEMBERS[[#This Row],[StaffMemberEnabled]])+COUNTBLANK(MEMBERS[[#This Row],[GenderCode]]:MEMBERS[[#This Row],[Casual]])</f>
        <v>0</v>
      </c>
      <c r="L576" s="57">
        <f>IF(SUBSTITUTE(TEXT(MEMBERS[[#This Row],[StaffMemberCode]],10)," ","")=TEXT(MEMBERS[[#This Row],[StaffMemberCode]],10),0,1)</f>
        <v>0</v>
      </c>
      <c r="M576" s="57">
        <f ca="1">SUM(MEMBERS[[#This Row],[Duplicate NameService Start]:[Space in Code]])</f>
        <v>0</v>
      </c>
      <c r="O576" s="15">
        <v>91073489</v>
      </c>
      <c r="P576" s="15" t="s">
        <v>3381</v>
      </c>
      <c r="Q576" s="15" t="s">
        <v>3643</v>
      </c>
      <c r="R576" s="133" t="str">
        <f>MEMBERS[[#This Row],[FirstName]]&amp;" "&amp;MEMBERS[[#This Row],[LastName]]</f>
        <v>Nicola Ford</v>
      </c>
      <c r="S576" s="21">
        <v>42461</v>
      </c>
      <c r="U576" s="21">
        <v>34003</v>
      </c>
      <c r="V576" t="b">
        <v>0</v>
      </c>
      <c r="W576" t="b">
        <v>0</v>
      </c>
      <c r="X576" t="b">
        <v>0</v>
      </c>
      <c r="Y576" t="s">
        <v>2094</v>
      </c>
      <c r="Z576" t="b">
        <v>1</v>
      </c>
      <c r="AB576" t="s">
        <v>1571</v>
      </c>
      <c r="AC576" t="b">
        <v>0</v>
      </c>
    </row>
    <row r="577" spans="1:29" x14ac:dyDescent="0.3">
      <c r="A577" s="57" t="str">
        <f>MEMBERS[[#This Row],[Title]]&amp;MEMBERS[[#This Row],[ServiceStartDate]]</f>
        <v>Nicola Hemmings43129</v>
      </c>
      <c r="B577" s="57">
        <f>IF(COUNTIF(MEMBERS[NameServiceStart],MEMBERS[[#This Row],[NameServiceStart]])=1,0,1)</f>
        <v>0</v>
      </c>
      <c r="C577" s="57">
        <f>IF(COUNTIF(MEMBERS[StaffMemberCode],MEMBERS[[#This Row],[StaffMemberCode]])=1,0,1)</f>
        <v>0</v>
      </c>
      <c r="D577" s="57">
        <f>IF(ISBLANK(MEMBERS[[#This Row],[PayrollLocation]]),0,IF(COUNTIF(SCHOOLS[SchoolCode],MEMBERS[[#This Row],[PayrollLocation]])=1,0,1))</f>
        <v>0</v>
      </c>
      <c r="E577" s="57">
        <f>IF(MEMBERS[[#This Row],[AvailableToAllSchools]]=FALSE,IF(ISBLANK(MEMBERS[[#This Row],[SchoolCodes]]),1,0),IF(MEMBERS[[#This Row],[AvailableToAllSchools]]=TRUE,IF(ISBLANK(MEMBERS[[#This Row],[SchoolCodes]]),0,1)))</f>
        <v>0</v>
      </c>
      <c r="F577" s="57">
        <f>IF(ISBLANK(MEMBERS[[#This Row],[ServiceEndDate]]),0,IF(MEMBERS[[#This Row],[ServiceStartDate]]&lt;MEMBERS[[#This Row],[ServiceEndDate]],0,1))</f>
        <v>0</v>
      </c>
      <c r="G577" s="57" cm="1">
        <f t="array" aca="1" ref="G577" ca="1">IF(CELL("format",MEMBERS[[#This Row],[ServiceStartDate]])="D1",0,1)+IF(CELL("format",MEMBERS[[#This Row],[ServiceEndDate]])="D1",0,1)</f>
        <v>0</v>
      </c>
      <c r="H57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77" s="57">
        <f>IF(LEN(MEMBERS[[#This Row],[StaffMemberCode]])&lt;100,0,1)</f>
        <v>0</v>
      </c>
      <c r="J577" s="57">
        <f>IF(LEN(MEMBERS[[#This Row],[Title]])&lt;100,0,1)</f>
        <v>0</v>
      </c>
      <c r="K577" s="57">
        <f>COUNTBLANK(MEMBERS[[#This Row],[StaffMemberCode]:[ServiceStartDate]])+COUNTBLANK(MEMBERS[[#This Row],[Apprenticeship]]:MEMBERS[[#This Row],[StaffMemberEnabled]])+COUNTBLANK(MEMBERS[[#This Row],[GenderCode]]:MEMBERS[[#This Row],[Casual]])</f>
        <v>0</v>
      </c>
      <c r="L577" s="57">
        <f>IF(SUBSTITUTE(TEXT(MEMBERS[[#This Row],[StaffMemberCode]],10)," ","")=TEXT(MEMBERS[[#This Row],[StaffMemberCode]],10),0,1)</f>
        <v>0</v>
      </c>
      <c r="M577" s="57">
        <f ca="1">SUM(MEMBERS[[#This Row],[Duplicate NameService Start]:[Space in Code]])</f>
        <v>0</v>
      </c>
      <c r="O577" s="15">
        <v>10005317</v>
      </c>
      <c r="P577" s="15" t="s">
        <v>3381</v>
      </c>
      <c r="Q577" s="15" t="s">
        <v>3787</v>
      </c>
      <c r="R577" s="133" t="str">
        <f>MEMBERS[[#This Row],[FirstName]]&amp;" "&amp;MEMBERS[[#This Row],[LastName]]</f>
        <v>Nicola Hemmings</v>
      </c>
      <c r="S577" s="21">
        <v>43129</v>
      </c>
      <c r="U577" s="21">
        <v>26498</v>
      </c>
      <c r="V577" s="138" t="b">
        <v>0</v>
      </c>
      <c r="W577" t="b">
        <v>0</v>
      </c>
      <c r="X577" t="b">
        <v>0</v>
      </c>
      <c r="Y577" t="s">
        <v>2126</v>
      </c>
      <c r="Z577" t="b">
        <v>1</v>
      </c>
      <c r="AB577" t="s">
        <v>1571</v>
      </c>
      <c r="AC577" t="b">
        <v>0</v>
      </c>
    </row>
    <row r="578" spans="1:29" x14ac:dyDescent="0.3">
      <c r="A578" s="57" t="str">
        <f>MEMBERS[[#This Row],[Title]]&amp;MEMBERS[[#This Row],[ServiceStartDate]]</f>
        <v>Nicola Hill43505</v>
      </c>
      <c r="B578" s="57">
        <f>IF(COUNTIF(MEMBERS[NameServiceStart],MEMBERS[[#This Row],[NameServiceStart]])=1,0,1)</f>
        <v>0</v>
      </c>
      <c r="C578" s="57">
        <f>IF(COUNTIF(MEMBERS[StaffMemberCode],MEMBERS[[#This Row],[StaffMemberCode]])=1,0,1)</f>
        <v>0</v>
      </c>
      <c r="D578" s="57">
        <f>IF(ISBLANK(MEMBERS[[#This Row],[PayrollLocation]]),0,IF(COUNTIF(SCHOOLS[SchoolCode],MEMBERS[[#This Row],[PayrollLocation]])=1,0,1))</f>
        <v>0</v>
      </c>
      <c r="E578" s="57">
        <f>IF(MEMBERS[[#This Row],[AvailableToAllSchools]]=FALSE,IF(ISBLANK(MEMBERS[[#This Row],[SchoolCodes]]),1,0),IF(MEMBERS[[#This Row],[AvailableToAllSchools]]=TRUE,IF(ISBLANK(MEMBERS[[#This Row],[SchoolCodes]]),0,1)))</f>
        <v>0</v>
      </c>
      <c r="F578" s="57">
        <f>IF(ISBLANK(MEMBERS[[#This Row],[ServiceEndDate]]),0,IF(MEMBERS[[#This Row],[ServiceStartDate]]&lt;MEMBERS[[#This Row],[ServiceEndDate]],0,1))</f>
        <v>0</v>
      </c>
      <c r="G578" s="57" cm="1">
        <f t="array" aca="1" ref="G578" ca="1">IF(CELL("format",MEMBERS[[#This Row],[ServiceStartDate]])="D1",0,1)+IF(CELL("format",MEMBERS[[#This Row],[ServiceEndDate]])="D1",0,1)</f>
        <v>0</v>
      </c>
      <c r="H57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78" s="57">
        <f>IF(LEN(MEMBERS[[#This Row],[StaffMemberCode]])&lt;100,0,1)</f>
        <v>0</v>
      </c>
      <c r="J578" s="57">
        <f>IF(LEN(MEMBERS[[#This Row],[Title]])&lt;100,0,1)</f>
        <v>0</v>
      </c>
      <c r="K578" s="57">
        <f>COUNTBLANK(MEMBERS[[#This Row],[StaffMemberCode]:[ServiceStartDate]])+COUNTBLANK(MEMBERS[[#This Row],[Apprenticeship]]:MEMBERS[[#This Row],[StaffMemberEnabled]])+COUNTBLANK(MEMBERS[[#This Row],[GenderCode]]:MEMBERS[[#This Row],[Casual]])</f>
        <v>0</v>
      </c>
      <c r="L578" s="57">
        <f>IF(SUBSTITUTE(TEXT(MEMBERS[[#This Row],[StaffMemberCode]],10)," ","")=TEXT(MEMBERS[[#This Row],[StaffMemberCode]],10),0,1)</f>
        <v>0</v>
      </c>
      <c r="M578" s="57">
        <f ca="1">SUM(MEMBERS[[#This Row],[Duplicate NameService Start]:[Space in Code]])</f>
        <v>0</v>
      </c>
      <c r="O578" s="15">
        <v>91073591</v>
      </c>
      <c r="P578" s="15" t="s">
        <v>3381</v>
      </c>
      <c r="Q578" s="15" t="s">
        <v>3469</v>
      </c>
      <c r="R578" s="133" t="str">
        <f>MEMBERS[[#This Row],[FirstName]]&amp;" "&amp;MEMBERS[[#This Row],[LastName]]</f>
        <v>Nicola Hill</v>
      </c>
      <c r="S578" s="21">
        <v>43505</v>
      </c>
      <c r="U578" s="21">
        <v>29165</v>
      </c>
      <c r="V578" t="b">
        <v>0</v>
      </c>
      <c r="W578" t="b">
        <v>0</v>
      </c>
      <c r="X578" t="b">
        <v>0</v>
      </c>
      <c r="Y578" t="s">
        <v>2094</v>
      </c>
      <c r="Z578" t="b">
        <v>1</v>
      </c>
      <c r="AB578" t="s">
        <v>1571</v>
      </c>
      <c r="AC578" t="b">
        <v>0</v>
      </c>
    </row>
    <row r="579" spans="1:29" x14ac:dyDescent="0.3">
      <c r="A579" s="57" t="str">
        <f>MEMBERS[[#This Row],[Title]]&amp;MEMBERS[[#This Row],[ServiceStartDate]]</f>
        <v>Nicola Jones42614</v>
      </c>
      <c r="B579" s="57">
        <f>IF(COUNTIF(MEMBERS[NameServiceStart],MEMBERS[[#This Row],[NameServiceStart]])=1,0,1)</f>
        <v>0</v>
      </c>
      <c r="C579" s="57">
        <f>IF(COUNTIF(MEMBERS[StaffMemberCode],MEMBERS[[#This Row],[StaffMemberCode]])=1,0,1)</f>
        <v>0</v>
      </c>
      <c r="D579" s="57">
        <f>IF(ISBLANK(MEMBERS[[#This Row],[PayrollLocation]]),0,IF(COUNTIF(SCHOOLS[SchoolCode],MEMBERS[[#This Row],[PayrollLocation]])=1,0,1))</f>
        <v>0</v>
      </c>
      <c r="E579" s="57">
        <f>IF(MEMBERS[[#This Row],[AvailableToAllSchools]]=FALSE,IF(ISBLANK(MEMBERS[[#This Row],[SchoolCodes]]),1,0),IF(MEMBERS[[#This Row],[AvailableToAllSchools]]=TRUE,IF(ISBLANK(MEMBERS[[#This Row],[SchoolCodes]]),0,1)))</f>
        <v>0</v>
      </c>
      <c r="F579" s="57">
        <f>IF(ISBLANK(MEMBERS[[#This Row],[ServiceEndDate]]),0,IF(MEMBERS[[#This Row],[ServiceStartDate]]&lt;MEMBERS[[#This Row],[ServiceEndDate]],0,1))</f>
        <v>0</v>
      </c>
      <c r="G579" s="57" cm="1">
        <f t="array" aca="1" ref="G579" ca="1">IF(CELL("format",MEMBERS[[#This Row],[ServiceStartDate]])="D1",0,1)+IF(CELL("format",MEMBERS[[#This Row],[ServiceEndDate]])="D1",0,1)</f>
        <v>0</v>
      </c>
      <c r="H57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79" s="57">
        <f>IF(LEN(MEMBERS[[#This Row],[StaffMemberCode]])&lt;100,0,1)</f>
        <v>0</v>
      </c>
      <c r="J579" s="57">
        <f>IF(LEN(MEMBERS[[#This Row],[Title]])&lt;100,0,1)</f>
        <v>0</v>
      </c>
      <c r="K579" s="57">
        <f>COUNTBLANK(MEMBERS[[#This Row],[StaffMemberCode]:[ServiceStartDate]])+COUNTBLANK(MEMBERS[[#This Row],[Apprenticeship]]:MEMBERS[[#This Row],[StaffMemberEnabled]])+COUNTBLANK(MEMBERS[[#This Row],[GenderCode]]:MEMBERS[[#This Row],[Casual]])</f>
        <v>0</v>
      </c>
      <c r="L579" s="57">
        <f>IF(SUBSTITUTE(TEXT(MEMBERS[[#This Row],[StaffMemberCode]],10)," ","")=TEXT(MEMBERS[[#This Row],[StaffMemberCode]],10),0,1)</f>
        <v>0</v>
      </c>
      <c r="M579" s="57">
        <f ca="1">SUM(MEMBERS[[#This Row],[Duplicate NameService Start]:[Space in Code]])</f>
        <v>0</v>
      </c>
      <c r="O579" s="15">
        <v>10005369</v>
      </c>
      <c r="P579" s="15" t="s">
        <v>3381</v>
      </c>
      <c r="Q579" s="15" t="s">
        <v>3473</v>
      </c>
      <c r="R579" s="133" t="str">
        <f>MEMBERS[[#This Row],[FirstName]]&amp;" "&amp;MEMBERS[[#This Row],[LastName]]</f>
        <v>Nicola Jones</v>
      </c>
      <c r="S579" s="21">
        <v>42614</v>
      </c>
      <c r="U579" s="21">
        <v>32089</v>
      </c>
      <c r="V579" s="138" t="b">
        <v>0</v>
      </c>
      <c r="W579" t="b">
        <v>0</v>
      </c>
      <c r="X579" t="b">
        <v>0</v>
      </c>
      <c r="Y579" t="s">
        <v>2126</v>
      </c>
      <c r="Z579" t="b">
        <v>1</v>
      </c>
      <c r="AB579" t="s">
        <v>1571</v>
      </c>
      <c r="AC579" t="b">
        <v>0</v>
      </c>
    </row>
    <row r="580" spans="1:29" x14ac:dyDescent="0.3">
      <c r="A580" s="57" t="str">
        <f>MEMBERS[[#This Row],[Title]]&amp;MEMBERS[[#This Row],[ServiceStartDate]]</f>
        <v>Nicola Mathers45376</v>
      </c>
      <c r="B580" s="57">
        <f>IF(COUNTIF(MEMBERS[NameServiceStart],MEMBERS[[#This Row],[NameServiceStart]])=1,0,1)</f>
        <v>0</v>
      </c>
      <c r="C580" s="57">
        <f>IF(COUNTIF(MEMBERS[StaffMemberCode],MEMBERS[[#This Row],[StaffMemberCode]])=1,0,1)</f>
        <v>0</v>
      </c>
      <c r="D580" s="57">
        <f>IF(ISBLANK(MEMBERS[[#This Row],[PayrollLocation]]),0,IF(COUNTIF(SCHOOLS[SchoolCode],MEMBERS[[#This Row],[PayrollLocation]])=1,0,1))</f>
        <v>0</v>
      </c>
      <c r="E580" s="57">
        <f>IF(MEMBERS[[#This Row],[AvailableToAllSchools]]=FALSE,IF(ISBLANK(MEMBERS[[#This Row],[SchoolCodes]]),1,0),IF(MEMBERS[[#This Row],[AvailableToAllSchools]]=TRUE,IF(ISBLANK(MEMBERS[[#This Row],[SchoolCodes]]),0,1)))</f>
        <v>0</v>
      </c>
      <c r="F580" s="57">
        <f>IF(ISBLANK(MEMBERS[[#This Row],[ServiceEndDate]]),0,IF(MEMBERS[[#This Row],[ServiceStartDate]]&lt;MEMBERS[[#This Row],[ServiceEndDate]],0,1))</f>
        <v>0</v>
      </c>
      <c r="G580" s="57" cm="1">
        <f t="array" aca="1" ref="G580" ca="1">IF(CELL("format",MEMBERS[[#This Row],[ServiceStartDate]])="D1",0,1)+IF(CELL("format",MEMBERS[[#This Row],[ServiceEndDate]])="D1",0,1)</f>
        <v>0</v>
      </c>
      <c r="H58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80" s="57">
        <f>IF(LEN(MEMBERS[[#This Row],[StaffMemberCode]])&lt;100,0,1)</f>
        <v>0</v>
      </c>
      <c r="J580" s="57">
        <f>IF(LEN(MEMBERS[[#This Row],[Title]])&lt;100,0,1)</f>
        <v>0</v>
      </c>
      <c r="K580" s="57">
        <f>COUNTBLANK(MEMBERS[[#This Row],[StaffMemberCode]:[ServiceStartDate]])+COUNTBLANK(MEMBERS[[#This Row],[Apprenticeship]]:MEMBERS[[#This Row],[StaffMemberEnabled]])+COUNTBLANK(MEMBERS[[#This Row],[GenderCode]]:MEMBERS[[#This Row],[Casual]])</f>
        <v>0</v>
      </c>
      <c r="L580" s="57">
        <f>IF(SUBSTITUTE(TEXT(MEMBERS[[#This Row],[StaffMemberCode]],10)," ","")=TEXT(MEMBERS[[#This Row],[StaffMemberCode]],10),0,1)</f>
        <v>0</v>
      </c>
      <c r="M580" s="57">
        <f ca="1">SUM(MEMBERS[[#This Row],[Duplicate NameService Start]:[Space in Code]])</f>
        <v>0</v>
      </c>
      <c r="O580" s="15">
        <v>91073622</v>
      </c>
      <c r="P580" s="15" t="s">
        <v>3381</v>
      </c>
      <c r="Q580" s="15" t="s">
        <v>3697</v>
      </c>
      <c r="R580" s="133" t="str">
        <f>MEMBERS[[#This Row],[FirstName]]&amp;" "&amp;MEMBERS[[#This Row],[LastName]]</f>
        <v>Nicola Mathers</v>
      </c>
      <c r="S580" s="21">
        <v>45376</v>
      </c>
      <c r="U580" s="21">
        <v>32793</v>
      </c>
      <c r="V580" t="b">
        <v>0</v>
      </c>
      <c r="W580" t="b">
        <v>0</v>
      </c>
      <c r="X580" t="b">
        <v>0</v>
      </c>
      <c r="Y580" t="s">
        <v>2094</v>
      </c>
      <c r="Z580" t="b">
        <v>1</v>
      </c>
      <c r="AB580" t="s">
        <v>1571</v>
      </c>
      <c r="AC580" t="b">
        <v>0</v>
      </c>
    </row>
    <row r="581" spans="1:29" x14ac:dyDescent="0.3">
      <c r="A581" s="57" t="str">
        <f>MEMBERS[[#This Row],[Title]]&amp;MEMBERS[[#This Row],[ServiceStartDate]]</f>
        <v>Nicola Richardson41694</v>
      </c>
      <c r="B581" s="57">
        <f>IF(COUNTIF(MEMBERS[NameServiceStart],MEMBERS[[#This Row],[NameServiceStart]])=1,0,1)</f>
        <v>0</v>
      </c>
      <c r="C581" s="57">
        <f>IF(COUNTIF(MEMBERS[StaffMemberCode],MEMBERS[[#This Row],[StaffMemberCode]])=1,0,1)</f>
        <v>0</v>
      </c>
      <c r="D581" s="57">
        <f>IF(ISBLANK(MEMBERS[[#This Row],[PayrollLocation]]),0,IF(COUNTIF(SCHOOLS[SchoolCode],MEMBERS[[#This Row],[PayrollLocation]])=1,0,1))</f>
        <v>0</v>
      </c>
      <c r="E581" s="57">
        <f>IF(MEMBERS[[#This Row],[AvailableToAllSchools]]=FALSE,IF(ISBLANK(MEMBERS[[#This Row],[SchoolCodes]]),1,0),IF(MEMBERS[[#This Row],[AvailableToAllSchools]]=TRUE,IF(ISBLANK(MEMBERS[[#This Row],[SchoolCodes]]),0,1)))</f>
        <v>0</v>
      </c>
      <c r="F581" s="57">
        <f>IF(ISBLANK(MEMBERS[[#This Row],[ServiceEndDate]]),0,IF(MEMBERS[[#This Row],[ServiceStartDate]]&lt;MEMBERS[[#This Row],[ServiceEndDate]],0,1))</f>
        <v>0</v>
      </c>
      <c r="G581" s="57" cm="1">
        <f t="array" aca="1" ref="G581" ca="1">IF(CELL("format",MEMBERS[[#This Row],[ServiceStartDate]])="D1",0,1)+IF(CELL("format",MEMBERS[[#This Row],[ServiceEndDate]])="D1",0,1)</f>
        <v>0</v>
      </c>
      <c r="H58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81" s="57">
        <f>IF(LEN(MEMBERS[[#This Row],[StaffMemberCode]])&lt;100,0,1)</f>
        <v>0</v>
      </c>
      <c r="J581" s="57">
        <f>IF(LEN(MEMBERS[[#This Row],[Title]])&lt;100,0,1)</f>
        <v>0</v>
      </c>
      <c r="K581" s="57">
        <f>COUNTBLANK(MEMBERS[[#This Row],[StaffMemberCode]:[ServiceStartDate]])+COUNTBLANK(MEMBERS[[#This Row],[Apprenticeship]]:MEMBERS[[#This Row],[StaffMemberEnabled]])+COUNTBLANK(MEMBERS[[#This Row],[GenderCode]]:MEMBERS[[#This Row],[Casual]])</f>
        <v>0</v>
      </c>
      <c r="L581" s="57">
        <f>IF(SUBSTITUTE(TEXT(MEMBERS[[#This Row],[StaffMemberCode]],10)," ","")=TEXT(MEMBERS[[#This Row],[StaffMemberCode]],10),0,1)</f>
        <v>0</v>
      </c>
      <c r="M581" s="57">
        <f ca="1">SUM(MEMBERS[[#This Row],[Duplicate NameService Start]:[Space in Code]])</f>
        <v>0</v>
      </c>
      <c r="O581" s="15">
        <v>91073642</v>
      </c>
      <c r="P581" s="15" t="s">
        <v>3381</v>
      </c>
      <c r="Q581" s="15" t="s">
        <v>3524</v>
      </c>
      <c r="R581" s="133" t="str">
        <f>MEMBERS[[#This Row],[FirstName]]&amp;" "&amp;MEMBERS[[#This Row],[LastName]]</f>
        <v>Nicola Richardson</v>
      </c>
      <c r="S581" s="21">
        <v>41694</v>
      </c>
      <c r="U581" s="21">
        <v>25690</v>
      </c>
      <c r="V581" t="b">
        <v>0</v>
      </c>
      <c r="W581" t="b">
        <v>0</v>
      </c>
      <c r="X581" t="b">
        <v>0</v>
      </c>
      <c r="Y581" t="s">
        <v>2089</v>
      </c>
      <c r="Z581" t="b">
        <v>1</v>
      </c>
      <c r="AB581" t="s">
        <v>1571</v>
      </c>
      <c r="AC581" t="b">
        <v>0</v>
      </c>
    </row>
    <row r="582" spans="1:29" x14ac:dyDescent="0.3">
      <c r="A582" s="57" t="str">
        <f>MEMBERS[[#This Row],[Title]]&amp;MEMBERS[[#This Row],[ServiceStartDate]]</f>
        <v>Nicola Stocks-Moore43753</v>
      </c>
      <c r="B582" s="57">
        <f>IF(COUNTIF(MEMBERS[NameServiceStart],MEMBERS[[#This Row],[NameServiceStart]])=1,0,1)</f>
        <v>0</v>
      </c>
      <c r="C582" s="57">
        <f>IF(COUNTIF(MEMBERS[StaffMemberCode],MEMBERS[[#This Row],[StaffMemberCode]])=1,0,1)</f>
        <v>0</v>
      </c>
      <c r="D582" s="57">
        <f>IF(ISBLANK(MEMBERS[[#This Row],[PayrollLocation]]),0,IF(COUNTIF(SCHOOLS[SchoolCode],MEMBERS[[#This Row],[PayrollLocation]])=1,0,1))</f>
        <v>0</v>
      </c>
      <c r="E582" s="57">
        <f>IF(MEMBERS[[#This Row],[AvailableToAllSchools]]=FALSE,IF(ISBLANK(MEMBERS[[#This Row],[SchoolCodes]]),1,0),IF(MEMBERS[[#This Row],[AvailableToAllSchools]]=TRUE,IF(ISBLANK(MEMBERS[[#This Row],[SchoolCodes]]),0,1)))</f>
        <v>0</v>
      </c>
      <c r="F582" s="57">
        <f>IF(ISBLANK(MEMBERS[[#This Row],[ServiceEndDate]]),0,IF(MEMBERS[[#This Row],[ServiceStartDate]]&lt;MEMBERS[[#This Row],[ServiceEndDate]],0,1))</f>
        <v>0</v>
      </c>
      <c r="G582" s="57" cm="1">
        <f t="array" aca="1" ref="G582" ca="1">IF(CELL("format",MEMBERS[[#This Row],[ServiceStartDate]])="D1",0,1)+IF(CELL("format",MEMBERS[[#This Row],[ServiceEndDate]])="D1",0,1)</f>
        <v>0</v>
      </c>
      <c r="H58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82" s="57">
        <f>IF(LEN(MEMBERS[[#This Row],[StaffMemberCode]])&lt;100,0,1)</f>
        <v>0</v>
      </c>
      <c r="J582" s="57">
        <f>IF(LEN(MEMBERS[[#This Row],[Title]])&lt;100,0,1)</f>
        <v>0</v>
      </c>
      <c r="K582" s="57">
        <f>COUNTBLANK(MEMBERS[[#This Row],[StaffMemberCode]:[ServiceStartDate]])+COUNTBLANK(MEMBERS[[#This Row],[Apprenticeship]]:MEMBERS[[#This Row],[StaffMemberEnabled]])+COUNTBLANK(MEMBERS[[#This Row],[GenderCode]]:MEMBERS[[#This Row],[Casual]])</f>
        <v>0</v>
      </c>
      <c r="L582" s="57">
        <f>IF(SUBSTITUTE(TEXT(MEMBERS[[#This Row],[StaffMemberCode]],10)," ","")=TEXT(MEMBERS[[#This Row],[StaffMemberCode]],10),0,1)</f>
        <v>0</v>
      </c>
      <c r="M582" s="57">
        <f ca="1">SUM(MEMBERS[[#This Row],[Duplicate NameService Start]:[Space in Code]])</f>
        <v>0</v>
      </c>
      <c r="O582" s="15">
        <v>91073939</v>
      </c>
      <c r="P582" s="15" t="s">
        <v>3381</v>
      </c>
      <c r="Q582" s="15" t="s">
        <v>3817</v>
      </c>
      <c r="R582" s="133" t="str">
        <f>MEMBERS[[#This Row],[FirstName]]&amp;" "&amp;MEMBERS[[#This Row],[LastName]]</f>
        <v>Nicola Stocks-Moore</v>
      </c>
      <c r="S582" s="21">
        <v>43753</v>
      </c>
      <c r="U582" s="21">
        <v>28731</v>
      </c>
      <c r="V582" t="b">
        <v>0</v>
      </c>
      <c r="W582" t="b">
        <v>0</v>
      </c>
      <c r="X582" t="b">
        <v>0</v>
      </c>
      <c r="Y582" t="s">
        <v>2299</v>
      </c>
      <c r="Z582" t="b">
        <v>1</v>
      </c>
      <c r="AB582" t="s">
        <v>1571</v>
      </c>
      <c r="AC582" t="b">
        <v>0</v>
      </c>
    </row>
    <row r="583" spans="1:29" x14ac:dyDescent="0.3">
      <c r="A583" s="57" t="str">
        <f>MEMBERS[[#This Row],[Title]]&amp;MEMBERS[[#This Row],[ServiceStartDate]]</f>
        <v>Nikhil Cleary45505</v>
      </c>
      <c r="B583" s="57">
        <f>IF(COUNTIF(MEMBERS[NameServiceStart],MEMBERS[[#This Row],[NameServiceStart]])=1,0,1)</f>
        <v>0</v>
      </c>
      <c r="C583" s="57">
        <f>IF(COUNTIF(MEMBERS[StaffMemberCode],MEMBERS[[#This Row],[StaffMemberCode]])=1,0,1)</f>
        <v>0</v>
      </c>
      <c r="D583" s="57">
        <f>IF(ISBLANK(MEMBERS[[#This Row],[PayrollLocation]]),0,IF(COUNTIF(SCHOOLS[SchoolCode],MEMBERS[[#This Row],[PayrollLocation]])=1,0,1))</f>
        <v>0</v>
      </c>
      <c r="E583" s="57">
        <f>IF(MEMBERS[[#This Row],[AvailableToAllSchools]]=FALSE,IF(ISBLANK(MEMBERS[[#This Row],[SchoolCodes]]),1,0),IF(MEMBERS[[#This Row],[AvailableToAllSchools]]=TRUE,IF(ISBLANK(MEMBERS[[#This Row],[SchoolCodes]]),0,1)))</f>
        <v>0</v>
      </c>
      <c r="F583" s="57">
        <f>IF(ISBLANK(MEMBERS[[#This Row],[ServiceEndDate]]),0,IF(MEMBERS[[#This Row],[ServiceStartDate]]&lt;MEMBERS[[#This Row],[ServiceEndDate]],0,1))</f>
        <v>0</v>
      </c>
      <c r="G583" s="57" cm="1">
        <f t="array" aca="1" ref="G583" ca="1">IF(CELL("format",MEMBERS[[#This Row],[ServiceStartDate]])="D1",0,1)+IF(CELL("format",MEMBERS[[#This Row],[ServiceEndDate]])="D1",0,1)</f>
        <v>0</v>
      </c>
      <c r="H58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83" s="57">
        <f>IF(LEN(MEMBERS[[#This Row],[StaffMemberCode]])&lt;100,0,1)</f>
        <v>0</v>
      </c>
      <c r="J583" s="57">
        <f>IF(LEN(MEMBERS[[#This Row],[Title]])&lt;100,0,1)</f>
        <v>0</v>
      </c>
      <c r="K583" s="57">
        <f>COUNTBLANK(MEMBERS[[#This Row],[StaffMemberCode]:[ServiceStartDate]])+COUNTBLANK(MEMBERS[[#This Row],[Apprenticeship]]:MEMBERS[[#This Row],[StaffMemberEnabled]])+COUNTBLANK(MEMBERS[[#This Row],[GenderCode]]:MEMBERS[[#This Row],[Casual]])</f>
        <v>0</v>
      </c>
      <c r="L583" s="57">
        <f>IF(SUBSTITUTE(TEXT(MEMBERS[[#This Row],[StaffMemberCode]],10)," ","")=TEXT(MEMBERS[[#This Row],[StaffMemberCode]],10),0,1)</f>
        <v>0</v>
      </c>
      <c r="M583" s="57">
        <f ca="1">SUM(MEMBERS[[#This Row],[Duplicate NameService Start]:[Space in Code]])</f>
        <v>0</v>
      </c>
      <c r="O583" s="15">
        <v>10014641</v>
      </c>
      <c r="P583" s="15" t="s">
        <v>3997</v>
      </c>
      <c r="Q583" s="15" t="s">
        <v>4110</v>
      </c>
      <c r="R583" s="133" t="str">
        <f>MEMBERS[[#This Row],[FirstName]]&amp;" "&amp;MEMBERS[[#This Row],[LastName]]</f>
        <v>Nikhil Cleary</v>
      </c>
      <c r="S583" s="21">
        <v>45505</v>
      </c>
      <c r="U583" s="21">
        <v>39125</v>
      </c>
      <c r="V583" s="138" t="b">
        <v>0</v>
      </c>
      <c r="W583" t="b">
        <v>0</v>
      </c>
      <c r="X583" t="b">
        <v>0</v>
      </c>
      <c r="Y583" t="s">
        <v>2126</v>
      </c>
      <c r="Z583" t="b">
        <v>1</v>
      </c>
      <c r="AB583" t="s">
        <v>1572</v>
      </c>
      <c r="AC583" t="b">
        <v>1</v>
      </c>
    </row>
    <row r="584" spans="1:29" x14ac:dyDescent="0.3">
      <c r="A584" s="57" t="str">
        <f>MEMBERS[[#This Row],[Title]]&amp;MEMBERS[[#This Row],[ServiceStartDate]]</f>
        <v>Nikki Hughes40338</v>
      </c>
      <c r="B584" s="57">
        <f>IF(COUNTIF(MEMBERS[NameServiceStart],MEMBERS[[#This Row],[NameServiceStart]])=1,0,1)</f>
        <v>0</v>
      </c>
      <c r="C584" s="57">
        <f>IF(COUNTIF(MEMBERS[StaffMemberCode],MEMBERS[[#This Row],[StaffMemberCode]])=1,0,1)</f>
        <v>0</v>
      </c>
      <c r="D584" s="57">
        <f>IF(ISBLANK(MEMBERS[[#This Row],[PayrollLocation]]),0,IF(COUNTIF(SCHOOLS[SchoolCode],MEMBERS[[#This Row],[PayrollLocation]])=1,0,1))</f>
        <v>0</v>
      </c>
      <c r="E584" s="57">
        <f>IF(MEMBERS[[#This Row],[AvailableToAllSchools]]=FALSE,IF(ISBLANK(MEMBERS[[#This Row],[SchoolCodes]]),1,0),IF(MEMBERS[[#This Row],[AvailableToAllSchools]]=TRUE,IF(ISBLANK(MEMBERS[[#This Row],[SchoolCodes]]),0,1)))</f>
        <v>0</v>
      </c>
      <c r="F584" s="57">
        <f>IF(ISBLANK(MEMBERS[[#This Row],[ServiceEndDate]]),0,IF(MEMBERS[[#This Row],[ServiceStartDate]]&lt;MEMBERS[[#This Row],[ServiceEndDate]],0,1))</f>
        <v>0</v>
      </c>
      <c r="G584" s="57" cm="1">
        <f t="array" aca="1" ref="G584" ca="1">IF(CELL("format",MEMBERS[[#This Row],[ServiceStartDate]])="D1",0,1)+IF(CELL("format",MEMBERS[[#This Row],[ServiceEndDate]])="D1",0,1)</f>
        <v>0</v>
      </c>
      <c r="H58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84" s="57">
        <f>IF(LEN(MEMBERS[[#This Row],[StaffMemberCode]])&lt;100,0,1)</f>
        <v>0</v>
      </c>
      <c r="J584" s="57">
        <f>IF(LEN(MEMBERS[[#This Row],[Title]])&lt;100,0,1)</f>
        <v>0</v>
      </c>
      <c r="K584" s="57">
        <f>COUNTBLANK(MEMBERS[[#This Row],[StaffMemberCode]:[ServiceStartDate]])+COUNTBLANK(MEMBERS[[#This Row],[Apprenticeship]]:MEMBERS[[#This Row],[StaffMemberEnabled]])+COUNTBLANK(MEMBERS[[#This Row],[GenderCode]]:MEMBERS[[#This Row],[Casual]])</f>
        <v>0</v>
      </c>
      <c r="L584" s="57">
        <f>IF(SUBSTITUTE(TEXT(MEMBERS[[#This Row],[StaffMemberCode]],10)," ","")=TEXT(MEMBERS[[#This Row],[StaffMemberCode]],10),0,1)</f>
        <v>0</v>
      </c>
      <c r="M584" s="57">
        <f ca="1">SUM(MEMBERS[[#This Row],[Duplicate NameService Start]:[Space in Code]])</f>
        <v>0</v>
      </c>
      <c r="O584" s="15">
        <v>91073638</v>
      </c>
      <c r="P584" s="15" t="s">
        <v>3382</v>
      </c>
      <c r="Q584" s="15" t="s">
        <v>3497</v>
      </c>
      <c r="R584" s="133" t="str">
        <f>MEMBERS[[#This Row],[FirstName]]&amp;" "&amp;MEMBERS[[#This Row],[LastName]]</f>
        <v>Nikki Hughes</v>
      </c>
      <c r="S584" s="21">
        <v>40338</v>
      </c>
      <c r="U584" s="21">
        <v>31964</v>
      </c>
      <c r="V584" t="b">
        <v>0</v>
      </c>
      <c r="W584" t="b">
        <v>0</v>
      </c>
      <c r="X584" t="b">
        <v>0</v>
      </c>
      <c r="Y584" t="s">
        <v>2094</v>
      </c>
      <c r="Z584" t="b">
        <v>1</v>
      </c>
      <c r="AB584" t="s">
        <v>1571</v>
      </c>
      <c r="AC584" t="b">
        <v>0</v>
      </c>
    </row>
    <row r="585" spans="1:29" x14ac:dyDescent="0.3">
      <c r="A585" s="57" t="str">
        <f>MEMBERS[[#This Row],[Title]]&amp;MEMBERS[[#This Row],[ServiceStartDate]]</f>
        <v>Nitu Marathe44984</v>
      </c>
      <c r="B585" s="57">
        <f>IF(COUNTIF(MEMBERS[NameServiceStart],MEMBERS[[#This Row],[NameServiceStart]])=1,0,1)</f>
        <v>0</v>
      </c>
      <c r="C585" s="57">
        <f>IF(COUNTIF(MEMBERS[StaffMemberCode],MEMBERS[[#This Row],[StaffMemberCode]])=1,0,1)</f>
        <v>0</v>
      </c>
      <c r="D585" s="57">
        <f>IF(ISBLANK(MEMBERS[[#This Row],[PayrollLocation]]),0,IF(COUNTIF(SCHOOLS[SchoolCode],MEMBERS[[#This Row],[PayrollLocation]])=1,0,1))</f>
        <v>0</v>
      </c>
      <c r="E585" s="57">
        <f>IF(MEMBERS[[#This Row],[AvailableToAllSchools]]=FALSE,IF(ISBLANK(MEMBERS[[#This Row],[SchoolCodes]]),1,0),IF(MEMBERS[[#This Row],[AvailableToAllSchools]]=TRUE,IF(ISBLANK(MEMBERS[[#This Row],[SchoolCodes]]),0,1)))</f>
        <v>0</v>
      </c>
      <c r="F585" s="57">
        <f>IF(ISBLANK(MEMBERS[[#This Row],[ServiceEndDate]]),0,IF(MEMBERS[[#This Row],[ServiceStartDate]]&lt;MEMBERS[[#This Row],[ServiceEndDate]],0,1))</f>
        <v>0</v>
      </c>
      <c r="G585" s="57" cm="1">
        <f t="array" aca="1" ref="G585" ca="1">IF(CELL("format",MEMBERS[[#This Row],[ServiceStartDate]])="D1",0,1)+IF(CELL("format",MEMBERS[[#This Row],[ServiceEndDate]])="D1",0,1)</f>
        <v>0</v>
      </c>
      <c r="H58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85" s="57">
        <f>IF(LEN(MEMBERS[[#This Row],[StaffMemberCode]])&lt;100,0,1)</f>
        <v>0</v>
      </c>
      <c r="J585" s="57">
        <f>IF(LEN(MEMBERS[[#This Row],[Title]])&lt;100,0,1)</f>
        <v>0</v>
      </c>
      <c r="K585" s="57">
        <f>COUNTBLANK(MEMBERS[[#This Row],[StaffMemberCode]:[ServiceStartDate]])+COUNTBLANK(MEMBERS[[#This Row],[Apprenticeship]]:MEMBERS[[#This Row],[StaffMemberEnabled]])+COUNTBLANK(MEMBERS[[#This Row],[GenderCode]]:MEMBERS[[#This Row],[Casual]])</f>
        <v>0</v>
      </c>
      <c r="L585" s="57">
        <f>IF(SUBSTITUTE(TEXT(MEMBERS[[#This Row],[StaffMemberCode]],10)," ","")=TEXT(MEMBERS[[#This Row],[StaffMemberCode]],10),0,1)</f>
        <v>0</v>
      </c>
      <c r="M585" s="57">
        <f ca="1">SUM(MEMBERS[[#This Row],[Duplicate NameService Start]:[Space in Code]])</f>
        <v>0</v>
      </c>
      <c r="O585" s="15">
        <v>91073829</v>
      </c>
      <c r="P585" s="15" t="s">
        <v>3383</v>
      </c>
      <c r="Q585" s="15" t="s">
        <v>3818</v>
      </c>
      <c r="R585" s="133" t="str">
        <f>MEMBERS[[#This Row],[FirstName]]&amp;" "&amp;MEMBERS[[#This Row],[LastName]]</f>
        <v>Nitu Marathe</v>
      </c>
      <c r="S585" s="21">
        <v>44984</v>
      </c>
      <c r="U585" s="21">
        <v>28540</v>
      </c>
      <c r="V585" t="b">
        <v>0</v>
      </c>
      <c r="W585" t="b">
        <v>0</v>
      </c>
      <c r="X585" t="b">
        <v>0</v>
      </c>
      <c r="Y585" t="s">
        <v>2082</v>
      </c>
      <c r="Z585" t="b">
        <v>1</v>
      </c>
      <c r="AB585" t="s">
        <v>1571</v>
      </c>
      <c r="AC585" t="b">
        <v>1</v>
      </c>
    </row>
    <row r="586" spans="1:29" x14ac:dyDescent="0.3">
      <c r="A586" s="57" t="str">
        <f>MEMBERS[[#This Row],[Title]]&amp;MEMBERS[[#This Row],[ServiceStartDate]]</f>
        <v>Oliver Dixon45901</v>
      </c>
      <c r="B586" s="57">
        <f>IF(COUNTIF(MEMBERS[NameServiceStart],MEMBERS[[#This Row],[NameServiceStart]])=1,0,1)</f>
        <v>0</v>
      </c>
      <c r="C586" s="57">
        <f>IF(COUNTIF(MEMBERS[StaffMemberCode],MEMBERS[[#This Row],[StaffMemberCode]])=1,0,1)</f>
        <v>0</v>
      </c>
      <c r="D586" s="57">
        <f>IF(ISBLANK(MEMBERS[[#This Row],[PayrollLocation]]),0,IF(COUNTIF(SCHOOLS[SchoolCode],MEMBERS[[#This Row],[PayrollLocation]])=1,0,1))</f>
        <v>0</v>
      </c>
      <c r="E586" s="57">
        <f>IF(MEMBERS[[#This Row],[AvailableToAllSchools]]=FALSE,IF(ISBLANK(MEMBERS[[#This Row],[SchoolCodes]]),1,0),IF(MEMBERS[[#This Row],[AvailableToAllSchools]]=TRUE,IF(ISBLANK(MEMBERS[[#This Row],[SchoolCodes]]),0,1)))</f>
        <v>0</v>
      </c>
      <c r="F586" s="57">
        <f>IF(ISBLANK(MEMBERS[[#This Row],[ServiceEndDate]]),0,IF(MEMBERS[[#This Row],[ServiceStartDate]]&lt;MEMBERS[[#This Row],[ServiceEndDate]],0,1))</f>
        <v>0</v>
      </c>
      <c r="G586" s="57" cm="1">
        <f t="array" aca="1" ref="G586" ca="1">IF(CELL("format",MEMBERS[[#This Row],[ServiceStartDate]])="D1",0,1)+IF(CELL("format",MEMBERS[[#This Row],[ServiceEndDate]])="D1",0,1)</f>
        <v>0</v>
      </c>
      <c r="H58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86" s="57">
        <f>IF(LEN(MEMBERS[[#This Row],[StaffMemberCode]])&lt;100,0,1)</f>
        <v>0</v>
      </c>
      <c r="J586" s="57">
        <f>IF(LEN(MEMBERS[[#This Row],[Title]])&lt;100,0,1)</f>
        <v>0</v>
      </c>
      <c r="K586" s="57">
        <f>COUNTBLANK(MEMBERS[[#This Row],[StaffMemberCode]:[ServiceStartDate]])+COUNTBLANK(MEMBERS[[#This Row],[Apprenticeship]]:MEMBERS[[#This Row],[StaffMemberEnabled]])+COUNTBLANK(MEMBERS[[#This Row],[GenderCode]]:MEMBERS[[#This Row],[Casual]])</f>
        <v>0</v>
      </c>
      <c r="L586" s="57">
        <f>IF(SUBSTITUTE(TEXT(MEMBERS[[#This Row],[StaffMemberCode]],10)," ","")=TEXT(MEMBERS[[#This Row],[StaffMemberCode]],10),0,1)</f>
        <v>0</v>
      </c>
      <c r="M586" s="57">
        <f ca="1">SUM(MEMBERS[[#This Row],[Duplicate NameService Start]:[Space in Code]])</f>
        <v>0</v>
      </c>
      <c r="O586" s="15">
        <v>10016228</v>
      </c>
      <c r="P586" s="15" t="s">
        <v>3998</v>
      </c>
      <c r="Q586" s="15" t="s">
        <v>4111</v>
      </c>
      <c r="R586" s="133" t="str">
        <f>MEMBERS[[#This Row],[FirstName]]&amp;" "&amp;MEMBERS[[#This Row],[LastName]]</f>
        <v>Oliver Dixon</v>
      </c>
      <c r="S586" s="21">
        <v>45901</v>
      </c>
      <c r="U586" s="21">
        <v>37242</v>
      </c>
      <c r="V586" s="138" t="b">
        <v>0</v>
      </c>
      <c r="W586" t="b">
        <v>0</v>
      </c>
      <c r="X586" t="b">
        <v>0</v>
      </c>
      <c r="Y586" t="s">
        <v>2126</v>
      </c>
      <c r="Z586" t="b">
        <v>1</v>
      </c>
      <c r="AB586" t="s">
        <v>1572</v>
      </c>
      <c r="AC586" t="b">
        <v>0</v>
      </c>
    </row>
    <row r="587" spans="1:29" x14ac:dyDescent="0.3">
      <c r="A587" s="57" t="str">
        <f>MEMBERS[[#This Row],[Title]]&amp;MEMBERS[[#This Row],[ServiceStartDate]]</f>
        <v>Oliver Lean45859</v>
      </c>
      <c r="B587" s="57">
        <f>IF(COUNTIF(MEMBERS[NameServiceStart],MEMBERS[[#This Row],[NameServiceStart]])=1,0,1)</f>
        <v>0</v>
      </c>
      <c r="C587" s="57">
        <f>IF(COUNTIF(MEMBERS[StaffMemberCode],MEMBERS[[#This Row],[StaffMemberCode]])=1,0,1)</f>
        <v>0</v>
      </c>
      <c r="D587" s="57">
        <f>IF(ISBLANK(MEMBERS[[#This Row],[PayrollLocation]]),0,IF(COUNTIF(SCHOOLS[SchoolCode],MEMBERS[[#This Row],[PayrollLocation]])=1,0,1))</f>
        <v>0</v>
      </c>
      <c r="E587" s="57">
        <f>IF(MEMBERS[[#This Row],[AvailableToAllSchools]]=FALSE,IF(ISBLANK(MEMBERS[[#This Row],[SchoolCodes]]),1,0),IF(MEMBERS[[#This Row],[AvailableToAllSchools]]=TRUE,IF(ISBLANK(MEMBERS[[#This Row],[SchoolCodes]]),0,1)))</f>
        <v>0</v>
      </c>
      <c r="F587" s="57">
        <f>IF(ISBLANK(MEMBERS[[#This Row],[ServiceEndDate]]),0,IF(MEMBERS[[#This Row],[ServiceStartDate]]&lt;MEMBERS[[#This Row],[ServiceEndDate]],0,1))</f>
        <v>0</v>
      </c>
      <c r="G587" s="57" cm="1">
        <f t="array" aca="1" ref="G587" ca="1">IF(CELL("format",MEMBERS[[#This Row],[ServiceStartDate]])="D1",0,1)+IF(CELL("format",MEMBERS[[#This Row],[ServiceEndDate]])="D1",0,1)</f>
        <v>0</v>
      </c>
      <c r="H58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87" s="57">
        <f>IF(LEN(MEMBERS[[#This Row],[StaffMemberCode]])&lt;100,0,1)</f>
        <v>0</v>
      </c>
      <c r="J587" s="57">
        <f>IF(LEN(MEMBERS[[#This Row],[Title]])&lt;100,0,1)</f>
        <v>0</v>
      </c>
      <c r="K587" s="57">
        <f>COUNTBLANK(MEMBERS[[#This Row],[StaffMemberCode]:[ServiceStartDate]])+COUNTBLANK(MEMBERS[[#This Row],[Apprenticeship]]:MEMBERS[[#This Row],[StaffMemberEnabled]])+COUNTBLANK(MEMBERS[[#This Row],[GenderCode]]:MEMBERS[[#This Row],[Casual]])</f>
        <v>0</v>
      </c>
      <c r="L587" s="57">
        <f>IF(SUBSTITUTE(TEXT(MEMBERS[[#This Row],[StaffMemberCode]],10)," ","")=TEXT(MEMBERS[[#This Row],[StaffMemberCode]],10),0,1)</f>
        <v>0</v>
      </c>
      <c r="M587" s="57">
        <f ca="1">SUM(MEMBERS[[#This Row],[Duplicate NameService Start]:[Space in Code]])</f>
        <v>0</v>
      </c>
      <c r="O587" s="15">
        <v>10016186</v>
      </c>
      <c r="P587" s="15" t="s">
        <v>3998</v>
      </c>
      <c r="Q587" s="15" t="s">
        <v>3531</v>
      </c>
      <c r="R587" s="133" t="str">
        <f>MEMBERS[[#This Row],[FirstName]]&amp;" "&amp;MEMBERS[[#This Row],[LastName]]</f>
        <v>Oliver Lean</v>
      </c>
      <c r="S587" s="21">
        <v>45859</v>
      </c>
      <c r="U587" s="21">
        <v>39948</v>
      </c>
      <c r="V587" s="138" t="b">
        <v>0</v>
      </c>
      <c r="W587" t="b">
        <v>0</v>
      </c>
      <c r="X587" t="b">
        <v>0</v>
      </c>
      <c r="Y587" t="s">
        <v>2126</v>
      </c>
      <c r="Z587" t="b">
        <v>1</v>
      </c>
      <c r="AB587" t="s">
        <v>1572</v>
      </c>
      <c r="AC587" t="b">
        <v>1</v>
      </c>
    </row>
    <row r="588" spans="1:29" x14ac:dyDescent="0.3">
      <c r="A588" s="57" t="str">
        <f>MEMBERS[[#This Row],[Title]]&amp;MEMBERS[[#This Row],[ServiceStartDate]]</f>
        <v>Olivia Fealey45901</v>
      </c>
      <c r="B588" s="57">
        <f>IF(COUNTIF(MEMBERS[NameServiceStart],MEMBERS[[#This Row],[NameServiceStart]])=1,0,1)</f>
        <v>0</v>
      </c>
      <c r="C588" s="57">
        <f>IF(COUNTIF(MEMBERS[StaffMemberCode],MEMBERS[[#This Row],[StaffMemberCode]])=1,0,1)</f>
        <v>0</v>
      </c>
      <c r="D588" s="57">
        <f>IF(ISBLANK(MEMBERS[[#This Row],[PayrollLocation]]),0,IF(COUNTIF(SCHOOLS[SchoolCode],MEMBERS[[#This Row],[PayrollLocation]])=1,0,1))</f>
        <v>0</v>
      </c>
      <c r="E588" s="57">
        <f>IF(MEMBERS[[#This Row],[AvailableToAllSchools]]=FALSE,IF(ISBLANK(MEMBERS[[#This Row],[SchoolCodes]]),1,0),IF(MEMBERS[[#This Row],[AvailableToAllSchools]]=TRUE,IF(ISBLANK(MEMBERS[[#This Row],[SchoolCodes]]),0,1)))</f>
        <v>0</v>
      </c>
      <c r="F588" s="57">
        <f>IF(ISBLANK(MEMBERS[[#This Row],[ServiceEndDate]]),0,IF(MEMBERS[[#This Row],[ServiceStartDate]]&lt;MEMBERS[[#This Row],[ServiceEndDate]],0,1))</f>
        <v>0</v>
      </c>
      <c r="G588" s="57" cm="1">
        <f t="array" aca="1" ref="G588" ca="1">IF(CELL("format",MEMBERS[[#This Row],[ServiceStartDate]])="D1",0,1)+IF(CELL("format",MEMBERS[[#This Row],[ServiceEndDate]])="D1",0,1)</f>
        <v>0</v>
      </c>
      <c r="H58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88" s="57">
        <f>IF(LEN(MEMBERS[[#This Row],[StaffMemberCode]])&lt;100,0,1)</f>
        <v>0</v>
      </c>
      <c r="J588" s="57">
        <f>IF(LEN(MEMBERS[[#This Row],[Title]])&lt;100,0,1)</f>
        <v>0</v>
      </c>
      <c r="K588" s="57">
        <f>COUNTBLANK(MEMBERS[[#This Row],[StaffMemberCode]:[ServiceStartDate]])+COUNTBLANK(MEMBERS[[#This Row],[Apprenticeship]]:MEMBERS[[#This Row],[StaffMemberEnabled]])+COUNTBLANK(MEMBERS[[#This Row],[GenderCode]]:MEMBERS[[#This Row],[Casual]])</f>
        <v>0</v>
      </c>
      <c r="L588" s="57">
        <f>IF(SUBSTITUTE(TEXT(MEMBERS[[#This Row],[StaffMemberCode]],10)," ","")=TEXT(MEMBERS[[#This Row],[StaffMemberCode]],10),0,1)</f>
        <v>0</v>
      </c>
      <c r="M588" s="57">
        <f ca="1">SUM(MEMBERS[[#This Row],[Duplicate NameService Start]:[Space in Code]])</f>
        <v>0</v>
      </c>
      <c r="O588" s="15">
        <v>91850055</v>
      </c>
      <c r="P588" s="15" t="s">
        <v>3384</v>
      </c>
      <c r="Q588" s="15" t="s">
        <v>3819</v>
      </c>
      <c r="R588" s="133" t="str">
        <f>MEMBERS[[#This Row],[FirstName]]&amp;" "&amp;MEMBERS[[#This Row],[LastName]]</f>
        <v>Olivia Fealey</v>
      </c>
      <c r="S588" s="21">
        <v>45901</v>
      </c>
      <c r="U588" s="21">
        <v>36354</v>
      </c>
      <c r="V588" t="b">
        <v>0</v>
      </c>
      <c r="W588" t="b">
        <v>0</v>
      </c>
      <c r="X588" t="b">
        <v>0</v>
      </c>
      <c r="Y588" t="s">
        <v>2094</v>
      </c>
      <c r="Z588" t="b">
        <v>1</v>
      </c>
      <c r="AB588" t="s">
        <v>1571</v>
      </c>
      <c r="AC588" t="b">
        <v>0</v>
      </c>
    </row>
    <row r="589" spans="1:29" x14ac:dyDescent="0.3">
      <c r="A589" s="57" t="str">
        <f>MEMBERS[[#This Row],[Title]]&amp;MEMBERS[[#This Row],[ServiceStartDate]]</f>
        <v>Olivia Fowler45425</v>
      </c>
      <c r="B589" s="57">
        <f>IF(COUNTIF(MEMBERS[NameServiceStart],MEMBERS[[#This Row],[NameServiceStart]])=1,0,1)</f>
        <v>0</v>
      </c>
      <c r="C589" s="57">
        <f>IF(COUNTIF(MEMBERS[StaffMemberCode],MEMBERS[[#This Row],[StaffMemberCode]])=1,0,1)</f>
        <v>0</v>
      </c>
      <c r="D589" s="57">
        <f>IF(ISBLANK(MEMBERS[[#This Row],[PayrollLocation]]),0,IF(COUNTIF(SCHOOLS[SchoolCode],MEMBERS[[#This Row],[PayrollLocation]])=1,0,1))</f>
        <v>0</v>
      </c>
      <c r="E589" s="57">
        <f>IF(MEMBERS[[#This Row],[AvailableToAllSchools]]=FALSE,IF(ISBLANK(MEMBERS[[#This Row],[SchoolCodes]]),1,0),IF(MEMBERS[[#This Row],[AvailableToAllSchools]]=TRUE,IF(ISBLANK(MEMBERS[[#This Row],[SchoolCodes]]),0,1)))</f>
        <v>0</v>
      </c>
      <c r="F589" s="57">
        <f>IF(ISBLANK(MEMBERS[[#This Row],[ServiceEndDate]]),0,IF(MEMBERS[[#This Row],[ServiceStartDate]]&lt;MEMBERS[[#This Row],[ServiceEndDate]],0,1))</f>
        <v>0</v>
      </c>
      <c r="G589" s="57" cm="1">
        <f t="array" aca="1" ref="G589" ca="1">IF(CELL("format",MEMBERS[[#This Row],[ServiceStartDate]])="D1",0,1)+IF(CELL("format",MEMBERS[[#This Row],[ServiceEndDate]])="D1",0,1)</f>
        <v>0</v>
      </c>
      <c r="H58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89" s="57">
        <f>IF(LEN(MEMBERS[[#This Row],[StaffMemberCode]])&lt;100,0,1)</f>
        <v>0</v>
      </c>
      <c r="J589" s="57">
        <f>IF(LEN(MEMBERS[[#This Row],[Title]])&lt;100,0,1)</f>
        <v>0</v>
      </c>
      <c r="K589" s="57">
        <f>COUNTBLANK(MEMBERS[[#This Row],[StaffMemberCode]:[ServiceStartDate]])+COUNTBLANK(MEMBERS[[#This Row],[Apprenticeship]]:MEMBERS[[#This Row],[StaffMemberEnabled]])+COUNTBLANK(MEMBERS[[#This Row],[GenderCode]]:MEMBERS[[#This Row],[Casual]])</f>
        <v>0</v>
      </c>
      <c r="L589" s="57">
        <f>IF(SUBSTITUTE(TEXT(MEMBERS[[#This Row],[StaffMemberCode]],10)," ","")=TEXT(MEMBERS[[#This Row],[StaffMemberCode]],10),0,1)</f>
        <v>0</v>
      </c>
      <c r="M589" s="57">
        <f ca="1">SUM(MEMBERS[[#This Row],[Duplicate NameService Start]:[Space in Code]])</f>
        <v>0</v>
      </c>
      <c r="O589" s="15">
        <v>91073873</v>
      </c>
      <c r="P589" s="15" t="s">
        <v>3384</v>
      </c>
      <c r="Q589" s="15" t="s">
        <v>3575</v>
      </c>
      <c r="R589" s="133" t="str">
        <f>MEMBERS[[#This Row],[FirstName]]&amp;" "&amp;MEMBERS[[#This Row],[LastName]]</f>
        <v>Olivia Fowler</v>
      </c>
      <c r="S589" s="21">
        <v>45425</v>
      </c>
      <c r="U589" s="21">
        <v>38167</v>
      </c>
      <c r="V589" t="b">
        <v>0</v>
      </c>
      <c r="W589" t="b">
        <v>0</v>
      </c>
      <c r="X589" t="b">
        <v>0</v>
      </c>
      <c r="Y589" t="s">
        <v>2082</v>
      </c>
      <c r="Z589" t="b">
        <v>1</v>
      </c>
      <c r="AB589" t="s">
        <v>1571</v>
      </c>
      <c r="AC589" t="b">
        <v>1</v>
      </c>
    </row>
    <row r="590" spans="1:29" x14ac:dyDescent="0.3">
      <c r="A590" s="57" t="str">
        <f>MEMBERS[[#This Row],[Title]]&amp;MEMBERS[[#This Row],[ServiceStartDate]]</f>
        <v>Owen Barley42013</v>
      </c>
      <c r="B590" s="57">
        <f>IF(COUNTIF(MEMBERS[NameServiceStart],MEMBERS[[#This Row],[NameServiceStart]])=1,0,1)</f>
        <v>0</v>
      </c>
      <c r="C590" s="57">
        <f>IF(COUNTIF(MEMBERS[StaffMemberCode],MEMBERS[[#This Row],[StaffMemberCode]])=1,0,1)</f>
        <v>0</v>
      </c>
      <c r="D590" s="57">
        <f>IF(ISBLANK(MEMBERS[[#This Row],[PayrollLocation]]),0,IF(COUNTIF(SCHOOLS[SchoolCode],MEMBERS[[#This Row],[PayrollLocation]])=1,0,1))</f>
        <v>0</v>
      </c>
      <c r="E590" s="57">
        <f>IF(MEMBERS[[#This Row],[AvailableToAllSchools]]=FALSE,IF(ISBLANK(MEMBERS[[#This Row],[SchoolCodes]]),1,0),IF(MEMBERS[[#This Row],[AvailableToAllSchools]]=TRUE,IF(ISBLANK(MEMBERS[[#This Row],[SchoolCodes]]),0,1)))</f>
        <v>0</v>
      </c>
      <c r="F590" s="57">
        <f>IF(ISBLANK(MEMBERS[[#This Row],[ServiceEndDate]]),0,IF(MEMBERS[[#This Row],[ServiceStartDate]]&lt;MEMBERS[[#This Row],[ServiceEndDate]],0,1))</f>
        <v>0</v>
      </c>
      <c r="G590" s="57" cm="1">
        <f t="array" aca="1" ref="G590" ca="1">IF(CELL("format",MEMBERS[[#This Row],[ServiceStartDate]])="D1",0,1)+IF(CELL("format",MEMBERS[[#This Row],[ServiceEndDate]])="D1",0,1)</f>
        <v>0</v>
      </c>
      <c r="H59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90" s="57">
        <f>IF(LEN(MEMBERS[[#This Row],[StaffMemberCode]])&lt;100,0,1)</f>
        <v>0</v>
      </c>
      <c r="J590" s="57">
        <f>IF(LEN(MEMBERS[[#This Row],[Title]])&lt;100,0,1)</f>
        <v>0</v>
      </c>
      <c r="K590" s="57">
        <f>COUNTBLANK(MEMBERS[[#This Row],[StaffMemberCode]:[ServiceStartDate]])+COUNTBLANK(MEMBERS[[#This Row],[Apprenticeship]]:MEMBERS[[#This Row],[StaffMemberEnabled]])+COUNTBLANK(MEMBERS[[#This Row],[GenderCode]]:MEMBERS[[#This Row],[Casual]])</f>
        <v>0</v>
      </c>
      <c r="L590" s="57">
        <f>IF(SUBSTITUTE(TEXT(MEMBERS[[#This Row],[StaffMemberCode]],10)," ","")=TEXT(MEMBERS[[#This Row],[StaffMemberCode]],10),0,1)</f>
        <v>0</v>
      </c>
      <c r="M590" s="57">
        <f ca="1">SUM(MEMBERS[[#This Row],[Duplicate NameService Start]:[Space in Code]])</f>
        <v>0</v>
      </c>
      <c r="O590" s="15">
        <v>91073718</v>
      </c>
      <c r="P590" s="15" t="s">
        <v>3385</v>
      </c>
      <c r="Q590" s="15" t="s">
        <v>3820</v>
      </c>
      <c r="R590" s="133" t="str">
        <f>MEMBERS[[#This Row],[FirstName]]&amp;" "&amp;MEMBERS[[#This Row],[LastName]]</f>
        <v>Owen Barley</v>
      </c>
      <c r="S590" s="21">
        <v>42013</v>
      </c>
      <c r="U590" s="21">
        <v>28008</v>
      </c>
      <c r="V590" t="b">
        <v>0</v>
      </c>
      <c r="W590" t="b">
        <v>0</v>
      </c>
      <c r="X590" t="b">
        <v>0</v>
      </c>
      <c r="Y590" t="s">
        <v>2082</v>
      </c>
      <c r="Z590" t="b">
        <v>1</v>
      </c>
      <c r="AB590" t="s">
        <v>1572</v>
      </c>
      <c r="AC590" t="b">
        <v>0</v>
      </c>
    </row>
    <row r="591" spans="1:29" x14ac:dyDescent="0.3">
      <c r="A591" s="57" t="str">
        <f>MEMBERS[[#This Row],[Title]]&amp;MEMBERS[[#This Row],[ServiceStartDate]]</f>
        <v>Owen Prawl45320</v>
      </c>
      <c r="B591" s="57">
        <f>IF(COUNTIF(MEMBERS[NameServiceStart],MEMBERS[[#This Row],[NameServiceStart]])=1,0,1)</f>
        <v>0</v>
      </c>
      <c r="C591" s="57">
        <f>IF(COUNTIF(MEMBERS[StaffMemberCode],MEMBERS[[#This Row],[StaffMemberCode]])=1,0,1)</f>
        <v>0</v>
      </c>
      <c r="D591" s="57">
        <f>IF(ISBLANK(MEMBERS[[#This Row],[PayrollLocation]]),0,IF(COUNTIF(SCHOOLS[SchoolCode],MEMBERS[[#This Row],[PayrollLocation]])=1,0,1))</f>
        <v>0</v>
      </c>
      <c r="E591" s="57">
        <f>IF(MEMBERS[[#This Row],[AvailableToAllSchools]]=FALSE,IF(ISBLANK(MEMBERS[[#This Row],[SchoolCodes]]),1,0),IF(MEMBERS[[#This Row],[AvailableToAllSchools]]=TRUE,IF(ISBLANK(MEMBERS[[#This Row],[SchoolCodes]]),0,1)))</f>
        <v>0</v>
      </c>
      <c r="F591" s="57">
        <f>IF(ISBLANK(MEMBERS[[#This Row],[ServiceEndDate]]),0,IF(MEMBERS[[#This Row],[ServiceStartDate]]&lt;MEMBERS[[#This Row],[ServiceEndDate]],0,1))</f>
        <v>0</v>
      </c>
      <c r="G591" s="57" cm="1">
        <f t="array" aca="1" ref="G591" ca="1">IF(CELL("format",MEMBERS[[#This Row],[ServiceStartDate]])="D1",0,1)+IF(CELL("format",MEMBERS[[#This Row],[ServiceEndDate]])="D1",0,1)</f>
        <v>0</v>
      </c>
      <c r="H59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91" s="57">
        <f>IF(LEN(MEMBERS[[#This Row],[StaffMemberCode]])&lt;100,0,1)</f>
        <v>0</v>
      </c>
      <c r="J591" s="57">
        <f>IF(LEN(MEMBERS[[#This Row],[Title]])&lt;100,0,1)</f>
        <v>0</v>
      </c>
      <c r="K591" s="57">
        <f>COUNTBLANK(MEMBERS[[#This Row],[StaffMemberCode]:[ServiceStartDate]])+COUNTBLANK(MEMBERS[[#This Row],[Apprenticeship]]:MEMBERS[[#This Row],[StaffMemberEnabled]])+COUNTBLANK(MEMBERS[[#This Row],[GenderCode]]:MEMBERS[[#This Row],[Casual]])</f>
        <v>0</v>
      </c>
      <c r="L591" s="57">
        <f>IF(SUBSTITUTE(TEXT(MEMBERS[[#This Row],[StaffMemberCode]],10)," ","")=TEXT(MEMBERS[[#This Row],[StaffMemberCode]],10),0,1)</f>
        <v>0</v>
      </c>
      <c r="M591" s="57">
        <f ca="1">SUM(MEMBERS[[#This Row],[Duplicate NameService Start]:[Space in Code]])</f>
        <v>0</v>
      </c>
      <c r="O591" s="15">
        <v>91073634</v>
      </c>
      <c r="P591" s="15" t="s">
        <v>3385</v>
      </c>
      <c r="Q591" s="15" t="s">
        <v>3821</v>
      </c>
      <c r="R591" s="133" t="str">
        <f>MEMBERS[[#This Row],[FirstName]]&amp;" "&amp;MEMBERS[[#This Row],[LastName]]</f>
        <v>Owen Prawl</v>
      </c>
      <c r="S591" s="21">
        <v>45320</v>
      </c>
      <c r="U591" s="21">
        <v>36304</v>
      </c>
      <c r="V591" t="b">
        <v>0</v>
      </c>
      <c r="W591" t="b">
        <v>0</v>
      </c>
      <c r="X591" t="b">
        <v>0</v>
      </c>
      <c r="Y591" t="s">
        <v>51</v>
      </c>
      <c r="Z591" t="b">
        <v>1</v>
      </c>
      <c r="AB591" t="s">
        <v>1572</v>
      </c>
      <c r="AC591" t="b">
        <v>0</v>
      </c>
    </row>
    <row r="592" spans="1:29" x14ac:dyDescent="0.3">
      <c r="A592" s="57" t="str">
        <f>MEMBERS[[#This Row],[Title]]&amp;MEMBERS[[#This Row],[ServiceStartDate]]</f>
        <v>Paige Lockley45747</v>
      </c>
      <c r="B592" s="57">
        <f>IF(COUNTIF(MEMBERS[NameServiceStart],MEMBERS[[#This Row],[NameServiceStart]])=1,0,1)</f>
        <v>0</v>
      </c>
      <c r="C592" s="57">
        <f>IF(COUNTIF(MEMBERS[StaffMemberCode],MEMBERS[[#This Row],[StaffMemberCode]])=1,0,1)</f>
        <v>0</v>
      </c>
      <c r="D592" s="57">
        <f>IF(ISBLANK(MEMBERS[[#This Row],[PayrollLocation]]),0,IF(COUNTIF(SCHOOLS[SchoolCode],MEMBERS[[#This Row],[PayrollLocation]])=1,0,1))</f>
        <v>0</v>
      </c>
      <c r="E592" s="57">
        <f>IF(MEMBERS[[#This Row],[AvailableToAllSchools]]=FALSE,IF(ISBLANK(MEMBERS[[#This Row],[SchoolCodes]]),1,0),IF(MEMBERS[[#This Row],[AvailableToAllSchools]]=TRUE,IF(ISBLANK(MEMBERS[[#This Row],[SchoolCodes]]),0,1)))</f>
        <v>0</v>
      </c>
      <c r="F592" s="57">
        <f>IF(ISBLANK(MEMBERS[[#This Row],[ServiceEndDate]]),0,IF(MEMBERS[[#This Row],[ServiceStartDate]]&lt;MEMBERS[[#This Row],[ServiceEndDate]],0,1))</f>
        <v>0</v>
      </c>
      <c r="G592" s="57" cm="1">
        <f t="array" aca="1" ref="G592" ca="1">IF(CELL("format",MEMBERS[[#This Row],[ServiceStartDate]])="D1",0,1)+IF(CELL("format",MEMBERS[[#This Row],[ServiceEndDate]])="D1",0,1)</f>
        <v>0</v>
      </c>
      <c r="H59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92" s="57">
        <f>IF(LEN(MEMBERS[[#This Row],[StaffMemberCode]])&lt;100,0,1)</f>
        <v>0</v>
      </c>
      <c r="J592" s="57">
        <f>IF(LEN(MEMBERS[[#This Row],[Title]])&lt;100,0,1)</f>
        <v>0</v>
      </c>
      <c r="K592" s="57">
        <f>COUNTBLANK(MEMBERS[[#This Row],[StaffMemberCode]:[ServiceStartDate]])+COUNTBLANK(MEMBERS[[#This Row],[Apprenticeship]]:MEMBERS[[#This Row],[StaffMemberEnabled]])+COUNTBLANK(MEMBERS[[#This Row],[GenderCode]]:MEMBERS[[#This Row],[Casual]])</f>
        <v>0</v>
      </c>
      <c r="L592" s="57">
        <f>IF(SUBSTITUTE(TEXT(MEMBERS[[#This Row],[StaffMemberCode]],10)," ","")=TEXT(MEMBERS[[#This Row],[StaffMemberCode]],10),0,1)</f>
        <v>0</v>
      </c>
      <c r="M592" s="57">
        <f ca="1">SUM(MEMBERS[[#This Row],[Duplicate NameService Start]:[Space in Code]])</f>
        <v>0</v>
      </c>
      <c r="O592" s="15">
        <v>91850006</v>
      </c>
      <c r="P592" s="15" t="s">
        <v>3386</v>
      </c>
      <c r="Q592" s="15" t="s">
        <v>3822</v>
      </c>
      <c r="R592" s="133" t="str">
        <f>MEMBERS[[#This Row],[FirstName]]&amp;" "&amp;MEMBERS[[#This Row],[LastName]]</f>
        <v>Paige Lockley</v>
      </c>
      <c r="S592" s="21">
        <v>45747</v>
      </c>
      <c r="U592" s="21">
        <v>36207</v>
      </c>
      <c r="V592" t="b">
        <v>0</v>
      </c>
      <c r="W592" t="b">
        <v>0</v>
      </c>
      <c r="X592" t="b">
        <v>0</v>
      </c>
      <c r="Y592" t="s">
        <v>2082</v>
      </c>
      <c r="Z592" t="b">
        <v>1</v>
      </c>
      <c r="AB592" t="s">
        <v>1571</v>
      </c>
      <c r="AC592" t="b">
        <v>0</v>
      </c>
    </row>
    <row r="593" spans="1:29" x14ac:dyDescent="0.3">
      <c r="A593" s="57" t="str">
        <f>MEMBERS[[#This Row],[Title]]&amp;MEMBERS[[#This Row],[ServiceStartDate]]</f>
        <v>Pamela Cleary43344</v>
      </c>
      <c r="B593" s="57">
        <f>IF(COUNTIF(MEMBERS[NameServiceStart],MEMBERS[[#This Row],[NameServiceStart]])=1,0,1)</f>
        <v>0</v>
      </c>
      <c r="C593" s="57">
        <f>IF(COUNTIF(MEMBERS[StaffMemberCode],MEMBERS[[#This Row],[StaffMemberCode]])=1,0,1)</f>
        <v>0</v>
      </c>
      <c r="D593" s="57">
        <f>IF(ISBLANK(MEMBERS[[#This Row],[PayrollLocation]]),0,IF(COUNTIF(SCHOOLS[SchoolCode],MEMBERS[[#This Row],[PayrollLocation]])=1,0,1))</f>
        <v>0</v>
      </c>
      <c r="E593" s="57">
        <f>IF(MEMBERS[[#This Row],[AvailableToAllSchools]]=FALSE,IF(ISBLANK(MEMBERS[[#This Row],[SchoolCodes]]),1,0),IF(MEMBERS[[#This Row],[AvailableToAllSchools]]=TRUE,IF(ISBLANK(MEMBERS[[#This Row],[SchoolCodes]]),0,1)))</f>
        <v>0</v>
      </c>
      <c r="F593" s="57">
        <f>IF(ISBLANK(MEMBERS[[#This Row],[ServiceEndDate]]),0,IF(MEMBERS[[#This Row],[ServiceStartDate]]&lt;MEMBERS[[#This Row],[ServiceEndDate]],0,1))</f>
        <v>0</v>
      </c>
      <c r="G593" s="57" cm="1">
        <f t="array" aca="1" ref="G593" ca="1">IF(CELL("format",MEMBERS[[#This Row],[ServiceStartDate]])="D1",0,1)+IF(CELL("format",MEMBERS[[#This Row],[ServiceEndDate]])="D1",0,1)</f>
        <v>0</v>
      </c>
      <c r="H59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93" s="57">
        <f>IF(LEN(MEMBERS[[#This Row],[StaffMemberCode]])&lt;100,0,1)</f>
        <v>0</v>
      </c>
      <c r="J593" s="57">
        <f>IF(LEN(MEMBERS[[#This Row],[Title]])&lt;100,0,1)</f>
        <v>0</v>
      </c>
      <c r="K593" s="57">
        <f>COUNTBLANK(MEMBERS[[#This Row],[StaffMemberCode]:[ServiceStartDate]])+COUNTBLANK(MEMBERS[[#This Row],[Apprenticeship]]:MEMBERS[[#This Row],[StaffMemberEnabled]])+COUNTBLANK(MEMBERS[[#This Row],[GenderCode]]:MEMBERS[[#This Row],[Casual]])</f>
        <v>0</v>
      </c>
      <c r="L593" s="57">
        <f>IF(SUBSTITUTE(TEXT(MEMBERS[[#This Row],[StaffMemberCode]],10)," ","")=TEXT(MEMBERS[[#This Row],[StaffMemberCode]],10),0,1)</f>
        <v>0</v>
      </c>
      <c r="M593" s="57">
        <f ca="1">SUM(MEMBERS[[#This Row],[Duplicate NameService Start]:[Space in Code]])</f>
        <v>0</v>
      </c>
      <c r="O593" s="15">
        <v>10006093</v>
      </c>
      <c r="P593" s="15" t="s">
        <v>3387</v>
      </c>
      <c r="Q593" s="15" t="s">
        <v>4110</v>
      </c>
      <c r="R593" s="133" t="str">
        <f>MEMBERS[[#This Row],[FirstName]]&amp;" "&amp;MEMBERS[[#This Row],[LastName]]</f>
        <v>Pamela Cleary</v>
      </c>
      <c r="S593" s="21">
        <v>43344</v>
      </c>
      <c r="U593" s="21">
        <v>29407</v>
      </c>
      <c r="V593" s="138" t="b">
        <v>0</v>
      </c>
      <c r="W593" t="b">
        <v>0</v>
      </c>
      <c r="X593" t="b">
        <v>0</v>
      </c>
      <c r="Y593" t="s">
        <v>2126</v>
      </c>
      <c r="Z593" t="b">
        <v>1</v>
      </c>
      <c r="AB593" t="s">
        <v>1571</v>
      </c>
      <c r="AC593" t="b">
        <v>0</v>
      </c>
    </row>
    <row r="594" spans="1:29" x14ac:dyDescent="0.3">
      <c r="A594" s="57" t="str">
        <f>MEMBERS[[#This Row],[Title]]&amp;MEMBERS[[#This Row],[ServiceStartDate]]</f>
        <v>Pamela Gray45191</v>
      </c>
      <c r="B594" s="57">
        <f>IF(COUNTIF(MEMBERS[NameServiceStart],MEMBERS[[#This Row],[NameServiceStart]])=1,0,1)</f>
        <v>0</v>
      </c>
      <c r="C594" s="57">
        <f>IF(COUNTIF(MEMBERS[StaffMemberCode],MEMBERS[[#This Row],[StaffMemberCode]])=1,0,1)</f>
        <v>0</v>
      </c>
      <c r="D594" s="57">
        <f>IF(ISBLANK(MEMBERS[[#This Row],[PayrollLocation]]),0,IF(COUNTIF(SCHOOLS[SchoolCode],MEMBERS[[#This Row],[PayrollLocation]])=1,0,1))</f>
        <v>0</v>
      </c>
      <c r="E594" s="57">
        <f>IF(MEMBERS[[#This Row],[AvailableToAllSchools]]=FALSE,IF(ISBLANK(MEMBERS[[#This Row],[SchoolCodes]]),1,0),IF(MEMBERS[[#This Row],[AvailableToAllSchools]]=TRUE,IF(ISBLANK(MEMBERS[[#This Row],[SchoolCodes]]),0,1)))</f>
        <v>0</v>
      </c>
      <c r="F594" s="57">
        <f>IF(ISBLANK(MEMBERS[[#This Row],[ServiceEndDate]]),0,IF(MEMBERS[[#This Row],[ServiceStartDate]]&lt;MEMBERS[[#This Row],[ServiceEndDate]],0,1))</f>
        <v>0</v>
      </c>
      <c r="G594" s="57" cm="1">
        <f t="array" aca="1" ref="G594" ca="1">IF(CELL("format",MEMBERS[[#This Row],[ServiceStartDate]])="D1",0,1)+IF(CELL("format",MEMBERS[[#This Row],[ServiceEndDate]])="D1",0,1)</f>
        <v>0</v>
      </c>
      <c r="H59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94" s="57">
        <f>IF(LEN(MEMBERS[[#This Row],[StaffMemberCode]])&lt;100,0,1)</f>
        <v>0</v>
      </c>
      <c r="J594" s="57">
        <f>IF(LEN(MEMBERS[[#This Row],[Title]])&lt;100,0,1)</f>
        <v>0</v>
      </c>
      <c r="K594" s="57">
        <f>COUNTBLANK(MEMBERS[[#This Row],[StaffMemberCode]:[ServiceStartDate]])+COUNTBLANK(MEMBERS[[#This Row],[Apprenticeship]]:MEMBERS[[#This Row],[StaffMemberEnabled]])+COUNTBLANK(MEMBERS[[#This Row],[GenderCode]]:MEMBERS[[#This Row],[Casual]])</f>
        <v>0</v>
      </c>
      <c r="L594" s="57">
        <f>IF(SUBSTITUTE(TEXT(MEMBERS[[#This Row],[StaffMemberCode]],10)," ","")=TEXT(MEMBERS[[#This Row],[StaffMemberCode]],10),0,1)</f>
        <v>0</v>
      </c>
      <c r="M594" s="57">
        <f ca="1">SUM(MEMBERS[[#This Row],[Duplicate NameService Start]:[Space in Code]])</f>
        <v>0</v>
      </c>
      <c r="O594" s="15">
        <v>91073620</v>
      </c>
      <c r="P594" s="15" t="s">
        <v>3387</v>
      </c>
      <c r="Q594" s="15" t="s">
        <v>3823</v>
      </c>
      <c r="R594" s="133" t="str">
        <f>MEMBERS[[#This Row],[FirstName]]&amp;" "&amp;MEMBERS[[#This Row],[LastName]]</f>
        <v>Pamela Gray</v>
      </c>
      <c r="S594" s="21">
        <v>45191</v>
      </c>
      <c r="U594" s="21">
        <v>23151</v>
      </c>
      <c r="V594" t="b">
        <v>0</v>
      </c>
      <c r="W594" t="b">
        <v>0</v>
      </c>
      <c r="X594" t="b">
        <v>0</v>
      </c>
      <c r="Y594" t="s">
        <v>4155</v>
      </c>
      <c r="Z594" t="b">
        <v>1</v>
      </c>
      <c r="AB594" t="s">
        <v>1571</v>
      </c>
      <c r="AC594" t="b">
        <v>1</v>
      </c>
    </row>
    <row r="595" spans="1:29" x14ac:dyDescent="0.3">
      <c r="A595" s="57" t="str">
        <f>MEMBERS[[#This Row],[Title]]&amp;MEMBERS[[#This Row],[ServiceStartDate]]</f>
        <v>Pamela Hughes34708</v>
      </c>
      <c r="B595" s="57">
        <f>IF(COUNTIF(MEMBERS[NameServiceStart],MEMBERS[[#This Row],[NameServiceStart]])=1,0,1)</f>
        <v>0</v>
      </c>
      <c r="C595" s="57">
        <f>IF(COUNTIF(MEMBERS[StaffMemberCode],MEMBERS[[#This Row],[StaffMemberCode]])=1,0,1)</f>
        <v>0</v>
      </c>
      <c r="D595" s="57">
        <f>IF(ISBLANK(MEMBERS[[#This Row],[PayrollLocation]]),0,IF(COUNTIF(SCHOOLS[SchoolCode],MEMBERS[[#This Row],[PayrollLocation]])=1,0,1))</f>
        <v>0</v>
      </c>
      <c r="E595" s="57">
        <f>IF(MEMBERS[[#This Row],[AvailableToAllSchools]]=FALSE,IF(ISBLANK(MEMBERS[[#This Row],[SchoolCodes]]),1,0),IF(MEMBERS[[#This Row],[AvailableToAllSchools]]=TRUE,IF(ISBLANK(MEMBERS[[#This Row],[SchoolCodes]]),0,1)))</f>
        <v>0</v>
      </c>
      <c r="F595" s="57">
        <f>IF(ISBLANK(MEMBERS[[#This Row],[ServiceEndDate]]),0,IF(MEMBERS[[#This Row],[ServiceStartDate]]&lt;MEMBERS[[#This Row],[ServiceEndDate]],0,1))</f>
        <v>0</v>
      </c>
      <c r="G595" s="57" cm="1">
        <f t="array" aca="1" ref="G595" ca="1">IF(CELL("format",MEMBERS[[#This Row],[ServiceStartDate]])="D1",0,1)+IF(CELL("format",MEMBERS[[#This Row],[ServiceEndDate]])="D1",0,1)</f>
        <v>0</v>
      </c>
      <c r="H59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95" s="57">
        <f>IF(LEN(MEMBERS[[#This Row],[StaffMemberCode]])&lt;100,0,1)</f>
        <v>0</v>
      </c>
      <c r="J595" s="57">
        <f>IF(LEN(MEMBERS[[#This Row],[Title]])&lt;100,0,1)</f>
        <v>0</v>
      </c>
      <c r="K595" s="57">
        <f>COUNTBLANK(MEMBERS[[#This Row],[StaffMemberCode]:[ServiceStartDate]])+COUNTBLANK(MEMBERS[[#This Row],[Apprenticeship]]:MEMBERS[[#This Row],[StaffMemberEnabled]])+COUNTBLANK(MEMBERS[[#This Row],[GenderCode]]:MEMBERS[[#This Row],[Casual]])</f>
        <v>0</v>
      </c>
      <c r="L595" s="57">
        <f>IF(SUBSTITUTE(TEXT(MEMBERS[[#This Row],[StaffMemberCode]],10)," ","")=TEXT(MEMBERS[[#This Row],[StaffMemberCode]],10),0,1)</f>
        <v>0</v>
      </c>
      <c r="M595" s="57">
        <f ca="1">SUM(MEMBERS[[#This Row],[Duplicate NameService Start]:[Space in Code]])</f>
        <v>0</v>
      </c>
      <c r="O595" s="15">
        <v>91073454</v>
      </c>
      <c r="P595" s="15" t="s">
        <v>3387</v>
      </c>
      <c r="Q595" s="15" t="s">
        <v>3497</v>
      </c>
      <c r="R595" s="133" t="str">
        <f>MEMBERS[[#This Row],[FirstName]]&amp;" "&amp;MEMBERS[[#This Row],[LastName]]</f>
        <v>Pamela Hughes</v>
      </c>
      <c r="S595" s="21">
        <v>34708</v>
      </c>
      <c r="U595" s="21">
        <v>26134</v>
      </c>
      <c r="V595" t="b">
        <v>0</v>
      </c>
      <c r="W595" t="b">
        <v>0</v>
      </c>
      <c r="X595" t="b">
        <v>0</v>
      </c>
      <c r="Y595" t="s">
        <v>2094</v>
      </c>
      <c r="Z595" t="b">
        <v>1</v>
      </c>
      <c r="AB595" t="s">
        <v>1571</v>
      </c>
      <c r="AC595" t="b">
        <v>0</v>
      </c>
    </row>
    <row r="596" spans="1:29" x14ac:dyDescent="0.3">
      <c r="A596" s="57" t="str">
        <f>MEMBERS[[#This Row],[Title]]&amp;MEMBERS[[#This Row],[ServiceStartDate]]</f>
        <v>Patricia Blackburn45597</v>
      </c>
      <c r="B596" s="57">
        <f>IF(COUNTIF(MEMBERS[NameServiceStart],MEMBERS[[#This Row],[NameServiceStart]])=1,0,1)</f>
        <v>0</v>
      </c>
      <c r="C596" s="57">
        <f>IF(COUNTIF(MEMBERS[StaffMemberCode],MEMBERS[[#This Row],[StaffMemberCode]])=1,0,1)</f>
        <v>0</v>
      </c>
      <c r="D596" s="57">
        <f>IF(ISBLANK(MEMBERS[[#This Row],[PayrollLocation]]),0,IF(COUNTIF(SCHOOLS[SchoolCode],MEMBERS[[#This Row],[PayrollLocation]])=1,0,1))</f>
        <v>0</v>
      </c>
      <c r="E596" s="57">
        <f>IF(MEMBERS[[#This Row],[AvailableToAllSchools]]=FALSE,IF(ISBLANK(MEMBERS[[#This Row],[SchoolCodes]]),1,0),IF(MEMBERS[[#This Row],[AvailableToAllSchools]]=TRUE,IF(ISBLANK(MEMBERS[[#This Row],[SchoolCodes]]),0,1)))</f>
        <v>0</v>
      </c>
      <c r="F596" s="57">
        <f>IF(ISBLANK(MEMBERS[[#This Row],[ServiceEndDate]]),0,IF(MEMBERS[[#This Row],[ServiceStartDate]]&lt;MEMBERS[[#This Row],[ServiceEndDate]],0,1))</f>
        <v>0</v>
      </c>
      <c r="G596" s="57" cm="1">
        <f t="array" aca="1" ref="G596" ca="1">IF(CELL("format",MEMBERS[[#This Row],[ServiceStartDate]])="D1",0,1)+IF(CELL("format",MEMBERS[[#This Row],[ServiceEndDate]])="D1",0,1)</f>
        <v>0</v>
      </c>
      <c r="H59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96" s="57">
        <f>IF(LEN(MEMBERS[[#This Row],[StaffMemberCode]])&lt;100,0,1)</f>
        <v>0</v>
      </c>
      <c r="J596" s="57">
        <f>IF(LEN(MEMBERS[[#This Row],[Title]])&lt;100,0,1)</f>
        <v>0</v>
      </c>
      <c r="K596" s="57">
        <f>COUNTBLANK(MEMBERS[[#This Row],[StaffMemberCode]:[ServiceStartDate]])+COUNTBLANK(MEMBERS[[#This Row],[Apprenticeship]]:MEMBERS[[#This Row],[StaffMemberEnabled]])+COUNTBLANK(MEMBERS[[#This Row],[GenderCode]]:MEMBERS[[#This Row],[Casual]])</f>
        <v>0</v>
      </c>
      <c r="L596" s="57">
        <f>IF(SUBSTITUTE(TEXT(MEMBERS[[#This Row],[StaffMemberCode]],10)," ","")=TEXT(MEMBERS[[#This Row],[StaffMemberCode]],10),0,1)</f>
        <v>0</v>
      </c>
      <c r="M596" s="57">
        <f ca="1">SUM(MEMBERS[[#This Row],[Duplicate NameService Start]:[Space in Code]])</f>
        <v>0</v>
      </c>
      <c r="O596" s="15">
        <v>10014876</v>
      </c>
      <c r="P596" s="15" t="s">
        <v>3388</v>
      </c>
      <c r="Q596" s="15" t="s">
        <v>3814</v>
      </c>
      <c r="R596" s="133" t="str">
        <f>MEMBERS[[#This Row],[FirstName]]&amp;" "&amp;MEMBERS[[#This Row],[LastName]]</f>
        <v>Patricia Blackburn</v>
      </c>
      <c r="S596" s="21">
        <v>45597</v>
      </c>
      <c r="U596" s="21">
        <v>19262</v>
      </c>
      <c r="V596" s="138" t="b">
        <v>0</v>
      </c>
      <c r="W596" t="b">
        <v>0</v>
      </c>
      <c r="X596" t="b">
        <v>0</v>
      </c>
      <c r="Y596" t="s">
        <v>2126</v>
      </c>
      <c r="Z596" t="b">
        <v>1</v>
      </c>
      <c r="AB596" t="s">
        <v>1571</v>
      </c>
      <c r="AC596" t="b">
        <v>1</v>
      </c>
    </row>
    <row r="597" spans="1:29" x14ac:dyDescent="0.3">
      <c r="A597" s="57" t="str">
        <f>MEMBERS[[#This Row],[Title]]&amp;MEMBERS[[#This Row],[ServiceStartDate]]</f>
        <v>Patricia Haigh45562</v>
      </c>
      <c r="B597" s="57">
        <f>IF(COUNTIF(MEMBERS[NameServiceStart],MEMBERS[[#This Row],[NameServiceStart]])=1,0,1)</f>
        <v>0</v>
      </c>
      <c r="C597" s="57">
        <f>IF(COUNTIF(MEMBERS[StaffMemberCode],MEMBERS[[#This Row],[StaffMemberCode]])=1,0,1)</f>
        <v>0</v>
      </c>
      <c r="D597" s="57">
        <f>IF(ISBLANK(MEMBERS[[#This Row],[PayrollLocation]]),0,IF(COUNTIF(SCHOOLS[SchoolCode],MEMBERS[[#This Row],[PayrollLocation]])=1,0,1))</f>
        <v>0</v>
      </c>
      <c r="E597" s="57">
        <f>IF(MEMBERS[[#This Row],[AvailableToAllSchools]]=FALSE,IF(ISBLANK(MEMBERS[[#This Row],[SchoolCodes]]),1,0),IF(MEMBERS[[#This Row],[AvailableToAllSchools]]=TRUE,IF(ISBLANK(MEMBERS[[#This Row],[SchoolCodes]]),0,1)))</f>
        <v>0</v>
      </c>
      <c r="F597" s="57">
        <f>IF(ISBLANK(MEMBERS[[#This Row],[ServiceEndDate]]),0,IF(MEMBERS[[#This Row],[ServiceStartDate]]&lt;MEMBERS[[#This Row],[ServiceEndDate]],0,1))</f>
        <v>0</v>
      </c>
      <c r="G597" s="57" cm="1">
        <f t="array" aca="1" ref="G597" ca="1">IF(CELL("format",MEMBERS[[#This Row],[ServiceStartDate]])="D1",0,1)+IF(CELL("format",MEMBERS[[#This Row],[ServiceEndDate]])="D1",0,1)</f>
        <v>0</v>
      </c>
      <c r="H59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97" s="57">
        <f>IF(LEN(MEMBERS[[#This Row],[StaffMemberCode]])&lt;100,0,1)</f>
        <v>0</v>
      </c>
      <c r="J597" s="57">
        <f>IF(LEN(MEMBERS[[#This Row],[Title]])&lt;100,0,1)</f>
        <v>0</v>
      </c>
      <c r="K597" s="57">
        <f>COUNTBLANK(MEMBERS[[#This Row],[StaffMemberCode]:[ServiceStartDate]])+COUNTBLANK(MEMBERS[[#This Row],[Apprenticeship]]:MEMBERS[[#This Row],[StaffMemberEnabled]])+COUNTBLANK(MEMBERS[[#This Row],[GenderCode]]:MEMBERS[[#This Row],[Casual]])</f>
        <v>0</v>
      </c>
      <c r="L597" s="57">
        <f>IF(SUBSTITUTE(TEXT(MEMBERS[[#This Row],[StaffMemberCode]],10)," ","")=TEXT(MEMBERS[[#This Row],[StaffMemberCode]],10),0,1)</f>
        <v>0</v>
      </c>
      <c r="M597" s="57">
        <f ca="1">SUM(MEMBERS[[#This Row],[Duplicate NameService Start]:[Space in Code]])</f>
        <v>0</v>
      </c>
      <c r="O597" s="15">
        <v>91327899</v>
      </c>
      <c r="P597" s="15" t="s">
        <v>3388</v>
      </c>
      <c r="Q597" s="15" t="s">
        <v>3824</v>
      </c>
      <c r="R597" s="133" t="str">
        <f>MEMBERS[[#This Row],[FirstName]]&amp;" "&amp;MEMBERS[[#This Row],[LastName]]</f>
        <v>Patricia Haigh</v>
      </c>
      <c r="S597" s="21">
        <v>45562</v>
      </c>
      <c r="U597" s="21">
        <v>19054</v>
      </c>
      <c r="V597" t="b">
        <v>0</v>
      </c>
      <c r="W597" t="b">
        <v>0</v>
      </c>
      <c r="X597" t="b">
        <v>0</v>
      </c>
      <c r="Y597" t="s">
        <v>2094</v>
      </c>
      <c r="Z597" t="b">
        <v>1</v>
      </c>
      <c r="AB597" t="s">
        <v>1571</v>
      </c>
      <c r="AC597" t="b">
        <v>1</v>
      </c>
    </row>
    <row r="598" spans="1:29" x14ac:dyDescent="0.3">
      <c r="A598" s="57" t="str">
        <f>MEMBERS[[#This Row],[Title]]&amp;MEMBERS[[#This Row],[ServiceStartDate]]</f>
        <v>Patricia King45190</v>
      </c>
      <c r="B598" s="57">
        <f>IF(COUNTIF(MEMBERS[NameServiceStart],MEMBERS[[#This Row],[NameServiceStart]])=1,0,1)</f>
        <v>0</v>
      </c>
      <c r="C598" s="57">
        <f>IF(COUNTIF(MEMBERS[StaffMemberCode],MEMBERS[[#This Row],[StaffMemberCode]])=1,0,1)</f>
        <v>0</v>
      </c>
      <c r="D598" s="57">
        <f>IF(ISBLANK(MEMBERS[[#This Row],[PayrollLocation]]),0,IF(COUNTIF(SCHOOLS[SchoolCode],MEMBERS[[#This Row],[PayrollLocation]])=1,0,1))</f>
        <v>0</v>
      </c>
      <c r="E598" s="57">
        <f>IF(MEMBERS[[#This Row],[AvailableToAllSchools]]=FALSE,IF(ISBLANK(MEMBERS[[#This Row],[SchoolCodes]]),1,0),IF(MEMBERS[[#This Row],[AvailableToAllSchools]]=TRUE,IF(ISBLANK(MEMBERS[[#This Row],[SchoolCodes]]),0,1)))</f>
        <v>0</v>
      </c>
      <c r="F598" s="57">
        <f>IF(ISBLANK(MEMBERS[[#This Row],[ServiceEndDate]]),0,IF(MEMBERS[[#This Row],[ServiceStartDate]]&lt;MEMBERS[[#This Row],[ServiceEndDate]],0,1))</f>
        <v>0</v>
      </c>
      <c r="G598" s="57" cm="1">
        <f t="array" aca="1" ref="G598" ca="1">IF(CELL("format",MEMBERS[[#This Row],[ServiceStartDate]])="D1",0,1)+IF(CELL("format",MEMBERS[[#This Row],[ServiceEndDate]])="D1",0,1)</f>
        <v>0</v>
      </c>
      <c r="H59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98" s="57">
        <f>IF(LEN(MEMBERS[[#This Row],[StaffMemberCode]])&lt;100,0,1)</f>
        <v>0</v>
      </c>
      <c r="J598" s="57">
        <f>IF(LEN(MEMBERS[[#This Row],[Title]])&lt;100,0,1)</f>
        <v>0</v>
      </c>
      <c r="K598" s="57">
        <f>COUNTBLANK(MEMBERS[[#This Row],[StaffMemberCode]:[ServiceStartDate]])+COUNTBLANK(MEMBERS[[#This Row],[Apprenticeship]]:MEMBERS[[#This Row],[StaffMemberEnabled]])+COUNTBLANK(MEMBERS[[#This Row],[GenderCode]]:MEMBERS[[#This Row],[Casual]])</f>
        <v>0</v>
      </c>
      <c r="L598" s="57">
        <f>IF(SUBSTITUTE(TEXT(MEMBERS[[#This Row],[StaffMemberCode]],10)," ","")=TEXT(MEMBERS[[#This Row],[StaffMemberCode]],10),0,1)</f>
        <v>0</v>
      </c>
      <c r="M598" s="57">
        <f ca="1">SUM(MEMBERS[[#This Row],[Duplicate NameService Start]:[Space in Code]])</f>
        <v>0</v>
      </c>
      <c r="O598" s="15">
        <v>91073624</v>
      </c>
      <c r="P598" s="15" t="s">
        <v>3388</v>
      </c>
      <c r="Q598" s="15" t="s">
        <v>3825</v>
      </c>
      <c r="R598" s="133" t="str">
        <f>MEMBERS[[#This Row],[FirstName]]&amp;" "&amp;MEMBERS[[#This Row],[LastName]]</f>
        <v>Patricia King</v>
      </c>
      <c r="S598" s="21">
        <v>45190</v>
      </c>
      <c r="U598" s="21">
        <v>23290</v>
      </c>
      <c r="V598" t="b">
        <v>0</v>
      </c>
      <c r="W598" t="b">
        <v>0</v>
      </c>
      <c r="X598" t="b">
        <v>0</v>
      </c>
      <c r="Y598" t="s">
        <v>2094</v>
      </c>
      <c r="Z598" t="b">
        <v>1</v>
      </c>
      <c r="AB598" t="s">
        <v>1571</v>
      </c>
      <c r="AC598" t="b">
        <v>1</v>
      </c>
    </row>
    <row r="599" spans="1:29" x14ac:dyDescent="0.3">
      <c r="A599" s="57" t="str">
        <f>MEMBERS[[#This Row],[Title]]&amp;MEMBERS[[#This Row],[ServiceStartDate]]</f>
        <v>Paul Davis41283</v>
      </c>
      <c r="B599" s="57">
        <f>IF(COUNTIF(MEMBERS[NameServiceStart],MEMBERS[[#This Row],[NameServiceStart]])=1,0,1)</f>
        <v>0</v>
      </c>
      <c r="C599" s="57">
        <f>IF(COUNTIF(MEMBERS[StaffMemberCode],MEMBERS[[#This Row],[StaffMemberCode]])=1,0,1)</f>
        <v>0</v>
      </c>
      <c r="D599" s="57">
        <f>IF(ISBLANK(MEMBERS[[#This Row],[PayrollLocation]]),0,IF(COUNTIF(SCHOOLS[SchoolCode],MEMBERS[[#This Row],[PayrollLocation]])=1,0,1))</f>
        <v>0</v>
      </c>
      <c r="E599" s="57">
        <f>IF(MEMBERS[[#This Row],[AvailableToAllSchools]]=FALSE,IF(ISBLANK(MEMBERS[[#This Row],[SchoolCodes]]),1,0),IF(MEMBERS[[#This Row],[AvailableToAllSchools]]=TRUE,IF(ISBLANK(MEMBERS[[#This Row],[SchoolCodes]]),0,1)))</f>
        <v>0</v>
      </c>
      <c r="F599" s="57">
        <f>IF(ISBLANK(MEMBERS[[#This Row],[ServiceEndDate]]),0,IF(MEMBERS[[#This Row],[ServiceStartDate]]&lt;MEMBERS[[#This Row],[ServiceEndDate]],0,1))</f>
        <v>0</v>
      </c>
      <c r="G599" s="57" cm="1">
        <f t="array" aca="1" ref="G599" ca="1">IF(CELL("format",MEMBERS[[#This Row],[ServiceStartDate]])="D1",0,1)+IF(CELL("format",MEMBERS[[#This Row],[ServiceEndDate]])="D1",0,1)</f>
        <v>0</v>
      </c>
      <c r="H59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599" s="57">
        <f>IF(LEN(MEMBERS[[#This Row],[StaffMemberCode]])&lt;100,0,1)</f>
        <v>0</v>
      </c>
      <c r="J599" s="57">
        <f>IF(LEN(MEMBERS[[#This Row],[Title]])&lt;100,0,1)</f>
        <v>0</v>
      </c>
      <c r="K599" s="57">
        <f>COUNTBLANK(MEMBERS[[#This Row],[StaffMemberCode]:[ServiceStartDate]])+COUNTBLANK(MEMBERS[[#This Row],[Apprenticeship]]:MEMBERS[[#This Row],[StaffMemberEnabled]])+COUNTBLANK(MEMBERS[[#This Row],[GenderCode]]:MEMBERS[[#This Row],[Casual]])</f>
        <v>0</v>
      </c>
      <c r="L599" s="57">
        <f>IF(SUBSTITUTE(TEXT(MEMBERS[[#This Row],[StaffMemberCode]],10)," ","")=TEXT(MEMBERS[[#This Row],[StaffMemberCode]],10),0,1)</f>
        <v>0</v>
      </c>
      <c r="M599" s="57">
        <f ca="1">SUM(MEMBERS[[#This Row],[Duplicate NameService Start]:[Space in Code]])</f>
        <v>0</v>
      </c>
      <c r="O599" s="15">
        <v>91073523</v>
      </c>
      <c r="P599" s="15" t="s">
        <v>3389</v>
      </c>
      <c r="Q599" s="15" t="s">
        <v>3826</v>
      </c>
      <c r="R599" s="133" t="str">
        <f>MEMBERS[[#This Row],[FirstName]]&amp;" "&amp;MEMBERS[[#This Row],[LastName]]</f>
        <v>Paul Davis</v>
      </c>
      <c r="S599" s="21">
        <v>41283</v>
      </c>
      <c r="U599" s="21">
        <v>28127</v>
      </c>
      <c r="V599" t="b">
        <v>0</v>
      </c>
      <c r="W599" t="b">
        <v>0</v>
      </c>
      <c r="X599" t="b">
        <v>0</v>
      </c>
      <c r="Y599" t="s">
        <v>2094</v>
      </c>
      <c r="Z599" t="b">
        <v>1</v>
      </c>
      <c r="AB599" t="s">
        <v>1572</v>
      </c>
      <c r="AC599" t="b">
        <v>0</v>
      </c>
    </row>
    <row r="600" spans="1:29" x14ac:dyDescent="0.3">
      <c r="A600" s="57" t="str">
        <f>MEMBERS[[#This Row],[Title]]&amp;MEMBERS[[#This Row],[ServiceStartDate]]</f>
        <v>Paul Sides42005</v>
      </c>
      <c r="B600" s="57">
        <f>IF(COUNTIF(MEMBERS[NameServiceStart],MEMBERS[[#This Row],[NameServiceStart]])=1,0,1)</f>
        <v>0</v>
      </c>
      <c r="C600" s="57">
        <f>IF(COUNTIF(MEMBERS[StaffMemberCode],MEMBERS[[#This Row],[StaffMemberCode]])=1,0,1)</f>
        <v>0</v>
      </c>
      <c r="D600" s="57">
        <f>IF(ISBLANK(MEMBERS[[#This Row],[PayrollLocation]]),0,IF(COUNTIF(SCHOOLS[SchoolCode],MEMBERS[[#This Row],[PayrollLocation]])=1,0,1))</f>
        <v>0</v>
      </c>
      <c r="E600" s="57">
        <f>IF(MEMBERS[[#This Row],[AvailableToAllSchools]]=FALSE,IF(ISBLANK(MEMBERS[[#This Row],[SchoolCodes]]),1,0),IF(MEMBERS[[#This Row],[AvailableToAllSchools]]=TRUE,IF(ISBLANK(MEMBERS[[#This Row],[SchoolCodes]]),0,1)))</f>
        <v>0</v>
      </c>
      <c r="F600" s="57">
        <f>IF(ISBLANK(MEMBERS[[#This Row],[ServiceEndDate]]),0,IF(MEMBERS[[#This Row],[ServiceStartDate]]&lt;MEMBERS[[#This Row],[ServiceEndDate]],0,1))</f>
        <v>0</v>
      </c>
      <c r="G600" s="57" cm="1">
        <f t="array" aca="1" ref="G600" ca="1">IF(CELL("format",MEMBERS[[#This Row],[ServiceStartDate]])="D1",0,1)+IF(CELL("format",MEMBERS[[#This Row],[ServiceEndDate]])="D1",0,1)</f>
        <v>0</v>
      </c>
      <c r="H60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00" s="57">
        <f>IF(LEN(MEMBERS[[#This Row],[StaffMemberCode]])&lt;100,0,1)</f>
        <v>0</v>
      </c>
      <c r="J600" s="57">
        <f>IF(LEN(MEMBERS[[#This Row],[Title]])&lt;100,0,1)</f>
        <v>0</v>
      </c>
      <c r="K600" s="57">
        <f>COUNTBLANK(MEMBERS[[#This Row],[StaffMemberCode]:[ServiceStartDate]])+COUNTBLANK(MEMBERS[[#This Row],[Apprenticeship]]:MEMBERS[[#This Row],[StaffMemberEnabled]])+COUNTBLANK(MEMBERS[[#This Row],[GenderCode]]:MEMBERS[[#This Row],[Casual]])</f>
        <v>0</v>
      </c>
      <c r="L600" s="57">
        <f>IF(SUBSTITUTE(TEXT(MEMBERS[[#This Row],[StaffMemberCode]],10)," ","")=TEXT(MEMBERS[[#This Row],[StaffMemberCode]],10),0,1)</f>
        <v>0</v>
      </c>
      <c r="M600" s="57">
        <f ca="1">SUM(MEMBERS[[#This Row],[Duplicate NameService Start]:[Space in Code]])</f>
        <v>0</v>
      </c>
      <c r="O600" s="15">
        <v>10005356</v>
      </c>
      <c r="P600" s="15" t="s">
        <v>3389</v>
      </c>
      <c r="Q600" s="15" t="s">
        <v>4112</v>
      </c>
      <c r="R600" s="133" t="str">
        <f>MEMBERS[[#This Row],[FirstName]]&amp;" "&amp;MEMBERS[[#This Row],[LastName]]</f>
        <v>Paul Sides</v>
      </c>
      <c r="S600" s="21">
        <v>42005</v>
      </c>
      <c r="U600" s="21">
        <v>27716</v>
      </c>
      <c r="V600" s="138" t="b">
        <v>0</v>
      </c>
      <c r="W600" t="b">
        <v>0</v>
      </c>
      <c r="X600" t="b">
        <v>0</v>
      </c>
      <c r="Y600" t="s">
        <v>2126</v>
      </c>
      <c r="Z600" t="b">
        <v>1</v>
      </c>
      <c r="AB600" t="s">
        <v>1572</v>
      </c>
      <c r="AC600" t="b">
        <v>0</v>
      </c>
    </row>
    <row r="601" spans="1:29" x14ac:dyDescent="0.3">
      <c r="A601" s="57" t="str">
        <f>MEMBERS[[#This Row],[Title]]&amp;MEMBERS[[#This Row],[ServiceStartDate]]</f>
        <v>Paul Whitehead36900</v>
      </c>
      <c r="B601" s="57">
        <f>IF(COUNTIF(MEMBERS[NameServiceStart],MEMBERS[[#This Row],[NameServiceStart]])=1,0,1)</f>
        <v>0</v>
      </c>
      <c r="C601" s="57">
        <f>IF(COUNTIF(MEMBERS[StaffMemberCode],MEMBERS[[#This Row],[StaffMemberCode]])=1,0,1)</f>
        <v>0</v>
      </c>
      <c r="D601" s="57">
        <f>IF(ISBLANK(MEMBERS[[#This Row],[PayrollLocation]]),0,IF(COUNTIF(SCHOOLS[SchoolCode],MEMBERS[[#This Row],[PayrollLocation]])=1,0,1))</f>
        <v>0</v>
      </c>
      <c r="E601" s="57">
        <f>IF(MEMBERS[[#This Row],[AvailableToAllSchools]]=FALSE,IF(ISBLANK(MEMBERS[[#This Row],[SchoolCodes]]),1,0),IF(MEMBERS[[#This Row],[AvailableToAllSchools]]=TRUE,IF(ISBLANK(MEMBERS[[#This Row],[SchoolCodes]]),0,1)))</f>
        <v>0</v>
      </c>
      <c r="F601" s="57">
        <f>IF(ISBLANK(MEMBERS[[#This Row],[ServiceEndDate]]),0,IF(MEMBERS[[#This Row],[ServiceStartDate]]&lt;MEMBERS[[#This Row],[ServiceEndDate]],0,1))</f>
        <v>0</v>
      </c>
      <c r="G601" s="57" cm="1">
        <f t="array" aca="1" ref="G601" ca="1">IF(CELL("format",MEMBERS[[#This Row],[ServiceStartDate]])="D1",0,1)+IF(CELL("format",MEMBERS[[#This Row],[ServiceEndDate]])="D1",0,1)</f>
        <v>0</v>
      </c>
      <c r="H60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01" s="57">
        <f>IF(LEN(MEMBERS[[#This Row],[StaffMemberCode]])&lt;100,0,1)</f>
        <v>0</v>
      </c>
      <c r="J601" s="57">
        <f>IF(LEN(MEMBERS[[#This Row],[Title]])&lt;100,0,1)</f>
        <v>0</v>
      </c>
      <c r="K601" s="57">
        <f>COUNTBLANK(MEMBERS[[#This Row],[StaffMemberCode]:[ServiceStartDate]])+COUNTBLANK(MEMBERS[[#This Row],[Apprenticeship]]:MEMBERS[[#This Row],[StaffMemberEnabled]])+COUNTBLANK(MEMBERS[[#This Row],[GenderCode]]:MEMBERS[[#This Row],[Casual]])</f>
        <v>0</v>
      </c>
      <c r="L601" s="57">
        <f>IF(SUBSTITUTE(TEXT(MEMBERS[[#This Row],[StaffMemberCode]],10)," ","")=TEXT(MEMBERS[[#This Row],[StaffMemberCode]],10),0,1)</f>
        <v>0</v>
      </c>
      <c r="M601" s="57">
        <f ca="1">SUM(MEMBERS[[#This Row],[Duplicate NameService Start]:[Space in Code]])</f>
        <v>0</v>
      </c>
      <c r="O601" s="15">
        <v>91073452</v>
      </c>
      <c r="P601" s="15" t="s">
        <v>3389</v>
      </c>
      <c r="Q601" s="15" t="s">
        <v>3525</v>
      </c>
      <c r="R601" s="133" t="str">
        <f>MEMBERS[[#This Row],[FirstName]]&amp;" "&amp;MEMBERS[[#This Row],[LastName]]</f>
        <v>Paul Whitehead</v>
      </c>
      <c r="S601" s="21">
        <v>36900</v>
      </c>
      <c r="U601" s="21">
        <v>28413</v>
      </c>
      <c r="V601" t="b">
        <v>0</v>
      </c>
      <c r="W601" t="b">
        <v>0</v>
      </c>
      <c r="X601" t="b">
        <v>0</v>
      </c>
      <c r="Y601" t="s">
        <v>2094</v>
      </c>
      <c r="Z601" t="b">
        <v>1</v>
      </c>
      <c r="AB601" t="s">
        <v>1572</v>
      </c>
      <c r="AC601" t="b">
        <v>0</v>
      </c>
    </row>
    <row r="602" spans="1:29" x14ac:dyDescent="0.3">
      <c r="A602" s="57" t="str">
        <f>MEMBERS[[#This Row],[Title]]&amp;MEMBERS[[#This Row],[ServiceStartDate]]</f>
        <v>Paula Clive39875</v>
      </c>
      <c r="B602" s="57">
        <f>IF(COUNTIF(MEMBERS[NameServiceStart],MEMBERS[[#This Row],[NameServiceStart]])=1,0,1)</f>
        <v>0</v>
      </c>
      <c r="C602" s="57">
        <f>IF(COUNTIF(MEMBERS[StaffMemberCode],MEMBERS[[#This Row],[StaffMemberCode]])=1,0,1)</f>
        <v>0</v>
      </c>
      <c r="D602" s="57">
        <f>IF(ISBLANK(MEMBERS[[#This Row],[PayrollLocation]]),0,IF(COUNTIF(SCHOOLS[SchoolCode],MEMBERS[[#This Row],[PayrollLocation]])=1,0,1))</f>
        <v>0</v>
      </c>
      <c r="E602" s="57">
        <f>IF(MEMBERS[[#This Row],[AvailableToAllSchools]]=FALSE,IF(ISBLANK(MEMBERS[[#This Row],[SchoolCodes]]),1,0),IF(MEMBERS[[#This Row],[AvailableToAllSchools]]=TRUE,IF(ISBLANK(MEMBERS[[#This Row],[SchoolCodes]]),0,1)))</f>
        <v>0</v>
      </c>
      <c r="F602" s="57">
        <f>IF(ISBLANK(MEMBERS[[#This Row],[ServiceEndDate]]),0,IF(MEMBERS[[#This Row],[ServiceStartDate]]&lt;MEMBERS[[#This Row],[ServiceEndDate]],0,1))</f>
        <v>0</v>
      </c>
      <c r="G602" s="57" cm="1">
        <f t="array" aca="1" ref="G602" ca="1">IF(CELL("format",MEMBERS[[#This Row],[ServiceStartDate]])="D1",0,1)+IF(CELL("format",MEMBERS[[#This Row],[ServiceEndDate]])="D1",0,1)</f>
        <v>0</v>
      </c>
      <c r="H60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02" s="57">
        <f>IF(LEN(MEMBERS[[#This Row],[StaffMemberCode]])&lt;100,0,1)</f>
        <v>0</v>
      </c>
      <c r="J602" s="57">
        <f>IF(LEN(MEMBERS[[#This Row],[Title]])&lt;100,0,1)</f>
        <v>0</v>
      </c>
      <c r="K602" s="57">
        <f>COUNTBLANK(MEMBERS[[#This Row],[StaffMemberCode]:[ServiceStartDate]])+COUNTBLANK(MEMBERS[[#This Row],[Apprenticeship]]:MEMBERS[[#This Row],[StaffMemberEnabled]])+COUNTBLANK(MEMBERS[[#This Row],[GenderCode]]:MEMBERS[[#This Row],[Casual]])</f>
        <v>0</v>
      </c>
      <c r="L602" s="57">
        <f>IF(SUBSTITUTE(TEXT(MEMBERS[[#This Row],[StaffMemberCode]],10)," ","")=TEXT(MEMBERS[[#This Row],[StaffMemberCode]],10),0,1)</f>
        <v>0</v>
      </c>
      <c r="M602" s="57">
        <f ca="1">SUM(MEMBERS[[#This Row],[Duplicate NameService Start]:[Space in Code]])</f>
        <v>0</v>
      </c>
      <c r="O602" s="15">
        <v>91073479</v>
      </c>
      <c r="P602" s="15" t="s">
        <v>3390</v>
      </c>
      <c r="Q602" s="15" t="s">
        <v>3827</v>
      </c>
      <c r="R602" s="133" t="str">
        <f>MEMBERS[[#This Row],[FirstName]]&amp;" "&amp;MEMBERS[[#This Row],[LastName]]</f>
        <v>Paula Clive</v>
      </c>
      <c r="S602" s="21">
        <v>39875</v>
      </c>
      <c r="U602" s="21">
        <v>24476</v>
      </c>
      <c r="V602" t="b">
        <v>0</v>
      </c>
      <c r="W602" t="b">
        <v>0</v>
      </c>
      <c r="X602" t="b">
        <v>0</v>
      </c>
      <c r="Y602" t="s">
        <v>2094</v>
      </c>
      <c r="Z602" t="b">
        <v>1</v>
      </c>
      <c r="AB602" t="s">
        <v>1571</v>
      </c>
      <c r="AC602" t="b">
        <v>0</v>
      </c>
    </row>
    <row r="603" spans="1:29" x14ac:dyDescent="0.3">
      <c r="A603" s="57" t="str">
        <f>MEMBERS[[#This Row],[Title]]&amp;MEMBERS[[#This Row],[ServiceStartDate]]</f>
        <v>Paula Maginess43038</v>
      </c>
      <c r="B603" s="57">
        <f>IF(COUNTIF(MEMBERS[NameServiceStart],MEMBERS[[#This Row],[NameServiceStart]])=1,0,1)</f>
        <v>0</v>
      </c>
      <c r="C603" s="57">
        <f>IF(COUNTIF(MEMBERS[StaffMemberCode],MEMBERS[[#This Row],[StaffMemberCode]])=1,0,1)</f>
        <v>0</v>
      </c>
      <c r="D603" s="57">
        <f>IF(ISBLANK(MEMBERS[[#This Row],[PayrollLocation]]),0,IF(COUNTIF(SCHOOLS[SchoolCode],MEMBERS[[#This Row],[PayrollLocation]])=1,0,1))</f>
        <v>0</v>
      </c>
      <c r="E603" s="57">
        <f>IF(MEMBERS[[#This Row],[AvailableToAllSchools]]=FALSE,IF(ISBLANK(MEMBERS[[#This Row],[SchoolCodes]]),1,0),IF(MEMBERS[[#This Row],[AvailableToAllSchools]]=TRUE,IF(ISBLANK(MEMBERS[[#This Row],[SchoolCodes]]),0,1)))</f>
        <v>0</v>
      </c>
      <c r="F603" s="57">
        <f>IF(ISBLANK(MEMBERS[[#This Row],[ServiceEndDate]]),0,IF(MEMBERS[[#This Row],[ServiceStartDate]]&lt;MEMBERS[[#This Row],[ServiceEndDate]],0,1))</f>
        <v>0</v>
      </c>
      <c r="G603" s="57" cm="1">
        <f t="array" aca="1" ref="G603" ca="1">IF(CELL("format",MEMBERS[[#This Row],[ServiceStartDate]])="D1",0,1)+IF(CELL("format",MEMBERS[[#This Row],[ServiceEndDate]])="D1",0,1)</f>
        <v>0</v>
      </c>
      <c r="H60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03" s="57">
        <f>IF(LEN(MEMBERS[[#This Row],[StaffMemberCode]])&lt;100,0,1)</f>
        <v>0</v>
      </c>
      <c r="J603" s="57">
        <f>IF(LEN(MEMBERS[[#This Row],[Title]])&lt;100,0,1)</f>
        <v>0</v>
      </c>
      <c r="K603" s="57">
        <f>COUNTBLANK(MEMBERS[[#This Row],[StaffMemberCode]:[ServiceStartDate]])+COUNTBLANK(MEMBERS[[#This Row],[Apprenticeship]]:MEMBERS[[#This Row],[StaffMemberEnabled]])+COUNTBLANK(MEMBERS[[#This Row],[GenderCode]]:MEMBERS[[#This Row],[Casual]])</f>
        <v>0</v>
      </c>
      <c r="L603" s="57">
        <f>IF(SUBSTITUTE(TEXT(MEMBERS[[#This Row],[StaffMemberCode]],10)," ","")=TEXT(MEMBERS[[#This Row],[StaffMemberCode]],10),0,1)</f>
        <v>0</v>
      </c>
      <c r="M603" s="57">
        <f ca="1">SUM(MEMBERS[[#This Row],[Duplicate NameService Start]:[Space in Code]])</f>
        <v>0</v>
      </c>
      <c r="O603" s="15">
        <v>91075756</v>
      </c>
      <c r="P603" s="15" t="s">
        <v>3390</v>
      </c>
      <c r="Q603" s="15" t="s">
        <v>3828</v>
      </c>
      <c r="R603" s="133" t="str">
        <f>MEMBERS[[#This Row],[FirstName]]&amp;" "&amp;MEMBERS[[#This Row],[LastName]]</f>
        <v>Paula Maginess</v>
      </c>
      <c r="S603" s="21">
        <v>43038</v>
      </c>
      <c r="U603" s="21">
        <v>24186</v>
      </c>
      <c r="V603" t="b">
        <v>0</v>
      </c>
      <c r="W603" t="b">
        <v>0</v>
      </c>
      <c r="X603" t="b">
        <v>0</v>
      </c>
      <c r="Y603" t="s">
        <v>2200</v>
      </c>
      <c r="Z603" t="b">
        <v>1</v>
      </c>
      <c r="AB603" t="s">
        <v>1571</v>
      </c>
      <c r="AC603" t="b">
        <v>0</v>
      </c>
    </row>
    <row r="604" spans="1:29" x14ac:dyDescent="0.3">
      <c r="A604" s="57" t="str">
        <f>MEMBERS[[#This Row],[Title]]&amp;MEMBERS[[#This Row],[ServiceStartDate]]</f>
        <v>Paula Wilkinson45536</v>
      </c>
      <c r="B604" s="57">
        <f>IF(COUNTIF(MEMBERS[NameServiceStart],MEMBERS[[#This Row],[NameServiceStart]])=1,0,1)</f>
        <v>0</v>
      </c>
      <c r="C604" s="57">
        <f>IF(COUNTIF(MEMBERS[StaffMemberCode],MEMBERS[[#This Row],[StaffMemberCode]])=1,0,1)</f>
        <v>0</v>
      </c>
      <c r="D604" s="57">
        <f>IF(ISBLANK(MEMBERS[[#This Row],[PayrollLocation]]),0,IF(COUNTIF(SCHOOLS[SchoolCode],MEMBERS[[#This Row],[PayrollLocation]])=1,0,1))</f>
        <v>0</v>
      </c>
      <c r="E604" s="57">
        <f>IF(MEMBERS[[#This Row],[AvailableToAllSchools]]=FALSE,IF(ISBLANK(MEMBERS[[#This Row],[SchoolCodes]]),1,0),IF(MEMBERS[[#This Row],[AvailableToAllSchools]]=TRUE,IF(ISBLANK(MEMBERS[[#This Row],[SchoolCodes]]),0,1)))</f>
        <v>0</v>
      </c>
      <c r="F604" s="57">
        <f>IF(ISBLANK(MEMBERS[[#This Row],[ServiceEndDate]]),0,IF(MEMBERS[[#This Row],[ServiceStartDate]]&lt;MEMBERS[[#This Row],[ServiceEndDate]],0,1))</f>
        <v>0</v>
      </c>
      <c r="G604" s="57" cm="1">
        <f t="array" aca="1" ref="G604" ca="1">IF(CELL("format",MEMBERS[[#This Row],[ServiceStartDate]])="D1",0,1)+IF(CELL("format",MEMBERS[[#This Row],[ServiceEndDate]])="D1",0,1)</f>
        <v>0</v>
      </c>
      <c r="H60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04" s="57">
        <f>IF(LEN(MEMBERS[[#This Row],[StaffMemberCode]])&lt;100,0,1)</f>
        <v>0</v>
      </c>
      <c r="J604" s="57">
        <f>IF(LEN(MEMBERS[[#This Row],[Title]])&lt;100,0,1)</f>
        <v>0</v>
      </c>
      <c r="K604" s="57">
        <f>COUNTBLANK(MEMBERS[[#This Row],[StaffMemberCode]:[ServiceStartDate]])+COUNTBLANK(MEMBERS[[#This Row],[Apprenticeship]]:MEMBERS[[#This Row],[StaffMemberEnabled]])+COUNTBLANK(MEMBERS[[#This Row],[GenderCode]]:MEMBERS[[#This Row],[Casual]])</f>
        <v>0</v>
      </c>
      <c r="L604" s="57">
        <f>IF(SUBSTITUTE(TEXT(MEMBERS[[#This Row],[StaffMemberCode]],10)," ","")=TEXT(MEMBERS[[#This Row],[StaffMemberCode]],10),0,1)</f>
        <v>0</v>
      </c>
      <c r="M604" s="57">
        <f ca="1">SUM(MEMBERS[[#This Row],[Duplicate NameService Start]:[Space in Code]])</f>
        <v>0</v>
      </c>
      <c r="O604" s="15">
        <v>91323681</v>
      </c>
      <c r="P604" s="15" t="s">
        <v>3390</v>
      </c>
      <c r="Q604" s="15" t="s">
        <v>3829</v>
      </c>
      <c r="R604" s="133" t="str">
        <f>MEMBERS[[#This Row],[FirstName]]&amp;" "&amp;MEMBERS[[#This Row],[LastName]]</f>
        <v>Paula Wilkinson</v>
      </c>
      <c r="S604" s="21">
        <v>45536</v>
      </c>
      <c r="U604" s="21">
        <v>30005</v>
      </c>
      <c r="V604" t="b">
        <v>0</v>
      </c>
      <c r="W604" t="b">
        <v>0</v>
      </c>
      <c r="X604" t="b">
        <v>0</v>
      </c>
      <c r="Y604" t="s">
        <v>2094</v>
      </c>
      <c r="Z604" t="b">
        <v>1</v>
      </c>
      <c r="AB604" t="s">
        <v>1571</v>
      </c>
      <c r="AC604" t="b">
        <v>0</v>
      </c>
    </row>
    <row r="605" spans="1:29" x14ac:dyDescent="0.3">
      <c r="A605" s="57" t="str">
        <f>MEMBERS[[#This Row],[Title]]&amp;MEMBERS[[#This Row],[ServiceStartDate]]</f>
        <v>Pauline Rowley43558</v>
      </c>
      <c r="B605" s="57">
        <f>IF(COUNTIF(MEMBERS[NameServiceStart],MEMBERS[[#This Row],[NameServiceStart]])=1,0,1)</f>
        <v>0</v>
      </c>
      <c r="C605" s="57">
        <f>IF(COUNTIF(MEMBERS[StaffMemberCode],MEMBERS[[#This Row],[StaffMemberCode]])=1,0,1)</f>
        <v>0</v>
      </c>
      <c r="D605" s="57">
        <f>IF(ISBLANK(MEMBERS[[#This Row],[PayrollLocation]]),0,IF(COUNTIF(SCHOOLS[SchoolCode],MEMBERS[[#This Row],[PayrollLocation]])=1,0,1))</f>
        <v>0</v>
      </c>
      <c r="E605" s="57">
        <f>IF(MEMBERS[[#This Row],[AvailableToAllSchools]]=FALSE,IF(ISBLANK(MEMBERS[[#This Row],[SchoolCodes]]),1,0),IF(MEMBERS[[#This Row],[AvailableToAllSchools]]=TRUE,IF(ISBLANK(MEMBERS[[#This Row],[SchoolCodes]]),0,1)))</f>
        <v>0</v>
      </c>
      <c r="F605" s="57">
        <f>IF(ISBLANK(MEMBERS[[#This Row],[ServiceEndDate]]),0,IF(MEMBERS[[#This Row],[ServiceStartDate]]&lt;MEMBERS[[#This Row],[ServiceEndDate]],0,1))</f>
        <v>0</v>
      </c>
      <c r="G605" s="57" cm="1">
        <f t="array" aca="1" ref="G605" ca="1">IF(CELL("format",MEMBERS[[#This Row],[ServiceStartDate]])="D1",0,1)+IF(CELL("format",MEMBERS[[#This Row],[ServiceEndDate]])="D1",0,1)</f>
        <v>0</v>
      </c>
      <c r="H60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05" s="57">
        <f>IF(LEN(MEMBERS[[#This Row],[StaffMemberCode]])&lt;100,0,1)</f>
        <v>0</v>
      </c>
      <c r="J605" s="57">
        <f>IF(LEN(MEMBERS[[#This Row],[Title]])&lt;100,0,1)</f>
        <v>0</v>
      </c>
      <c r="K605" s="57">
        <f>COUNTBLANK(MEMBERS[[#This Row],[StaffMemberCode]:[ServiceStartDate]])+COUNTBLANK(MEMBERS[[#This Row],[Apprenticeship]]:MEMBERS[[#This Row],[StaffMemberEnabled]])+COUNTBLANK(MEMBERS[[#This Row],[GenderCode]]:MEMBERS[[#This Row],[Casual]])</f>
        <v>0</v>
      </c>
      <c r="L605" s="57">
        <f>IF(SUBSTITUTE(TEXT(MEMBERS[[#This Row],[StaffMemberCode]],10)," ","")=TEXT(MEMBERS[[#This Row],[StaffMemberCode]],10),0,1)</f>
        <v>0</v>
      </c>
      <c r="M605" s="57">
        <f ca="1">SUM(MEMBERS[[#This Row],[Duplicate NameService Start]:[Space in Code]])</f>
        <v>0</v>
      </c>
      <c r="O605" s="15">
        <v>91073746</v>
      </c>
      <c r="P605" s="15" t="s">
        <v>3391</v>
      </c>
      <c r="Q605" s="15" t="s">
        <v>3830</v>
      </c>
      <c r="R605" s="133" t="str">
        <f>MEMBERS[[#This Row],[FirstName]]&amp;" "&amp;MEMBERS[[#This Row],[LastName]]</f>
        <v>Pauline Rowley</v>
      </c>
      <c r="S605" s="21">
        <v>43558</v>
      </c>
      <c r="U605" s="21">
        <v>18362</v>
      </c>
      <c r="V605" t="b">
        <v>0</v>
      </c>
      <c r="W605" t="b">
        <v>0</v>
      </c>
      <c r="X605" t="b">
        <v>0</v>
      </c>
      <c r="Y605" t="s">
        <v>2082</v>
      </c>
      <c r="Z605" t="b">
        <v>1</v>
      </c>
      <c r="AB605" t="s">
        <v>1571</v>
      </c>
      <c r="AC605" t="b">
        <v>1</v>
      </c>
    </row>
    <row r="606" spans="1:29" x14ac:dyDescent="0.3">
      <c r="A606" s="57" t="str">
        <f>MEMBERS[[#This Row],[Title]]&amp;MEMBERS[[#This Row],[ServiceStartDate]]</f>
        <v>Pauline Spencer37900</v>
      </c>
      <c r="B606" s="57">
        <f>IF(COUNTIF(MEMBERS[NameServiceStart],MEMBERS[[#This Row],[NameServiceStart]])=1,0,1)</f>
        <v>0</v>
      </c>
      <c r="C606" s="57">
        <f>IF(COUNTIF(MEMBERS[StaffMemberCode],MEMBERS[[#This Row],[StaffMemberCode]])=1,0,1)</f>
        <v>0</v>
      </c>
      <c r="D606" s="57">
        <f>IF(ISBLANK(MEMBERS[[#This Row],[PayrollLocation]]),0,IF(COUNTIF(SCHOOLS[SchoolCode],MEMBERS[[#This Row],[PayrollLocation]])=1,0,1))</f>
        <v>0</v>
      </c>
      <c r="E606" s="57">
        <f>IF(MEMBERS[[#This Row],[AvailableToAllSchools]]=FALSE,IF(ISBLANK(MEMBERS[[#This Row],[SchoolCodes]]),1,0),IF(MEMBERS[[#This Row],[AvailableToAllSchools]]=TRUE,IF(ISBLANK(MEMBERS[[#This Row],[SchoolCodes]]),0,1)))</f>
        <v>0</v>
      </c>
      <c r="F606" s="57">
        <f>IF(ISBLANK(MEMBERS[[#This Row],[ServiceEndDate]]),0,IF(MEMBERS[[#This Row],[ServiceStartDate]]&lt;MEMBERS[[#This Row],[ServiceEndDate]],0,1))</f>
        <v>0</v>
      </c>
      <c r="G606" s="57" cm="1">
        <f t="array" aca="1" ref="G606" ca="1">IF(CELL("format",MEMBERS[[#This Row],[ServiceStartDate]])="D1",0,1)+IF(CELL("format",MEMBERS[[#This Row],[ServiceEndDate]])="D1",0,1)</f>
        <v>0</v>
      </c>
      <c r="H60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06" s="57">
        <f>IF(LEN(MEMBERS[[#This Row],[StaffMemberCode]])&lt;100,0,1)</f>
        <v>0</v>
      </c>
      <c r="J606" s="57">
        <f>IF(LEN(MEMBERS[[#This Row],[Title]])&lt;100,0,1)</f>
        <v>0</v>
      </c>
      <c r="K606" s="57">
        <f>COUNTBLANK(MEMBERS[[#This Row],[StaffMemberCode]:[ServiceStartDate]])+COUNTBLANK(MEMBERS[[#This Row],[Apprenticeship]]:MEMBERS[[#This Row],[StaffMemberEnabled]])+COUNTBLANK(MEMBERS[[#This Row],[GenderCode]]:MEMBERS[[#This Row],[Casual]])</f>
        <v>0</v>
      </c>
      <c r="L606" s="57">
        <f>IF(SUBSTITUTE(TEXT(MEMBERS[[#This Row],[StaffMemberCode]],10)," ","")=TEXT(MEMBERS[[#This Row],[StaffMemberCode]],10),0,1)</f>
        <v>0</v>
      </c>
      <c r="M606" s="57">
        <f ca="1">SUM(MEMBERS[[#This Row],[Duplicate NameService Start]:[Space in Code]])</f>
        <v>0</v>
      </c>
      <c r="O606" s="15">
        <v>91073463</v>
      </c>
      <c r="P606" s="15" t="s">
        <v>3391</v>
      </c>
      <c r="Q606" s="15" t="s">
        <v>3831</v>
      </c>
      <c r="R606" s="133" t="str">
        <f>MEMBERS[[#This Row],[FirstName]]&amp;" "&amp;MEMBERS[[#This Row],[LastName]]</f>
        <v>Pauline Spencer</v>
      </c>
      <c r="S606" s="21">
        <v>37900</v>
      </c>
      <c r="U606" s="21">
        <v>25118</v>
      </c>
      <c r="V606" t="b">
        <v>0</v>
      </c>
      <c r="W606" t="b">
        <v>0</v>
      </c>
      <c r="X606" t="b">
        <v>0</v>
      </c>
      <c r="Y606" t="s">
        <v>2094</v>
      </c>
      <c r="Z606" t="b">
        <v>1</v>
      </c>
      <c r="AB606" t="s">
        <v>1571</v>
      </c>
      <c r="AC606" t="b">
        <v>0</v>
      </c>
    </row>
    <row r="607" spans="1:29" x14ac:dyDescent="0.3">
      <c r="A607" s="57" t="str">
        <f>MEMBERS[[#This Row],[Title]]&amp;MEMBERS[[#This Row],[ServiceStartDate]]</f>
        <v>Penelope Haydn-Lee45150</v>
      </c>
      <c r="B607" s="57">
        <f>IF(COUNTIF(MEMBERS[NameServiceStart],MEMBERS[[#This Row],[NameServiceStart]])=1,0,1)</f>
        <v>0</v>
      </c>
      <c r="C607" s="57">
        <f>IF(COUNTIF(MEMBERS[StaffMemberCode],MEMBERS[[#This Row],[StaffMemberCode]])=1,0,1)</f>
        <v>0</v>
      </c>
      <c r="D607" s="57">
        <f>IF(ISBLANK(MEMBERS[[#This Row],[PayrollLocation]]),0,IF(COUNTIF(SCHOOLS[SchoolCode],MEMBERS[[#This Row],[PayrollLocation]])=1,0,1))</f>
        <v>0</v>
      </c>
      <c r="E607" s="57">
        <f>IF(MEMBERS[[#This Row],[AvailableToAllSchools]]=FALSE,IF(ISBLANK(MEMBERS[[#This Row],[SchoolCodes]]),1,0),IF(MEMBERS[[#This Row],[AvailableToAllSchools]]=TRUE,IF(ISBLANK(MEMBERS[[#This Row],[SchoolCodes]]),0,1)))</f>
        <v>0</v>
      </c>
      <c r="F607" s="57">
        <f>IF(ISBLANK(MEMBERS[[#This Row],[ServiceEndDate]]),0,IF(MEMBERS[[#This Row],[ServiceStartDate]]&lt;MEMBERS[[#This Row],[ServiceEndDate]],0,1))</f>
        <v>0</v>
      </c>
      <c r="G607" s="57" cm="1">
        <f t="array" aca="1" ref="G607" ca="1">IF(CELL("format",MEMBERS[[#This Row],[ServiceStartDate]])="D1",0,1)+IF(CELL("format",MEMBERS[[#This Row],[ServiceEndDate]])="D1",0,1)</f>
        <v>0</v>
      </c>
      <c r="H60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07" s="57">
        <f>IF(LEN(MEMBERS[[#This Row],[StaffMemberCode]])&lt;100,0,1)</f>
        <v>0</v>
      </c>
      <c r="J607" s="57">
        <f>IF(LEN(MEMBERS[[#This Row],[Title]])&lt;100,0,1)</f>
        <v>0</v>
      </c>
      <c r="K607" s="57">
        <f>COUNTBLANK(MEMBERS[[#This Row],[StaffMemberCode]:[ServiceStartDate]])+COUNTBLANK(MEMBERS[[#This Row],[Apprenticeship]]:MEMBERS[[#This Row],[StaffMemberEnabled]])+COUNTBLANK(MEMBERS[[#This Row],[GenderCode]]:MEMBERS[[#This Row],[Casual]])</f>
        <v>0</v>
      </c>
      <c r="L607" s="57">
        <f>IF(SUBSTITUTE(TEXT(MEMBERS[[#This Row],[StaffMemberCode]],10)," ","")=TEXT(MEMBERS[[#This Row],[StaffMemberCode]],10),0,1)</f>
        <v>0</v>
      </c>
      <c r="M607" s="57">
        <f ca="1">SUM(MEMBERS[[#This Row],[Duplicate NameService Start]:[Space in Code]])</f>
        <v>0</v>
      </c>
      <c r="O607" s="15">
        <v>91073954</v>
      </c>
      <c r="P607" s="15" t="s">
        <v>3392</v>
      </c>
      <c r="Q607" s="15" t="s">
        <v>3832</v>
      </c>
      <c r="R607" s="133" t="str">
        <f>MEMBERS[[#This Row],[FirstName]]&amp;" "&amp;MEMBERS[[#This Row],[LastName]]</f>
        <v>Penelope Haydn-Lee</v>
      </c>
      <c r="S607" s="21">
        <v>45150</v>
      </c>
      <c r="U607" s="21">
        <v>28849</v>
      </c>
      <c r="V607" t="b">
        <v>0</v>
      </c>
      <c r="W607" t="b">
        <v>0</v>
      </c>
      <c r="X607" t="b">
        <v>0</v>
      </c>
      <c r="Y607" t="s">
        <v>2299</v>
      </c>
      <c r="Z607" t="b">
        <v>1</v>
      </c>
      <c r="AB607" t="s">
        <v>1571</v>
      </c>
      <c r="AC607" t="b">
        <v>1</v>
      </c>
    </row>
    <row r="608" spans="1:29" x14ac:dyDescent="0.3">
      <c r="A608" s="57" t="str">
        <f>MEMBERS[[#This Row],[Title]]&amp;MEMBERS[[#This Row],[ServiceStartDate]]</f>
        <v>Peter Adams45170</v>
      </c>
      <c r="B608" s="57">
        <f>IF(COUNTIF(MEMBERS[NameServiceStart],MEMBERS[[#This Row],[NameServiceStart]])=1,0,1)</f>
        <v>0</v>
      </c>
      <c r="C608" s="57">
        <f>IF(COUNTIF(MEMBERS[StaffMemberCode],MEMBERS[[#This Row],[StaffMemberCode]])=1,0,1)</f>
        <v>0</v>
      </c>
      <c r="D608" s="57">
        <f>IF(ISBLANK(MEMBERS[[#This Row],[PayrollLocation]]),0,IF(COUNTIF(SCHOOLS[SchoolCode],MEMBERS[[#This Row],[PayrollLocation]])=1,0,1))</f>
        <v>0</v>
      </c>
      <c r="E608" s="57">
        <f>IF(MEMBERS[[#This Row],[AvailableToAllSchools]]=FALSE,IF(ISBLANK(MEMBERS[[#This Row],[SchoolCodes]]),1,0),IF(MEMBERS[[#This Row],[AvailableToAllSchools]]=TRUE,IF(ISBLANK(MEMBERS[[#This Row],[SchoolCodes]]),0,1)))</f>
        <v>0</v>
      </c>
      <c r="F608" s="57">
        <f>IF(ISBLANK(MEMBERS[[#This Row],[ServiceEndDate]]),0,IF(MEMBERS[[#This Row],[ServiceStartDate]]&lt;MEMBERS[[#This Row],[ServiceEndDate]],0,1))</f>
        <v>0</v>
      </c>
      <c r="G608" s="57" cm="1">
        <f t="array" aca="1" ref="G608" ca="1">IF(CELL("format",MEMBERS[[#This Row],[ServiceStartDate]])="D1",0,1)+IF(CELL("format",MEMBERS[[#This Row],[ServiceEndDate]])="D1",0,1)</f>
        <v>0</v>
      </c>
      <c r="H60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08" s="57">
        <f>IF(LEN(MEMBERS[[#This Row],[StaffMemberCode]])&lt;100,0,1)</f>
        <v>0</v>
      </c>
      <c r="J608" s="57">
        <f>IF(LEN(MEMBERS[[#This Row],[Title]])&lt;100,0,1)</f>
        <v>0</v>
      </c>
      <c r="K608" s="57">
        <f>COUNTBLANK(MEMBERS[[#This Row],[StaffMemberCode]:[ServiceStartDate]])+COUNTBLANK(MEMBERS[[#This Row],[Apprenticeship]]:MEMBERS[[#This Row],[StaffMemberEnabled]])+COUNTBLANK(MEMBERS[[#This Row],[GenderCode]]:MEMBERS[[#This Row],[Casual]])</f>
        <v>0</v>
      </c>
      <c r="L608" s="57">
        <f>IF(SUBSTITUTE(TEXT(MEMBERS[[#This Row],[StaffMemberCode]],10)," ","")=TEXT(MEMBERS[[#This Row],[StaffMemberCode]],10),0,1)</f>
        <v>0</v>
      </c>
      <c r="M608" s="57">
        <f ca="1">SUM(MEMBERS[[#This Row],[Duplicate NameService Start]:[Space in Code]])</f>
        <v>0</v>
      </c>
      <c r="O608" s="15">
        <v>10012808</v>
      </c>
      <c r="P608" s="15" t="s">
        <v>3999</v>
      </c>
      <c r="Q608" s="15" t="s">
        <v>4113</v>
      </c>
      <c r="R608" s="133" t="str">
        <f>MEMBERS[[#This Row],[FirstName]]&amp;" "&amp;MEMBERS[[#This Row],[LastName]]</f>
        <v>Peter Adams</v>
      </c>
      <c r="S608" s="21">
        <v>45170</v>
      </c>
      <c r="U608" s="21">
        <v>26081</v>
      </c>
      <c r="V608" s="138" t="b">
        <v>0</v>
      </c>
      <c r="W608" t="b">
        <v>0</v>
      </c>
      <c r="X608" t="b">
        <v>0</v>
      </c>
      <c r="Y608" t="s">
        <v>2126</v>
      </c>
      <c r="Z608" t="b">
        <v>1</v>
      </c>
      <c r="AB608" t="s">
        <v>1572</v>
      </c>
      <c r="AC608" t="b">
        <v>0</v>
      </c>
    </row>
    <row r="609" spans="1:29" x14ac:dyDescent="0.3">
      <c r="A609" s="57" t="str">
        <f>MEMBERS[[#This Row],[Title]]&amp;MEMBERS[[#This Row],[ServiceStartDate]]</f>
        <v>Philip Batty44805</v>
      </c>
      <c r="B609" s="57">
        <f>IF(COUNTIF(MEMBERS[NameServiceStart],MEMBERS[[#This Row],[NameServiceStart]])=1,0,1)</f>
        <v>0</v>
      </c>
      <c r="C609" s="57">
        <f>IF(COUNTIF(MEMBERS[StaffMemberCode],MEMBERS[[#This Row],[StaffMemberCode]])=1,0,1)</f>
        <v>0</v>
      </c>
      <c r="D609" s="57">
        <f>IF(ISBLANK(MEMBERS[[#This Row],[PayrollLocation]]),0,IF(COUNTIF(SCHOOLS[SchoolCode],MEMBERS[[#This Row],[PayrollLocation]])=1,0,1))</f>
        <v>0</v>
      </c>
      <c r="E609" s="57">
        <f>IF(MEMBERS[[#This Row],[AvailableToAllSchools]]=FALSE,IF(ISBLANK(MEMBERS[[#This Row],[SchoolCodes]]),1,0),IF(MEMBERS[[#This Row],[AvailableToAllSchools]]=TRUE,IF(ISBLANK(MEMBERS[[#This Row],[SchoolCodes]]),0,1)))</f>
        <v>0</v>
      </c>
      <c r="F609" s="57">
        <f>IF(ISBLANK(MEMBERS[[#This Row],[ServiceEndDate]]),0,IF(MEMBERS[[#This Row],[ServiceStartDate]]&lt;MEMBERS[[#This Row],[ServiceEndDate]],0,1))</f>
        <v>0</v>
      </c>
      <c r="G609" s="57" cm="1">
        <f t="array" aca="1" ref="G609" ca="1">IF(CELL("format",MEMBERS[[#This Row],[ServiceStartDate]])="D1",0,1)+IF(CELL("format",MEMBERS[[#This Row],[ServiceEndDate]])="D1",0,1)</f>
        <v>0</v>
      </c>
      <c r="H60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09" s="57">
        <f>IF(LEN(MEMBERS[[#This Row],[StaffMemberCode]])&lt;100,0,1)</f>
        <v>0</v>
      </c>
      <c r="J609" s="57">
        <f>IF(LEN(MEMBERS[[#This Row],[Title]])&lt;100,0,1)</f>
        <v>0</v>
      </c>
      <c r="K609" s="57">
        <f>COUNTBLANK(MEMBERS[[#This Row],[StaffMemberCode]:[ServiceStartDate]])+COUNTBLANK(MEMBERS[[#This Row],[Apprenticeship]]:MEMBERS[[#This Row],[StaffMemberEnabled]])+COUNTBLANK(MEMBERS[[#This Row],[GenderCode]]:MEMBERS[[#This Row],[Casual]])</f>
        <v>0</v>
      </c>
      <c r="L609" s="57">
        <f>IF(SUBSTITUTE(TEXT(MEMBERS[[#This Row],[StaffMemberCode]],10)," ","")=TEXT(MEMBERS[[#This Row],[StaffMemberCode]],10),0,1)</f>
        <v>0</v>
      </c>
      <c r="M609" s="57">
        <f ca="1">SUM(MEMBERS[[#This Row],[Duplicate NameService Start]:[Space in Code]])</f>
        <v>0</v>
      </c>
      <c r="O609" s="15">
        <v>10010501</v>
      </c>
      <c r="P609" s="15" t="s">
        <v>4000</v>
      </c>
      <c r="Q609" s="15" t="s">
        <v>4083</v>
      </c>
      <c r="R609" s="133" t="str">
        <f>MEMBERS[[#This Row],[FirstName]]&amp;" "&amp;MEMBERS[[#This Row],[LastName]]</f>
        <v>Philip Batty</v>
      </c>
      <c r="S609" s="21">
        <v>44805</v>
      </c>
      <c r="U609" s="21">
        <v>29729</v>
      </c>
      <c r="V609" s="138" t="b">
        <v>0</v>
      </c>
      <c r="W609" t="b">
        <v>0</v>
      </c>
      <c r="X609" t="b">
        <v>0</v>
      </c>
      <c r="Y609" t="s">
        <v>2126</v>
      </c>
      <c r="Z609" t="b">
        <v>1</v>
      </c>
      <c r="AB609" t="s">
        <v>1572</v>
      </c>
      <c r="AC609" t="b">
        <v>0</v>
      </c>
    </row>
    <row r="610" spans="1:29" x14ac:dyDescent="0.3">
      <c r="A610" s="57" t="str">
        <f>MEMBERS[[#This Row],[Title]]&amp;MEMBERS[[#This Row],[ServiceStartDate]]</f>
        <v>Philip Sweetman40087</v>
      </c>
      <c r="B610" s="57">
        <f>IF(COUNTIF(MEMBERS[NameServiceStart],MEMBERS[[#This Row],[NameServiceStart]])=1,0,1)</f>
        <v>0</v>
      </c>
      <c r="C610" s="57">
        <f>IF(COUNTIF(MEMBERS[StaffMemberCode],MEMBERS[[#This Row],[StaffMemberCode]])=1,0,1)</f>
        <v>0</v>
      </c>
      <c r="D610" s="57">
        <f>IF(ISBLANK(MEMBERS[[#This Row],[PayrollLocation]]),0,IF(COUNTIF(SCHOOLS[SchoolCode],MEMBERS[[#This Row],[PayrollLocation]])=1,0,1))</f>
        <v>0</v>
      </c>
      <c r="E610" s="57">
        <f>IF(MEMBERS[[#This Row],[AvailableToAllSchools]]=FALSE,IF(ISBLANK(MEMBERS[[#This Row],[SchoolCodes]]),1,0),IF(MEMBERS[[#This Row],[AvailableToAllSchools]]=TRUE,IF(ISBLANK(MEMBERS[[#This Row],[SchoolCodes]]),0,1)))</f>
        <v>0</v>
      </c>
      <c r="F610" s="57">
        <f>IF(ISBLANK(MEMBERS[[#This Row],[ServiceEndDate]]),0,IF(MEMBERS[[#This Row],[ServiceStartDate]]&lt;MEMBERS[[#This Row],[ServiceEndDate]],0,1))</f>
        <v>0</v>
      </c>
      <c r="G610" s="57" cm="1">
        <f t="array" aca="1" ref="G610" ca="1">IF(CELL("format",MEMBERS[[#This Row],[ServiceStartDate]])="D1",0,1)+IF(CELL("format",MEMBERS[[#This Row],[ServiceEndDate]])="D1",0,1)</f>
        <v>0</v>
      </c>
      <c r="H61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10" s="57">
        <f>IF(LEN(MEMBERS[[#This Row],[StaffMemberCode]])&lt;100,0,1)</f>
        <v>0</v>
      </c>
      <c r="J610" s="57">
        <f>IF(LEN(MEMBERS[[#This Row],[Title]])&lt;100,0,1)</f>
        <v>0</v>
      </c>
      <c r="K610" s="57">
        <f>COUNTBLANK(MEMBERS[[#This Row],[StaffMemberCode]:[ServiceStartDate]])+COUNTBLANK(MEMBERS[[#This Row],[Apprenticeship]]:MEMBERS[[#This Row],[StaffMemberEnabled]])+COUNTBLANK(MEMBERS[[#This Row],[GenderCode]]:MEMBERS[[#This Row],[Casual]])</f>
        <v>0</v>
      </c>
      <c r="L610" s="57">
        <f>IF(SUBSTITUTE(TEXT(MEMBERS[[#This Row],[StaffMemberCode]],10)," ","")=TEXT(MEMBERS[[#This Row],[StaffMemberCode]],10),0,1)</f>
        <v>0</v>
      </c>
      <c r="M610" s="57">
        <f ca="1">SUM(MEMBERS[[#This Row],[Duplicate NameService Start]:[Space in Code]])</f>
        <v>0</v>
      </c>
      <c r="O610" s="15">
        <v>10005342</v>
      </c>
      <c r="P610" s="15" t="s">
        <v>4000</v>
      </c>
      <c r="Q610" s="15" t="s">
        <v>4114</v>
      </c>
      <c r="R610" s="133" t="str">
        <f>MEMBERS[[#This Row],[FirstName]]&amp;" "&amp;MEMBERS[[#This Row],[LastName]]</f>
        <v>Philip Sweetman</v>
      </c>
      <c r="S610" s="21">
        <v>40087</v>
      </c>
      <c r="U610" s="21">
        <v>30594</v>
      </c>
      <c r="V610" s="138" t="b">
        <v>0</v>
      </c>
      <c r="W610" t="b">
        <v>0</v>
      </c>
      <c r="X610" t="b">
        <v>0</v>
      </c>
      <c r="Y610" t="s">
        <v>2126</v>
      </c>
      <c r="Z610" t="b">
        <v>1</v>
      </c>
      <c r="AB610" t="s">
        <v>1572</v>
      </c>
      <c r="AC610" t="b">
        <v>0</v>
      </c>
    </row>
    <row r="611" spans="1:29" x14ac:dyDescent="0.3">
      <c r="A611" s="57" t="str">
        <f>MEMBERS[[#This Row],[Title]]&amp;MEMBERS[[#This Row],[ServiceStartDate]]</f>
        <v>Philippa Dembski43843</v>
      </c>
      <c r="B611" s="57">
        <f>IF(COUNTIF(MEMBERS[NameServiceStart],MEMBERS[[#This Row],[NameServiceStart]])=1,0,1)</f>
        <v>0</v>
      </c>
      <c r="C611" s="57">
        <f>IF(COUNTIF(MEMBERS[StaffMemberCode],MEMBERS[[#This Row],[StaffMemberCode]])=1,0,1)</f>
        <v>0</v>
      </c>
      <c r="D611" s="57">
        <f>IF(ISBLANK(MEMBERS[[#This Row],[PayrollLocation]]),0,IF(COUNTIF(SCHOOLS[SchoolCode],MEMBERS[[#This Row],[PayrollLocation]])=1,0,1))</f>
        <v>0</v>
      </c>
      <c r="E611" s="57">
        <f>IF(MEMBERS[[#This Row],[AvailableToAllSchools]]=FALSE,IF(ISBLANK(MEMBERS[[#This Row],[SchoolCodes]]),1,0),IF(MEMBERS[[#This Row],[AvailableToAllSchools]]=TRUE,IF(ISBLANK(MEMBERS[[#This Row],[SchoolCodes]]),0,1)))</f>
        <v>0</v>
      </c>
      <c r="F611" s="57">
        <f>IF(ISBLANK(MEMBERS[[#This Row],[ServiceEndDate]]),0,IF(MEMBERS[[#This Row],[ServiceStartDate]]&lt;MEMBERS[[#This Row],[ServiceEndDate]],0,1))</f>
        <v>0</v>
      </c>
      <c r="G611" s="57" cm="1">
        <f t="array" aca="1" ref="G611" ca="1">IF(CELL("format",MEMBERS[[#This Row],[ServiceStartDate]])="D1",0,1)+IF(CELL("format",MEMBERS[[#This Row],[ServiceEndDate]])="D1",0,1)</f>
        <v>0</v>
      </c>
      <c r="H61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11" s="57">
        <f>IF(LEN(MEMBERS[[#This Row],[StaffMemberCode]])&lt;100,0,1)</f>
        <v>0</v>
      </c>
      <c r="J611" s="57">
        <f>IF(LEN(MEMBERS[[#This Row],[Title]])&lt;100,0,1)</f>
        <v>0</v>
      </c>
      <c r="K611" s="57">
        <f>COUNTBLANK(MEMBERS[[#This Row],[StaffMemberCode]:[ServiceStartDate]])+COUNTBLANK(MEMBERS[[#This Row],[Apprenticeship]]:MEMBERS[[#This Row],[StaffMemberEnabled]])+COUNTBLANK(MEMBERS[[#This Row],[GenderCode]]:MEMBERS[[#This Row],[Casual]])</f>
        <v>0</v>
      </c>
      <c r="L611" s="57">
        <f>IF(SUBSTITUTE(TEXT(MEMBERS[[#This Row],[StaffMemberCode]],10)," ","")=TEXT(MEMBERS[[#This Row],[StaffMemberCode]],10),0,1)</f>
        <v>0</v>
      </c>
      <c r="M611" s="57">
        <f ca="1">SUM(MEMBERS[[#This Row],[Duplicate NameService Start]:[Space in Code]])</f>
        <v>0</v>
      </c>
      <c r="O611" s="15">
        <v>91073416</v>
      </c>
      <c r="P611" s="15" t="s">
        <v>3393</v>
      </c>
      <c r="Q611" s="15" t="s">
        <v>3833</v>
      </c>
      <c r="R611" s="133" t="str">
        <f>MEMBERS[[#This Row],[FirstName]]&amp;" "&amp;MEMBERS[[#This Row],[LastName]]</f>
        <v>Philippa Dembski</v>
      </c>
      <c r="S611" s="21">
        <v>43843</v>
      </c>
      <c r="U611" s="21">
        <v>33331</v>
      </c>
      <c r="V611" t="b">
        <v>0</v>
      </c>
      <c r="W611" t="b">
        <v>0</v>
      </c>
      <c r="X611" t="b">
        <v>0</v>
      </c>
      <c r="Y611" t="s">
        <v>2275</v>
      </c>
      <c r="Z611" t="b">
        <v>1</v>
      </c>
      <c r="AB611" t="s">
        <v>1571</v>
      </c>
      <c r="AC611" t="b">
        <v>0</v>
      </c>
    </row>
    <row r="612" spans="1:29" x14ac:dyDescent="0.3">
      <c r="A612" s="57" t="str">
        <f>MEMBERS[[#This Row],[Title]]&amp;MEMBERS[[#This Row],[ServiceStartDate]]</f>
        <v>Philippa Dutton43744</v>
      </c>
      <c r="B612" s="57">
        <f>IF(COUNTIF(MEMBERS[NameServiceStart],MEMBERS[[#This Row],[NameServiceStart]])=1,0,1)</f>
        <v>0</v>
      </c>
      <c r="C612" s="57">
        <f>IF(COUNTIF(MEMBERS[StaffMemberCode],MEMBERS[[#This Row],[StaffMemberCode]])=1,0,1)</f>
        <v>0</v>
      </c>
      <c r="D612" s="57">
        <f>IF(ISBLANK(MEMBERS[[#This Row],[PayrollLocation]]),0,IF(COUNTIF(SCHOOLS[SchoolCode],MEMBERS[[#This Row],[PayrollLocation]])=1,0,1))</f>
        <v>0</v>
      </c>
      <c r="E612" s="57">
        <f>IF(MEMBERS[[#This Row],[AvailableToAllSchools]]=FALSE,IF(ISBLANK(MEMBERS[[#This Row],[SchoolCodes]]),1,0),IF(MEMBERS[[#This Row],[AvailableToAllSchools]]=TRUE,IF(ISBLANK(MEMBERS[[#This Row],[SchoolCodes]]),0,1)))</f>
        <v>0</v>
      </c>
      <c r="F612" s="57">
        <f>IF(ISBLANK(MEMBERS[[#This Row],[ServiceEndDate]]),0,IF(MEMBERS[[#This Row],[ServiceStartDate]]&lt;MEMBERS[[#This Row],[ServiceEndDate]],0,1))</f>
        <v>0</v>
      </c>
      <c r="G612" s="57" cm="1">
        <f t="array" aca="1" ref="G612" ca="1">IF(CELL("format",MEMBERS[[#This Row],[ServiceStartDate]])="D1",0,1)+IF(CELL("format",MEMBERS[[#This Row],[ServiceEndDate]])="D1",0,1)</f>
        <v>0</v>
      </c>
      <c r="H61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12" s="57">
        <f>IF(LEN(MEMBERS[[#This Row],[StaffMemberCode]])&lt;100,0,1)</f>
        <v>0</v>
      </c>
      <c r="J612" s="57">
        <f>IF(LEN(MEMBERS[[#This Row],[Title]])&lt;100,0,1)</f>
        <v>0</v>
      </c>
      <c r="K612" s="57">
        <f>COUNTBLANK(MEMBERS[[#This Row],[StaffMemberCode]:[ServiceStartDate]])+COUNTBLANK(MEMBERS[[#This Row],[Apprenticeship]]:MEMBERS[[#This Row],[StaffMemberEnabled]])+COUNTBLANK(MEMBERS[[#This Row],[GenderCode]]:MEMBERS[[#This Row],[Casual]])</f>
        <v>0</v>
      </c>
      <c r="L612" s="57">
        <f>IF(SUBSTITUTE(TEXT(MEMBERS[[#This Row],[StaffMemberCode]],10)," ","")=TEXT(MEMBERS[[#This Row],[StaffMemberCode]],10),0,1)</f>
        <v>0</v>
      </c>
      <c r="M612" s="57">
        <f ca="1">SUM(MEMBERS[[#This Row],[Duplicate NameService Start]:[Space in Code]])</f>
        <v>0</v>
      </c>
      <c r="O612" s="15">
        <v>91073840</v>
      </c>
      <c r="P612" s="15" t="s">
        <v>3393</v>
      </c>
      <c r="Q612" s="15" t="s">
        <v>3834</v>
      </c>
      <c r="R612" s="133" t="str">
        <f>MEMBERS[[#This Row],[FirstName]]&amp;" "&amp;MEMBERS[[#This Row],[LastName]]</f>
        <v>Philippa Dutton</v>
      </c>
      <c r="S612" s="21">
        <v>43744</v>
      </c>
      <c r="U612" s="21">
        <v>35179</v>
      </c>
      <c r="V612" t="b">
        <v>0</v>
      </c>
      <c r="W612" t="b">
        <v>0</v>
      </c>
      <c r="X612" t="b">
        <v>0</v>
      </c>
      <c r="Y612" t="s">
        <v>2082</v>
      </c>
      <c r="Z612" t="b">
        <v>1</v>
      </c>
      <c r="AB612" t="s">
        <v>1571</v>
      </c>
      <c r="AC612" t="b">
        <v>0</v>
      </c>
    </row>
    <row r="613" spans="1:29" x14ac:dyDescent="0.3">
      <c r="A613" s="57" t="str">
        <f>MEMBERS[[#This Row],[Title]]&amp;MEMBERS[[#This Row],[ServiceStartDate]]</f>
        <v>Philippe Blenkiron43109</v>
      </c>
      <c r="B613" s="57">
        <f>IF(COUNTIF(MEMBERS[NameServiceStart],MEMBERS[[#This Row],[NameServiceStart]])=1,0,1)</f>
        <v>0</v>
      </c>
      <c r="C613" s="57">
        <f>IF(COUNTIF(MEMBERS[StaffMemberCode],MEMBERS[[#This Row],[StaffMemberCode]])=1,0,1)</f>
        <v>0</v>
      </c>
      <c r="D613" s="57">
        <f>IF(ISBLANK(MEMBERS[[#This Row],[PayrollLocation]]),0,IF(COUNTIF(SCHOOLS[SchoolCode],MEMBERS[[#This Row],[PayrollLocation]])=1,0,1))</f>
        <v>0</v>
      </c>
      <c r="E613" s="57">
        <f>IF(MEMBERS[[#This Row],[AvailableToAllSchools]]=FALSE,IF(ISBLANK(MEMBERS[[#This Row],[SchoolCodes]]),1,0),IF(MEMBERS[[#This Row],[AvailableToAllSchools]]=TRUE,IF(ISBLANK(MEMBERS[[#This Row],[SchoolCodes]]),0,1)))</f>
        <v>0</v>
      </c>
      <c r="F613" s="57">
        <f>IF(ISBLANK(MEMBERS[[#This Row],[ServiceEndDate]]),0,IF(MEMBERS[[#This Row],[ServiceStartDate]]&lt;MEMBERS[[#This Row],[ServiceEndDate]],0,1))</f>
        <v>0</v>
      </c>
      <c r="G613" s="57" cm="1">
        <f t="array" aca="1" ref="G613" ca="1">IF(CELL("format",MEMBERS[[#This Row],[ServiceStartDate]])="D1",0,1)+IF(CELL("format",MEMBERS[[#This Row],[ServiceEndDate]])="D1",0,1)</f>
        <v>0</v>
      </c>
      <c r="H61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13" s="57">
        <f>IF(LEN(MEMBERS[[#This Row],[StaffMemberCode]])&lt;100,0,1)</f>
        <v>0</v>
      </c>
      <c r="J613" s="57">
        <f>IF(LEN(MEMBERS[[#This Row],[Title]])&lt;100,0,1)</f>
        <v>0</v>
      </c>
      <c r="K613" s="57">
        <f>COUNTBLANK(MEMBERS[[#This Row],[StaffMemberCode]:[ServiceStartDate]])+COUNTBLANK(MEMBERS[[#This Row],[Apprenticeship]]:MEMBERS[[#This Row],[StaffMemberEnabled]])+COUNTBLANK(MEMBERS[[#This Row],[GenderCode]]:MEMBERS[[#This Row],[Casual]])</f>
        <v>0</v>
      </c>
      <c r="L613" s="57">
        <f>IF(SUBSTITUTE(TEXT(MEMBERS[[#This Row],[StaffMemberCode]],10)," ","")=TEXT(MEMBERS[[#This Row],[StaffMemberCode]],10),0,1)</f>
        <v>0</v>
      </c>
      <c r="M613" s="57">
        <f ca="1">SUM(MEMBERS[[#This Row],[Duplicate NameService Start]:[Space in Code]])</f>
        <v>0</v>
      </c>
      <c r="O613" s="15">
        <v>91073649</v>
      </c>
      <c r="P613" s="15" t="s">
        <v>3394</v>
      </c>
      <c r="Q613" s="15" t="s">
        <v>3835</v>
      </c>
      <c r="R613" s="133" t="str">
        <f>MEMBERS[[#This Row],[FirstName]]&amp;" "&amp;MEMBERS[[#This Row],[LastName]]</f>
        <v>Philippe Blenkiron</v>
      </c>
      <c r="S613" s="21">
        <v>43109</v>
      </c>
      <c r="U613" s="21">
        <v>32482</v>
      </c>
      <c r="V613" t="b">
        <v>0</v>
      </c>
      <c r="W613" t="b">
        <v>0</v>
      </c>
      <c r="X613" t="b">
        <v>0</v>
      </c>
      <c r="Y613" t="s">
        <v>2089</v>
      </c>
      <c r="Z613" t="b">
        <v>1</v>
      </c>
      <c r="AB613" t="s">
        <v>1572</v>
      </c>
      <c r="AC613" t="b">
        <v>0</v>
      </c>
    </row>
    <row r="614" spans="1:29" x14ac:dyDescent="0.3">
      <c r="A614" s="57" t="str">
        <f>MEMBERS[[#This Row],[Title]]&amp;MEMBERS[[#This Row],[ServiceStartDate]]</f>
        <v>Phillip Hemmings43521</v>
      </c>
      <c r="B614" s="57">
        <f>IF(COUNTIF(MEMBERS[NameServiceStart],MEMBERS[[#This Row],[NameServiceStart]])=1,0,1)</f>
        <v>0</v>
      </c>
      <c r="C614" s="57">
        <f>IF(COUNTIF(MEMBERS[StaffMemberCode],MEMBERS[[#This Row],[StaffMemberCode]])=1,0,1)</f>
        <v>0</v>
      </c>
      <c r="D614" s="57">
        <f>IF(ISBLANK(MEMBERS[[#This Row],[PayrollLocation]]),0,IF(COUNTIF(SCHOOLS[SchoolCode],MEMBERS[[#This Row],[PayrollLocation]])=1,0,1))</f>
        <v>0</v>
      </c>
      <c r="E614" s="57">
        <f>IF(MEMBERS[[#This Row],[AvailableToAllSchools]]=FALSE,IF(ISBLANK(MEMBERS[[#This Row],[SchoolCodes]]),1,0),IF(MEMBERS[[#This Row],[AvailableToAllSchools]]=TRUE,IF(ISBLANK(MEMBERS[[#This Row],[SchoolCodes]]),0,1)))</f>
        <v>0</v>
      </c>
      <c r="F614" s="57">
        <f>IF(ISBLANK(MEMBERS[[#This Row],[ServiceEndDate]]),0,IF(MEMBERS[[#This Row],[ServiceStartDate]]&lt;MEMBERS[[#This Row],[ServiceEndDate]],0,1))</f>
        <v>0</v>
      </c>
      <c r="G614" s="57" cm="1">
        <f t="array" aca="1" ref="G614" ca="1">IF(CELL("format",MEMBERS[[#This Row],[ServiceStartDate]])="D1",0,1)+IF(CELL("format",MEMBERS[[#This Row],[ServiceEndDate]])="D1",0,1)</f>
        <v>0</v>
      </c>
      <c r="H61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14" s="57">
        <f>IF(LEN(MEMBERS[[#This Row],[StaffMemberCode]])&lt;100,0,1)</f>
        <v>0</v>
      </c>
      <c r="J614" s="57">
        <f>IF(LEN(MEMBERS[[#This Row],[Title]])&lt;100,0,1)</f>
        <v>0</v>
      </c>
      <c r="K614" s="57">
        <f>COUNTBLANK(MEMBERS[[#This Row],[StaffMemberCode]:[ServiceStartDate]])+COUNTBLANK(MEMBERS[[#This Row],[Apprenticeship]]:MEMBERS[[#This Row],[StaffMemberEnabled]])+COUNTBLANK(MEMBERS[[#This Row],[GenderCode]]:MEMBERS[[#This Row],[Casual]])</f>
        <v>0</v>
      </c>
      <c r="L614" s="57">
        <f>IF(SUBSTITUTE(TEXT(MEMBERS[[#This Row],[StaffMemberCode]],10)," ","")=TEXT(MEMBERS[[#This Row],[StaffMemberCode]],10),0,1)</f>
        <v>0</v>
      </c>
      <c r="M614" s="57">
        <f ca="1">SUM(MEMBERS[[#This Row],[Duplicate NameService Start]:[Space in Code]])</f>
        <v>0</v>
      </c>
      <c r="O614" s="15">
        <v>91073906</v>
      </c>
      <c r="P614" s="15" t="s">
        <v>3395</v>
      </c>
      <c r="Q614" s="15" t="s">
        <v>3787</v>
      </c>
      <c r="R614" s="133" t="str">
        <f>MEMBERS[[#This Row],[FirstName]]&amp;" "&amp;MEMBERS[[#This Row],[LastName]]</f>
        <v>Phillip Hemmings</v>
      </c>
      <c r="S614" s="21">
        <v>43521</v>
      </c>
      <c r="U614" s="21">
        <v>30080</v>
      </c>
      <c r="V614" t="b">
        <v>0</v>
      </c>
      <c r="W614" t="b">
        <v>0</v>
      </c>
      <c r="X614" t="b">
        <v>0</v>
      </c>
      <c r="Y614" t="s">
        <v>51</v>
      </c>
      <c r="Z614" t="b">
        <v>1</v>
      </c>
      <c r="AB614" t="s">
        <v>1572</v>
      </c>
      <c r="AC614" t="b">
        <v>0</v>
      </c>
    </row>
    <row r="615" spans="1:29" x14ac:dyDescent="0.3">
      <c r="A615" s="57" t="str">
        <f>MEMBERS[[#This Row],[Title]]&amp;MEMBERS[[#This Row],[ServiceStartDate]]</f>
        <v>Pierce Johnson43474</v>
      </c>
      <c r="B615" s="57">
        <f>IF(COUNTIF(MEMBERS[NameServiceStart],MEMBERS[[#This Row],[NameServiceStart]])=1,0,1)</f>
        <v>0</v>
      </c>
      <c r="C615" s="57">
        <f>IF(COUNTIF(MEMBERS[StaffMemberCode],MEMBERS[[#This Row],[StaffMemberCode]])=1,0,1)</f>
        <v>0</v>
      </c>
      <c r="D615" s="57">
        <f>IF(ISBLANK(MEMBERS[[#This Row],[PayrollLocation]]),0,IF(COUNTIF(SCHOOLS[SchoolCode],MEMBERS[[#This Row],[PayrollLocation]])=1,0,1))</f>
        <v>0</v>
      </c>
      <c r="E615" s="57">
        <f>IF(MEMBERS[[#This Row],[AvailableToAllSchools]]=FALSE,IF(ISBLANK(MEMBERS[[#This Row],[SchoolCodes]]),1,0),IF(MEMBERS[[#This Row],[AvailableToAllSchools]]=TRUE,IF(ISBLANK(MEMBERS[[#This Row],[SchoolCodes]]),0,1)))</f>
        <v>0</v>
      </c>
      <c r="F615" s="57">
        <f>IF(ISBLANK(MEMBERS[[#This Row],[ServiceEndDate]]),0,IF(MEMBERS[[#This Row],[ServiceStartDate]]&lt;MEMBERS[[#This Row],[ServiceEndDate]],0,1))</f>
        <v>0</v>
      </c>
      <c r="G615" s="57" cm="1">
        <f t="array" aca="1" ref="G615" ca="1">IF(CELL("format",MEMBERS[[#This Row],[ServiceStartDate]])="D1",0,1)+IF(CELL("format",MEMBERS[[#This Row],[ServiceEndDate]])="D1",0,1)</f>
        <v>0</v>
      </c>
      <c r="H61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15" s="57">
        <f>IF(LEN(MEMBERS[[#This Row],[StaffMemberCode]])&lt;100,0,1)</f>
        <v>0</v>
      </c>
      <c r="J615" s="57">
        <f>IF(LEN(MEMBERS[[#This Row],[Title]])&lt;100,0,1)</f>
        <v>0</v>
      </c>
      <c r="K615" s="57">
        <f>COUNTBLANK(MEMBERS[[#This Row],[StaffMemberCode]:[ServiceStartDate]])+COUNTBLANK(MEMBERS[[#This Row],[Apprenticeship]]:MEMBERS[[#This Row],[StaffMemberEnabled]])+COUNTBLANK(MEMBERS[[#This Row],[GenderCode]]:MEMBERS[[#This Row],[Casual]])</f>
        <v>0</v>
      </c>
      <c r="L615" s="57">
        <f>IF(SUBSTITUTE(TEXT(MEMBERS[[#This Row],[StaffMemberCode]],10)," ","")=TEXT(MEMBERS[[#This Row],[StaffMemberCode]],10),0,1)</f>
        <v>0</v>
      </c>
      <c r="M615" s="57">
        <f ca="1">SUM(MEMBERS[[#This Row],[Duplicate NameService Start]:[Space in Code]])</f>
        <v>0</v>
      </c>
      <c r="O615" s="15">
        <v>91073754</v>
      </c>
      <c r="P615" s="15" t="s">
        <v>3396</v>
      </c>
      <c r="Q615" s="15" t="s">
        <v>3836</v>
      </c>
      <c r="R615" s="133" t="str">
        <f>MEMBERS[[#This Row],[FirstName]]&amp;" "&amp;MEMBERS[[#This Row],[LastName]]</f>
        <v>Pierce Johnson</v>
      </c>
      <c r="S615" s="21">
        <v>43474</v>
      </c>
      <c r="U615" s="21">
        <v>36231</v>
      </c>
      <c r="V615" t="b">
        <v>0</v>
      </c>
      <c r="W615" t="b">
        <v>0</v>
      </c>
      <c r="X615" t="b">
        <v>0</v>
      </c>
      <c r="Y615" t="s">
        <v>2082</v>
      </c>
      <c r="Z615" t="b">
        <v>1</v>
      </c>
      <c r="AB615" t="s">
        <v>1572</v>
      </c>
      <c r="AC615" t="b">
        <v>0</v>
      </c>
    </row>
    <row r="616" spans="1:29" x14ac:dyDescent="0.3">
      <c r="A616" s="57" t="str">
        <f>MEMBERS[[#This Row],[Title]]&amp;MEMBERS[[#This Row],[ServiceStartDate]]</f>
        <v>Polly Holden44570</v>
      </c>
      <c r="B616" s="57">
        <f>IF(COUNTIF(MEMBERS[NameServiceStart],MEMBERS[[#This Row],[NameServiceStart]])=1,0,1)</f>
        <v>0</v>
      </c>
      <c r="C616" s="57">
        <f>IF(COUNTIF(MEMBERS[StaffMemberCode],MEMBERS[[#This Row],[StaffMemberCode]])=1,0,1)</f>
        <v>0</v>
      </c>
      <c r="D616" s="57">
        <f>IF(ISBLANK(MEMBERS[[#This Row],[PayrollLocation]]),0,IF(COUNTIF(SCHOOLS[SchoolCode],MEMBERS[[#This Row],[PayrollLocation]])=1,0,1))</f>
        <v>0</v>
      </c>
      <c r="E616" s="57">
        <f>IF(MEMBERS[[#This Row],[AvailableToAllSchools]]=FALSE,IF(ISBLANK(MEMBERS[[#This Row],[SchoolCodes]]),1,0),IF(MEMBERS[[#This Row],[AvailableToAllSchools]]=TRUE,IF(ISBLANK(MEMBERS[[#This Row],[SchoolCodes]]),0,1)))</f>
        <v>0</v>
      </c>
      <c r="F616" s="57">
        <f>IF(ISBLANK(MEMBERS[[#This Row],[ServiceEndDate]]),0,IF(MEMBERS[[#This Row],[ServiceStartDate]]&lt;MEMBERS[[#This Row],[ServiceEndDate]],0,1))</f>
        <v>0</v>
      </c>
      <c r="G616" s="57" cm="1">
        <f t="array" aca="1" ref="G616" ca="1">IF(CELL("format",MEMBERS[[#This Row],[ServiceStartDate]])="D1",0,1)+IF(CELL("format",MEMBERS[[#This Row],[ServiceEndDate]])="D1",0,1)</f>
        <v>0</v>
      </c>
      <c r="H61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16" s="57">
        <f>IF(LEN(MEMBERS[[#This Row],[StaffMemberCode]])&lt;100,0,1)</f>
        <v>0</v>
      </c>
      <c r="J616" s="57">
        <f>IF(LEN(MEMBERS[[#This Row],[Title]])&lt;100,0,1)</f>
        <v>0</v>
      </c>
      <c r="K616" s="57">
        <f>COUNTBLANK(MEMBERS[[#This Row],[StaffMemberCode]:[ServiceStartDate]])+COUNTBLANK(MEMBERS[[#This Row],[Apprenticeship]]:MEMBERS[[#This Row],[StaffMemberEnabled]])+COUNTBLANK(MEMBERS[[#This Row],[GenderCode]]:MEMBERS[[#This Row],[Casual]])</f>
        <v>0</v>
      </c>
      <c r="L616" s="57">
        <f>IF(SUBSTITUTE(TEXT(MEMBERS[[#This Row],[StaffMemberCode]],10)," ","")=TEXT(MEMBERS[[#This Row],[StaffMemberCode]],10),0,1)</f>
        <v>0</v>
      </c>
      <c r="M616" s="57">
        <f ca="1">SUM(MEMBERS[[#This Row],[Duplicate NameService Start]:[Space in Code]])</f>
        <v>0</v>
      </c>
      <c r="O616" s="15">
        <v>91073818</v>
      </c>
      <c r="P616" s="15" t="s">
        <v>3397</v>
      </c>
      <c r="Q616" s="15" t="s">
        <v>3594</v>
      </c>
      <c r="R616" s="133" t="str">
        <f>MEMBERS[[#This Row],[FirstName]]&amp;" "&amp;MEMBERS[[#This Row],[LastName]]</f>
        <v>Polly Holden</v>
      </c>
      <c r="S616" s="21">
        <v>44570</v>
      </c>
      <c r="U616" s="21">
        <v>36386</v>
      </c>
      <c r="V616" t="b">
        <v>0</v>
      </c>
      <c r="W616" t="b">
        <v>0</v>
      </c>
      <c r="X616" t="b">
        <v>0</v>
      </c>
      <c r="Y616" t="s">
        <v>2082</v>
      </c>
      <c r="Z616" t="b">
        <v>1</v>
      </c>
      <c r="AB616" t="s">
        <v>1571</v>
      </c>
      <c r="AC616" t="b">
        <v>0</v>
      </c>
    </row>
    <row r="617" spans="1:29" x14ac:dyDescent="0.3">
      <c r="A617" s="57" t="str">
        <f>MEMBERS[[#This Row],[Title]]&amp;MEMBERS[[#This Row],[ServiceStartDate]]</f>
        <v>Rachael Butler44835</v>
      </c>
      <c r="B617" s="57">
        <f>IF(COUNTIF(MEMBERS[NameServiceStart],MEMBERS[[#This Row],[NameServiceStart]])=1,0,1)</f>
        <v>0</v>
      </c>
      <c r="C617" s="57">
        <f>IF(COUNTIF(MEMBERS[StaffMemberCode],MEMBERS[[#This Row],[StaffMemberCode]])=1,0,1)</f>
        <v>0</v>
      </c>
      <c r="D617" s="57">
        <f>IF(ISBLANK(MEMBERS[[#This Row],[PayrollLocation]]),0,IF(COUNTIF(SCHOOLS[SchoolCode],MEMBERS[[#This Row],[PayrollLocation]])=1,0,1))</f>
        <v>0</v>
      </c>
      <c r="E617" s="57">
        <f>IF(MEMBERS[[#This Row],[AvailableToAllSchools]]=FALSE,IF(ISBLANK(MEMBERS[[#This Row],[SchoolCodes]]),1,0),IF(MEMBERS[[#This Row],[AvailableToAllSchools]]=TRUE,IF(ISBLANK(MEMBERS[[#This Row],[SchoolCodes]]),0,1)))</f>
        <v>0</v>
      </c>
      <c r="F617" s="57">
        <f>IF(ISBLANK(MEMBERS[[#This Row],[ServiceEndDate]]),0,IF(MEMBERS[[#This Row],[ServiceStartDate]]&lt;MEMBERS[[#This Row],[ServiceEndDate]],0,1))</f>
        <v>0</v>
      </c>
      <c r="G617" s="57" cm="1">
        <f t="array" aca="1" ref="G617" ca="1">IF(CELL("format",MEMBERS[[#This Row],[ServiceStartDate]])="D1",0,1)+IF(CELL("format",MEMBERS[[#This Row],[ServiceEndDate]])="D1",0,1)</f>
        <v>0</v>
      </c>
      <c r="H61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17" s="57">
        <f>IF(LEN(MEMBERS[[#This Row],[StaffMemberCode]])&lt;100,0,1)</f>
        <v>0</v>
      </c>
      <c r="J617" s="57">
        <f>IF(LEN(MEMBERS[[#This Row],[Title]])&lt;100,0,1)</f>
        <v>0</v>
      </c>
      <c r="K617" s="57">
        <f>COUNTBLANK(MEMBERS[[#This Row],[StaffMemberCode]:[ServiceStartDate]])+COUNTBLANK(MEMBERS[[#This Row],[Apprenticeship]]:MEMBERS[[#This Row],[StaffMemberEnabled]])+COUNTBLANK(MEMBERS[[#This Row],[GenderCode]]:MEMBERS[[#This Row],[Casual]])</f>
        <v>0</v>
      </c>
      <c r="L617" s="57">
        <f>IF(SUBSTITUTE(TEXT(MEMBERS[[#This Row],[StaffMemberCode]],10)," ","")=TEXT(MEMBERS[[#This Row],[StaffMemberCode]],10),0,1)</f>
        <v>0</v>
      </c>
      <c r="M617" s="57">
        <f ca="1">SUM(MEMBERS[[#This Row],[Duplicate NameService Start]:[Space in Code]])</f>
        <v>0</v>
      </c>
      <c r="O617" s="15">
        <v>91073793</v>
      </c>
      <c r="P617" s="15" t="s">
        <v>3398</v>
      </c>
      <c r="Q617" s="15" t="s">
        <v>3546</v>
      </c>
      <c r="R617" s="133" t="str">
        <f>MEMBERS[[#This Row],[FirstName]]&amp;" "&amp;MEMBERS[[#This Row],[LastName]]</f>
        <v>Rachael Butler</v>
      </c>
      <c r="S617" s="21">
        <v>44835</v>
      </c>
      <c r="U617" s="21">
        <v>27855</v>
      </c>
      <c r="V617" t="b">
        <v>0</v>
      </c>
      <c r="W617" t="b">
        <v>0</v>
      </c>
      <c r="X617" t="b">
        <v>0</v>
      </c>
      <c r="Y617" t="s">
        <v>2082</v>
      </c>
      <c r="Z617" t="b">
        <v>1</v>
      </c>
      <c r="AB617" t="s">
        <v>1571</v>
      </c>
      <c r="AC617" t="b">
        <v>0</v>
      </c>
    </row>
    <row r="618" spans="1:29" x14ac:dyDescent="0.3">
      <c r="A618" s="57" t="str">
        <f>MEMBERS[[#This Row],[Title]]&amp;MEMBERS[[#This Row],[ServiceStartDate]]</f>
        <v>Rachel Asher45582</v>
      </c>
      <c r="B618" s="57">
        <f>IF(COUNTIF(MEMBERS[NameServiceStart],MEMBERS[[#This Row],[NameServiceStart]])=1,0,1)</f>
        <v>0</v>
      </c>
      <c r="C618" s="57">
        <f>IF(COUNTIF(MEMBERS[StaffMemberCode],MEMBERS[[#This Row],[StaffMemberCode]])=1,0,1)</f>
        <v>0</v>
      </c>
      <c r="D618" s="57">
        <f>IF(ISBLANK(MEMBERS[[#This Row],[PayrollLocation]]),0,IF(COUNTIF(SCHOOLS[SchoolCode],MEMBERS[[#This Row],[PayrollLocation]])=1,0,1))</f>
        <v>0</v>
      </c>
      <c r="E618" s="57">
        <f>IF(MEMBERS[[#This Row],[AvailableToAllSchools]]=FALSE,IF(ISBLANK(MEMBERS[[#This Row],[SchoolCodes]]),1,0),IF(MEMBERS[[#This Row],[AvailableToAllSchools]]=TRUE,IF(ISBLANK(MEMBERS[[#This Row],[SchoolCodes]]),0,1)))</f>
        <v>0</v>
      </c>
      <c r="F618" s="57">
        <f>IF(ISBLANK(MEMBERS[[#This Row],[ServiceEndDate]]),0,IF(MEMBERS[[#This Row],[ServiceStartDate]]&lt;MEMBERS[[#This Row],[ServiceEndDate]],0,1))</f>
        <v>0</v>
      </c>
      <c r="G618" s="57" cm="1">
        <f t="array" aca="1" ref="G618" ca="1">IF(CELL("format",MEMBERS[[#This Row],[ServiceStartDate]])="D1",0,1)+IF(CELL("format",MEMBERS[[#This Row],[ServiceEndDate]])="D1",0,1)</f>
        <v>0</v>
      </c>
      <c r="H61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18" s="57">
        <f>IF(LEN(MEMBERS[[#This Row],[StaffMemberCode]])&lt;100,0,1)</f>
        <v>0</v>
      </c>
      <c r="J618" s="57">
        <f>IF(LEN(MEMBERS[[#This Row],[Title]])&lt;100,0,1)</f>
        <v>0</v>
      </c>
      <c r="K618" s="57">
        <f>COUNTBLANK(MEMBERS[[#This Row],[StaffMemberCode]:[ServiceStartDate]])+COUNTBLANK(MEMBERS[[#This Row],[Apprenticeship]]:MEMBERS[[#This Row],[StaffMemberEnabled]])+COUNTBLANK(MEMBERS[[#This Row],[GenderCode]]:MEMBERS[[#This Row],[Casual]])</f>
        <v>0</v>
      </c>
      <c r="L618" s="57">
        <f>IF(SUBSTITUTE(TEXT(MEMBERS[[#This Row],[StaffMemberCode]],10)," ","")=TEXT(MEMBERS[[#This Row],[StaffMemberCode]],10),0,1)</f>
        <v>0</v>
      </c>
      <c r="M618" s="57">
        <f ca="1">SUM(MEMBERS[[#This Row],[Duplicate NameService Start]:[Space in Code]])</f>
        <v>0</v>
      </c>
      <c r="O618" s="15">
        <v>91328361</v>
      </c>
      <c r="P618" s="15" t="s">
        <v>3399</v>
      </c>
      <c r="Q618" s="15" t="s">
        <v>3837</v>
      </c>
      <c r="R618" s="133" t="str">
        <f>MEMBERS[[#This Row],[FirstName]]&amp;" "&amp;MEMBERS[[#This Row],[LastName]]</f>
        <v>Rachel Asher</v>
      </c>
      <c r="S618" s="21">
        <v>45582</v>
      </c>
      <c r="U618" s="21">
        <v>25417</v>
      </c>
      <c r="V618" t="b">
        <v>0</v>
      </c>
      <c r="W618" t="b">
        <v>0</v>
      </c>
      <c r="X618" t="b">
        <v>0</v>
      </c>
      <c r="Y618" t="s">
        <v>2275</v>
      </c>
      <c r="Z618" t="b">
        <v>1</v>
      </c>
      <c r="AB618" t="s">
        <v>1571</v>
      </c>
      <c r="AC618" t="b">
        <v>1</v>
      </c>
    </row>
    <row r="619" spans="1:29" x14ac:dyDescent="0.3">
      <c r="A619" s="57" t="str">
        <f>MEMBERS[[#This Row],[Title]]&amp;MEMBERS[[#This Row],[ServiceStartDate]]</f>
        <v>Rachel Coney40700</v>
      </c>
      <c r="B619" s="57">
        <f>IF(COUNTIF(MEMBERS[NameServiceStart],MEMBERS[[#This Row],[NameServiceStart]])=1,0,1)</f>
        <v>0</v>
      </c>
      <c r="C619" s="57">
        <f>IF(COUNTIF(MEMBERS[StaffMemberCode],MEMBERS[[#This Row],[StaffMemberCode]])=1,0,1)</f>
        <v>0</v>
      </c>
      <c r="D619" s="57">
        <f>IF(ISBLANK(MEMBERS[[#This Row],[PayrollLocation]]),0,IF(COUNTIF(SCHOOLS[SchoolCode],MEMBERS[[#This Row],[PayrollLocation]])=1,0,1))</f>
        <v>0</v>
      </c>
      <c r="E619" s="57">
        <f>IF(MEMBERS[[#This Row],[AvailableToAllSchools]]=FALSE,IF(ISBLANK(MEMBERS[[#This Row],[SchoolCodes]]),1,0),IF(MEMBERS[[#This Row],[AvailableToAllSchools]]=TRUE,IF(ISBLANK(MEMBERS[[#This Row],[SchoolCodes]]),0,1)))</f>
        <v>0</v>
      </c>
      <c r="F619" s="57">
        <f>IF(ISBLANK(MEMBERS[[#This Row],[ServiceEndDate]]),0,IF(MEMBERS[[#This Row],[ServiceStartDate]]&lt;MEMBERS[[#This Row],[ServiceEndDate]],0,1))</f>
        <v>0</v>
      </c>
      <c r="G619" s="57" cm="1">
        <f t="array" aca="1" ref="G619" ca="1">IF(CELL("format",MEMBERS[[#This Row],[ServiceStartDate]])="D1",0,1)+IF(CELL("format",MEMBERS[[#This Row],[ServiceEndDate]])="D1",0,1)</f>
        <v>0</v>
      </c>
      <c r="H61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19" s="57">
        <f>IF(LEN(MEMBERS[[#This Row],[StaffMemberCode]])&lt;100,0,1)</f>
        <v>0</v>
      </c>
      <c r="J619" s="57">
        <f>IF(LEN(MEMBERS[[#This Row],[Title]])&lt;100,0,1)</f>
        <v>0</v>
      </c>
      <c r="K619" s="57">
        <f>COUNTBLANK(MEMBERS[[#This Row],[StaffMemberCode]:[ServiceStartDate]])+COUNTBLANK(MEMBERS[[#This Row],[Apprenticeship]]:MEMBERS[[#This Row],[StaffMemberEnabled]])+COUNTBLANK(MEMBERS[[#This Row],[GenderCode]]:MEMBERS[[#This Row],[Casual]])</f>
        <v>0</v>
      </c>
      <c r="L619" s="57">
        <f>IF(SUBSTITUTE(TEXT(MEMBERS[[#This Row],[StaffMemberCode]],10)," ","")=TEXT(MEMBERS[[#This Row],[StaffMemberCode]],10),0,1)</f>
        <v>0</v>
      </c>
      <c r="M619" s="57">
        <f ca="1">SUM(MEMBERS[[#This Row],[Duplicate NameService Start]:[Space in Code]])</f>
        <v>0</v>
      </c>
      <c r="O619" s="15">
        <v>10005330</v>
      </c>
      <c r="P619" s="15" t="s">
        <v>3399</v>
      </c>
      <c r="Q619" s="15" t="s">
        <v>4115</v>
      </c>
      <c r="R619" s="133" t="str">
        <f>MEMBERS[[#This Row],[FirstName]]&amp;" "&amp;MEMBERS[[#This Row],[LastName]]</f>
        <v>Rachel Coney</v>
      </c>
      <c r="S619" s="21">
        <v>40700</v>
      </c>
      <c r="U619" s="21">
        <v>27052</v>
      </c>
      <c r="V619" s="138" t="b">
        <v>0</v>
      </c>
      <c r="W619" t="b">
        <v>0</v>
      </c>
      <c r="X619" t="b">
        <v>0</v>
      </c>
      <c r="Y619" t="s">
        <v>2126</v>
      </c>
      <c r="Z619" t="b">
        <v>1</v>
      </c>
      <c r="AB619" t="s">
        <v>1571</v>
      </c>
      <c r="AC619" t="b">
        <v>0</v>
      </c>
    </row>
    <row r="620" spans="1:29" x14ac:dyDescent="0.3">
      <c r="A620" s="57" t="str">
        <f>MEMBERS[[#This Row],[Title]]&amp;MEMBERS[[#This Row],[ServiceStartDate]]</f>
        <v>Rachel Cotton-Jones41333</v>
      </c>
      <c r="B620" s="57">
        <f>IF(COUNTIF(MEMBERS[NameServiceStart],MEMBERS[[#This Row],[NameServiceStart]])=1,0,1)</f>
        <v>0</v>
      </c>
      <c r="C620" s="57">
        <f>IF(COUNTIF(MEMBERS[StaffMemberCode],MEMBERS[[#This Row],[StaffMemberCode]])=1,0,1)</f>
        <v>0</v>
      </c>
      <c r="D620" s="57">
        <f>IF(ISBLANK(MEMBERS[[#This Row],[PayrollLocation]]),0,IF(COUNTIF(SCHOOLS[SchoolCode],MEMBERS[[#This Row],[PayrollLocation]])=1,0,1))</f>
        <v>0</v>
      </c>
      <c r="E620" s="57">
        <f>IF(MEMBERS[[#This Row],[AvailableToAllSchools]]=FALSE,IF(ISBLANK(MEMBERS[[#This Row],[SchoolCodes]]),1,0),IF(MEMBERS[[#This Row],[AvailableToAllSchools]]=TRUE,IF(ISBLANK(MEMBERS[[#This Row],[SchoolCodes]]),0,1)))</f>
        <v>0</v>
      </c>
      <c r="F620" s="57">
        <f>IF(ISBLANK(MEMBERS[[#This Row],[ServiceEndDate]]),0,IF(MEMBERS[[#This Row],[ServiceStartDate]]&lt;MEMBERS[[#This Row],[ServiceEndDate]],0,1))</f>
        <v>0</v>
      </c>
      <c r="G620" s="57" cm="1">
        <f t="array" aca="1" ref="G620" ca="1">IF(CELL("format",MEMBERS[[#This Row],[ServiceStartDate]])="D1",0,1)+IF(CELL("format",MEMBERS[[#This Row],[ServiceEndDate]])="D1",0,1)</f>
        <v>0</v>
      </c>
      <c r="H62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20" s="57">
        <f>IF(LEN(MEMBERS[[#This Row],[StaffMemberCode]])&lt;100,0,1)</f>
        <v>0</v>
      </c>
      <c r="J620" s="57">
        <f>IF(LEN(MEMBERS[[#This Row],[Title]])&lt;100,0,1)</f>
        <v>0</v>
      </c>
      <c r="K620" s="57">
        <f>COUNTBLANK(MEMBERS[[#This Row],[StaffMemberCode]:[ServiceStartDate]])+COUNTBLANK(MEMBERS[[#This Row],[Apprenticeship]]:MEMBERS[[#This Row],[StaffMemberEnabled]])+COUNTBLANK(MEMBERS[[#This Row],[GenderCode]]:MEMBERS[[#This Row],[Casual]])</f>
        <v>0</v>
      </c>
      <c r="L620" s="57">
        <f>IF(SUBSTITUTE(TEXT(MEMBERS[[#This Row],[StaffMemberCode]],10)," ","")=TEXT(MEMBERS[[#This Row],[StaffMemberCode]],10),0,1)</f>
        <v>0</v>
      </c>
      <c r="M620" s="57">
        <f ca="1">SUM(MEMBERS[[#This Row],[Duplicate NameService Start]:[Space in Code]])</f>
        <v>0</v>
      </c>
      <c r="O620" s="15">
        <v>10005308</v>
      </c>
      <c r="P620" s="15" t="s">
        <v>3399</v>
      </c>
      <c r="Q620" s="15" t="s">
        <v>4116</v>
      </c>
      <c r="R620" s="133" t="str">
        <f>MEMBERS[[#This Row],[FirstName]]&amp;" "&amp;MEMBERS[[#This Row],[LastName]]</f>
        <v>Rachel Cotton-Jones</v>
      </c>
      <c r="S620" s="21">
        <v>41333</v>
      </c>
      <c r="U620" s="21">
        <v>28419</v>
      </c>
      <c r="V620" s="138" t="b">
        <v>0</v>
      </c>
      <c r="W620" t="b">
        <v>0</v>
      </c>
      <c r="X620" t="b">
        <v>0</v>
      </c>
      <c r="Y620" t="s">
        <v>2126</v>
      </c>
      <c r="Z620" t="b">
        <v>1</v>
      </c>
      <c r="AB620" t="s">
        <v>1571</v>
      </c>
      <c r="AC620" t="b">
        <v>0</v>
      </c>
    </row>
    <row r="621" spans="1:29" x14ac:dyDescent="0.3">
      <c r="A621" s="57" t="str">
        <f>MEMBERS[[#This Row],[Title]]&amp;MEMBERS[[#This Row],[ServiceStartDate]]</f>
        <v>Rachel Gibbs39384</v>
      </c>
      <c r="B621" s="57">
        <f>IF(COUNTIF(MEMBERS[NameServiceStart],MEMBERS[[#This Row],[NameServiceStart]])=1,0,1)</f>
        <v>0</v>
      </c>
      <c r="C621" s="57">
        <f>IF(COUNTIF(MEMBERS[StaffMemberCode],MEMBERS[[#This Row],[StaffMemberCode]])=1,0,1)</f>
        <v>0</v>
      </c>
      <c r="D621" s="57">
        <f>IF(ISBLANK(MEMBERS[[#This Row],[PayrollLocation]]),0,IF(COUNTIF(SCHOOLS[SchoolCode],MEMBERS[[#This Row],[PayrollLocation]])=1,0,1))</f>
        <v>0</v>
      </c>
      <c r="E621" s="57">
        <f>IF(MEMBERS[[#This Row],[AvailableToAllSchools]]=FALSE,IF(ISBLANK(MEMBERS[[#This Row],[SchoolCodes]]),1,0),IF(MEMBERS[[#This Row],[AvailableToAllSchools]]=TRUE,IF(ISBLANK(MEMBERS[[#This Row],[SchoolCodes]]),0,1)))</f>
        <v>0</v>
      </c>
      <c r="F621" s="57">
        <f>IF(ISBLANK(MEMBERS[[#This Row],[ServiceEndDate]]),0,IF(MEMBERS[[#This Row],[ServiceStartDate]]&lt;MEMBERS[[#This Row],[ServiceEndDate]],0,1))</f>
        <v>0</v>
      </c>
      <c r="G621" s="57" cm="1">
        <f t="array" aca="1" ref="G621" ca="1">IF(CELL("format",MEMBERS[[#This Row],[ServiceStartDate]])="D1",0,1)+IF(CELL("format",MEMBERS[[#This Row],[ServiceEndDate]])="D1",0,1)</f>
        <v>0</v>
      </c>
      <c r="H62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21" s="57">
        <f>IF(LEN(MEMBERS[[#This Row],[StaffMemberCode]])&lt;100,0,1)</f>
        <v>0</v>
      </c>
      <c r="J621" s="57">
        <f>IF(LEN(MEMBERS[[#This Row],[Title]])&lt;100,0,1)</f>
        <v>0</v>
      </c>
      <c r="K621" s="57">
        <f>COUNTBLANK(MEMBERS[[#This Row],[StaffMemberCode]:[ServiceStartDate]])+COUNTBLANK(MEMBERS[[#This Row],[Apprenticeship]]:MEMBERS[[#This Row],[StaffMemberEnabled]])+COUNTBLANK(MEMBERS[[#This Row],[GenderCode]]:MEMBERS[[#This Row],[Casual]])</f>
        <v>0</v>
      </c>
      <c r="L621" s="57">
        <f>IF(SUBSTITUTE(TEXT(MEMBERS[[#This Row],[StaffMemberCode]],10)," ","")=TEXT(MEMBERS[[#This Row],[StaffMemberCode]],10),0,1)</f>
        <v>0</v>
      </c>
      <c r="M621" s="57">
        <f ca="1">SUM(MEMBERS[[#This Row],[Duplicate NameService Start]:[Space in Code]])</f>
        <v>0</v>
      </c>
      <c r="O621" s="15">
        <v>91073589</v>
      </c>
      <c r="P621" s="15" t="s">
        <v>3399</v>
      </c>
      <c r="Q621" s="15" t="s">
        <v>3529</v>
      </c>
      <c r="R621" s="133" t="str">
        <f>MEMBERS[[#This Row],[FirstName]]&amp;" "&amp;MEMBERS[[#This Row],[LastName]]</f>
        <v>Rachel Gibbs</v>
      </c>
      <c r="S621" s="21">
        <v>39384</v>
      </c>
      <c r="U621" s="21">
        <v>27621</v>
      </c>
      <c r="V621" t="b">
        <v>0</v>
      </c>
      <c r="W621" t="b">
        <v>0</v>
      </c>
      <c r="X621" t="b">
        <v>0</v>
      </c>
      <c r="Y621" t="s">
        <v>2094</v>
      </c>
      <c r="Z621" t="b">
        <v>1</v>
      </c>
      <c r="AB621" t="s">
        <v>1571</v>
      </c>
      <c r="AC621" t="b">
        <v>0</v>
      </c>
    </row>
    <row r="622" spans="1:29" x14ac:dyDescent="0.3">
      <c r="A622" s="57" t="str">
        <f>MEMBERS[[#This Row],[Title]]&amp;MEMBERS[[#This Row],[ServiceStartDate]]</f>
        <v>Rachel Kelly43474</v>
      </c>
      <c r="B622" s="57">
        <f>IF(COUNTIF(MEMBERS[NameServiceStart],MEMBERS[[#This Row],[NameServiceStart]])=1,0,1)</f>
        <v>0</v>
      </c>
      <c r="C622" s="57">
        <f>IF(COUNTIF(MEMBERS[StaffMemberCode],MEMBERS[[#This Row],[StaffMemberCode]])=1,0,1)</f>
        <v>0</v>
      </c>
      <c r="D622" s="57">
        <f>IF(ISBLANK(MEMBERS[[#This Row],[PayrollLocation]]),0,IF(COUNTIF(SCHOOLS[SchoolCode],MEMBERS[[#This Row],[PayrollLocation]])=1,0,1))</f>
        <v>0</v>
      </c>
      <c r="E622" s="57">
        <f>IF(MEMBERS[[#This Row],[AvailableToAllSchools]]=FALSE,IF(ISBLANK(MEMBERS[[#This Row],[SchoolCodes]]),1,0),IF(MEMBERS[[#This Row],[AvailableToAllSchools]]=TRUE,IF(ISBLANK(MEMBERS[[#This Row],[SchoolCodes]]),0,1)))</f>
        <v>0</v>
      </c>
      <c r="F622" s="57">
        <f>IF(ISBLANK(MEMBERS[[#This Row],[ServiceEndDate]]),0,IF(MEMBERS[[#This Row],[ServiceStartDate]]&lt;MEMBERS[[#This Row],[ServiceEndDate]],0,1))</f>
        <v>0</v>
      </c>
      <c r="G622" s="57" cm="1">
        <f t="array" aca="1" ref="G622" ca="1">IF(CELL("format",MEMBERS[[#This Row],[ServiceStartDate]])="D1",0,1)+IF(CELL("format",MEMBERS[[#This Row],[ServiceEndDate]])="D1",0,1)</f>
        <v>0</v>
      </c>
      <c r="H62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22" s="57">
        <f>IF(LEN(MEMBERS[[#This Row],[StaffMemberCode]])&lt;100,0,1)</f>
        <v>0</v>
      </c>
      <c r="J622" s="57">
        <f>IF(LEN(MEMBERS[[#This Row],[Title]])&lt;100,0,1)</f>
        <v>0</v>
      </c>
      <c r="K622" s="57">
        <f>COUNTBLANK(MEMBERS[[#This Row],[StaffMemberCode]:[ServiceStartDate]])+COUNTBLANK(MEMBERS[[#This Row],[Apprenticeship]]:MEMBERS[[#This Row],[StaffMemberEnabled]])+COUNTBLANK(MEMBERS[[#This Row],[GenderCode]]:MEMBERS[[#This Row],[Casual]])</f>
        <v>0</v>
      </c>
      <c r="L622" s="57">
        <f>IF(SUBSTITUTE(TEXT(MEMBERS[[#This Row],[StaffMemberCode]],10)," ","")=TEXT(MEMBERS[[#This Row],[StaffMemberCode]],10),0,1)</f>
        <v>0</v>
      </c>
      <c r="M622" s="57">
        <f ca="1">SUM(MEMBERS[[#This Row],[Duplicate NameService Start]:[Space in Code]])</f>
        <v>0</v>
      </c>
      <c r="O622" s="15">
        <v>91073757</v>
      </c>
      <c r="P622" s="15" t="s">
        <v>3399</v>
      </c>
      <c r="Q622" s="15" t="s">
        <v>3325</v>
      </c>
      <c r="R622" s="133" t="str">
        <f>MEMBERS[[#This Row],[FirstName]]&amp;" "&amp;MEMBERS[[#This Row],[LastName]]</f>
        <v>Rachel Kelly</v>
      </c>
      <c r="S622" s="21">
        <v>43474</v>
      </c>
      <c r="U622" s="21">
        <v>28286</v>
      </c>
      <c r="V622" t="b">
        <v>0</v>
      </c>
      <c r="W622" t="b">
        <v>0</v>
      </c>
      <c r="X622" t="b">
        <v>0</v>
      </c>
      <c r="Y622" t="s">
        <v>2082</v>
      </c>
      <c r="Z622" t="b">
        <v>1</v>
      </c>
      <c r="AB622" t="s">
        <v>1571</v>
      </c>
      <c r="AC622" t="b">
        <v>0</v>
      </c>
    </row>
    <row r="623" spans="1:29" x14ac:dyDescent="0.3">
      <c r="A623" s="57" t="str">
        <f>MEMBERS[[#This Row],[Title]]&amp;MEMBERS[[#This Row],[ServiceStartDate]]</f>
        <v>Rachel Kelly45124</v>
      </c>
      <c r="B623" s="57">
        <f>IF(COUNTIF(MEMBERS[NameServiceStart],MEMBERS[[#This Row],[NameServiceStart]])=1,0,1)</f>
        <v>0</v>
      </c>
      <c r="C623" s="57">
        <f>IF(COUNTIF(MEMBERS[StaffMemberCode],MEMBERS[[#This Row],[StaffMemberCode]])=1,0,1)</f>
        <v>0</v>
      </c>
      <c r="D623" s="57">
        <f>IF(ISBLANK(MEMBERS[[#This Row],[PayrollLocation]]),0,IF(COUNTIF(SCHOOLS[SchoolCode],MEMBERS[[#This Row],[PayrollLocation]])=1,0,1))</f>
        <v>0</v>
      </c>
      <c r="E623" s="57">
        <f>IF(MEMBERS[[#This Row],[AvailableToAllSchools]]=FALSE,IF(ISBLANK(MEMBERS[[#This Row],[SchoolCodes]]),1,0),IF(MEMBERS[[#This Row],[AvailableToAllSchools]]=TRUE,IF(ISBLANK(MEMBERS[[#This Row],[SchoolCodes]]),0,1)))</f>
        <v>0</v>
      </c>
      <c r="F623" s="57">
        <f>IF(ISBLANK(MEMBERS[[#This Row],[ServiceEndDate]]),0,IF(MEMBERS[[#This Row],[ServiceStartDate]]&lt;MEMBERS[[#This Row],[ServiceEndDate]],0,1))</f>
        <v>0</v>
      </c>
      <c r="G623" s="57" cm="1">
        <f t="array" aca="1" ref="G623" ca="1">IF(CELL("format",MEMBERS[[#This Row],[ServiceStartDate]])="D1",0,1)+IF(CELL("format",MEMBERS[[#This Row],[ServiceEndDate]])="D1",0,1)</f>
        <v>0</v>
      </c>
      <c r="H62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23" s="57">
        <f>IF(LEN(MEMBERS[[#This Row],[StaffMemberCode]])&lt;100,0,1)</f>
        <v>0</v>
      </c>
      <c r="J623" s="57">
        <f>IF(LEN(MEMBERS[[#This Row],[Title]])&lt;100,0,1)</f>
        <v>0</v>
      </c>
      <c r="K623" s="57">
        <f>COUNTBLANK(MEMBERS[[#This Row],[StaffMemberCode]:[ServiceStartDate]])+COUNTBLANK(MEMBERS[[#This Row],[Apprenticeship]]:MEMBERS[[#This Row],[StaffMemberEnabled]])+COUNTBLANK(MEMBERS[[#This Row],[GenderCode]]:MEMBERS[[#This Row],[Casual]])</f>
        <v>0</v>
      </c>
      <c r="L623" s="57">
        <f>IF(SUBSTITUTE(TEXT(MEMBERS[[#This Row],[StaffMemberCode]],10)," ","")=TEXT(MEMBERS[[#This Row],[StaffMemberCode]],10),0,1)</f>
        <v>0</v>
      </c>
      <c r="M623" s="57">
        <f ca="1">SUM(MEMBERS[[#This Row],[Duplicate NameService Start]:[Space in Code]])</f>
        <v>0</v>
      </c>
      <c r="O623" s="15">
        <v>10012792</v>
      </c>
      <c r="P623" s="15" t="s">
        <v>3399</v>
      </c>
      <c r="Q623" s="15" t="s">
        <v>3325</v>
      </c>
      <c r="R623" s="133" t="str">
        <f>MEMBERS[[#This Row],[FirstName]]&amp;" "&amp;MEMBERS[[#This Row],[LastName]]</f>
        <v>Rachel Kelly</v>
      </c>
      <c r="S623" s="21">
        <v>45124</v>
      </c>
      <c r="U623" s="21">
        <v>27655</v>
      </c>
      <c r="V623" s="138" t="b">
        <v>0</v>
      </c>
      <c r="W623" t="b">
        <v>0</v>
      </c>
      <c r="X623" t="b">
        <v>0</v>
      </c>
      <c r="Y623" t="s">
        <v>2126</v>
      </c>
      <c r="Z623" t="b">
        <v>1</v>
      </c>
      <c r="AB623" t="s">
        <v>1571</v>
      </c>
      <c r="AC623" t="b">
        <v>0</v>
      </c>
    </row>
    <row r="624" spans="1:29" x14ac:dyDescent="0.3">
      <c r="A624" s="57" t="str">
        <f>MEMBERS[[#This Row],[Title]]&amp;MEMBERS[[#This Row],[ServiceStartDate]]</f>
        <v>Rachel Martin45901</v>
      </c>
      <c r="B624" s="57">
        <f>IF(COUNTIF(MEMBERS[NameServiceStart],MEMBERS[[#This Row],[NameServiceStart]])=1,0,1)</f>
        <v>0</v>
      </c>
      <c r="C624" s="57">
        <f>IF(COUNTIF(MEMBERS[StaffMemberCode],MEMBERS[[#This Row],[StaffMemberCode]])=1,0,1)</f>
        <v>0</v>
      </c>
      <c r="D624" s="57">
        <f>IF(ISBLANK(MEMBERS[[#This Row],[PayrollLocation]]),0,IF(COUNTIF(SCHOOLS[SchoolCode],MEMBERS[[#This Row],[PayrollLocation]])=1,0,1))</f>
        <v>0</v>
      </c>
      <c r="E624" s="57">
        <f>IF(MEMBERS[[#This Row],[AvailableToAllSchools]]=FALSE,IF(ISBLANK(MEMBERS[[#This Row],[SchoolCodes]]),1,0),IF(MEMBERS[[#This Row],[AvailableToAllSchools]]=TRUE,IF(ISBLANK(MEMBERS[[#This Row],[SchoolCodes]]),0,1)))</f>
        <v>0</v>
      </c>
      <c r="F624" s="57">
        <f>IF(ISBLANK(MEMBERS[[#This Row],[ServiceEndDate]]),0,IF(MEMBERS[[#This Row],[ServiceStartDate]]&lt;MEMBERS[[#This Row],[ServiceEndDate]],0,1))</f>
        <v>0</v>
      </c>
      <c r="G624" s="57" cm="1">
        <f t="array" aca="1" ref="G624" ca="1">IF(CELL("format",MEMBERS[[#This Row],[ServiceStartDate]])="D1",0,1)+IF(CELL("format",MEMBERS[[#This Row],[ServiceEndDate]])="D1",0,1)</f>
        <v>0</v>
      </c>
      <c r="H62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24" s="57">
        <f>IF(LEN(MEMBERS[[#This Row],[StaffMemberCode]])&lt;100,0,1)</f>
        <v>0</v>
      </c>
      <c r="J624" s="57">
        <f>IF(LEN(MEMBERS[[#This Row],[Title]])&lt;100,0,1)</f>
        <v>0</v>
      </c>
      <c r="K624" s="57">
        <f>COUNTBLANK(MEMBERS[[#This Row],[StaffMemberCode]:[ServiceStartDate]])+COUNTBLANK(MEMBERS[[#This Row],[Apprenticeship]]:MEMBERS[[#This Row],[StaffMemberEnabled]])+COUNTBLANK(MEMBERS[[#This Row],[GenderCode]]:MEMBERS[[#This Row],[Casual]])</f>
        <v>0</v>
      </c>
      <c r="L624" s="57">
        <f>IF(SUBSTITUTE(TEXT(MEMBERS[[#This Row],[StaffMemberCode]],10)," ","")=TEXT(MEMBERS[[#This Row],[StaffMemberCode]],10),0,1)</f>
        <v>0</v>
      </c>
      <c r="M624" s="57">
        <f ca="1">SUM(MEMBERS[[#This Row],[Duplicate NameService Start]:[Space in Code]])</f>
        <v>0</v>
      </c>
      <c r="O624" s="15">
        <v>91850052</v>
      </c>
      <c r="P624" s="15" t="s">
        <v>3399</v>
      </c>
      <c r="Q624" s="15" t="s">
        <v>3356</v>
      </c>
      <c r="R624" s="133" t="str">
        <f>MEMBERS[[#This Row],[FirstName]]&amp;" "&amp;MEMBERS[[#This Row],[LastName]]</f>
        <v>Rachel Martin</v>
      </c>
      <c r="S624" s="21">
        <v>45901</v>
      </c>
      <c r="U624" s="21">
        <v>28934</v>
      </c>
      <c r="V624" t="b">
        <v>0</v>
      </c>
      <c r="W624" t="b">
        <v>0</v>
      </c>
      <c r="X624" t="b">
        <v>0</v>
      </c>
      <c r="Y624" t="s">
        <v>2094</v>
      </c>
      <c r="Z624" t="b">
        <v>1</v>
      </c>
      <c r="AB624" t="s">
        <v>1571</v>
      </c>
      <c r="AC624" t="b">
        <v>0</v>
      </c>
    </row>
    <row r="625" spans="1:29" x14ac:dyDescent="0.3">
      <c r="A625" s="57" t="str">
        <f>MEMBERS[[#This Row],[Title]]&amp;MEMBERS[[#This Row],[ServiceStartDate]]</f>
        <v>Rachel Millichap39456</v>
      </c>
      <c r="B625" s="57">
        <f>IF(COUNTIF(MEMBERS[NameServiceStart],MEMBERS[[#This Row],[NameServiceStart]])=1,0,1)</f>
        <v>0</v>
      </c>
      <c r="C625" s="57">
        <f>IF(COUNTIF(MEMBERS[StaffMemberCode],MEMBERS[[#This Row],[StaffMemberCode]])=1,0,1)</f>
        <v>0</v>
      </c>
      <c r="D625" s="57">
        <f>IF(ISBLANK(MEMBERS[[#This Row],[PayrollLocation]]),0,IF(COUNTIF(SCHOOLS[SchoolCode],MEMBERS[[#This Row],[PayrollLocation]])=1,0,1))</f>
        <v>0</v>
      </c>
      <c r="E625" s="57">
        <f>IF(MEMBERS[[#This Row],[AvailableToAllSchools]]=FALSE,IF(ISBLANK(MEMBERS[[#This Row],[SchoolCodes]]),1,0),IF(MEMBERS[[#This Row],[AvailableToAllSchools]]=TRUE,IF(ISBLANK(MEMBERS[[#This Row],[SchoolCodes]]),0,1)))</f>
        <v>0</v>
      </c>
      <c r="F625" s="57">
        <f>IF(ISBLANK(MEMBERS[[#This Row],[ServiceEndDate]]),0,IF(MEMBERS[[#This Row],[ServiceStartDate]]&lt;MEMBERS[[#This Row],[ServiceEndDate]],0,1))</f>
        <v>0</v>
      </c>
      <c r="G625" s="57" cm="1">
        <f t="array" aca="1" ref="G625" ca="1">IF(CELL("format",MEMBERS[[#This Row],[ServiceStartDate]])="D1",0,1)+IF(CELL("format",MEMBERS[[#This Row],[ServiceEndDate]])="D1",0,1)</f>
        <v>0</v>
      </c>
      <c r="H62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25" s="57">
        <f>IF(LEN(MEMBERS[[#This Row],[StaffMemberCode]])&lt;100,0,1)</f>
        <v>0</v>
      </c>
      <c r="J625" s="57">
        <f>IF(LEN(MEMBERS[[#This Row],[Title]])&lt;100,0,1)</f>
        <v>0</v>
      </c>
      <c r="K625" s="57">
        <f>COUNTBLANK(MEMBERS[[#This Row],[StaffMemberCode]:[ServiceStartDate]])+COUNTBLANK(MEMBERS[[#This Row],[Apprenticeship]]:MEMBERS[[#This Row],[StaffMemberEnabled]])+COUNTBLANK(MEMBERS[[#This Row],[GenderCode]]:MEMBERS[[#This Row],[Casual]])</f>
        <v>0</v>
      </c>
      <c r="L625" s="57">
        <f>IF(SUBSTITUTE(TEXT(MEMBERS[[#This Row],[StaffMemberCode]],10)," ","")=TEXT(MEMBERS[[#This Row],[StaffMemberCode]],10),0,1)</f>
        <v>0</v>
      </c>
      <c r="M625" s="57">
        <f ca="1">SUM(MEMBERS[[#This Row],[Duplicate NameService Start]:[Space in Code]])</f>
        <v>0</v>
      </c>
      <c r="O625" s="15">
        <v>91073878</v>
      </c>
      <c r="P625" s="15" t="s">
        <v>3399</v>
      </c>
      <c r="Q625" s="15" t="s">
        <v>3838</v>
      </c>
      <c r="R625" s="133" t="str">
        <f>MEMBERS[[#This Row],[FirstName]]&amp;" "&amp;MEMBERS[[#This Row],[LastName]]</f>
        <v>Rachel Millichap</v>
      </c>
      <c r="S625" s="21">
        <v>39456</v>
      </c>
      <c r="U625" s="21">
        <v>30678</v>
      </c>
      <c r="V625" t="b">
        <v>0</v>
      </c>
      <c r="W625" t="b">
        <v>0</v>
      </c>
      <c r="X625" t="b">
        <v>0</v>
      </c>
      <c r="Y625" t="s">
        <v>2266</v>
      </c>
      <c r="Z625" t="b">
        <v>1</v>
      </c>
      <c r="AB625" t="s">
        <v>1571</v>
      </c>
      <c r="AC625" t="b">
        <v>0</v>
      </c>
    </row>
    <row r="626" spans="1:29" x14ac:dyDescent="0.3">
      <c r="A626" s="57" t="str">
        <f>MEMBERS[[#This Row],[Title]]&amp;MEMBERS[[#This Row],[ServiceStartDate]]</f>
        <v>Rachel Payne41518</v>
      </c>
      <c r="B626" s="57">
        <f>IF(COUNTIF(MEMBERS[NameServiceStart],MEMBERS[[#This Row],[NameServiceStart]])=1,0,1)</f>
        <v>0</v>
      </c>
      <c r="C626" s="57">
        <f>IF(COUNTIF(MEMBERS[StaffMemberCode],MEMBERS[[#This Row],[StaffMemberCode]])=1,0,1)</f>
        <v>0</v>
      </c>
      <c r="D626" s="57">
        <f>IF(ISBLANK(MEMBERS[[#This Row],[PayrollLocation]]),0,IF(COUNTIF(SCHOOLS[SchoolCode],MEMBERS[[#This Row],[PayrollLocation]])=1,0,1))</f>
        <v>0</v>
      </c>
      <c r="E626" s="57">
        <f>IF(MEMBERS[[#This Row],[AvailableToAllSchools]]=FALSE,IF(ISBLANK(MEMBERS[[#This Row],[SchoolCodes]]),1,0),IF(MEMBERS[[#This Row],[AvailableToAllSchools]]=TRUE,IF(ISBLANK(MEMBERS[[#This Row],[SchoolCodes]]),0,1)))</f>
        <v>0</v>
      </c>
      <c r="F626" s="57">
        <f>IF(ISBLANK(MEMBERS[[#This Row],[ServiceEndDate]]),0,IF(MEMBERS[[#This Row],[ServiceStartDate]]&lt;MEMBERS[[#This Row],[ServiceEndDate]],0,1))</f>
        <v>0</v>
      </c>
      <c r="G626" s="57" cm="1">
        <f t="array" aca="1" ref="G626" ca="1">IF(CELL("format",MEMBERS[[#This Row],[ServiceStartDate]])="D1",0,1)+IF(CELL("format",MEMBERS[[#This Row],[ServiceEndDate]])="D1",0,1)</f>
        <v>0</v>
      </c>
      <c r="H62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26" s="57">
        <f>IF(LEN(MEMBERS[[#This Row],[StaffMemberCode]])&lt;100,0,1)</f>
        <v>0</v>
      </c>
      <c r="J626" s="57">
        <f>IF(LEN(MEMBERS[[#This Row],[Title]])&lt;100,0,1)</f>
        <v>0</v>
      </c>
      <c r="K626" s="57">
        <f>COUNTBLANK(MEMBERS[[#This Row],[StaffMemberCode]:[ServiceStartDate]])+COUNTBLANK(MEMBERS[[#This Row],[Apprenticeship]]:MEMBERS[[#This Row],[StaffMemberEnabled]])+COUNTBLANK(MEMBERS[[#This Row],[GenderCode]]:MEMBERS[[#This Row],[Casual]])</f>
        <v>0</v>
      </c>
      <c r="L626" s="57">
        <f>IF(SUBSTITUTE(TEXT(MEMBERS[[#This Row],[StaffMemberCode]],10)," ","")=TEXT(MEMBERS[[#This Row],[StaffMemberCode]],10),0,1)</f>
        <v>0</v>
      </c>
      <c r="M626" s="57">
        <f ca="1">SUM(MEMBERS[[#This Row],[Duplicate NameService Start]:[Space in Code]])</f>
        <v>0</v>
      </c>
      <c r="O626" s="15">
        <v>91075750</v>
      </c>
      <c r="P626" s="15" t="s">
        <v>3399</v>
      </c>
      <c r="Q626" s="15" t="s">
        <v>3839</v>
      </c>
      <c r="R626" s="133" t="str">
        <f>MEMBERS[[#This Row],[FirstName]]&amp;" "&amp;MEMBERS[[#This Row],[LastName]]</f>
        <v>Rachel Payne</v>
      </c>
      <c r="S626" s="21">
        <v>41518</v>
      </c>
      <c r="U626" s="21">
        <v>25735</v>
      </c>
      <c r="V626" t="b">
        <v>0</v>
      </c>
      <c r="W626" t="b">
        <v>0</v>
      </c>
      <c r="X626" t="b">
        <v>0</v>
      </c>
      <c r="Y626" t="s">
        <v>2200</v>
      </c>
      <c r="Z626" t="b">
        <v>1</v>
      </c>
      <c r="AB626" t="s">
        <v>1571</v>
      </c>
      <c r="AC626" t="b">
        <v>0</v>
      </c>
    </row>
    <row r="627" spans="1:29" x14ac:dyDescent="0.3">
      <c r="A627" s="57" t="str">
        <f>MEMBERS[[#This Row],[Title]]&amp;MEMBERS[[#This Row],[ServiceStartDate]]</f>
        <v>Rachel Sinden41153</v>
      </c>
      <c r="B627" s="57">
        <f>IF(COUNTIF(MEMBERS[NameServiceStart],MEMBERS[[#This Row],[NameServiceStart]])=1,0,1)</f>
        <v>0</v>
      </c>
      <c r="C627" s="57">
        <f>IF(COUNTIF(MEMBERS[StaffMemberCode],MEMBERS[[#This Row],[StaffMemberCode]])=1,0,1)</f>
        <v>0</v>
      </c>
      <c r="D627" s="57">
        <f>IF(ISBLANK(MEMBERS[[#This Row],[PayrollLocation]]),0,IF(COUNTIF(SCHOOLS[SchoolCode],MEMBERS[[#This Row],[PayrollLocation]])=1,0,1))</f>
        <v>0</v>
      </c>
      <c r="E627" s="57">
        <f>IF(MEMBERS[[#This Row],[AvailableToAllSchools]]=FALSE,IF(ISBLANK(MEMBERS[[#This Row],[SchoolCodes]]),1,0),IF(MEMBERS[[#This Row],[AvailableToAllSchools]]=TRUE,IF(ISBLANK(MEMBERS[[#This Row],[SchoolCodes]]),0,1)))</f>
        <v>0</v>
      </c>
      <c r="F627" s="57">
        <f>IF(ISBLANK(MEMBERS[[#This Row],[ServiceEndDate]]),0,IF(MEMBERS[[#This Row],[ServiceStartDate]]&lt;MEMBERS[[#This Row],[ServiceEndDate]],0,1))</f>
        <v>0</v>
      </c>
      <c r="G627" s="57" cm="1">
        <f t="array" aca="1" ref="G627" ca="1">IF(CELL("format",MEMBERS[[#This Row],[ServiceStartDate]])="D1",0,1)+IF(CELL("format",MEMBERS[[#This Row],[ServiceEndDate]])="D1",0,1)</f>
        <v>0</v>
      </c>
      <c r="H62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27" s="57">
        <f>IF(LEN(MEMBERS[[#This Row],[StaffMemberCode]])&lt;100,0,1)</f>
        <v>0</v>
      </c>
      <c r="J627" s="57">
        <f>IF(LEN(MEMBERS[[#This Row],[Title]])&lt;100,0,1)</f>
        <v>0</v>
      </c>
      <c r="K627" s="57">
        <f>COUNTBLANK(MEMBERS[[#This Row],[StaffMemberCode]:[ServiceStartDate]])+COUNTBLANK(MEMBERS[[#This Row],[Apprenticeship]]:MEMBERS[[#This Row],[StaffMemberEnabled]])+COUNTBLANK(MEMBERS[[#This Row],[GenderCode]]:MEMBERS[[#This Row],[Casual]])</f>
        <v>0</v>
      </c>
      <c r="L627" s="57">
        <f>IF(SUBSTITUTE(TEXT(MEMBERS[[#This Row],[StaffMemberCode]],10)," ","")=TEXT(MEMBERS[[#This Row],[StaffMemberCode]],10),0,1)</f>
        <v>0</v>
      </c>
      <c r="M627" s="57">
        <f ca="1">SUM(MEMBERS[[#This Row],[Duplicate NameService Start]:[Space in Code]])</f>
        <v>0</v>
      </c>
      <c r="O627" s="15">
        <v>10005345</v>
      </c>
      <c r="P627" s="15" t="s">
        <v>3399</v>
      </c>
      <c r="Q627" s="15" t="s">
        <v>4117</v>
      </c>
      <c r="R627" s="133" t="str">
        <f>MEMBERS[[#This Row],[FirstName]]&amp;" "&amp;MEMBERS[[#This Row],[LastName]]</f>
        <v>Rachel Sinden</v>
      </c>
      <c r="S627" s="21">
        <v>41153</v>
      </c>
      <c r="U627" s="21">
        <v>32422</v>
      </c>
      <c r="V627" s="138" t="b">
        <v>0</v>
      </c>
      <c r="W627" t="b">
        <v>0</v>
      </c>
      <c r="X627" t="b">
        <v>0</v>
      </c>
      <c r="Y627" t="s">
        <v>2126</v>
      </c>
      <c r="Z627" t="b">
        <v>1</v>
      </c>
      <c r="AB627" t="s">
        <v>1571</v>
      </c>
      <c r="AC627" t="b">
        <v>0</v>
      </c>
    </row>
    <row r="628" spans="1:29" x14ac:dyDescent="0.3">
      <c r="A628" s="57" t="str">
        <f>MEMBERS[[#This Row],[Title]]&amp;MEMBERS[[#This Row],[ServiceStartDate]]</f>
        <v>Rachel Woollam33978</v>
      </c>
      <c r="B628" s="57">
        <f>IF(COUNTIF(MEMBERS[NameServiceStart],MEMBERS[[#This Row],[NameServiceStart]])=1,0,1)</f>
        <v>0</v>
      </c>
      <c r="C628" s="57">
        <f>IF(COUNTIF(MEMBERS[StaffMemberCode],MEMBERS[[#This Row],[StaffMemberCode]])=1,0,1)</f>
        <v>0</v>
      </c>
      <c r="D628" s="57">
        <f>IF(ISBLANK(MEMBERS[[#This Row],[PayrollLocation]]),0,IF(COUNTIF(SCHOOLS[SchoolCode],MEMBERS[[#This Row],[PayrollLocation]])=1,0,1))</f>
        <v>0</v>
      </c>
      <c r="E628" s="57">
        <f>IF(MEMBERS[[#This Row],[AvailableToAllSchools]]=FALSE,IF(ISBLANK(MEMBERS[[#This Row],[SchoolCodes]]),1,0),IF(MEMBERS[[#This Row],[AvailableToAllSchools]]=TRUE,IF(ISBLANK(MEMBERS[[#This Row],[SchoolCodes]]),0,1)))</f>
        <v>0</v>
      </c>
      <c r="F628" s="57">
        <f>IF(ISBLANK(MEMBERS[[#This Row],[ServiceEndDate]]),0,IF(MEMBERS[[#This Row],[ServiceStartDate]]&lt;MEMBERS[[#This Row],[ServiceEndDate]],0,1))</f>
        <v>0</v>
      </c>
      <c r="G628" s="57" cm="1">
        <f t="array" aca="1" ref="G628" ca="1">IF(CELL("format",MEMBERS[[#This Row],[ServiceStartDate]])="D1",0,1)+IF(CELL("format",MEMBERS[[#This Row],[ServiceEndDate]])="D1",0,1)</f>
        <v>0</v>
      </c>
      <c r="H62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28" s="57">
        <f>IF(LEN(MEMBERS[[#This Row],[StaffMemberCode]])&lt;100,0,1)</f>
        <v>0</v>
      </c>
      <c r="J628" s="57">
        <f>IF(LEN(MEMBERS[[#This Row],[Title]])&lt;100,0,1)</f>
        <v>0</v>
      </c>
      <c r="K628" s="57">
        <f>COUNTBLANK(MEMBERS[[#This Row],[StaffMemberCode]:[ServiceStartDate]])+COUNTBLANK(MEMBERS[[#This Row],[Apprenticeship]]:MEMBERS[[#This Row],[StaffMemberEnabled]])+COUNTBLANK(MEMBERS[[#This Row],[GenderCode]]:MEMBERS[[#This Row],[Casual]])</f>
        <v>0</v>
      </c>
      <c r="L628" s="57">
        <f>IF(SUBSTITUTE(TEXT(MEMBERS[[#This Row],[StaffMemberCode]],10)," ","")=TEXT(MEMBERS[[#This Row],[StaffMemberCode]],10),0,1)</f>
        <v>0</v>
      </c>
      <c r="M628" s="57">
        <f ca="1">SUM(MEMBERS[[#This Row],[Duplicate NameService Start]:[Space in Code]])</f>
        <v>0</v>
      </c>
      <c r="O628" s="15">
        <v>91073890</v>
      </c>
      <c r="P628" s="15" t="s">
        <v>3399</v>
      </c>
      <c r="Q628" s="15" t="s">
        <v>3840</v>
      </c>
      <c r="R628" s="133" t="str">
        <f>MEMBERS[[#This Row],[FirstName]]&amp;" "&amp;MEMBERS[[#This Row],[LastName]]</f>
        <v>Rachel Woollam</v>
      </c>
      <c r="S628" s="21">
        <v>33978</v>
      </c>
      <c r="U628" s="21">
        <v>25978</v>
      </c>
      <c r="V628" t="b">
        <v>0</v>
      </c>
      <c r="W628" t="b">
        <v>0</v>
      </c>
      <c r="X628" t="b">
        <v>0</v>
      </c>
      <c r="Y628" t="s">
        <v>2266</v>
      </c>
      <c r="Z628" t="b">
        <v>1</v>
      </c>
      <c r="AB628" t="s">
        <v>1571</v>
      </c>
      <c r="AC628" t="b">
        <v>0</v>
      </c>
    </row>
    <row r="629" spans="1:29" x14ac:dyDescent="0.3">
      <c r="A629" s="57" t="str">
        <f>MEMBERS[[#This Row],[Title]]&amp;MEMBERS[[#This Row],[ServiceStartDate]]</f>
        <v>Raina Muggeridge45307</v>
      </c>
      <c r="B629" s="57">
        <f>IF(COUNTIF(MEMBERS[NameServiceStart],MEMBERS[[#This Row],[NameServiceStart]])=1,0,1)</f>
        <v>0</v>
      </c>
      <c r="C629" s="57">
        <f>IF(COUNTIF(MEMBERS[StaffMemberCode],MEMBERS[[#This Row],[StaffMemberCode]])=1,0,1)</f>
        <v>0</v>
      </c>
      <c r="D629" s="57">
        <f>IF(ISBLANK(MEMBERS[[#This Row],[PayrollLocation]]),0,IF(COUNTIF(SCHOOLS[SchoolCode],MEMBERS[[#This Row],[PayrollLocation]])=1,0,1))</f>
        <v>0</v>
      </c>
      <c r="E629" s="57">
        <f>IF(MEMBERS[[#This Row],[AvailableToAllSchools]]=FALSE,IF(ISBLANK(MEMBERS[[#This Row],[SchoolCodes]]),1,0),IF(MEMBERS[[#This Row],[AvailableToAllSchools]]=TRUE,IF(ISBLANK(MEMBERS[[#This Row],[SchoolCodes]]),0,1)))</f>
        <v>0</v>
      </c>
      <c r="F629" s="57">
        <f>IF(ISBLANK(MEMBERS[[#This Row],[ServiceEndDate]]),0,IF(MEMBERS[[#This Row],[ServiceStartDate]]&lt;MEMBERS[[#This Row],[ServiceEndDate]],0,1))</f>
        <v>0</v>
      </c>
      <c r="G629" s="57" cm="1">
        <f t="array" aca="1" ref="G629" ca="1">IF(CELL("format",MEMBERS[[#This Row],[ServiceStartDate]])="D1",0,1)+IF(CELL("format",MEMBERS[[#This Row],[ServiceEndDate]])="D1",0,1)</f>
        <v>0</v>
      </c>
      <c r="H62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29" s="57">
        <f>IF(LEN(MEMBERS[[#This Row],[StaffMemberCode]])&lt;100,0,1)</f>
        <v>0</v>
      </c>
      <c r="J629" s="57">
        <f>IF(LEN(MEMBERS[[#This Row],[Title]])&lt;100,0,1)</f>
        <v>0</v>
      </c>
      <c r="K629" s="57">
        <f>COUNTBLANK(MEMBERS[[#This Row],[StaffMemberCode]:[ServiceStartDate]])+COUNTBLANK(MEMBERS[[#This Row],[Apprenticeship]]:MEMBERS[[#This Row],[StaffMemberEnabled]])+COUNTBLANK(MEMBERS[[#This Row],[GenderCode]]:MEMBERS[[#This Row],[Casual]])</f>
        <v>0</v>
      </c>
      <c r="L629" s="57">
        <f>IF(SUBSTITUTE(TEXT(MEMBERS[[#This Row],[StaffMemberCode]],10)," ","")=TEXT(MEMBERS[[#This Row],[StaffMemberCode]],10),0,1)</f>
        <v>0</v>
      </c>
      <c r="M629" s="57">
        <f ca="1">SUM(MEMBERS[[#This Row],[Duplicate NameService Start]:[Space in Code]])</f>
        <v>0</v>
      </c>
      <c r="O629" s="15">
        <v>91073632</v>
      </c>
      <c r="P629" s="15" t="s">
        <v>3400</v>
      </c>
      <c r="Q629" s="15" t="s">
        <v>3841</v>
      </c>
      <c r="R629" s="133" t="str">
        <f>MEMBERS[[#This Row],[FirstName]]&amp;" "&amp;MEMBERS[[#This Row],[LastName]]</f>
        <v>Raina Muggeridge</v>
      </c>
      <c r="S629" s="21">
        <v>45307</v>
      </c>
      <c r="U629" s="21">
        <v>23510</v>
      </c>
      <c r="V629" t="b">
        <v>0</v>
      </c>
      <c r="W629" t="b">
        <v>0</v>
      </c>
      <c r="X629" t="b">
        <v>0</v>
      </c>
      <c r="Y629" t="s">
        <v>2094</v>
      </c>
      <c r="Z629" t="b">
        <v>1</v>
      </c>
      <c r="AB629" t="s">
        <v>1571</v>
      </c>
      <c r="AC629" t="b">
        <v>0</v>
      </c>
    </row>
    <row r="630" spans="1:29" x14ac:dyDescent="0.3">
      <c r="A630" s="57" t="str">
        <f>MEMBERS[[#This Row],[Title]]&amp;MEMBERS[[#This Row],[ServiceStartDate]]</f>
        <v>Raymond Butcher41863</v>
      </c>
      <c r="B630" s="57">
        <f>IF(COUNTIF(MEMBERS[NameServiceStart],MEMBERS[[#This Row],[NameServiceStart]])=1,0,1)</f>
        <v>0</v>
      </c>
      <c r="C630" s="57">
        <f>IF(COUNTIF(MEMBERS[StaffMemberCode],MEMBERS[[#This Row],[StaffMemberCode]])=1,0,1)</f>
        <v>0</v>
      </c>
      <c r="D630" s="57">
        <f>IF(ISBLANK(MEMBERS[[#This Row],[PayrollLocation]]),0,IF(COUNTIF(SCHOOLS[SchoolCode],MEMBERS[[#This Row],[PayrollLocation]])=1,0,1))</f>
        <v>0</v>
      </c>
      <c r="E630" s="57">
        <f>IF(MEMBERS[[#This Row],[AvailableToAllSchools]]=FALSE,IF(ISBLANK(MEMBERS[[#This Row],[SchoolCodes]]),1,0),IF(MEMBERS[[#This Row],[AvailableToAllSchools]]=TRUE,IF(ISBLANK(MEMBERS[[#This Row],[SchoolCodes]]),0,1)))</f>
        <v>0</v>
      </c>
      <c r="F630" s="57">
        <f>IF(ISBLANK(MEMBERS[[#This Row],[ServiceEndDate]]),0,IF(MEMBERS[[#This Row],[ServiceStartDate]]&lt;MEMBERS[[#This Row],[ServiceEndDate]],0,1))</f>
        <v>0</v>
      </c>
      <c r="G630" s="57" cm="1">
        <f t="array" aca="1" ref="G630" ca="1">IF(CELL("format",MEMBERS[[#This Row],[ServiceStartDate]])="D1",0,1)+IF(CELL("format",MEMBERS[[#This Row],[ServiceEndDate]])="D1",0,1)</f>
        <v>0</v>
      </c>
      <c r="H63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30" s="57">
        <f>IF(LEN(MEMBERS[[#This Row],[StaffMemberCode]])&lt;100,0,1)</f>
        <v>0</v>
      </c>
      <c r="J630" s="57">
        <f>IF(LEN(MEMBERS[[#This Row],[Title]])&lt;100,0,1)</f>
        <v>0</v>
      </c>
      <c r="K630" s="57">
        <f>COUNTBLANK(MEMBERS[[#This Row],[StaffMemberCode]:[ServiceStartDate]])+COUNTBLANK(MEMBERS[[#This Row],[Apprenticeship]]:MEMBERS[[#This Row],[StaffMemberEnabled]])+COUNTBLANK(MEMBERS[[#This Row],[GenderCode]]:MEMBERS[[#This Row],[Casual]])</f>
        <v>0</v>
      </c>
      <c r="L630" s="57">
        <f>IF(SUBSTITUTE(TEXT(MEMBERS[[#This Row],[StaffMemberCode]],10)," ","")=TEXT(MEMBERS[[#This Row],[StaffMemberCode]],10),0,1)</f>
        <v>0</v>
      </c>
      <c r="M630" s="57">
        <f ca="1">SUM(MEMBERS[[#This Row],[Duplicate NameService Start]:[Space in Code]])</f>
        <v>0</v>
      </c>
      <c r="O630" s="15">
        <v>91073612</v>
      </c>
      <c r="P630" s="15" t="s">
        <v>3401</v>
      </c>
      <c r="Q630" s="15" t="s">
        <v>3842</v>
      </c>
      <c r="R630" s="133" t="str">
        <f>MEMBERS[[#This Row],[FirstName]]&amp;" "&amp;MEMBERS[[#This Row],[LastName]]</f>
        <v>Raymond Butcher</v>
      </c>
      <c r="S630" s="21">
        <v>41863</v>
      </c>
      <c r="U630" s="21">
        <v>27012</v>
      </c>
      <c r="V630" t="b">
        <v>0</v>
      </c>
      <c r="W630" t="b">
        <v>0</v>
      </c>
      <c r="X630" t="b">
        <v>0</v>
      </c>
      <c r="Y630" t="s">
        <v>2094</v>
      </c>
      <c r="Z630" t="b">
        <v>1</v>
      </c>
      <c r="AB630" t="s">
        <v>1572</v>
      </c>
      <c r="AC630" t="b">
        <v>0</v>
      </c>
    </row>
    <row r="631" spans="1:29" x14ac:dyDescent="0.3">
      <c r="A631" s="57" t="str">
        <f>MEMBERS[[#This Row],[Title]]&amp;MEMBERS[[#This Row],[ServiceStartDate]]</f>
        <v>Rebecca Butterworth45536</v>
      </c>
      <c r="B631" s="57">
        <f>IF(COUNTIF(MEMBERS[NameServiceStart],MEMBERS[[#This Row],[NameServiceStart]])=1,0,1)</f>
        <v>0</v>
      </c>
      <c r="C631" s="57">
        <f>IF(COUNTIF(MEMBERS[StaffMemberCode],MEMBERS[[#This Row],[StaffMemberCode]])=1,0,1)</f>
        <v>0</v>
      </c>
      <c r="D631" s="57">
        <f>IF(ISBLANK(MEMBERS[[#This Row],[PayrollLocation]]),0,IF(COUNTIF(SCHOOLS[SchoolCode],MEMBERS[[#This Row],[PayrollLocation]])=1,0,1))</f>
        <v>0</v>
      </c>
      <c r="E631" s="57">
        <f>IF(MEMBERS[[#This Row],[AvailableToAllSchools]]=FALSE,IF(ISBLANK(MEMBERS[[#This Row],[SchoolCodes]]),1,0),IF(MEMBERS[[#This Row],[AvailableToAllSchools]]=TRUE,IF(ISBLANK(MEMBERS[[#This Row],[SchoolCodes]]),0,1)))</f>
        <v>0</v>
      </c>
      <c r="F631" s="57">
        <f>IF(ISBLANK(MEMBERS[[#This Row],[ServiceEndDate]]),0,IF(MEMBERS[[#This Row],[ServiceStartDate]]&lt;MEMBERS[[#This Row],[ServiceEndDate]],0,1))</f>
        <v>0</v>
      </c>
      <c r="G631" s="57" cm="1">
        <f t="array" aca="1" ref="G631" ca="1">IF(CELL("format",MEMBERS[[#This Row],[ServiceStartDate]])="D1",0,1)+IF(CELL("format",MEMBERS[[#This Row],[ServiceEndDate]])="D1",0,1)</f>
        <v>0</v>
      </c>
      <c r="H63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31" s="57">
        <f>IF(LEN(MEMBERS[[#This Row],[StaffMemberCode]])&lt;100,0,1)</f>
        <v>0</v>
      </c>
      <c r="J631" s="57">
        <f>IF(LEN(MEMBERS[[#This Row],[Title]])&lt;100,0,1)</f>
        <v>0</v>
      </c>
      <c r="K631" s="57">
        <f>COUNTBLANK(MEMBERS[[#This Row],[StaffMemberCode]:[ServiceStartDate]])+COUNTBLANK(MEMBERS[[#This Row],[Apprenticeship]]:MEMBERS[[#This Row],[StaffMemberEnabled]])+COUNTBLANK(MEMBERS[[#This Row],[GenderCode]]:MEMBERS[[#This Row],[Casual]])</f>
        <v>0</v>
      </c>
      <c r="L631" s="57">
        <f>IF(SUBSTITUTE(TEXT(MEMBERS[[#This Row],[StaffMemberCode]],10)," ","")=TEXT(MEMBERS[[#This Row],[StaffMemberCode]],10),0,1)</f>
        <v>0</v>
      </c>
      <c r="M631" s="57">
        <f ca="1">SUM(MEMBERS[[#This Row],[Duplicate NameService Start]:[Space in Code]])</f>
        <v>0</v>
      </c>
      <c r="O631" s="15">
        <v>91323704</v>
      </c>
      <c r="P631" s="15" t="s">
        <v>3402</v>
      </c>
      <c r="Q631" s="15" t="s">
        <v>3843</v>
      </c>
      <c r="R631" s="133" t="str">
        <f>MEMBERS[[#This Row],[FirstName]]&amp;" "&amp;MEMBERS[[#This Row],[LastName]]</f>
        <v>Rebecca Butterworth</v>
      </c>
      <c r="S631" s="21">
        <v>45536</v>
      </c>
      <c r="U631" s="21">
        <v>31321</v>
      </c>
      <c r="V631" t="b">
        <v>0</v>
      </c>
      <c r="W631" t="b">
        <v>0</v>
      </c>
      <c r="X631" t="b">
        <v>0</v>
      </c>
      <c r="Y631" t="s">
        <v>2094</v>
      </c>
      <c r="Z631" t="b">
        <v>1</v>
      </c>
      <c r="AB631" t="s">
        <v>1571</v>
      </c>
      <c r="AC631" t="b">
        <v>0</v>
      </c>
    </row>
    <row r="632" spans="1:29" x14ac:dyDescent="0.3">
      <c r="A632" s="57" t="str">
        <f>MEMBERS[[#This Row],[Title]]&amp;MEMBERS[[#This Row],[ServiceStartDate]]</f>
        <v>Rebecca Catchpole42248</v>
      </c>
      <c r="B632" s="57">
        <f>IF(COUNTIF(MEMBERS[NameServiceStart],MEMBERS[[#This Row],[NameServiceStart]])=1,0,1)</f>
        <v>0</v>
      </c>
      <c r="C632" s="57">
        <f>IF(COUNTIF(MEMBERS[StaffMemberCode],MEMBERS[[#This Row],[StaffMemberCode]])=1,0,1)</f>
        <v>0</v>
      </c>
      <c r="D632" s="57">
        <f>IF(ISBLANK(MEMBERS[[#This Row],[PayrollLocation]]),0,IF(COUNTIF(SCHOOLS[SchoolCode],MEMBERS[[#This Row],[PayrollLocation]])=1,0,1))</f>
        <v>0</v>
      </c>
      <c r="E632" s="57">
        <f>IF(MEMBERS[[#This Row],[AvailableToAllSchools]]=FALSE,IF(ISBLANK(MEMBERS[[#This Row],[SchoolCodes]]),1,0),IF(MEMBERS[[#This Row],[AvailableToAllSchools]]=TRUE,IF(ISBLANK(MEMBERS[[#This Row],[SchoolCodes]]),0,1)))</f>
        <v>0</v>
      </c>
      <c r="F632" s="57">
        <f>IF(ISBLANK(MEMBERS[[#This Row],[ServiceEndDate]]),0,IF(MEMBERS[[#This Row],[ServiceStartDate]]&lt;MEMBERS[[#This Row],[ServiceEndDate]],0,1))</f>
        <v>0</v>
      </c>
      <c r="G632" s="57" cm="1">
        <f t="array" aca="1" ref="G632" ca="1">IF(CELL("format",MEMBERS[[#This Row],[ServiceStartDate]])="D1",0,1)+IF(CELL("format",MEMBERS[[#This Row],[ServiceEndDate]])="D1",0,1)</f>
        <v>0</v>
      </c>
      <c r="H63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32" s="57">
        <f>IF(LEN(MEMBERS[[#This Row],[StaffMemberCode]])&lt;100,0,1)</f>
        <v>0</v>
      </c>
      <c r="J632" s="57">
        <f>IF(LEN(MEMBERS[[#This Row],[Title]])&lt;100,0,1)</f>
        <v>0</v>
      </c>
      <c r="K632" s="57">
        <f>COUNTBLANK(MEMBERS[[#This Row],[StaffMemberCode]:[ServiceStartDate]])+COUNTBLANK(MEMBERS[[#This Row],[Apprenticeship]]:MEMBERS[[#This Row],[StaffMemberEnabled]])+COUNTBLANK(MEMBERS[[#This Row],[GenderCode]]:MEMBERS[[#This Row],[Casual]])</f>
        <v>0</v>
      </c>
      <c r="L632" s="57">
        <f>IF(SUBSTITUTE(TEXT(MEMBERS[[#This Row],[StaffMemberCode]],10)," ","")=TEXT(MEMBERS[[#This Row],[StaffMemberCode]],10),0,1)</f>
        <v>0</v>
      </c>
      <c r="M632" s="57">
        <f ca="1">SUM(MEMBERS[[#This Row],[Duplicate NameService Start]:[Space in Code]])</f>
        <v>0</v>
      </c>
      <c r="O632" s="15">
        <v>10016230</v>
      </c>
      <c r="P632" s="15" t="s">
        <v>3402</v>
      </c>
      <c r="Q632" s="15" t="s">
        <v>4118</v>
      </c>
      <c r="R632" s="133" t="str">
        <f>MEMBERS[[#This Row],[FirstName]]&amp;" "&amp;MEMBERS[[#This Row],[LastName]]</f>
        <v>Rebecca Catchpole</v>
      </c>
      <c r="S632" s="21">
        <v>42248</v>
      </c>
      <c r="U632" s="21">
        <v>33596</v>
      </c>
      <c r="V632" s="138" t="b">
        <v>0</v>
      </c>
      <c r="W632" t="b">
        <v>0</v>
      </c>
      <c r="X632" t="b">
        <v>0</v>
      </c>
      <c r="Y632" t="s">
        <v>2126</v>
      </c>
      <c r="Z632" t="b">
        <v>1</v>
      </c>
      <c r="AB632" t="s">
        <v>1571</v>
      </c>
      <c r="AC632" t="b">
        <v>0</v>
      </c>
    </row>
    <row r="633" spans="1:29" x14ac:dyDescent="0.3">
      <c r="A633" s="57" t="str">
        <f>MEMBERS[[#This Row],[Title]]&amp;MEMBERS[[#This Row],[ServiceStartDate]]</f>
        <v>Rebecca Clay45140</v>
      </c>
      <c r="B633" s="57">
        <f>IF(COUNTIF(MEMBERS[NameServiceStart],MEMBERS[[#This Row],[NameServiceStart]])=1,0,1)</f>
        <v>0</v>
      </c>
      <c r="C633" s="57">
        <f>IF(COUNTIF(MEMBERS[StaffMemberCode],MEMBERS[[#This Row],[StaffMemberCode]])=1,0,1)</f>
        <v>0</v>
      </c>
      <c r="D633" s="57">
        <f>IF(ISBLANK(MEMBERS[[#This Row],[PayrollLocation]]),0,IF(COUNTIF(SCHOOLS[SchoolCode],MEMBERS[[#This Row],[PayrollLocation]])=1,0,1))</f>
        <v>0</v>
      </c>
      <c r="E633" s="57">
        <f>IF(MEMBERS[[#This Row],[AvailableToAllSchools]]=FALSE,IF(ISBLANK(MEMBERS[[#This Row],[SchoolCodes]]),1,0),IF(MEMBERS[[#This Row],[AvailableToAllSchools]]=TRUE,IF(ISBLANK(MEMBERS[[#This Row],[SchoolCodes]]),0,1)))</f>
        <v>0</v>
      </c>
      <c r="F633" s="57">
        <f>IF(ISBLANK(MEMBERS[[#This Row],[ServiceEndDate]]),0,IF(MEMBERS[[#This Row],[ServiceStartDate]]&lt;MEMBERS[[#This Row],[ServiceEndDate]],0,1))</f>
        <v>0</v>
      </c>
      <c r="G633" s="57" cm="1">
        <f t="array" aca="1" ref="G633" ca="1">IF(CELL("format",MEMBERS[[#This Row],[ServiceStartDate]])="D1",0,1)+IF(CELL("format",MEMBERS[[#This Row],[ServiceEndDate]])="D1",0,1)</f>
        <v>0</v>
      </c>
      <c r="H63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33" s="57">
        <f>IF(LEN(MEMBERS[[#This Row],[StaffMemberCode]])&lt;100,0,1)</f>
        <v>0</v>
      </c>
      <c r="J633" s="57">
        <f>IF(LEN(MEMBERS[[#This Row],[Title]])&lt;100,0,1)</f>
        <v>0</v>
      </c>
      <c r="K633" s="57">
        <f>COUNTBLANK(MEMBERS[[#This Row],[StaffMemberCode]:[ServiceStartDate]])+COUNTBLANK(MEMBERS[[#This Row],[Apprenticeship]]:MEMBERS[[#This Row],[StaffMemberEnabled]])+COUNTBLANK(MEMBERS[[#This Row],[GenderCode]]:MEMBERS[[#This Row],[Casual]])</f>
        <v>0</v>
      </c>
      <c r="L633" s="57">
        <f>IF(SUBSTITUTE(TEXT(MEMBERS[[#This Row],[StaffMemberCode]],10)," ","")=TEXT(MEMBERS[[#This Row],[StaffMemberCode]],10),0,1)</f>
        <v>0</v>
      </c>
      <c r="M633" s="57">
        <f ca="1">SUM(MEMBERS[[#This Row],[Duplicate NameService Start]:[Space in Code]])</f>
        <v>0</v>
      </c>
      <c r="O633" s="15">
        <v>91073830</v>
      </c>
      <c r="P633" s="15" t="s">
        <v>3402</v>
      </c>
      <c r="Q633" s="15" t="s">
        <v>3844</v>
      </c>
      <c r="R633" s="133" t="str">
        <f>MEMBERS[[#This Row],[FirstName]]&amp;" "&amp;MEMBERS[[#This Row],[LastName]]</f>
        <v>Rebecca Clay</v>
      </c>
      <c r="S633" s="21">
        <v>45140</v>
      </c>
      <c r="U633" s="21">
        <v>32284</v>
      </c>
      <c r="V633" t="b">
        <v>0</v>
      </c>
      <c r="W633" t="b">
        <v>0</v>
      </c>
      <c r="X633" t="b">
        <v>0</v>
      </c>
      <c r="Y633" t="s">
        <v>2082</v>
      </c>
      <c r="Z633" t="b">
        <v>1</v>
      </c>
      <c r="AB633" t="s">
        <v>1571</v>
      </c>
      <c r="AC633" t="b">
        <v>0</v>
      </c>
    </row>
    <row r="634" spans="1:29" x14ac:dyDescent="0.3">
      <c r="A634" s="57" t="str">
        <f>MEMBERS[[#This Row],[Title]]&amp;MEMBERS[[#This Row],[ServiceStartDate]]</f>
        <v>Rebecca Cracknell45769</v>
      </c>
      <c r="B634" s="57">
        <f>IF(COUNTIF(MEMBERS[NameServiceStart],MEMBERS[[#This Row],[NameServiceStart]])=1,0,1)</f>
        <v>0</v>
      </c>
      <c r="C634" s="57">
        <f>IF(COUNTIF(MEMBERS[StaffMemberCode],MEMBERS[[#This Row],[StaffMemberCode]])=1,0,1)</f>
        <v>0</v>
      </c>
      <c r="D634" s="57">
        <f>IF(ISBLANK(MEMBERS[[#This Row],[PayrollLocation]]),0,IF(COUNTIF(SCHOOLS[SchoolCode],MEMBERS[[#This Row],[PayrollLocation]])=1,0,1))</f>
        <v>0</v>
      </c>
      <c r="E634" s="57">
        <f>IF(MEMBERS[[#This Row],[AvailableToAllSchools]]=FALSE,IF(ISBLANK(MEMBERS[[#This Row],[SchoolCodes]]),1,0),IF(MEMBERS[[#This Row],[AvailableToAllSchools]]=TRUE,IF(ISBLANK(MEMBERS[[#This Row],[SchoolCodes]]),0,1)))</f>
        <v>0</v>
      </c>
      <c r="F634" s="57">
        <f>IF(ISBLANK(MEMBERS[[#This Row],[ServiceEndDate]]),0,IF(MEMBERS[[#This Row],[ServiceStartDate]]&lt;MEMBERS[[#This Row],[ServiceEndDate]],0,1))</f>
        <v>0</v>
      </c>
      <c r="G634" s="57" cm="1">
        <f t="array" aca="1" ref="G634" ca="1">IF(CELL("format",MEMBERS[[#This Row],[ServiceStartDate]])="D1",0,1)+IF(CELL("format",MEMBERS[[#This Row],[ServiceEndDate]])="D1",0,1)</f>
        <v>0</v>
      </c>
      <c r="H63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34" s="57">
        <f>IF(LEN(MEMBERS[[#This Row],[StaffMemberCode]])&lt;100,0,1)</f>
        <v>0</v>
      </c>
      <c r="J634" s="57">
        <f>IF(LEN(MEMBERS[[#This Row],[Title]])&lt;100,0,1)</f>
        <v>0</v>
      </c>
      <c r="K634" s="57">
        <f>COUNTBLANK(MEMBERS[[#This Row],[StaffMemberCode]:[ServiceStartDate]])+COUNTBLANK(MEMBERS[[#This Row],[Apprenticeship]]:MEMBERS[[#This Row],[StaffMemberEnabled]])+COUNTBLANK(MEMBERS[[#This Row],[GenderCode]]:MEMBERS[[#This Row],[Casual]])</f>
        <v>0</v>
      </c>
      <c r="L634" s="57">
        <f>IF(SUBSTITUTE(TEXT(MEMBERS[[#This Row],[StaffMemberCode]],10)," ","")=TEXT(MEMBERS[[#This Row],[StaffMemberCode]],10),0,1)</f>
        <v>0</v>
      </c>
      <c r="M634" s="57">
        <f ca="1">SUM(MEMBERS[[#This Row],[Duplicate NameService Start]:[Space in Code]])</f>
        <v>0</v>
      </c>
      <c r="O634" s="15">
        <v>10015811</v>
      </c>
      <c r="P634" s="15" t="s">
        <v>3402</v>
      </c>
      <c r="Q634" s="15" t="s">
        <v>4096</v>
      </c>
      <c r="R634" s="133" t="str">
        <f>MEMBERS[[#This Row],[FirstName]]&amp;" "&amp;MEMBERS[[#This Row],[LastName]]</f>
        <v>Rebecca Cracknell</v>
      </c>
      <c r="S634" s="21">
        <v>45769</v>
      </c>
      <c r="U634" s="21">
        <v>32552</v>
      </c>
      <c r="V634" s="138" t="b">
        <v>0</v>
      </c>
      <c r="W634" t="b">
        <v>0</v>
      </c>
      <c r="X634" t="b">
        <v>0</v>
      </c>
      <c r="Y634" t="s">
        <v>2126</v>
      </c>
      <c r="Z634" t="b">
        <v>1</v>
      </c>
      <c r="AB634" t="s">
        <v>1571</v>
      </c>
      <c r="AC634" t="b">
        <v>0</v>
      </c>
    </row>
    <row r="635" spans="1:29" x14ac:dyDescent="0.3">
      <c r="A635" s="57" t="str">
        <f>MEMBERS[[#This Row],[Title]]&amp;MEMBERS[[#This Row],[ServiceStartDate]]</f>
        <v>Rebecca Dawson37995</v>
      </c>
      <c r="B635" s="57">
        <f>IF(COUNTIF(MEMBERS[NameServiceStart],MEMBERS[[#This Row],[NameServiceStart]])=1,0,1)</f>
        <v>0</v>
      </c>
      <c r="C635" s="57">
        <f>IF(COUNTIF(MEMBERS[StaffMemberCode],MEMBERS[[#This Row],[StaffMemberCode]])=1,0,1)</f>
        <v>0</v>
      </c>
      <c r="D635" s="57">
        <f>IF(ISBLANK(MEMBERS[[#This Row],[PayrollLocation]]),0,IF(COUNTIF(SCHOOLS[SchoolCode],MEMBERS[[#This Row],[PayrollLocation]])=1,0,1))</f>
        <v>0</v>
      </c>
      <c r="E635" s="57">
        <f>IF(MEMBERS[[#This Row],[AvailableToAllSchools]]=FALSE,IF(ISBLANK(MEMBERS[[#This Row],[SchoolCodes]]),1,0),IF(MEMBERS[[#This Row],[AvailableToAllSchools]]=TRUE,IF(ISBLANK(MEMBERS[[#This Row],[SchoolCodes]]),0,1)))</f>
        <v>0</v>
      </c>
      <c r="F635" s="57">
        <f>IF(ISBLANK(MEMBERS[[#This Row],[ServiceEndDate]]),0,IF(MEMBERS[[#This Row],[ServiceStartDate]]&lt;MEMBERS[[#This Row],[ServiceEndDate]],0,1))</f>
        <v>0</v>
      </c>
      <c r="G635" s="57" cm="1">
        <f t="array" aca="1" ref="G635" ca="1">IF(CELL("format",MEMBERS[[#This Row],[ServiceStartDate]])="D1",0,1)+IF(CELL("format",MEMBERS[[#This Row],[ServiceEndDate]])="D1",0,1)</f>
        <v>0</v>
      </c>
      <c r="H63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35" s="57">
        <f>IF(LEN(MEMBERS[[#This Row],[StaffMemberCode]])&lt;100,0,1)</f>
        <v>0</v>
      </c>
      <c r="J635" s="57">
        <f>IF(LEN(MEMBERS[[#This Row],[Title]])&lt;100,0,1)</f>
        <v>0</v>
      </c>
      <c r="K635" s="57">
        <f>COUNTBLANK(MEMBERS[[#This Row],[StaffMemberCode]:[ServiceStartDate]])+COUNTBLANK(MEMBERS[[#This Row],[Apprenticeship]]:MEMBERS[[#This Row],[StaffMemberEnabled]])+COUNTBLANK(MEMBERS[[#This Row],[GenderCode]]:MEMBERS[[#This Row],[Casual]])</f>
        <v>0</v>
      </c>
      <c r="L635" s="57">
        <f>IF(SUBSTITUTE(TEXT(MEMBERS[[#This Row],[StaffMemberCode]],10)," ","")=TEXT(MEMBERS[[#This Row],[StaffMemberCode]],10),0,1)</f>
        <v>0</v>
      </c>
      <c r="M635" s="57">
        <f ca="1">SUM(MEMBERS[[#This Row],[Duplicate NameService Start]:[Space in Code]])</f>
        <v>0</v>
      </c>
      <c r="O635" s="15">
        <v>91073464</v>
      </c>
      <c r="P635" s="15" t="s">
        <v>3402</v>
      </c>
      <c r="Q635" s="15" t="s">
        <v>3845</v>
      </c>
      <c r="R635" s="133" t="str">
        <f>MEMBERS[[#This Row],[FirstName]]&amp;" "&amp;MEMBERS[[#This Row],[LastName]]</f>
        <v>Rebecca Dawson</v>
      </c>
      <c r="S635" s="21">
        <v>37995</v>
      </c>
      <c r="U635" s="21">
        <v>30429</v>
      </c>
      <c r="V635" t="b">
        <v>0</v>
      </c>
      <c r="W635" t="b">
        <v>0</v>
      </c>
      <c r="X635" t="b">
        <v>0</v>
      </c>
      <c r="Y635" t="s">
        <v>2094</v>
      </c>
      <c r="Z635" t="b">
        <v>1</v>
      </c>
      <c r="AB635" t="s">
        <v>1571</v>
      </c>
      <c r="AC635" t="b">
        <v>0</v>
      </c>
    </row>
    <row r="636" spans="1:29" x14ac:dyDescent="0.3">
      <c r="A636" s="57" t="str">
        <f>MEMBERS[[#This Row],[Title]]&amp;MEMBERS[[#This Row],[ServiceStartDate]]</f>
        <v>Rebecca Howlett43109</v>
      </c>
      <c r="B636" s="57">
        <f>IF(COUNTIF(MEMBERS[NameServiceStart],MEMBERS[[#This Row],[NameServiceStart]])=1,0,1)</f>
        <v>0</v>
      </c>
      <c r="C636" s="57">
        <f>IF(COUNTIF(MEMBERS[StaffMemberCode],MEMBERS[[#This Row],[StaffMemberCode]])=1,0,1)</f>
        <v>0</v>
      </c>
      <c r="D636" s="57">
        <f>IF(ISBLANK(MEMBERS[[#This Row],[PayrollLocation]]),0,IF(COUNTIF(SCHOOLS[SchoolCode],MEMBERS[[#This Row],[PayrollLocation]])=1,0,1))</f>
        <v>0</v>
      </c>
      <c r="E636" s="57">
        <f>IF(MEMBERS[[#This Row],[AvailableToAllSchools]]=FALSE,IF(ISBLANK(MEMBERS[[#This Row],[SchoolCodes]]),1,0),IF(MEMBERS[[#This Row],[AvailableToAllSchools]]=TRUE,IF(ISBLANK(MEMBERS[[#This Row],[SchoolCodes]]),0,1)))</f>
        <v>0</v>
      </c>
      <c r="F636" s="57">
        <f>IF(ISBLANK(MEMBERS[[#This Row],[ServiceEndDate]]),0,IF(MEMBERS[[#This Row],[ServiceStartDate]]&lt;MEMBERS[[#This Row],[ServiceEndDate]],0,1))</f>
        <v>0</v>
      </c>
      <c r="G636" s="57" cm="1">
        <f t="array" aca="1" ref="G636" ca="1">IF(CELL("format",MEMBERS[[#This Row],[ServiceStartDate]])="D1",0,1)+IF(CELL("format",MEMBERS[[#This Row],[ServiceEndDate]])="D1",0,1)</f>
        <v>0</v>
      </c>
      <c r="H63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36" s="57">
        <f>IF(LEN(MEMBERS[[#This Row],[StaffMemberCode]])&lt;100,0,1)</f>
        <v>0</v>
      </c>
      <c r="J636" s="57">
        <f>IF(LEN(MEMBERS[[#This Row],[Title]])&lt;100,0,1)</f>
        <v>0</v>
      </c>
      <c r="K636" s="57">
        <f>COUNTBLANK(MEMBERS[[#This Row],[StaffMemberCode]:[ServiceStartDate]])+COUNTBLANK(MEMBERS[[#This Row],[Apprenticeship]]:MEMBERS[[#This Row],[StaffMemberEnabled]])+COUNTBLANK(MEMBERS[[#This Row],[GenderCode]]:MEMBERS[[#This Row],[Casual]])</f>
        <v>0</v>
      </c>
      <c r="L636" s="57">
        <f>IF(SUBSTITUTE(TEXT(MEMBERS[[#This Row],[StaffMemberCode]],10)," ","")=TEXT(MEMBERS[[#This Row],[StaffMemberCode]],10),0,1)</f>
        <v>0</v>
      </c>
      <c r="M636" s="57">
        <f ca="1">SUM(MEMBERS[[#This Row],[Duplicate NameService Start]:[Space in Code]])</f>
        <v>0</v>
      </c>
      <c r="O636" s="15">
        <v>91073743</v>
      </c>
      <c r="P636" s="15" t="s">
        <v>3402</v>
      </c>
      <c r="Q636" s="15" t="s">
        <v>3846</v>
      </c>
      <c r="R636" s="133" t="str">
        <f>MEMBERS[[#This Row],[FirstName]]&amp;" "&amp;MEMBERS[[#This Row],[LastName]]</f>
        <v>Rebecca Howlett</v>
      </c>
      <c r="S636" s="21">
        <v>43109</v>
      </c>
      <c r="U636" s="21">
        <v>32531</v>
      </c>
      <c r="V636" t="b">
        <v>0</v>
      </c>
      <c r="W636" t="b">
        <v>0</v>
      </c>
      <c r="X636" t="b">
        <v>0</v>
      </c>
      <c r="Y636" t="s">
        <v>2082</v>
      </c>
      <c r="Z636" t="b">
        <v>1</v>
      </c>
      <c r="AB636" t="s">
        <v>1571</v>
      </c>
      <c r="AC636" t="b">
        <v>0</v>
      </c>
    </row>
    <row r="637" spans="1:29" x14ac:dyDescent="0.3">
      <c r="A637" s="57" t="str">
        <f>MEMBERS[[#This Row],[Title]]&amp;MEMBERS[[#This Row],[ServiceStartDate]]</f>
        <v>Rebecca Livesey45170</v>
      </c>
      <c r="B637" s="57">
        <f>IF(COUNTIF(MEMBERS[NameServiceStart],MEMBERS[[#This Row],[NameServiceStart]])=1,0,1)</f>
        <v>0</v>
      </c>
      <c r="C637" s="57">
        <f>IF(COUNTIF(MEMBERS[StaffMemberCode],MEMBERS[[#This Row],[StaffMemberCode]])=1,0,1)</f>
        <v>0</v>
      </c>
      <c r="D637" s="57">
        <f>IF(ISBLANK(MEMBERS[[#This Row],[PayrollLocation]]),0,IF(COUNTIF(SCHOOLS[SchoolCode],MEMBERS[[#This Row],[PayrollLocation]])=1,0,1))</f>
        <v>0</v>
      </c>
      <c r="E637" s="57">
        <f>IF(MEMBERS[[#This Row],[AvailableToAllSchools]]=FALSE,IF(ISBLANK(MEMBERS[[#This Row],[SchoolCodes]]),1,0),IF(MEMBERS[[#This Row],[AvailableToAllSchools]]=TRUE,IF(ISBLANK(MEMBERS[[#This Row],[SchoolCodes]]),0,1)))</f>
        <v>0</v>
      </c>
      <c r="F637" s="57">
        <f>IF(ISBLANK(MEMBERS[[#This Row],[ServiceEndDate]]),0,IF(MEMBERS[[#This Row],[ServiceStartDate]]&lt;MEMBERS[[#This Row],[ServiceEndDate]],0,1))</f>
        <v>0</v>
      </c>
      <c r="G637" s="57" cm="1">
        <f t="array" aca="1" ref="G637" ca="1">IF(CELL("format",MEMBERS[[#This Row],[ServiceStartDate]])="D1",0,1)+IF(CELL("format",MEMBERS[[#This Row],[ServiceEndDate]])="D1",0,1)</f>
        <v>0</v>
      </c>
      <c r="H63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37" s="57">
        <f>IF(LEN(MEMBERS[[#This Row],[StaffMemberCode]])&lt;100,0,1)</f>
        <v>0</v>
      </c>
      <c r="J637" s="57">
        <f>IF(LEN(MEMBERS[[#This Row],[Title]])&lt;100,0,1)</f>
        <v>0</v>
      </c>
      <c r="K637" s="57">
        <f>COUNTBLANK(MEMBERS[[#This Row],[StaffMemberCode]:[ServiceStartDate]])+COUNTBLANK(MEMBERS[[#This Row],[Apprenticeship]]:MEMBERS[[#This Row],[StaffMemberEnabled]])+COUNTBLANK(MEMBERS[[#This Row],[GenderCode]]:MEMBERS[[#This Row],[Casual]])</f>
        <v>0</v>
      </c>
      <c r="L637" s="57">
        <f>IF(SUBSTITUTE(TEXT(MEMBERS[[#This Row],[StaffMemberCode]],10)," ","")=TEXT(MEMBERS[[#This Row],[StaffMemberCode]],10),0,1)</f>
        <v>0</v>
      </c>
      <c r="M637" s="57">
        <f ca="1">SUM(MEMBERS[[#This Row],[Duplicate NameService Start]:[Space in Code]])</f>
        <v>0</v>
      </c>
      <c r="O637" s="15">
        <v>91075776</v>
      </c>
      <c r="P637" s="15" t="s">
        <v>3402</v>
      </c>
      <c r="Q637" s="15" t="s">
        <v>3847</v>
      </c>
      <c r="R637" s="133" t="str">
        <f>MEMBERS[[#This Row],[FirstName]]&amp;" "&amp;MEMBERS[[#This Row],[LastName]]</f>
        <v>Rebecca Livesey</v>
      </c>
      <c r="S637" s="21">
        <v>45170</v>
      </c>
      <c r="U637" s="21">
        <v>36757</v>
      </c>
      <c r="V637" t="b">
        <v>0</v>
      </c>
      <c r="W637" t="b">
        <v>0</v>
      </c>
      <c r="X637" t="b">
        <v>0</v>
      </c>
      <c r="Y637" t="s">
        <v>2200</v>
      </c>
      <c r="Z637" t="b">
        <v>1</v>
      </c>
      <c r="AB637" t="s">
        <v>1571</v>
      </c>
      <c r="AC637" t="b">
        <v>0</v>
      </c>
    </row>
    <row r="638" spans="1:29" x14ac:dyDescent="0.3">
      <c r="A638" s="57" t="str">
        <f>MEMBERS[[#This Row],[Title]]&amp;MEMBERS[[#This Row],[ServiceStartDate]]</f>
        <v>Rebecca Markham44844</v>
      </c>
      <c r="B638" s="57">
        <f>IF(COUNTIF(MEMBERS[NameServiceStart],MEMBERS[[#This Row],[NameServiceStart]])=1,0,1)</f>
        <v>0</v>
      </c>
      <c r="C638" s="57">
        <f>IF(COUNTIF(MEMBERS[StaffMemberCode],MEMBERS[[#This Row],[StaffMemberCode]])=1,0,1)</f>
        <v>0</v>
      </c>
      <c r="D638" s="57">
        <f>IF(ISBLANK(MEMBERS[[#This Row],[PayrollLocation]]),0,IF(COUNTIF(SCHOOLS[SchoolCode],MEMBERS[[#This Row],[PayrollLocation]])=1,0,1))</f>
        <v>0</v>
      </c>
      <c r="E638" s="57">
        <f>IF(MEMBERS[[#This Row],[AvailableToAllSchools]]=FALSE,IF(ISBLANK(MEMBERS[[#This Row],[SchoolCodes]]),1,0),IF(MEMBERS[[#This Row],[AvailableToAllSchools]]=TRUE,IF(ISBLANK(MEMBERS[[#This Row],[SchoolCodes]]),0,1)))</f>
        <v>0</v>
      </c>
      <c r="F638" s="57">
        <f>IF(ISBLANK(MEMBERS[[#This Row],[ServiceEndDate]]),0,IF(MEMBERS[[#This Row],[ServiceStartDate]]&lt;MEMBERS[[#This Row],[ServiceEndDate]],0,1))</f>
        <v>0</v>
      </c>
      <c r="G638" s="57" cm="1">
        <f t="array" aca="1" ref="G638" ca="1">IF(CELL("format",MEMBERS[[#This Row],[ServiceStartDate]])="D1",0,1)+IF(CELL("format",MEMBERS[[#This Row],[ServiceEndDate]])="D1",0,1)</f>
        <v>0</v>
      </c>
      <c r="H63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38" s="57">
        <f>IF(LEN(MEMBERS[[#This Row],[StaffMemberCode]])&lt;100,0,1)</f>
        <v>0</v>
      </c>
      <c r="J638" s="57">
        <f>IF(LEN(MEMBERS[[#This Row],[Title]])&lt;100,0,1)</f>
        <v>0</v>
      </c>
      <c r="K638" s="57">
        <f>COUNTBLANK(MEMBERS[[#This Row],[StaffMemberCode]:[ServiceStartDate]])+COUNTBLANK(MEMBERS[[#This Row],[Apprenticeship]]:MEMBERS[[#This Row],[StaffMemberEnabled]])+COUNTBLANK(MEMBERS[[#This Row],[GenderCode]]:MEMBERS[[#This Row],[Casual]])</f>
        <v>0</v>
      </c>
      <c r="L638" s="57">
        <f>IF(SUBSTITUTE(TEXT(MEMBERS[[#This Row],[StaffMemberCode]],10)," ","")=TEXT(MEMBERS[[#This Row],[StaffMemberCode]],10),0,1)</f>
        <v>0</v>
      </c>
      <c r="M638" s="57">
        <f ca="1">SUM(MEMBERS[[#This Row],[Duplicate NameService Start]:[Space in Code]])</f>
        <v>0</v>
      </c>
      <c r="O638" s="15">
        <v>91073821</v>
      </c>
      <c r="P638" s="15" t="s">
        <v>3402</v>
      </c>
      <c r="Q638" s="15" t="s">
        <v>3848</v>
      </c>
      <c r="R638" s="133" t="str">
        <f>MEMBERS[[#This Row],[FirstName]]&amp;" "&amp;MEMBERS[[#This Row],[LastName]]</f>
        <v>Rebecca Markham</v>
      </c>
      <c r="S638" s="21">
        <v>44844</v>
      </c>
      <c r="U638" s="21">
        <v>30514</v>
      </c>
      <c r="V638" t="b">
        <v>0</v>
      </c>
      <c r="W638" t="b">
        <v>0</v>
      </c>
      <c r="X638" t="b">
        <v>0</v>
      </c>
      <c r="Y638" t="s">
        <v>2082</v>
      </c>
      <c r="Z638" t="b">
        <v>1</v>
      </c>
      <c r="AB638" t="s">
        <v>1571</v>
      </c>
      <c r="AC638" t="b">
        <v>0</v>
      </c>
    </row>
    <row r="639" spans="1:29" x14ac:dyDescent="0.3">
      <c r="A639" s="57" t="str">
        <f>MEMBERS[[#This Row],[Title]]&amp;MEMBERS[[#This Row],[ServiceStartDate]]</f>
        <v>Rebecca Mellor45170</v>
      </c>
      <c r="B639" s="57">
        <f>IF(COUNTIF(MEMBERS[NameServiceStart],MEMBERS[[#This Row],[NameServiceStart]])=1,0,1)</f>
        <v>0</v>
      </c>
      <c r="C639" s="57">
        <f>IF(COUNTIF(MEMBERS[StaffMemberCode],MEMBERS[[#This Row],[StaffMemberCode]])=1,0,1)</f>
        <v>0</v>
      </c>
      <c r="D639" s="57">
        <f>IF(ISBLANK(MEMBERS[[#This Row],[PayrollLocation]]),0,IF(COUNTIF(SCHOOLS[SchoolCode],MEMBERS[[#This Row],[PayrollLocation]])=1,0,1))</f>
        <v>0</v>
      </c>
      <c r="E639" s="57">
        <f>IF(MEMBERS[[#This Row],[AvailableToAllSchools]]=FALSE,IF(ISBLANK(MEMBERS[[#This Row],[SchoolCodes]]),1,0),IF(MEMBERS[[#This Row],[AvailableToAllSchools]]=TRUE,IF(ISBLANK(MEMBERS[[#This Row],[SchoolCodes]]),0,1)))</f>
        <v>0</v>
      </c>
      <c r="F639" s="57">
        <f>IF(ISBLANK(MEMBERS[[#This Row],[ServiceEndDate]]),0,IF(MEMBERS[[#This Row],[ServiceStartDate]]&lt;MEMBERS[[#This Row],[ServiceEndDate]],0,1))</f>
        <v>0</v>
      </c>
      <c r="G639" s="57" cm="1">
        <f t="array" aca="1" ref="G639" ca="1">IF(CELL("format",MEMBERS[[#This Row],[ServiceStartDate]])="D1",0,1)+IF(CELL("format",MEMBERS[[#This Row],[ServiceEndDate]])="D1",0,1)</f>
        <v>0</v>
      </c>
      <c r="H63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39" s="57">
        <f>IF(LEN(MEMBERS[[#This Row],[StaffMemberCode]])&lt;100,0,1)</f>
        <v>0</v>
      </c>
      <c r="J639" s="57">
        <f>IF(LEN(MEMBERS[[#This Row],[Title]])&lt;100,0,1)</f>
        <v>0</v>
      </c>
      <c r="K639" s="57">
        <f>COUNTBLANK(MEMBERS[[#This Row],[StaffMemberCode]:[ServiceStartDate]])+COUNTBLANK(MEMBERS[[#This Row],[Apprenticeship]]:MEMBERS[[#This Row],[StaffMemberEnabled]])+COUNTBLANK(MEMBERS[[#This Row],[GenderCode]]:MEMBERS[[#This Row],[Casual]])</f>
        <v>0</v>
      </c>
      <c r="L639" s="57">
        <f>IF(SUBSTITUTE(TEXT(MEMBERS[[#This Row],[StaffMemberCode]],10)," ","")=TEXT(MEMBERS[[#This Row],[StaffMemberCode]],10),0,1)</f>
        <v>0</v>
      </c>
      <c r="M639" s="57">
        <f ca="1">SUM(MEMBERS[[#This Row],[Duplicate NameService Start]:[Space in Code]])</f>
        <v>0</v>
      </c>
      <c r="O639" s="15">
        <v>10014576</v>
      </c>
      <c r="P639" s="15" t="s">
        <v>3402</v>
      </c>
      <c r="Q639" s="15" t="s">
        <v>4119</v>
      </c>
      <c r="R639" s="133" t="str">
        <f>MEMBERS[[#This Row],[FirstName]]&amp;" "&amp;MEMBERS[[#This Row],[LastName]]</f>
        <v>Rebecca Mellor</v>
      </c>
      <c r="S639" s="21">
        <v>45170</v>
      </c>
      <c r="U639" s="21">
        <v>32673</v>
      </c>
      <c r="V639" s="138" t="b">
        <v>0</v>
      </c>
      <c r="W639" t="b">
        <v>0</v>
      </c>
      <c r="X639" t="b">
        <v>0</v>
      </c>
      <c r="Y639" t="s">
        <v>2126</v>
      </c>
      <c r="Z639" t="b">
        <v>1</v>
      </c>
      <c r="AB639" t="s">
        <v>1571</v>
      </c>
      <c r="AC639" t="b">
        <v>0</v>
      </c>
    </row>
    <row r="640" spans="1:29" x14ac:dyDescent="0.3">
      <c r="A640" s="57" t="str">
        <f>MEMBERS[[#This Row],[Title]]&amp;MEMBERS[[#This Row],[ServiceStartDate]]</f>
        <v>Rebecca Swire44075</v>
      </c>
      <c r="B640" s="57">
        <f>IF(COUNTIF(MEMBERS[NameServiceStart],MEMBERS[[#This Row],[NameServiceStart]])=1,0,1)</f>
        <v>0</v>
      </c>
      <c r="C640" s="57">
        <f>IF(COUNTIF(MEMBERS[StaffMemberCode],MEMBERS[[#This Row],[StaffMemberCode]])=1,0,1)</f>
        <v>0</v>
      </c>
      <c r="D640" s="57">
        <f>IF(ISBLANK(MEMBERS[[#This Row],[PayrollLocation]]),0,IF(COUNTIF(SCHOOLS[SchoolCode],MEMBERS[[#This Row],[PayrollLocation]])=1,0,1))</f>
        <v>0</v>
      </c>
      <c r="E640" s="57">
        <f>IF(MEMBERS[[#This Row],[AvailableToAllSchools]]=FALSE,IF(ISBLANK(MEMBERS[[#This Row],[SchoolCodes]]),1,0),IF(MEMBERS[[#This Row],[AvailableToAllSchools]]=TRUE,IF(ISBLANK(MEMBERS[[#This Row],[SchoolCodes]]),0,1)))</f>
        <v>0</v>
      </c>
      <c r="F640" s="57">
        <f>IF(ISBLANK(MEMBERS[[#This Row],[ServiceEndDate]]),0,IF(MEMBERS[[#This Row],[ServiceStartDate]]&lt;MEMBERS[[#This Row],[ServiceEndDate]],0,1))</f>
        <v>0</v>
      </c>
      <c r="G640" s="57" cm="1">
        <f t="array" aca="1" ref="G640" ca="1">IF(CELL("format",MEMBERS[[#This Row],[ServiceStartDate]])="D1",0,1)+IF(CELL("format",MEMBERS[[#This Row],[ServiceEndDate]])="D1",0,1)</f>
        <v>0</v>
      </c>
      <c r="H64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40" s="57">
        <f>IF(LEN(MEMBERS[[#This Row],[StaffMemberCode]])&lt;100,0,1)</f>
        <v>0</v>
      </c>
      <c r="J640" s="57">
        <f>IF(LEN(MEMBERS[[#This Row],[Title]])&lt;100,0,1)</f>
        <v>0</v>
      </c>
      <c r="K640" s="57">
        <f>COUNTBLANK(MEMBERS[[#This Row],[StaffMemberCode]:[ServiceStartDate]])+COUNTBLANK(MEMBERS[[#This Row],[Apprenticeship]]:MEMBERS[[#This Row],[StaffMemberEnabled]])+COUNTBLANK(MEMBERS[[#This Row],[GenderCode]]:MEMBERS[[#This Row],[Casual]])</f>
        <v>0</v>
      </c>
      <c r="L640" s="57">
        <f>IF(SUBSTITUTE(TEXT(MEMBERS[[#This Row],[StaffMemberCode]],10)," ","")=TEXT(MEMBERS[[#This Row],[StaffMemberCode]],10),0,1)</f>
        <v>0</v>
      </c>
      <c r="M640" s="57">
        <f ca="1">SUM(MEMBERS[[#This Row],[Duplicate NameService Start]:[Space in Code]])</f>
        <v>0</v>
      </c>
      <c r="O640" s="15">
        <v>10007482</v>
      </c>
      <c r="P640" s="15" t="s">
        <v>3402</v>
      </c>
      <c r="Q640" s="15" t="s">
        <v>4120</v>
      </c>
      <c r="R640" s="133" t="str">
        <f>MEMBERS[[#This Row],[FirstName]]&amp;" "&amp;MEMBERS[[#This Row],[LastName]]</f>
        <v>Rebecca Swire</v>
      </c>
      <c r="S640" s="21">
        <v>44075</v>
      </c>
      <c r="U640" s="21">
        <v>30956</v>
      </c>
      <c r="V640" s="138" t="b">
        <v>0</v>
      </c>
      <c r="W640" t="b">
        <v>0</v>
      </c>
      <c r="X640" t="b">
        <v>0</v>
      </c>
      <c r="Y640" t="s">
        <v>2126</v>
      </c>
      <c r="Z640" t="b">
        <v>1</v>
      </c>
      <c r="AB640" t="s">
        <v>1571</v>
      </c>
      <c r="AC640" t="b">
        <v>0</v>
      </c>
    </row>
    <row r="641" spans="1:29" x14ac:dyDescent="0.3">
      <c r="A641" s="57" t="str">
        <f>MEMBERS[[#This Row],[Title]]&amp;MEMBERS[[#This Row],[ServiceStartDate]]</f>
        <v>Rebecca Tyrrell44735</v>
      </c>
      <c r="B641" s="57">
        <f>IF(COUNTIF(MEMBERS[NameServiceStart],MEMBERS[[#This Row],[NameServiceStart]])=1,0,1)</f>
        <v>0</v>
      </c>
      <c r="C641" s="57">
        <f>IF(COUNTIF(MEMBERS[StaffMemberCode],MEMBERS[[#This Row],[StaffMemberCode]])=1,0,1)</f>
        <v>0</v>
      </c>
      <c r="D641" s="57">
        <f>IF(ISBLANK(MEMBERS[[#This Row],[PayrollLocation]]),0,IF(COUNTIF(SCHOOLS[SchoolCode],MEMBERS[[#This Row],[PayrollLocation]])=1,0,1))</f>
        <v>0</v>
      </c>
      <c r="E641" s="57">
        <f>IF(MEMBERS[[#This Row],[AvailableToAllSchools]]=FALSE,IF(ISBLANK(MEMBERS[[#This Row],[SchoolCodes]]),1,0),IF(MEMBERS[[#This Row],[AvailableToAllSchools]]=TRUE,IF(ISBLANK(MEMBERS[[#This Row],[SchoolCodes]]),0,1)))</f>
        <v>0</v>
      </c>
      <c r="F641" s="57">
        <f>IF(ISBLANK(MEMBERS[[#This Row],[ServiceEndDate]]),0,IF(MEMBERS[[#This Row],[ServiceStartDate]]&lt;MEMBERS[[#This Row],[ServiceEndDate]],0,1))</f>
        <v>0</v>
      </c>
      <c r="G641" s="57" cm="1">
        <f t="array" aca="1" ref="G641" ca="1">IF(CELL("format",MEMBERS[[#This Row],[ServiceStartDate]])="D1",0,1)+IF(CELL("format",MEMBERS[[#This Row],[ServiceEndDate]])="D1",0,1)</f>
        <v>0</v>
      </c>
      <c r="H64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41" s="57">
        <f>IF(LEN(MEMBERS[[#This Row],[StaffMemberCode]])&lt;100,0,1)</f>
        <v>0</v>
      </c>
      <c r="J641" s="57">
        <f>IF(LEN(MEMBERS[[#This Row],[Title]])&lt;100,0,1)</f>
        <v>0</v>
      </c>
      <c r="K641" s="57">
        <f>COUNTBLANK(MEMBERS[[#This Row],[StaffMemberCode]:[ServiceStartDate]])+COUNTBLANK(MEMBERS[[#This Row],[Apprenticeship]]:MEMBERS[[#This Row],[StaffMemberEnabled]])+COUNTBLANK(MEMBERS[[#This Row],[GenderCode]]:MEMBERS[[#This Row],[Casual]])</f>
        <v>0</v>
      </c>
      <c r="L641" s="57">
        <f>IF(SUBSTITUTE(TEXT(MEMBERS[[#This Row],[StaffMemberCode]],10)," ","")=TEXT(MEMBERS[[#This Row],[StaffMemberCode]],10),0,1)</f>
        <v>0</v>
      </c>
      <c r="M641" s="57">
        <f ca="1">SUM(MEMBERS[[#This Row],[Duplicate NameService Start]:[Space in Code]])</f>
        <v>0</v>
      </c>
      <c r="O641" s="15">
        <v>91073428</v>
      </c>
      <c r="P641" s="15" t="s">
        <v>3402</v>
      </c>
      <c r="Q641" s="15" t="s">
        <v>3849</v>
      </c>
      <c r="R641" s="133" t="str">
        <f>MEMBERS[[#This Row],[FirstName]]&amp;" "&amp;MEMBERS[[#This Row],[LastName]]</f>
        <v>Rebecca Tyrrell</v>
      </c>
      <c r="S641" s="21">
        <v>44735</v>
      </c>
      <c r="U641" s="21">
        <v>32181</v>
      </c>
      <c r="V641" t="b">
        <v>0</v>
      </c>
      <c r="W641" t="b">
        <v>0</v>
      </c>
      <c r="X641" t="b">
        <v>0</v>
      </c>
      <c r="Y641" t="s">
        <v>2275</v>
      </c>
      <c r="Z641" t="b">
        <v>1</v>
      </c>
      <c r="AB641" t="s">
        <v>1571</v>
      </c>
      <c r="AC641" t="b">
        <v>0</v>
      </c>
    </row>
    <row r="642" spans="1:29" x14ac:dyDescent="0.3">
      <c r="A642" s="57" t="str">
        <f>MEMBERS[[#This Row],[Title]]&amp;MEMBERS[[#This Row],[ServiceStartDate]]</f>
        <v>Rebecca Willmott44075</v>
      </c>
      <c r="B642" s="57">
        <f>IF(COUNTIF(MEMBERS[NameServiceStart],MEMBERS[[#This Row],[NameServiceStart]])=1,0,1)</f>
        <v>0</v>
      </c>
      <c r="C642" s="57">
        <f>IF(COUNTIF(MEMBERS[StaffMemberCode],MEMBERS[[#This Row],[StaffMemberCode]])=1,0,1)</f>
        <v>0</v>
      </c>
      <c r="D642" s="57">
        <f>IF(ISBLANK(MEMBERS[[#This Row],[PayrollLocation]]),0,IF(COUNTIF(SCHOOLS[SchoolCode],MEMBERS[[#This Row],[PayrollLocation]])=1,0,1))</f>
        <v>0</v>
      </c>
      <c r="E642" s="57">
        <f>IF(MEMBERS[[#This Row],[AvailableToAllSchools]]=FALSE,IF(ISBLANK(MEMBERS[[#This Row],[SchoolCodes]]),1,0),IF(MEMBERS[[#This Row],[AvailableToAllSchools]]=TRUE,IF(ISBLANK(MEMBERS[[#This Row],[SchoolCodes]]),0,1)))</f>
        <v>0</v>
      </c>
      <c r="F642" s="57">
        <f>IF(ISBLANK(MEMBERS[[#This Row],[ServiceEndDate]]),0,IF(MEMBERS[[#This Row],[ServiceStartDate]]&lt;MEMBERS[[#This Row],[ServiceEndDate]],0,1))</f>
        <v>0</v>
      </c>
      <c r="G642" s="57" cm="1">
        <f t="array" aca="1" ref="G642" ca="1">IF(CELL("format",MEMBERS[[#This Row],[ServiceStartDate]])="D1",0,1)+IF(CELL("format",MEMBERS[[#This Row],[ServiceEndDate]])="D1",0,1)</f>
        <v>0</v>
      </c>
      <c r="H64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42" s="57">
        <f>IF(LEN(MEMBERS[[#This Row],[StaffMemberCode]])&lt;100,0,1)</f>
        <v>0</v>
      </c>
      <c r="J642" s="57">
        <f>IF(LEN(MEMBERS[[#This Row],[Title]])&lt;100,0,1)</f>
        <v>0</v>
      </c>
      <c r="K642" s="57">
        <f>COUNTBLANK(MEMBERS[[#This Row],[StaffMemberCode]:[ServiceStartDate]])+COUNTBLANK(MEMBERS[[#This Row],[Apprenticeship]]:MEMBERS[[#This Row],[StaffMemberEnabled]])+COUNTBLANK(MEMBERS[[#This Row],[GenderCode]]:MEMBERS[[#This Row],[Casual]])</f>
        <v>0</v>
      </c>
      <c r="L642" s="57">
        <f>IF(SUBSTITUTE(TEXT(MEMBERS[[#This Row],[StaffMemberCode]],10)," ","")=TEXT(MEMBERS[[#This Row],[StaffMemberCode]],10),0,1)</f>
        <v>0</v>
      </c>
      <c r="M642" s="57">
        <f ca="1">SUM(MEMBERS[[#This Row],[Duplicate NameService Start]:[Space in Code]])</f>
        <v>0</v>
      </c>
      <c r="O642" s="15">
        <v>10007346</v>
      </c>
      <c r="P642" s="15" t="s">
        <v>3402</v>
      </c>
      <c r="Q642" s="15" t="s">
        <v>4121</v>
      </c>
      <c r="R642" s="133" t="str">
        <f>MEMBERS[[#This Row],[FirstName]]&amp;" "&amp;MEMBERS[[#This Row],[LastName]]</f>
        <v>Rebecca Willmott</v>
      </c>
      <c r="S642" s="21">
        <v>44075</v>
      </c>
      <c r="U642" s="21">
        <v>34166</v>
      </c>
      <c r="V642" s="138" t="b">
        <v>0</v>
      </c>
      <c r="W642" t="b">
        <v>0</v>
      </c>
      <c r="X642" t="b">
        <v>0</v>
      </c>
      <c r="Y642" t="s">
        <v>2126</v>
      </c>
      <c r="Z642" t="b">
        <v>1</v>
      </c>
      <c r="AB642" t="s">
        <v>1571</v>
      </c>
      <c r="AC642" t="b">
        <v>0</v>
      </c>
    </row>
    <row r="643" spans="1:29" x14ac:dyDescent="0.3">
      <c r="A643" s="57" t="str">
        <f>MEMBERS[[#This Row],[Title]]&amp;MEMBERS[[#This Row],[ServiceStartDate]]</f>
        <v>Rebecca Wilson45041</v>
      </c>
      <c r="B643" s="57">
        <f>IF(COUNTIF(MEMBERS[NameServiceStart],MEMBERS[[#This Row],[NameServiceStart]])=1,0,1)</f>
        <v>0</v>
      </c>
      <c r="C643" s="57">
        <f>IF(COUNTIF(MEMBERS[StaffMemberCode],MEMBERS[[#This Row],[StaffMemberCode]])=1,0,1)</f>
        <v>0</v>
      </c>
      <c r="D643" s="57">
        <f>IF(ISBLANK(MEMBERS[[#This Row],[PayrollLocation]]),0,IF(COUNTIF(SCHOOLS[SchoolCode],MEMBERS[[#This Row],[PayrollLocation]])=1,0,1))</f>
        <v>0</v>
      </c>
      <c r="E643" s="57">
        <f>IF(MEMBERS[[#This Row],[AvailableToAllSchools]]=FALSE,IF(ISBLANK(MEMBERS[[#This Row],[SchoolCodes]]),1,0),IF(MEMBERS[[#This Row],[AvailableToAllSchools]]=TRUE,IF(ISBLANK(MEMBERS[[#This Row],[SchoolCodes]]),0,1)))</f>
        <v>0</v>
      </c>
      <c r="F643" s="57">
        <f>IF(ISBLANK(MEMBERS[[#This Row],[ServiceEndDate]]),0,IF(MEMBERS[[#This Row],[ServiceStartDate]]&lt;MEMBERS[[#This Row],[ServiceEndDate]],0,1))</f>
        <v>0</v>
      </c>
      <c r="G643" s="57" cm="1">
        <f t="array" aca="1" ref="G643" ca="1">IF(CELL("format",MEMBERS[[#This Row],[ServiceStartDate]])="D1",0,1)+IF(CELL("format",MEMBERS[[#This Row],[ServiceEndDate]])="D1",0,1)</f>
        <v>0</v>
      </c>
      <c r="H64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43" s="57">
        <f>IF(LEN(MEMBERS[[#This Row],[StaffMemberCode]])&lt;100,0,1)</f>
        <v>0</v>
      </c>
      <c r="J643" s="57">
        <f>IF(LEN(MEMBERS[[#This Row],[Title]])&lt;100,0,1)</f>
        <v>0</v>
      </c>
      <c r="K643" s="57">
        <f>COUNTBLANK(MEMBERS[[#This Row],[StaffMemberCode]:[ServiceStartDate]])+COUNTBLANK(MEMBERS[[#This Row],[Apprenticeship]]:MEMBERS[[#This Row],[StaffMemberEnabled]])+COUNTBLANK(MEMBERS[[#This Row],[GenderCode]]:MEMBERS[[#This Row],[Casual]])</f>
        <v>0</v>
      </c>
      <c r="L643" s="57">
        <f>IF(SUBSTITUTE(TEXT(MEMBERS[[#This Row],[StaffMemberCode]],10)," ","")=TEXT(MEMBERS[[#This Row],[StaffMemberCode]],10),0,1)</f>
        <v>0</v>
      </c>
      <c r="M643" s="57">
        <f ca="1">SUM(MEMBERS[[#This Row],[Duplicate NameService Start]:[Space in Code]])</f>
        <v>0</v>
      </c>
      <c r="O643" s="15">
        <v>10012009</v>
      </c>
      <c r="P643" s="15" t="s">
        <v>3402</v>
      </c>
      <c r="Q643" s="15" t="s">
        <v>3622</v>
      </c>
      <c r="R643" s="133" t="str">
        <f>MEMBERS[[#This Row],[FirstName]]&amp;" "&amp;MEMBERS[[#This Row],[LastName]]</f>
        <v>Rebecca Wilson</v>
      </c>
      <c r="S643" s="21">
        <v>45041</v>
      </c>
      <c r="U643" s="21">
        <v>38215</v>
      </c>
      <c r="V643" s="138" t="b">
        <v>0</v>
      </c>
      <c r="W643" t="b">
        <v>0</v>
      </c>
      <c r="X643" t="b">
        <v>0</v>
      </c>
      <c r="Y643" t="s">
        <v>2126</v>
      </c>
      <c r="Z643" t="b">
        <v>1</v>
      </c>
      <c r="AB643" t="s">
        <v>1571</v>
      </c>
      <c r="AC643" t="b">
        <v>0</v>
      </c>
    </row>
    <row r="644" spans="1:29" x14ac:dyDescent="0.3">
      <c r="A644" s="57" t="str">
        <f>MEMBERS[[#This Row],[Title]]&amp;MEMBERS[[#This Row],[ServiceStartDate]]</f>
        <v>Rhian Leonard35073</v>
      </c>
      <c r="B644" s="57">
        <f>IF(COUNTIF(MEMBERS[NameServiceStart],MEMBERS[[#This Row],[NameServiceStart]])=1,0,1)</f>
        <v>0</v>
      </c>
      <c r="C644" s="57">
        <f>IF(COUNTIF(MEMBERS[StaffMemberCode],MEMBERS[[#This Row],[StaffMemberCode]])=1,0,1)</f>
        <v>0</v>
      </c>
      <c r="D644" s="57">
        <f>IF(ISBLANK(MEMBERS[[#This Row],[PayrollLocation]]),0,IF(COUNTIF(SCHOOLS[SchoolCode],MEMBERS[[#This Row],[PayrollLocation]])=1,0,1))</f>
        <v>0</v>
      </c>
      <c r="E644" s="57">
        <f>IF(MEMBERS[[#This Row],[AvailableToAllSchools]]=FALSE,IF(ISBLANK(MEMBERS[[#This Row],[SchoolCodes]]),1,0),IF(MEMBERS[[#This Row],[AvailableToAllSchools]]=TRUE,IF(ISBLANK(MEMBERS[[#This Row],[SchoolCodes]]),0,1)))</f>
        <v>0</v>
      </c>
      <c r="F644" s="57">
        <f>IF(ISBLANK(MEMBERS[[#This Row],[ServiceEndDate]]),0,IF(MEMBERS[[#This Row],[ServiceStartDate]]&lt;MEMBERS[[#This Row],[ServiceEndDate]],0,1))</f>
        <v>0</v>
      </c>
      <c r="G644" s="57" cm="1">
        <f t="array" aca="1" ref="G644" ca="1">IF(CELL("format",MEMBERS[[#This Row],[ServiceStartDate]])="D1",0,1)+IF(CELL("format",MEMBERS[[#This Row],[ServiceEndDate]])="D1",0,1)</f>
        <v>0</v>
      </c>
      <c r="H64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44" s="57">
        <f>IF(LEN(MEMBERS[[#This Row],[StaffMemberCode]])&lt;100,0,1)</f>
        <v>0</v>
      </c>
      <c r="J644" s="57">
        <f>IF(LEN(MEMBERS[[#This Row],[Title]])&lt;100,0,1)</f>
        <v>0</v>
      </c>
      <c r="K644" s="57">
        <f>COUNTBLANK(MEMBERS[[#This Row],[StaffMemberCode]:[ServiceStartDate]])+COUNTBLANK(MEMBERS[[#This Row],[Apprenticeship]]:MEMBERS[[#This Row],[StaffMemberEnabled]])+COUNTBLANK(MEMBERS[[#This Row],[GenderCode]]:MEMBERS[[#This Row],[Casual]])</f>
        <v>0</v>
      </c>
      <c r="L644" s="57">
        <f>IF(SUBSTITUTE(TEXT(MEMBERS[[#This Row],[StaffMemberCode]],10)," ","")=TEXT(MEMBERS[[#This Row],[StaffMemberCode]],10),0,1)</f>
        <v>0</v>
      </c>
      <c r="M644" s="57">
        <f ca="1">SUM(MEMBERS[[#This Row],[Duplicate NameService Start]:[Space in Code]])</f>
        <v>0</v>
      </c>
      <c r="O644" s="15">
        <v>91073665</v>
      </c>
      <c r="P644" s="15" t="s">
        <v>3403</v>
      </c>
      <c r="Q644" s="15" t="s">
        <v>3335</v>
      </c>
      <c r="R644" s="133" t="str">
        <f>MEMBERS[[#This Row],[FirstName]]&amp;" "&amp;MEMBERS[[#This Row],[LastName]]</f>
        <v>Rhian Leonard</v>
      </c>
      <c r="S644" s="21">
        <v>35073</v>
      </c>
      <c r="U644" s="21">
        <v>26514</v>
      </c>
      <c r="V644" t="b">
        <v>0</v>
      </c>
      <c r="W644" t="b">
        <v>0</v>
      </c>
      <c r="X644" t="b">
        <v>0</v>
      </c>
      <c r="Y644" t="s">
        <v>2082</v>
      </c>
      <c r="Z644" t="b">
        <v>1</v>
      </c>
      <c r="AB644" t="s">
        <v>1571</v>
      </c>
      <c r="AC644" t="b">
        <v>0</v>
      </c>
    </row>
    <row r="645" spans="1:29" x14ac:dyDescent="0.3">
      <c r="A645" s="57" t="str">
        <f>MEMBERS[[#This Row],[Title]]&amp;MEMBERS[[#This Row],[ServiceStartDate]]</f>
        <v>Rhiannon Bentley40187</v>
      </c>
      <c r="B645" s="57">
        <f>IF(COUNTIF(MEMBERS[NameServiceStart],MEMBERS[[#This Row],[NameServiceStart]])=1,0,1)</f>
        <v>0</v>
      </c>
      <c r="C645" s="57">
        <f>IF(COUNTIF(MEMBERS[StaffMemberCode],MEMBERS[[#This Row],[StaffMemberCode]])=1,0,1)</f>
        <v>0</v>
      </c>
      <c r="D645" s="57">
        <f>IF(ISBLANK(MEMBERS[[#This Row],[PayrollLocation]]),0,IF(COUNTIF(SCHOOLS[SchoolCode],MEMBERS[[#This Row],[PayrollLocation]])=1,0,1))</f>
        <v>0</v>
      </c>
      <c r="E645" s="57">
        <f>IF(MEMBERS[[#This Row],[AvailableToAllSchools]]=FALSE,IF(ISBLANK(MEMBERS[[#This Row],[SchoolCodes]]),1,0),IF(MEMBERS[[#This Row],[AvailableToAllSchools]]=TRUE,IF(ISBLANK(MEMBERS[[#This Row],[SchoolCodes]]),0,1)))</f>
        <v>0</v>
      </c>
      <c r="F645" s="57">
        <f>IF(ISBLANK(MEMBERS[[#This Row],[ServiceEndDate]]),0,IF(MEMBERS[[#This Row],[ServiceStartDate]]&lt;MEMBERS[[#This Row],[ServiceEndDate]],0,1))</f>
        <v>0</v>
      </c>
      <c r="G645" s="57" cm="1">
        <f t="array" aca="1" ref="G645" ca="1">IF(CELL("format",MEMBERS[[#This Row],[ServiceStartDate]])="D1",0,1)+IF(CELL("format",MEMBERS[[#This Row],[ServiceEndDate]])="D1",0,1)</f>
        <v>0</v>
      </c>
      <c r="H64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45" s="57">
        <f>IF(LEN(MEMBERS[[#This Row],[StaffMemberCode]])&lt;100,0,1)</f>
        <v>0</v>
      </c>
      <c r="J645" s="57">
        <f>IF(LEN(MEMBERS[[#This Row],[Title]])&lt;100,0,1)</f>
        <v>0</v>
      </c>
      <c r="K645" s="57">
        <f>COUNTBLANK(MEMBERS[[#This Row],[StaffMemberCode]:[ServiceStartDate]])+COUNTBLANK(MEMBERS[[#This Row],[Apprenticeship]]:MEMBERS[[#This Row],[StaffMemberEnabled]])+COUNTBLANK(MEMBERS[[#This Row],[GenderCode]]:MEMBERS[[#This Row],[Casual]])</f>
        <v>0</v>
      </c>
      <c r="L645" s="57">
        <f>IF(SUBSTITUTE(TEXT(MEMBERS[[#This Row],[StaffMemberCode]],10)," ","")=TEXT(MEMBERS[[#This Row],[StaffMemberCode]],10),0,1)</f>
        <v>0</v>
      </c>
      <c r="M645" s="57">
        <f ca="1">SUM(MEMBERS[[#This Row],[Duplicate NameService Start]:[Space in Code]])</f>
        <v>0</v>
      </c>
      <c r="O645" s="15">
        <v>91073486</v>
      </c>
      <c r="P645" s="15" t="s">
        <v>3404</v>
      </c>
      <c r="Q645" s="15" t="s">
        <v>3850</v>
      </c>
      <c r="R645" s="133" t="str">
        <f>MEMBERS[[#This Row],[FirstName]]&amp;" "&amp;MEMBERS[[#This Row],[LastName]]</f>
        <v>Rhiannon Bentley</v>
      </c>
      <c r="S645" s="21">
        <v>40187</v>
      </c>
      <c r="U645" s="21">
        <v>31287</v>
      </c>
      <c r="V645" t="b">
        <v>0</v>
      </c>
      <c r="W645" t="b">
        <v>0</v>
      </c>
      <c r="X645" t="b">
        <v>0</v>
      </c>
      <c r="Y645" t="s">
        <v>2094</v>
      </c>
      <c r="Z645" t="b">
        <v>1</v>
      </c>
      <c r="AB645" t="s">
        <v>1571</v>
      </c>
      <c r="AC645" t="b">
        <v>0</v>
      </c>
    </row>
    <row r="646" spans="1:29" x14ac:dyDescent="0.3">
      <c r="A646" s="57" t="str">
        <f>MEMBERS[[#This Row],[Title]]&amp;MEMBERS[[#This Row],[ServiceStartDate]]</f>
        <v>Richard Middlebrook33247</v>
      </c>
      <c r="B646" s="57">
        <f>IF(COUNTIF(MEMBERS[NameServiceStart],MEMBERS[[#This Row],[NameServiceStart]])=1,0,1)</f>
        <v>0</v>
      </c>
      <c r="C646" s="57">
        <f>IF(COUNTIF(MEMBERS[StaffMemberCode],MEMBERS[[#This Row],[StaffMemberCode]])=1,0,1)</f>
        <v>0</v>
      </c>
      <c r="D646" s="57">
        <f>IF(ISBLANK(MEMBERS[[#This Row],[PayrollLocation]]),0,IF(COUNTIF(SCHOOLS[SchoolCode],MEMBERS[[#This Row],[PayrollLocation]])=1,0,1))</f>
        <v>0</v>
      </c>
      <c r="E646" s="57">
        <f>IF(MEMBERS[[#This Row],[AvailableToAllSchools]]=FALSE,IF(ISBLANK(MEMBERS[[#This Row],[SchoolCodes]]),1,0),IF(MEMBERS[[#This Row],[AvailableToAllSchools]]=TRUE,IF(ISBLANK(MEMBERS[[#This Row],[SchoolCodes]]),0,1)))</f>
        <v>0</v>
      </c>
      <c r="F646" s="57">
        <f>IF(ISBLANK(MEMBERS[[#This Row],[ServiceEndDate]]),0,IF(MEMBERS[[#This Row],[ServiceStartDate]]&lt;MEMBERS[[#This Row],[ServiceEndDate]],0,1))</f>
        <v>0</v>
      </c>
      <c r="G646" s="57" cm="1">
        <f t="array" aca="1" ref="G646" ca="1">IF(CELL("format",MEMBERS[[#This Row],[ServiceStartDate]])="D1",0,1)+IF(CELL("format",MEMBERS[[#This Row],[ServiceEndDate]])="D1",0,1)</f>
        <v>0</v>
      </c>
      <c r="H64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46" s="57">
        <f>IF(LEN(MEMBERS[[#This Row],[StaffMemberCode]])&lt;100,0,1)</f>
        <v>0</v>
      </c>
      <c r="J646" s="57">
        <f>IF(LEN(MEMBERS[[#This Row],[Title]])&lt;100,0,1)</f>
        <v>0</v>
      </c>
      <c r="K646" s="57">
        <f>COUNTBLANK(MEMBERS[[#This Row],[StaffMemberCode]:[ServiceStartDate]])+COUNTBLANK(MEMBERS[[#This Row],[Apprenticeship]]:MEMBERS[[#This Row],[StaffMemberEnabled]])+COUNTBLANK(MEMBERS[[#This Row],[GenderCode]]:MEMBERS[[#This Row],[Casual]])</f>
        <v>0</v>
      </c>
      <c r="L646" s="57">
        <f>IF(SUBSTITUTE(TEXT(MEMBERS[[#This Row],[StaffMemberCode]],10)," ","")=TEXT(MEMBERS[[#This Row],[StaffMemberCode]],10),0,1)</f>
        <v>0</v>
      </c>
      <c r="M646" s="57">
        <f ca="1">SUM(MEMBERS[[#This Row],[Duplicate NameService Start]:[Space in Code]])</f>
        <v>0</v>
      </c>
      <c r="O646" s="15">
        <v>91073907</v>
      </c>
      <c r="P646" s="15" t="s">
        <v>3405</v>
      </c>
      <c r="Q646" s="15" t="s">
        <v>3851</v>
      </c>
      <c r="R646" s="133" t="str">
        <f>MEMBERS[[#This Row],[FirstName]]&amp;" "&amp;MEMBERS[[#This Row],[LastName]]</f>
        <v>Richard Middlebrook</v>
      </c>
      <c r="S646" s="21">
        <v>33247</v>
      </c>
      <c r="U646" s="21">
        <v>25412</v>
      </c>
      <c r="V646" t="b">
        <v>0</v>
      </c>
      <c r="W646" t="b">
        <v>0</v>
      </c>
      <c r="X646" t="b">
        <v>0</v>
      </c>
      <c r="Y646" t="s">
        <v>51</v>
      </c>
      <c r="Z646" t="b">
        <v>1</v>
      </c>
      <c r="AB646" t="s">
        <v>1572</v>
      </c>
      <c r="AC646" t="b">
        <v>0</v>
      </c>
    </row>
    <row r="647" spans="1:29" x14ac:dyDescent="0.3">
      <c r="A647" s="57" t="str">
        <f>MEMBERS[[#This Row],[Title]]&amp;MEMBERS[[#This Row],[ServiceStartDate]]</f>
        <v>Richard Pepper42086</v>
      </c>
      <c r="B647" s="57">
        <f>IF(COUNTIF(MEMBERS[NameServiceStart],MEMBERS[[#This Row],[NameServiceStart]])=1,0,1)</f>
        <v>0</v>
      </c>
      <c r="C647" s="57">
        <f>IF(COUNTIF(MEMBERS[StaffMemberCode],MEMBERS[[#This Row],[StaffMemberCode]])=1,0,1)</f>
        <v>0</v>
      </c>
      <c r="D647" s="57">
        <f>IF(ISBLANK(MEMBERS[[#This Row],[PayrollLocation]]),0,IF(COUNTIF(SCHOOLS[SchoolCode],MEMBERS[[#This Row],[PayrollLocation]])=1,0,1))</f>
        <v>0</v>
      </c>
      <c r="E647" s="57">
        <f>IF(MEMBERS[[#This Row],[AvailableToAllSchools]]=FALSE,IF(ISBLANK(MEMBERS[[#This Row],[SchoolCodes]]),1,0),IF(MEMBERS[[#This Row],[AvailableToAllSchools]]=TRUE,IF(ISBLANK(MEMBERS[[#This Row],[SchoolCodes]]),0,1)))</f>
        <v>0</v>
      </c>
      <c r="F647" s="57">
        <f>IF(ISBLANK(MEMBERS[[#This Row],[ServiceEndDate]]),0,IF(MEMBERS[[#This Row],[ServiceStartDate]]&lt;MEMBERS[[#This Row],[ServiceEndDate]],0,1))</f>
        <v>0</v>
      </c>
      <c r="G647" s="57" cm="1">
        <f t="array" aca="1" ref="G647" ca="1">IF(CELL("format",MEMBERS[[#This Row],[ServiceStartDate]])="D1",0,1)+IF(CELL("format",MEMBERS[[#This Row],[ServiceEndDate]])="D1",0,1)</f>
        <v>0</v>
      </c>
      <c r="H64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47" s="57">
        <f>IF(LEN(MEMBERS[[#This Row],[StaffMemberCode]])&lt;100,0,1)</f>
        <v>0</v>
      </c>
      <c r="J647" s="57">
        <f>IF(LEN(MEMBERS[[#This Row],[Title]])&lt;100,0,1)</f>
        <v>0</v>
      </c>
      <c r="K647" s="57">
        <f>COUNTBLANK(MEMBERS[[#This Row],[StaffMemberCode]:[ServiceStartDate]])+COUNTBLANK(MEMBERS[[#This Row],[Apprenticeship]]:MEMBERS[[#This Row],[StaffMemberEnabled]])+COUNTBLANK(MEMBERS[[#This Row],[GenderCode]]:MEMBERS[[#This Row],[Casual]])</f>
        <v>0</v>
      </c>
      <c r="L647" s="57">
        <f>IF(SUBSTITUTE(TEXT(MEMBERS[[#This Row],[StaffMemberCode]],10)," ","")=TEXT(MEMBERS[[#This Row],[StaffMemberCode]],10),0,1)</f>
        <v>0</v>
      </c>
      <c r="M647" s="57">
        <f ca="1">SUM(MEMBERS[[#This Row],[Duplicate NameService Start]:[Space in Code]])</f>
        <v>0</v>
      </c>
      <c r="O647" s="15">
        <v>91073499</v>
      </c>
      <c r="P647" s="15" t="s">
        <v>3405</v>
      </c>
      <c r="Q647" s="15" t="s">
        <v>3852</v>
      </c>
      <c r="R647" s="133" t="str">
        <f>MEMBERS[[#This Row],[FirstName]]&amp;" "&amp;MEMBERS[[#This Row],[LastName]]</f>
        <v>Richard Pepper</v>
      </c>
      <c r="S647" s="21">
        <v>42086</v>
      </c>
      <c r="U647" s="21">
        <v>26015</v>
      </c>
      <c r="V647" t="b">
        <v>0</v>
      </c>
      <c r="W647" t="b">
        <v>0</v>
      </c>
      <c r="X647" t="b">
        <v>0</v>
      </c>
      <c r="Y647" t="s">
        <v>2094</v>
      </c>
      <c r="Z647" t="b">
        <v>1</v>
      </c>
      <c r="AB647" t="s">
        <v>1572</v>
      </c>
      <c r="AC647" t="b">
        <v>0</v>
      </c>
    </row>
    <row r="648" spans="1:29" x14ac:dyDescent="0.3">
      <c r="A648" s="57" t="str">
        <f>MEMBERS[[#This Row],[Title]]&amp;MEMBERS[[#This Row],[ServiceStartDate]]</f>
        <v>Richard Robinson41566</v>
      </c>
      <c r="B648" s="57">
        <f>IF(COUNTIF(MEMBERS[NameServiceStart],MEMBERS[[#This Row],[NameServiceStart]])=1,0,1)</f>
        <v>0</v>
      </c>
      <c r="C648" s="57">
        <f>IF(COUNTIF(MEMBERS[StaffMemberCode],MEMBERS[[#This Row],[StaffMemberCode]])=1,0,1)</f>
        <v>0</v>
      </c>
      <c r="D648" s="57">
        <f>IF(ISBLANK(MEMBERS[[#This Row],[PayrollLocation]]),0,IF(COUNTIF(SCHOOLS[SchoolCode],MEMBERS[[#This Row],[PayrollLocation]])=1,0,1))</f>
        <v>0</v>
      </c>
      <c r="E648" s="57">
        <f>IF(MEMBERS[[#This Row],[AvailableToAllSchools]]=FALSE,IF(ISBLANK(MEMBERS[[#This Row],[SchoolCodes]]),1,0),IF(MEMBERS[[#This Row],[AvailableToAllSchools]]=TRUE,IF(ISBLANK(MEMBERS[[#This Row],[SchoolCodes]]),0,1)))</f>
        <v>0</v>
      </c>
      <c r="F648" s="57">
        <f>IF(ISBLANK(MEMBERS[[#This Row],[ServiceEndDate]]),0,IF(MEMBERS[[#This Row],[ServiceStartDate]]&lt;MEMBERS[[#This Row],[ServiceEndDate]],0,1))</f>
        <v>0</v>
      </c>
      <c r="G648" s="57" cm="1">
        <f t="array" aca="1" ref="G648" ca="1">IF(CELL("format",MEMBERS[[#This Row],[ServiceStartDate]])="D1",0,1)+IF(CELL("format",MEMBERS[[#This Row],[ServiceEndDate]])="D1",0,1)</f>
        <v>0</v>
      </c>
      <c r="H64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48" s="57">
        <f>IF(LEN(MEMBERS[[#This Row],[StaffMemberCode]])&lt;100,0,1)</f>
        <v>0</v>
      </c>
      <c r="J648" s="57">
        <f>IF(LEN(MEMBERS[[#This Row],[Title]])&lt;100,0,1)</f>
        <v>0</v>
      </c>
      <c r="K648" s="57">
        <f>COUNTBLANK(MEMBERS[[#This Row],[StaffMemberCode]:[ServiceStartDate]])+COUNTBLANK(MEMBERS[[#This Row],[Apprenticeship]]:MEMBERS[[#This Row],[StaffMemberEnabled]])+COUNTBLANK(MEMBERS[[#This Row],[GenderCode]]:MEMBERS[[#This Row],[Casual]])</f>
        <v>0</v>
      </c>
      <c r="L648" s="57">
        <f>IF(SUBSTITUTE(TEXT(MEMBERS[[#This Row],[StaffMemberCode]],10)," ","")=TEXT(MEMBERS[[#This Row],[StaffMemberCode]],10),0,1)</f>
        <v>0</v>
      </c>
      <c r="M648" s="57">
        <f ca="1">SUM(MEMBERS[[#This Row],[Duplicate NameService Start]:[Space in Code]])</f>
        <v>0</v>
      </c>
      <c r="O648" s="15">
        <v>91073411</v>
      </c>
      <c r="P648" s="15" t="s">
        <v>3405</v>
      </c>
      <c r="Q648" s="15" t="s">
        <v>3519</v>
      </c>
      <c r="R648" s="133" t="str">
        <f>MEMBERS[[#This Row],[FirstName]]&amp;" "&amp;MEMBERS[[#This Row],[LastName]]</f>
        <v>Richard Robinson</v>
      </c>
      <c r="S648" s="21">
        <v>41566</v>
      </c>
      <c r="U648" s="21">
        <v>27837</v>
      </c>
      <c r="V648" t="b">
        <v>0</v>
      </c>
      <c r="W648" t="b">
        <v>0</v>
      </c>
      <c r="X648" t="b">
        <v>0</v>
      </c>
      <c r="Y648" t="s">
        <v>2275</v>
      </c>
      <c r="Z648" t="b">
        <v>1</v>
      </c>
      <c r="AB648" t="s">
        <v>1572</v>
      </c>
      <c r="AC648" t="b">
        <v>0</v>
      </c>
    </row>
    <row r="649" spans="1:29" x14ac:dyDescent="0.3">
      <c r="A649" s="57" t="str">
        <f>MEMBERS[[#This Row],[Title]]&amp;MEMBERS[[#This Row],[ServiceStartDate]]</f>
        <v>Richard Steed39732</v>
      </c>
      <c r="B649" s="57">
        <f>IF(COUNTIF(MEMBERS[NameServiceStart],MEMBERS[[#This Row],[NameServiceStart]])=1,0,1)</f>
        <v>0</v>
      </c>
      <c r="C649" s="57">
        <f>IF(COUNTIF(MEMBERS[StaffMemberCode],MEMBERS[[#This Row],[StaffMemberCode]])=1,0,1)</f>
        <v>0</v>
      </c>
      <c r="D649" s="57">
        <f>IF(ISBLANK(MEMBERS[[#This Row],[PayrollLocation]]),0,IF(COUNTIF(SCHOOLS[SchoolCode],MEMBERS[[#This Row],[PayrollLocation]])=1,0,1))</f>
        <v>0</v>
      </c>
      <c r="E649" s="57">
        <f>IF(MEMBERS[[#This Row],[AvailableToAllSchools]]=FALSE,IF(ISBLANK(MEMBERS[[#This Row],[SchoolCodes]]),1,0),IF(MEMBERS[[#This Row],[AvailableToAllSchools]]=TRUE,IF(ISBLANK(MEMBERS[[#This Row],[SchoolCodes]]),0,1)))</f>
        <v>0</v>
      </c>
      <c r="F649" s="57">
        <f>IF(ISBLANK(MEMBERS[[#This Row],[ServiceEndDate]]),0,IF(MEMBERS[[#This Row],[ServiceStartDate]]&lt;MEMBERS[[#This Row],[ServiceEndDate]],0,1))</f>
        <v>0</v>
      </c>
      <c r="G649" s="57" cm="1">
        <f t="array" aca="1" ref="G649" ca="1">IF(CELL("format",MEMBERS[[#This Row],[ServiceStartDate]])="D1",0,1)+IF(CELL("format",MEMBERS[[#This Row],[ServiceEndDate]])="D1",0,1)</f>
        <v>0</v>
      </c>
      <c r="H64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49" s="57">
        <f>IF(LEN(MEMBERS[[#This Row],[StaffMemberCode]])&lt;100,0,1)</f>
        <v>0</v>
      </c>
      <c r="J649" s="57">
        <f>IF(LEN(MEMBERS[[#This Row],[Title]])&lt;100,0,1)</f>
        <v>0</v>
      </c>
      <c r="K649" s="57">
        <f>COUNTBLANK(MEMBERS[[#This Row],[StaffMemberCode]:[ServiceStartDate]])+COUNTBLANK(MEMBERS[[#This Row],[Apprenticeship]]:MEMBERS[[#This Row],[StaffMemberEnabled]])+COUNTBLANK(MEMBERS[[#This Row],[GenderCode]]:MEMBERS[[#This Row],[Casual]])</f>
        <v>0</v>
      </c>
      <c r="L649" s="57">
        <f>IF(SUBSTITUTE(TEXT(MEMBERS[[#This Row],[StaffMemberCode]],10)," ","")=TEXT(MEMBERS[[#This Row],[StaffMemberCode]],10),0,1)</f>
        <v>0</v>
      </c>
      <c r="M649" s="57">
        <f ca="1">SUM(MEMBERS[[#This Row],[Duplicate NameService Start]:[Space in Code]])</f>
        <v>0</v>
      </c>
      <c r="O649" s="15">
        <v>91073690</v>
      </c>
      <c r="P649" s="15" t="s">
        <v>3405</v>
      </c>
      <c r="Q649" s="15" t="s">
        <v>3853</v>
      </c>
      <c r="R649" s="133" t="str">
        <f>MEMBERS[[#This Row],[FirstName]]&amp;" "&amp;MEMBERS[[#This Row],[LastName]]</f>
        <v>Richard Steed</v>
      </c>
      <c r="S649" s="21">
        <v>39732</v>
      </c>
      <c r="U649" s="21">
        <v>26603</v>
      </c>
      <c r="V649" t="b">
        <v>0</v>
      </c>
      <c r="W649" t="b">
        <v>0</v>
      </c>
      <c r="X649" t="b">
        <v>0</v>
      </c>
      <c r="Y649" t="s">
        <v>2082</v>
      </c>
      <c r="Z649" t="b">
        <v>1</v>
      </c>
      <c r="AB649" t="s">
        <v>1572</v>
      </c>
      <c r="AC649" t="b">
        <v>0</v>
      </c>
    </row>
    <row r="650" spans="1:29" x14ac:dyDescent="0.3">
      <c r="A650" s="57" t="str">
        <f>MEMBERS[[#This Row],[Title]]&amp;MEMBERS[[#This Row],[ServiceStartDate]]</f>
        <v>Richard Tate44570</v>
      </c>
      <c r="B650" s="57">
        <f>IF(COUNTIF(MEMBERS[NameServiceStart],MEMBERS[[#This Row],[NameServiceStart]])=1,0,1)</f>
        <v>0</v>
      </c>
      <c r="C650" s="57">
        <f>IF(COUNTIF(MEMBERS[StaffMemberCode],MEMBERS[[#This Row],[StaffMemberCode]])=1,0,1)</f>
        <v>0</v>
      </c>
      <c r="D650" s="57">
        <f>IF(ISBLANK(MEMBERS[[#This Row],[PayrollLocation]]),0,IF(COUNTIF(SCHOOLS[SchoolCode],MEMBERS[[#This Row],[PayrollLocation]])=1,0,1))</f>
        <v>0</v>
      </c>
      <c r="E650" s="57">
        <f>IF(MEMBERS[[#This Row],[AvailableToAllSchools]]=FALSE,IF(ISBLANK(MEMBERS[[#This Row],[SchoolCodes]]),1,0),IF(MEMBERS[[#This Row],[AvailableToAllSchools]]=TRUE,IF(ISBLANK(MEMBERS[[#This Row],[SchoolCodes]]),0,1)))</f>
        <v>0</v>
      </c>
      <c r="F650" s="57">
        <f>IF(ISBLANK(MEMBERS[[#This Row],[ServiceEndDate]]),0,IF(MEMBERS[[#This Row],[ServiceStartDate]]&lt;MEMBERS[[#This Row],[ServiceEndDate]],0,1))</f>
        <v>0</v>
      </c>
      <c r="G650" s="57" cm="1">
        <f t="array" aca="1" ref="G650" ca="1">IF(CELL("format",MEMBERS[[#This Row],[ServiceStartDate]])="D1",0,1)+IF(CELL("format",MEMBERS[[#This Row],[ServiceEndDate]])="D1",0,1)</f>
        <v>0</v>
      </c>
      <c r="H65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50" s="57">
        <f>IF(LEN(MEMBERS[[#This Row],[StaffMemberCode]])&lt;100,0,1)</f>
        <v>0</v>
      </c>
      <c r="J650" s="57">
        <f>IF(LEN(MEMBERS[[#This Row],[Title]])&lt;100,0,1)</f>
        <v>0</v>
      </c>
      <c r="K650" s="57">
        <f>COUNTBLANK(MEMBERS[[#This Row],[StaffMemberCode]:[ServiceStartDate]])+COUNTBLANK(MEMBERS[[#This Row],[Apprenticeship]]:MEMBERS[[#This Row],[StaffMemberEnabled]])+COUNTBLANK(MEMBERS[[#This Row],[GenderCode]]:MEMBERS[[#This Row],[Casual]])</f>
        <v>0</v>
      </c>
      <c r="L650" s="57">
        <f>IF(SUBSTITUTE(TEXT(MEMBERS[[#This Row],[StaffMemberCode]],10)," ","")=TEXT(MEMBERS[[#This Row],[StaffMemberCode]],10),0,1)</f>
        <v>0</v>
      </c>
      <c r="M650" s="57">
        <f ca="1">SUM(MEMBERS[[#This Row],[Duplicate NameService Start]:[Space in Code]])</f>
        <v>0</v>
      </c>
      <c r="O650" s="15">
        <v>91073597</v>
      </c>
      <c r="P650" s="15" t="s">
        <v>3405</v>
      </c>
      <c r="Q650" s="15" t="s">
        <v>3720</v>
      </c>
      <c r="R650" s="133" t="str">
        <f>MEMBERS[[#This Row],[FirstName]]&amp;" "&amp;MEMBERS[[#This Row],[LastName]]</f>
        <v>Richard Tate</v>
      </c>
      <c r="S650" s="21">
        <v>44570</v>
      </c>
      <c r="U650" s="21">
        <v>23783</v>
      </c>
      <c r="V650" t="b">
        <v>0</v>
      </c>
      <c r="W650" t="b">
        <v>0</v>
      </c>
      <c r="X650" t="b">
        <v>0</v>
      </c>
      <c r="Y650" t="s">
        <v>2094</v>
      </c>
      <c r="Z650" t="b">
        <v>1</v>
      </c>
      <c r="AB650" t="s">
        <v>1572</v>
      </c>
      <c r="AC650" t="b">
        <v>1</v>
      </c>
    </row>
    <row r="651" spans="1:29" x14ac:dyDescent="0.3">
      <c r="A651" s="57" t="str">
        <f>MEMBERS[[#This Row],[Title]]&amp;MEMBERS[[#This Row],[ServiceStartDate]]</f>
        <v>Robert Almond43505</v>
      </c>
      <c r="B651" s="57">
        <f>IF(COUNTIF(MEMBERS[NameServiceStart],MEMBERS[[#This Row],[NameServiceStart]])=1,0,1)</f>
        <v>0</v>
      </c>
      <c r="C651" s="57">
        <f>IF(COUNTIF(MEMBERS[StaffMemberCode],MEMBERS[[#This Row],[StaffMemberCode]])=1,0,1)</f>
        <v>0</v>
      </c>
      <c r="D651" s="57">
        <f>IF(ISBLANK(MEMBERS[[#This Row],[PayrollLocation]]),0,IF(COUNTIF(SCHOOLS[SchoolCode],MEMBERS[[#This Row],[PayrollLocation]])=1,0,1))</f>
        <v>0</v>
      </c>
      <c r="E651" s="57">
        <f>IF(MEMBERS[[#This Row],[AvailableToAllSchools]]=FALSE,IF(ISBLANK(MEMBERS[[#This Row],[SchoolCodes]]),1,0),IF(MEMBERS[[#This Row],[AvailableToAllSchools]]=TRUE,IF(ISBLANK(MEMBERS[[#This Row],[SchoolCodes]]),0,1)))</f>
        <v>0</v>
      </c>
      <c r="F651" s="57">
        <f>IF(ISBLANK(MEMBERS[[#This Row],[ServiceEndDate]]),0,IF(MEMBERS[[#This Row],[ServiceStartDate]]&lt;MEMBERS[[#This Row],[ServiceEndDate]],0,1))</f>
        <v>0</v>
      </c>
      <c r="G651" s="57" cm="1">
        <f t="array" aca="1" ref="G651" ca="1">IF(CELL("format",MEMBERS[[#This Row],[ServiceStartDate]])="D1",0,1)+IF(CELL("format",MEMBERS[[#This Row],[ServiceEndDate]])="D1",0,1)</f>
        <v>0</v>
      </c>
      <c r="H65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51" s="57">
        <f>IF(LEN(MEMBERS[[#This Row],[StaffMemberCode]])&lt;100,0,1)</f>
        <v>0</v>
      </c>
      <c r="J651" s="57">
        <f>IF(LEN(MEMBERS[[#This Row],[Title]])&lt;100,0,1)</f>
        <v>0</v>
      </c>
      <c r="K651" s="57">
        <f>COUNTBLANK(MEMBERS[[#This Row],[StaffMemberCode]:[ServiceStartDate]])+COUNTBLANK(MEMBERS[[#This Row],[Apprenticeship]]:MEMBERS[[#This Row],[StaffMemberEnabled]])+COUNTBLANK(MEMBERS[[#This Row],[GenderCode]]:MEMBERS[[#This Row],[Casual]])</f>
        <v>0</v>
      </c>
      <c r="L651" s="57">
        <f>IF(SUBSTITUTE(TEXT(MEMBERS[[#This Row],[StaffMemberCode]],10)," ","")=TEXT(MEMBERS[[#This Row],[StaffMemberCode]],10),0,1)</f>
        <v>0</v>
      </c>
      <c r="M651" s="57">
        <f ca="1">SUM(MEMBERS[[#This Row],[Duplicate NameService Start]:[Space in Code]])</f>
        <v>0</v>
      </c>
      <c r="O651" s="15">
        <v>91073528</v>
      </c>
      <c r="P651" s="15" t="s">
        <v>3406</v>
      </c>
      <c r="Q651" s="15" t="s">
        <v>3854</v>
      </c>
      <c r="R651" s="133" t="str">
        <f>MEMBERS[[#This Row],[FirstName]]&amp;" "&amp;MEMBERS[[#This Row],[LastName]]</f>
        <v>Robert Almond</v>
      </c>
      <c r="S651" s="21">
        <v>43505</v>
      </c>
      <c r="U651" s="21">
        <v>18573</v>
      </c>
      <c r="V651" t="b">
        <v>0</v>
      </c>
      <c r="W651" t="b">
        <v>0</v>
      </c>
      <c r="X651" t="b">
        <v>0</v>
      </c>
      <c r="Y651" t="s">
        <v>2094</v>
      </c>
      <c r="Z651" t="b">
        <v>1</v>
      </c>
      <c r="AB651" t="s">
        <v>1572</v>
      </c>
      <c r="AC651" t="b">
        <v>1</v>
      </c>
    </row>
    <row r="652" spans="1:29" x14ac:dyDescent="0.3">
      <c r="A652" s="57" t="str">
        <f>MEMBERS[[#This Row],[Title]]&amp;MEMBERS[[#This Row],[ServiceStartDate]]</f>
        <v>Robert Hardy45733</v>
      </c>
      <c r="B652" s="57">
        <f>IF(COUNTIF(MEMBERS[NameServiceStart],MEMBERS[[#This Row],[NameServiceStart]])=1,0,1)</f>
        <v>0</v>
      </c>
      <c r="C652" s="57">
        <f>IF(COUNTIF(MEMBERS[StaffMemberCode],MEMBERS[[#This Row],[StaffMemberCode]])=1,0,1)</f>
        <v>0</v>
      </c>
      <c r="D652" s="57">
        <f>IF(ISBLANK(MEMBERS[[#This Row],[PayrollLocation]]),0,IF(COUNTIF(SCHOOLS[SchoolCode],MEMBERS[[#This Row],[PayrollLocation]])=1,0,1))</f>
        <v>0</v>
      </c>
      <c r="E652" s="57">
        <f>IF(MEMBERS[[#This Row],[AvailableToAllSchools]]=FALSE,IF(ISBLANK(MEMBERS[[#This Row],[SchoolCodes]]),1,0),IF(MEMBERS[[#This Row],[AvailableToAllSchools]]=TRUE,IF(ISBLANK(MEMBERS[[#This Row],[SchoolCodes]]),0,1)))</f>
        <v>0</v>
      </c>
      <c r="F652" s="57">
        <f>IF(ISBLANK(MEMBERS[[#This Row],[ServiceEndDate]]),0,IF(MEMBERS[[#This Row],[ServiceStartDate]]&lt;MEMBERS[[#This Row],[ServiceEndDate]],0,1))</f>
        <v>0</v>
      </c>
      <c r="G652" s="57" cm="1">
        <f t="array" aca="1" ref="G652" ca="1">IF(CELL("format",MEMBERS[[#This Row],[ServiceStartDate]])="D1",0,1)+IF(CELL("format",MEMBERS[[#This Row],[ServiceEndDate]])="D1",0,1)</f>
        <v>0</v>
      </c>
      <c r="H65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52" s="57">
        <f>IF(LEN(MEMBERS[[#This Row],[StaffMemberCode]])&lt;100,0,1)</f>
        <v>0</v>
      </c>
      <c r="J652" s="57">
        <f>IF(LEN(MEMBERS[[#This Row],[Title]])&lt;100,0,1)</f>
        <v>0</v>
      </c>
      <c r="K652" s="57">
        <f>COUNTBLANK(MEMBERS[[#This Row],[StaffMemberCode]:[ServiceStartDate]])+COUNTBLANK(MEMBERS[[#This Row],[Apprenticeship]]:MEMBERS[[#This Row],[StaffMemberEnabled]])+COUNTBLANK(MEMBERS[[#This Row],[GenderCode]]:MEMBERS[[#This Row],[Casual]])</f>
        <v>0</v>
      </c>
      <c r="L652" s="57">
        <f>IF(SUBSTITUTE(TEXT(MEMBERS[[#This Row],[StaffMemberCode]],10)," ","")=TEXT(MEMBERS[[#This Row],[StaffMemberCode]],10),0,1)</f>
        <v>0</v>
      </c>
      <c r="M652" s="57">
        <f ca="1">SUM(MEMBERS[[#This Row],[Duplicate NameService Start]:[Space in Code]])</f>
        <v>0</v>
      </c>
      <c r="O652" s="15">
        <v>91850002</v>
      </c>
      <c r="P652" s="15" t="s">
        <v>3406</v>
      </c>
      <c r="Q652" s="15" t="s">
        <v>3855</v>
      </c>
      <c r="R652" s="133" t="str">
        <f>MEMBERS[[#This Row],[FirstName]]&amp;" "&amp;MEMBERS[[#This Row],[LastName]]</f>
        <v>Robert Hardy</v>
      </c>
      <c r="S652" s="21">
        <v>45733</v>
      </c>
      <c r="U652" s="21">
        <v>22286</v>
      </c>
      <c r="V652" t="b">
        <v>0</v>
      </c>
      <c r="W652" t="b">
        <v>0</v>
      </c>
      <c r="X652" t="b">
        <v>0</v>
      </c>
      <c r="Y652" t="s">
        <v>2082</v>
      </c>
      <c r="Z652" t="b">
        <v>1</v>
      </c>
      <c r="AB652" t="s">
        <v>1572</v>
      </c>
      <c r="AC652" t="b">
        <v>0</v>
      </c>
    </row>
    <row r="653" spans="1:29" x14ac:dyDescent="0.3">
      <c r="A653" s="57" t="str">
        <f>MEMBERS[[#This Row],[Title]]&amp;MEMBERS[[#This Row],[ServiceStartDate]]</f>
        <v>Robert Morris42013</v>
      </c>
      <c r="B653" s="57">
        <f>IF(COUNTIF(MEMBERS[NameServiceStart],MEMBERS[[#This Row],[NameServiceStart]])=1,0,1)</f>
        <v>0</v>
      </c>
      <c r="C653" s="57">
        <f>IF(COUNTIF(MEMBERS[StaffMemberCode],MEMBERS[[#This Row],[StaffMemberCode]])=1,0,1)</f>
        <v>0</v>
      </c>
      <c r="D653" s="57">
        <f>IF(ISBLANK(MEMBERS[[#This Row],[PayrollLocation]]),0,IF(COUNTIF(SCHOOLS[SchoolCode],MEMBERS[[#This Row],[PayrollLocation]])=1,0,1))</f>
        <v>0</v>
      </c>
      <c r="E653" s="57">
        <f>IF(MEMBERS[[#This Row],[AvailableToAllSchools]]=FALSE,IF(ISBLANK(MEMBERS[[#This Row],[SchoolCodes]]),1,0),IF(MEMBERS[[#This Row],[AvailableToAllSchools]]=TRUE,IF(ISBLANK(MEMBERS[[#This Row],[SchoolCodes]]),0,1)))</f>
        <v>0</v>
      </c>
      <c r="F653" s="57">
        <f>IF(ISBLANK(MEMBERS[[#This Row],[ServiceEndDate]]),0,IF(MEMBERS[[#This Row],[ServiceStartDate]]&lt;MEMBERS[[#This Row],[ServiceEndDate]],0,1))</f>
        <v>0</v>
      </c>
      <c r="G653" s="57" cm="1">
        <f t="array" aca="1" ref="G653" ca="1">IF(CELL("format",MEMBERS[[#This Row],[ServiceStartDate]])="D1",0,1)+IF(CELL("format",MEMBERS[[#This Row],[ServiceEndDate]])="D1",0,1)</f>
        <v>0</v>
      </c>
      <c r="H65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53" s="57">
        <f>IF(LEN(MEMBERS[[#This Row],[StaffMemberCode]])&lt;100,0,1)</f>
        <v>0</v>
      </c>
      <c r="J653" s="57">
        <f>IF(LEN(MEMBERS[[#This Row],[Title]])&lt;100,0,1)</f>
        <v>0</v>
      </c>
      <c r="K653" s="57">
        <f>COUNTBLANK(MEMBERS[[#This Row],[StaffMemberCode]:[ServiceStartDate]])+COUNTBLANK(MEMBERS[[#This Row],[Apprenticeship]]:MEMBERS[[#This Row],[StaffMemberEnabled]])+COUNTBLANK(MEMBERS[[#This Row],[GenderCode]]:MEMBERS[[#This Row],[Casual]])</f>
        <v>0</v>
      </c>
      <c r="L653" s="57">
        <f>IF(SUBSTITUTE(TEXT(MEMBERS[[#This Row],[StaffMemberCode]],10)," ","")=TEXT(MEMBERS[[#This Row],[StaffMemberCode]],10),0,1)</f>
        <v>0</v>
      </c>
      <c r="M653" s="57">
        <f ca="1">SUM(MEMBERS[[#This Row],[Duplicate NameService Start]:[Space in Code]])</f>
        <v>0</v>
      </c>
      <c r="O653" s="15">
        <v>91073714</v>
      </c>
      <c r="P653" s="15" t="s">
        <v>3406</v>
      </c>
      <c r="Q653" s="15" t="s">
        <v>3520</v>
      </c>
      <c r="R653" s="133" t="str">
        <f>MEMBERS[[#This Row],[FirstName]]&amp;" "&amp;MEMBERS[[#This Row],[LastName]]</f>
        <v>Robert Morris</v>
      </c>
      <c r="S653" s="21">
        <v>42013</v>
      </c>
      <c r="U653" s="21">
        <v>28737</v>
      </c>
      <c r="V653" t="b">
        <v>0</v>
      </c>
      <c r="W653" t="b">
        <v>0</v>
      </c>
      <c r="X653" t="b">
        <v>0</v>
      </c>
      <c r="Y653" t="s">
        <v>2082</v>
      </c>
      <c r="Z653" t="b">
        <v>1</v>
      </c>
      <c r="AB653" t="s">
        <v>1572</v>
      </c>
      <c r="AC653" t="b">
        <v>0</v>
      </c>
    </row>
    <row r="654" spans="1:29" x14ac:dyDescent="0.3">
      <c r="A654" s="57" t="str">
        <f>MEMBERS[[#This Row],[Title]]&amp;MEMBERS[[#This Row],[ServiceStartDate]]</f>
        <v>Robert Parris44431</v>
      </c>
      <c r="B654" s="57">
        <f>IF(COUNTIF(MEMBERS[NameServiceStart],MEMBERS[[#This Row],[NameServiceStart]])=1,0,1)</f>
        <v>0</v>
      </c>
      <c r="C654" s="57">
        <f>IF(COUNTIF(MEMBERS[StaffMemberCode],MEMBERS[[#This Row],[StaffMemberCode]])=1,0,1)</f>
        <v>0</v>
      </c>
      <c r="D654" s="57">
        <f>IF(ISBLANK(MEMBERS[[#This Row],[PayrollLocation]]),0,IF(COUNTIF(SCHOOLS[SchoolCode],MEMBERS[[#This Row],[PayrollLocation]])=1,0,1))</f>
        <v>0</v>
      </c>
      <c r="E654" s="57">
        <f>IF(MEMBERS[[#This Row],[AvailableToAllSchools]]=FALSE,IF(ISBLANK(MEMBERS[[#This Row],[SchoolCodes]]),1,0),IF(MEMBERS[[#This Row],[AvailableToAllSchools]]=TRUE,IF(ISBLANK(MEMBERS[[#This Row],[SchoolCodes]]),0,1)))</f>
        <v>0</v>
      </c>
      <c r="F654" s="57">
        <f>IF(ISBLANK(MEMBERS[[#This Row],[ServiceEndDate]]),0,IF(MEMBERS[[#This Row],[ServiceStartDate]]&lt;MEMBERS[[#This Row],[ServiceEndDate]],0,1))</f>
        <v>0</v>
      </c>
      <c r="G654" s="57" cm="1">
        <f t="array" aca="1" ref="G654" ca="1">IF(CELL("format",MEMBERS[[#This Row],[ServiceStartDate]])="D1",0,1)+IF(CELL("format",MEMBERS[[#This Row],[ServiceEndDate]])="D1",0,1)</f>
        <v>0</v>
      </c>
      <c r="H65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54" s="57">
        <f>IF(LEN(MEMBERS[[#This Row],[StaffMemberCode]])&lt;100,0,1)</f>
        <v>0</v>
      </c>
      <c r="J654" s="57">
        <f>IF(LEN(MEMBERS[[#This Row],[Title]])&lt;100,0,1)</f>
        <v>0</v>
      </c>
      <c r="K654" s="57">
        <f>COUNTBLANK(MEMBERS[[#This Row],[StaffMemberCode]:[ServiceStartDate]])+COUNTBLANK(MEMBERS[[#This Row],[Apprenticeship]]:MEMBERS[[#This Row],[StaffMemberEnabled]])+COUNTBLANK(MEMBERS[[#This Row],[GenderCode]]:MEMBERS[[#This Row],[Casual]])</f>
        <v>0</v>
      </c>
      <c r="L654" s="57">
        <f>IF(SUBSTITUTE(TEXT(MEMBERS[[#This Row],[StaffMemberCode]],10)," ","")=TEXT(MEMBERS[[#This Row],[StaffMemberCode]],10),0,1)</f>
        <v>0</v>
      </c>
      <c r="M654" s="57">
        <f ca="1">SUM(MEMBERS[[#This Row],[Duplicate NameService Start]:[Space in Code]])</f>
        <v>0</v>
      </c>
      <c r="O654" s="15">
        <v>91073915</v>
      </c>
      <c r="P654" s="15" t="s">
        <v>3406</v>
      </c>
      <c r="Q654" s="15" t="s">
        <v>3856</v>
      </c>
      <c r="R654" s="133" t="str">
        <f>MEMBERS[[#This Row],[FirstName]]&amp;" "&amp;MEMBERS[[#This Row],[LastName]]</f>
        <v>Robert Parris</v>
      </c>
      <c r="S654" s="21">
        <v>44431</v>
      </c>
      <c r="U654" s="21">
        <v>26460</v>
      </c>
      <c r="V654" t="b">
        <v>0</v>
      </c>
      <c r="W654" t="b">
        <v>0</v>
      </c>
      <c r="X654" t="b">
        <v>0</v>
      </c>
      <c r="Y654" t="s">
        <v>51</v>
      </c>
      <c r="Z654" t="b">
        <v>1</v>
      </c>
      <c r="AB654" t="s">
        <v>1572</v>
      </c>
      <c r="AC654" t="b">
        <v>0</v>
      </c>
    </row>
    <row r="655" spans="1:29" x14ac:dyDescent="0.3">
      <c r="A655" s="57" t="str">
        <f>MEMBERS[[#This Row],[Title]]&amp;MEMBERS[[#This Row],[ServiceStartDate]]</f>
        <v>Robert Pearce38358</v>
      </c>
      <c r="B655" s="57">
        <f>IF(COUNTIF(MEMBERS[NameServiceStart],MEMBERS[[#This Row],[NameServiceStart]])=1,0,1)</f>
        <v>0</v>
      </c>
      <c r="C655" s="57">
        <f>IF(COUNTIF(MEMBERS[StaffMemberCode],MEMBERS[[#This Row],[StaffMemberCode]])=1,0,1)</f>
        <v>0</v>
      </c>
      <c r="D655" s="57">
        <f>IF(ISBLANK(MEMBERS[[#This Row],[PayrollLocation]]),0,IF(COUNTIF(SCHOOLS[SchoolCode],MEMBERS[[#This Row],[PayrollLocation]])=1,0,1))</f>
        <v>0</v>
      </c>
      <c r="E655" s="57">
        <f>IF(MEMBERS[[#This Row],[AvailableToAllSchools]]=FALSE,IF(ISBLANK(MEMBERS[[#This Row],[SchoolCodes]]),1,0),IF(MEMBERS[[#This Row],[AvailableToAllSchools]]=TRUE,IF(ISBLANK(MEMBERS[[#This Row],[SchoolCodes]]),0,1)))</f>
        <v>0</v>
      </c>
      <c r="F655" s="57">
        <f>IF(ISBLANK(MEMBERS[[#This Row],[ServiceEndDate]]),0,IF(MEMBERS[[#This Row],[ServiceStartDate]]&lt;MEMBERS[[#This Row],[ServiceEndDate]],0,1))</f>
        <v>0</v>
      </c>
      <c r="G655" s="57" cm="1">
        <f t="array" aca="1" ref="G655" ca="1">IF(CELL("format",MEMBERS[[#This Row],[ServiceStartDate]])="D1",0,1)+IF(CELL("format",MEMBERS[[#This Row],[ServiceEndDate]])="D1",0,1)</f>
        <v>0</v>
      </c>
      <c r="H65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55" s="57">
        <f>IF(LEN(MEMBERS[[#This Row],[StaffMemberCode]])&lt;100,0,1)</f>
        <v>0</v>
      </c>
      <c r="J655" s="57">
        <f>IF(LEN(MEMBERS[[#This Row],[Title]])&lt;100,0,1)</f>
        <v>0</v>
      </c>
      <c r="K655" s="57">
        <f>COUNTBLANK(MEMBERS[[#This Row],[StaffMemberCode]:[ServiceStartDate]])+COUNTBLANK(MEMBERS[[#This Row],[Apprenticeship]]:MEMBERS[[#This Row],[StaffMemberEnabled]])+COUNTBLANK(MEMBERS[[#This Row],[GenderCode]]:MEMBERS[[#This Row],[Casual]])</f>
        <v>0</v>
      </c>
      <c r="L655" s="57">
        <f>IF(SUBSTITUTE(TEXT(MEMBERS[[#This Row],[StaffMemberCode]],10)," ","")=TEXT(MEMBERS[[#This Row],[StaffMemberCode]],10),0,1)</f>
        <v>0</v>
      </c>
      <c r="M655" s="57">
        <f ca="1">SUM(MEMBERS[[#This Row],[Duplicate NameService Start]:[Space in Code]])</f>
        <v>0</v>
      </c>
      <c r="O655" s="15">
        <v>91073771</v>
      </c>
      <c r="P655" s="15" t="s">
        <v>3406</v>
      </c>
      <c r="Q655" s="15" t="s">
        <v>3857</v>
      </c>
      <c r="R655" s="133" t="str">
        <f>MEMBERS[[#This Row],[FirstName]]&amp;" "&amp;MEMBERS[[#This Row],[LastName]]</f>
        <v>Robert Pearce</v>
      </c>
      <c r="S655" s="21">
        <v>38358</v>
      </c>
      <c r="U655" s="21">
        <v>29600</v>
      </c>
      <c r="V655" t="b">
        <v>0</v>
      </c>
      <c r="W655" t="b">
        <v>0</v>
      </c>
      <c r="X655" t="b">
        <v>0</v>
      </c>
      <c r="Y655" t="s">
        <v>2082</v>
      </c>
      <c r="Z655" t="b">
        <v>1</v>
      </c>
      <c r="AB655" t="s">
        <v>1572</v>
      </c>
      <c r="AC655" t="b">
        <v>0</v>
      </c>
    </row>
    <row r="656" spans="1:29" x14ac:dyDescent="0.3">
      <c r="A656" s="57" t="str">
        <f>MEMBERS[[#This Row],[Title]]&amp;MEMBERS[[#This Row],[ServiceStartDate]]</f>
        <v>Robert Tweets45385</v>
      </c>
      <c r="B656" s="57">
        <f>IF(COUNTIF(MEMBERS[NameServiceStart],MEMBERS[[#This Row],[NameServiceStart]])=1,0,1)</f>
        <v>0</v>
      </c>
      <c r="C656" s="57">
        <f>IF(COUNTIF(MEMBERS[StaffMemberCode],MEMBERS[[#This Row],[StaffMemberCode]])=1,0,1)</f>
        <v>0</v>
      </c>
      <c r="D656" s="57">
        <f>IF(ISBLANK(MEMBERS[[#This Row],[PayrollLocation]]),0,IF(COUNTIF(SCHOOLS[SchoolCode],MEMBERS[[#This Row],[PayrollLocation]])=1,0,1))</f>
        <v>0</v>
      </c>
      <c r="E656" s="57">
        <f>IF(MEMBERS[[#This Row],[AvailableToAllSchools]]=FALSE,IF(ISBLANK(MEMBERS[[#This Row],[SchoolCodes]]),1,0),IF(MEMBERS[[#This Row],[AvailableToAllSchools]]=TRUE,IF(ISBLANK(MEMBERS[[#This Row],[SchoolCodes]]),0,1)))</f>
        <v>0</v>
      </c>
      <c r="F656" s="57">
        <f>IF(ISBLANK(MEMBERS[[#This Row],[ServiceEndDate]]),0,IF(MEMBERS[[#This Row],[ServiceStartDate]]&lt;MEMBERS[[#This Row],[ServiceEndDate]],0,1))</f>
        <v>0</v>
      </c>
      <c r="G656" s="57" cm="1">
        <f t="array" aca="1" ref="G656" ca="1">IF(CELL("format",MEMBERS[[#This Row],[ServiceStartDate]])="D1",0,1)+IF(CELL("format",MEMBERS[[#This Row],[ServiceEndDate]])="D1",0,1)</f>
        <v>0</v>
      </c>
      <c r="H65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56" s="57">
        <f>IF(LEN(MEMBERS[[#This Row],[StaffMemberCode]])&lt;100,0,1)</f>
        <v>0</v>
      </c>
      <c r="J656" s="57">
        <f>IF(LEN(MEMBERS[[#This Row],[Title]])&lt;100,0,1)</f>
        <v>0</v>
      </c>
      <c r="K656" s="57">
        <f>COUNTBLANK(MEMBERS[[#This Row],[StaffMemberCode]:[ServiceStartDate]])+COUNTBLANK(MEMBERS[[#This Row],[Apprenticeship]]:MEMBERS[[#This Row],[StaffMemberEnabled]])+COUNTBLANK(MEMBERS[[#This Row],[GenderCode]]:MEMBERS[[#This Row],[Casual]])</f>
        <v>0</v>
      </c>
      <c r="L656" s="57">
        <f>IF(SUBSTITUTE(TEXT(MEMBERS[[#This Row],[StaffMemberCode]],10)," ","")=TEXT(MEMBERS[[#This Row],[StaffMemberCode]],10),0,1)</f>
        <v>0</v>
      </c>
      <c r="M656" s="57">
        <f ca="1">SUM(MEMBERS[[#This Row],[Duplicate NameService Start]:[Space in Code]])</f>
        <v>0</v>
      </c>
      <c r="O656" s="15">
        <v>91073636</v>
      </c>
      <c r="P656" s="15" t="s">
        <v>3406</v>
      </c>
      <c r="Q656" s="15" t="s">
        <v>3858</v>
      </c>
      <c r="R656" s="133" t="str">
        <f>MEMBERS[[#This Row],[FirstName]]&amp;" "&amp;MEMBERS[[#This Row],[LastName]]</f>
        <v>Robert Tweets</v>
      </c>
      <c r="S656" s="21">
        <v>45385</v>
      </c>
      <c r="U656" s="21">
        <v>22651</v>
      </c>
      <c r="V656" t="b">
        <v>0</v>
      </c>
      <c r="W656" t="b">
        <v>0</v>
      </c>
      <c r="X656" t="b">
        <v>0</v>
      </c>
      <c r="Y656" t="s">
        <v>2094</v>
      </c>
      <c r="Z656" t="b">
        <v>1</v>
      </c>
      <c r="AB656" t="s">
        <v>1572</v>
      </c>
      <c r="AC656" t="b">
        <v>1</v>
      </c>
    </row>
    <row r="657" spans="1:29" x14ac:dyDescent="0.3">
      <c r="A657" s="57" t="str">
        <f>MEMBERS[[#This Row],[Title]]&amp;MEMBERS[[#This Row],[ServiceStartDate]]</f>
        <v>Robin Neaum45536</v>
      </c>
      <c r="B657" s="57">
        <f>IF(COUNTIF(MEMBERS[NameServiceStart],MEMBERS[[#This Row],[NameServiceStart]])=1,0,1)</f>
        <v>0</v>
      </c>
      <c r="C657" s="57">
        <f>IF(COUNTIF(MEMBERS[StaffMemberCode],MEMBERS[[#This Row],[StaffMemberCode]])=1,0,1)</f>
        <v>0</v>
      </c>
      <c r="D657" s="57">
        <f>IF(ISBLANK(MEMBERS[[#This Row],[PayrollLocation]]),0,IF(COUNTIF(SCHOOLS[SchoolCode],MEMBERS[[#This Row],[PayrollLocation]])=1,0,1))</f>
        <v>0</v>
      </c>
      <c r="E657" s="57">
        <f>IF(MEMBERS[[#This Row],[AvailableToAllSchools]]=FALSE,IF(ISBLANK(MEMBERS[[#This Row],[SchoolCodes]]),1,0),IF(MEMBERS[[#This Row],[AvailableToAllSchools]]=TRUE,IF(ISBLANK(MEMBERS[[#This Row],[SchoolCodes]]),0,1)))</f>
        <v>0</v>
      </c>
      <c r="F657" s="57">
        <f>IF(ISBLANK(MEMBERS[[#This Row],[ServiceEndDate]]),0,IF(MEMBERS[[#This Row],[ServiceStartDate]]&lt;MEMBERS[[#This Row],[ServiceEndDate]],0,1))</f>
        <v>0</v>
      </c>
      <c r="G657" s="57" cm="1">
        <f t="array" aca="1" ref="G657" ca="1">IF(CELL("format",MEMBERS[[#This Row],[ServiceStartDate]])="D1",0,1)+IF(CELL("format",MEMBERS[[#This Row],[ServiceEndDate]])="D1",0,1)</f>
        <v>0</v>
      </c>
      <c r="H65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57" s="57">
        <f>IF(LEN(MEMBERS[[#This Row],[StaffMemberCode]])&lt;100,0,1)</f>
        <v>0</v>
      </c>
      <c r="J657" s="57">
        <f>IF(LEN(MEMBERS[[#This Row],[Title]])&lt;100,0,1)</f>
        <v>0</v>
      </c>
      <c r="K657" s="57">
        <f>COUNTBLANK(MEMBERS[[#This Row],[StaffMemberCode]:[ServiceStartDate]])+COUNTBLANK(MEMBERS[[#This Row],[Apprenticeship]]:MEMBERS[[#This Row],[StaffMemberEnabled]])+COUNTBLANK(MEMBERS[[#This Row],[GenderCode]]:MEMBERS[[#This Row],[Casual]])</f>
        <v>0</v>
      </c>
      <c r="L657" s="57">
        <f>IF(SUBSTITUTE(TEXT(MEMBERS[[#This Row],[StaffMemberCode]],10)," ","")=TEXT(MEMBERS[[#This Row],[StaffMemberCode]],10),0,1)</f>
        <v>0</v>
      </c>
      <c r="M657" s="57">
        <f ca="1">SUM(MEMBERS[[#This Row],[Duplicate NameService Start]:[Space in Code]])</f>
        <v>0</v>
      </c>
      <c r="O657" s="15">
        <v>10014582</v>
      </c>
      <c r="P657" s="15" t="s">
        <v>4001</v>
      </c>
      <c r="Q657" s="15" t="s">
        <v>3774</v>
      </c>
      <c r="R657" s="133" t="str">
        <f>MEMBERS[[#This Row],[FirstName]]&amp;" "&amp;MEMBERS[[#This Row],[LastName]]</f>
        <v>Robin Neaum</v>
      </c>
      <c r="S657" s="21">
        <v>45536</v>
      </c>
      <c r="U657" s="21">
        <v>25132</v>
      </c>
      <c r="V657" s="138" t="b">
        <v>0</v>
      </c>
      <c r="W657" t="b">
        <v>0</v>
      </c>
      <c r="X657" t="b">
        <v>0</v>
      </c>
      <c r="Y657" t="s">
        <v>2126</v>
      </c>
      <c r="Z657" t="b">
        <v>1</v>
      </c>
      <c r="AB657" t="s">
        <v>1572</v>
      </c>
      <c r="AC657" t="b">
        <v>0</v>
      </c>
    </row>
    <row r="658" spans="1:29" x14ac:dyDescent="0.3">
      <c r="A658" s="57" t="str">
        <f>MEMBERS[[#This Row],[Title]]&amp;MEMBERS[[#This Row],[ServiceStartDate]]</f>
        <v>Roger Bailey45637</v>
      </c>
      <c r="B658" s="57">
        <f>IF(COUNTIF(MEMBERS[NameServiceStart],MEMBERS[[#This Row],[NameServiceStart]])=1,0,1)</f>
        <v>0</v>
      </c>
      <c r="C658" s="57">
        <f>IF(COUNTIF(MEMBERS[StaffMemberCode],MEMBERS[[#This Row],[StaffMemberCode]])=1,0,1)</f>
        <v>0</v>
      </c>
      <c r="D658" s="57">
        <f>IF(ISBLANK(MEMBERS[[#This Row],[PayrollLocation]]),0,IF(COUNTIF(SCHOOLS[SchoolCode],MEMBERS[[#This Row],[PayrollLocation]])=1,0,1))</f>
        <v>0</v>
      </c>
      <c r="E658" s="57">
        <f>IF(MEMBERS[[#This Row],[AvailableToAllSchools]]=FALSE,IF(ISBLANK(MEMBERS[[#This Row],[SchoolCodes]]),1,0),IF(MEMBERS[[#This Row],[AvailableToAllSchools]]=TRUE,IF(ISBLANK(MEMBERS[[#This Row],[SchoolCodes]]),0,1)))</f>
        <v>0</v>
      </c>
      <c r="F658" s="57">
        <f>IF(ISBLANK(MEMBERS[[#This Row],[ServiceEndDate]]),0,IF(MEMBERS[[#This Row],[ServiceStartDate]]&lt;MEMBERS[[#This Row],[ServiceEndDate]],0,1))</f>
        <v>0</v>
      </c>
      <c r="G658" s="57" cm="1">
        <f t="array" aca="1" ref="G658" ca="1">IF(CELL("format",MEMBERS[[#This Row],[ServiceStartDate]])="D1",0,1)+IF(CELL("format",MEMBERS[[#This Row],[ServiceEndDate]])="D1",0,1)</f>
        <v>0</v>
      </c>
      <c r="H65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58" s="57">
        <f>IF(LEN(MEMBERS[[#This Row],[StaffMemberCode]])&lt;100,0,1)</f>
        <v>0</v>
      </c>
      <c r="J658" s="57">
        <f>IF(LEN(MEMBERS[[#This Row],[Title]])&lt;100,0,1)</f>
        <v>0</v>
      </c>
      <c r="K658" s="57">
        <f>COUNTBLANK(MEMBERS[[#This Row],[StaffMemberCode]:[ServiceStartDate]])+COUNTBLANK(MEMBERS[[#This Row],[Apprenticeship]]:MEMBERS[[#This Row],[StaffMemberEnabled]])+COUNTBLANK(MEMBERS[[#This Row],[GenderCode]]:MEMBERS[[#This Row],[Casual]])</f>
        <v>0</v>
      </c>
      <c r="L658" s="57">
        <f>IF(SUBSTITUTE(TEXT(MEMBERS[[#This Row],[StaffMemberCode]],10)," ","")=TEXT(MEMBERS[[#This Row],[StaffMemberCode]],10),0,1)</f>
        <v>0</v>
      </c>
      <c r="M658" s="57">
        <f ca="1">SUM(MEMBERS[[#This Row],[Duplicate NameService Start]:[Space in Code]])</f>
        <v>0</v>
      </c>
      <c r="O658" s="15">
        <v>10015065</v>
      </c>
      <c r="P658" s="15" t="s">
        <v>4002</v>
      </c>
      <c r="Q658" s="15" t="s">
        <v>3463</v>
      </c>
      <c r="R658" s="133" t="str">
        <f>MEMBERS[[#This Row],[FirstName]]&amp;" "&amp;MEMBERS[[#This Row],[LastName]]</f>
        <v>Roger Bailey</v>
      </c>
      <c r="S658" s="21">
        <v>45637</v>
      </c>
      <c r="U658" s="21">
        <v>22089</v>
      </c>
      <c r="V658" s="138" t="b">
        <v>0</v>
      </c>
      <c r="W658" t="b">
        <v>0</v>
      </c>
      <c r="X658" t="b">
        <v>0</v>
      </c>
      <c r="Y658" t="s">
        <v>2126</v>
      </c>
      <c r="Z658" t="b">
        <v>1</v>
      </c>
      <c r="AB658" t="s">
        <v>1572</v>
      </c>
      <c r="AC658" t="b">
        <v>0</v>
      </c>
    </row>
    <row r="659" spans="1:29" x14ac:dyDescent="0.3">
      <c r="A659" s="57" t="str">
        <f>MEMBERS[[#This Row],[Title]]&amp;MEMBERS[[#This Row],[ServiceStartDate]]</f>
        <v>Rowena Clayton38816</v>
      </c>
      <c r="B659" s="57">
        <f>IF(COUNTIF(MEMBERS[NameServiceStart],MEMBERS[[#This Row],[NameServiceStart]])=1,0,1)</f>
        <v>0</v>
      </c>
      <c r="C659" s="57">
        <f>IF(COUNTIF(MEMBERS[StaffMemberCode],MEMBERS[[#This Row],[StaffMemberCode]])=1,0,1)</f>
        <v>0</v>
      </c>
      <c r="D659" s="57">
        <f>IF(ISBLANK(MEMBERS[[#This Row],[PayrollLocation]]),0,IF(COUNTIF(SCHOOLS[SchoolCode],MEMBERS[[#This Row],[PayrollLocation]])=1,0,1))</f>
        <v>0</v>
      </c>
      <c r="E659" s="57">
        <f>IF(MEMBERS[[#This Row],[AvailableToAllSchools]]=FALSE,IF(ISBLANK(MEMBERS[[#This Row],[SchoolCodes]]),1,0),IF(MEMBERS[[#This Row],[AvailableToAllSchools]]=TRUE,IF(ISBLANK(MEMBERS[[#This Row],[SchoolCodes]]),0,1)))</f>
        <v>0</v>
      </c>
      <c r="F659" s="57">
        <f>IF(ISBLANK(MEMBERS[[#This Row],[ServiceEndDate]]),0,IF(MEMBERS[[#This Row],[ServiceStartDate]]&lt;MEMBERS[[#This Row],[ServiceEndDate]],0,1))</f>
        <v>0</v>
      </c>
      <c r="G659" s="57" cm="1">
        <f t="array" aca="1" ref="G659" ca="1">IF(CELL("format",MEMBERS[[#This Row],[ServiceStartDate]])="D1",0,1)+IF(CELL("format",MEMBERS[[#This Row],[ServiceEndDate]])="D1",0,1)</f>
        <v>0</v>
      </c>
      <c r="H65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59" s="57">
        <f>IF(LEN(MEMBERS[[#This Row],[StaffMemberCode]])&lt;100,0,1)</f>
        <v>0</v>
      </c>
      <c r="J659" s="57">
        <f>IF(LEN(MEMBERS[[#This Row],[Title]])&lt;100,0,1)</f>
        <v>0</v>
      </c>
      <c r="K659" s="57">
        <f>COUNTBLANK(MEMBERS[[#This Row],[StaffMemberCode]:[ServiceStartDate]])+COUNTBLANK(MEMBERS[[#This Row],[Apprenticeship]]:MEMBERS[[#This Row],[StaffMemberEnabled]])+COUNTBLANK(MEMBERS[[#This Row],[GenderCode]]:MEMBERS[[#This Row],[Casual]])</f>
        <v>0</v>
      </c>
      <c r="L659" s="57">
        <f>IF(SUBSTITUTE(TEXT(MEMBERS[[#This Row],[StaffMemberCode]],10)," ","")=TEXT(MEMBERS[[#This Row],[StaffMemberCode]],10),0,1)</f>
        <v>0</v>
      </c>
      <c r="M659" s="57">
        <f ca="1">SUM(MEMBERS[[#This Row],[Duplicate NameService Start]:[Space in Code]])</f>
        <v>0</v>
      </c>
      <c r="O659" s="15">
        <v>91073469</v>
      </c>
      <c r="P659" s="15" t="s">
        <v>3407</v>
      </c>
      <c r="Q659" s="15" t="s">
        <v>3859</v>
      </c>
      <c r="R659" s="133" t="str">
        <f>MEMBERS[[#This Row],[FirstName]]&amp;" "&amp;MEMBERS[[#This Row],[LastName]]</f>
        <v>Rowena Clayton</v>
      </c>
      <c r="S659" s="21">
        <v>38816</v>
      </c>
      <c r="U659" s="21">
        <v>22601</v>
      </c>
      <c r="V659" t="b">
        <v>0</v>
      </c>
      <c r="W659" t="b">
        <v>0</v>
      </c>
      <c r="X659" t="b">
        <v>0</v>
      </c>
      <c r="Y659" t="s">
        <v>2094</v>
      </c>
      <c r="Z659" t="b">
        <v>1</v>
      </c>
      <c r="AB659" t="s">
        <v>1571</v>
      </c>
      <c r="AC659" t="b">
        <v>0</v>
      </c>
    </row>
    <row r="660" spans="1:29" x14ac:dyDescent="0.3">
      <c r="A660" s="57" t="str">
        <f>MEMBERS[[#This Row],[Title]]&amp;MEMBERS[[#This Row],[ServiceStartDate]]</f>
        <v>Ruby Ellis45936</v>
      </c>
      <c r="B660" s="57">
        <f>IF(COUNTIF(MEMBERS[NameServiceStart],MEMBERS[[#This Row],[NameServiceStart]])=1,0,1)</f>
        <v>0</v>
      </c>
      <c r="C660" s="57">
        <f>IF(COUNTIF(MEMBERS[StaffMemberCode],MEMBERS[[#This Row],[StaffMemberCode]])=1,0,1)</f>
        <v>0</v>
      </c>
      <c r="D660" s="57">
        <f>IF(ISBLANK(MEMBERS[[#This Row],[PayrollLocation]]),0,IF(COUNTIF(SCHOOLS[SchoolCode],MEMBERS[[#This Row],[PayrollLocation]])=1,0,1))</f>
        <v>0</v>
      </c>
      <c r="E660" s="57">
        <f>IF(MEMBERS[[#This Row],[AvailableToAllSchools]]=FALSE,IF(ISBLANK(MEMBERS[[#This Row],[SchoolCodes]]),1,0),IF(MEMBERS[[#This Row],[AvailableToAllSchools]]=TRUE,IF(ISBLANK(MEMBERS[[#This Row],[SchoolCodes]]),0,1)))</f>
        <v>0</v>
      </c>
      <c r="F660" s="57">
        <f>IF(ISBLANK(MEMBERS[[#This Row],[ServiceEndDate]]),0,IF(MEMBERS[[#This Row],[ServiceStartDate]]&lt;MEMBERS[[#This Row],[ServiceEndDate]],0,1))</f>
        <v>0</v>
      </c>
      <c r="G660" s="57" cm="1">
        <f t="array" aca="1" ref="G660" ca="1">IF(CELL("format",MEMBERS[[#This Row],[ServiceStartDate]])="D1",0,1)+IF(CELL("format",MEMBERS[[#This Row],[ServiceEndDate]])="D1",0,1)</f>
        <v>0</v>
      </c>
      <c r="H66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60" s="57">
        <f>IF(LEN(MEMBERS[[#This Row],[StaffMemberCode]])&lt;100,0,1)</f>
        <v>0</v>
      </c>
      <c r="J660" s="57">
        <f>IF(LEN(MEMBERS[[#This Row],[Title]])&lt;100,0,1)</f>
        <v>0</v>
      </c>
      <c r="K660" s="57">
        <f>COUNTBLANK(MEMBERS[[#This Row],[StaffMemberCode]:[ServiceStartDate]])+COUNTBLANK(MEMBERS[[#This Row],[Apprenticeship]]:MEMBERS[[#This Row],[StaffMemberEnabled]])+COUNTBLANK(MEMBERS[[#This Row],[GenderCode]]:MEMBERS[[#This Row],[Casual]])</f>
        <v>0</v>
      </c>
      <c r="L660" s="57">
        <f>IF(SUBSTITUTE(TEXT(MEMBERS[[#This Row],[StaffMemberCode]],10)," ","")=TEXT(MEMBERS[[#This Row],[StaffMemberCode]],10),0,1)</f>
        <v>0</v>
      </c>
      <c r="M660" s="57">
        <f ca="1">SUM(MEMBERS[[#This Row],[Duplicate NameService Start]:[Space in Code]])</f>
        <v>0</v>
      </c>
      <c r="O660" s="15">
        <v>10016439</v>
      </c>
      <c r="P660" s="15" t="s">
        <v>4003</v>
      </c>
      <c r="Q660" s="15" t="s">
        <v>3549</v>
      </c>
      <c r="R660" s="133" t="str">
        <f>MEMBERS[[#This Row],[FirstName]]&amp;" "&amp;MEMBERS[[#This Row],[LastName]]</f>
        <v>Ruby Ellis</v>
      </c>
      <c r="S660" s="21">
        <v>45936</v>
      </c>
      <c r="U660" s="21">
        <v>38507</v>
      </c>
      <c r="V660" s="138" t="b">
        <v>0</v>
      </c>
      <c r="W660" t="b">
        <v>0</v>
      </c>
      <c r="X660" t="b">
        <v>0</v>
      </c>
      <c r="Y660" t="s">
        <v>2126</v>
      </c>
      <c r="Z660" t="b">
        <v>1</v>
      </c>
      <c r="AB660" t="s">
        <v>1571</v>
      </c>
      <c r="AC660" t="b">
        <v>0</v>
      </c>
    </row>
    <row r="661" spans="1:29" x14ac:dyDescent="0.3">
      <c r="A661" s="57" t="str">
        <f>MEMBERS[[#This Row],[Title]]&amp;MEMBERS[[#This Row],[ServiceStartDate]]</f>
        <v>Ruby Heath44979</v>
      </c>
      <c r="B661" s="57">
        <f>IF(COUNTIF(MEMBERS[NameServiceStart],MEMBERS[[#This Row],[NameServiceStart]])=1,0,1)</f>
        <v>0</v>
      </c>
      <c r="C661" s="57">
        <f>IF(COUNTIF(MEMBERS[StaffMemberCode],MEMBERS[[#This Row],[StaffMemberCode]])=1,0,1)</f>
        <v>0</v>
      </c>
      <c r="D661" s="57">
        <f>IF(ISBLANK(MEMBERS[[#This Row],[PayrollLocation]]),0,IF(COUNTIF(SCHOOLS[SchoolCode],MEMBERS[[#This Row],[PayrollLocation]])=1,0,1))</f>
        <v>0</v>
      </c>
      <c r="E661" s="57">
        <f>IF(MEMBERS[[#This Row],[AvailableToAllSchools]]=FALSE,IF(ISBLANK(MEMBERS[[#This Row],[SchoolCodes]]),1,0),IF(MEMBERS[[#This Row],[AvailableToAllSchools]]=TRUE,IF(ISBLANK(MEMBERS[[#This Row],[SchoolCodes]]),0,1)))</f>
        <v>0</v>
      </c>
      <c r="F661" s="57">
        <f>IF(ISBLANK(MEMBERS[[#This Row],[ServiceEndDate]]),0,IF(MEMBERS[[#This Row],[ServiceStartDate]]&lt;MEMBERS[[#This Row],[ServiceEndDate]],0,1))</f>
        <v>0</v>
      </c>
      <c r="G661" s="57" cm="1">
        <f t="array" aca="1" ref="G661" ca="1">IF(CELL("format",MEMBERS[[#This Row],[ServiceStartDate]])="D1",0,1)+IF(CELL("format",MEMBERS[[#This Row],[ServiceEndDate]])="D1",0,1)</f>
        <v>0</v>
      </c>
      <c r="H66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61" s="57">
        <f>IF(LEN(MEMBERS[[#This Row],[StaffMemberCode]])&lt;100,0,1)</f>
        <v>0</v>
      </c>
      <c r="J661" s="57">
        <f>IF(LEN(MEMBERS[[#This Row],[Title]])&lt;100,0,1)</f>
        <v>0</v>
      </c>
      <c r="K661" s="57">
        <f>COUNTBLANK(MEMBERS[[#This Row],[StaffMemberCode]:[ServiceStartDate]])+COUNTBLANK(MEMBERS[[#This Row],[Apprenticeship]]:MEMBERS[[#This Row],[StaffMemberEnabled]])+COUNTBLANK(MEMBERS[[#This Row],[GenderCode]]:MEMBERS[[#This Row],[Casual]])</f>
        <v>0</v>
      </c>
      <c r="L661" s="57">
        <f>IF(SUBSTITUTE(TEXT(MEMBERS[[#This Row],[StaffMemberCode]],10)," ","")=TEXT(MEMBERS[[#This Row],[StaffMemberCode]],10),0,1)</f>
        <v>0</v>
      </c>
      <c r="M661" s="57">
        <f ca="1">SUM(MEMBERS[[#This Row],[Duplicate NameService Start]:[Space in Code]])</f>
        <v>0</v>
      </c>
      <c r="O661" s="15">
        <v>10011367</v>
      </c>
      <c r="P661" s="15" t="s">
        <v>4003</v>
      </c>
      <c r="Q661" s="15" t="s">
        <v>3468</v>
      </c>
      <c r="R661" s="133" t="str">
        <f>MEMBERS[[#This Row],[FirstName]]&amp;" "&amp;MEMBERS[[#This Row],[LastName]]</f>
        <v>Ruby Heath</v>
      </c>
      <c r="S661" s="21">
        <v>44979</v>
      </c>
      <c r="U661" s="21">
        <v>39024</v>
      </c>
      <c r="V661" s="138" t="b">
        <v>0</v>
      </c>
      <c r="W661" t="b">
        <v>0</v>
      </c>
      <c r="X661" t="b">
        <v>0</v>
      </c>
      <c r="Y661" t="s">
        <v>2126</v>
      </c>
      <c r="Z661" t="b">
        <v>1</v>
      </c>
      <c r="AB661" t="s">
        <v>1571</v>
      </c>
      <c r="AC661" t="b">
        <v>1</v>
      </c>
    </row>
    <row r="662" spans="1:29" x14ac:dyDescent="0.3">
      <c r="A662" s="57" t="str">
        <f>MEMBERS[[#This Row],[Title]]&amp;MEMBERS[[#This Row],[ServiceStartDate]]</f>
        <v>Ruth Bugeja43885</v>
      </c>
      <c r="B662" s="57">
        <f>IF(COUNTIF(MEMBERS[NameServiceStart],MEMBERS[[#This Row],[NameServiceStart]])=1,0,1)</f>
        <v>0</v>
      </c>
      <c r="C662" s="57">
        <f>IF(COUNTIF(MEMBERS[StaffMemberCode],MEMBERS[[#This Row],[StaffMemberCode]])=1,0,1)</f>
        <v>0</v>
      </c>
      <c r="D662" s="57">
        <f>IF(ISBLANK(MEMBERS[[#This Row],[PayrollLocation]]),0,IF(COUNTIF(SCHOOLS[SchoolCode],MEMBERS[[#This Row],[PayrollLocation]])=1,0,1))</f>
        <v>0</v>
      </c>
      <c r="E662" s="57">
        <f>IF(MEMBERS[[#This Row],[AvailableToAllSchools]]=FALSE,IF(ISBLANK(MEMBERS[[#This Row],[SchoolCodes]]),1,0),IF(MEMBERS[[#This Row],[AvailableToAllSchools]]=TRUE,IF(ISBLANK(MEMBERS[[#This Row],[SchoolCodes]]),0,1)))</f>
        <v>0</v>
      </c>
      <c r="F662" s="57">
        <f>IF(ISBLANK(MEMBERS[[#This Row],[ServiceEndDate]]),0,IF(MEMBERS[[#This Row],[ServiceStartDate]]&lt;MEMBERS[[#This Row],[ServiceEndDate]],0,1))</f>
        <v>0</v>
      </c>
      <c r="G662" s="57" cm="1">
        <f t="array" aca="1" ref="G662" ca="1">IF(CELL("format",MEMBERS[[#This Row],[ServiceStartDate]])="D1",0,1)+IF(CELL("format",MEMBERS[[#This Row],[ServiceEndDate]])="D1",0,1)</f>
        <v>0</v>
      </c>
      <c r="H66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62" s="57">
        <f>IF(LEN(MEMBERS[[#This Row],[StaffMemberCode]])&lt;100,0,1)</f>
        <v>0</v>
      </c>
      <c r="J662" s="57">
        <f>IF(LEN(MEMBERS[[#This Row],[Title]])&lt;100,0,1)</f>
        <v>0</v>
      </c>
      <c r="K662" s="57">
        <f>COUNTBLANK(MEMBERS[[#This Row],[StaffMemberCode]:[ServiceStartDate]])+COUNTBLANK(MEMBERS[[#This Row],[Apprenticeship]]:MEMBERS[[#This Row],[StaffMemberEnabled]])+COUNTBLANK(MEMBERS[[#This Row],[GenderCode]]:MEMBERS[[#This Row],[Casual]])</f>
        <v>0</v>
      </c>
      <c r="L662" s="57">
        <f>IF(SUBSTITUTE(TEXT(MEMBERS[[#This Row],[StaffMemberCode]],10)," ","")=TEXT(MEMBERS[[#This Row],[StaffMemberCode]],10),0,1)</f>
        <v>0</v>
      </c>
      <c r="M662" s="57">
        <f ca="1">SUM(MEMBERS[[#This Row],[Duplicate NameService Start]:[Space in Code]])</f>
        <v>0</v>
      </c>
      <c r="O662" s="15">
        <v>91073655</v>
      </c>
      <c r="P662" s="15" t="s">
        <v>3408</v>
      </c>
      <c r="Q662" s="15" t="s">
        <v>3860</v>
      </c>
      <c r="R662" s="133" t="str">
        <f>MEMBERS[[#This Row],[FirstName]]&amp;" "&amp;MEMBERS[[#This Row],[LastName]]</f>
        <v>Ruth Bugeja</v>
      </c>
      <c r="S662" s="21">
        <v>43885</v>
      </c>
      <c r="U662" s="21">
        <v>26516</v>
      </c>
      <c r="V662" t="b">
        <v>0</v>
      </c>
      <c r="W662" t="b">
        <v>0</v>
      </c>
      <c r="X662" t="b">
        <v>0</v>
      </c>
      <c r="Y662" t="s">
        <v>2089</v>
      </c>
      <c r="Z662" t="b">
        <v>1</v>
      </c>
      <c r="AB662" t="s">
        <v>1571</v>
      </c>
      <c r="AC662" t="b">
        <v>0</v>
      </c>
    </row>
    <row r="663" spans="1:29" x14ac:dyDescent="0.3">
      <c r="A663" s="57" t="str">
        <f>MEMBERS[[#This Row],[Title]]&amp;MEMBERS[[#This Row],[ServiceStartDate]]</f>
        <v>Ruth Lucas37265</v>
      </c>
      <c r="B663" s="57">
        <f>IF(COUNTIF(MEMBERS[NameServiceStart],MEMBERS[[#This Row],[NameServiceStart]])=1,0,1)</f>
        <v>0</v>
      </c>
      <c r="C663" s="57">
        <f>IF(COUNTIF(MEMBERS[StaffMemberCode],MEMBERS[[#This Row],[StaffMemberCode]])=1,0,1)</f>
        <v>0</v>
      </c>
      <c r="D663" s="57">
        <f>IF(ISBLANK(MEMBERS[[#This Row],[PayrollLocation]]),0,IF(COUNTIF(SCHOOLS[SchoolCode],MEMBERS[[#This Row],[PayrollLocation]])=1,0,1))</f>
        <v>0</v>
      </c>
      <c r="E663" s="57">
        <f>IF(MEMBERS[[#This Row],[AvailableToAllSchools]]=FALSE,IF(ISBLANK(MEMBERS[[#This Row],[SchoolCodes]]),1,0),IF(MEMBERS[[#This Row],[AvailableToAllSchools]]=TRUE,IF(ISBLANK(MEMBERS[[#This Row],[SchoolCodes]]),0,1)))</f>
        <v>0</v>
      </c>
      <c r="F663" s="57">
        <f>IF(ISBLANK(MEMBERS[[#This Row],[ServiceEndDate]]),0,IF(MEMBERS[[#This Row],[ServiceStartDate]]&lt;MEMBERS[[#This Row],[ServiceEndDate]],0,1))</f>
        <v>0</v>
      </c>
      <c r="G663" s="57" cm="1">
        <f t="array" aca="1" ref="G663" ca="1">IF(CELL("format",MEMBERS[[#This Row],[ServiceStartDate]])="D1",0,1)+IF(CELL("format",MEMBERS[[#This Row],[ServiceEndDate]])="D1",0,1)</f>
        <v>0</v>
      </c>
      <c r="H66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63" s="57">
        <f>IF(LEN(MEMBERS[[#This Row],[StaffMemberCode]])&lt;100,0,1)</f>
        <v>0</v>
      </c>
      <c r="J663" s="57">
        <f>IF(LEN(MEMBERS[[#This Row],[Title]])&lt;100,0,1)</f>
        <v>0</v>
      </c>
      <c r="K663" s="57">
        <f>COUNTBLANK(MEMBERS[[#This Row],[StaffMemberCode]:[ServiceStartDate]])+COUNTBLANK(MEMBERS[[#This Row],[Apprenticeship]]:MEMBERS[[#This Row],[StaffMemberEnabled]])+COUNTBLANK(MEMBERS[[#This Row],[GenderCode]]:MEMBERS[[#This Row],[Casual]])</f>
        <v>0</v>
      </c>
      <c r="L663" s="57">
        <f>IF(SUBSTITUTE(TEXT(MEMBERS[[#This Row],[StaffMemberCode]],10)," ","")=TEXT(MEMBERS[[#This Row],[StaffMemberCode]],10),0,1)</f>
        <v>0</v>
      </c>
      <c r="M663" s="57">
        <f ca="1">SUM(MEMBERS[[#This Row],[Duplicate NameService Start]:[Space in Code]])</f>
        <v>0</v>
      </c>
      <c r="O663" s="15">
        <v>91073553</v>
      </c>
      <c r="P663" s="15" t="s">
        <v>3408</v>
      </c>
      <c r="Q663" s="15" t="s">
        <v>3861</v>
      </c>
      <c r="R663" s="133" t="str">
        <f>MEMBERS[[#This Row],[FirstName]]&amp;" "&amp;MEMBERS[[#This Row],[LastName]]</f>
        <v>Ruth Lucas</v>
      </c>
      <c r="S663" s="21">
        <v>37265</v>
      </c>
      <c r="U663" s="21">
        <v>29412</v>
      </c>
      <c r="V663" t="b">
        <v>0</v>
      </c>
      <c r="W663" t="b">
        <v>0</v>
      </c>
      <c r="X663" t="b">
        <v>0</v>
      </c>
      <c r="Y663" t="s">
        <v>2094</v>
      </c>
      <c r="Z663" t="b">
        <v>1</v>
      </c>
      <c r="AB663" t="s">
        <v>1571</v>
      </c>
      <c r="AC663" t="b">
        <v>0</v>
      </c>
    </row>
    <row r="664" spans="1:29" x14ac:dyDescent="0.3">
      <c r="A664" s="57" t="str">
        <f>MEMBERS[[#This Row],[Title]]&amp;MEMBERS[[#This Row],[ServiceStartDate]]</f>
        <v>Ruth Walker41283</v>
      </c>
      <c r="B664" s="57">
        <f>IF(COUNTIF(MEMBERS[NameServiceStart],MEMBERS[[#This Row],[NameServiceStart]])=1,0,1)</f>
        <v>0</v>
      </c>
      <c r="C664" s="57">
        <f>IF(COUNTIF(MEMBERS[StaffMemberCode],MEMBERS[[#This Row],[StaffMemberCode]])=1,0,1)</f>
        <v>0</v>
      </c>
      <c r="D664" s="57">
        <f>IF(ISBLANK(MEMBERS[[#This Row],[PayrollLocation]]),0,IF(COUNTIF(SCHOOLS[SchoolCode],MEMBERS[[#This Row],[PayrollLocation]])=1,0,1))</f>
        <v>0</v>
      </c>
      <c r="E664" s="57">
        <f>IF(MEMBERS[[#This Row],[AvailableToAllSchools]]=FALSE,IF(ISBLANK(MEMBERS[[#This Row],[SchoolCodes]]),1,0),IF(MEMBERS[[#This Row],[AvailableToAllSchools]]=TRUE,IF(ISBLANK(MEMBERS[[#This Row],[SchoolCodes]]),0,1)))</f>
        <v>0</v>
      </c>
      <c r="F664" s="57">
        <f>IF(ISBLANK(MEMBERS[[#This Row],[ServiceEndDate]]),0,IF(MEMBERS[[#This Row],[ServiceStartDate]]&lt;MEMBERS[[#This Row],[ServiceEndDate]],0,1))</f>
        <v>0</v>
      </c>
      <c r="G664" s="57" cm="1">
        <f t="array" aca="1" ref="G664" ca="1">IF(CELL("format",MEMBERS[[#This Row],[ServiceStartDate]])="D1",0,1)+IF(CELL("format",MEMBERS[[#This Row],[ServiceEndDate]])="D1",0,1)</f>
        <v>0</v>
      </c>
      <c r="H66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64" s="57">
        <f>IF(LEN(MEMBERS[[#This Row],[StaffMemberCode]])&lt;100,0,1)</f>
        <v>0</v>
      </c>
      <c r="J664" s="57">
        <f>IF(LEN(MEMBERS[[#This Row],[Title]])&lt;100,0,1)</f>
        <v>0</v>
      </c>
      <c r="K664" s="57">
        <f>COUNTBLANK(MEMBERS[[#This Row],[StaffMemberCode]:[ServiceStartDate]])+COUNTBLANK(MEMBERS[[#This Row],[Apprenticeship]]:MEMBERS[[#This Row],[StaffMemberEnabled]])+COUNTBLANK(MEMBERS[[#This Row],[GenderCode]]:MEMBERS[[#This Row],[Casual]])</f>
        <v>0</v>
      </c>
      <c r="L664" s="57">
        <f>IF(SUBSTITUTE(TEXT(MEMBERS[[#This Row],[StaffMemberCode]],10)," ","")=TEXT(MEMBERS[[#This Row],[StaffMemberCode]],10),0,1)</f>
        <v>0</v>
      </c>
      <c r="M664" s="57">
        <f ca="1">SUM(MEMBERS[[#This Row],[Duplicate NameService Start]:[Space in Code]])</f>
        <v>0</v>
      </c>
      <c r="O664" s="15">
        <v>91073717</v>
      </c>
      <c r="P664" s="15" t="s">
        <v>3408</v>
      </c>
      <c r="Q664" s="15" t="s">
        <v>3616</v>
      </c>
      <c r="R664" s="133" t="str">
        <f>MEMBERS[[#This Row],[FirstName]]&amp;" "&amp;MEMBERS[[#This Row],[LastName]]</f>
        <v>Ruth Walker</v>
      </c>
      <c r="S664" s="21">
        <v>41283</v>
      </c>
      <c r="U664" s="21">
        <v>26922</v>
      </c>
      <c r="V664" t="b">
        <v>0</v>
      </c>
      <c r="W664" t="b">
        <v>0</v>
      </c>
      <c r="X664" t="b">
        <v>0</v>
      </c>
      <c r="Y664" t="s">
        <v>2082</v>
      </c>
      <c r="Z664" t="b">
        <v>1</v>
      </c>
      <c r="AB664" t="s">
        <v>1571</v>
      </c>
      <c r="AC664" t="b">
        <v>0</v>
      </c>
    </row>
    <row r="665" spans="1:29" x14ac:dyDescent="0.3">
      <c r="A665" s="57" t="str">
        <f>MEMBERS[[#This Row],[Title]]&amp;MEMBERS[[#This Row],[ServiceStartDate]]</f>
        <v>Ryan Lewis45292</v>
      </c>
      <c r="B665" s="57">
        <f>IF(COUNTIF(MEMBERS[NameServiceStart],MEMBERS[[#This Row],[NameServiceStart]])=1,0,1)</f>
        <v>0</v>
      </c>
      <c r="C665" s="57">
        <f>IF(COUNTIF(MEMBERS[StaffMemberCode],MEMBERS[[#This Row],[StaffMemberCode]])=1,0,1)</f>
        <v>0</v>
      </c>
      <c r="D665" s="57">
        <f>IF(ISBLANK(MEMBERS[[#This Row],[PayrollLocation]]),0,IF(COUNTIF(SCHOOLS[SchoolCode],MEMBERS[[#This Row],[PayrollLocation]])=1,0,1))</f>
        <v>0</v>
      </c>
      <c r="E665" s="57">
        <f>IF(MEMBERS[[#This Row],[AvailableToAllSchools]]=FALSE,IF(ISBLANK(MEMBERS[[#This Row],[SchoolCodes]]),1,0),IF(MEMBERS[[#This Row],[AvailableToAllSchools]]=TRUE,IF(ISBLANK(MEMBERS[[#This Row],[SchoolCodes]]),0,1)))</f>
        <v>0</v>
      </c>
      <c r="F665" s="57">
        <f>IF(ISBLANK(MEMBERS[[#This Row],[ServiceEndDate]]),0,IF(MEMBERS[[#This Row],[ServiceStartDate]]&lt;MEMBERS[[#This Row],[ServiceEndDate]],0,1))</f>
        <v>0</v>
      </c>
      <c r="G665" s="57" cm="1">
        <f t="array" aca="1" ref="G665" ca="1">IF(CELL("format",MEMBERS[[#This Row],[ServiceStartDate]])="D1",0,1)+IF(CELL("format",MEMBERS[[#This Row],[ServiceEndDate]])="D1",0,1)</f>
        <v>0</v>
      </c>
      <c r="H66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65" s="57">
        <f>IF(LEN(MEMBERS[[#This Row],[StaffMemberCode]])&lt;100,0,1)</f>
        <v>0</v>
      </c>
      <c r="J665" s="57">
        <f>IF(LEN(MEMBERS[[#This Row],[Title]])&lt;100,0,1)</f>
        <v>0</v>
      </c>
      <c r="K665" s="57">
        <f>COUNTBLANK(MEMBERS[[#This Row],[StaffMemberCode]:[ServiceStartDate]])+COUNTBLANK(MEMBERS[[#This Row],[Apprenticeship]]:MEMBERS[[#This Row],[StaffMemberEnabled]])+COUNTBLANK(MEMBERS[[#This Row],[GenderCode]]:MEMBERS[[#This Row],[Casual]])</f>
        <v>0</v>
      </c>
      <c r="L665" s="57">
        <f>IF(SUBSTITUTE(TEXT(MEMBERS[[#This Row],[StaffMemberCode]],10)," ","")=TEXT(MEMBERS[[#This Row],[StaffMemberCode]],10),0,1)</f>
        <v>0</v>
      </c>
      <c r="M665" s="57">
        <f ca="1">SUM(MEMBERS[[#This Row],[Duplicate NameService Start]:[Space in Code]])</f>
        <v>0</v>
      </c>
      <c r="O665" s="15">
        <v>10013384</v>
      </c>
      <c r="P665" s="15" t="s">
        <v>3936</v>
      </c>
      <c r="Q665" s="15" t="s">
        <v>3336</v>
      </c>
      <c r="R665" s="133" t="str">
        <f>MEMBERS[[#This Row],[FirstName]]&amp;" "&amp;MEMBERS[[#This Row],[LastName]]</f>
        <v>Ryan Lewis</v>
      </c>
      <c r="S665" s="21">
        <v>45292</v>
      </c>
      <c r="U665" s="21">
        <v>35200</v>
      </c>
      <c r="V665" s="138" t="b">
        <v>0</v>
      </c>
      <c r="W665" t="b">
        <v>0</v>
      </c>
      <c r="X665" t="b">
        <v>0</v>
      </c>
      <c r="Y665" t="s">
        <v>2126</v>
      </c>
      <c r="Z665" t="b">
        <v>1</v>
      </c>
      <c r="AB665" t="s">
        <v>1572</v>
      </c>
      <c r="AC665" t="b">
        <v>0</v>
      </c>
    </row>
    <row r="666" spans="1:29" x14ac:dyDescent="0.3">
      <c r="A666" s="57" t="str">
        <f>MEMBERS[[#This Row],[Title]]&amp;MEMBERS[[#This Row],[ServiceStartDate]]</f>
        <v>Sadie Procter43709</v>
      </c>
      <c r="B666" s="57">
        <f>IF(COUNTIF(MEMBERS[NameServiceStart],MEMBERS[[#This Row],[NameServiceStart]])=1,0,1)</f>
        <v>0</v>
      </c>
      <c r="C666" s="57">
        <f>IF(COUNTIF(MEMBERS[StaffMemberCode],MEMBERS[[#This Row],[StaffMemberCode]])=1,0,1)</f>
        <v>0</v>
      </c>
      <c r="D666" s="57">
        <f>IF(ISBLANK(MEMBERS[[#This Row],[PayrollLocation]]),0,IF(COUNTIF(SCHOOLS[SchoolCode],MEMBERS[[#This Row],[PayrollLocation]])=1,0,1))</f>
        <v>0</v>
      </c>
      <c r="E666" s="57">
        <f>IF(MEMBERS[[#This Row],[AvailableToAllSchools]]=FALSE,IF(ISBLANK(MEMBERS[[#This Row],[SchoolCodes]]),1,0),IF(MEMBERS[[#This Row],[AvailableToAllSchools]]=TRUE,IF(ISBLANK(MEMBERS[[#This Row],[SchoolCodes]]),0,1)))</f>
        <v>0</v>
      </c>
      <c r="F666" s="57">
        <f>IF(ISBLANK(MEMBERS[[#This Row],[ServiceEndDate]]),0,IF(MEMBERS[[#This Row],[ServiceStartDate]]&lt;MEMBERS[[#This Row],[ServiceEndDate]],0,1))</f>
        <v>0</v>
      </c>
      <c r="G666" s="57" cm="1">
        <f t="array" aca="1" ref="G666" ca="1">IF(CELL("format",MEMBERS[[#This Row],[ServiceStartDate]])="D1",0,1)+IF(CELL("format",MEMBERS[[#This Row],[ServiceEndDate]])="D1",0,1)</f>
        <v>0</v>
      </c>
      <c r="H66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66" s="57">
        <f>IF(LEN(MEMBERS[[#This Row],[StaffMemberCode]])&lt;100,0,1)</f>
        <v>0</v>
      </c>
      <c r="J666" s="57">
        <f>IF(LEN(MEMBERS[[#This Row],[Title]])&lt;100,0,1)</f>
        <v>0</v>
      </c>
      <c r="K666" s="57">
        <f>COUNTBLANK(MEMBERS[[#This Row],[StaffMemberCode]:[ServiceStartDate]])+COUNTBLANK(MEMBERS[[#This Row],[Apprenticeship]]:MEMBERS[[#This Row],[StaffMemberEnabled]])+COUNTBLANK(MEMBERS[[#This Row],[GenderCode]]:MEMBERS[[#This Row],[Casual]])</f>
        <v>0</v>
      </c>
      <c r="L666" s="57">
        <f>IF(SUBSTITUTE(TEXT(MEMBERS[[#This Row],[StaffMemberCode]],10)," ","")=TEXT(MEMBERS[[#This Row],[StaffMemberCode]],10),0,1)</f>
        <v>0</v>
      </c>
      <c r="M666" s="57">
        <f ca="1">SUM(MEMBERS[[#This Row],[Duplicate NameService Start]:[Space in Code]])</f>
        <v>0</v>
      </c>
      <c r="O666" s="15">
        <v>10006805</v>
      </c>
      <c r="P666" s="15" t="s">
        <v>4004</v>
      </c>
      <c r="Q666" s="15" t="s">
        <v>3901</v>
      </c>
      <c r="R666" s="133" t="str">
        <f>MEMBERS[[#This Row],[FirstName]]&amp;" "&amp;MEMBERS[[#This Row],[LastName]]</f>
        <v>Sadie Procter</v>
      </c>
      <c r="S666" s="21">
        <v>43709</v>
      </c>
      <c r="U666" s="21">
        <v>34495</v>
      </c>
      <c r="V666" s="138" t="b">
        <v>0</v>
      </c>
      <c r="W666" t="b">
        <v>0</v>
      </c>
      <c r="X666" t="b">
        <v>0</v>
      </c>
      <c r="Y666" t="s">
        <v>2126</v>
      </c>
      <c r="Z666" t="b">
        <v>1</v>
      </c>
      <c r="AB666" t="s">
        <v>1571</v>
      </c>
      <c r="AC666" t="b">
        <v>0</v>
      </c>
    </row>
    <row r="667" spans="1:29" x14ac:dyDescent="0.3">
      <c r="A667" s="57" t="str">
        <f>MEMBERS[[#This Row],[Title]]&amp;MEMBERS[[#This Row],[ServiceStartDate]]</f>
        <v>Sally Handley45173</v>
      </c>
      <c r="B667" s="57">
        <f>IF(COUNTIF(MEMBERS[NameServiceStart],MEMBERS[[#This Row],[NameServiceStart]])=1,0,1)</f>
        <v>0</v>
      </c>
      <c r="C667" s="57">
        <f>IF(COUNTIF(MEMBERS[StaffMemberCode],MEMBERS[[#This Row],[StaffMemberCode]])=1,0,1)</f>
        <v>0</v>
      </c>
      <c r="D667" s="57">
        <f>IF(ISBLANK(MEMBERS[[#This Row],[PayrollLocation]]),0,IF(COUNTIF(SCHOOLS[SchoolCode],MEMBERS[[#This Row],[PayrollLocation]])=1,0,1))</f>
        <v>0</v>
      </c>
      <c r="E667" s="57">
        <f>IF(MEMBERS[[#This Row],[AvailableToAllSchools]]=FALSE,IF(ISBLANK(MEMBERS[[#This Row],[SchoolCodes]]),1,0),IF(MEMBERS[[#This Row],[AvailableToAllSchools]]=TRUE,IF(ISBLANK(MEMBERS[[#This Row],[SchoolCodes]]),0,1)))</f>
        <v>0</v>
      </c>
      <c r="F667" s="57">
        <f>IF(ISBLANK(MEMBERS[[#This Row],[ServiceEndDate]]),0,IF(MEMBERS[[#This Row],[ServiceStartDate]]&lt;MEMBERS[[#This Row],[ServiceEndDate]],0,1))</f>
        <v>0</v>
      </c>
      <c r="G667" s="57" cm="1">
        <f t="array" aca="1" ref="G667" ca="1">IF(CELL("format",MEMBERS[[#This Row],[ServiceStartDate]])="D1",0,1)+IF(CELL("format",MEMBERS[[#This Row],[ServiceEndDate]])="D1",0,1)</f>
        <v>0</v>
      </c>
      <c r="H66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67" s="57">
        <f>IF(LEN(MEMBERS[[#This Row],[StaffMemberCode]])&lt;100,0,1)</f>
        <v>0</v>
      </c>
      <c r="J667" s="57">
        <f>IF(LEN(MEMBERS[[#This Row],[Title]])&lt;100,0,1)</f>
        <v>0</v>
      </c>
      <c r="K667" s="57">
        <f>COUNTBLANK(MEMBERS[[#This Row],[StaffMemberCode]:[ServiceStartDate]])+COUNTBLANK(MEMBERS[[#This Row],[Apprenticeship]]:MEMBERS[[#This Row],[StaffMemberEnabled]])+COUNTBLANK(MEMBERS[[#This Row],[GenderCode]]:MEMBERS[[#This Row],[Casual]])</f>
        <v>0</v>
      </c>
      <c r="L667" s="57">
        <f>IF(SUBSTITUTE(TEXT(MEMBERS[[#This Row],[StaffMemberCode]],10)," ","")=TEXT(MEMBERS[[#This Row],[StaffMemberCode]],10),0,1)</f>
        <v>0</v>
      </c>
      <c r="M667" s="57">
        <f ca="1">SUM(MEMBERS[[#This Row],[Duplicate NameService Start]:[Space in Code]])</f>
        <v>0</v>
      </c>
      <c r="O667" s="15">
        <v>10013091</v>
      </c>
      <c r="P667" s="15" t="s">
        <v>3409</v>
      </c>
      <c r="Q667" s="15" t="s">
        <v>4122</v>
      </c>
      <c r="R667" s="133" t="str">
        <f>MEMBERS[[#This Row],[FirstName]]&amp;" "&amp;MEMBERS[[#This Row],[LastName]]</f>
        <v>Sally Handley</v>
      </c>
      <c r="S667" s="21">
        <v>45173</v>
      </c>
      <c r="U667" s="21">
        <v>28390</v>
      </c>
      <c r="V667" s="138" t="b">
        <v>0</v>
      </c>
      <c r="W667" t="b">
        <v>0</v>
      </c>
      <c r="X667" t="b">
        <v>0</v>
      </c>
      <c r="Y667" t="s">
        <v>2126</v>
      </c>
      <c r="Z667" t="b">
        <v>1</v>
      </c>
      <c r="AB667" t="s">
        <v>1571</v>
      </c>
      <c r="AC667" t="b">
        <v>0</v>
      </c>
    </row>
    <row r="668" spans="1:29" x14ac:dyDescent="0.3">
      <c r="A668" s="57" t="str">
        <f>MEMBERS[[#This Row],[Title]]&amp;MEMBERS[[#This Row],[ServiceStartDate]]</f>
        <v>Sally Martin40187</v>
      </c>
      <c r="B668" s="57">
        <f>IF(COUNTIF(MEMBERS[NameServiceStart],MEMBERS[[#This Row],[NameServiceStart]])=1,0,1)</f>
        <v>0</v>
      </c>
      <c r="C668" s="57">
        <f>IF(COUNTIF(MEMBERS[StaffMemberCode],MEMBERS[[#This Row],[StaffMemberCode]])=1,0,1)</f>
        <v>0</v>
      </c>
      <c r="D668" s="57">
        <f>IF(ISBLANK(MEMBERS[[#This Row],[PayrollLocation]]),0,IF(COUNTIF(SCHOOLS[SchoolCode],MEMBERS[[#This Row],[PayrollLocation]])=1,0,1))</f>
        <v>0</v>
      </c>
      <c r="E668" s="57">
        <f>IF(MEMBERS[[#This Row],[AvailableToAllSchools]]=FALSE,IF(ISBLANK(MEMBERS[[#This Row],[SchoolCodes]]),1,0),IF(MEMBERS[[#This Row],[AvailableToAllSchools]]=TRUE,IF(ISBLANK(MEMBERS[[#This Row],[SchoolCodes]]),0,1)))</f>
        <v>0</v>
      </c>
      <c r="F668" s="57">
        <f>IF(ISBLANK(MEMBERS[[#This Row],[ServiceEndDate]]),0,IF(MEMBERS[[#This Row],[ServiceStartDate]]&lt;MEMBERS[[#This Row],[ServiceEndDate]],0,1))</f>
        <v>0</v>
      </c>
      <c r="G668" s="57" cm="1">
        <f t="array" aca="1" ref="G668" ca="1">IF(CELL("format",MEMBERS[[#This Row],[ServiceStartDate]])="D1",0,1)+IF(CELL("format",MEMBERS[[#This Row],[ServiceEndDate]])="D1",0,1)</f>
        <v>0</v>
      </c>
      <c r="H66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68" s="57">
        <f>IF(LEN(MEMBERS[[#This Row],[StaffMemberCode]])&lt;100,0,1)</f>
        <v>0</v>
      </c>
      <c r="J668" s="57">
        <f>IF(LEN(MEMBERS[[#This Row],[Title]])&lt;100,0,1)</f>
        <v>0</v>
      </c>
      <c r="K668" s="57">
        <f>COUNTBLANK(MEMBERS[[#This Row],[StaffMemberCode]:[ServiceStartDate]])+COUNTBLANK(MEMBERS[[#This Row],[Apprenticeship]]:MEMBERS[[#This Row],[StaffMemberEnabled]])+COUNTBLANK(MEMBERS[[#This Row],[GenderCode]]:MEMBERS[[#This Row],[Casual]])</f>
        <v>0</v>
      </c>
      <c r="L668" s="57">
        <f>IF(SUBSTITUTE(TEXT(MEMBERS[[#This Row],[StaffMemberCode]],10)," ","")=TEXT(MEMBERS[[#This Row],[StaffMemberCode]],10),0,1)</f>
        <v>0</v>
      </c>
      <c r="M668" s="57">
        <f ca="1">SUM(MEMBERS[[#This Row],[Duplicate NameService Start]:[Space in Code]])</f>
        <v>0</v>
      </c>
      <c r="O668" s="15">
        <v>91073696</v>
      </c>
      <c r="P668" s="15" t="s">
        <v>3409</v>
      </c>
      <c r="Q668" s="15" t="s">
        <v>3356</v>
      </c>
      <c r="R668" s="133" t="str">
        <f>MEMBERS[[#This Row],[FirstName]]&amp;" "&amp;MEMBERS[[#This Row],[LastName]]</f>
        <v>Sally Martin</v>
      </c>
      <c r="S668" s="21">
        <v>40187</v>
      </c>
      <c r="U668" s="21">
        <v>32117</v>
      </c>
      <c r="V668" t="b">
        <v>0</v>
      </c>
      <c r="W668" t="b">
        <v>0</v>
      </c>
      <c r="X668" t="b">
        <v>0</v>
      </c>
      <c r="Y668" t="s">
        <v>2082</v>
      </c>
      <c r="Z668" t="b">
        <v>1</v>
      </c>
      <c r="AB668" t="s">
        <v>1571</v>
      </c>
      <c r="AC668" t="b">
        <v>0</v>
      </c>
    </row>
    <row r="669" spans="1:29" x14ac:dyDescent="0.3">
      <c r="A669" s="57" t="str">
        <f>MEMBERS[[#This Row],[Title]]&amp;MEMBERS[[#This Row],[ServiceStartDate]]</f>
        <v>Sally Wright41648</v>
      </c>
      <c r="B669" s="57">
        <f>IF(COUNTIF(MEMBERS[NameServiceStart],MEMBERS[[#This Row],[NameServiceStart]])=1,0,1)</f>
        <v>0</v>
      </c>
      <c r="C669" s="57">
        <f>IF(COUNTIF(MEMBERS[StaffMemberCode],MEMBERS[[#This Row],[StaffMemberCode]])=1,0,1)</f>
        <v>0</v>
      </c>
      <c r="D669" s="57">
        <f>IF(ISBLANK(MEMBERS[[#This Row],[PayrollLocation]]),0,IF(COUNTIF(SCHOOLS[SchoolCode],MEMBERS[[#This Row],[PayrollLocation]])=1,0,1))</f>
        <v>0</v>
      </c>
      <c r="E669" s="57">
        <f>IF(MEMBERS[[#This Row],[AvailableToAllSchools]]=FALSE,IF(ISBLANK(MEMBERS[[#This Row],[SchoolCodes]]),1,0),IF(MEMBERS[[#This Row],[AvailableToAllSchools]]=TRUE,IF(ISBLANK(MEMBERS[[#This Row],[SchoolCodes]]),0,1)))</f>
        <v>0</v>
      </c>
      <c r="F669" s="57">
        <f>IF(ISBLANK(MEMBERS[[#This Row],[ServiceEndDate]]),0,IF(MEMBERS[[#This Row],[ServiceStartDate]]&lt;MEMBERS[[#This Row],[ServiceEndDate]],0,1))</f>
        <v>0</v>
      </c>
      <c r="G669" s="57" cm="1">
        <f t="array" aca="1" ref="G669" ca="1">IF(CELL("format",MEMBERS[[#This Row],[ServiceStartDate]])="D1",0,1)+IF(CELL("format",MEMBERS[[#This Row],[ServiceEndDate]])="D1",0,1)</f>
        <v>0</v>
      </c>
      <c r="H66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69" s="57">
        <f>IF(LEN(MEMBERS[[#This Row],[StaffMemberCode]])&lt;100,0,1)</f>
        <v>0</v>
      </c>
      <c r="J669" s="57">
        <f>IF(LEN(MEMBERS[[#This Row],[Title]])&lt;100,0,1)</f>
        <v>0</v>
      </c>
      <c r="K669" s="57">
        <f>COUNTBLANK(MEMBERS[[#This Row],[StaffMemberCode]:[ServiceStartDate]])+COUNTBLANK(MEMBERS[[#This Row],[Apprenticeship]]:MEMBERS[[#This Row],[StaffMemberEnabled]])+COUNTBLANK(MEMBERS[[#This Row],[GenderCode]]:MEMBERS[[#This Row],[Casual]])</f>
        <v>0</v>
      </c>
      <c r="L669" s="57">
        <f>IF(SUBSTITUTE(TEXT(MEMBERS[[#This Row],[StaffMemberCode]],10)," ","")=TEXT(MEMBERS[[#This Row],[StaffMemberCode]],10),0,1)</f>
        <v>0</v>
      </c>
      <c r="M669" s="57">
        <f ca="1">SUM(MEMBERS[[#This Row],[Duplicate NameService Start]:[Space in Code]])</f>
        <v>0</v>
      </c>
      <c r="O669" s="15">
        <v>91073845</v>
      </c>
      <c r="P669" s="15" t="s">
        <v>3409</v>
      </c>
      <c r="Q669" s="15" t="s">
        <v>3671</v>
      </c>
      <c r="R669" s="133" t="str">
        <f>MEMBERS[[#This Row],[FirstName]]&amp;" "&amp;MEMBERS[[#This Row],[LastName]]</f>
        <v>Sally Wright</v>
      </c>
      <c r="S669" s="21">
        <v>41648</v>
      </c>
      <c r="U669" s="21">
        <v>32297</v>
      </c>
      <c r="V669" t="b">
        <v>0</v>
      </c>
      <c r="W669" t="b">
        <v>0</v>
      </c>
      <c r="X669" t="b">
        <v>0</v>
      </c>
      <c r="Y669" t="s">
        <v>2082</v>
      </c>
      <c r="Z669" t="b">
        <v>1</v>
      </c>
      <c r="AB669" t="s">
        <v>1571</v>
      </c>
      <c r="AC669" t="b">
        <v>0</v>
      </c>
    </row>
    <row r="670" spans="1:29" x14ac:dyDescent="0.3">
      <c r="A670" s="57" t="str">
        <f>MEMBERS[[#This Row],[Title]]&amp;MEMBERS[[#This Row],[ServiceStartDate]]</f>
        <v>Sallyann McKeown45903</v>
      </c>
      <c r="B670" s="57">
        <f>IF(COUNTIF(MEMBERS[NameServiceStart],MEMBERS[[#This Row],[NameServiceStart]])=1,0,1)</f>
        <v>0</v>
      </c>
      <c r="C670" s="57">
        <f>IF(COUNTIF(MEMBERS[StaffMemberCode],MEMBERS[[#This Row],[StaffMemberCode]])=1,0,1)</f>
        <v>0</v>
      </c>
      <c r="D670" s="57">
        <f>IF(ISBLANK(MEMBERS[[#This Row],[PayrollLocation]]),0,IF(COUNTIF(SCHOOLS[SchoolCode],MEMBERS[[#This Row],[PayrollLocation]])=1,0,1))</f>
        <v>0</v>
      </c>
      <c r="E670" s="57">
        <f>IF(MEMBERS[[#This Row],[AvailableToAllSchools]]=FALSE,IF(ISBLANK(MEMBERS[[#This Row],[SchoolCodes]]),1,0),IF(MEMBERS[[#This Row],[AvailableToAllSchools]]=TRUE,IF(ISBLANK(MEMBERS[[#This Row],[SchoolCodes]]),0,1)))</f>
        <v>0</v>
      </c>
      <c r="F670" s="57">
        <f>IF(ISBLANK(MEMBERS[[#This Row],[ServiceEndDate]]),0,IF(MEMBERS[[#This Row],[ServiceStartDate]]&lt;MEMBERS[[#This Row],[ServiceEndDate]],0,1))</f>
        <v>0</v>
      </c>
      <c r="G670" s="57" cm="1">
        <f t="array" aca="1" ref="G670" ca="1">IF(CELL("format",MEMBERS[[#This Row],[ServiceStartDate]])="D1",0,1)+IF(CELL("format",MEMBERS[[#This Row],[ServiceEndDate]])="D1",0,1)</f>
        <v>0</v>
      </c>
      <c r="H67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70" s="57">
        <f>IF(LEN(MEMBERS[[#This Row],[StaffMemberCode]])&lt;100,0,1)</f>
        <v>0</v>
      </c>
      <c r="J670" s="57">
        <f>IF(LEN(MEMBERS[[#This Row],[Title]])&lt;100,0,1)</f>
        <v>0</v>
      </c>
      <c r="K670" s="57">
        <f>COUNTBLANK(MEMBERS[[#This Row],[StaffMemberCode]:[ServiceStartDate]])+COUNTBLANK(MEMBERS[[#This Row],[Apprenticeship]]:MEMBERS[[#This Row],[StaffMemberEnabled]])+COUNTBLANK(MEMBERS[[#This Row],[GenderCode]]:MEMBERS[[#This Row],[Casual]])</f>
        <v>0</v>
      </c>
      <c r="L670" s="57">
        <f>IF(SUBSTITUTE(TEXT(MEMBERS[[#This Row],[StaffMemberCode]],10)," ","")=TEXT(MEMBERS[[#This Row],[StaffMemberCode]],10),0,1)</f>
        <v>0</v>
      </c>
      <c r="M670" s="57">
        <f ca="1">SUM(MEMBERS[[#This Row],[Duplicate NameService Start]:[Space in Code]])</f>
        <v>0</v>
      </c>
      <c r="O670" s="15">
        <v>91850051</v>
      </c>
      <c r="P670" s="15" t="s">
        <v>3410</v>
      </c>
      <c r="Q670" s="15" t="s">
        <v>3862</v>
      </c>
      <c r="R670" s="133" t="str">
        <f>MEMBERS[[#This Row],[FirstName]]&amp;" "&amp;MEMBERS[[#This Row],[LastName]]</f>
        <v>Sallyann McKeown</v>
      </c>
      <c r="S670" s="21">
        <v>45903</v>
      </c>
      <c r="U670" s="21">
        <v>29811</v>
      </c>
      <c r="V670" t="b">
        <v>0</v>
      </c>
      <c r="W670" t="b">
        <v>0</v>
      </c>
      <c r="X670" t="b">
        <v>0</v>
      </c>
      <c r="Y670" t="s">
        <v>2082</v>
      </c>
      <c r="Z670" t="b">
        <v>1</v>
      </c>
      <c r="AB670" t="s">
        <v>1571</v>
      </c>
      <c r="AC670" t="b">
        <v>0</v>
      </c>
    </row>
    <row r="671" spans="1:29" x14ac:dyDescent="0.3">
      <c r="A671" s="57" t="str">
        <f>MEMBERS[[#This Row],[Title]]&amp;MEMBERS[[#This Row],[ServiceStartDate]]</f>
        <v>Sally-Ann Spooner38870</v>
      </c>
      <c r="B671" s="57">
        <f>IF(COUNTIF(MEMBERS[NameServiceStart],MEMBERS[[#This Row],[NameServiceStart]])=1,0,1)</f>
        <v>0</v>
      </c>
      <c r="C671" s="57">
        <f>IF(COUNTIF(MEMBERS[StaffMemberCode],MEMBERS[[#This Row],[StaffMemberCode]])=1,0,1)</f>
        <v>0</v>
      </c>
      <c r="D671" s="57">
        <f>IF(ISBLANK(MEMBERS[[#This Row],[PayrollLocation]]),0,IF(COUNTIF(SCHOOLS[SchoolCode],MEMBERS[[#This Row],[PayrollLocation]])=1,0,1))</f>
        <v>0</v>
      </c>
      <c r="E671" s="57">
        <f>IF(MEMBERS[[#This Row],[AvailableToAllSchools]]=FALSE,IF(ISBLANK(MEMBERS[[#This Row],[SchoolCodes]]),1,0),IF(MEMBERS[[#This Row],[AvailableToAllSchools]]=TRUE,IF(ISBLANK(MEMBERS[[#This Row],[SchoolCodes]]),0,1)))</f>
        <v>0</v>
      </c>
      <c r="F671" s="57">
        <f>IF(ISBLANK(MEMBERS[[#This Row],[ServiceEndDate]]),0,IF(MEMBERS[[#This Row],[ServiceStartDate]]&lt;MEMBERS[[#This Row],[ServiceEndDate]],0,1))</f>
        <v>0</v>
      </c>
      <c r="G671" s="57" cm="1">
        <f t="array" aca="1" ref="G671" ca="1">IF(CELL("format",MEMBERS[[#This Row],[ServiceStartDate]])="D1",0,1)+IF(CELL("format",MEMBERS[[#This Row],[ServiceEndDate]])="D1",0,1)</f>
        <v>0</v>
      </c>
      <c r="H67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71" s="57">
        <f>IF(LEN(MEMBERS[[#This Row],[StaffMemberCode]])&lt;100,0,1)</f>
        <v>0</v>
      </c>
      <c r="J671" s="57">
        <f>IF(LEN(MEMBERS[[#This Row],[Title]])&lt;100,0,1)</f>
        <v>0</v>
      </c>
      <c r="K671" s="57">
        <f>COUNTBLANK(MEMBERS[[#This Row],[StaffMemberCode]:[ServiceStartDate]])+COUNTBLANK(MEMBERS[[#This Row],[Apprenticeship]]:MEMBERS[[#This Row],[StaffMemberEnabled]])+COUNTBLANK(MEMBERS[[#This Row],[GenderCode]]:MEMBERS[[#This Row],[Casual]])</f>
        <v>0</v>
      </c>
      <c r="L671" s="57">
        <f>IF(SUBSTITUTE(TEXT(MEMBERS[[#This Row],[StaffMemberCode]],10)," ","")=TEXT(MEMBERS[[#This Row],[StaffMemberCode]],10),0,1)</f>
        <v>0</v>
      </c>
      <c r="M671" s="57">
        <f ca="1">SUM(MEMBERS[[#This Row],[Duplicate NameService Start]:[Space in Code]])</f>
        <v>0</v>
      </c>
      <c r="O671" s="15">
        <v>91073648</v>
      </c>
      <c r="P671" s="15" t="s">
        <v>3411</v>
      </c>
      <c r="Q671" s="15" t="s">
        <v>3863</v>
      </c>
      <c r="R671" s="133" t="str">
        <f>MEMBERS[[#This Row],[FirstName]]&amp;" "&amp;MEMBERS[[#This Row],[LastName]]</f>
        <v>Sally-Ann Spooner</v>
      </c>
      <c r="S671" s="21">
        <v>38870</v>
      </c>
      <c r="U671" s="21">
        <v>24602</v>
      </c>
      <c r="V671" t="b">
        <v>0</v>
      </c>
      <c r="W671" t="b">
        <v>0</v>
      </c>
      <c r="X671" t="b">
        <v>0</v>
      </c>
      <c r="Y671" t="s">
        <v>2089</v>
      </c>
      <c r="Z671" t="b">
        <v>1</v>
      </c>
      <c r="AB671" t="s">
        <v>1571</v>
      </c>
      <c r="AC671" t="b">
        <v>0</v>
      </c>
    </row>
    <row r="672" spans="1:29" x14ac:dyDescent="0.3">
      <c r="A672" s="57" t="str">
        <f>MEMBERS[[#This Row],[Title]]&amp;MEMBERS[[#This Row],[ServiceStartDate]]</f>
        <v>Samantha Astill45173</v>
      </c>
      <c r="B672" s="57">
        <f>IF(COUNTIF(MEMBERS[NameServiceStart],MEMBERS[[#This Row],[NameServiceStart]])=1,0,1)</f>
        <v>0</v>
      </c>
      <c r="C672" s="57">
        <f>IF(COUNTIF(MEMBERS[StaffMemberCode],MEMBERS[[#This Row],[StaffMemberCode]])=1,0,1)</f>
        <v>0</v>
      </c>
      <c r="D672" s="57">
        <f>IF(ISBLANK(MEMBERS[[#This Row],[PayrollLocation]]),0,IF(COUNTIF(SCHOOLS[SchoolCode],MEMBERS[[#This Row],[PayrollLocation]])=1,0,1))</f>
        <v>0</v>
      </c>
      <c r="E672" s="57">
        <f>IF(MEMBERS[[#This Row],[AvailableToAllSchools]]=FALSE,IF(ISBLANK(MEMBERS[[#This Row],[SchoolCodes]]),1,0),IF(MEMBERS[[#This Row],[AvailableToAllSchools]]=TRUE,IF(ISBLANK(MEMBERS[[#This Row],[SchoolCodes]]),0,1)))</f>
        <v>0</v>
      </c>
      <c r="F672" s="57">
        <f>IF(ISBLANK(MEMBERS[[#This Row],[ServiceEndDate]]),0,IF(MEMBERS[[#This Row],[ServiceStartDate]]&lt;MEMBERS[[#This Row],[ServiceEndDate]],0,1))</f>
        <v>0</v>
      </c>
      <c r="G672" s="57" cm="1">
        <f t="array" aca="1" ref="G672" ca="1">IF(CELL("format",MEMBERS[[#This Row],[ServiceStartDate]])="D1",0,1)+IF(CELL("format",MEMBERS[[#This Row],[ServiceEndDate]])="D1",0,1)</f>
        <v>0</v>
      </c>
      <c r="H67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72" s="57">
        <f>IF(LEN(MEMBERS[[#This Row],[StaffMemberCode]])&lt;100,0,1)</f>
        <v>0</v>
      </c>
      <c r="J672" s="57">
        <f>IF(LEN(MEMBERS[[#This Row],[Title]])&lt;100,0,1)</f>
        <v>0</v>
      </c>
      <c r="K672" s="57">
        <f>COUNTBLANK(MEMBERS[[#This Row],[StaffMemberCode]:[ServiceStartDate]])+COUNTBLANK(MEMBERS[[#This Row],[Apprenticeship]]:MEMBERS[[#This Row],[StaffMemberEnabled]])+COUNTBLANK(MEMBERS[[#This Row],[GenderCode]]:MEMBERS[[#This Row],[Casual]])</f>
        <v>0</v>
      </c>
      <c r="L672" s="57">
        <f>IF(SUBSTITUTE(TEXT(MEMBERS[[#This Row],[StaffMemberCode]],10)," ","")=TEXT(MEMBERS[[#This Row],[StaffMemberCode]],10),0,1)</f>
        <v>0</v>
      </c>
      <c r="M672" s="57">
        <f ca="1">SUM(MEMBERS[[#This Row],[Duplicate NameService Start]:[Space in Code]])</f>
        <v>0</v>
      </c>
      <c r="O672" s="15">
        <v>10013090</v>
      </c>
      <c r="P672" s="15" t="s">
        <v>3412</v>
      </c>
      <c r="Q672" s="15" t="s">
        <v>4123</v>
      </c>
      <c r="R672" s="133" t="str">
        <f>MEMBERS[[#This Row],[FirstName]]&amp;" "&amp;MEMBERS[[#This Row],[LastName]]</f>
        <v>Samantha Astill</v>
      </c>
      <c r="S672" s="21">
        <v>45173</v>
      </c>
      <c r="U672" s="21">
        <v>31719</v>
      </c>
      <c r="V672" s="138" t="b">
        <v>0</v>
      </c>
      <c r="W672" t="b">
        <v>0</v>
      </c>
      <c r="X672" t="b">
        <v>0</v>
      </c>
      <c r="Y672" t="s">
        <v>2126</v>
      </c>
      <c r="Z672" t="b">
        <v>1</v>
      </c>
      <c r="AB672" t="s">
        <v>1571</v>
      </c>
      <c r="AC672" t="b">
        <v>0</v>
      </c>
    </row>
    <row r="673" spans="1:29" x14ac:dyDescent="0.3">
      <c r="A673" s="57" t="str">
        <f>MEMBERS[[#This Row],[Title]]&amp;MEMBERS[[#This Row],[ServiceStartDate]]</f>
        <v>Samantha Cooney42013</v>
      </c>
      <c r="B673" s="57">
        <f>IF(COUNTIF(MEMBERS[NameServiceStart],MEMBERS[[#This Row],[NameServiceStart]])=1,0,1)</f>
        <v>0</v>
      </c>
      <c r="C673" s="57">
        <f>IF(COUNTIF(MEMBERS[StaffMemberCode],MEMBERS[[#This Row],[StaffMemberCode]])=1,0,1)</f>
        <v>0</v>
      </c>
      <c r="D673" s="57">
        <f>IF(ISBLANK(MEMBERS[[#This Row],[PayrollLocation]]),0,IF(COUNTIF(SCHOOLS[SchoolCode],MEMBERS[[#This Row],[PayrollLocation]])=1,0,1))</f>
        <v>0</v>
      </c>
      <c r="E673" s="57">
        <f>IF(MEMBERS[[#This Row],[AvailableToAllSchools]]=FALSE,IF(ISBLANK(MEMBERS[[#This Row],[SchoolCodes]]),1,0),IF(MEMBERS[[#This Row],[AvailableToAllSchools]]=TRUE,IF(ISBLANK(MEMBERS[[#This Row],[SchoolCodes]]),0,1)))</f>
        <v>0</v>
      </c>
      <c r="F673" s="57">
        <f>IF(ISBLANK(MEMBERS[[#This Row],[ServiceEndDate]]),0,IF(MEMBERS[[#This Row],[ServiceStartDate]]&lt;MEMBERS[[#This Row],[ServiceEndDate]],0,1))</f>
        <v>0</v>
      </c>
      <c r="G673" s="57" cm="1">
        <f t="array" aca="1" ref="G673" ca="1">IF(CELL("format",MEMBERS[[#This Row],[ServiceStartDate]])="D1",0,1)+IF(CELL("format",MEMBERS[[#This Row],[ServiceEndDate]])="D1",0,1)</f>
        <v>0</v>
      </c>
      <c r="H67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73" s="57">
        <f>IF(LEN(MEMBERS[[#This Row],[StaffMemberCode]])&lt;100,0,1)</f>
        <v>0</v>
      </c>
      <c r="J673" s="57">
        <f>IF(LEN(MEMBERS[[#This Row],[Title]])&lt;100,0,1)</f>
        <v>0</v>
      </c>
      <c r="K673" s="57">
        <f>COUNTBLANK(MEMBERS[[#This Row],[StaffMemberCode]:[ServiceStartDate]])+COUNTBLANK(MEMBERS[[#This Row],[Apprenticeship]]:MEMBERS[[#This Row],[StaffMemberEnabled]])+COUNTBLANK(MEMBERS[[#This Row],[GenderCode]]:MEMBERS[[#This Row],[Casual]])</f>
        <v>0</v>
      </c>
      <c r="L673" s="57">
        <f>IF(SUBSTITUTE(TEXT(MEMBERS[[#This Row],[StaffMemberCode]],10)," ","")=TEXT(MEMBERS[[#This Row],[StaffMemberCode]],10),0,1)</f>
        <v>0</v>
      </c>
      <c r="M673" s="57">
        <f ca="1">SUM(MEMBERS[[#This Row],[Duplicate NameService Start]:[Space in Code]])</f>
        <v>0</v>
      </c>
      <c r="O673" s="15">
        <v>91073573</v>
      </c>
      <c r="P673" s="15" t="s">
        <v>3412</v>
      </c>
      <c r="Q673" s="15" t="s">
        <v>3543</v>
      </c>
      <c r="R673" s="133" t="str">
        <f>MEMBERS[[#This Row],[FirstName]]&amp;" "&amp;MEMBERS[[#This Row],[LastName]]</f>
        <v>Samantha Cooney</v>
      </c>
      <c r="S673" s="21">
        <v>42013</v>
      </c>
      <c r="U673" s="21">
        <v>31706</v>
      </c>
      <c r="V673" t="b">
        <v>0</v>
      </c>
      <c r="W673" t="b">
        <v>0</v>
      </c>
      <c r="X673" t="b">
        <v>0</v>
      </c>
      <c r="Y673" t="s">
        <v>2094</v>
      </c>
      <c r="Z673" t="b">
        <v>1</v>
      </c>
      <c r="AB673" t="s">
        <v>1571</v>
      </c>
      <c r="AC673" t="b">
        <v>0</v>
      </c>
    </row>
    <row r="674" spans="1:29" x14ac:dyDescent="0.3">
      <c r="A674" s="57" t="str">
        <f>MEMBERS[[#This Row],[Title]]&amp;MEMBERS[[#This Row],[ServiceStartDate]]</f>
        <v>Samantha Coppenhall45292</v>
      </c>
      <c r="B674" s="57">
        <f>IF(COUNTIF(MEMBERS[NameServiceStart],MEMBERS[[#This Row],[NameServiceStart]])=1,0,1)</f>
        <v>0</v>
      </c>
      <c r="C674" s="57">
        <f>IF(COUNTIF(MEMBERS[StaffMemberCode],MEMBERS[[#This Row],[StaffMemberCode]])=1,0,1)</f>
        <v>0</v>
      </c>
      <c r="D674" s="57">
        <f>IF(ISBLANK(MEMBERS[[#This Row],[PayrollLocation]]),0,IF(COUNTIF(SCHOOLS[SchoolCode],MEMBERS[[#This Row],[PayrollLocation]])=1,0,1))</f>
        <v>0</v>
      </c>
      <c r="E674" s="57">
        <f>IF(MEMBERS[[#This Row],[AvailableToAllSchools]]=FALSE,IF(ISBLANK(MEMBERS[[#This Row],[SchoolCodes]]),1,0),IF(MEMBERS[[#This Row],[AvailableToAllSchools]]=TRUE,IF(ISBLANK(MEMBERS[[#This Row],[SchoolCodes]]),0,1)))</f>
        <v>0</v>
      </c>
      <c r="F674" s="57">
        <f>IF(ISBLANK(MEMBERS[[#This Row],[ServiceEndDate]]),0,IF(MEMBERS[[#This Row],[ServiceStartDate]]&lt;MEMBERS[[#This Row],[ServiceEndDate]],0,1))</f>
        <v>0</v>
      </c>
      <c r="G674" s="57" cm="1">
        <f t="array" aca="1" ref="G674" ca="1">IF(CELL("format",MEMBERS[[#This Row],[ServiceStartDate]])="D1",0,1)+IF(CELL("format",MEMBERS[[#This Row],[ServiceEndDate]])="D1",0,1)</f>
        <v>0</v>
      </c>
      <c r="H67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74" s="57">
        <f>IF(LEN(MEMBERS[[#This Row],[StaffMemberCode]])&lt;100,0,1)</f>
        <v>0</v>
      </c>
      <c r="J674" s="57">
        <f>IF(LEN(MEMBERS[[#This Row],[Title]])&lt;100,0,1)</f>
        <v>0</v>
      </c>
      <c r="K674" s="57">
        <f>COUNTBLANK(MEMBERS[[#This Row],[StaffMemberCode]:[ServiceStartDate]])+COUNTBLANK(MEMBERS[[#This Row],[Apprenticeship]]:MEMBERS[[#This Row],[StaffMemberEnabled]])+COUNTBLANK(MEMBERS[[#This Row],[GenderCode]]:MEMBERS[[#This Row],[Casual]])</f>
        <v>0</v>
      </c>
      <c r="L674" s="57">
        <f>IF(SUBSTITUTE(TEXT(MEMBERS[[#This Row],[StaffMemberCode]],10)," ","")=TEXT(MEMBERS[[#This Row],[StaffMemberCode]],10),0,1)</f>
        <v>0</v>
      </c>
      <c r="M674" s="57">
        <f ca="1">SUM(MEMBERS[[#This Row],[Duplicate NameService Start]:[Space in Code]])</f>
        <v>0</v>
      </c>
      <c r="O674" s="15">
        <v>10013282</v>
      </c>
      <c r="P674" s="15" t="s">
        <v>3412</v>
      </c>
      <c r="Q674" s="15" t="s">
        <v>4124</v>
      </c>
      <c r="R674" s="133" t="str">
        <f>MEMBERS[[#This Row],[FirstName]]&amp;" "&amp;MEMBERS[[#This Row],[LastName]]</f>
        <v>Samantha Coppenhall</v>
      </c>
      <c r="S674" s="21">
        <v>45292</v>
      </c>
      <c r="U674" s="21">
        <v>32966</v>
      </c>
      <c r="V674" s="138" t="b">
        <v>0</v>
      </c>
      <c r="W674" t="b">
        <v>0</v>
      </c>
      <c r="X674" t="b">
        <v>0</v>
      </c>
      <c r="Y674" t="s">
        <v>2126</v>
      </c>
      <c r="Z674" t="b">
        <v>1</v>
      </c>
      <c r="AB674" t="s">
        <v>1571</v>
      </c>
      <c r="AC674" t="b">
        <v>0</v>
      </c>
    </row>
    <row r="675" spans="1:29" x14ac:dyDescent="0.3">
      <c r="A675" s="57" t="str">
        <f>MEMBERS[[#This Row],[Title]]&amp;MEMBERS[[#This Row],[ServiceStartDate]]</f>
        <v>Samantha Davies45296</v>
      </c>
      <c r="B675" s="57">
        <f>IF(COUNTIF(MEMBERS[NameServiceStart],MEMBERS[[#This Row],[NameServiceStart]])=1,0,1)</f>
        <v>0</v>
      </c>
      <c r="C675" s="57">
        <f>IF(COUNTIF(MEMBERS[StaffMemberCode],MEMBERS[[#This Row],[StaffMemberCode]])=1,0,1)</f>
        <v>0</v>
      </c>
      <c r="D675" s="57">
        <f>IF(ISBLANK(MEMBERS[[#This Row],[PayrollLocation]]),0,IF(COUNTIF(SCHOOLS[SchoolCode],MEMBERS[[#This Row],[PayrollLocation]])=1,0,1))</f>
        <v>0</v>
      </c>
      <c r="E675" s="57">
        <f>IF(MEMBERS[[#This Row],[AvailableToAllSchools]]=FALSE,IF(ISBLANK(MEMBERS[[#This Row],[SchoolCodes]]),1,0),IF(MEMBERS[[#This Row],[AvailableToAllSchools]]=TRUE,IF(ISBLANK(MEMBERS[[#This Row],[SchoolCodes]]),0,1)))</f>
        <v>0</v>
      </c>
      <c r="F675" s="57">
        <f>IF(ISBLANK(MEMBERS[[#This Row],[ServiceEndDate]]),0,IF(MEMBERS[[#This Row],[ServiceStartDate]]&lt;MEMBERS[[#This Row],[ServiceEndDate]],0,1))</f>
        <v>0</v>
      </c>
      <c r="G675" s="57" cm="1">
        <f t="array" aca="1" ref="G675" ca="1">IF(CELL("format",MEMBERS[[#This Row],[ServiceStartDate]])="D1",0,1)+IF(CELL("format",MEMBERS[[#This Row],[ServiceEndDate]])="D1",0,1)</f>
        <v>0</v>
      </c>
      <c r="H67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75" s="57">
        <f>IF(LEN(MEMBERS[[#This Row],[StaffMemberCode]])&lt;100,0,1)</f>
        <v>0</v>
      </c>
      <c r="J675" s="57">
        <f>IF(LEN(MEMBERS[[#This Row],[Title]])&lt;100,0,1)</f>
        <v>0</v>
      </c>
      <c r="K675" s="57">
        <f>COUNTBLANK(MEMBERS[[#This Row],[StaffMemberCode]:[ServiceStartDate]])+COUNTBLANK(MEMBERS[[#This Row],[Apprenticeship]]:MEMBERS[[#This Row],[StaffMemberEnabled]])+COUNTBLANK(MEMBERS[[#This Row],[GenderCode]]:MEMBERS[[#This Row],[Casual]])</f>
        <v>0</v>
      </c>
      <c r="L675" s="57">
        <f>IF(SUBSTITUTE(TEXT(MEMBERS[[#This Row],[StaffMemberCode]],10)," ","")=TEXT(MEMBERS[[#This Row],[StaffMemberCode]],10),0,1)</f>
        <v>0</v>
      </c>
      <c r="M675" s="57">
        <f ca="1">SUM(MEMBERS[[#This Row],[Duplicate NameService Start]:[Space in Code]])</f>
        <v>0</v>
      </c>
      <c r="O675" s="15">
        <v>91073659</v>
      </c>
      <c r="P675" s="15" t="s">
        <v>3412</v>
      </c>
      <c r="Q675" s="15" t="s">
        <v>3864</v>
      </c>
      <c r="R675" s="133" t="str">
        <f>MEMBERS[[#This Row],[FirstName]]&amp;" "&amp;MEMBERS[[#This Row],[LastName]]</f>
        <v>Samantha Davies</v>
      </c>
      <c r="S675" s="21">
        <v>45296</v>
      </c>
      <c r="U675" s="21">
        <v>26660</v>
      </c>
      <c r="V675" t="b">
        <v>0</v>
      </c>
      <c r="W675" t="b">
        <v>0</v>
      </c>
      <c r="X675" t="b">
        <v>0</v>
      </c>
      <c r="Y675" t="s">
        <v>2089</v>
      </c>
      <c r="Z675" t="b">
        <v>1</v>
      </c>
      <c r="AB675" t="s">
        <v>1571</v>
      </c>
      <c r="AC675" t="b">
        <v>0</v>
      </c>
    </row>
    <row r="676" spans="1:29" x14ac:dyDescent="0.3">
      <c r="A676" s="57" t="str">
        <f>MEMBERS[[#This Row],[Title]]&amp;MEMBERS[[#This Row],[ServiceStartDate]]</f>
        <v>Samantha Heaton43961</v>
      </c>
      <c r="B676" s="57">
        <f>IF(COUNTIF(MEMBERS[NameServiceStart],MEMBERS[[#This Row],[NameServiceStart]])=1,0,1)</f>
        <v>0</v>
      </c>
      <c r="C676" s="57">
        <f>IF(COUNTIF(MEMBERS[StaffMemberCode],MEMBERS[[#This Row],[StaffMemberCode]])=1,0,1)</f>
        <v>0</v>
      </c>
      <c r="D676" s="57">
        <f>IF(ISBLANK(MEMBERS[[#This Row],[PayrollLocation]]),0,IF(COUNTIF(SCHOOLS[SchoolCode],MEMBERS[[#This Row],[PayrollLocation]])=1,0,1))</f>
        <v>0</v>
      </c>
      <c r="E676" s="57">
        <f>IF(MEMBERS[[#This Row],[AvailableToAllSchools]]=FALSE,IF(ISBLANK(MEMBERS[[#This Row],[SchoolCodes]]),1,0),IF(MEMBERS[[#This Row],[AvailableToAllSchools]]=TRUE,IF(ISBLANK(MEMBERS[[#This Row],[SchoolCodes]]),0,1)))</f>
        <v>0</v>
      </c>
      <c r="F676" s="57">
        <f>IF(ISBLANK(MEMBERS[[#This Row],[ServiceEndDate]]),0,IF(MEMBERS[[#This Row],[ServiceStartDate]]&lt;MEMBERS[[#This Row],[ServiceEndDate]],0,1))</f>
        <v>0</v>
      </c>
      <c r="G676" s="57" cm="1">
        <f t="array" aca="1" ref="G676" ca="1">IF(CELL("format",MEMBERS[[#This Row],[ServiceStartDate]])="D1",0,1)+IF(CELL("format",MEMBERS[[#This Row],[ServiceEndDate]])="D1",0,1)</f>
        <v>0</v>
      </c>
      <c r="H67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76" s="57">
        <f>IF(LEN(MEMBERS[[#This Row],[StaffMemberCode]])&lt;100,0,1)</f>
        <v>0</v>
      </c>
      <c r="J676" s="57">
        <f>IF(LEN(MEMBERS[[#This Row],[Title]])&lt;100,0,1)</f>
        <v>0</v>
      </c>
      <c r="K676" s="57">
        <f>COUNTBLANK(MEMBERS[[#This Row],[StaffMemberCode]:[ServiceStartDate]])+COUNTBLANK(MEMBERS[[#This Row],[Apprenticeship]]:MEMBERS[[#This Row],[StaffMemberEnabled]])+COUNTBLANK(MEMBERS[[#This Row],[GenderCode]]:MEMBERS[[#This Row],[Casual]])</f>
        <v>0</v>
      </c>
      <c r="L676" s="57">
        <f>IF(SUBSTITUTE(TEXT(MEMBERS[[#This Row],[StaffMemberCode]],10)," ","")=TEXT(MEMBERS[[#This Row],[StaffMemberCode]],10),0,1)</f>
        <v>0</v>
      </c>
      <c r="M676" s="57">
        <f ca="1">SUM(MEMBERS[[#This Row],[Duplicate NameService Start]:[Space in Code]])</f>
        <v>0</v>
      </c>
      <c r="O676" s="15">
        <v>91073512</v>
      </c>
      <c r="P676" s="15" t="s">
        <v>3412</v>
      </c>
      <c r="Q676" s="15" t="s">
        <v>3865</v>
      </c>
      <c r="R676" s="133" t="str">
        <f>MEMBERS[[#This Row],[FirstName]]&amp;" "&amp;MEMBERS[[#This Row],[LastName]]</f>
        <v>Samantha Heaton</v>
      </c>
      <c r="S676" s="21">
        <v>43961</v>
      </c>
      <c r="U676" s="21">
        <v>25718</v>
      </c>
      <c r="V676" t="b">
        <v>0</v>
      </c>
      <c r="W676" t="b">
        <v>0</v>
      </c>
      <c r="X676" t="b">
        <v>0</v>
      </c>
      <c r="Y676" t="s">
        <v>2094</v>
      </c>
      <c r="Z676" t="b">
        <v>1</v>
      </c>
      <c r="AB676" t="s">
        <v>1571</v>
      </c>
      <c r="AC676" t="b">
        <v>0</v>
      </c>
    </row>
    <row r="677" spans="1:29" x14ac:dyDescent="0.3">
      <c r="A677" s="57" t="str">
        <f>MEMBERS[[#This Row],[Title]]&amp;MEMBERS[[#This Row],[ServiceStartDate]]</f>
        <v>Samantha Hornby44693</v>
      </c>
      <c r="B677" s="57">
        <f>IF(COUNTIF(MEMBERS[NameServiceStart],MEMBERS[[#This Row],[NameServiceStart]])=1,0,1)</f>
        <v>0</v>
      </c>
      <c r="C677" s="57">
        <f>IF(COUNTIF(MEMBERS[StaffMemberCode],MEMBERS[[#This Row],[StaffMemberCode]])=1,0,1)</f>
        <v>0</v>
      </c>
      <c r="D677" s="57">
        <f>IF(ISBLANK(MEMBERS[[#This Row],[PayrollLocation]]),0,IF(COUNTIF(SCHOOLS[SchoolCode],MEMBERS[[#This Row],[PayrollLocation]])=1,0,1))</f>
        <v>0</v>
      </c>
      <c r="E677" s="57">
        <f>IF(MEMBERS[[#This Row],[AvailableToAllSchools]]=FALSE,IF(ISBLANK(MEMBERS[[#This Row],[SchoolCodes]]),1,0),IF(MEMBERS[[#This Row],[AvailableToAllSchools]]=TRUE,IF(ISBLANK(MEMBERS[[#This Row],[SchoolCodes]]),0,1)))</f>
        <v>0</v>
      </c>
      <c r="F677" s="57">
        <f>IF(ISBLANK(MEMBERS[[#This Row],[ServiceEndDate]]),0,IF(MEMBERS[[#This Row],[ServiceStartDate]]&lt;MEMBERS[[#This Row],[ServiceEndDate]],0,1))</f>
        <v>0</v>
      </c>
      <c r="G677" s="57" cm="1">
        <f t="array" aca="1" ref="G677" ca="1">IF(CELL("format",MEMBERS[[#This Row],[ServiceStartDate]])="D1",0,1)+IF(CELL("format",MEMBERS[[#This Row],[ServiceEndDate]])="D1",0,1)</f>
        <v>0</v>
      </c>
      <c r="H67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77" s="57">
        <f>IF(LEN(MEMBERS[[#This Row],[StaffMemberCode]])&lt;100,0,1)</f>
        <v>0</v>
      </c>
      <c r="J677" s="57">
        <f>IF(LEN(MEMBERS[[#This Row],[Title]])&lt;100,0,1)</f>
        <v>0</v>
      </c>
      <c r="K677" s="57">
        <f>COUNTBLANK(MEMBERS[[#This Row],[StaffMemberCode]:[ServiceStartDate]])+COUNTBLANK(MEMBERS[[#This Row],[Apprenticeship]]:MEMBERS[[#This Row],[StaffMemberEnabled]])+COUNTBLANK(MEMBERS[[#This Row],[GenderCode]]:MEMBERS[[#This Row],[Casual]])</f>
        <v>0</v>
      </c>
      <c r="L677" s="57">
        <f>IF(SUBSTITUTE(TEXT(MEMBERS[[#This Row],[StaffMemberCode]],10)," ","")=TEXT(MEMBERS[[#This Row],[StaffMemberCode]],10),0,1)</f>
        <v>0</v>
      </c>
      <c r="M677" s="57">
        <f ca="1">SUM(MEMBERS[[#This Row],[Duplicate NameService Start]:[Space in Code]])</f>
        <v>0</v>
      </c>
      <c r="O677" s="15">
        <v>91073430</v>
      </c>
      <c r="P677" s="15" t="s">
        <v>3412</v>
      </c>
      <c r="Q677" s="15" t="s">
        <v>3866</v>
      </c>
      <c r="R677" s="133" t="str">
        <f>MEMBERS[[#This Row],[FirstName]]&amp;" "&amp;MEMBERS[[#This Row],[LastName]]</f>
        <v>Samantha Hornby</v>
      </c>
      <c r="S677" s="21">
        <v>44693</v>
      </c>
      <c r="U677" s="21">
        <v>26461</v>
      </c>
      <c r="V677" t="b">
        <v>0</v>
      </c>
      <c r="W677" t="b">
        <v>0</v>
      </c>
      <c r="X677" t="b">
        <v>0</v>
      </c>
      <c r="Y677" t="s">
        <v>2275</v>
      </c>
      <c r="Z677" t="b">
        <v>1</v>
      </c>
      <c r="AB677" t="s">
        <v>1571</v>
      </c>
      <c r="AC677" t="b">
        <v>1</v>
      </c>
    </row>
    <row r="678" spans="1:29" x14ac:dyDescent="0.3">
      <c r="A678" s="57" t="str">
        <f>MEMBERS[[#This Row],[Title]]&amp;MEMBERS[[#This Row],[ServiceStartDate]]</f>
        <v>Samantha Ryles39822</v>
      </c>
      <c r="B678" s="57">
        <f>IF(COUNTIF(MEMBERS[NameServiceStart],MEMBERS[[#This Row],[NameServiceStart]])=1,0,1)</f>
        <v>0</v>
      </c>
      <c r="C678" s="57">
        <f>IF(COUNTIF(MEMBERS[StaffMemberCode],MEMBERS[[#This Row],[StaffMemberCode]])=1,0,1)</f>
        <v>0</v>
      </c>
      <c r="D678" s="57">
        <f>IF(ISBLANK(MEMBERS[[#This Row],[PayrollLocation]]),0,IF(COUNTIF(SCHOOLS[SchoolCode],MEMBERS[[#This Row],[PayrollLocation]])=1,0,1))</f>
        <v>0</v>
      </c>
      <c r="E678" s="57">
        <f>IF(MEMBERS[[#This Row],[AvailableToAllSchools]]=FALSE,IF(ISBLANK(MEMBERS[[#This Row],[SchoolCodes]]),1,0),IF(MEMBERS[[#This Row],[AvailableToAllSchools]]=TRUE,IF(ISBLANK(MEMBERS[[#This Row],[SchoolCodes]]),0,1)))</f>
        <v>0</v>
      </c>
      <c r="F678" s="57">
        <f>IF(ISBLANK(MEMBERS[[#This Row],[ServiceEndDate]]),0,IF(MEMBERS[[#This Row],[ServiceStartDate]]&lt;MEMBERS[[#This Row],[ServiceEndDate]],0,1))</f>
        <v>0</v>
      </c>
      <c r="G678" s="57" cm="1">
        <f t="array" aca="1" ref="G678" ca="1">IF(CELL("format",MEMBERS[[#This Row],[ServiceStartDate]])="D1",0,1)+IF(CELL("format",MEMBERS[[#This Row],[ServiceEndDate]])="D1",0,1)</f>
        <v>0</v>
      </c>
      <c r="H67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78" s="57">
        <f>IF(LEN(MEMBERS[[#This Row],[StaffMemberCode]])&lt;100,0,1)</f>
        <v>0</v>
      </c>
      <c r="J678" s="57">
        <f>IF(LEN(MEMBERS[[#This Row],[Title]])&lt;100,0,1)</f>
        <v>0</v>
      </c>
      <c r="K678" s="57">
        <f>COUNTBLANK(MEMBERS[[#This Row],[StaffMemberCode]:[ServiceStartDate]])+COUNTBLANK(MEMBERS[[#This Row],[Apprenticeship]]:MEMBERS[[#This Row],[StaffMemberEnabled]])+COUNTBLANK(MEMBERS[[#This Row],[GenderCode]]:MEMBERS[[#This Row],[Casual]])</f>
        <v>0</v>
      </c>
      <c r="L678" s="57">
        <f>IF(SUBSTITUTE(TEXT(MEMBERS[[#This Row],[StaffMemberCode]],10)," ","")=TEXT(MEMBERS[[#This Row],[StaffMemberCode]],10),0,1)</f>
        <v>0</v>
      </c>
      <c r="M678" s="57">
        <f ca="1">SUM(MEMBERS[[#This Row],[Duplicate NameService Start]:[Space in Code]])</f>
        <v>0</v>
      </c>
      <c r="O678" s="15">
        <v>91073925</v>
      </c>
      <c r="P678" s="15" t="s">
        <v>3412</v>
      </c>
      <c r="Q678" s="15" t="s">
        <v>3867</v>
      </c>
      <c r="R678" s="133" t="str">
        <f>MEMBERS[[#This Row],[FirstName]]&amp;" "&amp;MEMBERS[[#This Row],[LastName]]</f>
        <v>Samantha Ryles</v>
      </c>
      <c r="S678" s="21">
        <v>39822</v>
      </c>
      <c r="U678" s="21">
        <v>26589</v>
      </c>
      <c r="V678" t="b">
        <v>0</v>
      </c>
      <c r="W678" t="b">
        <v>0</v>
      </c>
      <c r="X678" t="b">
        <v>0</v>
      </c>
      <c r="Y678" t="s">
        <v>2299</v>
      </c>
      <c r="Z678" t="b">
        <v>1</v>
      </c>
      <c r="AB678" t="s">
        <v>1571</v>
      </c>
      <c r="AC678" t="b">
        <v>0</v>
      </c>
    </row>
    <row r="679" spans="1:29" x14ac:dyDescent="0.3">
      <c r="A679" s="57" t="str">
        <f>MEMBERS[[#This Row],[Title]]&amp;MEMBERS[[#This Row],[ServiceStartDate]]</f>
        <v>Samantha Ward42249</v>
      </c>
      <c r="B679" s="57">
        <f>IF(COUNTIF(MEMBERS[NameServiceStart],MEMBERS[[#This Row],[NameServiceStart]])=1,0,1)</f>
        <v>0</v>
      </c>
      <c r="C679" s="57">
        <f>IF(COUNTIF(MEMBERS[StaffMemberCode],MEMBERS[[#This Row],[StaffMemberCode]])=1,0,1)</f>
        <v>0</v>
      </c>
      <c r="D679" s="57">
        <f>IF(ISBLANK(MEMBERS[[#This Row],[PayrollLocation]]),0,IF(COUNTIF(SCHOOLS[SchoolCode],MEMBERS[[#This Row],[PayrollLocation]])=1,0,1))</f>
        <v>0</v>
      </c>
      <c r="E679" s="57">
        <f>IF(MEMBERS[[#This Row],[AvailableToAllSchools]]=FALSE,IF(ISBLANK(MEMBERS[[#This Row],[SchoolCodes]]),1,0),IF(MEMBERS[[#This Row],[AvailableToAllSchools]]=TRUE,IF(ISBLANK(MEMBERS[[#This Row],[SchoolCodes]]),0,1)))</f>
        <v>0</v>
      </c>
      <c r="F679" s="57">
        <f>IF(ISBLANK(MEMBERS[[#This Row],[ServiceEndDate]]),0,IF(MEMBERS[[#This Row],[ServiceStartDate]]&lt;MEMBERS[[#This Row],[ServiceEndDate]],0,1))</f>
        <v>0</v>
      </c>
      <c r="G679" s="57" cm="1">
        <f t="array" aca="1" ref="G679" ca="1">IF(CELL("format",MEMBERS[[#This Row],[ServiceStartDate]])="D1",0,1)+IF(CELL("format",MEMBERS[[#This Row],[ServiceEndDate]])="D1",0,1)</f>
        <v>0</v>
      </c>
      <c r="H67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79" s="57">
        <f>IF(LEN(MEMBERS[[#This Row],[StaffMemberCode]])&lt;100,0,1)</f>
        <v>0</v>
      </c>
      <c r="J679" s="57">
        <f>IF(LEN(MEMBERS[[#This Row],[Title]])&lt;100,0,1)</f>
        <v>0</v>
      </c>
      <c r="K679" s="57">
        <f>COUNTBLANK(MEMBERS[[#This Row],[StaffMemberCode]:[ServiceStartDate]])+COUNTBLANK(MEMBERS[[#This Row],[Apprenticeship]]:MEMBERS[[#This Row],[StaffMemberEnabled]])+COUNTBLANK(MEMBERS[[#This Row],[GenderCode]]:MEMBERS[[#This Row],[Casual]])</f>
        <v>0</v>
      </c>
      <c r="L679" s="57">
        <f>IF(SUBSTITUTE(TEXT(MEMBERS[[#This Row],[StaffMemberCode]],10)," ","")=TEXT(MEMBERS[[#This Row],[StaffMemberCode]],10),0,1)</f>
        <v>0</v>
      </c>
      <c r="M679" s="57">
        <f ca="1">SUM(MEMBERS[[#This Row],[Duplicate NameService Start]:[Space in Code]])</f>
        <v>0</v>
      </c>
      <c r="O679" s="15">
        <v>91073884</v>
      </c>
      <c r="P679" s="15" t="s">
        <v>3412</v>
      </c>
      <c r="Q679" s="15" t="s">
        <v>3868</v>
      </c>
      <c r="R679" s="133" t="str">
        <f>MEMBERS[[#This Row],[FirstName]]&amp;" "&amp;MEMBERS[[#This Row],[LastName]]</f>
        <v>Samantha Ward</v>
      </c>
      <c r="S679" s="21">
        <v>42249</v>
      </c>
      <c r="U679" s="21">
        <v>28958</v>
      </c>
      <c r="V679" t="b">
        <v>0</v>
      </c>
      <c r="W679" t="b">
        <v>0</v>
      </c>
      <c r="X679" t="b">
        <v>0</v>
      </c>
      <c r="Y679" t="s">
        <v>2266</v>
      </c>
      <c r="Z679" t="b">
        <v>1</v>
      </c>
      <c r="AB679" t="s">
        <v>1571</v>
      </c>
      <c r="AC679" t="b">
        <v>0</v>
      </c>
    </row>
    <row r="680" spans="1:29" x14ac:dyDescent="0.3">
      <c r="A680" s="57" t="str">
        <f>MEMBERS[[#This Row],[Title]]&amp;MEMBERS[[#This Row],[ServiceStartDate]]</f>
        <v>Samantha Whittingham45901</v>
      </c>
      <c r="B680" s="57">
        <f>IF(COUNTIF(MEMBERS[NameServiceStart],MEMBERS[[#This Row],[NameServiceStart]])=1,0,1)</f>
        <v>0</v>
      </c>
      <c r="C680" s="57">
        <f>IF(COUNTIF(MEMBERS[StaffMemberCode],MEMBERS[[#This Row],[StaffMemberCode]])=1,0,1)</f>
        <v>0</v>
      </c>
      <c r="D680" s="57">
        <f>IF(ISBLANK(MEMBERS[[#This Row],[PayrollLocation]]),0,IF(COUNTIF(SCHOOLS[SchoolCode],MEMBERS[[#This Row],[PayrollLocation]])=1,0,1))</f>
        <v>0</v>
      </c>
      <c r="E680" s="57">
        <f>IF(MEMBERS[[#This Row],[AvailableToAllSchools]]=FALSE,IF(ISBLANK(MEMBERS[[#This Row],[SchoolCodes]]),1,0),IF(MEMBERS[[#This Row],[AvailableToAllSchools]]=TRUE,IF(ISBLANK(MEMBERS[[#This Row],[SchoolCodes]]),0,1)))</f>
        <v>0</v>
      </c>
      <c r="F680" s="57">
        <f>IF(ISBLANK(MEMBERS[[#This Row],[ServiceEndDate]]),0,IF(MEMBERS[[#This Row],[ServiceStartDate]]&lt;MEMBERS[[#This Row],[ServiceEndDate]],0,1))</f>
        <v>0</v>
      </c>
      <c r="G680" s="57" cm="1">
        <f t="array" aca="1" ref="G680" ca="1">IF(CELL("format",MEMBERS[[#This Row],[ServiceStartDate]])="D1",0,1)+IF(CELL("format",MEMBERS[[#This Row],[ServiceEndDate]])="D1",0,1)</f>
        <v>0</v>
      </c>
      <c r="H68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80" s="57">
        <f>IF(LEN(MEMBERS[[#This Row],[StaffMemberCode]])&lt;100,0,1)</f>
        <v>0</v>
      </c>
      <c r="J680" s="57">
        <f>IF(LEN(MEMBERS[[#This Row],[Title]])&lt;100,0,1)</f>
        <v>0</v>
      </c>
      <c r="K680" s="57">
        <f>COUNTBLANK(MEMBERS[[#This Row],[StaffMemberCode]:[ServiceStartDate]])+COUNTBLANK(MEMBERS[[#This Row],[Apprenticeship]]:MEMBERS[[#This Row],[StaffMemberEnabled]])+COUNTBLANK(MEMBERS[[#This Row],[GenderCode]]:MEMBERS[[#This Row],[Casual]])</f>
        <v>0</v>
      </c>
      <c r="L680" s="57">
        <f>IF(SUBSTITUTE(TEXT(MEMBERS[[#This Row],[StaffMemberCode]],10)," ","")=TEXT(MEMBERS[[#This Row],[StaffMemberCode]],10),0,1)</f>
        <v>0</v>
      </c>
      <c r="M680" s="57">
        <f ca="1">SUM(MEMBERS[[#This Row],[Duplicate NameService Start]:[Space in Code]])</f>
        <v>0</v>
      </c>
      <c r="O680" s="15">
        <v>91850036</v>
      </c>
      <c r="P680" s="15" t="s">
        <v>3412</v>
      </c>
      <c r="Q680" s="15" t="s">
        <v>3869</v>
      </c>
      <c r="R680" s="133" t="str">
        <f>MEMBERS[[#This Row],[FirstName]]&amp;" "&amp;MEMBERS[[#This Row],[LastName]]</f>
        <v>Samantha Whittingham</v>
      </c>
      <c r="S680" s="21">
        <v>45901</v>
      </c>
      <c r="U680" s="21">
        <v>30843</v>
      </c>
      <c r="V680" t="b">
        <v>0</v>
      </c>
      <c r="W680" t="b">
        <v>0</v>
      </c>
      <c r="X680" t="b">
        <v>0</v>
      </c>
      <c r="Y680" t="s">
        <v>2299</v>
      </c>
      <c r="Z680" t="b">
        <v>1</v>
      </c>
      <c r="AB680" t="s">
        <v>1571</v>
      </c>
      <c r="AC680" t="b">
        <v>0</v>
      </c>
    </row>
    <row r="681" spans="1:29" x14ac:dyDescent="0.3">
      <c r="A681" s="57" t="str">
        <f>MEMBERS[[#This Row],[Title]]&amp;MEMBERS[[#This Row],[ServiceStartDate]]</f>
        <v>Samudrika Costa41768</v>
      </c>
      <c r="B681" s="57">
        <f>IF(COUNTIF(MEMBERS[NameServiceStart],MEMBERS[[#This Row],[NameServiceStart]])=1,0,1)</f>
        <v>0</v>
      </c>
      <c r="C681" s="57">
        <f>IF(COUNTIF(MEMBERS[StaffMemberCode],MEMBERS[[#This Row],[StaffMemberCode]])=1,0,1)</f>
        <v>0</v>
      </c>
      <c r="D681" s="57">
        <f>IF(ISBLANK(MEMBERS[[#This Row],[PayrollLocation]]),0,IF(COUNTIF(SCHOOLS[SchoolCode],MEMBERS[[#This Row],[PayrollLocation]])=1,0,1))</f>
        <v>0</v>
      </c>
      <c r="E681" s="57">
        <f>IF(MEMBERS[[#This Row],[AvailableToAllSchools]]=FALSE,IF(ISBLANK(MEMBERS[[#This Row],[SchoolCodes]]),1,0),IF(MEMBERS[[#This Row],[AvailableToAllSchools]]=TRUE,IF(ISBLANK(MEMBERS[[#This Row],[SchoolCodes]]),0,1)))</f>
        <v>0</v>
      </c>
      <c r="F681" s="57">
        <f>IF(ISBLANK(MEMBERS[[#This Row],[ServiceEndDate]]),0,IF(MEMBERS[[#This Row],[ServiceStartDate]]&lt;MEMBERS[[#This Row],[ServiceEndDate]],0,1))</f>
        <v>0</v>
      </c>
      <c r="G681" s="57" cm="1">
        <f t="array" aca="1" ref="G681" ca="1">IF(CELL("format",MEMBERS[[#This Row],[ServiceStartDate]])="D1",0,1)+IF(CELL("format",MEMBERS[[#This Row],[ServiceEndDate]])="D1",0,1)</f>
        <v>0</v>
      </c>
      <c r="H68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81" s="57">
        <f>IF(LEN(MEMBERS[[#This Row],[StaffMemberCode]])&lt;100,0,1)</f>
        <v>0</v>
      </c>
      <c r="J681" s="57">
        <f>IF(LEN(MEMBERS[[#This Row],[Title]])&lt;100,0,1)</f>
        <v>0</v>
      </c>
      <c r="K681" s="57">
        <f>COUNTBLANK(MEMBERS[[#This Row],[StaffMemberCode]:[ServiceStartDate]])+COUNTBLANK(MEMBERS[[#This Row],[Apprenticeship]]:MEMBERS[[#This Row],[StaffMemberEnabled]])+COUNTBLANK(MEMBERS[[#This Row],[GenderCode]]:MEMBERS[[#This Row],[Casual]])</f>
        <v>0</v>
      </c>
      <c r="L681" s="57">
        <f>IF(SUBSTITUTE(TEXT(MEMBERS[[#This Row],[StaffMemberCode]],10)," ","")=TEXT(MEMBERS[[#This Row],[StaffMemberCode]],10),0,1)</f>
        <v>0</v>
      </c>
      <c r="M681" s="57">
        <f ca="1">SUM(MEMBERS[[#This Row],[Duplicate NameService Start]:[Space in Code]])</f>
        <v>0</v>
      </c>
      <c r="O681" s="15">
        <v>91073926</v>
      </c>
      <c r="P681" s="15" t="s">
        <v>3413</v>
      </c>
      <c r="Q681" s="15" t="s">
        <v>3870</v>
      </c>
      <c r="R681" s="133" t="str">
        <f>MEMBERS[[#This Row],[FirstName]]&amp;" "&amp;MEMBERS[[#This Row],[LastName]]</f>
        <v>Samudrika Costa</v>
      </c>
      <c r="S681" s="21">
        <v>41768</v>
      </c>
      <c r="U681" s="21">
        <v>27114</v>
      </c>
      <c r="V681" t="b">
        <v>0</v>
      </c>
      <c r="W681" t="b">
        <v>0</v>
      </c>
      <c r="X681" t="b">
        <v>0</v>
      </c>
      <c r="Y681" t="s">
        <v>2299</v>
      </c>
      <c r="Z681" t="b">
        <v>1</v>
      </c>
      <c r="AB681" t="s">
        <v>1571</v>
      </c>
      <c r="AC681" t="b">
        <v>0</v>
      </c>
    </row>
    <row r="682" spans="1:29" x14ac:dyDescent="0.3">
      <c r="A682" s="57" t="str">
        <f>MEMBERS[[#This Row],[Title]]&amp;MEMBERS[[#This Row],[ServiceStartDate]]</f>
        <v>Samuel Jones45504</v>
      </c>
      <c r="B682" s="57">
        <f>IF(COUNTIF(MEMBERS[NameServiceStart],MEMBERS[[#This Row],[NameServiceStart]])=1,0,1)</f>
        <v>0</v>
      </c>
      <c r="C682" s="57">
        <f>IF(COUNTIF(MEMBERS[StaffMemberCode],MEMBERS[[#This Row],[StaffMemberCode]])=1,0,1)</f>
        <v>0</v>
      </c>
      <c r="D682" s="57">
        <f>IF(ISBLANK(MEMBERS[[#This Row],[PayrollLocation]]),0,IF(COUNTIF(SCHOOLS[SchoolCode],MEMBERS[[#This Row],[PayrollLocation]])=1,0,1))</f>
        <v>0</v>
      </c>
      <c r="E682" s="57">
        <f>IF(MEMBERS[[#This Row],[AvailableToAllSchools]]=FALSE,IF(ISBLANK(MEMBERS[[#This Row],[SchoolCodes]]),1,0),IF(MEMBERS[[#This Row],[AvailableToAllSchools]]=TRUE,IF(ISBLANK(MEMBERS[[#This Row],[SchoolCodes]]),0,1)))</f>
        <v>0</v>
      </c>
      <c r="F682" s="57">
        <f>IF(ISBLANK(MEMBERS[[#This Row],[ServiceEndDate]]),0,IF(MEMBERS[[#This Row],[ServiceStartDate]]&lt;MEMBERS[[#This Row],[ServiceEndDate]],0,1))</f>
        <v>0</v>
      </c>
      <c r="G682" s="57" cm="1">
        <f t="array" aca="1" ref="G682" ca="1">IF(CELL("format",MEMBERS[[#This Row],[ServiceStartDate]])="D1",0,1)+IF(CELL("format",MEMBERS[[#This Row],[ServiceEndDate]])="D1",0,1)</f>
        <v>0</v>
      </c>
      <c r="H68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82" s="57">
        <f>IF(LEN(MEMBERS[[#This Row],[StaffMemberCode]])&lt;100,0,1)</f>
        <v>0</v>
      </c>
      <c r="J682" s="57">
        <f>IF(LEN(MEMBERS[[#This Row],[Title]])&lt;100,0,1)</f>
        <v>0</v>
      </c>
      <c r="K682" s="57">
        <f>COUNTBLANK(MEMBERS[[#This Row],[StaffMemberCode]:[ServiceStartDate]])+COUNTBLANK(MEMBERS[[#This Row],[Apprenticeship]]:MEMBERS[[#This Row],[StaffMemberEnabled]])+COUNTBLANK(MEMBERS[[#This Row],[GenderCode]]:MEMBERS[[#This Row],[Casual]])</f>
        <v>0</v>
      </c>
      <c r="L682" s="57">
        <f>IF(SUBSTITUTE(TEXT(MEMBERS[[#This Row],[StaffMemberCode]],10)," ","")=TEXT(MEMBERS[[#This Row],[StaffMemberCode]],10),0,1)</f>
        <v>0</v>
      </c>
      <c r="M682" s="57">
        <f ca="1">SUM(MEMBERS[[#This Row],[Duplicate NameService Start]:[Space in Code]])</f>
        <v>0</v>
      </c>
      <c r="O682" s="15">
        <v>91326006</v>
      </c>
      <c r="P682" s="15" t="s">
        <v>3414</v>
      </c>
      <c r="Q682" s="15" t="s">
        <v>3473</v>
      </c>
      <c r="R682" s="133" t="str">
        <f>MEMBERS[[#This Row],[FirstName]]&amp;" "&amp;MEMBERS[[#This Row],[LastName]]</f>
        <v>Samuel Jones</v>
      </c>
      <c r="S682" s="21">
        <v>45504</v>
      </c>
      <c r="U682" s="21">
        <v>39161</v>
      </c>
      <c r="V682" t="b">
        <v>0</v>
      </c>
      <c r="W682" t="b">
        <v>0</v>
      </c>
      <c r="X682" t="b">
        <v>0</v>
      </c>
      <c r="Y682" t="s">
        <v>2094</v>
      </c>
      <c r="Z682" t="b">
        <v>1</v>
      </c>
      <c r="AB682" t="s">
        <v>1572</v>
      </c>
      <c r="AC682" t="b">
        <v>1</v>
      </c>
    </row>
    <row r="683" spans="1:29" x14ac:dyDescent="0.3">
      <c r="A683" s="57" t="str">
        <f>MEMBERS[[#This Row],[Title]]&amp;MEMBERS[[#This Row],[ServiceStartDate]]</f>
        <v>Samuel Russell45170</v>
      </c>
      <c r="B683" s="57">
        <f>IF(COUNTIF(MEMBERS[NameServiceStart],MEMBERS[[#This Row],[NameServiceStart]])=1,0,1)</f>
        <v>0</v>
      </c>
      <c r="C683" s="57">
        <f>IF(COUNTIF(MEMBERS[StaffMemberCode],MEMBERS[[#This Row],[StaffMemberCode]])=1,0,1)</f>
        <v>0</v>
      </c>
      <c r="D683" s="57">
        <f>IF(ISBLANK(MEMBERS[[#This Row],[PayrollLocation]]),0,IF(COUNTIF(SCHOOLS[SchoolCode],MEMBERS[[#This Row],[PayrollLocation]])=1,0,1))</f>
        <v>0</v>
      </c>
      <c r="E683" s="57">
        <f>IF(MEMBERS[[#This Row],[AvailableToAllSchools]]=FALSE,IF(ISBLANK(MEMBERS[[#This Row],[SchoolCodes]]),1,0),IF(MEMBERS[[#This Row],[AvailableToAllSchools]]=TRUE,IF(ISBLANK(MEMBERS[[#This Row],[SchoolCodes]]),0,1)))</f>
        <v>0</v>
      </c>
      <c r="F683" s="57">
        <f>IF(ISBLANK(MEMBERS[[#This Row],[ServiceEndDate]]),0,IF(MEMBERS[[#This Row],[ServiceStartDate]]&lt;MEMBERS[[#This Row],[ServiceEndDate]],0,1))</f>
        <v>0</v>
      </c>
      <c r="G683" s="57" cm="1">
        <f t="array" aca="1" ref="G683" ca="1">IF(CELL("format",MEMBERS[[#This Row],[ServiceStartDate]])="D1",0,1)+IF(CELL("format",MEMBERS[[#This Row],[ServiceEndDate]])="D1",0,1)</f>
        <v>0</v>
      </c>
      <c r="H68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83" s="57">
        <f>IF(LEN(MEMBERS[[#This Row],[StaffMemberCode]])&lt;100,0,1)</f>
        <v>0</v>
      </c>
      <c r="J683" s="57">
        <f>IF(LEN(MEMBERS[[#This Row],[Title]])&lt;100,0,1)</f>
        <v>0</v>
      </c>
      <c r="K683" s="57">
        <f>COUNTBLANK(MEMBERS[[#This Row],[StaffMemberCode]:[ServiceStartDate]])+COUNTBLANK(MEMBERS[[#This Row],[Apprenticeship]]:MEMBERS[[#This Row],[StaffMemberEnabled]])+COUNTBLANK(MEMBERS[[#This Row],[GenderCode]]:MEMBERS[[#This Row],[Casual]])</f>
        <v>0</v>
      </c>
      <c r="L683" s="57">
        <f>IF(SUBSTITUTE(TEXT(MEMBERS[[#This Row],[StaffMemberCode]],10)," ","")=TEXT(MEMBERS[[#This Row],[StaffMemberCode]],10),0,1)</f>
        <v>0</v>
      </c>
      <c r="M683" s="57">
        <f ca="1">SUM(MEMBERS[[#This Row],[Duplicate NameService Start]:[Space in Code]])</f>
        <v>0</v>
      </c>
      <c r="O683" s="15">
        <v>10014640</v>
      </c>
      <c r="P683" s="15" t="s">
        <v>3414</v>
      </c>
      <c r="Q683" s="15" t="s">
        <v>4125</v>
      </c>
      <c r="R683" s="133" t="str">
        <f>MEMBERS[[#This Row],[FirstName]]&amp;" "&amp;MEMBERS[[#This Row],[LastName]]</f>
        <v>Samuel Russell</v>
      </c>
      <c r="S683" s="21">
        <v>45170</v>
      </c>
      <c r="U683" s="21">
        <v>33546</v>
      </c>
      <c r="V683" s="138" t="b">
        <v>0</v>
      </c>
      <c r="W683" t="b">
        <v>0</v>
      </c>
      <c r="X683" t="b">
        <v>0</v>
      </c>
      <c r="Y683" t="s">
        <v>2126</v>
      </c>
      <c r="Z683" t="b">
        <v>1</v>
      </c>
      <c r="AB683" t="s">
        <v>1572</v>
      </c>
      <c r="AC683" t="b">
        <v>0</v>
      </c>
    </row>
    <row r="684" spans="1:29" x14ac:dyDescent="0.3">
      <c r="A684" s="57" t="str">
        <f>MEMBERS[[#This Row],[Title]]&amp;MEMBERS[[#This Row],[ServiceStartDate]]</f>
        <v>Sandra Hill44775</v>
      </c>
      <c r="B684" s="57">
        <f>IF(COUNTIF(MEMBERS[NameServiceStart],MEMBERS[[#This Row],[NameServiceStart]])=1,0,1)</f>
        <v>0</v>
      </c>
      <c r="C684" s="57">
        <f>IF(COUNTIF(MEMBERS[StaffMemberCode],MEMBERS[[#This Row],[StaffMemberCode]])=1,0,1)</f>
        <v>0</v>
      </c>
      <c r="D684" s="57">
        <f>IF(ISBLANK(MEMBERS[[#This Row],[PayrollLocation]]),0,IF(COUNTIF(SCHOOLS[SchoolCode],MEMBERS[[#This Row],[PayrollLocation]])=1,0,1))</f>
        <v>0</v>
      </c>
      <c r="E684" s="57">
        <f>IF(MEMBERS[[#This Row],[AvailableToAllSchools]]=FALSE,IF(ISBLANK(MEMBERS[[#This Row],[SchoolCodes]]),1,0),IF(MEMBERS[[#This Row],[AvailableToAllSchools]]=TRUE,IF(ISBLANK(MEMBERS[[#This Row],[SchoolCodes]]),0,1)))</f>
        <v>0</v>
      </c>
      <c r="F684" s="57">
        <f>IF(ISBLANK(MEMBERS[[#This Row],[ServiceEndDate]]),0,IF(MEMBERS[[#This Row],[ServiceStartDate]]&lt;MEMBERS[[#This Row],[ServiceEndDate]],0,1))</f>
        <v>0</v>
      </c>
      <c r="G684" s="57" cm="1">
        <f t="array" aca="1" ref="G684" ca="1">IF(CELL("format",MEMBERS[[#This Row],[ServiceStartDate]])="D1",0,1)+IF(CELL("format",MEMBERS[[#This Row],[ServiceEndDate]])="D1",0,1)</f>
        <v>0</v>
      </c>
      <c r="H68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84" s="57">
        <f>IF(LEN(MEMBERS[[#This Row],[StaffMemberCode]])&lt;100,0,1)</f>
        <v>0</v>
      </c>
      <c r="J684" s="57">
        <f>IF(LEN(MEMBERS[[#This Row],[Title]])&lt;100,0,1)</f>
        <v>0</v>
      </c>
      <c r="K684" s="57">
        <f>COUNTBLANK(MEMBERS[[#This Row],[StaffMemberCode]:[ServiceStartDate]])+COUNTBLANK(MEMBERS[[#This Row],[Apprenticeship]]:MEMBERS[[#This Row],[StaffMemberEnabled]])+COUNTBLANK(MEMBERS[[#This Row],[GenderCode]]:MEMBERS[[#This Row],[Casual]])</f>
        <v>0</v>
      </c>
      <c r="L684" s="57">
        <f>IF(SUBSTITUTE(TEXT(MEMBERS[[#This Row],[StaffMemberCode]],10)," ","")=TEXT(MEMBERS[[#This Row],[StaffMemberCode]],10),0,1)</f>
        <v>0</v>
      </c>
      <c r="M684" s="57">
        <f ca="1">SUM(MEMBERS[[#This Row],[Duplicate NameService Start]:[Space in Code]])</f>
        <v>0</v>
      </c>
      <c r="O684" s="15">
        <v>91073798</v>
      </c>
      <c r="P684" s="15" t="s">
        <v>3415</v>
      </c>
      <c r="Q684" s="15" t="s">
        <v>3469</v>
      </c>
      <c r="R684" s="133" t="str">
        <f>MEMBERS[[#This Row],[FirstName]]&amp;" "&amp;MEMBERS[[#This Row],[LastName]]</f>
        <v>Sandra Hill</v>
      </c>
      <c r="S684" s="21">
        <v>44775</v>
      </c>
      <c r="U684" s="21">
        <v>22093</v>
      </c>
      <c r="V684" t="b">
        <v>0</v>
      </c>
      <c r="W684" t="b">
        <v>0</v>
      </c>
      <c r="X684" t="b">
        <v>0</v>
      </c>
      <c r="Y684" t="s">
        <v>2082</v>
      </c>
      <c r="Z684" t="b">
        <v>1</v>
      </c>
      <c r="AB684" t="s">
        <v>1571</v>
      </c>
      <c r="AC684" t="b">
        <v>1</v>
      </c>
    </row>
    <row r="685" spans="1:29" x14ac:dyDescent="0.3">
      <c r="A685" s="57" t="str">
        <f>MEMBERS[[#This Row],[Title]]&amp;MEMBERS[[#This Row],[ServiceStartDate]]</f>
        <v>Sandra Priddis41220</v>
      </c>
      <c r="B685" s="57">
        <f>IF(COUNTIF(MEMBERS[NameServiceStart],MEMBERS[[#This Row],[NameServiceStart]])=1,0,1)</f>
        <v>0</v>
      </c>
      <c r="C685" s="57">
        <f>IF(COUNTIF(MEMBERS[StaffMemberCode],MEMBERS[[#This Row],[StaffMemberCode]])=1,0,1)</f>
        <v>0</v>
      </c>
      <c r="D685" s="57">
        <f>IF(ISBLANK(MEMBERS[[#This Row],[PayrollLocation]]),0,IF(COUNTIF(SCHOOLS[SchoolCode],MEMBERS[[#This Row],[PayrollLocation]])=1,0,1))</f>
        <v>0</v>
      </c>
      <c r="E685" s="57">
        <f>IF(MEMBERS[[#This Row],[AvailableToAllSchools]]=FALSE,IF(ISBLANK(MEMBERS[[#This Row],[SchoolCodes]]),1,0),IF(MEMBERS[[#This Row],[AvailableToAllSchools]]=TRUE,IF(ISBLANK(MEMBERS[[#This Row],[SchoolCodes]]),0,1)))</f>
        <v>0</v>
      </c>
      <c r="F685" s="57">
        <f>IF(ISBLANK(MEMBERS[[#This Row],[ServiceEndDate]]),0,IF(MEMBERS[[#This Row],[ServiceStartDate]]&lt;MEMBERS[[#This Row],[ServiceEndDate]],0,1))</f>
        <v>0</v>
      </c>
      <c r="G685" s="57" cm="1">
        <f t="array" aca="1" ref="G685" ca="1">IF(CELL("format",MEMBERS[[#This Row],[ServiceStartDate]])="D1",0,1)+IF(CELL("format",MEMBERS[[#This Row],[ServiceEndDate]])="D1",0,1)</f>
        <v>0</v>
      </c>
      <c r="H68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85" s="57">
        <f>IF(LEN(MEMBERS[[#This Row],[StaffMemberCode]])&lt;100,0,1)</f>
        <v>0</v>
      </c>
      <c r="J685" s="57">
        <f>IF(LEN(MEMBERS[[#This Row],[Title]])&lt;100,0,1)</f>
        <v>0</v>
      </c>
      <c r="K685" s="57">
        <f>COUNTBLANK(MEMBERS[[#This Row],[StaffMemberCode]:[ServiceStartDate]])+COUNTBLANK(MEMBERS[[#This Row],[Apprenticeship]]:MEMBERS[[#This Row],[StaffMemberEnabled]])+COUNTBLANK(MEMBERS[[#This Row],[GenderCode]]:MEMBERS[[#This Row],[Casual]])</f>
        <v>0</v>
      </c>
      <c r="L685" s="57">
        <f>IF(SUBSTITUTE(TEXT(MEMBERS[[#This Row],[StaffMemberCode]],10)," ","")=TEXT(MEMBERS[[#This Row],[StaffMemberCode]],10),0,1)</f>
        <v>0</v>
      </c>
      <c r="M685" s="57">
        <f ca="1">SUM(MEMBERS[[#This Row],[Duplicate NameService Start]:[Space in Code]])</f>
        <v>0</v>
      </c>
      <c r="O685" s="15">
        <v>91073710</v>
      </c>
      <c r="P685" s="15" t="s">
        <v>3415</v>
      </c>
      <c r="Q685" s="15" t="s">
        <v>3871</v>
      </c>
      <c r="R685" s="133" t="str">
        <f>MEMBERS[[#This Row],[FirstName]]&amp;" "&amp;MEMBERS[[#This Row],[LastName]]</f>
        <v>Sandra Priddis</v>
      </c>
      <c r="S685" s="21">
        <v>41220</v>
      </c>
      <c r="U685" s="21">
        <v>23404</v>
      </c>
      <c r="V685" t="b">
        <v>0</v>
      </c>
      <c r="W685" t="b">
        <v>0</v>
      </c>
      <c r="X685" t="b">
        <v>0</v>
      </c>
      <c r="Y685" t="s">
        <v>2082</v>
      </c>
      <c r="Z685" t="b">
        <v>1</v>
      </c>
      <c r="AB685" t="s">
        <v>1571</v>
      </c>
      <c r="AC685" t="b">
        <v>1</v>
      </c>
    </row>
    <row r="686" spans="1:29" x14ac:dyDescent="0.3">
      <c r="A686" s="57" t="str">
        <f>MEMBERS[[#This Row],[Title]]&amp;MEMBERS[[#This Row],[ServiceStartDate]]</f>
        <v>Sandra Yeomans37376</v>
      </c>
      <c r="B686" s="57">
        <f>IF(COUNTIF(MEMBERS[NameServiceStart],MEMBERS[[#This Row],[NameServiceStart]])=1,0,1)</f>
        <v>0</v>
      </c>
      <c r="C686" s="57">
        <f>IF(COUNTIF(MEMBERS[StaffMemberCode],MEMBERS[[#This Row],[StaffMemberCode]])=1,0,1)</f>
        <v>0</v>
      </c>
      <c r="D686" s="57">
        <f>IF(ISBLANK(MEMBERS[[#This Row],[PayrollLocation]]),0,IF(COUNTIF(SCHOOLS[SchoolCode],MEMBERS[[#This Row],[PayrollLocation]])=1,0,1))</f>
        <v>0</v>
      </c>
      <c r="E686" s="57">
        <f>IF(MEMBERS[[#This Row],[AvailableToAllSchools]]=FALSE,IF(ISBLANK(MEMBERS[[#This Row],[SchoolCodes]]),1,0),IF(MEMBERS[[#This Row],[AvailableToAllSchools]]=TRUE,IF(ISBLANK(MEMBERS[[#This Row],[SchoolCodes]]),0,1)))</f>
        <v>0</v>
      </c>
      <c r="F686" s="57">
        <f>IF(ISBLANK(MEMBERS[[#This Row],[ServiceEndDate]]),0,IF(MEMBERS[[#This Row],[ServiceStartDate]]&lt;MEMBERS[[#This Row],[ServiceEndDate]],0,1))</f>
        <v>0</v>
      </c>
      <c r="G686" s="57" cm="1">
        <f t="array" aca="1" ref="G686" ca="1">IF(CELL("format",MEMBERS[[#This Row],[ServiceStartDate]])="D1",0,1)+IF(CELL("format",MEMBERS[[#This Row],[ServiceEndDate]])="D1",0,1)</f>
        <v>0</v>
      </c>
      <c r="H68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86" s="57">
        <f>IF(LEN(MEMBERS[[#This Row],[StaffMemberCode]])&lt;100,0,1)</f>
        <v>0</v>
      </c>
      <c r="J686" s="57">
        <f>IF(LEN(MEMBERS[[#This Row],[Title]])&lt;100,0,1)</f>
        <v>0</v>
      </c>
      <c r="K686" s="57">
        <f>COUNTBLANK(MEMBERS[[#This Row],[StaffMemberCode]:[ServiceStartDate]])+COUNTBLANK(MEMBERS[[#This Row],[Apprenticeship]]:MEMBERS[[#This Row],[StaffMemberEnabled]])+COUNTBLANK(MEMBERS[[#This Row],[GenderCode]]:MEMBERS[[#This Row],[Casual]])</f>
        <v>0</v>
      </c>
      <c r="L686" s="57">
        <f>IF(SUBSTITUTE(TEXT(MEMBERS[[#This Row],[StaffMemberCode]],10)," ","")=TEXT(MEMBERS[[#This Row],[StaffMemberCode]],10),0,1)</f>
        <v>0</v>
      </c>
      <c r="M686" s="57">
        <f ca="1">SUM(MEMBERS[[#This Row],[Duplicate NameService Start]:[Space in Code]])</f>
        <v>0</v>
      </c>
      <c r="O686" s="15">
        <v>91073922</v>
      </c>
      <c r="P686" s="15" t="s">
        <v>3415</v>
      </c>
      <c r="Q686" s="15" t="s">
        <v>3872</v>
      </c>
      <c r="R686" s="133" t="str">
        <f>MEMBERS[[#This Row],[FirstName]]&amp;" "&amp;MEMBERS[[#This Row],[LastName]]</f>
        <v>Sandra Yeomans</v>
      </c>
      <c r="S686" s="21">
        <v>37376</v>
      </c>
      <c r="U686" s="21">
        <v>23207</v>
      </c>
      <c r="V686" t="b">
        <v>0</v>
      </c>
      <c r="W686" t="b">
        <v>0</v>
      </c>
      <c r="X686" t="b">
        <v>0</v>
      </c>
      <c r="Y686" t="s">
        <v>2299</v>
      </c>
      <c r="Z686" t="b">
        <v>1</v>
      </c>
      <c r="AB686" t="s">
        <v>1571</v>
      </c>
      <c r="AC686" t="b">
        <v>0</v>
      </c>
    </row>
    <row r="687" spans="1:29" x14ac:dyDescent="0.3">
      <c r="A687" s="57" t="str">
        <f>MEMBERS[[#This Row],[Title]]&amp;MEMBERS[[#This Row],[ServiceStartDate]]</f>
        <v>Sara Ludlow45170</v>
      </c>
      <c r="B687" s="57">
        <f>IF(COUNTIF(MEMBERS[NameServiceStart],MEMBERS[[#This Row],[NameServiceStart]])=1,0,1)</f>
        <v>0</v>
      </c>
      <c r="C687" s="57">
        <f>IF(COUNTIF(MEMBERS[StaffMemberCode],MEMBERS[[#This Row],[StaffMemberCode]])=1,0,1)</f>
        <v>0</v>
      </c>
      <c r="D687" s="57">
        <f>IF(ISBLANK(MEMBERS[[#This Row],[PayrollLocation]]),0,IF(COUNTIF(SCHOOLS[SchoolCode],MEMBERS[[#This Row],[PayrollLocation]])=1,0,1))</f>
        <v>0</v>
      </c>
      <c r="E687" s="57">
        <f>IF(MEMBERS[[#This Row],[AvailableToAllSchools]]=FALSE,IF(ISBLANK(MEMBERS[[#This Row],[SchoolCodes]]),1,0),IF(MEMBERS[[#This Row],[AvailableToAllSchools]]=TRUE,IF(ISBLANK(MEMBERS[[#This Row],[SchoolCodes]]),0,1)))</f>
        <v>0</v>
      </c>
      <c r="F687" s="57">
        <f>IF(ISBLANK(MEMBERS[[#This Row],[ServiceEndDate]]),0,IF(MEMBERS[[#This Row],[ServiceStartDate]]&lt;MEMBERS[[#This Row],[ServiceEndDate]],0,1))</f>
        <v>0</v>
      </c>
      <c r="G687" s="57" cm="1">
        <f t="array" aca="1" ref="G687" ca="1">IF(CELL("format",MEMBERS[[#This Row],[ServiceStartDate]])="D1",0,1)+IF(CELL("format",MEMBERS[[#This Row],[ServiceEndDate]])="D1",0,1)</f>
        <v>0</v>
      </c>
      <c r="H68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87" s="57">
        <f>IF(LEN(MEMBERS[[#This Row],[StaffMemberCode]])&lt;100,0,1)</f>
        <v>0</v>
      </c>
      <c r="J687" s="57">
        <f>IF(LEN(MEMBERS[[#This Row],[Title]])&lt;100,0,1)</f>
        <v>0</v>
      </c>
      <c r="K687" s="57">
        <f>COUNTBLANK(MEMBERS[[#This Row],[StaffMemberCode]:[ServiceStartDate]])+COUNTBLANK(MEMBERS[[#This Row],[Apprenticeship]]:MEMBERS[[#This Row],[StaffMemberEnabled]])+COUNTBLANK(MEMBERS[[#This Row],[GenderCode]]:MEMBERS[[#This Row],[Casual]])</f>
        <v>0</v>
      </c>
      <c r="L687" s="57">
        <f>IF(SUBSTITUTE(TEXT(MEMBERS[[#This Row],[StaffMemberCode]],10)," ","")=TEXT(MEMBERS[[#This Row],[StaffMemberCode]],10),0,1)</f>
        <v>0</v>
      </c>
      <c r="M687" s="57">
        <f ca="1">SUM(MEMBERS[[#This Row],[Duplicate NameService Start]:[Space in Code]])</f>
        <v>0</v>
      </c>
      <c r="O687" s="15">
        <v>10012807</v>
      </c>
      <c r="P687" s="15" t="s">
        <v>4005</v>
      </c>
      <c r="Q687" s="15" t="s">
        <v>4126</v>
      </c>
      <c r="R687" s="133" t="str">
        <f>MEMBERS[[#This Row],[FirstName]]&amp;" "&amp;MEMBERS[[#This Row],[LastName]]</f>
        <v>Sara Ludlow</v>
      </c>
      <c r="S687" s="21">
        <v>45170</v>
      </c>
      <c r="U687" s="21">
        <v>31554</v>
      </c>
      <c r="V687" s="138" t="b">
        <v>0</v>
      </c>
      <c r="W687" t="b">
        <v>0</v>
      </c>
      <c r="X687" t="b">
        <v>0</v>
      </c>
      <c r="Y687" t="s">
        <v>2126</v>
      </c>
      <c r="Z687" t="b">
        <v>1</v>
      </c>
      <c r="AB687" t="s">
        <v>1571</v>
      </c>
      <c r="AC687" t="b">
        <v>0</v>
      </c>
    </row>
    <row r="688" spans="1:29" x14ac:dyDescent="0.3">
      <c r="A688" s="57" t="str">
        <f>MEMBERS[[#This Row],[Title]]&amp;MEMBERS[[#This Row],[ServiceStartDate]]</f>
        <v>Sarah Ailsby40057</v>
      </c>
      <c r="B688" s="57">
        <f>IF(COUNTIF(MEMBERS[NameServiceStart],MEMBERS[[#This Row],[NameServiceStart]])=1,0,1)</f>
        <v>0</v>
      </c>
      <c r="C688" s="57">
        <f>IF(COUNTIF(MEMBERS[StaffMemberCode],MEMBERS[[#This Row],[StaffMemberCode]])=1,0,1)</f>
        <v>0</v>
      </c>
      <c r="D688" s="57">
        <f>IF(ISBLANK(MEMBERS[[#This Row],[PayrollLocation]]),0,IF(COUNTIF(SCHOOLS[SchoolCode],MEMBERS[[#This Row],[PayrollLocation]])=1,0,1))</f>
        <v>0</v>
      </c>
      <c r="E688" s="57">
        <f>IF(MEMBERS[[#This Row],[AvailableToAllSchools]]=FALSE,IF(ISBLANK(MEMBERS[[#This Row],[SchoolCodes]]),1,0),IF(MEMBERS[[#This Row],[AvailableToAllSchools]]=TRUE,IF(ISBLANK(MEMBERS[[#This Row],[SchoolCodes]]),0,1)))</f>
        <v>0</v>
      </c>
      <c r="F688" s="57">
        <f>IF(ISBLANK(MEMBERS[[#This Row],[ServiceEndDate]]),0,IF(MEMBERS[[#This Row],[ServiceStartDate]]&lt;MEMBERS[[#This Row],[ServiceEndDate]],0,1))</f>
        <v>0</v>
      </c>
      <c r="G688" s="57" cm="1">
        <f t="array" aca="1" ref="G688" ca="1">IF(CELL("format",MEMBERS[[#This Row],[ServiceStartDate]])="D1",0,1)+IF(CELL("format",MEMBERS[[#This Row],[ServiceEndDate]])="D1",0,1)</f>
        <v>0</v>
      </c>
      <c r="H68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88" s="57">
        <f>IF(LEN(MEMBERS[[#This Row],[StaffMemberCode]])&lt;100,0,1)</f>
        <v>0</v>
      </c>
      <c r="J688" s="57">
        <f>IF(LEN(MEMBERS[[#This Row],[Title]])&lt;100,0,1)</f>
        <v>0</v>
      </c>
      <c r="K688" s="57">
        <f>COUNTBLANK(MEMBERS[[#This Row],[StaffMemberCode]:[ServiceStartDate]])+COUNTBLANK(MEMBERS[[#This Row],[Apprenticeship]]:MEMBERS[[#This Row],[StaffMemberEnabled]])+COUNTBLANK(MEMBERS[[#This Row],[GenderCode]]:MEMBERS[[#This Row],[Casual]])</f>
        <v>0</v>
      </c>
      <c r="L688" s="57">
        <f>IF(SUBSTITUTE(TEXT(MEMBERS[[#This Row],[StaffMemberCode]],10)," ","")=TEXT(MEMBERS[[#This Row],[StaffMemberCode]],10),0,1)</f>
        <v>0</v>
      </c>
      <c r="M688" s="57">
        <f ca="1">SUM(MEMBERS[[#This Row],[Duplicate NameService Start]:[Space in Code]])</f>
        <v>0</v>
      </c>
      <c r="O688" s="15">
        <v>91075775</v>
      </c>
      <c r="P688" s="15" t="s">
        <v>3416</v>
      </c>
      <c r="Q688" s="15" t="s">
        <v>3873</v>
      </c>
      <c r="R688" s="133" t="str">
        <f>MEMBERS[[#This Row],[FirstName]]&amp;" "&amp;MEMBERS[[#This Row],[LastName]]</f>
        <v>Sarah Ailsby</v>
      </c>
      <c r="S688" s="21">
        <v>40057</v>
      </c>
      <c r="U688" s="21">
        <v>31681</v>
      </c>
      <c r="V688" t="b">
        <v>0</v>
      </c>
      <c r="W688" t="b">
        <v>0</v>
      </c>
      <c r="X688" t="b">
        <v>0</v>
      </c>
      <c r="Y688" t="s">
        <v>2200</v>
      </c>
      <c r="Z688" t="b">
        <v>1</v>
      </c>
      <c r="AB688" t="s">
        <v>1571</v>
      </c>
      <c r="AC688" t="b">
        <v>0</v>
      </c>
    </row>
    <row r="689" spans="1:29" x14ac:dyDescent="0.3">
      <c r="A689" s="57" t="str">
        <f>MEMBERS[[#This Row],[Title]]&amp;MEMBERS[[#This Row],[ServiceStartDate]]</f>
        <v>Sarah Carr45791</v>
      </c>
      <c r="B689" s="57">
        <f>IF(COUNTIF(MEMBERS[NameServiceStart],MEMBERS[[#This Row],[NameServiceStart]])=1,0,1)</f>
        <v>0</v>
      </c>
      <c r="C689" s="57">
        <f>IF(COUNTIF(MEMBERS[StaffMemberCode],MEMBERS[[#This Row],[StaffMemberCode]])=1,0,1)</f>
        <v>0</v>
      </c>
      <c r="D689" s="57">
        <f>IF(ISBLANK(MEMBERS[[#This Row],[PayrollLocation]]),0,IF(COUNTIF(SCHOOLS[SchoolCode],MEMBERS[[#This Row],[PayrollLocation]])=1,0,1))</f>
        <v>0</v>
      </c>
      <c r="E689" s="57">
        <f>IF(MEMBERS[[#This Row],[AvailableToAllSchools]]=FALSE,IF(ISBLANK(MEMBERS[[#This Row],[SchoolCodes]]),1,0),IF(MEMBERS[[#This Row],[AvailableToAllSchools]]=TRUE,IF(ISBLANK(MEMBERS[[#This Row],[SchoolCodes]]),0,1)))</f>
        <v>0</v>
      </c>
      <c r="F689" s="57">
        <f>IF(ISBLANK(MEMBERS[[#This Row],[ServiceEndDate]]),0,IF(MEMBERS[[#This Row],[ServiceStartDate]]&lt;MEMBERS[[#This Row],[ServiceEndDate]],0,1))</f>
        <v>0</v>
      </c>
      <c r="G689" s="57" cm="1">
        <f t="array" aca="1" ref="G689" ca="1">IF(CELL("format",MEMBERS[[#This Row],[ServiceStartDate]])="D1",0,1)+IF(CELL("format",MEMBERS[[#This Row],[ServiceEndDate]])="D1",0,1)</f>
        <v>0</v>
      </c>
      <c r="H68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89" s="57">
        <f>IF(LEN(MEMBERS[[#This Row],[StaffMemberCode]])&lt;100,0,1)</f>
        <v>0</v>
      </c>
      <c r="J689" s="57">
        <f>IF(LEN(MEMBERS[[#This Row],[Title]])&lt;100,0,1)</f>
        <v>0</v>
      </c>
      <c r="K689" s="57">
        <f>COUNTBLANK(MEMBERS[[#This Row],[StaffMemberCode]:[ServiceStartDate]])+COUNTBLANK(MEMBERS[[#This Row],[Apprenticeship]]:MEMBERS[[#This Row],[StaffMemberEnabled]])+COUNTBLANK(MEMBERS[[#This Row],[GenderCode]]:MEMBERS[[#This Row],[Casual]])</f>
        <v>0</v>
      </c>
      <c r="L689" s="57">
        <f>IF(SUBSTITUTE(TEXT(MEMBERS[[#This Row],[StaffMemberCode]],10)," ","")=TEXT(MEMBERS[[#This Row],[StaffMemberCode]],10),0,1)</f>
        <v>0</v>
      </c>
      <c r="M689" s="57">
        <f ca="1">SUM(MEMBERS[[#This Row],[Duplicate NameService Start]:[Space in Code]])</f>
        <v>0</v>
      </c>
      <c r="O689" s="15">
        <v>91850012</v>
      </c>
      <c r="P689" s="15" t="s">
        <v>3416</v>
      </c>
      <c r="Q689" s="15" t="s">
        <v>3874</v>
      </c>
      <c r="R689" s="133" t="str">
        <f>MEMBERS[[#This Row],[FirstName]]&amp;" "&amp;MEMBERS[[#This Row],[LastName]]</f>
        <v>Sarah Carr</v>
      </c>
      <c r="S689" s="21">
        <v>45791</v>
      </c>
      <c r="U689" s="21">
        <v>35835</v>
      </c>
      <c r="V689" t="b">
        <v>0</v>
      </c>
      <c r="W689" t="b">
        <v>0</v>
      </c>
      <c r="X689" t="b">
        <v>0</v>
      </c>
      <c r="Y689" t="s">
        <v>2082</v>
      </c>
      <c r="Z689" t="b">
        <v>1</v>
      </c>
      <c r="AB689" t="s">
        <v>1571</v>
      </c>
      <c r="AC689" t="b">
        <v>0</v>
      </c>
    </row>
    <row r="690" spans="1:29" x14ac:dyDescent="0.3">
      <c r="A690" s="57" t="str">
        <f>MEMBERS[[#This Row],[Title]]&amp;MEMBERS[[#This Row],[ServiceStartDate]]</f>
        <v>Sarah Durose40189</v>
      </c>
      <c r="B690" s="57">
        <f>IF(COUNTIF(MEMBERS[NameServiceStart],MEMBERS[[#This Row],[NameServiceStart]])=1,0,1)</f>
        <v>0</v>
      </c>
      <c r="C690" s="57">
        <f>IF(COUNTIF(MEMBERS[StaffMemberCode],MEMBERS[[#This Row],[StaffMemberCode]])=1,0,1)</f>
        <v>0</v>
      </c>
      <c r="D690" s="57">
        <f>IF(ISBLANK(MEMBERS[[#This Row],[PayrollLocation]]),0,IF(COUNTIF(SCHOOLS[SchoolCode],MEMBERS[[#This Row],[PayrollLocation]])=1,0,1))</f>
        <v>0</v>
      </c>
      <c r="E690" s="57">
        <f>IF(MEMBERS[[#This Row],[AvailableToAllSchools]]=FALSE,IF(ISBLANK(MEMBERS[[#This Row],[SchoolCodes]]),1,0),IF(MEMBERS[[#This Row],[AvailableToAllSchools]]=TRUE,IF(ISBLANK(MEMBERS[[#This Row],[SchoolCodes]]),0,1)))</f>
        <v>0</v>
      </c>
      <c r="F690" s="57">
        <f>IF(ISBLANK(MEMBERS[[#This Row],[ServiceEndDate]]),0,IF(MEMBERS[[#This Row],[ServiceStartDate]]&lt;MEMBERS[[#This Row],[ServiceEndDate]],0,1))</f>
        <v>0</v>
      </c>
      <c r="G690" s="57" cm="1">
        <f t="array" aca="1" ref="G690" ca="1">IF(CELL("format",MEMBERS[[#This Row],[ServiceStartDate]])="D1",0,1)+IF(CELL("format",MEMBERS[[#This Row],[ServiceEndDate]])="D1",0,1)</f>
        <v>0</v>
      </c>
      <c r="H69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90" s="57">
        <f>IF(LEN(MEMBERS[[#This Row],[StaffMemberCode]])&lt;100,0,1)</f>
        <v>0</v>
      </c>
      <c r="J690" s="57">
        <f>IF(LEN(MEMBERS[[#This Row],[Title]])&lt;100,0,1)</f>
        <v>0</v>
      </c>
      <c r="K690" s="57">
        <f>COUNTBLANK(MEMBERS[[#This Row],[StaffMemberCode]:[ServiceStartDate]])+COUNTBLANK(MEMBERS[[#This Row],[Apprenticeship]]:MEMBERS[[#This Row],[StaffMemberEnabled]])+COUNTBLANK(MEMBERS[[#This Row],[GenderCode]]:MEMBERS[[#This Row],[Casual]])</f>
        <v>0</v>
      </c>
      <c r="L690" s="57">
        <f>IF(SUBSTITUTE(TEXT(MEMBERS[[#This Row],[StaffMemberCode]],10)," ","")=TEXT(MEMBERS[[#This Row],[StaffMemberCode]],10),0,1)</f>
        <v>0</v>
      </c>
      <c r="M690" s="57">
        <f ca="1">SUM(MEMBERS[[#This Row],[Duplicate NameService Start]:[Space in Code]])</f>
        <v>0</v>
      </c>
      <c r="O690" s="15">
        <v>91073903</v>
      </c>
      <c r="P690" s="15" t="s">
        <v>3416</v>
      </c>
      <c r="Q690" s="15" t="s">
        <v>3875</v>
      </c>
      <c r="R690" s="133" t="str">
        <f>MEMBERS[[#This Row],[FirstName]]&amp;" "&amp;MEMBERS[[#This Row],[LastName]]</f>
        <v>Sarah Durose</v>
      </c>
      <c r="S690" s="21">
        <v>40189</v>
      </c>
      <c r="U690" s="21">
        <v>26900</v>
      </c>
      <c r="V690" t="b">
        <v>0</v>
      </c>
      <c r="W690" t="b">
        <v>0</v>
      </c>
      <c r="X690" t="b">
        <v>0</v>
      </c>
      <c r="Y690" t="s">
        <v>51</v>
      </c>
      <c r="Z690" t="b">
        <v>1</v>
      </c>
      <c r="AB690" t="s">
        <v>1571</v>
      </c>
      <c r="AC690" t="b">
        <v>0</v>
      </c>
    </row>
    <row r="691" spans="1:29" x14ac:dyDescent="0.3">
      <c r="A691" s="57" t="str">
        <f>MEMBERS[[#This Row],[Title]]&amp;MEMBERS[[#This Row],[ServiceStartDate]]</f>
        <v>Sarah Fone42527</v>
      </c>
      <c r="B691" s="57">
        <f>IF(COUNTIF(MEMBERS[NameServiceStart],MEMBERS[[#This Row],[NameServiceStart]])=1,0,1)</f>
        <v>0</v>
      </c>
      <c r="C691" s="57">
        <f>IF(COUNTIF(MEMBERS[StaffMemberCode],MEMBERS[[#This Row],[StaffMemberCode]])=1,0,1)</f>
        <v>0</v>
      </c>
      <c r="D691" s="57">
        <f>IF(ISBLANK(MEMBERS[[#This Row],[PayrollLocation]]),0,IF(COUNTIF(SCHOOLS[SchoolCode],MEMBERS[[#This Row],[PayrollLocation]])=1,0,1))</f>
        <v>0</v>
      </c>
      <c r="E691" s="57">
        <f>IF(MEMBERS[[#This Row],[AvailableToAllSchools]]=FALSE,IF(ISBLANK(MEMBERS[[#This Row],[SchoolCodes]]),1,0),IF(MEMBERS[[#This Row],[AvailableToAllSchools]]=TRUE,IF(ISBLANK(MEMBERS[[#This Row],[SchoolCodes]]),0,1)))</f>
        <v>0</v>
      </c>
      <c r="F691" s="57">
        <f>IF(ISBLANK(MEMBERS[[#This Row],[ServiceEndDate]]),0,IF(MEMBERS[[#This Row],[ServiceStartDate]]&lt;MEMBERS[[#This Row],[ServiceEndDate]],0,1))</f>
        <v>0</v>
      </c>
      <c r="G691" s="57" cm="1">
        <f t="array" aca="1" ref="G691" ca="1">IF(CELL("format",MEMBERS[[#This Row],[ServiceStartDate]])="D1",0,1)+IF(CELL("format",MEMBERS[[#This Row],[ServiceEndDate]])="D1",0,1)</f>
        <v>0</v>
      </c>
      <c r="H69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91" s="57">
        <f>IF(LEN(MEMBERS[[#This Row],[StaffMemberCode]])&lt;100,0,1)</f>
        <v>0</v>
      </c>
      <c r="J691" s="57">
        <f>IF(LEN(MEMBERS[[#This Row],[Title]])&lt;100,0,1)</f>
        <v>0</v>
      </c>
      <c r="K691" s="57">
        <f>COUNTBLANK(MEMBERS[[#This Row],[StaffMemberCode]:[ServiceStartDate]])+COUNTBLANK(MEMBERS[[#This Row],[Apprenticeship]]:MEMBERS[[#This Row],[StaffMemberEnabled]])+COUNTBLANK(MEMBERS[[#This Row],[GenderCode]]:MEMBERS[[#This Row],[Casual]])</f>
        <v>0</v>
      </c>
      <c r="L691" s="57">
        <f>IF(SUBSTITUTE(TEXT(MEMBERS[[#This Row],[StaffMemberCode]],10)," ","")=TEXT(MEMBERS[[#This Row],[StaffMemberCode]],10),0,1)</f>
        <v>0</v>
      </c>
      <c r="M691" s="57">
        <f ca="1">SUM(MEMBERS[[#This Row],[Duplicate NameService Start]:[Space in Code]])</f>
        <v>0</v>
      </c>
      <c r="O691" s="15">
        <v>91073522</v>
      </c>
      <c r="P691" s="15" t="s">
        <v>3416</v>
      </c>
      <c r="Q691" s="15" t="s">
        <v>3876</v>
      </c>
      <c r="R691" s="133" t="str">
        <f>MEMBERS[[#This Row],[FirstName]]&amp;" "&amp;MEMBERS[[#This Row],[LastName]]</f>
        <v>Sarah Fone</v>
      </c>
      <c r="S691" s="21">
        <v>42527</v>
      </c>
      <c r="U691" s="21">
        <v>27919</v>
      </c>
      <c r="V691" t="b">
        <v>0</v>
      </c>
      <c r="W691" t="b">
        <v>0</v>
      </c>
      <c r="X691" t="b">
        <v>0</v>
      </c>
      <c r="Y691" t="s">
        <v>2094</v>
      </c>
      <c r="Z691" t="b">
        <v>1</v>
      </c>
      <c r="AB691" t="s">
        <v>1571</v>
      </c>
      <c r="AC691" t="b">
        <v>0</v>
      </c>
    </row>
    <row r="692" spans="1:29" x14ac:dyDescent="0.3">
      <c r="A692" s="57" t="str">
        <f>MEMBERS[[#This Row],[Title]]&amp;MEMBERS[[#This Row],[ServiceStartDate]]</f>
        <v>Sarah Franks43367</v>
      </c>
      <c r="B692" s="57">
        <f>IF(COUNTIF(MEMBERS[NameServiceStart],MEMBERS[[#This Row],[NameServiceStart]])=1,0,1)</f>
        <v>0</v>
      </c>
      <c r="C692" s="57">
        <f>IF(COUNTIF(MEMBERS[StaffMemberCode],MEMBERS[[#This Row],[StaffMemberCode]])=1,0,1)</f>
        <v>0</v>
      </c>
      <c r="D692" s="57">
        <f>IF(ISBLANK(MEMBERS[[#This Row],[PayrollLocation]]),0,IF(COUNTIF(SCHOOLS[SchoolCode],MEMBERS[[#This Row],[PayrollLocation]])=1,0,1))</f>
        <v>0</v>
      </c>
      <c r="E692" s="57">
        <f>IF(MEMBERS[[#This Row],[AvailableToAllSchools]]=FALSE,IF(ISBLANK(MEMBERS[[#This Row],[SchoolCodes]]),1,0),IF(MEMBERS[[#This Row],[AvailableToAllSchools]]=TRUE,IF(ISBLANK(MEMBERS[[#This Row],[SchoolCodes]]),0,1)))</f>
        <v>0</v>
      </c>
      <c r="F692" s="57">
        <f>IF(ISBLANK(MEMBERS[[#This Row],[ServiceEndDate]]),0,IF(MEMBERS[[#This Row],[ServiceStartDate]]&lt;MEMBERS[[#This Row],[ServiceEndDate]],0,1))</f>
        <v>0</v>
      </c>
      <c r="G692" s="57" cm="1">
        <f t="array" aca="1" ref="G692" ca="1">IF(CELL("format",MEMBERS[[#This Row],[ServiceStartDate]])="D1",0,1)+IF(CELL("format",MEMBERS[[#This Row],[ServiceEndDate]])="D1",0,1)</f>
        <v>0</v>
      </c>
      <c r="H69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92" s="57">
        <f>IF(LEN(MEMBERS[[#This Row],[StaffMemberCode]])&lt;100,0,1)</f>
        <v>0</v>
      </c>
      <c r="J692" s="57">
        <f>IF(LEN(MEMBERS[[#This Row],[Title]])&lt;100,0,1)</f>
        <v>0</v>
      </c>
      <c r="K692" s="57">
        <f>COUNTBLANK(MEMBERS[[#This Row],[StaffMemberCode]:[ServiceStartDate]])+COUNTBLANK(MEMBERS[[#This Row],[Apprenticeship]]:MEMBERS[[#This Row],[StaffMemberEnabled]])+COUNTBLANK(MEMBERS[[#This Row],[GenderCode]]:MEMBERS[[#This Row],[Casual]])</f>
        <v>0</v>
      </c>
      <c r="L692" s="57">
        <f>IF(SUBSTITUTE(TEXT(MEMBERS[[#This Row],[StaffMemberCode]],10)," ","")=TEXT(MEMBERS[[#This Row],[StaffMemberCode]],10),0,1)</f>
        <v>0</v>
      </c>
      <c r="M692" s="57">
        <f ca="1">SUM(MEMBERS[[#This Row],[Duplicate NameService Start]:[Space in Code]])</f>
        <v>0</v>
      </c>
      <c r="O692" s="15">
        <v>91073744</v>
      </c>
      <c r="P692" s="15" t="s">
        <v>3416</v>
      </c>
      <c r="Q692" s="15" t="s">
        <v>3877</v>
      </c>
      <c r="R692" s="133" t="str">
        <f>MEMBERS[[#This Row],[FirstName]]&amp;" "&amp;MEMBERS[[#This Row],[LastName]]</f>
        <v>Sarah Franks</v>
      </c>
      <c r="S692" s="21">
        <v>43367</v>
      </c>
      <c r="U692" s="21">
        <v>26654</v>
      </c>
      <c r="V692" t="b">
        <v>0</v>
      </c>
      <c r="W692" t="b">
        <v>0</v>
      </c>
      <c r="X692" t="b">
        <v>0</v>
      </c>
      <c r="Y692" t="s">
        <v>2082</v>
      </c>
      <c r="Z692" t="b">
        <v>1</v>
      </c>
      <c r="AB692" t="s">
        <v>1571</v>
      </c>
      <c r="AC692" t="b">
        <v>0</v>
      </c>
    </row>
    <row r="693" spans="1:29" x14ac:dyDescent="0.3">
      <c r="A693" s="57" t="str">
        <f>MEMBERS[[#This Row],[Title]]&amp;MEMBERS[[#This Row],[ServiceStartDate]]</f>
        <v>Sarah Gibson45170</v>
      </c>
      <c r="B693" s="57">
        <f>IF(COUNTIF(MEMBERS[NameServiceStart],MEMBERS[[#This Row],[NameServiceStart]])=1,0,1)</f>
        <v>0</v>
      </c>
      <c r="C693" s="57">
        <f>IF(COUNTIF(MEMBERS[StaffMemberCode],MEMBERS[[#This Row],[StaffMemberCode]])=1,0,1)</f>
        <v>0</v>
      </c>
      <c r="D693" s="57">
        <f>IF(ISBLANK(MEMBERS[[#This Row],[PayrollLocation]]),0,IF(COUNTIF(SCHOOLS[SchoolCode],MEMBERS[[#This Row],[PayrollLocation]])=1,0,1))</f>
        <v>0</v>
      </c>
      <c r="E693" s="57">
        <f>IF(MEMBERS[[#This Row],[AvailableToAllSchools]]=FALSE,IF(ISBLANK(MEMBERS[[#This Row],[SchoolCodes]]),1,0),IF(MEMBERS[[#This Row],[AvailableToAllSchools]]=TRUE,IF(ISBLANK(MEMBERS[[#This Row],[SchoolCodes]]),0,1)))</f>
        <v>0</v>
      </c>
      <c r="F693" s="57">
        <f>IF(ISBLANK(MEMBERS[[#This Row],[ServiceEndDate]]),0,IF(MEMBERS[[#This Row],[ServiceStartDate]]&lt;MEMBERS[[#This Row],[ServiceEndDate]],0,1))</f>
        <v>0</v>
      </c>
      <c r="G693" s="57" cm="1">
        <f t="array" aca="1" ref="G693" ca="1">IF(CELL("format",MEMBERS[[#This Row],[ServiceStartDate]])="D1",0,1)+IF(CELL("format",MEMBERS[[#This Row],[ServiceEndDate]])="D1",0,1)</f>
        <v>0</v>
      </c>
      <c r="H69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93" s="57">
        <f>IF(LEN(MEMBERS[[#This Row],[StaffMemberCode]])&lt;100,0,1)</f>
        <v>0</v>
      </c>
      <c r="J693" s="57">
        <f>IF(LEN(MEMBERS[[#This Row],[Title]])&lt;100,0,1)</f>
        <v>0</v>
      </c>
      <c r="K693" s="57">
        <f>COUNTBLANK(MEMBERS[[#This Row],[StaffMemberCode]:[ServiceStartDate]])+COUNTBLANK(MEMBERS[[#This Row],[Apprenticeship]]:MEMBERS[[#This Row],[StaffMemberEnabled]])+COUNTBLANK(MEMBERS[[#This Row],[GenderCode]]:MEMBERS[[#This Row],[Casual]])</f>
        <v>0</v>
      </c>
      <c r="L693" s="57">
        <f>IF(SUBSTITUTE(TEXT(MEMBERS[[#This Row],[StaffMemberCode]],10)," ","")=TEXT(MEMBERS[[#This Row],[StaffMemberCode]],10),0,1)</f>
        <v>0</v>
      </c>
      <c r="M693" s="57">
        <f ca="1">SUM(MEMBERS[[#This Row],[Duplicate NameService Start]:[Space in Code]])</f>
        <v>0</v>
      </c>
      <c r="O693" s="15">
        <v>10012813</v>
      </c>
      <c r="P693" s="15" t="s">
        <v>3416</v>
      </c>
      <c r="Q693" s="15" t="s">
        <v>3560</v>
      </c>
      <c r="R693" s="133" t="str">
        <f>MEMBERS[[#This Row],[FirstName]]&amp;" "&amp;MEMBERS[[#This Row],[LastName]]</f>
        <v>Sarah Gibson</v>
      </c>
      <c r="S693" s="21">
        <v>45170</v>
      </c>
      <c r="U693" s="21">
        <v>30528</v>
      </c>
      <c r="V693" s="138" t="b">
        <v>0</v>
      </c>
      <c r="W693" t="b">
        <v>0</v>
      </c>
      <c r="X693" t="b">
        <v>0</v>
      </c>
      <c r="Y693" t="s">
        <v>2126</v>
      </c>
      <c r="Z693" t="b">
        <v>1</v>
      </c>
      <c r="AB693" t="s">
        <v>1571</v>
      </c>
      <c r="AC693" t="b">
        <v>0</v>
      </c>
    </row>
    <row r="694" spans="1:29" x14ac:dyDescent="0.3">
      <c r="A694" s="57" t="str">
        <f>MEMBERS[[#This Row],[Title]]&amp;MEMBERS[[#This Row],[ServiceStartDate]]</f>
        <v>Sarah Haynes43344</v>
      </c>
      <c r="B694" s="57">
        <f>IF(COUNTIF(MEMBERS[NameServiceStart],MEMBERS[[#This Row],[NameServiceStart]])=1,0,1)</f>
        <v>0</v>
      </c>
      <c r="C694" s="57">
        <f>IF(COUNTIF(MEMBERS[StaffMemberCode],MEMBERS[[#This Row],[StaffMemberCode]])=1,0,1)</f>
        <v>0</v>
      </c>
      <c r="D694" s="57">
        <f>IF(ISBLANK(MEMBERS[[#This Row],[PayrollLocation]]),0,IF(COUNTIF(SCHOOLS[SchoolCode],MEMBERS[[#This Row],[PayrollLocation]])=1,0,1))</f>
        <v>0</v>
      </c>
      <c r="E694" s="57">
        <f>IF(MEMBERS[[#This Row],[AvailableToAllSchools]]=FALSE,IF(ISBLANK(MEMBERS[[#This Row],[SchoolCodes]]),1,0),IF(MEMBERS[[#This Row],[AvailableToAllSchools]]=TRUE,IF(ISBLANK(MEMBERS[[#This Row],[SchoolCodes]]),0,1)))</f>
        <v>0</v>
      </c>
      <c r="F694" s="57">
        <f>IF(ISBLANK(MEMBERS[[#This Row],[ServiceEndDate]]),0,IF(MEMBERS[[#This Row],[ServiceStartDate]]&lt;MEMBERS[[#This Row],[ServiceEndDate]],0,1))</f>
        <v>0</v>
      </c>
      <c r="G694" s="57" cm="1">
        <f t="array" aca="1" ref="G694" ca="1">IF(CELL("format",MEMBERS[[#This Row],[ServiceStartDate]])="D1",0,1)+IF(CELL("format",MEMBERS[[#This Row],[ServiceEndDate]])="D1",0,1)</f>
        <v>0</v>
      </c>
      <c r="H69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94" s="57">
        <f>IF(LEN(MEMBERS[[#This Row],[StaffMemberCode]])&lt;100,0,1)</f>
        <v>0</v>
      </c>
      <c r="J694" s="57">
        <f>IF(LEN(MEMBERS[[#This Row],[Title]])&lt;100,0,1)</f>
        <v>0</v>
      </c>
      <c r="K694" s="57">
        <f>COUNTBLANK(MEMBERS[[#This Row],[StaffMemberCode]:[ServiceStartDate]])+COUNTBLANK(MEMBERS[[#This Row],[Apprenticeship]]:MEMBERS[[#This Row],[StaffMemberEnabled]])+COUNTBLANK(MEMBERS[[#This Row],[GenderCode]]:MEMBERS[[#This Row],[Casual]])</f>
        <v>0</v>
      </c>
      <c r="L694" s="57">
        <f>IF(SUBSTITUTE(TEXT(MEMBERS[[#This Row],[StaffMemberCode]],10)," ","")=TEXT(MEMBERS[[#This Row],[StaffMemberCode]],10),0,1)</f>
        <v>0</v>
      </c>
      <c r="M694" s="57">
        <f ca="1">SUM(MEMBERS[[#This Row],[Duplicate NameService Start]:[Space in Code]])</f>
        <v>0</v>
      </c>
      <c r="O694" s="15">
        <v>10006092</v>
      </c>
      <c r="P694" s="15" t="s">
        <v>3416</v>
      </c>
      <c r="Q694" s="15" t="s">
        <v>4127</v>
      </c>
      <c r="R694" s="133" t="str">
        <f>MEMBERS[[#This Row],[FirstName]]&amp;" "&amp;MEMBERS[[#This Row],[LastName]]</f>
        <v>Sarah Haynes</v>
      </c>
      <c r="S694" s="21">
        <v>43344</v>
      </c>
      <c r="U694" s="21">
        <v>23216</v>
      </c>
      <c r="V694" s="138" t="b">
        <v>0</v>
      </c>
      <c r="W694" t="b">
        <v>0</v>
      </c>
      <c r="X694" t="b">
        <v>0</v>
      </c>
      <c r="Y694" t="s">
        <v>2126</v>
      </c>
      <c r="Z694" t="b">
        <v>1</v>
      </c>
      <c r="AB694" t="s">
        <v>1571</v>
      </c>
      <c r="AC694" t="b">
        <v>0</v>
      </c>
    </row>
    <row r="695" spans="1:29" x14ac:dyDescent="0.3">
      <c r="A695" s="57" t="str">
        <f>MEMBERS[[#This Row],[Title]]&amp;MEMBERS[[#This Row],[ServiceStartDate]]</f>
        <v>Sarah Jane Ayers44420</v>
      </c>
      <c r="B695" s="57">
        <f>IF(COUNTIF(MEMBERS[NameServiceStart],MEMBERS[[#This Row],[NameServiceStart]])=1,0,1)</f>
        <v>0</v>
      </c>
      <c r="C695" s="57">
        <f>IF(COUNTIF(MEMBERS[StaffMemberCode],MEMBERS[[#This Row],[StaffMemberCode]])=1,0,1)</f>
        <v>0</v>
      </c>
      <c r="D695" s="57">
        <f>IF(ISBLANK(MEMBERS[[#This Row],[PayrollLocation]]),0,IF(COUNTIF(SCHOOLS[SchoolCode],MEMBERS[[#This Row],[PayrollLocation]])=1,0,1))</f>
        <v>0</v>
      </c>
      <c r="E695" s="57">
        <f>IF(MEMBERS[[#This Row],[AvailableToAllSchools]]=FALSE,IF(ISBLANK(MEMBERS[[#This Row],[SchoolCodes]]),1,0),IF(MEMBERS[[#This Row],[AvailableToAllSchools]]=TRUE,IF(ISBLANK(MEMBERS[[#This Row],[SchoolCodes]]),0,1)))</f>
        <v>0</v>
      </c>
      <c r="F695" s="57">
        <f>IF(ISBLANK(MEMBERS[[#This Row],[ServiceEndDate]]),0,IF(MEMBERS[[#This Row],[ServiceStartDate]]&lt;MEMBERS[[#This Row],[ServiceEndDate]],0,1))</f>
        <v>0</v>
      </c>
      <c r="G695" s="57" cm="1">
        <f t="array" aca="1" ref="G695" ca="1">IF(CELL("format",MEMBERS[[#This Row],[ServiceStartDate]])="D1",0,1)+IF(CELL("format",MEMBERS[[#This Row],[ServiceEndDate]])="D1",0,1)</f>
        <v>0</v>
      </c>
      <c r="H69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95" s="57">
        <f>IF(LEN(MEMBERS[[#This Row],[StaffMemberCode]])&lt;100,0,1)</f>
        <v>0</v>
      </c>
      <c r="J695" s="57">
        <f>IF(LEN(MEMBERS[[#This Row],[Title]])&lt;100,0,1)</f>
        <v>0</v>
      </c>
      <c r="K695" s="57">
        <f>COUNTBLANK(MEMBERS[[#This Row],[StaffMemberCode]:[ServiceStartDate]])+COUNTBLANK(MEMBERS[[#This Row],[Apprenticeship]]:MEMBERS[[#This Row],[StaffMemberEnabled]])+COUNTBLANK(MEMBERS[[#This Row],[GenderCode]]:MEMBERS[[#This Row],[Casual]])</f>
        <v>0</v>
      </c>
      <c r="L695" s="57">
        <f>IF(SUBSTITUTE(TEXT(MEMBERS[[#This Row],[StaffMemberCode]],10)," ","")=TEXT(MEMBERS[[#This Row],[StaffMemberCode]],10),0,1)</f>
        <v>0</v>
      </c>
      <c r="M695" s="57">
        <f ca="1">SUM(MEMBERS[[#This Row],[Duplicate NameService Start]:[Space in Code]])</f>
        <v>0</v>
      </c>
      <c r="O695" s="15">
        <v>91073658</v>
      </c>
      <c r="P695" s="15" t="s">
        <v>3417</v>
      </c>
      <c r="Q695" s="15" t="s">
        <v>3882</v>
      </c>
      <c r="R695" s="133" t="str">
        <f>MEMBERS[[#This Row],[FirstName]]&amp;" "&amp;MEMBERS[[#This Row],[LastName]]</f>
        <v>Sarah Jane Ayers</v>
      </c>
      <c r="S695" s="21">
        <v>44420</v>
      </c>
      <c r="U695" s="21">
        <v>30362</v>
      </c>
      <c r="V695" t="b">
        <v>0</v>
      </c>
      <c r="W695" t="b">
        <v>0</v>
      </c>
      <c r="X695" t="b">
        <v>0</v>
      </c>
      <c r="Y695" t="s">
        <v>2089</v>
      </c>
      <c r="Z695" t="b">
        <v>1</v>
      </c>
      <c r="AB695" t="s">
        <v>1571</v>
      </c>
      <c r="AC695" t="b">
        <v>0</v>
      </c>
    </row>
    <row r="696" spans="1:29" x14ac:dyDescent="0.3">
      <c r="A696" s="57" t="str">
        <f>MEMBERS[[#This Row],[Title]]&amp;MEMBERS[[#This Row],[ServiceStartDate]]</f>
        <v>Sarah Jennings45075</v>
      </c>
      <c r="B696" s="57">
        <f>IF(COUNTIF(MEMBERS[NameServiceStart],MEMBERS[[#This Row],[NameServiceStart]])=1,0,1)</f>
        <v>0</v>
      </c>
      <c r="C696" s="57">
        <f>IF(COUNTIF(MEMBERS[StaffMemberCode],MEMBERS[[#This Row],[StaffMemberCode]])=1,0,1)</f>
        <v>0</v>
      </c>
      <c r="D696" s="57">
        <f>IF(ISBLANK(MEMBERS[[#This Row],[PayrollLocation]]),0,IF(COUNTIF(SCHOOLS[SchoolCode],MEMBERS[[#This Row],[PayrollLocation]])=1,0,1))</f>
        <v>0</v>
      </c>
      <c r="E696" s="57">
        <f>IF(MEMBERS[[#This Row],[AvailableToAllSchools]]=FALSE,IF(ISBLANK(MEMBERS[[#This Row],[SchoolCodes]]),1,0),IF(MEMBERS[[#This Row],[AvailableToAllSchools]]=TRUE,IF(ISBLANK(MEMBERS[[#This Row],[SchoolCodes]]),0,1)))</f>
        <v>0</v>
      </c>
      <c r="F696" s="57">
        <f>IF(ISBLANK(MEMBERS[[#This Row],[ServiceEndDate]]),0,IF(MEMBERS[[#This Row],[ServiceStartDate]]&lt;MEMBERS[[#This Row],[ServiceEndDate]],0,1))</f>
        <v>0</v>
      </c>
      <c r="G696" s="57" cm="1">
        <f t="array" aca="1" ref="G696" ca="1">IF(CELL("format",MEMBERS[[#This Row],[ServiceStartDate]])="D1",0,1)+IF(CELL("format",MEMBERS[[#This Row],[ServiceEndDate]])="D1",0,1)</f>
        <v>0</v>
      </c>
      <c r="H69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96" s="57">
        <f>IF(LEN(MEMBERS[[#This Row],[StaffMemberCode]])&lt;100,0,1)</f>
        <v>0</v>
      </c>
      <c r="J696" s="57">
        <f>IF(LEN(MEMBERS[[#This Row],[Title]])&lt;100,0,1)</f>
        <v>0</v>
      </c>
      <c r="K696" s="57">
        <f>COUNTBLANK(MEMBERS[[#This Row],[StaffMemberCode]:[ServiceStartDate]])+COUNTBLANK(MEMBERS[[#This Row],[Apprenticeship]]:MEMBERS[[#This Row],[StaffMemberEnabled]])+COUNTBLANK(MEMBERS[[#This Row],[GenderCode]]:MEMBERS[[#This Row],[Casual]])</f>
        <v>0</v>
      </c>
      <c r="L696" s="57">
        <f>IF(SUBSTITUTE(TEXT(MEMBERS[[#This Row],[StaffMemberCode]],10)," ","")=TEXT(MEMBERS[[#This Row],[StaffMemberCode]],10),0,1)</f>
        <v>0</v>
      </c>
      <c r="M696" s="57">
        <f ca="1">SUM(MEMBERS[[#This Row],[Duplicate NameService Start]:[Space in Code]])</f>
        <v>0</v>
      </c>
      <c r="O696" s="15">
        <v>10011487</v>
      </c>
      <c r="P696" s="15" t="s">
        <v>3416</v>
      </c>
      <c r="Q696" s="15" t="s">
        <v>4097</v>
      </c>
      <c r="R696" s="133" t="str">
        <f>MEMBERS[[#This Row],[FirstName]]&amp;" "&amp;MEMBERS[[#This Row],[LastName]]</f>
        <v>Sarah Jennings</v>
      </c>
      <c r="S696" s="21">
        <v>45075</v>
      </c>
      <c r="U696" s="21">
        <v>32605</v>
      </c>
      <c r="V696" s="138" t="b">
        <v>0</v>
      </c>
      <c r="W696" t="b">
        <v>0</v>
      </c>
      <c r="X696" t="b">
        <v>0</v>
      </c>
      <c r="Y696" t="s">
        <v>2126</v>
      </c>
      <c r="Z696" t="b">
        <v>1</v>
      </c>
      <c r="AB696" t="s">
        <v>1571</v>
      </c>
      <c r="AC696" t="b">
        <v>0</v>
      </c>
    </row>
    <row r="697" spans="1:29" x14ac:dyDescent="0.3">
      <c r="A697" s="57" t="str">
        <f>MEMBERS[[#This Row],[Title]]&amp;MEMBERS[[#This Row],[ServiceStartDate]]</f>
        <v>Sarah King41295</v>
      </c>
      <c r="B697" s="57">
        <f>IF(COUNTIF(MEMBERS[NameServiceStart],MEMBERS[[#This Row],[NameServiceStart]])=1,0,1)</f>
        <v>0</v>
      </c>
      <c r="C697" s="57">
        <f>IF(COUNTIF(MEMBERS[StaffMemberCode],MEMBERS[[#This Row],[StaffMemberCode]])=1,0,1)</f>
        <v>0</v>
      </c>
      <c r="D697" s="57">
        <f>IF(ISBLANK(MEMBERS[[#This Row],[PayrollLocation]]),0,IF(COUNTIF(SCHOOLS[SchoolCode],MEMBERS[[#This Row],[PayrollLocation]])=1,0,1))</f>
        <v>0</v>
      </c>
      <c r="E697" s="57">
        <f>IF(MEMBERS[[#This Row],[AvailableToAllSchools]]=FALSE,IF(ISBLANK(MEMBERS[[#This Row],[SchoolCodes]]),1,0),IF(MEMBERS[[#This Row],[AvailableToAllSchools]]=TRUE,IF(ISBLANK(MEMBERS[[#This Row],[SchoolCodes]]),0,1)))</f>
        <v>0</v>
      </c>
      <c r="F697" s="57">
        <f>IF(ISBLANK(MEMBERS[[#This Row],[ServiceEndDate]]),0,IF(MEMBERS[[#This Row],[ServiceStartDate]]&lt;MEMBERS[[#This Row],[ServiceEndDate]],0,1))</f>
        <v>0</v>
      </c>
      <c r="G697" s="57" cm="1">
        <f t="array" aca="1" ref="G697" ca="1">IF(CELL("format",MEMBERS[[#This Row],[ServiceStartDate]])="D1",0,1)+IF(CELL("format",MEMBERS[[#This Row],[ServiceEndDate]])="D1",0,1)</f>
        <v>0</v>
      </c>
      <c r="H69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97" s="57">
        <f>IF(LEN(MEMBERS[[#This Row],[StaffMemberCode]])&lt;100,0,1)</f>
        <v>0</v>
      </c>
      <c r="J697" s="57">
        <f>IF(LEN(MEMBERS[[#This Row],[Title]])&lt;100,0,1)</f>
        <v>0</v>
      </c>
      <c r="K697" s="57">
        <f>COUNTBLANK(MEMBERS[[#This Row],[StaffMemberCode]:[ServiceStartDate]])+COUNTBLANK(MEMBERS[[#This Row],[Apprenticeship]]:MEMBERS[[#This Row],[StaffMemberEnabled]])+COUNTBLANK(MEMBERS[[#This Row],[GenderCode]]:MEMBERS[[#This Row],[Casual]])</f>
        <v>0</v>
      </c>
      <c r="L697" s="57">
        <f>IF(SUBSTITUTE(TEXT(MEMBERS[[#This Row],[StaffMemberCode]],10)," ","")=TEXT(MEMBERS[[#This Row],[StaffMemberCode]],10),0,1)</f>
        <v>0</v>
      </c>
      <c r="M697" s="57">
        <f ca="1">SUM(MEMBERS[[#This Row],[Duplicate NameService Start]:[Space in Code]])</f>
        <v>0</v>
      </c>
      <c r="O697" s="15">
        <v>10005292</v>
      </c>
      <c r="P697" s="15" t="s">
        <v>3416</v>
      </c>
      <c r="Q697" s="15" t="s">
        <v>3825</v>
      </c>
      <c r="R697" s="133" t="str">
        <f>MEMBERS[[#This Row],[FirstName]]&amp;" "&amp;MEMBERS[[#This Row],[LastName]]</f>
        <v>Sarah King</v>
      </c>
      <c r="S697" s="21">
        <v>41295</v>
      </c>
      <c r="U697" s="21">
        <v>27247</v>
      </c>
      <c r="V697" s="138" t="b">
        <v>0</v>
      </c>
      <c r="W697" t="b">
        <v>0</v>
      </c>
      <c r="X697" t="b">
        <v>0</v>
      </c>
      <c r="Y697" t="s">
        <v>2126</v>
      </c>
      <c r="Z697" t="b">
        <v>1</v>
      </c>
      <c r="AB697" t="s">
        <v>1571</v>
      </c>
      <c r="AC697" t="b">
        <v>0</v>
      </c>
    </row>
    <row r="698" spans="1:29" x14ac:dyDescent="0.3">
      <c r="A698" s="57" t="str">
        <f>MEMBERS[[#This Row],[Title]]&amp;MEMBERS[[#This Row],[ServiceStartDate]]</f>
        <v>Sarah Meredith36534</v>
      </c>
      <c r="B698" s="57">
        <f>IF(COUNTIF(MEMBERS[NameServiceStart],MEMBERS[[#This Row],[NameServiceStart]])=1,0,1)</f>
        <v>0</v>
      </c>
      <c r="C698" s="57">
        <f>IF(COUNTIF(MEMBERS[StaffMemberCode],MEMBERS[[#This Row],[StaffMemberCode]])=1,0,1)</f>
        <v>0</v>
      </c>
      <c r="D698" s="57">
        <f>IF(ISBLANK(MEMBERS[[#This Row],[PayrollLocation]]),0,IF(COUNTIF(SCHOOLS[SchoolCode],MEMBERS[[#This Row],[PayrollLocation]])=1,0,1))</f>
        <v>0</v>
      </c>
      <c r="E698" s="57">
        <f>IF(MEMBERS[[#This Row],[AvailableToAllSchools]]=FALSE,IF(ISBLANK(MEMBERS[[#This Row],[SchoolCodes]]),1,0),IF(MEMBERS[[#This Row],[AvailableToAllSchools]]=TRUE,IF(ISBLANK(MEMBERS[[#This Row],[SchoolCodes]]),0,1)))</f>
        <v>0</v>
      </c>
      <c r="F698" s="57">
        <f>IF(ISBLANK(MEMBERS[[#This Row],[ServiceEndDate]]),0,IF(MEMBERS[[#This Row],[ServiceStartDate]]&lt;MEMBERS[[#This Row],[ServiceEndDate]],0,1))</f>
        <v>0</v>
      </c>
      <c r="G698" s="57" cm="1">
        <f t="array" aca="1" ref="G698" ca="1">IF(CELL("format",MEMBERS[[#This Row],[ServiceStartDate]])="D1",0,1)+IF(CELL("format",MEMBERS[[#This Row],[ServiceEndDate]])="D1",0,1)</f>
        <v>0</v>
      </c>
      <c r="H69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98" s="57">
        <f>IF(LEN(MEMBERS[[#This Row],[StaffMemberCode]])&lt;100,0,1)</f>
        <v>0</v>
      </c>
      <c r="J698" s="57">
        <f>IF(LEN(MEMBERS[[#This Row],[Title]])&lt;100,0,1)</f>
        <v>0</v>
      </c>
      <c r="K698" s="57">
        <f>COUNTBLANK(MEMBERS[[#This Row],[StaffMemberCode]:[ServiceStartDate]])+COUNTBLANK(MEMBERS[[#This Row],[Apprenticeship]]:MEMBERS[[#This Row],[StaffMemberEnabled]])+COUNTBLANK(MEMBERS[[#This Row],[GenderCode]]:MEMBERS[[#This Row],[Casual]])</f>
        <v>0</v>
      </c>
      <c r="L698" s="57">
        <f>IF(SUBSTITUTE(TEXT(MEMBERS[[#This Row],[StaffMemberCode]],10)," ","")=TEXT(MEMBERS[[#This Row],[StaffMemberCode]],10),0,1)</f>
        <v>0</v>
      </c>
      <c r="M698" s="57">
        <f ca="1">SUM(MEMBERS[[#This Row],[Duplicate NameService Start]:[Space in Code]])</f>
        <v>0</v>
      </c>
      <c r="O698" s="15">
        <v>91073450</v>
      </c>
      <c r="P698" s="15" t="s">
        <v>3416</v>
      </c>
      <c r="Q698" s="15" t="s">
        <v>3878</v>
      </c>
      <c r="R698" s="133" t="str">
        <f>MEMBERS[[#This Row],[FirstName]]&amp;" "&amp;MEMBERS[[#This Row],[LastName]]</f>
        <v>Sarah Meredith</v>
      </c>
      <c r="S698" s="21">
        <v>36534</v>
      </c>
      <c r="U698" s="21">
        <v>28161</v>
      </c>
      <c r="V698" t="b">
        <v>0</v>
      </c>
      <c r="W698" t="b">
        <v>0</v>
      </c>
      <c r="X698" t="b">
        <v>0</v>
      </c>
      <c r="Y698" t="s">
        <v>2094</v>
      </c>
      <c r="Z698" t="b">
        <v>1</v>
      </c>
      <c r="AB698" t="s">
        <v>1571</v>
      </c>
      <c r="AC698" t="b">
        <v>0</v>
      </c>
    </row>
    <row r="699" spans="1:29" x14ac:dyDescent="0.3">
      <c r="A699" s="57" t="str">
        <f>MEMBERS[[#This Row],[Title]]&amp;MEMBERS[[#This Row],[ServiceStartDate]]</f>
        <v>Sarah Mottram41561</v>
      </c>
      <c r="B699" s="57">
        <f>IF(COUNTIF(MEMBERS[NameServiceStart],MEMBERS[[#This Row],[NameServiceStart]])=1,0,1)</f>
        <v>0</v>
      </c>
      <c r="C699" s="57">
        <f>IF(COUNTIF(MEMBERS[StaffMemberCode],MEMBERS[[#This Row],[StaffMemberCode]])=1,0,1)</f>
        <v>0</v>
      </c>
      <c r="D699" s="57">
        <f>IF(ISBLANK(MEMBERS[[#This Row],[PayrollLocation]]),0,IF(COUNTIF(SCHOOLS[SchoolCode],MEMBERS[[#This Row],[PayrollLocation]])=1,0,1))</f>
        <v>0</v>
      </c>
      <c r="E699" s="57">
        <f>IF(MEMBERS[[#This Row],[AvailableToAllSchools]]=FALSE,IF(ISBLANK(MEMBERS[[#This Row],[SchoolCodes]]),1,0),IF(MEMBERS[[#This Row],[AvailableToAllSchools]]=TRUE,IF(ISBLANK(MEMBERS[[#This Row],[SchoolCodes]]),0,1)))</f>
        <v>0</v>
      </c>
      <c r="F699" s="57">
        <f>IF(ISBLANK(MEMBERS[[#This Row],[ServiceEndDate]]),0,IF(MEMBERS[[#This Row],[ServiceStartDate]]&lt;MEMBERS[[#This Row],[ServiceEndDate]],0,1))</f>
        <v>0</v>
      </c>
      <c r="G699" s="57" cm="1">
        <f t="array" aca="1" ref="G699" ca="1">IF(CELL("format",MEMBERS[[#This Row],[ServiceStartDate]])="D1",0,1)+IF(CELL("format",MEMBERS[[#This Row],[ServiceEndDate]])="D1",0,1)</f>
        <v>0</v>
      </c>
      <c r="H69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699" s="57">
        <f>IF(LEN(MEMBERS[[#This Row],[StaffMemberCode]])&lt;100,0,1)</f>
        <v>0</v>
      </c>
      <c r="J699" s="57">
        <f>IF(LEN(MEMBERS[[#This Row],[Title]])&lt;100,0,1)</f>
        <v>0</v>
      </c>
      <c r="K699" s="57">
        <f>COUNTBLANK(MEMBERS[[#This Row],[StaffMemberCode]:[ServiceStartDate]])+COUNTBLANK(MEMBERS[[#This Row],[Apprenticeship]]:MEMBERS[[#This Row],[StaffMemberEnabled]])+COUNTBLANK(MEMBERS[[#This Row],[GenderCode]]:MEMBERS[[#This Row],[Casual]])</f>
        <v>0</v>
      </c>
      <c r="L699" s="57">
        <f>IF(SUBSTITUTE(TEXT(MEMBERS[[#This Row],[StaffMemberCode]],10)," ","")=TEXT(MEMBERS[[#This Row],[StaffMemberCode]],10),0,1)</f>
        <v>0</v>
      </c>
      <c r="M699" s="57">
        <f ca="1">SUM(MEMBERS[[#This Row],[Duplicate NameService Start]:[Space in Code]])</f>
        <v>0</v>
      </c>
      <c r="O699" s="15">
        <v>91073525</v>
      </c>
      <c r="P699" s="15" t="s">
        <v>3416</v>
      </c>
      <c r="Q699" s="15" t="s">
        <v>3692</v>
      </c>
      <c r="R699" s="133" t="str">
        <f>MEMBERS[[#This Row],[FirstName]]&amp;" "&amp;MEMBERS[[#This Row],[LastName]]</f>
        <v>Sarah Mottram</v>
      </c>
      <c r="S699" s="21">
        <v>41561</v>
      </c>
      <c r="U699" s="21">
        <v>33292</v>
      </c>
      <c r="V699" t="b">
        <v>0</v>
      </c>
      <c r="W699" t="b">
        <v>0</v>
      </c>
      <c r="X699" t="b">
        <v>0</v>
      </c>
      <c r="Y699" t="s">
        <v>2094</v>
      </c>
      <c r="Z699" t="b">
        <v>1</v>
      </c>
      <c r="AB699" t="s">
        <v>1571</v>
      </c>
      <c r="AC699" t="b">
        <v>0</v>
      </c>
    </row>
    <row r="700" spans="1:29" x14ac:dyDescent="0.3">
      <c r="A700" s="57" t="str">
        <f>MEMBERS[[#This Row],[Title]]&amp;MEMBERS[[#This Row],[ServiceStartDate]]</f>
        <v>Sarah Nash45663</v>
      </c>
      <c r="B700" s="57">
        <f>IF(COUNTIF(MEMBERS[NameServiceStart],MEMBERS[[#This Row],[NameServiceStart]])=1,0,1)</f>
        <v>0</v>
      </c>
      <c r="C700" s="57">
        <f>IF(COUNTIF(MEMBERS[StaffMemberCode],MEMBERS[[#This Row],[StaffMemberCode]])=1,0,1)</f>
        <v>0</v>
      </c>
      <c r="D700" s="57">
        <f>IF(ISBLANK(MEMBERS[[#This Row],[PayrollLocation]]),0,IF(COUNTIF(SCHOOLS[SchoolCode],MEMBERS[[#This Row],[PayrollLocation]])=1,0,1))</f>
        <v>0</v>
      </c>
      <c r="E700" s="57">
        <f>IF(MEMBERS[[#This Row],[AvailableToAllSchools]]=FALSE,IF(ISBLANK(MEMBERS[[#This Row],[SchoolCodes]]),1,0),IF(MEMBERS[[#This Row],[AvailableToAllSchools]]=TRUE,IF(ISBLANK(MEMBERS[[#This Row],[SchoolCodes]]),0,1)))</f>
        <v>0</v>
      </c>
      <c r="F700" s="57">
        <f>IF(ISBLANK(MEMBERS[[#This Row],[ServiceEndDate]]),0,IF(MEMBERS[[#This Row],[ServiceStartDate]]&lt;MEMBERS[[#This Row],[ServiceEndDate]],0,1))</f>
        <v>0</v>
      </c>
      <c r="G700" s="57" cm="1">
        <f t="array" aca="1" ref="G700" ca="1">IF(CELL("format",MEMBERS[[#This Row],[ServiceStartDate]])="D1",0,1)+IF(CELL("format",MEMBERS[[#This Row],[ServiceEndDate]])="D1",0,1)</f>
        <v>0</v>
      </c>
      <c r="H70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00" s="57">
        <f>IF(LEN(MEMBERS[[#This Row],[StaffMemberCode]])&lt;100,0,1)</f>
        <v>0</v>
      </c>
      <c r="J700" s="57">
        <f>IF(LEN(MEMBERS[[#This Row],[Title]])&lt;100,0,1)</f>
        <v>0</v>
      </c>
      <c r="K700" s="57">
        <f>COUNTBLANK(MEMBERS[[#This Row],[StaffMemberCode]:[ServiceStartDate]])+COUNTBLANK(MEMBERS[[#This Row],[Apprenticeship]]:MEMBERS[[#This Row],[StaffMemberEnabled]])+COUNTBLANK(MEMBERS[[#This Row],[GenderCode]]:MEMBERS[[#This Row],[Casual]])</f>
        <v>0</v>
      </c>
      <c r="L700" s="57">
        <f>IF(SUBSTITUTE(TEXT(MEMBERS[[#This Row],[StaffMemberCode]],10)," ","")=TEXT(MEMBERS[[#This Row],[StaffMemberCode]],10),0,1)</f>
        <v>0</v>
      </c>
      <c r="M700" s="57">
        <f ca="1">SUM(MEMBERS[[#This Row],[Duplicate NameService Start]:[Space in Code]])</f>
        <v>0</v>
      </c>
      <c r="O700" s="15">
        <v>10015064</v>
      </c>
      <c r="P700" s="15" t="s">
        <v>3416</v>
      </c>
      <c r="Q700" s="15" t="s">
        <v>3496</v>
      </c>
      <c r="R700" s="133" t="str">
        <f>MEMBERS[[#This Row],[FirstName]]&amp;" "&amp;MEMBERS[[#This Row],[LastName]]</f>
        <v>Sarah Nash</v>
      </c>
      <c r="S700" s="21">
        <v>45663</v>
      </c>
      <c r="U700" s="21">
        <v>33106</v>
      </c>
      <c r="V700" s="138" t="b">
        <v>0</v>
      </c>
      <c r="W700" t="b">
        <v>0</v>
      </c>
      <c r="X700" t="b">
        <v>0</v>
      </c>
      <c r="Y700" t="s">
        <v>2126</v>
      </c>
      <c r="Z700" t="b">
        <v>1</v>
      </c>
      <c r="AB700" t="s">
        <v>1571</v>
      </c>
      <c r="AC700" t="b">
        <v>0</v>
      </c>
    </row>
    <row r="701" spans="1:29" x14ac:dyDescent="0.3">
      <c r="A701" s="57" t="str">
        <f>MEMBERS[[#This Row],[Title]]&amp;MEMBERS[[#This Row],[ServiceStartDate]]</f>
        <v>Sarah O'Neill39822</v>
      </c>
      <c r="B701" s="57">
        <f>IF(COUNTIF(MEMBERS[NameServiceStart],MEMBERS[[#This Row],[NameServiceStart]])=1,0,1)</f>
        <v>0</v>
      </c>
      <c r="C701" s="57">
        <f>IF(COUNTIF(MEMBERS[StaffMemberCode],MEMBERS[[#This Row],[StaffMemberCode]])=1,0,1)</f>
        <v>0</v>
      </c>
      <c r="D701" s="57">
        <f>IF(ISBLANK(MEMBERS[[#This Row],[PayrollLocation]]),0,IF(COUNTIF(SCHOOLS[SchoolCode],MEMBERS[[#This Row],[PayrollLocation]])=1,0,1))</f>
        <v>0</v>
      </c>
      <c r="E701" s="57">
        <f>IF(MEMBERS[[#This Row],[AvailableToAllSchools]]=FALSE,IF(ISBLANK(MEMBERS[[#This Row],[SchoolCodes]]),1,0),IF(MEMBERS[[#This Row],[AvailableToAllSchools]]=TRUE,IF(ISBLANK(MEMBERS[[#This Row],[SchoolCodes]]),0,1)))</f>
        <v>0</v>
      </c>
      <c r="F701" s="57">
        <f>IF(ISBLANK(MEMBERS[[#This Row],[ServiceEndDate]]),0,IF(MEMBERS[[#This Row],[ServiceStartDate]]&lt;MEMBERS[[#This Row],[ServiceEndDate]],0,1))</f>
        <v>0</v>
      </c>
      <c r="G701" s="57" cm="1">
        <f t="array" aca="1" ref="G701" ca="1">IF(CELL("format",MEMBERS[[#This Row],[ServiceStartDate]])="D1",0,1)+IF(CELL("format",MEMBERS[[#This Row],[ServiceEndDate]])="D1",0,1)</f>
        <v>0</v>
      </c>
      <c r="H70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01" s="57">
        <f>IF(LEN(MEMBERS[[#This Row],[StaffMemberCode]])&lt;100,0,1)</f>
        <v>0</v>
      </c>
      <c r="J701" s="57">
        <f>IF(LEN(MEMBERS[[#This Row],[Title]])&lt;100,0,1)</f>
        <v>0</v>
      </c>
      <c r="K701" s="57">
        <f>COUNTBLANK(MEMBERS[[#This Row],[StaffMemberCode]:[ServiceStartDate]])+COUNTBLANK(MEMBERS[[#This Row],[Apprenticeship]]:MEMBERS[[#This Row],[StaffMemberEnabled]])+COUNTBLANK(MEMBERS[[#This Row],[GenderCode]]:MEMBERS[[#This Row],[Casual]])</f>
        <v>0</v>
      </c>
      <c r="L701" s="57">
        <f>IF(SUBSTITUTE(TEXT(MEMBERS[[#This Row],[StaffMemberCode]],10)," ","")=TEXT(MEMBERS[[#This Row],[StaffMemberCode]],10),0,1)</f>
        <v>0</v>
      </c>
      <c r="M701" s="57">
        <f ca="1">SUM(MEMBERS[[#This Row],[Duplicate NameService Start]:[Space in Code]])</f>
        <v>0</v>
      </c>
      <c r="O701" s="15">
        <v>91073481</v>
      </c>
      <c r="P701" s="15" t="s">
        <v>3416</v>
      </c>
      <c r="Q701" s="15" t="s">
        <v>3483</v>
      </c>
      <c r="R701" s="133" t="str">
        <f>MEMBERS[[#This Row],[FirstName]]&amp;" "&amp;MEMBERS[[#This Row],[LastName]]</f>
        <v>Sarah O'Neill</v>
      </c>
      <c r="S701" s="21">
        <v>39822</v>
      </c>
      <c r="U701" s="21">
        <v>27483</v>
      </c>
      <c r="V701" t="b">
        <v>0</v>
      </c>
      <c r="W701" t="b">
        <v>0</v>
      </c>
      <c r="X701" t="b">
        <v>0</v>
      </c>
      <c r="Y701" t="s">
        <v>2094</v>
      </c>
      <c r="Z701" t="b">
        <v>1</v>
      </c>
      <c r="AB701" t="s">
        <v>1571</v>
      </c>
      <c r="AC701" t="b">
        <v>0</v>
      </c>
    </row>
    <row r="702" spans="1:29" x14ac:dyDescent="0.3">
      <c r="A702" s="57" t="str">
        <f>MEMBERS[[#This Row],[Title]]&amp;MEMBERS[[#This Row],[ServiceStartDate]]</f>
        <v>Sarah Parker44440</v>
      </c>
      <c r="B702" s="57">
        <f>IF(COUNTIF(MEMBERS[NameServiceStart],MEMBERS[[#This Row],[NameServiceStart]])=1,0,1)</f>
        <v>0</v>
      </c>
      <c r="C702" s="57">
        <f>IF(COUNTIF(MEMBERS[StaffMemberCode],MEMBERS[[#This Row],[StaffMemberCode]])=1,0,1)</f>
        <v>0</v>
      </c>
      <c r="D702" s="57">
        <f>IF(ISBLANK(MEMBERS[[#This Row],[PayrollLocation]]),0,IF(COUNTIF(SCHOOLS[SchoolCode],MEMBERS[[#This Row],[PayrollLocation]])=1,0,1))</f>
        <v>0</v>
      </c>
      <c r="E702" s="57">
        <f>IF(MEMBERS[[#This Row],[AvailableToAllSchools]]=FALSE,IF(ISBLANK(MEMBERS[[#This Row],[SchoolCodes]]),1,0),IF(MEMBERS[[#This Row],[AvailableToAllSchools]]=TRUE,IF(ISBLANK(MEMBERS[[#This Row],[SchoolCodes]]),0,1)))</f>
        <v>0</v>
      </c>
      <c r="F702" s="57">
        <f>IF(ISBLANK(MEMBERS[[#This Row],[ServiceEndDate]]),0,IF(MEMBERS[[#This Row],[ServiceStartDate]]&lt;MEMBERS[[#This Row],[ServiceEndDate]],0,1))</f>
        <v>0</v>
      </c>
      <c r="G702" s="57" cm="1">
        <f t="array" aca="1" ref="G702" ca="1">IF(CELL("format",MEMBERS[[#This Row],[ServiceStartDate]])="D1",0,1)+IF(CELL("format",MEMBERS[[#This Row],[ServiceEndDate]])="D1",0,1)</f>
        <v>0</v>
      </c>
      <c r="H70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02" s="57">
        <f>IF(LEN(MEMBERS[[#This Row],[StaffMemberCode]])&lt;100,0,1)</f>
        <v>0</v>
      </c>
      <c r="J702" s="57">
        <f>IF(LEN(MEMBERS[[#This Row],[Title]])&lt;100,0,1)</f>
        <v>0</v>
      </c>
      <c r="K702" s="57">
        <f>COUNTBLANK(MEMBERS[[#This Row],[StaffMemberCode]:[ServiceStartDate]])+COUNTBLANK(MEMBERS[[#This Row],[Apprenticeship]]:MEMBERS[[#This Row],[StaffMemberEnabled]])+COUNTBLANK(MEMBERS[[#This Row],[GenderCode]]:MEMBERS[[#This Row],[Casual]])</f>
        <v>0</v>
      </c>
      <c r="L702" s="57">
        <f>IF(SUBSTITUTE(TEXT(MEMBERS[[#This Row],[StaffMemberCode]],10)," ","")=TEXT(MEMBERS[[#This Row],[StaffMemberCode]],10),0,1)</f>
        <v>0</v>
      </c>
      <c r="M702" s="57">
        <f ca="1">SUM(MEMBERS[[#This Row],[Duplicate NameService Start]:[Space in Code]])</f>
        <v>0</v>
      </c>
      <c r="O702" s="15">
        <v>10009094</v>
      </c>
      <c r="P702" s="15" t="s">
        <v>3416</v>
      </c>
      <c r="Q702" s="15" t="s">
        <v>4128</v>
      </c>
      <c r="R702" s="133" t="str">
        <f>MEMBERS[[#This Row],[FirstName]]&amp;" "&amp;MEMBERS[[#This Row],[LastName]]</f>
        <v>Sarah Parker</v>
      </c>
      <c r="S702" s="21">
        <v>44440</v>
      </c>
      <c r="U702" s="21">
        <v>29201</v>
      </c>
      <c r="V702" s="138" t="b">
        <v>0</v>
      </c>
      <c r="W702" t="b">
        <v>0</v>
      </c>
      <c r="X702" t="b">
        <v>0</v>
      </c>
      <c r="Y702" t="s">
        <v>2126</v>
      </c>
      <c r="Z702" t="b">
        <v>1</v>
      </c>
      <c r="AB702" t="s">
        <v>1571</v>
      </c>
      <c r="AC702" t="b">
        <v>0</v>
      </c>
    </row>
    <row r="703" spans="1:29" x14ac:dyDescent="0.3">
      <c r="A703" s="57" t="str">
        <f>MEMBERS[[#This Row],[Title]]&amp;MEMBERS[[#This Row],[ServiceStartDate]]</f>
        <v>Sarah Peel38722</v>
      </c>
      <c r="B703" s="57">
        <f>IF(COUNTIF(MEMBERS[NameServiceStart],MEMBERS[[#This Row],[NameServiceStart]])=1,0,1)</f>
        <v>0</v>
      </c>
      <c r="C703" s="57">
        <f>IF(COUNTIF(MEMBERS[StaffMemberCode],MEMBERS[[#This Row],[StaffMemberCode]])=1,0,1)</f>
        <v>0</v>
      </c>
      <c r="D703" s="57">
        <f>IF(ISBLANK(MEMBERS[[#This Row],[PayrollLocation]]),0,IF(COUNTIF(SCHOOLS[SchoolCode],MEMBERS[[#This Row],[PayrollLocation]])=1,0,1))</f>
        <v>0</v>
      </c>
      <c r="E703" s="57">
        <f>IF(MEMBERS[[#This Row],[AvailableToAllSchools]]=FALSE,IF(ISBLANK(MEMBERS[[#This Row],[SchoolCodes]]),1,0),IF(MEMBERS[[#This Row],[AvailableToAllSchools]]=TRUE,IF(ISBLANK(MEMBERS[[#This Row],[SchoolCodes]]),0,1)))</f>
        <v>0</v>
      </c>
      <c r="F703" s="57">
        <f>IF(ISBLANK(MEMBERS[[#This Row],[ServiceEndDate]]),0,IF(MEMBERS[[#This Row],[ServiceStartDate]]&lt;MEMBERS[[#This Row],[ServiceEndDate]],0,1))</f>
        <v>0</v>
      </c>
      <c r="G703" s="57" cm="1">
        <f t="array" aca="1" ref="G703" ca="1">IF(CELL("format",MEMBERS[[#This Row],[ServiceStartDate]])="D1",0,1)+IF(CELL("format",MEMBERS[[#This Row],[ServiceEndDate]])="D1",0,1)</f>
        <v>0</v>
      </c>
      <c r="H70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03" s="57">
        <f>IF(LEN(MEMBERS[[#This Row],[StaffMemberCode]])&lt;100,0,1)</f>
        <v>0</v>
      </c>
      <c r="J703" s="57">
        <f>IF(LEN(MEMBERS[[#This Row],[Title]])&lt;100,0,1)</f>
        <v>0</v>
      </c>
      <c r="K703" s="57">
        <f>COUNTBLANK(MEMBERS[[#This Row],[StaffMemberCode]:[ServiceStartDate]])+COUNTBLANK(MEMBERS[[#This Row],[Apprenticeship]]:MEMBERS[[#This Row],[StaffMemberEnabled]])+COUNTBLANK(MEMBERS[[#This Row],[GenderCode]]:MEMBERS[[#This Row],[Casual]])</f>
        <v>0</v>
      </c>
      <c r="L703" s="57">
        <f>IF(SUBSTITUTE(TEXT(MEMBERS[[#This Row],[StaffMemberCode]],10)," ","")=TEXT(MEMBERS[[#This Row],[StaffMemberCode]],10),0,1)</f>
        <v>0</v>
      </c>
      <c r="M703" s="57">
        <f ca="1">SUM(MEMBERS[[#This Row],[Duplicate NameService Start]:[Space in Code]])</f>
        <v>0</v>
      </c>
      <c r="O703" s="15">
        <v>91073500</v>
      </c>
      <c r="P703" s="15" t="s">
        <v>3416</v>
      </c>
      <c r="Q703" s="15" t="s">
        <v>3879</v>
      </c>
      <c r="R703" s="133" t="str">
        <f>MEMBERS[[#This Row],[FirstName]]&amp;" "&amp;MEMBERS[[#This Row],[LastName]]</f>
        <v>Sarah Peel</v>
      </c>
      <c r="S703" s="21">
        <v>38722</v>
      </c>
      <c r="U703" s="21">
        <v>26124</v>
      </c>
      <c r="V703" t="b">
        <v>0</v>
      </c>
      <c r="W703" t="b">
        <v>0</v>
      </c>
      <c r="X703" t="b">
        <v>0</v>
      </c>
      <c r="Y703" t="s">
        <v>2094</v>
      </c>
      <c r="Z703" t="b">
        <v>1</v>
      </c>
      <c r="AB703" t="s">
        <v>1571</v>
      </c>
      <c r="AC703" t="b">
        <v>0</v>
      </c>
    </row>
    <row r="704" spans="1:29" x14ac:dyDescent="0.3">
      <c r="A704" s="57" t="str">
        <f>MEMBERS[[#This Row],[Title]]&amp;MEMBERS[[#This Row],[ServiceStartDate]]</f>
        <v>Sarah Sears-Black45259</v>
      </c>
      <c r="B704" s="57">
        <f>IF(COUNTIF(MEMBERS[NameServiceStart],MEMBERS[[#This Row],[NameServiceStart]])=1,0,1)</f>
        <v>0</v>
      </c>
      <c r="C704" s="57">
        <f>IF(COUNTIF(MEMBERS[StaffMemberCode],MEMBERS[[#This Row],[StaffMemberCode]])=1,0,1)</f>
        <v>0</v>
      </c>
      <c r="D704" s="57">
        <f>IF(ISBLANK(MEMBERS[[#This Row],[PayrollLocation]]),0,IF(COUNTIF(SCHOOLS[SchoolCode],MEMBERS[[#This Row],[PayrollLocation]])=1,0,1))</f>
        <v>0</v>
      </c>
      <c r="E704" s="57">
        <f>IF(MEMBERS[[#This Row],[AvailableToAllSchools]]=FALSE,IF(ISBLANK(MEMBERS[[#This Row],[SchoolCodes]]),1,0),IF(MEMBERS[[#This Row],[AvailableToAllSchools]]=TRUE,IF(ISBLANK(MEMBERS[[#This Row],[SchoolCodes]]),0,1)))</f>
        <v>0</v>
      </c>
      <c r="F704" s="57">
        <f>IF(ISBLANK(MEMBERS[[#This Row],[ServiceEndDate]]),0,IF(MEMBERS[[#This Row],[ServiceStartDate]]&lt;MEMBERS[[#This Row],[ServiceEndDate]],0,1))</f>
        <v>0</v>
      </c>
      <c r="G704" s="57" cm="1">
        <f t="array" aca="1" ref="G704" ca="1">IF(CELL("format",MEMBERS[[#This Row],[ServiceStartDate]])="D1",0,1)+IF(CELL("format",MEMBERS[[#This Row],[ServiceEndDate]])="D1",0,1)</f>
        <v>0</v>
      </c>
      <c r="H70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04" s="57">
        <f>IF(LEN(MEMBERS[[#This Row],[StaffMemberCode]])&lt;100,0,1)</f>
        <v>0</v>
      </c>
      <c r="J704" s="57">
        <f>IF(LEN(MEMBERS[[#This Row],[Title]])&lt;100,0,1)</f>
        <v>0</v>
      </c>
      <c r="K704" s="57">
        <f>COUNTBLANK(MEMBERS[[#This Row],[StaffMemberCode]:[ServiceStartDate]])+COUNTBLANK(MEMBERS[[#This Row],[Apprenticeship]]:MEMBERS[[#This Row],[StaffMemberEnabled]])+COUNTBLANK(MEMBERS[[#This Row],[GenderCode]]:MEMBERS[[#This Row],[Casual]])</f>
        <v>0</v>
      </c>
      <c r="L704" s="57">
        <f>IF(SUBSTITUTE(TEXT(MEMBERS[[#This Row],[StaffMemberCode]],10)," ","")=TEXT(MEMBERS[[#This Row],[StaffMemberCode]],10),0,1)</f>
        <v>0</v>
      </c>
      <c r="M704" s="57">
        <f ca="1">SUM(MEMBERS[[#This Row],[Duplicate NameService Start]:[Space in Code]])</f>
        <v>0</v>
      </c>
      <c r="O704" s="15">
        <v>91073627</v>
      </c>
      <c r="P704" s="15" t="s">
        <v>3416</v>
      </c>
      <c r="Q704" s="15" t="s">
        <v>3880</v>
      </c>
      <c r="R704" s="133" t="str">
        <f>MEMBERS[[#This Row],[FirstName]]&amp;" "&amp;MEMBERS[[#This Row],[LastName]]</f>
        <v>Sarah Sears-Black</v>
      </c>
      <c r="S704" s="21">
        <v>45259</v>
      </c>
      <c r="U704" s="21">
        <v>22491</v>
      </c>
      <c r="V704" t="b">
        <v>0</v>
      </c>
      <c r="W704" t="b">
        <v>0</v>
      </c>
      <c r="X704" t="b">
        <v>0</v>
      </c>
      <c r="Y704" t="s">
        <v>2094</v>
      </c>
      <c r="Z704" t="b">
        <v>1</v>
      </c>
      <c r="AB704" t="s">
        <v>1571</v>
      </c>
      <c r="AC704" t="b">
        <v>0</v>
      </c>
    </row>
    <row r="705" spans="1:29" x14ac:dyDescent="0.3">
      <c r="A705" s="57" t="str">
        <f>MEMBERS[[#This Row],[Title]]&amp;MEMBERS[[#This Row],[ServiceStartDate]]</f>
        <v>Sarah Skingle40275</v>
      </c>
      <c r="B705" s="57">
        <f>IF(COUNTIF(MEMBERS[NameServiceStart],MEMBERS[[#This Row],[NameServiceStart]])=1,0,1)</f>
        <v>0</v>
      </c>
      <c r="C705" s="57">
        <f>IF(COUNTIF(MEMBERS[StaffMemberCode],MEMBERS[[#This Row],[StaffMemberCode]])=1,0,1)</f>
        <v>0</v>
      </c>
      <c r="D705" s="57">
        <f>IF(ISBLANK(MEMBERS[[#This Row],[PayrollLocation]]),0,IF(COUNTIF(SCHOOLS[SchoolCode],MEMBERS[[#This Row],[PayrollLocation]])=1,0,1))</f>
        <v>0</v>
      </c>
      <c r="E705" s="57">
        <f>IF(MEMBERS[[#This Row],[AvailableToAllSchools]]=FALSE,IF(ISBLANK(MEMBERS[[#This Row],[SchoolCodes]]),1,0),IF(MEMBERS[[#This Row],[AvailableToAllSchools]]=TRUE,IF(ISBLANK(MEMBERS[[#This Row],[SchoolCodes]]),0,1)))</f>
        <v>0</v>
      </c>
      <c r="F705" s="57">
        <f>IF(ISBLANK(MEMBERS[[#This Row],[ServiceEndDate]]),0,IF(MEMBERS[[#This Row],[ServiceStartDate]]&lt;MEMBERS[[#This Row],[ServiceEndDate]],0,1))</f>
        <v>0</v>
      </c>
      <c r="G705" s="57" cm="1">
        <f t="array" aca="1" ref="G705" ca="1">IF(CELL("format",MEMBERS[[#This Row],[ServiceStartDate]])="D1",0,1)+IF(CELL("format",MEMBERS[[#This Row],[ServiceEndDate]])="D1",0,1)</f>
        <v>0</v>
      </c>
      <c r="H70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05" s="57">
        <f>IF(LEN(MEMBERS[[#This Row],[StaffMemberCode]])&lt;100,0,1)</f>
        <v>0</v>
      </c>
      <c r="J705" s="57">
        <f>IF(LEN(MEMBERS[[#This Row],[Title]])&lt;100,0,1)</f>
        <v>0</v>
      </c>
      <c r="K705" s="57">
        <f>COUNTBLANK(MEMBERS[[#This Row],[StaffMemberCode]:[ServiceStartDate]])+COUNTBLANK(MEMBERS[[#This Row],[Apprenticeship]]:MEMBERS[[#This Row],[StaffMemberEnabled]])+COUNTBLANK(MEMBERS[[#This Row],[GenderCode]]:MEMBERS[[#This Row],[Casual]])</f>
        <v>0</v>
      </c>
      <c r="L705" s="57">
        <f>IF(SUBSTITUTE(TEXT(MEMBERS[[#This Row],[StaffMemberCode]],10)," ","")=TEXT(MEMBERS[[#This Row],[StaffMemberCode]],10),0,1)</f>
        <v>0</v>
      </c>
      <c r="M705" s="57">
        <f ca="1">SUM(MEMBERS[[#This Row],[Duplicate NameService Start]:[Space in Code]])</f>
        <v>0</v>
      </c>
      <c r="O705" s="15">
        <v>91073763</v>
      </c>
      <c r="P705" s="15" t="s">
        <v>3416</v>
      </c>
      <c r="Q705" s="15" t="s">
        <v>3881</v>
      </c>
      <c r="R705" s="133" t="str">
        <f>MEMBERS[[#This Row],[FirstName]]&amp;" "&amp;MEMBERS[[#This Row],[LastName]]</f>
        <v>Sarah Skingle</v>
      </c>
      <c r="S705" s="21">
        <v>40275</v>
      </c>
      <c r="U705" s="21">
        <v>31952</v>
      </c>
      <c r="V705" t="b">
        <v>0</v>
      </c>
      <c r="W705" t="b">
        <v>0</v>
      </c>
      <c r="X705" t="b">
        <v>0</v>
      </c>
      <c r="Y705" t="s">
        <v>2082</v>
      </c>
      <c r="Z705" t="b">
        <v>1</v>
      </c>
      <c r="AB705" t="s">
        <v>1571</v>
      </c>
      <c r="AC705" t="b">
        <v>0</v>
      </c>
    </row>
    <row r="706" spans="1:29" x14ac:dyDescent="0.3">
      <c r="A706" s="57" t="str">
        <f>MEMBERS[[#This Row],[Title]]&amp;MEMBERS[[#This Row],[ServiceStartDate]]</f>
        <v>Sarah Sproston41883</v>
      </c>
      <c r="B706" s="57">
        <f>IF(COUNTIF(MEMBERS[NameServiceStart],MEMBERS[[#This Row],[NameServiceStart]])=1,0,1)</f>
        <v>0</v>
      </c>
      <c r="C706" s="57">
        <f>IF(COUNTIF(MEMBERS[StaffMemberCode],MEMBERS[[#This Row],[StaffMemberCode]])=1,0,1)</f>
        <v>0</v>
      </c>
      <c r="D706" s="57">
        <f>IF(ISBLANK(MEMBERS[[#This Row],[PayrollLocation]]),0,IF(COUNTIF(SCHOOLS[SchoolCode],MEMBERS[[#This Row],[PayrollLocation]])=1,0,1))</f>
        <v>0</v>
      </c>
      <c r="E706" s="57">
        <f>IF(MEMBERS[[#This Row],[AvailableToAllSchools]]=FALSE,IF(ISBLANK(MEMBERS[[#This Row],[SchoolCodes]]),1,0),IF(MEMBERS[[#This Row],[AvailableToAllSchools]]=TRUE,IF(ISBLANK(MEMBERS[[#This Row],[SchoolCodes]]),0,1)))</f>
        <v>0</v>
      </c>
      <c r="F706" s="57">
        <f>IF(ISBLANK(MEMBERS[[#This Row],[ServiceEndDate]]),0,IF(MEMBERS[[#This Row],[ServiceStartDate]]&lt;MEMBERS[[#This Row],[ServiceEndDate]],0,1))</f>
        <v>0</v>
      </c>
      <c r="G706" s="57" cm="1">
        <f t="array" aca="1" ref="G706" ca="1">IF(CELL("format",MEMBERS[[#This Row],[ServiceStartDate]])="D1",0,1)+IF(CELL("format",MEMBERS[[#This Row],[ServiceEndDate]])="D1",0,1)</f>
        <v>0</v>
      </c>
      <c r="H70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06" s="57">
        <f>IF(LEN(MEMBERS[[#This Row],[StaffMemberCode]])&lt;100,0,1)</f>
        <v>0</v>
      </c>
      <c r="J706" s="57">
        <f>IF(LEN(MEMBERS[[#This Row],[Title]])&lt;100,0,1)</f>
        <v>0</v>
      </c>
      <c r="K706" s="57">
        <f>COUNTBLANK(MEMBERS[[#This Row],[StaffMemberCode]:[ServiceStartDate]])+COUNTBLANK(MEMBERS[[#This Row],[Apprenticeship]]:MEMBERS[[#This Row],[StaffMemberEnabled]])+COUNTBLANK(MEMBERS[[#This Row],[GenderCode]]:MEMBERS[[#This Row],[Casual]])</f>
        <v>0</v>
      </c>
      <c r="L706" s="57">
        <f>IF(SUBSTITUTE(TEXT(MEMBERS[[#This Row],[StaffMemberCode]],10)," ","")=TEXT(MEMBERS[[#This Row],[StaffMemberCode]],10),0,1)</f>
        <v>0</v>
      </c>
      <c r="M706" s="57">
        <f ca="1">SUM(MEMBERS[[#This Row],[Duplicate NameService Start]:[Space in Code]])</f>
        <v>0</v>
      </c>
      <c r="O706" s="15">
        <v>10010135</v>
      </c>
      <c r="P706" s="15" t="s">
        <v>3416</v>
      </c>
      <c r="Q706" s="15" t="s">
        <v>3893</v>
      </c>
      <c r="R706" s="133" t="str">
        <f>MEMBERS[[#This Row],[FirstName]]&amp;" "&amp;MEMBERS[[#This Row],[LastName]]</f>
        <v>Sarah Sproston</v>
      </c>
      <c r="S706" s="21">
        <v>41883</v>
      </c>
      <c r="U706" s="21">
        <v>29586</v>
      </c>
      <c r="V706" s="138" t="b">
        <v>0</v>
      </c>
      <c r="W706" t="b">
        <v>0</v>
      </c>
      <c r="X706" t="b">
        <v>0</v>
      </c>
      <c r="Y706" t="s">
        <v>2126</v>
      </c>
      <c r="Z706" t="b">
        <v>1</v>
      </c>
      <c r="AB706" t="s">
        <v>1571</v>
      </c>
      <c r="AC706" t="b">
        <v>0</v>
      </c>
    </row>
    <row r="707" spans="1:29" x14ac:dyDescent="0.3">
      <c r="A707" s="57" t="str">
        <f>MEMBERS[[#This Row],[Title]]&amp;MEMBERS[[#This Row],[ServiceStartDate]]</f>
        <v>Sarah Stewart45201</v>
      </c>
      <c r="B707" s="57">
        <f>IF(COUNTIF(MEMBERS[NameServiceStart],MEMBERS[[#This Row],[NameServiceStart]])=1,0,1)</f>
        <v>0</v>
      </c>
      <c r="C707" s="57">
        <f>IF(COUNTIF(MEMBERS[StaffMemberCode],MEMBERS[[#This Row],[StaffMemberCode]])=1,0,1)</f>
        <v>0</v>
      </c>
      <c r="D707" s="57">
        <f>IF(ISBLANK(MEMBERS[[#This Row],[PayrollLocation]]),0,IF(COUNTIF(SCHOOLS[SchoolCode],MEMBERS[[#This Row],[PayrollLocation]])=1,0,1))</f>
        <v>0</v>
      </c>
      <c r="E707" s="57">
        <f>IF(MEMBERS[[#This Row],[AvailableToAllSchools]]=FALSE,IF(ISBLANK(MEMBERS[[#This Row],[SchoolCodes]]),1,0),IF(MEMBERS[[#This Row],[AvailableToAllSchools]]=TRUE,IF(ISBLANK(MEMBERS[[#This Row],[SchoolCodes]]),0,1)))</f>
        <v>0</v>
      </c>
      <c r="F707" s="57">
        <f>IF(ISBLANK(MEMBERS[[#This Row],[ServiceEndDate]]),0,IF(MEMBERS[[#This Row],[ServiceStartDate]]&lt;MEMBERS[[#This Row],[ServiceEndDate]],0,1))</f>
        <v>0</v>
      </c>
      <c r="G707" s="57" cm="1">
        <f t="array" aca="1" ref="G707" ca="1">IF(CELL("format",MEMBERS[[#This Row],[ServiceStartDate]])="D1",0,1)+IF(CELL("format",MEMBERS[[#This Row],[ServiceEndDate]])="D1",0,1)</f>
        <v>0</v>
      </c>
      <c r="H70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07" s="57">
        <f>IF(LEN(MEMBERS[[#This Row],[StaffMemberCode]])&lt;100,0,1)</f>
        <v>0</v>
      </c>
      <c r="J707" s="57">
        <f>IF(LEN(MEMBERS[[#This Row],[Title]])&lt;100,0,1)</f>
        <v>0</v>
      </c>
      <c r="K707" s="57">
        <f>COUNTBLANK(MEMBERS[[#This Row],[StaffMemberCode]:[ServiceStartDate]])+COUNTBLANK(MEMBERS[[#This Row],[Apprenticeship]]:MEMBERS[[#This Row],[StaffMemberEnabled]])+COUNTBLANK(MEMBERS[[#This Row],[GenderCode]]:MEMBERS[[#This Row],[Casual]])</f>
        <v>0</v>
      </c>
      <c r="L707" s="57">
        <f>IF(SUBSTITUTE(TEXT(MEMBERS[[#This Row],[StaffMemberCode]],10)," ","")=TEXT(MEMBERS[[#This Row],[StaffMemberCode]],10),0,1)</f>
        <v>0</v>
      </c>
      <c r="M707" s="57">
        <f ca="1">SUM(MEMBERS[[#This Row],[Duplicate NameService Start]:[Space in Code]])</f>
        <v>0</v>
      </c>
      <c r="O707" s="15">
        <v>10013138</v>
      </c>
      <c r="P707" s="15" t="s">
        <v>3416</v>
      </c>
      <c r="Q707" s="15" t="s">
        <v>4009</v>
      </c>
      <c r="R707" s="133" t="str">
        <f>MEMBERS[[#This Row],[FirstName]]&amp;" "&amp;MEMBERS[[#This Row],[LastName]]</f>
        <v>Sarah Stewart</v>
      </c>
      <c r="S707" s="21">
        <v>45201</v>
      </c>
      <c r="U707" s="21">
        <v>31129</v>
      </c>
      <c r="V707" s="138" t="b">
        <v>0</v>
      </c>
      <c r="W707" t="b">
        <v>0</v>
      </c>
      <c r="X707" t="b">
        <v>0</v>
      </c>
      <c r="Y707" t="s">
        <v>2126</v>
      </c>
      <c r="Z707" t="b">
        <v>1</v>
      </c>
      <c r="AB707" t="s">
        <v>1571</v>
      </c>
      <c r="AC707" t="b">
        <v>0</v>
      </c>
    </row>
    <row r="708" spans="1:29" x14ac:dyDescent="0.3">
      <c r="A708" s="57" t="str">
        <f>MEMBERS[[#This Row],[Title]]&amp;MEMBERS[[#This Row],[ServiceStartDate]]</f>
        <v>Sarah Vaughan34578</v>
      </c>
      <c r="B708" s="57">
        <f>IF(COUNTIF(MEMBERS[NameServiceStart],MEMBERS[[#This Row],[NameServiceStart]])=1,0,1)</f>
        <v>0</v>
      </c>
      <c r="C708" s="57">
        <f>IF(COUNTIF(MEMBERS[StaffMemberCode],MEMBERS[[#This Row],[StaffMemberCode]])=1,0,1)</f>
        <v>0</v>
      </c>
      <c r="D708" s="57">
        <f>IF(ISBLANK(MEMBERS[[#This Row],[PayrollLocation]]),0,IF(COUNTIF(SCHOOLS[SchoolCode],MEMBERS[[#This Row],[PayrollLocation]])=1,0,1))</f>
        <v>0</v>
      </c>
      <c r="E708" s="57">
        <f>IF(MEMBERS[[#This Row],[AvailableToAllSchools]]=FALSE,IF(ISBLANK(MEMBERS[[#This Row],[SchoolCodes]]),1,0),IF(MEMBERS[[#This Row],[AvailableToAllSchools]]=TRUE,IF(ISBLANK(MEMBERS[[#This Row],[SchoolCodes]]),0,1)))</f>
        <v>0</v>
      </c>
      <c r="F708" s="57">
        <f>IF(ISBLANK(MEMBERS[[#This Row],[ServiceEndDate]]),0,IF(MEMBERS[[#This Row],[ServiceStartDate]]&lt;MEMBERS[[#This Row],[ServiceEndDate]],0,1))</f>
        <v>0</v>
      </c>
      <c r="G708" s="57" cm="1">
        <f t="array" aca="1" ref="G708" ca="1">IF(CELL("format",MEMBERS[[#This Row],[ServiceStartDate]])="D1",0,1)+IF(CELL("format",MEMBERS[[#This Row],[ServiceEndDate]])="D1",0,1)</f>
        <v>0</v>
      </c>
      <c r="H70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08" s="57">
        <f>IF(LEN(MEMBERS[[#This Row],[StaffMemberCode]])&lt;100,0,1)</f>
        <v>0</v>
      </c>
      <c r="J708" s="57">
        <f>IF(LEN(MEMBERS[[#This Row],[Title]])&lt;100,0,1)</f>
        <v>0</v>
      </c>
      <c r="K708" s="57">
        <f>COUNTBLANK(MEMBERS[[#This Row],[StaffMemberCode]:[ServiceStartDate]])+COUNTBLANK(MEMBERS[[#This Row],[Apprenticeship]]:MEMBERS[[#This Row],[StaffMemberEnabled]])+COUNTBLANK(MEMBERS[[#This Row],[GenderCode]]:MEMBERS[[#This Row],[Casual]])</f>
        <v>0</v>
      </c>
      <c r="L708" s="57">
        <f>IF(SUBSTITUTE(TEXT(MEMBERS[[#This Row],[StaffMemberCode]],10)," ","")=TEXT(MEMBERS[[#This Row],[StaffMemberCode]],10),0,1)</f>
        <v>0</v>
      </c>
      <c r="M708" s="57">
        <f ca="1">SUM(MEMBERS[[#This Row],[Duplicate NameService Start]:[Space in Code]])</f>
        <v>0</v>
      </c>
      <c r="O708" s="15">
        <v>10005287</v>
      </c>
      <c r="P708" s="15" t="s">
        <v>3416</v>
      </c>
      <c r="Q708" s="15" t="s">
        <v>4129</v>
      </c>
      <c r="R708" s="133" t="str">
        <f>MEMBERS[[#This Row],[FirstName]]&amp;" "&amp;MEMBERS[[#This Row],[LastName]]</f>
        <v>Sarah Vaughan</v>
      </c>
      <c r="S708" s="21">
        <v>34578</v>
      </c>
      <c r="U708" s="21">
        <v>25259</v>
      </c>
      <c r="V708" s="138" t="b">
        <v>0</v>
      </c>
      <c r="W708" t="b">
        <v>0</v>
      </c>
      <c r="X708" t="b">
        <v>0</v>
      </c>
      <c r="Y708" t="s">
        <v>2126</v>
      </c>
      <c r="Z708" t="b">
        <v>1</v>
      </c>
      <c r="AB708" t="s">
        <v>1571</v>
      </c>
      <c r="AC708" t="b">
        <v>0</v>
      </c>
    </row>
    <row r="709" spans="1:29" x14ac:dyDescent="0.3">
      <c r="A709" s="57" t="str">
        <f>MEMBERS[[#This Row],[Title]]&amp;MEMBERS[[#This Row],[ServiceStartDate]]</f>
        <v>Sara-Jayne Nixon39456</v>
      </c>
      <c r="B709" s="57">
        <f>IF(COUNTIF(MEMBERS[NameServiceStart],MEMBERS[[#This Row],[NameServiceStart]])=1,0,1)</f>
        <v>0</v>
      </c>
      <c r="C709" s="57">
        <f>IF(COUNTIF(MEMBERS[StaffMemberCode],MEMBERS[[#This Row],[StaffMemberCode]])=1,0,1)</f>
        <v>0</v>
      </c>
      <c r="D709" s="57">
        <f>IF(ISBLANK(MEMBERS[[#This Row],[PayrollLocation]]),0,IF(COUNTIF(SCHOOLS[SchoolCode],MEMBERS[[#This Row],[PayrollLocation]])=1,0,1))</f>
        <v>0</v>
      </c>
      <c r="E709" s="57">
        <f>IF(MEMBERS[[#This Row],[AvailableToAllSchools]]=FALSE,IF(ISBLANK(MEMBERS[[#This Row],[SchoolCodes]]),1,0),IF(MEMBERS[[#This Row],[AvailableToAllSchools]]=TRUE,IF(ISBLANK(MEMBERS[[#This Row],[SchoolCodes]]),0,1)))</f>
        <v>0</v>
      </c>
      <c r="F709" s="57">
        <f>IF(ISBLANK(MEMBERS[[#This Row],[ServiceEndDate]]),0,IF(MEMBERS[[#This Row],[ServiceStartDate]]&lt;MEMBERS[[#This Row],[ServiceEndDate]],0,1))</f>
        <v>0</v>
      </c>
      <c r="G709" s="57" cm="1">
        <f t="array" aca="1" ref="G709" ca="1">IF(CELL("format",MEMBERS[[#This Row],[ServiceStartDate]])="D1",0,1)+IF(CELL("format",MEMBERS[[#This Row],[ServiceEndDate]])="D1",0,1)</f>
        <v>0</v>
      </c>
      <c r="H70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09" s="57">
        <f>IF(LEN(MEMBERS[[#This Row],[StaffMemberCode]])&lt;100,0,1)</f>
        <v>0</v>
      </c>
      <c r="J709" s="57">
        <f>IF(LEN(MEMBERS[[#This Row],[Title]])&lt;100,0,1)</f>
        <v>0</v>
      </c>
      <c r="K709" s="57">
        <f>COUNTBLANK(MEMBERS[[#This Row],[StaffMemberCode]:[ServiceStartDate]])+COUNTBLANK(MEMBERS[[#This Row],[Apprenticeship]]:MEMBERS[[#This Row],[StaffMemberEnabled]])+COUNTBLANK(MEMBERS[[#This Row],[GenderCode]]:MEMBERS[[#This Row],[Casual]])</f>
        <v>0</v>
      </c>
      <c r="L709" s="57">
        <f>IF(SUBSTITUTE(TEXT(MEMBERS[[#This Row],[StaffMemberCode]],10)," ","")=TEXT(MEMBERS[[#This Row],[StaffMemberCode]],10),0,1)</f>
        <v>0</v>
      </c>
      <c r="M709" s="57">
        <f ca="1">SUM(MEMBERS[[#This Row],[Duplicate NameService Start]:[Space in Code]])</f>
        <v>0</v>
      </c>
      <c r="O709" s="15">
        <v>91073663</v>
      </c>
      <c r="P709" s="15" t="s">
        <v>3418</v>
      </c>
      <c r="Q709" s="15" t="s">
        <v>3654</v>
      </c>
      <c r="R709" s="133" t="str">
        <f>MEMBERS[[#This Row],[FirstName]]&amp;" "&amp;MEMBERS[[#This Row],[LastName]]</f>
        <v>Sara-Jayne Nixon</v>
      </c>
      <c r="S709" s="21">
        <v>39456</v>
      </c>
      <c r="U709" s="21">
        <v>33059</v>
      </c>
      <c r="V709" t="b">
        <v>0</v>
      </c>
      <c r="W709" t="b">
        <v>0</v>
      </c>
      <c r="X709" t="b">
        <v>0</v>
      </c>
      <c r="Y709" t="s">
        <v>2089</v>
      </c>
      <c r="Z709" t="b">
        <v>1</v>
      </c>
      <c r="AB709" t="s">
        <v>1571</v>
      </c>
      <c r="AC709" t="b">
        <v>0</v>
      </c>
    </row>
    <row r="710" spans="1:29" x14ac:dyDescent="0.3">
      <c r="A710" s="57" t="str">
        <f>MEMBERS[[#This Row],[Title]]&amp;MEMBERS[[#This Row],[ServiceStartDate]]</f>
        <v>Seydou Bamba42614</v>
      </c>
      <c r="B710" s="57">
        <f>IF(COUNTIF(MEMBERS[NameServiceStart],MEMBERS[[#This Row],[NameServiceStart]])=1,0,1)</f>
        <v>0</v>
      </c>
      <c r="C710" s="57">
        <f>IF(COUNTIF(MEMBERS[StaffMemberCode],MEMBERS[[#This Row],[StaffMemberCode]])=1,0,1)</f>
        <v>0</v>
      </c>
      <c r="D710" s="57">
        <f>IF(ISBLANK(MEMBERS[[#This Row],[PayrollLocation]]),0,IF(COUNTIF(SCHOOLS[SchoolCode],MEMBERS[[#This Row],[PayrollLocation]])=1,0,1))</f>
        <v>0</v>
      </c>
      <c r="E710" s="57">
        <f>IF(MEMBERS[[#This Row],[AvailableToAllSchools]]=FALSE,IF(ISBLANK(MEMBERS[[#This Row],[SchoolCodes]]),1,0),IF(MEMBERS[[#This Row],[AvailableToAllSchools]]=TRUE,IF(ISBLANK(MEMBERS[[#This Row],[SchoolCodes]]),0,1)))</f>
        <v>0</v>
      </c>
      <c r="F710" s="57">
        <f>IF(ISBLANK(MEMBERS[[#This Row],[ServiceEndDate]]),0,IF(MEMBERS[[#This Row],[ServiceStartDate]]&lt;MEMBERS[[#This Row],[ServiceEndDate]],0,1))</f>
        <v>0</v>
      </c>
      <c r="G710" s="57" cm="1">
        <f t="array" aca="1" ref="G710" ca="1">IF(CELL("format",MEMBERS[[#This Row],[ServiceStartDate]])="D1",0,1)+IF(CELL("format",MEMBERS[[#This Row],[ServiceEndDate]])="D1",0,1)</f>
        <v>0</v>
      </c>
      <c r="H71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10" s="57">
        <f>IF(LEN(MEMBERS[[#This Row],[StaffMemberCode]])&lt;100,0,1)</f>
        <v>0</v>
      </c>
      <c r="J710" s="57">
        <f>IF(LEN(MEMBERS[[#This Row],[Title]])&lt;100,0,1)</f>
        <v>0</v>
      </c>
      <c r="K710" s="57">
        <f>COUNTBLANK(MEMBERS[[#This Row],[StaffMemberCode]:[ServiceStartDate]])+COUNTBLANK(MEMBERS[[#This Row],[Apprenticeship]]:MEMBERS[[#This Row],[StaffMemberEnabled]])+COUNTBLANK(MEMBERS[[#This Row],[GenderCode]]:MEMBERS[[#This Row],[Casual]])</f>
        <v>0</v>
      </c>
      <c r="L710" s="57">
        <f>IF(SUBSTITUTE(TEXT(MEMBERS[[#This Row],[StaffMemberCode]],10)," ","")=TEXT(MEMBERS[[#This Row],[StaffMemberCode]],10),0,1)</f>
        <v>0</v>
      </c>
      <c r="M710" s="57">
        <f ca="1">SUM(MEMBERS[[#This Row],[Duplicate NameService Start]:[Space in Code]])</f>
        <v>0</v>
      </c>
      <c r="O710" s="15">
        <v>91850038</v>
      </c>
      <c r="P710" s="15" t="s">
        <v>3419</v>
      </c>
      <c r="Q710" s="15" t="s">
        <v>3883</v>
      </c>
      <c r="R710" s="133" t="str">
        <f>MEMBERS[[#This Row],[FirstName]]&amp;" "&amp;MEMBERS[[#This Row],[LastName]]</f>
        <v>Seydou Bamba</v>
      </c>
      <c r="S710" s="21">
        <v>42614</v>
      </c>
      <c r="U710" s="21">
        <v>30997</v>
      </c>
      <c r="V710" t="b">
        <v>0</v>
      </c>
      <c r="W710" t="b">
        <v>0</v>
      </c>
      <c r="X710" t="b">
        <v>0</v>
      </c>
      <c r="Y710" t="s">
        <v>2082</v>
      </c>
      <c r="Z710" t="b">
        <v>1</v>
      </c>
      <c r="AB710" t="s">
        <v>1572</v>
      </c>
      <c r="AC710" t="b">
        <v>0</v>
      </c>
    </row>
    <row r="711" spans="1:29" x14ac:dyDescent="0.3">
      <c r="A711" s="57" t="str">
        <f>MEMBERS[[#This Row],[Title]]&amp;MEMBERS[[#This Row],[ServiceStartDate]]</f>
        <v>Sharon Capewell42682</v>
      </c>
      <c r="B711" s="57">
        <f>IF(COUNTIF(MEMBERS[NameServiceStart],MEMBERS[[#This Row],[NameServiceStart]])=1,0,1)</f>
        <v>0</v>
      </c>
      <c r="C711" s="57">
        <f>IF(COUNTIF(MEMBERS[StaffMemberCode],MEMBERS[[#This Row],[StaffMemberCode]])=1,0,1)</f>
        <v>0</v>
      </c>
      <c r="D711" s="57">
        <f>IF(ISBLANK(MEMBERS[[#This Row],[PayrollLocation]]),0,IF(COUNTIF(SCHOOLS[SchoolCode],MEMBERS[[#This Row],[PayrollLocation]])=1,0,1))</f>
        <v>0</v>
      </c>
      <c r="E711" s="57">
        <f>IF(MEMBERS[[#This Row],[AvailableToAllSchools]]=FALSE,IF(ISBLANK(MEMBERS[[#This Row],[SchoolCodes]]),1,0),IF(MEMBERS[[#This Row],[AvailableToAllSchools]]=TRUE,IF(ISBLANK(MEMBERS[[#This Row],[SchoolCodes]]),0,1)))</f>
        <v>0</v>
      </c>
      <c r="F711" s="57">
        <f>IF(ISBLANK(MEMBERS[[#This Row],[ServiceEndDate]]),0,IF(MEMBERS[[#This Row],[ServiceStartDate]]&lt;MEMBERS[[#This Row],[ServiceEndDate]],0,1))</f>
        <v>0</v>
      </c>
      <c r="G711" s="57" cm="1">
        <f t="array" aca="1" ref="G711" ca="1">IF(CELL("format",MEMBERS[[#This Row],[ServiceStartDate]])="D1",0,1)+IF(CELL("format",MEMBERS[[#This Row],[ServiceEndDate]])="D1",0,1)</f>
        <v>0</v>
      </c>
      <c r="H71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11" s="57">
        <f>IF(LEN(MEMBERS[[#This Row],[StaffMemberCode]])&lt;100,0,1)</f>
        <v>0</v>
      </c>
      <c r="J711" s="57">
        <f>IF(LEN(MEMBERS[[#This Row],[Title]])&lt;100,0,1)</f>
        <v>0</v>
      </c>
      <c r="K711" s="57">
        <f>COUNTBLANK(MEMBERS[[#This Row],[StaffMemberCode]:[ServiceStartDate]])+COUNTBLANK(MEMBERS[[#This Row],[Apprenticeship]]:MEMBERS[[#This Row],[StaffMemberEnabled]])+COUNTBLANK(MEMBERS[[#This Row],[GenderCode]]:MEMBERS[[#This Row],[Casual]])</f>
        <v>0</v>
      </c>
      <c r="L711" s="57">
        <f>IF(SUBSTITUTE(TEXT(MEMBERS[[#This Row],[StaffMemberCode]],10)," ","")=TEXT(MEMBERS[[#This Row],[StaffMemberCode]],10),0,1)</f>
        <v>0</v>
      </c>
      <c r="M711" s="57">
        <f ca="1">SUM(MEMBERS[[#This Row],[Duplicate NameService Start]:[Space in Code]])</f>
        <v>0</v>
      </c>
      <c r="O711" s="15">
        <v>10005370</v>
      </c>
      <c r="P711" s="15" t="s">
        <v>3420</v>
      </c>
      <c r="Q711" s="15" t="s">
        <v>4130</v>
      </c>
      <c r="R711" s="133" t="str">
        <f>MEMBERS[[#This Row],[FirstName]]&amp;" "&amp;MEMBERS[[#This Row],[LastName]]</f>
        <v>Sharon Capewell</v>
      </c>
      <c r="S711" s="21">
        <v>42682</v>
      </c>
      <c r="U711" s="21">
        <v>22369</v>
      </c>
      <c r="V711" s="138" t="b">
        <v>0</v>
      </c>
      <c r="W711" t="b">
        <v>0</v>
      </c>
      <c r="X711" t="b">
        <v>0</v>
      </c>
      <c r="Y711" t="s">
        <v>2126</v>
      </c>
      <c r="Z711" t="b">
        <v>1</v>
      </c>
      <c r="AB711" t="s">
        <v>1571</v>
      </c>
      <c r="AC711" t="b">
        <v>0</v>
      </c>
    </row>
    <row r="712" spans="1:29" x14ac:dyDescent="0.3">
      <c r="A712" s="57" t="str">
        <f>MEMBERS[[#This Row],[Title]]&amp;MEMBERS[[#This Row],[ServiceStartDate]]</f>
        <v>Sharon Houghton35836</v>
      </c>
      <c r="B712" s="57">
        <f>IF(COUNTIF(MEMBERS[NameServiceStart],MEMBERS[[#This Row],[NameServiceStart]])=1,0,1)</f>
        <v>0</v>
      </c>
      <c r="C712" s="57">
        <f>IF(COUNTIF(MEMBERS[StaffMemberCode],MEMBERS[[#This Row],[StaffMemberCode]])=1,0,1)</f>
        <v>0</v>
      </c>
      <c r="D712" s="57">
        <f>IF(ISBLANK(MEMBERS[[#This Row],[PayrollLocation]]),0,IF(COUNTIF(SCHOOLS[SchoolCode],MEMBERS[[#This Row],[PayrollLocation]])=1,0,1))</f>
        <v>0</v>
      </c>
      <c r="E712" s="57">
        <f>IF(MEMBERS[[#This Row],[AvailableToAllSchools]]=FALSE,IF(ISBLANK(MEMBERS[[#This Row],[SchoolCodes]]),1,0),IF(MEMBERS[[#This Row],[AvailableToAllSchools]]=TRUE,IF(ISBLANK(MEMBERS[[#This Row],[SchoolCodes]]),0,1)))</f>
        <v>0</v>
      </c>
      <c r="F712" s="57">
        <f>IF(ISBLANK(MEMBERS[[#This Row],[ServiceEndDate]]),0,IF(MEMBERS[[#This Row],[ServiceStartDate]]&lt;MEMBERS[[#This Row],[ServiceEndDate]],0,1))</f>
        <v>0</v>
      </c>
      <c r="G712" s="57" cm="1">
        <f t="array" aca="1" ref="G712" ca="1">IF(CELL("format",MEMBERS[[#This Row],[ServiceStartDate]])="D1",0,1)+IF(CELL("format",MEMBERS[[#This Row],[ServiceEndDate]])="D1",0,1)</f>
        <v>0</v>
      </c>
      <c r="H71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12" s="57">
        <f>IF(LEN(MEMBERS[[#This Row],[StaffMemberCode]])&lt;100,0,1)</f>
        <v>0</v>
      </c>
      <c r="J712" s="57">
        <f>IF(LEN(MEMBERS[[#This Row],[Title]])&lt;100,0,1)</f>
        <v>0</v>
      </c>
      <c r="K712" s="57">
        <f>COUNTBLANK(MEMBERS[[#This Row],[StaffMemberCode]:[ServiceStartDate]])+COUNTBLANK(MEMBERS[[#This Row],[Apprenticeship]]:MEMBERS[[#This Row],[StaffMemberEnabled]])+COUNTBLANK(MEMBERS[[#This Row],[GenderCode]]:MEMBERS[[#This Row],[Casual]])</f>
        <v>0</v>
      </c>
      <c r="L712" s="57">
        <f>IF(SUBSTITUTE(TEXT(MEMBERS[[#This Row],[StaffMemberCode]],10)," ","")=TEXT(MEMBERS[[#This Row],[StaffMemberCode]],10),0,1)</f>
        <v>0</v>
      </c>
      <c r="M712" s="57">
        <f ca="1">SUM(MEMBERS[[#This Row],[Duplicate NameService Start]:[Space in Code]])</f>
        <v>0</v>
      </c>
      <c r="O712" s="15">
        <v>91073904</v>
      </c>
      <c r="P712" s="15" t="s">
        <v>3420</v>
      </c>
      <c r="Q712" s="15" t="s">
        <v>3884</v>
      </c>
      <c r="R712" s="133" t="str">
        <f>MEMBERS[[#This Row],[FirstName]]&amp;" "&amp;MEMBERS[[#This Row],[LastName]]</f>
        <v>Sharon Houghton</v>
      </c>
      <c r="S712" s="21">
        <v>35836</v>
      </c>
      <c r="U712" s="21">
        <v>24168</v>
      </c>
      <c r="V712" t="b">
        <v>0</v>
      </c>
      <c r="W712" t="b">
        <v>0</v>
      </c>
      <c r="X712" t="b">
        <v>0</v>
      </c>
      <c r="Y712" t="s">
        <v>51</v>
      </c>
      <c r="Z712" t="b">
        <v>1</v>
      </c>
      <c r="AB712" t="s">
        <v>1571</v>
      </c>
      <c r="AC712" t="b">
        <v>0</v>
      </c>
    </row>
    <row r="713" spans="1:29" x14ac:dyDescent="0.3">
      <c r="A713" s="57" t="str">
        <f>MEMBERS[[#This Row],[Title]]&amp;MEMBERS[[#This Row],[ServiceStartDate]]</f>
        <v>Sharon Meadows45744</v>
      </c>
      <c r="B713" s="57">
        <f>IF(COUNTIF(MEMBERS[NameServiceStart],MEMBERS[[#This Row],[NameServiceStart]])=1,0,1)</f>
        <v>0</v>
      </c>
      <c r="C713" s="57">
        <f>IF(COUNTIF(MEMBERS[StaffMemberCode],MEMBERS[[#This Row],[StaffMemberCode]])=1,0,1)</f>
        <v>0</v>
      </c>
      <c r="D713" s="57">
        <f>IF(ISBLANK(MEMBERS[[#This Row],[PayrollLocation]]),0,IF(COUNTIF(SCHOOLS[SchoolCode],MEMBERS[[#This Row],[PayrollLocation]])=1,0,1))</f>
        <v>0</v>
      </c>
      <c r="E713" s="57">
        <f>IF(MEMBERS[[#This Row],[AvailableToAllSchools]]=FALSE,IF(ISBLANK(MEMBERS[[#This Row],[SchoolCodes]]),1,0),IF(MEMBERS[[#This Row],[AvailableToAllSchools]]=TRUE,IF(ISBLANK(MEMBERS[[#This Row],[SchoolCodes]]),0,1)))</f>
        <v>0</v>
      </c>
      <c r="F713" s="57">
        <f>IF(ISBLANK(MEMBERS[[#This Row],[ServiceEndDate]]),0,IF(MEMBERS[[#This Row],[ServiceStartDate]]&lt;MEMBERS[[#This Row],[ServiceEndDate]],0,1))</f>
        <v>0</v>
      </c>
      <c r="G713" s="57" cm="1">
        <f t="array" aca="1" ref="G713" ca="1">IF(CELL("format",MEMBERS[[#This Row],[ServiceStartDate]])="D1",0,1)+IF(CELL("format",MEMBERS[[#This Row],[ServiceEndDate]])="D1",0,1)</f>
        <v>0</v>
      </c>
      <c r="H71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13" s="57">
        <f>IF(LEN(MEMBERS[[#This Row],[StaffMemberCode]])&lt;100,0,1)</f>
        <v>0</v>
      </c>
      <c r="J713" s="57">
        <f>IF(LEN(MEMBERS[[#This Row],[Title]])&lt;100,0,1)</f>
        <v>0</v>
      </c>
      <c r="K713" s="57">
        <f>COUNTBLANK(MEMBERS[[#This Row],[StaffMemberCode]:[ServiceStartDate]])+COUNTBLANK(MEMBERS[[#This Row],[Apprenticeship]]:MEMBERS[[#This Row],[StaffMemberEnabled]])+COUNTBLANK(MEMBERS[[#This Row],[GenderCode]]:MEMBERS[[#This Row],[Casual]])</f>
        <v>0</v>
      </c>
      <c r="L713" s="57">
        <f>IF(SUBSTITUTE(TEXT(MEMBERS[[#This Row],[StaffMemberCode]],10)," ","")=TEXT(MEMBERS[[#This Row],[StaffMemberCode]],10),0,1)</f>
        <v>0</v>
      </c>
      <c r="M713" s="57">
        <f ca="1">SUM(MEMBERS[[#This Row],[Duplicate NameService Start]:[Space in Code]])</f>
        <v>0</v>
      </c>
      <c r="O713" s="15">
        <v>91850008</v>
      </c>
      <c r="P713" s="15" t="s">
        <v>3420</v>
      </c>
      <c r="Q713" s="15" t="s">
        <v>3885</v>
      </c>
      <c r="R713" s="133" t="str">
        <f>MEMBERS[[#This Row],[FirstName]]&amp;" "&amp;MEMBERS[[#This Row],[LastName]]</f>
        <v>Sharon Meadows</v>
      </c>
      <c r="S713" s="21">
        <v>45744</v>
      </c>
      <c r="U713" s="21">
        <v>26618</v>
      </c>
      <c r="V713" t="b">
        <v>0</v>
      </c>
      <c r="W713" t="b">
        <v>0</v>
      </c>
      <c r="X713" t="b">
        <v>0</v>
      </c>
      <c r="Y713" t="s">
        <v>2089</v>
      </c>
      <c r="Z713" t="b">
        <v>1</v>
      </c>
      <c r="AB713" t="s">
        <v>1571</v>
      </c>
      <c r="AC713" t="b">
        <v>0</v>
      </c>
    </row>
    <row r="714" spans="1:29" x14ac:dyDescent="0.3">
      <c r="A714" s="57" t="str">
        <f>MEMBERS[[#This Row],[Title]]&amp;MEMBERS[[#This Row],[ServiceStartDate]]</f>
        <v>Shaun Pickford45170</v>
      </c>
      <c r="B714" s="57">
        <f>IF(COUNTIF(MEMBERS[NameServiceStart],MEMBERS[[#This Row],[NameServiceStart]])=1,0,1)</f>
        <v>0</v>
      </c>
      <c r="C714" s="57">
        <f>IF(COUNTIF(MEMBERS[StaffMemberCode],MEMBERS[[#This Row],[StaffMemberCode]])=1,0,1)</f>
        <v>0</v>
      </c>
      <c r="D714" s="57">
        <f>IF(ISBLANK(MEMBERS[[#This Row],[PayrollLocation]]),0,IF(COUNTIF(SCHOOLS[SchoolCode],MEMBERS[[#This Row],[PayrollLocation]])=1,0,1))</f>
        <v>0</v>
      </c>
      <c r="E714" s="57">
        <f>IF(MEMBERS[[#This Row],[AvailableToAllSchools]]=FALSE,IF(ISBLANK(MEMBERS[[#This Row],[SchoolCodes]]),1,0),IF(MEMBERS[[#This Row],[AvailableToAllSchools]]=TRUE,IF(ISBLANK(MEMBERS[[#This Row],[SchoolCodes]]),0,1)))</f>
        <v>0</v>
      </c>
      <c r="F714" s="57">
        <f>IF(ISBLANK(MEMBERS[[#This Row],[ServiceEndDate]]),0,IF(MEMBERS[[#This Row],[ServiceStartDate]]&lt;MEMBERS[[#This Row],[ServiceEndDate]],0,1))</f>
        <v>0</v>
      </c>
      <c r="G714" s="57" cm="1">
        <f t="array" aca="1" ref="G714" ca="1">IF(CELL("format",MEMBERS[[#This Row],[ServiceStartDate]])="D1",0,1)+IF(CELL("format",MEMBERS[[#This Row],[ServiceEndDate]])="D1",0,1)</f>
        <v>0</v>
      </c>
      <c r="H71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14" s="57">
        <f>IF(LEN(MEMBERS[[#This Row],[StaffMemberCode]])&lt;100,0,1)</f>
        <v>0</v>
      </c>
      <c r="J714" s="57">
        <f>IF(LEN(MEMBERS[[#This Row],[Title]])&lt;100,0,1)</f>
        <v>0</v>
      </c>
      <c r="K714" s="57">
        <f>COUNTBLANK(MEMBERS[[#This Row],[StaffMemberCode]:[ServiceStartDate]])+COUNTBLANK(MEMBERS[[#This Row],[Apprenticeship]]:MEMBERS[[#This Row],[StaffMemberEnabled]])+COUNTBLANK(MEMBERS[[#This Row],[GenderCode]]:MEMBERS[[#This Row],[Casual]])</f>
        <v>0</v>
      </c>
      <c r="L714" s="57">
        <f>IF(SUBSTITUTE(TEXT(MEMBERS[[#This Row],[StaffMemberCode]],10)," ","")=TEXT(MEMBERS[[#This Row],[StaffMemberCode]],10),0,1)</f>
        <v>0</v>
      </c>
      <c r="M714" s="57">
        <f ca="1">SUM(MEMBERS[[#This Row],[Duplicate NameService Start]:[Space in Code]])</f>
        <v>0</v>
      </c>
      <c r="O714" s="15">
        <v>10016226</v>
      </c>
      <c r="P714" s="15" t="s">
        <v>4006</v>
      </c>
      <c r="Q714" s="15" t="s">
        <v>4131</v>
      </c>
      <c r="R714" s="133" t="str">
        <f>MEMBERS[[#This Row],[FirstName]]&amp;" "&amp;MEMBERS[[#This Row],[LastName]]</f>
        <v>Shaun Pickford</v>
      </c>
      <c r="S714" s="21">
        <v>45170</v>
      </c>
      <c r="U714" s="21">
        <v>32306</v>
      </c>
      <c r="V714" s="138" t="b">
        <v>0</v>
      </c>
      <c r="W714" t="b">
        <v>0</v>
      </c>
      <c r="X714" t="b">
        <v>0</v>
      </c>
      <c r="Y714" t="s">
        <v>2126</v>
      </c>
      <c r="Z714" t="b">
        <v>1</v>
      </c>
      <c r="AB714" t="s">
        <v>1572</v>
      </c>
      <c r="AC714" t="b">
        <v>0</v>
      </c>
    </row>
    <row r="715" spans="1:29" x14ac:dyDescent="0.3">
      <c r="A715" s="57" t="str">
        <f>MEMBERS[[#This Row],[Title]]&amp;MEMBERS[[#This Row],[ServiceStartDate]]</f>
        <v>Sheila Crosbie44289</v>
      </c>
      <c r="B715" s="57">
        <f>IF(COUNTIF(MEMBERS[NameServiceStart],MEMBERS[[#This Row],[NameServiceStart]])=1,0,1)</f>
        <v>0</v>
      </c>
      <c r="C715" s="57">
        <f>IF(COUNTIF(MEMBERS[StaffMemberCode],MEMBERS[[#This Row],[StaffMemberCode]])=1,0,1)</f>
        <v>0</v>
      </c>
      <c r="D715" s="57">
        <f>IF(ISBLANK(MEMBERS[[#This Row],[PayrollLocation]]),0,IF(COUNTIF(SCHOOLS[SchoolCode],MEMBERS[[#This Row],[PayrollLocation]])=1,0,1))</f>
        <v>0</v>
      </c>
      <c r="E715" s="57">
        <f>IF(MEMBERS[[#This Row],[AvailableToAllSchools]]=FALSE,IF(ISBLANK(MEMBERS[[#This Row],[SchoolCodes]]),1,0),IF(MEMBERS[[#This Row],[AvailableToAllSchools]]=TRUE,IF(ISBLANK(MEMBERS[[#This Row],[SchoolCodes]]),0,1)))</f>
        <v>0</v>
      </c>
      <c r="F715" s="57">
        <f>IF(ISBLANK(MEMBERS[[#This Row],[ServiceEndDate]]),0,IF(MEMBERS[[#This Row],[ServiceStartDate]]&lt;MEMBERS[[#This Row],[ServiceEndDate]],0,1))</f>
        <v>0</v>
      </c>
      <c r="G715" s="57" cm="1">
        <f t="array" aca="1" ref="G715" ca="1">IF(CELL("format",MEMBERS[[#This Row],[ServiceStartDate]])="D1",0,1)+IF(CELL("format",MEMBERS[[#This Row],[ServiceEndDate]])="D1",0,1)</f>
        <v>0</v>
      </c>
      <c r="H71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15" s="57">
        <f>IF(LEN(MEMBERS[[#This Row],[StaffMemberCode]])&lt;100,0,1)</f>
        <v>0</v>
      </c>
      <c r="J715" s="57">
        <f>IF(LEN(MEMBERS[[#This Row],[Title]])&lt;100,0,1)</f>
        <v>0</v>
      </c>
      <c r="K715" s="57">
        <f>COUNTBLANK(MEMBERS[[#This Row],[StaffMemberCode]:[ServiceStartDate]])+COUNTBLANK(MEMBERS[[#This Row],[Apprenticeship]]:MEMBERS[[#This Row],[StaffMemberEnabled]])+COUNTBLANK(MEMBERS[[#This Row],[GenderCode]]:MEMBERS[[#This Row],[Casual]])</f>
        <v>0</v>
      </c>
      <c r="L715" s="57">
        <f>IF(SUBSTITUTE(TEXT(MEMBERS[[#This Row],[StaffMemberCode]],10)," ","")=TEXT(MEMBERS[[#This Row],[StaffMemberCode]],10),0,1)</f>
        <v>0</v>
      </c>
      <c r="M715" s="57">
        <f ca="1">SUM(MEMBERS[[#This Row],[Duplicate NameService Start]:[Space in Code]])</f>
        <v>0</v>
      </c>
      <c r="O715" s="15">
        <v>10006555</v>
      </c>
      <c r="P715" s="15" t="s">
        <v>3421</v>
      </c>
      <c r="Q715" s="15" t="s">
        <v>4132</v>
      </c>
      <c r="R715" s="133" t="str">
        <f>MEMBERS[[#This Row],[FirstName]]&amp;" "&amp;MEMBERS[[#This Row],[LastName]]</f>
        <v>Sheila Crosbie</v>
      </c>
      <c r="S715" s="21">
        <v>44289</v>
      </c>
      <c r="U715" s="21">
        <v>20925</v>
      </c>
      <c r="V715" s="138" t="b">
        <v>0</v>
      </c>
      <c r="W715" t="b">
        <v>0</v>
      </c>
      <c r="X715" t="b">
        <v>0</v>
      </c>
      <c r="Y715" t="s">
        <v>2126</v>
      </c>
      <c r="Z715" t="b">
        <v>1</v>
      </c>
      <c r="AB715" t="s">
        <v>1571</v>
      </c>
      <c r="AC715" t="b">
        <v>1</v>
      </c>
    </row>
    <row r="716" spans="1:29" x14ac:dyDescent="0.3">
      <c r="A716" s="57" t="str">
        <f>MEMBERS[[#This Row],[Title]]&amp;MEMBERS[[#This Row],[ServiceStartDate]]</f>
        <v>Sheila Vickerman44570</v>
      </c>
      <c r="B716" s="57">
        <f>IF(COUNTIF(MEMBERS[NameServiceStart],MEMBERS[[#This Row],[NameServiceStart]])=1,0,1)</f>
        <v>0</v>
      </c>
      <c r="C716" s="57">
        <f>IF(COUNTIF(MEMBERS[StaffMemberCode],MEMBERS[[#This Row],[StaffMemberCode]])=1,0,1)</f>
        <v>0</v>
      </c>
      <c r="D716" s="57">
        <f>IF(ISBLANK(MEMBERS[[#This Row],[PayrollLocation]]),0,IF(COUNTIF(SCHOOLS[SchoolCode],MEMBERS[[#This Row],[PayrollLocation]])=1,0,1))</f>
        <v>0</v>
      </c>
      <c r="E716" s="57">
        <f>IF(MEMBERS[[#This Row],[AvailableToAllSchools]]=FALSE,IF(ISBLANK(MEMBERS[[#This Row],[SchoolCodes]]),1,0),IF(MEMBERS[[#This Row],[AvailableToAllSchools]]=TRUE,IF(ISBLANK(MEMBERS[[#This Row],[SchoolCodes]]),0,1)))</f>
        <v>0</v>
      </c>
      <c r="F716" s="57">
        <f>IF(ISBLANK(MEMBERS[[#This Row],[ServiceEndDate]]),0,IF(MEMBERS[[#This Row],[ServiceStartDate]]&lt;MEMBERS[[#This Row],[ServiceEndDate]],0,1))</f>
        <v>0</v>
      </c>
      <c r="G716" s="57" cm="1">
        <f t="array" aca="1" ref="G716" ca="1">IF(CELL("format",MEMBERS[[#This Row],[ServiceStartDate]])="D1",0,1)+IF(CELL("format",MEMBERS[[#This Row],[ServiceEndDate]])="D1",0,1)</f>
        <v>0</v>
      </c>
      <c r="H71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16" s="57">
        <f>IF(LEN(MEMBERS[[#This Row],[StaffMemberCode]])&lt;100,0,1)</f>
        <v>0</v>
      </c>
      <c r="J716" s="57">
        <f>IF(LEN(MEMBERS[[#This Row],[Title]])&lt;100,0,1)</f>
        <v>0</v>
      </c>
      <c r="K716" s="57">
        <f>COUNTBLANK(MEMBERS[[#This Row],[StaffMemberCode]:[ServiceStartDate]])+COUNTBLANK(MEMBERS[[#This Row],[Apprenticeship]]:MEMBERS[[#This Row],[StaffMemberEnabled]])+COUNTBLANK(MEMBERS[[#This Row],[GenderCode]]:MEMBERS[[#This Row],[Casual]])</f>
        <v>0</v>
      </c>
      <c r="L716" s="57">
        <f>IF(SUBSTITUTE(TEXT(MEMBERS[[#This Row],[StaffMemberCode]],10)," ","")=TEXT(MEMBERS[[#This Row],[StaffMemberCode]],10),0,1)</f>
        <v>0</v>
      </c>
      <c r="M716" s="57">
        <f ca="1">SUM(MEMBERS[[#This Row],[Duplicate NameService Start]:[Space in Code]])</f>
        <v>0</v>
      </c>
      <c r="O716" s="15">
        <v>91073595</v>
      </c>
      <c r="P716" s="15" t="s">
        <v>3421</v>
      </c>
      <c r="Q716" s="15" t="s">
        <v>3886</v>
      </c>
      <c r="R716" s="133" t="str">
        <f>MEMBERS[[#This Row],[FirstName]]&amp;" "&amp;MEMBERS[[#This Row],[LastName]]</f>
        <v>Sheila Vickerman</v>
      </c>
      <c r="S716" s="21">
        <v>44570</v>
      </c>
      <c r="U716" s="21">
        <v>22403</v>
      </c>
      <c r="V716" t="b">
        <v>0</v>
      </c>
      <c r="W716" t="b">
        <v>0</v>
      </c>
      <c r="X716" t="b">
        <v>0</v>
      </c>
      <c r="Y716" t="s">
        <v>2094</v>
      </c>
      <c r="Z716" t="b">
        <v>1</v>
      </c>
      <c r="AB716" t="s">
        <v>1571</v>
      </c>
      <c r="AC716" t="b">
        <v>1</v>
      </c>
    </row>
    <row r="717" spans="1:29" x14ac:dyDescent="0.3">
      <c r="A717" s="57" t="str">
        <f>MEMBERS[[#This Row],[Title]]&amp;MEMBERS[[#This Row],[ServiceStartDate]]</f>
        <v>Shirley Hooper42739</v>
      </c>
      <c r="B717" s="57">
        <f>IF(COUNTIF(MEMBERS[NameServiceStart],MEMBERS[[#This Row],[NameServiceStart]])=1,0,1)</f>
        <v>0</v>
      </c>
      <c r="C717" s="57">
        <f>IF(COUNTIF(MEMBERS[StaffMemberCode],MEMBERS[[#This Row],[StaffMemberCode]])=1,0,1)</f>
        <v>0</v>
      </c>
      <c r="D717" s="57">
        <f>IF(ISBLANK(MEMBERS[[#This Row],[PayrollLocation]]),0,IF(COUNTIF(SCHOOLS[SchoolCode],MEMBERS[[#This Row],[PayrollLocation]])=1,0,1))</f>
        <v>0</v>
      </c>
      <c r="E717" s="57">
        <f>IF(MEMBERS[[#This Row],[AvailableToAllSchools]]=FALSE,IF(ISBLANK(MEMBERS[[#This Row],[SchoolCodes]]),1,0),IF(MEMBERS[[#This Row],[AvailableToAllSchools]]=TRUE,IF(ISBLANK(MEMBERS[[#This Row],[SchoolCodes]]),0,1)))</f>
        <v>0</v>
      </c>
      <c r="F717" s="57">
        <f>IF(ISBLANK(MEMBERS[[#This Row],[ServiceEndDate]]),0,IF(MEMBERS[[#This Row],[ServiceStartDate]]&lt;MEMBERS[[#This Row],[ServiceEndDate]],0,1))</f>
        <v>0</v>
      </c>
      <c r="G717" s="57" cm="1">
        <f t="array" aca="1" ref="G717" ca="1">IF(CELL("format",MEMBERS[[#This Row],[ServiceStartDate]])="D1",0,1)+IF(CELL("format",MEMBERS[[#This Row],[ServiceEndDate]])="D1",0,1)</f>
        <v>0</v>
      </c>
      <c r="H71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17" s="57">
        <f>IF(LEN(MEMBERS[[#This Row],[StaffMemberCode]])&lt;100,0,1)</f>
        <v>0</v>
      </c>
      <c r="J717" s="57">
        <f>IF(LEN(MEMBERS[[#This Row],[Title]])&lt;100,0,1)</f>
        <v>0</v>
      </c>
      <c r="K717" s="57">
        <f>COUNTBLANK(MEMBERS[[#This Row],[StaffMemberCode]:[ServiceStartDate]])+COUNTBLANK(MEMBERS[[#This Row],[Apprenticeship]]:MEMBERS[[#This Row],[StaffMemberEnabled]])+COUNTBLANK(MEMBERS[[#This Row],[GenderCode]]:MEMBERS[[#This Row],[Casual]])</f>
        <v>0</v>
      </c>
      <c r="L717" s="57">
        <f>IF(SUBSTITUTE(TEXT(MEMBERS[[#This Row],[StaffMemberCode]],10)," ","")=TEXT(MEMBERS[[#This Row],[StaffMemberCode]],10),0,1)</f>
        <v>0</v>
      </c>
      <c r="M717" s="57">
        <f ca="1">SUM(MEMBERS[[#This Row],[Duplicate NameService Start]:[Space in Code]])</f>
        <v>0</v>
      </c>
      <c r="O717" s="15">
        <v>10005327</v>
      </c>
      <c r="P717" s="15" t="s">
        <v>4007</v>
      </c>
      <c r="Q717" s="15" t="s">
        <v>4133</v>
      </c>
      <c r="R717" s="133" t="str">
        <f>MEMBERS[[#This Row],[FirstName]]&amp;" "&amp;MEMBERS[[#This Row],[LastName]]</f>
        <v>Shirley Hooper</v>
      </c>
      <c r="S717" s="21">
        <v>42739</v>
      </c>
      <c r="U717" s="21">
        <v>23685</v>
      </c>
      <c r="V717" s="138" t="b">
        <v>0</v>
      </c>
      <c r="W717" t="b">
        <v>0</v>
      </c>
      <c r="X717" t="b">
        <v>0</v>
      </c>
      <c r="Y717" t="s">
        <v>2126</v>
      </c>
      <c r="Z717" t="b">
        <v>1</v>
      </c>
      <c r="AB717" t="s">
        <v>1571</v>
      </c>
      <c r="AC717" t="b">
        <v>1</v>
      </c>
    </row>
    <row r="718" spans="1:29" x14ac:dyDescent="0.3">
      <c r="A718" s="57" t="str">
        <f>MEMBERS[[#This Row],[Title]]&amp;MEMBERS[[#This Row],[ServiceStartDate]]</f>
        <v>Shirley Rogerson45348</v>
      </c>
      <c r="B718" s="57">
        <f>IF(COUNTIF(MEMBERS[NameServiceStart],MEMBERS[[#This Row],[NameServiceStart]])=1,0,1)</f>
        <v>0</v>
      </c>
      <c r="C718" s="57">
        <f>IF(COUNTIF(MEMBERS[StaffMemberCode],MEMBERS[[#This Row],[StaffMemberCode]])=1,0,1)</f>
        <v>0</v>
      </c>
      <c r="D718" s="57">
        <f>IF(ISBLANK(MEMBERS[[#This Row],[PayrollLocation]]),0,IF(COUNTIF(SCHOOLS[SchoolCode],MEMBERS[[#This Row],[PayrollLocation]])=1,0,1))</f>
        <v>0</v>
      </c>
      <c r="E718" s="57">
        <f>IF(MEMBERS[[#This Row],[AvailableToAllSchools]]=FALSE,IF(ISBLANK(MEMBERS[[#This Row],[SchoolCodes]]),1,0),IF(MEMBERS[[#This Row],[AvailableToAllSchools]]=TRUE,IF(ISBLANK(MEMBERS[[#This Row],[SchoolCodes]]),0,1)))</f>
        <v>0</v>
      </c>
      <c r="F718" s="57">
        <f>IF(ISBLANK(MEMBERS[[#This Row],[ServiceEndDate]]),0,IF(MEMBERS[[#This Row],[ServiceStartDate]]&lt;MEMBERS[[#This Row],[ServiceEndDate]],0,1))</f>
        <v>0</v>
      </c>
      <c r="G718" s="57" cm="1">
        <f t="array" aca="1" ref="G718" ca="1">IF(CELL("format",MEMBERS[[#This Row],[ServiceStartDate]])="D1",0,1)+IF(CELL("format",MEMBERS[[#This Row],[ServiceEndDate]])="D1",0,1)</f>
        <v>0</v>
      </c>
      <c r="H71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18" s="57">
        <f>IF(LEN(MEMBERS[[#This Row],[StaffMemberCode]])&lt;100,0,1)</f>
        <v>0</v>
      </c>
      <c r="J718" s="57">
        <f>IF(LEN(MEMBERS[[#This Row],[Title]])&lt;100,0,1)</f>
        <v>0</v>
      </c>
      <c r="K718" s="57">
        <f>COUNTBLANK(MEMBERS[[#This Row],[StaffMemberCode]:[ServiceStartDate]])+COUNTBLANK(MEMBERS[[#This Row],[Apprenticeship]]:MEMBERS[[#This Row],[StaffMemberEnabled]])+COUNTBLANK(MEMBERS[[#This Row],[GenderCode]]:MEMBERS[[#This Row],[Casual]])</f>
        <v>0</v>
      </c>
      <c r="L718" s="57">
        <f>IF(SUBSTITUTE(TEXT(MEMBERS[[#This Row],[StaffMemberCode]],10)," ","")=TEXT(MEMBERS[[#This Row],[StaffMemberCode]],10),0,1)</f>
        <v>0</v>
      </c>
      <c r="M718" s="57">
        <f ca="1">SUM(MEMBERS[[#This Row],[Duplicate NameService Start]:[Space in Code]])</f>
        <v>0</v>
      </c>
      <c r="O718" s="15">
        <v>10013677</v>
      </c>
      <c r="P718" s="15" t="s">
        <v>4007</v>
      </c>
      <c r="Q718" s="15" t="s">
        <v>3941</v>
      </c>
      <c r="R718" s="133" t="str">
        <f>MEMBERS[[#This Row],[FirstName]]&amp;" "&amp;MEMBERS[[#This Row],[LastName]]</f>
        <v>Shirley Rogerson</v>
      </c>
      <c r="S718" s="21">
        <v>45348</v>
      </c>
      <c r="U718" s="21">
        <v>30594</v>
      </c>
      <c r="V718" s="138" t="b">
        <v>0</v>
      </c>
      <c r="W718" t="b">
        <v>0</v>
      </c>
      <c r="X718" t="b">
        <v>0</v>
      </c>
      <c r="Y718" t="s">
        <v>2126</v>
      </c>
      <c r="Z718" t="b">
        <v>1</v>
      </c>
      <c r="AB718" t="s">
        <v>1571</v>
      </c>
      <c r="AC718" t="b">
        <v>0</v>
      </c>
    </row>
    <row r="719" spans="1:29" x14ac:dyDescent="0.3">
      <c r="A719" s="57" t="str">
        <f>MEMBERS[[#This Row],[Title]]&amp;MEMBERS[[#This Row],[ServiceStartDate]]</f>
        <v>Sian Moloney45410</v>
      </c>
      <c r="B719" s="57">
        <f>IF(COUNTIF(MEMBERS[NameServiceStart],MEMBERS[[#This Row],[NameServiceStart]])=1,0,1)</f>
        <v>0</v>
      </c>
      <c r="C719" s="57">
        <f>IF(COUNTIF(MEMBERS[StaffMemberCode],MEMBERS[[#This Row],[StaffMemberCode]])=1,0,1)</f>
        <v>0</v>
      </c>
      <c r="D719" s="57">
        <f>IF(ISBLANK(MEMBERS[[#This Row],[PayrollLocation]]),0,IF(COUNTIF(SCHOOLS[SchoolCode],MEMBERS[[#This Row],[PayrollLocation]])=1,0,1))</f>
        <v>0</v>
      </c>
      <c r="E719" s="57">
        <f>IF(MEMBERS[[#This Row],[AvailableToAllSchools]]=FALSE,IF(ISBLANK(MEMBERS[[#This Row],[SchoolCodes]]),1,0),IF(MEMBERS[[#This Row],[AvailableToAllSchools]]=TRUE,IF(ISBLANK(MEMBERS[[#This Row],[SchoolCodes]]),0,1)))</f>
        <v>0</v>
      </c>
      <c r="F719" s="57">
        <f>IF(ISBLANK(MEMBERS[[#This Row],[ServiceEndDate]]),0,IF(MEMBERS[[#This Row],[ServiceStartDate]]&lt;MEMBERS[[#This Row],[ServiceEndDate]],0,1))</f>
        <v>0</v>
      </c>
      <c r="G719" s="57" cm="1">
        <f t="array" aca="1" ref="G719" ca="1">IF(CELL("format",MEMBERS[[#This Row],[ServiceStartDate]])="D1",0,1)+IF(CELL("format",MEMBERS[[#This Row],[ServiceEndDate]])="D1",0,1)</f>
        <v>0</v>
      </c>
      <c r="H71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19" s="57">
        <f>IF(LEN(MEMBERS[[#This Row],[StaffMemberCode]])&lt;100,0,1)</f>
        <v>0</v>
      </c>
      <c r="J719" s="57">
        <f>IF(LEN(MEMBERS[[#This Row],[Title]])&lt;100,0,1)</f>
        <v>0</v>
      </c>
      <c r="K719" s="57">
        <f>COUNTBLANK(MEMBERS[[#This Row],[StaffMemberCode]:[ServiceStartDate]])+COUNTBLANK(MEMBERS[[#This Row],[Apprenticeship]]:MEMBERS[[#This Row],[StaffMemberEnabled]])+COUNTBLANK(MEMBERS[[#This Row],[GenderCode]]:MEMBERS[[#This Row],[Casual]])</f>
        <v>0</v>
      </c>
      <c r="L719" s="57">
        <f>IF(SUBSTITUTE(TEXT(MEMBERS[[#This Row],[StaffMemberCode]],10)," ","")=TEXT(MEMBERS[[#This Row],[StaffMemberCode]],10),0,1)</f>
        <v>0</v>
      </c>
      <c r="M719" s="57">
        <f ca="1">SUM(MEMBERS[[#This Row],[Duplicate NameService Start]:[Space in Code]])</f>
        <v>0</v>
      </c>
      <c r="O719" s="15">
        <v>91075780</v>
      </c>
      <c r="P719" s="15" t="s">
        <v>3422</v>
      </c>
      <c r="Q719" s="15" t="s">
        <v>3887</v>
      </c>
      <c r="R719" s="133" t="str">
        <f>MEMBERS[[#This Row],[FirstName]]&amp;" "&amp;MEMBERS[[#This Row],[LastName]]</f>
        <v>Sian Moloney</v>
      </c>
      <c r="S719" s="21">
        <v>45410</v>
      </c>
      <c r="U719" s="21">
        <v>31248</v>
      </c>
      <c r="V719" t="b">
        <v>0</v>
      </c>
      <c r="W719" t="b">
        <v>0</v>
      </c>
      <c r="X719" t="b">
        <v>0</v>
      </c>
      <c r="Y719" t="s">
        <v>2200</v>
      </c>
      <c r="Z719" t="b">
        <v>1</v>
      </c>
      <c r="AB719" t="s">
        <v>1571</v>
      </c>
      <c r="AC719" t="b">
        <v>0</v>
      </c>
    </row>
    <row r="720" spans="1:29" x14ac:dyDescent="0.3">
      <c r="A720" s="57" t="str">
        <f>MEMBERS[[#This Row],[Title]]&amp;MEMBERS[[#This Row],[ServiceStartDate]]</f>
        <v>Sian Willington42013</v>
      </c>
      <c r="B720" s="57">
        <f>IF(COUNTIF(MEMBERS[NameServiceStart],MEMBERS[[#This Row],[NameServiceStart]])=1,0,1)</f>
        <v>0</v>
      </c>
      <c r="C720" s="57">
        <f>IF(COUNTIF(MEMBERS[StaffMemberCode],MEMBERS[[#This Row],[StaffMemberCode]])=1,0,1)</f>
        <v>0</v>
      </c>
      <c r="D720" s="57">
        <f>IF(ISBLANK(MEMBERS[[#This Row],[PayrollLocation]]),0,IF(COUNTIF(SCHOOLS[SchoolCode],MEMBERS[[#This Row],[PayrollLocation]])=1,0,1))</f>
        <v>0</v>
      </c>
      <c r="E720" s="57">
        <f>IF(MEMBERS[[#This Row],[AvailableToAllSchools]]=FALSE,IF(ISBLANK(MEMBERS[[#This Row],[SchoolCodes]]),1,0),IF(MEMBERS[[#This Row],[AvailableToAllSchools]]=TRUE,IF(ISBLANK(MEMBERS[[#This Row],[SchoolCodes]]),0,1)))</f>
        <v>0</v>
      </c>
      <c r="F720" s="57">
        <f>IF(ISBLANK(MEMBERS[[#This Row],[ServiceEndDate]]),0,IF(MEMBERS[[#This Row],[ServiceStartDate]]&lt;MEMBERS[[#This Row],[ServiceEndDate]],0,1))</f>
        <v>0</v>
      </c>
      <c r="G720" s="57" cm="1">
        <f t="array" aca="1" ref="G720" ca="1">IF(CELL("format",MEMBERS[[#This Row],[ServiceStartDate]])="D1",0,1)+IF(CELL("format",MEMBERS[[#This Row],[ServiceEndDate]])="D1",0,1)</f>
        <v>0</v>
      </c>
      <c r="H72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20" s="57">
        <f>IF(LEN(MEMBERS[[#This Row],[StaffMemberCode]])&lt;100,0,1)</f>
        <v>0</v>
      </c>
      <c r="J720" s="57">
        <f>IF(LEN(MEMBERS[[#This Row],[Title]])&lt;100,0,1)</f>
        <v>0</v>
      </c>
      <c r="K720" s="57">
        <f>COUNTBLANK(MEMBERS[[#This Row],[StaffMemberCode]:[ServiceStartDate]])+COUNTBLANK(MEMBERS[[#This Row],[Apprenticeship]]:MEMBERS[[#This Row],[StaffMemberEnabled]])+COUNTBLANK(MEMBERS[[#This Row],[GenderCode]]:MEMBERS[[#This Row],[Casual]])</f>
        <v>0</v>
      </c>
      <c r="L720" s="57">
        <f>IF(SUBSTITUTE(TEXT(MEMBERS[[#This Row],[StaffMemberCode]],10)," ","")=TEXT(MEMBERS[[#This Row],[StaffMemberCode]],10),0,1)</f>
        <v>0</v>
      </c>
      <c r="M720" s="57">
        <f ca="1">SUM(MEMBERS[[#This Row],[Duplicate NameService Start]:[Space in Code]])</f>
        <v>0</v>
      </c>
      <c r="O720" s="15">
        <v>91073580</v>
      </c>
      <c r="P720" s="15" t="s">
        <v>3422</v>
      </c>
      <c r="Q720" s="15" t="s">
        <v>3888</v>
      </c>
      <c r="R720" s="133" t="str">
        <f>MEMBERS[[#This Row],[FirstName]]&amp;" "&amp;MEMBERS[[#This Row],[LastName]]</f>
        <v>Sian Willington</v>
      </c>
      <c r="S720" s="21">
        <v>42013</v>
      </c>
      <c r="U720" s="21">
        <v>32924</v>
      </c>
      <c r="V720" t="b">
        <v>0</v>
      </c>
      <c r="W720" t="b">
        <v>0</v>
      </c>
      <c r="X720" t="b">
        <v>0</v>
      </c>
      <c r="Y720" t="s">
        <v>2094</v>
      </c>
      <c r="Z720" t="b">
        <v>1</v>
      </c>
      <c r="AB720" t="s">
        <v>1571</v>
      </c>
      <c r="AC720" t="b">
        <v>0</v>
      </c>
    </row>
    <row r="721" spans="1:29" x14ac:dyDescent="0.3">
      <c r="A721" s="57" t="str">
        <f>MEMBERS[[#This Row],[Title]]&amp;MEMBERS[[#This Row],[ServiceStartDate]]</f>
        <v>Simon Gresty41648</v>
      </c>
      <c r="B721" s="57">
        <f>IF(COUNTIF(MEMBERS[NameServiceStart],MEMBERS[[#This Row],[NameServiceStart]])=1,0,1)</f>
        <v>0</v>
      </c>
      <c r="C721" s="57">
        <f>IF(COUNTIF(MEMBERS[StaffMemberCode],MEMBERS[[#This Row],[StaffMemberCode]])=1,0,1)</f>
        <v>0</v>
      </c>
      <c r="D721" s="57">
        <f>IF(ISBLANK(MEMBERS[[#This Row],[PayrollLocation]]),0,IF(COUNTIF(SCHOOLS[SchoolCode],MEMBERS[[#This Row],[PayrollLocation]])=1,0,1))</f>
        <v>0</v>
      </c>
      <c r="E721" s="57">
        <f>IF(MEMBERS[[#This Row],[AvailableToAllSchools]]=FALSE,IF(ISBLANK(MEMBERS[[#This Row],[SchoolCodes]]),1,0),IF(MEMBERS[[#This Row],[AvailableToAllSchools]]=TRUE,IF(ISBLANK(MEMBERS[[#This Row],[SchoolCodes]]),0,1)))</f>
        <v>0</v>
      </c>
      <c r="F721" s="57">
        <f>IF(ISBLANK(MEMBERS[[#This Row],[ServiceEndDate]]),0,IF(MEMBERS[[#This Row],[ServiceStartDate]]&lt;MEMBERS[[#This Row],[ServiceEndDate]],0,1))</f>
        <v>0</v>
      </c>
      <c r="G721" s="57" cm="1">
        <f t="array" aca="1" ref="G721" ca="1">IF(CELL("format",MEMBERS[[#This Row],[ServiceStartDate]])="D1",0,1)+IF(CELL("format",MEMBERS[[#This Row],[ServiceEndDate]])="D1",0,1)</f>
        <v>0</v>
      </c>
      <c r="H72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21" s="57">
        <f>IF(LEN(MEMBERS[[#This Row],[StaffMemberCode]])&lt;100,0,1)</f>
        <v>0</v>
      </c>
      <c r="J721" s="57">
        <f>IF(LEN(MEMBERS[[#This Row],[Title]])&lt;100,0,1)</f>
        <v>0</v>
      </c>
      <c r="K721" s="57">
        <f>COUNTBLANK(MEMBERS[[#This Row],[StaffMemberCode]:[ServiceStartDate]])+COUNTBLANK(MEMBERS[[#This Row],[Apprenticeship]]:MEMBERS[[#This Row],[StaffMemberEnabled]])+COUNTBLANK(MEMBERS[[#This Row],[GenderCode]]:MEMBERS[[#This Row],[Casual]])</f>
        <v>0</v>
      </c>
      <c r="L721" s="57">
        <f>IF(SUBSTITUTE(TEXT(MEMBERS[[#This Row],[StaffMemberCode]],10)," ","")=TEXT(MEMBERS[[#This Row],[StaffMemberCode]],10),0,1)</f>
        <v>0</v>
      </c>
      <c r="M721" s="57">
        <f ca="1">SUM(MEMBERS[[#This Row],[Duplicate NameService Start]:[Space in Code]])</f>
        <v>0</v>
      </c>
      <c r="O721" s="15">
        <v>91073536</v>
      </c>
      <c r="P721" s="15" t="s">
        <v>3423</v>
      </c>
      <c r="Q721" s="15" t="s">
        <v>3889</v>
      </c>
      <c r="R721" s="133" t="str">
        <f>MEMBERS[[#This Row],[FirstName]]&amp;" "&amp;MEMBERS[[#This Row],[LastName]]</f>
        <v>Simon Gresty</v>
      </c>
      <c r="S721" s="21">
        <v>41648</v>
      </c>
      <c r="U721" s="21">
        <v>30547</v>
      </c>
      <c r="V721" t="b">
        <v>0</v>
      </c>
      <c r="W721" t="b">
        <v>0</v>
      </c>
      <c r="X721" t="b">
        <v>0</v>
      </c>
      <c r="Y721" t="s">
        <v>2094</v>
      </c>
      <c r="Z721" t="b">
        <v>1</v>
      </c>
      <c r="AB721" t="s">
        <v>1572</v>
      </c>
      <c r="AC721" t="b">
        <v>0</v>
      </c>
    </row>
    <row r="722" spans="1:29" x14ac:dyDescent="0.3">
      <c r="A722" s="57" t="str">
        <f>MEMBERS[[#This Row],[Title]]&amp;MEMBERS[[#This Row],[ServiceStartDate]]</f>
        <v>Siobhan McKnight45536</v>
      </c>
      <c r="B722" s="57">
        <f>IF(COUNTIF(MEMBERS[NameServiceStart],MEMBERS[[#This Row],[NameServiceStart]])=1,0,1)</f>
        <v>0</v>
      </c>
      <c r="C722" s="57">
        <f>IF(COUNTIF(MEMBERS[StaffMemberCode],MEMBERS[[#This Row],[StaffMemberCode]])=1,0,1)</f>
        <v>0</v>
      </c>
      <c r="D722" s="57">
        <f>IF(ISBLANK(MEMBERS[[#This Row],[PayrollLocation]]),0,IF(COUNTIF(SCHOOLS[SchoolCode],MEMBERS[[#This Row],[PayrollLocation]])=1,0,1))</f>
        <v>0</v>
      </c>
      <c r="E722" s="57">
        <f>IF(MEMBERS[[#This Row],[AvailableToAllSchools]]=FALSE,IF(ISBLANK(MEMBERS[[#This Row],[SchoolCodes]]),1,0),IF(MEMBERS[[#This Row],[AvailableToAllSchools]]=TRUE,IF(ISBLANK(MEMBERS[[#This Row],[SchoolCodes]]),0,1)))</f>
        <v>0</v>
      </c>
      <c r="F722" s="57">
        <f>IF(ISBLANK(MEMBERS[[#This Row],[ServiceEndDate]]),0,IF(MEMBERS[[#This Row],[ServiceStartDate]]&lt;MEMBERS[[#This Row],[ServiceEndDate]],0,1))</f>
        <v>0</v>
      </c>
      <c r="G722" s="57" cm="1">
        <f t="array" aca="1" ref="G722" ca="1">IF(CELL("format",MEMBERS[[#This Row],[ServiceStartDate]])="D1",0,1)+IF(CELL("format",MEMBERS[[#This Row],[ServiceEndDate]])="D1",0,1)</f>
        <v>0</v>
      </c>
      <c r="H72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22" s="57">
        <f>IF(LEN(MEMBERS[[#This Row],[StaffMemberCode]])&lt;100,0,1)</f>
        <v>0</v>
      </c>
      <c r="J722" s="57">
        <f>IF(LEN(MEMBERS[[#This Row],[Title]])&lt;100,0,1)</f>
        <v>0</v>
      </c>
      <c r="K722" s="57">
        <f>COUNTBLANK(MEMBERS[[#This Row],[StaffMemberCode]:[ServiceStartDate]])+COUNTBLANK(MEMBERS[[#This Row],[Apprenticeship]]:MEMBERS[[#This Row],[StaffMemberEnabled]])+COUNTBLANK(MEMBERS[[#This Row],[GenderCode]]:MEMBERS[[#This Row],[Casual]])</f>
        <v>0</v>
      </c>
      <c r="L722" s="57">
        <f>IF(SUBSTITUTE(TEXT(MEMBERS[[#This Row],[StaffMemberCode]],10)," ","")=TEXT(MEMBERS[[#This Row],[StaffMemberCode]],10),0,1)</f>
        <v>0</v>
      </c>
      <c r="M722" s="57">
        <f ca="1">SUM(MEMBERS[[#This Row],[Duplicate NameService Start]:[Space in Code]])</f>
        <v>0</v>
      </c>
      <c r="O722" s="15">
        <v>91323687</v>
      </c>
      <c r="P722" s="15" t="s">
        <v>3424</v>
      </c>
      <c r="Q722" s="15" t="s">
        <v>3890</v>
      </c>
      <c r="R722" s="133" t="str">
        <f>MEMBERS[[#This Row],[FirstName]]&amp;" "&amp;MEMBERS[[#This Row],[LastName]]</f>
        <v>Siobhan McKnight</v>
      </c>
      <c r="S722" s="21">
        <v>45536</v>
      </c>
      <c r="U722" s="21">
        <v>31651</v>
      </c>
      <c r="V722" t="b">
        <v>0</v>
      </c>
      <c r="W722" t="b">
        <v>0</v>
      </c>
      <c r="X722" t="b">
        <v>0</v>
      </c>
      <c r="Y722" t="s">
        <v>2094</v>
      </c>
      <c r="Z722" t="b">
        <v>1</v>
      </c>
      <c r="AB722" t="s">
        <v>1571</v>
      </c>
      <c r="AC722" t="b">
        <v>0</v>
      </c>
    </row>
    <row r="723" spans="1:29" x14ac:dyDescent="0.3">
      <c r="A723" s="57" t="str">
        <f>MEMBERS[[#This Row],[Title]]&amp;MEMBERS[[#This Row],[ServiceStartDate]]</f>
        <v>Sonia Pollard42013</v>
      </c>
      <c r="B723" s="57">
        <f>IF(COUNTIF(MEMBERS[NameServiceStart],MEMBERS[[#This Row],[NameServiceStart]])=1,0,1)</f>
        <v>0</v>
      </c>
      <c r="C723" s="57">
        <f>IF(COUNTIF(MEMBERS[StaffMemberCode],MEMBERS[[#This Row],[StaffMemberCode]])=1,0,1)</f>
        <v>0</v>
      </c>
      <c r="D723" s="57">
        <f>IF(ISBLANK(MEMBERS[[#This Row],[PayrollLocation]]),0,IF(COUNTIF(SCHOOLS[SchoolCode],MEMBERS[[#This Row],[PayrollLocation]])=1,0,1))</f>
        <v>0</v>
      </c>
      <c r="E723" s="57">
        <f>IF(MEMBERS[[#This Row],[AvailableToAllSchools]]=FALSE,IF(ISBLANK(MEMBERS[[#This Row],[SchoolCodes]]),1,0),IF(MEMBERS[[#This Row],[AvailableToAllSchools]]=TRUE,IF(ISBLANK(MEMBERS[[#This Row],[SchoolCodes]]),0,1)))</f>
        <v>0</v>
      </c>
      <c r="F723" s="57">
        <f>IF(ISBLANK(MEMBERS[[#This Row],[ServiceEndDate]]),0,IF(MEMBERS[[#This Row],[ServiceStartDate]]&lt;MEMBERS[[#This Row],[ServiceEndDate]],0,1))</f>
        <v>0</v>
      </c>
      <c r="G723" s="57" cm="1">
        <f t="array" aca="1" ref="G723" ca="1">IF(CELL("format",MEMBERS[[#This Row],[ServiceStartDate]])="D1",0,1)+IF(CELL("format",MEMBERS[[#This Row],[ServiceEndDate]])="D1",0,1)</f>
        <v>0</v>
      </c>
      <c r="H72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23" s="57">
        <f>IF(LEN(MEMBERS[[#This Row],[StaffMemberCode]])&lt;100,0,1)</f>
        <v>0</v>
      </c>
      <c r="J723" s="57">
        <f>IF(LEN(MEMBERS[[#This Row],[Title]])&lt;100,0,1)</f>
        <v>0</v>
      </c>
      <c r="K723" s="57">
        <f>COUNTBLANK(MEMBERS[[#This Row],[StaffMemberCode]:[ServiceStartDate]])+COUNTBLANK(MEMBERS[[#This Row],[Apprenticeship]]:MEMBERS[[#This Row],[StaffMemberEnabled]])+COUNTBLANK(MEMBERS[[#This Row],[GenderCode]]:MEMBERS[[#This Row],[Casual]])</f>
        <v>0</v>
      </c>
      <c r="L723" s="57">
        <f>IF(SUBSTITUTE(TEXT(MEMBERS[[#This Row],[StaffMemberCode]],10)," ","")=TEXT(MEMBERS[[#This Row],[StaffMemberCode]],10),0,1)</f>
        <v>0</v>
      </c>
      <c r="M723" s="57">
        <f ca="1">SUM(MEMBERS[[#This Row],[Duplicate NameService Start]:[Space in Code]])</f>
        <v>0</v>
      </c>
      <c r="O723" s="15">
        <v>91073575</v>
      </c>
      <c r="P723" s="15" t="s">
        <v>3425</v>
      </c>
      <c r="Q723" s="15" t="s">
        <v>3544</v>
      </c>
      <c r="R723" s="133" t="str">
        <f>MEMBERS[[#This Row],[FirstName]]&amp;" "&amp;MEMBERS[[#This Row],[LastName]]</f>
        <v>Sonia Pollard</v>
      </c>
      <c r="S723" s="21">
        <v>42013</v>
      </c>
      <c r="U723" s="21">
        <v>27645</v>
      </c>
      <c r="V723" t="b">
        <v>0</v>
      </c>
      <c r="W723" t="b">
        <v>0</v>
      </c>
      <c r="X723" t="b">
        <v>0</v>
      </c>
      <c r="Y723" t="s">
        <v>2094</v>
      </c>
      <c r="Z723" t="b">
        <v>1</v>
      </c>
      <c r="AB723" t="s">
        <v>1571</v>
      </c>
      <c r="AC723" t="b">
        <v>0</v>
      </c>
    </row>
    <row r="724" spans="1:29" x14ac:dyDescent="0.3">
      <c r="A724" s="57" t="str">
        <f>MEMBERS[[#This Row],[Title]]&amp;MEMBERS[[#This Row],[ServiceStartDate]]</f>
        <v>Sonja Hollins-Wright37995</v>
      </c>
      <c r="B724" s="57">
        <f>IF(COUNTIF(MEMBERS[NameServiceStart],MEMBERS[[#This Row],[NameServiceStart]])=1,0,1)</f>
        <v>0</v>
      </c>
      <c r="C724" s="57">
        <f>IF(COUNTIF(MEMBERS[StaffMemberCode],MEMBERS[[#This Row],[StaffMemberCode]])=1,0,1)</f>
        <v>0</v>
      </c>
      <c r="D724" s="57">
        <f>IF(ISBLANK(MEMBERS[[#This Row],[PayrollLocation]]),0,IF(COUNTIF(SCHOOLS[SchoolCode],MEMBERS[[#This Row],[PayrollLocation]])=1,0,1))</f>
        <v>0</v>
      </c>
      <c r="E724" s="57">
        <f>IF(MEMBERS[[#This Row],[AvailableToAllSchools]]=FALSE,IF(ISBLANK(MEMBERS[[#This Row],[SchoolCodes]]),1,0),IF(MEMBERS[[#This Row],[AvailableToAllSchools]]=TRUE,IF(ISBLANK(MEMBERS[[#This Row],[SchoolCodes]]),0,1)))</f>
        <v>0</v>
      </c>
      <c r="F724" s="57">
        <f>IF(ISBLANK(MEMBERS[[#This Row],[ServiceEndDate]]),0,IF(MEMBERS[[#This Row],[ServiceStartDate]]&lt;MEMBERS[[#This Row],[ServiceEndDate]],0,1))</f>
        <v>0</v>
      </c>
      <c r="G724" s="57" cm="1">
        <f t="array" aca="1" ref="G724" ca="1">IF(CELL("format",MEMBERS[[#This Row],[ServiceStartDate]])="D1",0,1)+IF(CELL("format",MEMBERS[[#This Row],[ServiceEndDate]])="D1",0,1)</f>
        <v>0</v>
      </c>
      <c r="H72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24" s="57">
        <f>IF(LEN(MEMBERS[[#This Row],[StaffMemberCode]])&lt;100,0,1)</f>
        <v>0</v>
      </c>
      <c r="J724" s="57">
        <f>IF(LEN(MEMBERS[[#This Row],[Title]])&lt;100,0,1)</f>
        <v>0</v>
      </c>
      <c r="K724" s="57">
        <f>COUNTBLANK(MEMBERS[[#This Row],[StaffMemberCode]:[ServiceStartDate]])+COUNTBLANK(MEMBERS[[#This Row],[Apprenticeship]]:MEMBERS[[#This Row],[StaffMemberEnabled]])+COUNTBLANK(MEMBERS[[#This Row],[GenderCode]]:MEMBERS[[#This Row],[Casual]])</f>
        <v>0</v>
      </c>
      <c r="L724" s="57">
        <f>IF(SUBSTITUTE(TEXT(MEMBERS[[#This Row],[StaffMemberCode]],10)," ","")=TEXT(MEMBERS[[#This Row],[StaffMemberCode]],10),0,1)</f>
        <v>0</v>
      </c>
      <c r="M724" s="57">
        <f ca="1">SUM(MEMBERS[[#This Row],[Duplicate NameService Start]:[Space in Code]])</f>
        <v>0</v>
      </c>
      <c r="O724" s="15">
        <v>91073672</v>
      </c>
      <c r="P724" s="15" t="s">
        <v>3426</v>
      </c>
      <c r="Q724" s="15" t="s">
        <v>3891</v>
      </c>
      <c r="R724" s="133" t="str">
        <f>MEMBERS[[#This Row],[FirstName]]&amp;" "&amp;MEMBERS[[#This Row],[LastName]]</f>
        <v>Sonja Hollins-Wright</v>
      </c>
      <c r="S724" s="21">
        <v>37995</v>
      </c>
      <c r="U724" s="21">
        <v>26603</v>
      </c>
      <c r="V724" t="b">
        <v>0</v>
      </c>
      <c r="W724" t="b">
        <v>0</v>
      </c>
      <c r="X724" t="b">
        <v>0</v>
      </c>
      <c r="Y724" t="s">
        <v>2082</v>
      </c>
      <c r="Z724" t="b">
        <v>1</v>
      </c>
      <c r="AB724" t="s">
        <v>1571</v>
      </c>
      <c r="AC724" t="b">
        <v>0</v>
      </c>
    </row>
    <row r="725" spans="1:29" x14ac:dyDescent="0.3">
      <c r="A725" s="57" t="str">
        <f>MEMBERS[[#This Row],[Title]]&amp;MEMBERS[[#This Row],[ServiceStartDate]]</f>
        <v>Sophie Asher45811</v>
      </c>
      <c r="B725" s="57">
        <f>IF(COUNTIF(MEMBERS[NameServiceStart],MEMBERS[[#This Row],[NameServiceStart]])=1,0,1)</f>
        <v>0</v>
      </c>
      <c r="C725" s="57">
        <f>IF(COUNTIF(MEMBERS[StaffMemberCode],MEMBERS[[#This Row],[StaffMemberCode]])=1,0,1)</f>
        <v>0</v>
      </c>
      <c r="D725" s="57">
        <f>IF(ISBLANK(MEMBERS[[#This Row],[PayrollLocation]]),0,IF(COUNTIF(SCHOOLS[SchoolCode],MEMBERS[[#This Row],[PayrollLocation]])=1,0,1))</f>
        <v>0</v>
      </c>
      <c r="E725" s="57">
        <f>IF(MEMBERS[[#This Row],[AvailableToAllSchools]]=FALSE,IF(ISBLANK(MEMBERS[[#This Row],[SchoolCodes]]),1,0),IF(MEMBERS[[#This Row],[AvailableToAllSchools]]=TRUE,IF(ISBLANK(MEMBERS[[#This Row],[SchoolCodes]]),0,1)))</f>
        <v>0</v>
      </c>
      <c r="F725" s="57">
        <f>IF(ISBLANK(MEMBERS[[#This Row],[ServiceEndDate]]),0,IF(MEMBERS[[#This Row],[ServiceStartDate]]&lt;MEMBERS[[#This Row],[ServiceEndDate]],0,1))</f>
        <v>0</v>
      </c>
      <c r="G725" s="57" cm="1">
        <f t="array" aca="1" ref="G725" ca="1">IF(CELL("format",MEMBERS[[#This Row],[ServiceStartDate]])="D1",0,1)+IF(CELL("format",MEMBERS[[#This Row],[ServiceEndDate]])="D1",0,1)</f>
        <v>0</v>
      </c>
      <c r="H72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25" s="57">
        <f>IF(LEN(MEMBERS[[#This Row],[StaffMemberCode]])&lt;100,0,1)</f>
        <v>0</v>
      </c>
      <c r="J725" s="57">
        <f>IF(LEN(MEMBERS[[#This Row],[Title]])&lt;100,0,1)</f>
        <v>0</v>
      </c>
      <c r="K725" s="57">
        <f>COUNTBLANK(MEMBERS[[#This Row],[StaffMemberCode]:[ServiceStartDate]])+COUNTBLANK(MEMBERS[[#This Row],[Apprenticeship]]:MEMBERS[[#This Row],[StaffMemberEnabled]])+COUNTBLANK(MEMBERS[[#This Row],[GenderCode]]:MEMBERS[[#This Row],[Casual]])</f>
        <v>0</v>
      </c>
      <c r="L725" s="57">
        <f>IF(SUBSTITUTE(TEXT(MEMBERS[[#This Row],[StaffMemberCode]],10)," ","")=TEXT(MEMBERS[[#This Row],[StaffMemberCode]],10),0,1)</f>
        <v>0</v>
      </c>
      <c r="M725" s="57">
        <f ca="1">SUM(MEMBERS[[#This Row],[Duplicate NameService Start]:[Space in Code]])</f>
        <v>0</v>
      </c>
      <c r="O725" s="15">
        <v>91850023</v>
      </c>
      <c r="P725" s="15" t="s">
        <v>3427</v>
      </c>
      <c r="Q725" s="15" t="s">
        <v>3837</v>
      </c>
      <c r="R725" s="133" t="str">
        <f>MEMBERS[[#This Row],[FirstName]]&amp;" "&amp;MEMBERS[[#This Row],[LastName]]</f>
        <v>Sophie Asher</v>
      </c>
      <c r="S725" s="21">
        <v>45811</v>
      </c>
      <c r="U725" s="21">
        <v>35710</v>
      </c>
      <c r="V725" t="b">
        <v>0</v>
      </c>
      <c r="W725" t="b">
        <v>0</v>
      </c>
      <c r="X725" t="b">
        <v>0</v>
      </c>
      <c r="Y725" t="s">
        <v>2275</v>
      </c>
      <c r="Z725" t="b">
        <v>1</v>
      </c>
      <c r="AB725" t="s">
        <v>1571</v>
      </c>
      <c r="AC725" t="b">
        <v>1</v>
      </c>
    </row>
    <row r="726" spans="1:29" x14ac:dyDescent="0.3">
      <c r="A726" s="57" t="str">
        <f>MEMBERS[[#This Row],[Title]]&amp;MEMBERS[[#This Row],[ServiceStartDate]]</f>
        <v>Sophie Bronze45628</v>
      </c>
      <c r="B726" s="57">
        <f>IF(COUNTIF(MEMBERS[NameServiceStart],MEMBERS[[#This Row],[NameServiceStart]])=1,0,1)</f>
        <v>0</v>
      </c>
      <c r="C726" s="57">
        <f>IF(COUNTIF(MEMBERS[StaffMemberCode],MEMBERS[[#This Row],[StaffMemberCode]])=1,0,1)</f>
        <v>0</v>
      </c>
      <c r="D726" s="57">
        <f>IF(ISBLANK(MEMBERS[[#This Row],[PayrollLocation]]),0,IF(COUNTIF(SCHOOLS[SchoolCode],MEMBERS[[#This Row],[PayrollLocation]])=1,0,1))</f>
        <v>0</v>
      </c>
      <c r="E726" s="57">
        <f>IF(MEMBERS[[#This Row],[AvailableToAllSchools]]=FALSE,IF(ISBLANK(MEMBERS[[#This Row],[SchoolCodes]]),1,0),IF(MEMBERS[[#This Row],[AvailableToAllSchools]]=TRUE,IF(ISBLANK(MEMBERS[[#This Row],[SchoolCodes]]),0,1)))</f>
        <v>0</v>
      </c>
      <c r="F726" s="57">
        <f>IF(ISBLANK(MEMBERS[[#This Row],[ServiceEndDate]]),0,IF(MEMBERS[[#This Row],[ServiceStartDate]]&lt;MEMBERS[[#This Row],[ServiceEndDate]],0,1))</f>
        <v>0</v>
      </c>
      <c r="G726" s="57" cm="1">
        <f t="array" aca="1" ref="G726" ca="1">IF(CELL("format",MEMBERS[[#This Row],[ServiceStartDate]])="D1",0,1)+IF(CELL("format",MEMBERS[[#This Row],[ServiceEndDate]])="D1",0,1)</f>
        <v>0</v>
      </c>
      <c r="H72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26" s="57">
        <f>IF(LEN(MEMBERS[[#This Row],[StaffMemberCode]])&lt;100,0,1)</f>
        <v>0</v>
      </c>
      <c r="J726" s="57">
        <f>IF(LEN(MEMBERS[[#This Row],[Title]])&lt;100,0,1)</f>
        <v>0</v>
      </c>
      <c r="K726" s="57">
        <f>COUNTBLANK(MEMBERS[[#This Row],[StaffMemberCode]:[ServiceStartDate]])+COUNTBLANK(MEMBERS[[#This Row],[Apprenticeship]]:MEMBERS[[#This Row],[StaffMemberEnabled]])+COUNTBLANK(MEMBERS[[#This Row],[GenderCode]]:MEMBERS[[#This Row],[Casual]])</f>
        <v>0</v>
      </c>
      <c r="L726" s="57">
        <f>IF(SUBSTITUTE(TEXT(MEMBERS[[#This Row],[StaffMemberCode]],10)," ","")=TEXT(MEMBERS[[#This Row],[StaffMemberCode]],10),0,1)</f>
        <v>0</v>
      </c>
      <c r="M726" s="57">
        <f ca="1">SUM(MEMBERS[[#This Row],[Duplicate NameService Start]:[Space in Code]])</f>
        <v>0</v>
      </c>
      <c r="O726" s="15">
        <v>91329169</v>
      </c>
      <c r="P726" s="15" t="s">
        <v>3427</v>
      </c>
      <c r="Q726" s="15" t="s">
        <v>3892</v>
      </c>
      <c r="R726" s="133" t="str">
        <f>MEMBERS[[#This Row],[FirstName]]&amp;" "&amp;MEMBERS[[#This Row],[LastName]]</f>
        <v>Sophie Bronze</v>
      </c>
      <c r="S726" s="21">
        <v>45628</v>
      </c>
      <c r="U726" s="21">
        <v>35974</v>
      </c>
      <c r="V726" t="b">
        <v>0</v>
      </c>
      <c r="W726" t="b">
        <v>0</v>
      </c>
      <c r="X726" t="b">
        <v>0</v>
      </c>
      <c r="Y726" t="s">
        <v>2094</v>
      </c>
      <c r="Z726" t="b">
        <v>1</v>
      </c>
      <c r="AB726" t="s">
        <v>1571</v>
      </c>
      <c r="AC726" t="b">
        <v>0</v>
      </c>
    </row>
    <row r="727" spans="1:29" x14ac:dyDescent="0.3">
      <c r="A727" s="57" t="str">
        <f>MEMBERS[[#This Row],[Title]]&amp;MEMBERS[[#This Row],[ServiceStartDate]]</f>
        <v>Sophie Davies41648</v>
      </c>
      <c r="B727" s="57">
        <f>IF(COUNTIF(MEMBERS[NameServiceStart],MEMBERS[[#This Row],[NameServiceStart]])=1,0,1)</f>
        <v>0</v>
      </c>
      <c r="C727" s="57">
        <f>IF(COUNTIF(MEMBERS[StaffMemberCode],MEMBERS[[#This Row],[StaffMemberCode]])=1,0,1)</f>
        <v>0</v>
      </c>
      <c r="D727" s="57">
        <f>IF(ISBLANK(MEMBERS[[#This Row],[PayrollLocation]]),0,IF(COUNTIF(SCHOOLS[SchoolCode],MEMBERS[[#This Row],[PayrollLocation]])=1,0,1))</f>
        <v>0</v>
      </c>
      <c r="E727" s="57">
        <f>IF(MEMBERS[[#This Row],[AvailableToAllSchools]]=FALSE,IF(ISBLANK(MEMBERS[[#This Row],[SchoolCodes]]),1,0),IF(MEMBERS[[#This Row],[AvailableToAllSchools]]=TRUE,IF(ISBLANK(MEMBERS[[#This Row],[SchoolCodes]]),0,1)))</f>
        <v>0</v>
      </c>
      <c r="F727" s="57">
        <f>IF(ISBLANK(MEMBERS[[#This Row],[ServiceEndDate]]),0,IF(MEMBERS[[#This Row],[ServiceStartDate]]&lt;MEMBERS[[#This Row],[ServiceEndDate]],0,1))</f>
        <v>0</v>
      </c>
      <c r="G727" s="57" cm="1">
        <f t="array" aca="1" ref="G727" ca="1">IF(CELL("format",MEMBERS[[#This Row],[ServiceStartDate]])="D1",0,1)+IF(CELL("format",MEMBERS[[#This Row],[ServiceEndDate]])="D1",0,1)</f>
        <v>0</v>
      </c>
      <c r="H72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27" s="57">
        <f>IF(LEN(MEMBERS[[#This Row],[StaffMemberCode]])&lt;100,0,1)</f>
        <v>0</v>
      </c>
      <c r="J727" s="57">
        <f>IF(LEN(MEMBERS[[#This Row],[Title]])&lt;100,0,1)</f>
        <v>0</v>
      </c>
      <c r="K727" s="57">
        <f>COUNTBLANK(MEMBERS[[#This Row],[StaffMemberCode]:[ServiceStartDate]])+COUNTBLANK(MEMBERS[[#This Row],[Apprenticeship]]:MEMBERS[[#This Row],[StaffMemberEnabled]])+COUNTBLANK(MEMBERS[[#This Row],[GenderCode]]:MEMBERS[[#This Row],[Casual]])</f>
        <v>0</v>
      </c>
      <c r="L727" s="57">
        <f>IF(SUBSTITUTE(TEXT(MEMBERS[[#This Row],[StaffMemberCode]],10)," ","")=TEXT(MEMBERS[[#This Row],[StaffMemberCode]],10),0,1)</f>
        <v>0</v>
      </c>
      <c r="M727" s="57">
        <f ca="1">SUM(MEMBERS[[#This Row],[Duplicate NameService Start]:[Space in Code]])</f>
        <v>0</v>
      </c>
      <c r="O727" s="15">
        <v>91073565</v>
      </c>
      <c r="P727" s="15" t="s">
        <v>3427</v>
      </c>
      <c r="Q727" s="15" t="s">
        <v>3864</v>
      </c>
      <c r="R727" s="133" t="str">
        <f>MEMBERS[[#This Row],[FirstName]]&amp;" "&amp;MEMBERS[[#This Row],[LastName]]</f>
        <v>Sophie Davies</v>
      </c>
      <c r="S727" s="21">
        <v>41648</v>
      </c>
      <c r="U727" s="21">
        <v>32675</v>
      </c>
      <c r="V727" t="b">
        <v>0</v>
      </c>
      <c r="W727" t="b">
        <v>0</v>
      </c>
      <c r="X727" t="b">
        <v>0</v>
      </c>
      <c r="Y727" t="s">
        <v>2094</v>
      </c>
      <c r="Z727" t="b">
        <v>1</v>
      </c>
      <c r="AB727" t="s">
        <v>1571</v>
      </c>
      <c r="AC727" t="b">
        <v>0</v>
      </c>
    </row>
    <row r="728" spans="1:29" x14ac:dyDescent="0.3">
      <c r="A728" s="57" t="str">
        <f>MEMBERS[[#This Row],[Title]]&amp;MEMBERS[[#This Row],[ServiceStartDate]]</f>
        <v>Sophie James42378</v>
      </c>
      <c r="B728" s="57">
        <f>IF(COUNTIF(MEMBERS[NameServiceStart],MEMBERS[[#This Row],[NameServiceStart]])=1,0,1)</f>
        <v>0</v>
      </c>
      <c r="C728" s="57">
        <f>IF(COUNTIF(MEMBERS[StaffMemberCode],MEMBERS[[#This Row],[StaffMemberCode]])=1,0,1)</f>
        <v>0</v>
      </c>
      <c r="D728" s="57">
        <f>IF(ISBLANK(MEMBERS[[#This Row],[PayrollLocation]]),0,IF(COUNTIF(SCHOOLS[SchoolCode],MEMBERS[[#This Row],[PayrollLocation]])=1,0,1))</f>
        <v>0</v>
      </c>
      <c r="E728" s="57">
        <f>IF(MEMBERS[[#This Row],[AvailableToAllSchools]]=FALSE,IF(ISBLANK(MEMBERS[[#This Row],[SchoolCodes]]),1,0),IF(MEMBERS[[#This Row],[AvailableToAllSchools]]=TRUE,IF(ISBLANK(MEMBERS[[#This Row],[SchoolCodes]]),0,1)))</f>
        <v>0</v>
      </c>
      <c r="F728" s="57">
        <f>IF(ISBLANK(MEMBERS[[#This Row],[ServiceEndDate]]),0,IF(MEMBERS[[#This Row],[ServiceStartDate]]&lt;MEMBERS[[#This Row],[ServiceEndDate]],0,1))</f>
        <v>0</v>
      </c>
      <c r="G728" s="57" cm="1">
        <f t="array" aca="1" ref="G728" ca="1">IF(CELL("format",MEMBERS[[#This Row],[ServiceStartDate]])="D1",0,1)+IF(CELL("format",MEMBERS[[#This Row],[ServiceEndDate]])="D1",0,1)</f>
        <v>0</v>
      </c>
      <c r="H72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28" s="57">
        <f>IF(LEN(MEMBERS[[#This Row],[StaffMemberCode]])&lt;100,0,1)</f>
        <v>0</v>
      </c>
      <c r="J728" s="57">
        <f>IF(LEN(MEMBERS[[#This Row],[Title]])&lt;100,0,1)</f>
        <v>0</v>
      </c>
      <c r="K728" s="57">
        <f>COUNTBLANK(MEMBERS[[#This Row],[StaffMemberCode]:[ServiceStartDate]])+COUNTBLANK(MEMBERS[[#This Row],[Apprenticeship]]:MEMBERS[[#This Row],[StaffMemberEnabled]])+COUNTBLANK(MEMBERS[[#This Row],[GenderCode]]:MEMBERS[[#This Row],[Casual]])</f>
        <v>0</v>
      </c>
      <c r="L728" s="57">
        <f>IF(SUBSTITUTE(TEXT(MEMBERS[[#This Row],[StaffMemberCode]],10)," ","")=TEXT(MEMBERS[[#This Row],[StaffMemberCode]],10),0,1)</f>
        <v>0</v>
      </c>
      <c r="M728" s="57">
        <f ca="1">SUM(MEMBERS[[#This Row],[Duplicate NameService Start]:[Space in Code]])</f>
        <v>0</v>
      </c>
      <c r="O728" s="15">
        <v>91073869</v>
      </c>
      <c r="P728" s="15" t="s">
        <v>3427</v>
      </c>
      <c r="Q728" s="15" t="s">
        <v>3471</v>
      </c>
      <c r="R728" s="133" t="str">
        <f>MEMBERS[[#This Row],[FirstName]]&amp;" "&amp;MEMBERS[[#This Row],[LastName]]</f>
        <v>Sophie James</v>
      </c>
      <c r="S728" s="21">
        <v>42378</v>
      </c>
      <c r="U728" s="21">
        <v>31357</v>
      </c>
      <c r="V728" t="b">
        <v>0</v>
      </c>
      <c r="W728" t="b">
        <v>0</v>
      </c>
      <c r="X728" t="b">
        <v>0</v>
      </c>
      <c r="Y728" t="s">
        <v>2082</v>
      </c>
      <c r="Z728" t="b">
        <v>1</v>
      </c>
      <c r="AB728" t="s">
        <v>1571</v>
      </c>
      <c r="AC728" t="b">
        <v>0</v>
      </c>
    </row>
    <row r="729" spans="1:29" x14ac:dyDescent="0.3">
      <c r="A729" s="57" t="str">
        <f>MEMBERS[[#This Row],[Title]]&amp;MEMBERS[[#This Row],[ServiceStartDate]]</f>
        <v>Sophie Leese45901</v>
      </c>
      <c r="B729" s="57">
        <f>IF(COUNTIF(MEMBERS[NameServiceStart],MEMBERS[[#This Row],[NameServiceStart]])=1,0,1)</f>
        <v>0</v>
      </c>
      <c r="C729" s="57">
        <f>IF(COUNTIF(MEMBERS[StaffMemberCode],MEMBERS[[#This Row],[StaffMemberCode]])=1,0,1)</f>
        <v>0</v>
      </c>
      <c r="D729" s="57">
        <f>IF(ISBLANK(MEMBERS[[#This Row],[PayrollLocation]]),0,IF(COUNTIF(SCHOOLS[SchoolCode],MEMBERS[[#This Row],[PayrollLocation]])=1,0,1))</f>
        <v>0</v>
      </c>
      <c r="E729" s="57">
        <f>IF(MEMBERS[[#This Row],[AvailableToAllSchools]]=FALSE,IF(ISBLANK(MEMBERS[[#This Row],[SchoolCodes]]),1,0),IF(MEMBERS[[#This Row],[AvailableToAllSchools]]=TRUE,IF(ISBLANK(MEMBERS[[#This Row],[SchoolCodes]]),0,1)))</f>
        <v>0</v>
      </c>
      <c r="F729" s="57">
        <f>IF(ISBLANK(MEMBERS[[#This Row],[ServiceEndDate]]),0,IF(MEMBERS[[#This Row],[ServiceStartDate]]&lt;MEMBERS[[#This Row],[ServiceEndDate]],0,1))</f>
        <v>0</v>
      </c>
      <c r="G729" s="57" cm="1">
        <f t="array" aca="1" ref="G729" ca="1">IF(CELL("format",MEMBERS[[#This Row],[ServiceStartDate]])="D1",0,1)+IF(CELL("format",MEMBERS[[#This Row],[ServiceEndDate]])="D1",0,1)</f>
        <v>0</v>
      </c>
      <c r="H72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29" s="57">
        <f>IF(LEN(MEMBERS[[#This Row],[StaffMemberCode]])&lt;100,0,1)</f>
        <v>0</v>
      </c>
      <c r="J729" s="57">
        <f>IF(LEN(MEMBERS[[#This Row],[Title]])&lt;100,0,1)</f>
        <v>0</v>
      </c>
      <c r="K729" s="57">
        <f>COUNTBLANK(MEMBERS[[#This Row],[StaffMemberCode]:[ServiceStartDate]])+COUNTBLANK(MEMBERS[[#This Row],[Apprenticeship]]:MEMBERS[[#This Row],[StaffMemberEnabled]])+COUNTBLANK(MEMBERS[[#This Row],[GenderCode]]:MEMBERS[[#This Row],[Casual]])</f>
        <v>0</v>
      </c>
      <c r="L729" s="57">
        <f>IF(SUBSTITUTE(TEXT(MEMBERS[[#This Row],[StaffMemberCode]],10)," ","")=TEXT(MEMBERS[[#This Row],[StaffMemberCode]],10),0,1)</f>
        <v>0</v>
      </c>
      <c r="M729" s="57">
        <f ca="1">SUM(MEMBERS[[#This Row],[Duplicate NameService Start]:[Space in Code]])</f>
        <v>0</v>
      </c>
      <c r="O729" s="15">
        <v>10016229</v>
      </c>
      <c r="P729" s="15" t="s">
        <v>3427</v>
      </c>
      <c r="Q729" s="15" t="s">
        <v>4134</v>
      </c>
      <c r="R729" s="133" t="str">
        <f>MEMBERS[[#This Row],[FirstName]]&amp;" "&amp;MEMBERS[[#This Row],[LastName]]</f>
        <v>Sophie Leese</v>
      </c>
      <c r="S729" s="21">
        <v>45901</v>
      </c>
      <c r="U729" s="21">
        <v>37519</v>
      </c>
      <c r="V729" s="138" t="b">
        <v>0</v>
      </c>
      <c r="W729" t="b">
        <v>0</v>
      </c>
      <c r="X729" t="b">
        <v>0</v>
      </c>
      <c r="Y729" t="s">
        <v>2126</v>
      </c>
      <c r="Z729" t="b">
        <v>1</v>
      </c>
      <c r="AB729" t="s">
        <v>1571</v>
      </c>
      <c r="AC729" t="b">
        <v>0</v>
      </c>
    </row>
    <row r="730" spans="1:29" x14ac:dyDescent="0.3">
      <c r="A730" s="57" t="str">
        <f>MEMBERS[[#This Row],[Title]]&amp;MEMBERS[[#This Row],[ServiceStartDate]]</f>
        <v>Sophie Sproston43508</v>
      </c>
      <c r="B730" s="57">
        <f>IF(COUNTIF(MEMBERS[NameServiceStart],MEMBERS[[#This Row],[NameServiceStart]])=1,0,1)</f>
        <v>0</v>
      </c>
      <c r="C730" s="57">
        <f>IF(COUNTIF(MEMBERS[StaffMemberCode],MEMBERS[[#This Row],[StaffMemberCode]])=1,0,1)</f>
        <v>0</v>
      </c>
      <c r="D730" s="57">
        <f>IF(ISBLANK(MEMBERS[[#This Row],[PayrollLocation]]),0,IF(COUNTIF(SCHOOLS[SchoolCode],MEMBERS[[#This Row],[PayrollLocation]])=1,0,1))</f>
        <v>0</v>
      </c>
      <c r="E730" s="57">
        <f>IF(MEMBERS[[#This Row],[AvailableToAllSchools]]=FALSE,IF(ISBLANK(MEMBERS[[#This Row],[SchoolCodes]]),1,0),IF(MEMBERS[[#This Row],[AvailableToAllSchools]]=TRUE,IF(ISBLANK(MEMBERS[[#This Row],[SchoolCodes]]),0,1)))</f>
        <v>0</v>
      </c>
      <c r="F730" s="57">
        <f>IF(ISBLANK(MEMBERS[[#This Row],[ServiceEndDate]]),0,IF(MEMBERS[[#This Row],[ServiceStartDate]]&lt;MEMBERS[[#This Row],[ServiceEndDate]],0,1))</f>
        <v>0</v>
      </c>
      <c r="G730" s="57" cm="1">
        <f t="array" aca="1" ref="G730" ca="1">IF(CELL("format",MEMBERS[[#This Row],[ServiceStartDate]])="D1",0,1)+IF(CELL("format",MEMBERS[[#This Row],[ServiceEndDate]])="D1",0,1)</f>
        <v>0</v>
      </c>
      <c r="H73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30" s="57">
        <f>IF(LEN(MEMBERS[[#This Row],[StaffMemberCode]])&lt;100,0,1)</f>
        <v>0</v>
      </c>
      <c r="J730" s="57">
        <f>IF(LEN(MEMBERS[[#This Row],[Title]])&lt;100,0,1)</f>
        <v>0</v>
      </c>
      <c r="K730" s="57">
        <f>COUNTBLANK(MEMBERS[[#This Row],[StaffMemberCode]:[ServiceStartDate]])+COUNTBLANK(MEMBERS[[#This Row],[Apprenticeship]]:MEMBERS[[#This Row],[StaffMemberEnabled]])+COUNTBLANK(MEMBERS[[#This Row],[GenderCode]]:MEMBERS[[#This Row],[Casual]])</f>
        <v>0</v>
      </c>
      <c r="L730" s="57">
        <f>IF(SUBSTITUTE(TEXT(MEMBERS[[#This Row],[StaffMemberCode]],10)," ","")=TEXT(MEMBERS[[#This Row],[StaffMemberCode]],10),0,1)</f>
        <v>0</v>
      </c>
      <c r="M730" s="57">
        <f ca="1">SUM(MEMBERS[[#This Row],[Duplicate NameService Start]:[Space in Code]])</f>
        <v>0</v>
      </c>
      <c r="O730" s="15">
        <v>91073497</v>
      </c>
      <c r="P730" s="15" t="s">
        <v>3427</v>
      </c>
      <c r="Q730" s="15" t="s">
        <v>3893</v>
      </c>
      <c r="R730" s="133" t="str">
        <f>MEMBERS[[#This Row],[FirstName]]&amp;" "&amp;MEMBERS[[#This Row],[LastName]]</f>
        <v>Sophie Sproston</v>
      </c>
      <c r="S730" s="21">
        <v>43508</v>
      </c>
      <c r="U730" s="21">
        <v>23048</v>
      </c>
      <c r="V730" t="b">
        <v>0</v>
      </c>
      <c r="W730" t="b">
        <v>0</v>
      </c>
      <c r="X730" t="b">
        <v>0</v>
      </c>
      <c r="Y730" t="s">
        <v>2094</v>
      </c>
      <c r="Z730" t="b">
        <v>1</v>
      </c>
      <c r="AB730" t="s">
        <v>1571</v>
      </c>
      <c r="AC730" t="b">
        <v>0</v>
      </c>
    </row>
    <row r="731" spans="1:29" x14ac:dyDescent="0.3">
      <c r="A731" s="57" t="str">
        <f>MEMBERS[[#This Row],[Title]]&amp;MEMBERS[[#This Row],[ServiceStartDate]]</f>
        <v>Sophie Willett44805</v>
      </c>
      <c r="B731" s="57">
        <f>IF(COUNTIF(MEMBERS[NameServiceStart],MEMBERS[[#This Row],[NameServiceStart]])=1,0,1)</f>
        <v>0</v>
      </c>
      <c r="C731" s="57">
        <f>IF(COUNTIF(MEMBERS[StaffMemberCode],MEMBERS[[#This Row],[StaffMemberCode]])=1,0,1)</f>
        <v>0</v>
      </c>
      <c r="D731" s="57">
        <f>IF(ISBLANK(MEMBERS[[#This Row],[PayrollLocation]]),0,IF(COUNTIF(SCHOOLS[SchoolCode],MEMBERS[[#This Row],[PayrollLocation]])=1,0,1))</f>
        <v>0</v>
      </c>
      <c r="E731" s="57">
        <f>IF(MEMBERS[[#This Row],[AvailableToAllSchools]]=FALSE,IF(ISBLANK(MEMBERS[[#This Row],[SchoolCodes]]),1,0),IF(MEMBERS[[#This Row],[AvailableToAllSchools]]=TRUE,IF(ISBLANK(MEMBERS[[#This Row],[SchoolCodes]]),0,1)))</f>
        <v>0</v>
      </c>
      <c r="F731" s="57">
        <f>IF(ISBLANK(MEMBERS[[#This Row],[ServiceEndDate]]),0,IF(MEMBERS[[#This Row],[ServiceStartDate]]&lt;MEMBERS[[#This Row],[ServiceEndDate]],0,1))</f>
        <v>0</v>
      </c>
      <c r="G731" s="57" cm="1">
        <f t="array" aca="1" ref="G731" ca="1">IF(CELL("format",MEMBERS[[#This Row],[ServiceStartDate]])="D1",0,1)+IF(CELL("format",MEMBERS[[#This Row],[ServiceEndDate]])="D1",0,1)</f>
        <v>0</v>
      </c>
      <c r="H73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31" s="57">
        <f>IF(LEN(MEMBERS[[#This Row],[StaffMemberCode]])&lt;100,0,1)</f>
        <v>0</v>
      </c>
      <c r="J731" s="57">
        <f>IF(LEN(MEMBERS[[#This Row],[Title]])&lt;100,0,1)</f>
        <v>0</v>
      </c>
      <c r="K731" s="57">
        <f>COUNTBLANK(MEMBERS[[#This Row],[StaffMemberCode]:[ServiceStartDate]])+COUNTBLANK(MEMBERS[[#This Row],[Apprenticeship]]:MEMBERS[[#This Row],[StaffMemberEnabled]])+COUNTBLANK(MEMBERS[[#This Row],[GenderCode]]:MEMBERS[[#This Row],[Casual]])</f>
        <v>0</v>
      </c>
      <c r="L731" s="57">
        <f>IF(SUBSTITUTE(TEXT(MEMBERS[[#This Row],[StaffMemberCode]],10)," ","")=TEXT(MEMBERS[[#This Row],[StaffMemberCode]],10),0,1)</f>
        <v>0</v>
      </c>
      <c r="M731" s="57">
        <f ca="1">SUM(MEMBERS[[#This Row],[Duplicate NameService Start]:[Space in Code]])</f>
        <v>0</v>
      </c>
      <c r="O731" s="15">
        <v>91075766</v>
      </c>
      <c r="P731" s="15" t="s">
        <v>3427</v>
      </c>
      <c r="Q731" s="15" t="s">
        <v>3894</v>
      </c>
      <c r="R731" s="133" t="str">
        <f>MEMBERS[[#This Row],[FirstName]]&amp;" "&amp;MEMBERS[[#This Row],[LastName]]</f>
        <v>Sophie Willett</v>
      </c>
      <c r="S731" s="21">
        <v>44805</v>
      </c>
      <c r="U731" s="21">
        <v>35353</v>
      </c>
      <c r="V731" t="b">
        <v>0</v>
      </c>
      <c r="W731" t="b">
        <v>0</v>
      </c>
      <c r="X731" t="b">
        <v>0</v>
      </c>
      <c r="Y731" t="s">
        <v>2200</v>
      </c>
      <c r="Z731" t="b">
        <v>1</v>
      </c>
      <c r="AB731" t="s">
        <v>1571</v>
      </c>
      <c r="AC731" t="b">
        <v>0</v>
      </c>
    </row>
    <row r="732" spans="1:29" x14ac:dyDescent="0.3">
      <c r="A732" s="57" t="str">
        <f>MEMBERS[[#This Row],[Title]]&amp;MEMBERS[[#This Row],[ServiceStartDate]]</f>
        <v>Sophie Willis44570</v>
      </c>
      <c r="B732" s="57">
        <f>IF(COUNTIF(MEMBERS[NameServiceStart],MEMBERS[[#This Row],[NameServiceStart]])=1,0,1)</f>
        <v>0</v>
      </c>
      <c r="C732" s="57">
        <f>IF(COUNTIF(MEMBERS[StaffMemberCode],MEMBERS[[#This Row],[StaffMemberCode]])=1,0,1)</f>
        <v>0</v>
      </c>
      <c r="D732" s="57">
        <f>IF(ISBLANK(MEMBERS[[#This Row],[PayrollLocation]]),0,IF(COUNTIF(SCHOOLS[SchoolCode],MEMBERS[[#This Row],[PayrollLocation]])=1,0,1))</f>
        <v>0</v>
      </c>
      <c r="E732" s="57">
        <f>IF(MEMBERS[[#This Row],[AvailableToAllSchools]]=FALSE,IF(ISBLANK(MEMBERS[[#This Row],[SchoolCodes]]),1,0),IF(MEMBERS[[#This Row],[AvailableToAllSchools]]=TRUE,IF(ISBLANK(MEMBERS[[#This Row],[SchoolCodes]]),0,1)))</f>
        <v>0</v>
      </c>
      <c r="F732" s="57">
        <f>IF(ISBLANK(MEMBERS[[#This Row],[ServiceEndDate]]),0,IF(MEMBERS[[#This Row],[ServiceStartDate]]&lt;MEMBERS[[#This Row],[ServiceEndDate]],0,1))</f>
        <v>0</v>
      </c>
      <c r="G732" s="57" cm="1">
        <f t="array" aca="1" ref="G732" ca="1">IF(CELL("format",MEMBERS[[#This Row],[ServiceStartDate]])="D1",0,1)+IF(CELL("format",MEMBERS[[#This Row],[ServiceEndDate]])="D1",0,1)</f>
        <v>0</v>
      </c>
      <c r="H73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32" s="57">
        <f>IF(LEN(MEMBERS[[#This Row],[StaffMemberCode]])&lt;100,0,1)</f>
        <v>0</v>
      </c>
      <c r="J732" s="57">
        <f>IF(LEN(MEMBERS[[#This Row],[Title]])&lt;100,0,1)</f>
        <v>0</v>
      </c>
      <c r="K732" s="57">
        <f>COUNTBLANK(MEMBERS[[#This Row],[StaffMemberCode]:[ServiceStartDate]])+COUNTBLANK(MEMBERS[[#This Row],[Apprenticeship]]:MEMBERS[[#This Row],[StaffMemberEnabled]])+COUNTBLANK(MEMBERS[[#This Row],[GenderCode]]:MEMBERS[[#This Row],[Casual]])</f>
        <v>0</v>
      </c>
      <c r="L732" s="57">
        <f>IF(SUBSTITUTE(TEXT(MEMBERS[[#This Row],[StaffMemberCode]],10)," ","")=TEXT(MEMBERS[[#This Row],[StaffMemberCode]],10),0,1)</f>
        <v>0</v>
      </c>
      <c r="M732" s="57">
        <f ca="1">SUM(MEMBERS[[#This Row],[Duplicate NameService Start]:[Space in Code]])</f>
        <v>0</v>
      </c>
      <c r="O732" s="15">
        <v>91073435</v>
      </c>
      <c r="P732" s="15" t="s">
        <v>3427</v>
      </c>
      <c r="Q732" s="15" t="s">
        <v>3895</v>
      </c>
      <c r="R732" s="133" t="str">
        <f>MEMBERS[[#This Row],[FirstName]]&amp;" "&amp;MEMBERS[[#This Row],[LastName]]</f>
        <v>Sophie Willis</v>
      </c>
      <c r="S732" s="21">
        <v>44570</v>
      </c>
      <c r="U732" s="21">
        <v>38177</v>
      </c>
      <c r="V732" t="b">
        <v>0</v>
      </c>
      <c r="W732" t="b">
        <v>0</v>
      </c>
      <c r="X732" t="b">
        <v>0</v>
      </c>
      <c r="Y732" t="s">
        <v>2094</v>
      </c>
      <c r="Z732" t="b">
        <v>1</v>
      </c>
      <c r="AB732" t="s">
        <v>1571</v>
      </c>
      <c r="AC732" t="b">
        <v>0</v>
      </c>
    </row>
    <row r="733" spans="1:29" x14ac:dyDescent="0.3">
      <c r="A733" s="57" t="str">
        <f>MEMBERS[[#This Row],[Title]]&amp;MEMBERS[[#This Row],[ServiceStartDate]]</f>
        <v>Stacey Smith41944</v>
      </c>
      <c r="B733" s="57">
        <f>IF(COUNTIF(MEMBERS[NameServiceStart],MEMBERS[[#This Row],[NameServiceStart]])=1,0,1)</f>
        <v>0</v>
      </c>
      <c r="C733" s="57">
        <f>IF(COUNTIF(MEMBERS[StaffMemberCode],MEMBERS[[#This Row],[StaffMemberCode]])=1,0,1)</f>
        <v>0</v>
      </c>
      <c r="D733" s="57">
        <f>IF(ISBLANK(MEMBERS[[#This Row],[PayrollLocation]]),0,IF(COUNTIF(SCHOOLS[SchoolCode],MEMBERS[[#This Row],[PayrollLocation]])=1,0,1))</f>
        <v>0</v>
      </c>
      <c r="E733" s="57">
        <f>IF(MEMBERS[[#This Row],[AvailableToAllSchools]]=FALSE,IF(ISBLANK(MEMBERS[[#This Row],[SchoolCodes]]),1,0),IF(MEMBERS[[#This Row],[AvailableToAllSchools]]=TRUE,IF(ISBLANK(MEMBERS[[#This Row],[SchoolCodes]]),0,1)))</f>
        <v>0</v>
      </c>
      <c r="F733" s="57">
        <f>IF(ISBLANK(MEMBERS[[#This Row],[ServiceEndDate]]),0,IF(MEMBERS[[#This Row],[ServiceStartDate]]&lt;MEMBERS[[#This Row],[ServiceEndDate]],0,1))</f>
        <v>0</v>
      </c>
      <c r="G733" s="57" cm="1">
        <f t="array" aca="1" ref="G733" ca="1">IF(CELL("format",MEMBERS[[#This Row],[ServiceStartDate]])="D1",0,1)+IF(CELL("format",MEMBERS[[#This Row],[ServiceEndDate]])="D1",0,1)</f>
        <v>0</v>
      </c>
      <c r="H73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33" s="57">
        <f>IF(LEN(MEMBERS[[#This Row],[StaffMemberCode]])&lt;100,0,1)</f>
        <v>0</v>
      </c>
      <c r="J733" s="57">
        <f>IF(LEN(MEMBERS[[#This Row],[Title]])&lt;100,0,1)</f>
        <v>0</v>
      </c>
      <c r="K733" s="57">
        <f>COUNTBLANK(MEMBERS[[#This Row],[StaffMemberCode]:[ServiceStartDate]])+COUNTBLANK(MEMBERS[[#This Row],[Apprenticeship]]:MEMBERS[[#This Row],[StaffMemberEnabled]])+COUNTBLANK(MEMBERS[[#This Row],[GenderCode]]:MEMBERS[[#This Row],[Casual]])</f>
        <v>0</v>
      </c>
      <c r="L733" s="57">
        <f>IF(SUBSTITUTE(TEXT(MEMBERS[[#This Row],[StaffMemberCode]],10)," ","")=TEXT(MEMBERS[[#This Row],[StaffMemberCode]],10),0,1)</f>
        <v>0</v>
      </c>
      <c r="M733" s="57">
        <f ca="1">SUM(MEMBERS[[#This Row],[Duplicate NameService Start]:[Space in Code]])</f>
        <v>0</v>
      </c>
      <c r="O733" s="15">
        <v>10005346</v>
      </c>
      <c r="P733" s="15" t="s">
        <v>4008</v>
      </c>
      <c r="Q733" s="15" t="s">
        <v>3516</v>
      </c>
      <c r="R733" s="133" t="str">
        <f>MEMBERS[[#This Row],[FirstName]]&amp;" "&amp;MEMBERS[[#This Row],[LastName]]</f>
        <v>Stacey Smith</v>
      </c>
      <c r="S733" s="21">
        <v>41944</v>
      </c>
      <c r="U733" s="21">
        <v>26071</v>
      </c>
      <c r="V733" s="138" t="b">
        <v>0</v>
      </c>
      <c r="W733" t="b">
        <v>0</v>
      </c>
      <c r="X733" t="b">
        <v>0</v>
      </c>
      <c r="Y733" t="s">
        <v>2126</v>
      </c>
      <c r="Z733" t="b">
        <v>1</v>
      </c>
      <c r="AB733" t="s">
        <v>1572</v>
      </c>
      <c r="AC733" t="b">
        <v>0</v>
      </c>
    </row>
    <row r="734" spans="1:29" x14ac:dyDescent="0.3">
      <c r="A734" s="57" t="str">
        <f>MEMBERS[[#This Row],[Title]]&amp;MEMBERS[[#This Row],[ServiceStartDate]]</f>
        <v>Stephanie Cunningham45025</v>
      </c>
      <c r="B734" s="57">
        <f>IF(COUNTIF(MEMBERS[NameServiceStart],MEMBERS[[#This Row],[NameServiceStart]])=1,0,1)</f>
        <v>0</v>
      </c>
      <c r="C734" s="57">
        <f>IF(COUNTIF(MEMBERS[StaffMemberCode],MEMBERS[[#This Row],[StaffMemberCode]])=1,0,1)</f>
        <v>0</v>
      </c>
      <c r="D734" s="57">
        <f>IF(ISBLANK(MEMBERS[[#This Row],[PayrollLocation]]),0,IF(COUNTIF(SCHOOLS[SchoolCode],MEMBERS[[#This Row],[PayrollLocation]])=1,0,1))</f>
        <v>0</v>
      </c>
      <c r="E734" s="57">
        <f>IF(MEMBERS[[#This Row],[AvailableToAllSchools]]=FALSE,IF(ISBLANK(MEMBERS[[#This Row],[SchoolCodes]]),1,0),IF(MEMBERS[[#This Row],[AvailableToAllSchools]]=TRUE,IF(ISBLANK(MEMBERS[[#This Row],[SchoolCodes]]),0,1)))</f>
        <v>0</v>
      </c>
      <c r="F734" s="57">
        <f>IF(ISBLANK(MEMBERS[[#This Row],[ServiceEndDate]]),0,IF(MEMBERS[[#This Row],[ServiceStartDate]]&lt;MEMBERS[[#This Row],[ServiceEndDate]],0,1))</f>
        <v>0</v>
      </c>
      <c r="G734" s="57" cm="1">
        <f t="array" aca="1" ref="G734" ca="1">IF(CELL("format",MEMBERS[[#This Row],[ServiceStartDate]])="D1",0,1)+IF(CELL("format",MEMBERS[[#This Row],[ServiceEndDate]])="D1",0,1)</f>
        <v>0</v>
      </c>
      <c r="H73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34" s="57">
        <f>IF(LEN(MEMBERS[[#This Row],[StaffMemberCode]])&lt;100,0,1)</f>
        <v>0</v>
      </c>
      <c r="J734" s="57">
        <f>IF(LEN(MEMBERS[[#This Row],[Title]])&lt;100,0,1)</f>
        <v>0</v>
      </c>
      <c r="K734" s="57">
        <f>COUNTBLANK(MEMBERS[[#This Row],[StaffMemberCode]:[ServiceStartDate]])+COUNTBLANK(MEMBERS[[#This Row],[Apprenticeship]]:MEMBERS[[#This Row],[StaffMemberEnabled]])+COUNTBLANK(MEMBERS[[#This Row],[GenderCode]]:MEMBERS[[#This Row],[Casual]])</f>
        <v>0</v>
      </c>
      <c r="L734" s="57">
        <f>IF(SUBSTITUTE(TEXT(MEMBERS[[#This Row],[StaffMemberCode]],10)," ","")=TEXT(MEMBERS[[#This Row],[StaffMemberCode]],10),0,1)</f>
        <v>0</v>
      </c>
      <c r="M734" s="57">
        <f ca="1">SUM(MEMBERS[[#This Row],[Duplicate NameService Start]:[Space in Code]])</f>
        <v>0</v>
      </c>
      <c r="O734" s="15">
        <v>91073854</v>
      </c>
      <c r="P734" s="15" t="s">
        <v>3428</v>
      </c>
      <c r="Q734" s="15" t="s">
        <v>3896</v>
      </c>
      <c r="R734" s="133" t="str">
        <f>MEMBERS[[#This Row],[FirstName]]&amp;" "&amp;MEMBERS[[#This Row],[LastName]]</f>
        <v>Stephanie Cunningham</v>
      </c>
      <c r="S734" s="21">
        <v>45025</v>
      </c>
      <c r="U734" s="21">
        <v>27103</v>
      </c>
      <c r="V734" t="b">
        <v>0</v>
      </c>
      <c r="W734" t="b">
        <v>0</v>
      </c>
      <c r="X734" t="b">
        <v>0</v>
      </c>
      <c r="Y734" t="s">
        <v>2082</v>
      </c>
      <c r="Z734" t="b">
        <v>1</v>
      </c>
      <c r="AB734" t="s">
        <v>1571</v>
      </c>
      <c r="AC734" t="b">
        <v>0</v>
      </c>
    </row>
    <row r="735" spans="1:29" x14ac:dyDescent="0.3">
      <c r="A735" s="57" t="str">
        <f>MEMBERS[[#This Row],[Title]]&amp;MEMBERS[[#This Row],[ServiceStartDate]]</f>
        <v>Stephanie Davidson42982</v>
      </c>
      <c r="B735" s="57">
        <f>IF(COUNTIF(MEMBERS[NameServiceStart],MEMBERS[[#This Row],[NameServiceStart]])=1,0,1)</f>
        <v>0</v>
      </c>
      <c r="C735" s="57">
        <f>IF(COUNTIF(MEMBERS[StaffMemberCode],MEMBERS[[#This Row],[StaffMemberCode]])=1,0,1)</f>
        <v>0</v>
      </c>
      <c r="D735" s="57">
        <f>IF(ISBLANK(MEMBERS[[#This Row],[PayrollLocation]]),0,IF(COUNTIF(SCHOOLS[SchoolCode],MEMBERS[[#This Row],[PayrollLocation]])=1,0,1))</f>
        <v>0</v>
      </c>
      <c r="E735" s="57">
        <f>IF(MEMBERS[[#This Row],[AvailableToAllSchools]]=FALSE,IF(ISBLANK(MEMBERS[[#This Row],[SchoolCodes]]),1,0),IF(MEMBERS[[#This Row],[AvailableToAllSchools]]=TRUE,IF(ISBLANK(MEMBERS[[#This Row],[SchoolCodes]]),0,1)))</f>
        <v>0</v>
      </c>
      <c r="F735" s="57">
        <f>IF(ISBLANK(MEMBERS[[#This Row],[ServiceEndDate]]),0,IF(MEMBERS[[#This Row],[ServiceStartDate]]&lt;MEMBERS[[#This Row],[ServiceEndDate]],0,1))</f>
        <v>0</v>
      </c>
      <c r="G735" s="57" cm="1">
        <f t="array" aca="1" ref="G735" ca="1">IF(CELL("format",MEMBERS[[#This Row],[ServiceStartDate]])="D1",0,1)+IF(CELL("format",MEMBERS[[#This Row],[ServiceEndDate]])="D1",0,1)</f>
        <v>0</v>
      </c>
      <c r="H73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35" s="57">
        <f>IF(LEN(MEMBERS[[#This Row],[StaffMemberCode]])&lt;100,0,1)</f>
        <v>0</v>
      </c>
      <c r="J735" s="57">
        <f>IF(LEN(MEMBERS[[#This Row],[Title]])&lt;100,0,1)</f>
        <v>0</v>
      </c>
      <c r="K735" s="57">
        <f>COUNTBLANK(MEMBERS[[#This Row],[StaffMemberCode]:[ServiceStartDate]])+COUNTBLANK(MEMBERS[[#This Row],[Apprenticeship]]:MEMBERS[[#This Row],[StaffMemberEnabled]])+COUNTBLANK(MEMBERS[[#This Row],[GenderCode]]:MEMBERS[[#This Row],[Casual]])</f>
        <v>0</v>
      </c>
      <c r="L735" s="57">
        <f>IF(SUBSTITUTE(TEXT(MEMBERS[[#This Row],[StaffMemberCode]],10)," ","")=TEXT(MEMBERS[[#This Row],[StaffMemberCode]],10),0,1)</f>
        <v>0</v>
      </c>
      <c r="M735" s="57">
        <f ca="1">SUM(MEMBERS[[#This Row],[Duplicate NameService Start]:[Space in Code]])</f>
        <v>0</v>
      </c>
      <c r="O735" s="15">
        <v>91075755</v>
      </c>
      <c r="P735" s="15" t="s">
        <v>3428</v>
      </c>
      <c r="Q735" s="15" t="s">
        <v>3897</v>
      </c>
      <c r="R735" s="133" t="str">
        <f>MEMBERS[[#This Row],[FirstName]]&amp;" "&amp;MEMBERS[[#This Row],[LastName]]</f>
        <v>Stephanie Davidson</v>
      </c>
      <c r="S735" s="21">
        <v>42982</v>
      </c>
      <c r="U735" s="21">
        <v>34453</v>
      </c>
      <c r="V735" t="b">
        <v>0</v>
      </c>
      <c r="W735" t="b">
        <v>0</v>
      </c>
      <c r="X735" t="b">
        <v>0</v>
      </c>
      <c r="Y735" t="s">
        <v>2200</v>
      </c>
      <c r="Z735" t="b">
        <v>1</v>
      </c>
      <c r="AB735" t="s">
        <v>1571</v>
      </c>
      <c r="AC735" t="b">
        <v>0</v>
      </c>
    </row>
    <row r="736" spans="1:29" x14ac:dyDescent="0.3">
      <c r="A736" s="57" t="str">
        <f>MEMBERS[[#This Row],[Title]]&amp;MEMBERS[[#This Row],[ServiceStartDate]]</f>
        <v>Stephanie Fielding45901</v>
      </c>
      <c r="B736" s="57">
        <f>IF(COUNTIF(MEMBERS[NameServiceStart],MEMBERS[[#This Row],[NameServiceStart]])=1,0,1)</f>
        <v>0</v>
      </c>
      <c r="C736" s="57">
        <f>IF(COUNTIF(MEMBERS[StaffMemberCode],MEMBERS[[#This Row],[StaffMemberCode]])=1,0,1)</f>
        <v>0</v>
      </c>
      <c r="D736" s="57">
        <f>IF(ISBLANK(MEMBERS[[#This Row],[PayrollLocation]]),0,IF(COUNTIF(SCHOOLS[SchoolCode],MEMBERS[[#This Row],[PayrollLocation]])=1,0,1))</f>
        <v>0</v>
      </c>
      <c r="E736" s="57">
        <f>IF(MEMBERS[[#This Row],[AvailableToAllSchools]]=FALSE,IF(ISBLANK(MEMBERS[[#This Row],[SchoolCodes]]),1,0),IF(MEMBERS[[#This Row],[AvailableToAllSchools]]=TRUE,IF(ISBLANK(MEMBERS[[#This Row],[SchoolCodes]]),0,1)))</f>
        <v>0</v>
      </c>
      <c r="F736" s="57">
        <f>IF(ISBLANK(MEMBERS[[#This Row],[ServiceEndDate]]),0,IF(MEMBERS[[#This Row],[ServiceStartDate]]&lt;MEMBERS[[#This Row],[ServiceEndDate]],0,1))</f>
        <v>0</v>
      </c>
      <c r="G736" s="57" cm="1">
        <f t="array" aca="1" ref="G736" ca="1">IF(CELL("format",MEMBERS[[#This Row],[ServiceStartDate]])="D1",0,1)+IF(CELL("format",MEMBERS[[#This Row],[ServiceEndDate]])="D1",0,1)</f>
        <v>0</v>
      </c>
      <c r="H73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36" s="57">
        <f>IF(LEN(MEMBERS[[#This Row],[StaffMemberCode]])&lt;100,0,1)</f>
        <v>0</v>
      </c>
      <c r="J736" s="57">
        <f>IF(LEN(MEMBERS[[#This Row],[Title]])&lt;100,0,1)</f>
        <v>0</v>
      </c>
      <c r="K736" s="57">
        <f>COUNTBLANK(MEMBERS[[#This Row],[StaffMemberCode]:[ServiceStartDate]])+COUNTBLANK(MEMBERS[[#This Row],[Apprenticeship]]:MEMBERS[[#This Row],[StaffMemberEnabled]])+COUNTBLANK(MEMBERS[[#This Row],[GenderCode]]:MEMBERS[[#This Row],[Casual]])</f>
        <v>0</v>
      </c>
      <c r="L736" s="57">
        <f>IF(SUBSTITUTE(TEXT(MEMBERS[[#This Row],[StaffMemberCode]],10)," ","")=TEXT(MEMBERS[[#This Row],[StaffMemberCode]],10),0,1)</f>
        <v>0</v>
      </c>
      <c r="M736" s="57">
        <f ca="1">SUM(MEMBERS[[#This Row],[Duplicate NameService Start]:[Space in Code]])</f>
        <v>0</v>
      </c>
      <c r="O736" s="15">
        <v>91850059</v>
      </c>
      <c r="P736" s="15" t="s">
        <v>3428</v>
      </c>
      <c r="Q736" s="15" t="s">
        <v>3898</v>
      </c>
      <c r="R736" s="133" t="str">
        <f>MEMBERS[[#This Row],[FirstName]]&amp;" "&amp;MEMBERS[[#This Row],[LastName]]</f>
        <v>Stephanie Fielding</v>
      </c>
      <c r="S736" s="21">
        <v>45901</v>
      </c>
      <c r="U736" s="21">
        <v>26292</v>
      </c>
      <c r="V736" t="b">
        <v>0</v>
      </c>
      <c r="W736" t="b">
        <v>0</v>
      </c>
      <c r="X736" t="b">
        <v>0</v>
      </c>
      <c r="Y736" t="s">
        <v>2094</v>
      </c>
      <c r="Z736" t="b">
        <v>1</v>
      </c>
      <c r="AB736" t="s">
        <v>1571</v>
      </c>
      <c r="AC736" t="b">
        <v>1</v>
      </c>
    </row>
    <row r="737" spans="1:29" x14ac:dyDescent="0.3">
      <c r="A737" s="57" t="str">
        <f>MEMBERS[[#This Row],[Title]]&amp;MEMBERS[[#This Row],[ServiceStartDate]]</f>
        <v>Stephanie Fletcher44205</v>
      </c>
      <c r="B737" s="57">
        <f>IF(COUNTIF(MEMBERS[NameServiceStart],MEMBERS[[#This Row],[NameServiceStart]])=1,0,1)</f>
        <v>0</v>
      </c>
      <c r="C737" s="57">
        <f>IF(COUNTIF(MEMBERS[StaffMemberCode],MEMBERS[[#This Row],[StaffMemberCode]])=1,0,1)</f>
        <v>0</v>
      </c>
      <c r="D737" s="57">
        <f>IF(ISBLANK(MEMBERS[[#This Row],[PayrollLocation]]),0,IF(COUNTIF(SCHOOLS[SchoolCode],MEMBERS[[#This Row],[PayrollLocation]])=1,0,1))</f>
        <v>0</v>
      </c>
      <c r="E737" s="57">
        <f>IF(MEMBERS[[#This Row],[AvailableToAllSchools]]=FALSE,IF(ISBLANK(MEMBERS[[#This Row],[SchoolCodes]]),1,0),IF(MEMBERS[[#This Row],[AvailableToAllSchools]]=TRUE,IF(ISBLANK(MEMBERS[[#This Row],[SchoolCodes]]),0,1)))</f>
        <v>0</v>
      </c>
      <c r="F737" s="57">
        <f>IF(ISBLANK(MEMBERS[[#This Row],[ServiceEndDate]]),0,IF(MEMBERS[[#This Row],[ServiceStartDate]]&lt;MEMBERS[[#This Row],[ServiceEndDate]],0,1))</f>
        <v>0</v>
      </c>
      <c r="G737" s="57" cm="1">
        <f t="array" aca="1" ref="G737" ca="1">IF(CELL("format",MEMBERS[[#This Row],[ServiceStartDate]])="D1",0,1)+IF(CELL("format",MEMBERS[[#This Row],[ServiceEndDate]])="D1",0,1)</f>
        <v>0</v>
      </c>
      <c r="H73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37" s="57">
        <f>IF(LEN(MEMBERS[[#This Row],[StaffMemberCode]])&lt;100,0,1)</f>
        <v>0</v>
      </c>
      <c r="J737" s="57">
        <f>IF(LEN(MEMBERS[[#This Row],[Title]])&lt;100,0,1)</f>
        <v>0</v>
      </c>
      <c r="K737" s="57">
        <f>COUNTBLANK(MEMBERS[[#This Row],[StaffMemberCode]:[ServiceStartDate]])+COUNTBLANK(MEMBERS[[#This Row],[Apprenticeship]]:MEMBERS[[#This Row],[StaffMemberEnabled]])+COUNTBLANK(MEMBERS[[#This Row],[GenderCode]]:MEMBERS[[#This Row],[Casual]])</f>
        <v>0</v>
      </c>
      <c r="L737" s="57">
        <f>IF(SUBSTITUTE(TEXT(MEMBERS[[#This Row],[StaffMemberCode]],10)," ","")=TEXT(MEMBERS[[#This Row],[StaffMemberCode]],10),0,1)</f>
        <v>0</v>
      </c>
      <c r="M737" s="57">
        <f ca="1">SUM(MEMBERS[[#This Row],[Duplicate NameService Start]:[Space in Code]])</f>
        <v>0</v>
      </c>
      <c r="O737" s="15">
        <v>91073545</v>
      </c>
      <c r="P737" s="15" t="s">
        <v>3428</v>
      </c>
      <c r="Q737" s="15" t="s">
        <v>3899</v>
      </c>
      <c r="R737" s="133" t="str">
        <f>MEMBERS[[#This Row],[FirstName]]&amp;" "&amp;MEMBERS[[#This Row],[LastName]]</f>
        <v>Stephanie Fletcher</v>
      </c>
      <c r="S737" s="21">
        <v>44205</v>
      </c>
      <c r="U737" s="21">
        <v>30926</v>
      </c>
      <c r="V737" t="b">
        <v>0</v>
      </c>
      <c r="W737" t="b">
        <v>0</v>
      </c>
      <c r="X737" t="b">
        <v>0</v>
      </c>
      <c r="Y737" t="s">
        <v>2094</v>
      </c>
      <c r="Z737" t="b">
        <v>1</v>
      </c>
      <c r="AB737" t="s">
        <v>1571</v>
      </c>
      <c r="AC737" t="b">
        <v>0</v>
      </c>
    </row>
    <row r="738" spans="1:29" x14ac:dyDescent="0.3">
      <c r="A738" s="57" t="str">
        <f>MEMBERS[[#This Row],[Title]]&amp;MEMBERS[[#This Row],[ServiceStartDate]]</f>
        <v>Stephanie Hinchcliffe44119</v>
      </c>
      <c r="B738" s="57">
        <f>IF(COUNTIF(MEMBERS[NameServiceStart],MEMBERS[[#This Row],[NameServiceStart]])=1,0,1)</f>
        <v>0</v>
      </c>
      <c r="C738" s="57">
        <f>IF(COUNTIF(MEMBERS[StaffMemberCode],MEMBERS[[#This Row],[StaffMemberCode]])=1,0,1)</f>
        <v>0</v>
      </c>
      <c r="D738" s="57">
        <f>IF(ISBLANK(MEMBERS[[#This Row],[PayrollLocation]]),0,IF(COUNTIF(SCHOOLS[SchoolCode],MEMBERS[[#This Row],[PayrollLocation]])=1,0,1))</f>
        <v>0</v>
      </c>
      <c r="E738" s="57">
        <f>IF(MEMBERS[[#This Row],[AvailableToAllSchools]]=FALSE,IF(ISBLANK(MEMBERS[[#This Row],[SchoolCodes]]),1,0),IF(MEMBERS[[#This Row],[AvailableToAllSchools]]=TRUE,IF(ISBLANK(MEMBERS[[#This Row],[SchoolCodes]]),0,1)))</f>
        <v>0</v>
      </c>
      <c r="F738" s="57">
        <f>IF(ISBLANK(MEMBERS[[#This Row],[ServiceEndDate]]),0,IF(MEMBERS[[#This Row],[ServiceStartDate]]&lt;MEMBERS[[#This Row],[ServiceEndDate]],0,1))</f>
        <v>0</v>
      </c>
      <c r="G738" s="57" cm="1">
        <f t="array" aca="1" ref="G738" ca="1">IF(CELL("format",MEMBERS[[#This Row],[ServiceStartDate]])="D1",0,1)+IF(CELL("format",MEMBERS[[#This Row],[ServiceEndDate]])="D1",0,1)</f>
        <v>0</v>
      </c>
      <c r="H73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38" s="57">
        <f>IF(LEN(MEMBERS[[#This Row],[StaffMemberCode]])&lt;100,0,1)</f>
        <v>0</v>
      </c>
      <c r="J738" s="57">
        <f>IF(LEN(MEMBERS[[#This Row],[Title]])&lt;100,0,1)</f>
        <v>0</v>
      </c>
      <c r="K738" s="57">
        <f>COUNTBLANK(MEMBERS[[#This Row],[StaffMemberCode]:[ServiceStartDate]])+COUNTBLANK(MEMBERS[[#This Row],[Apprenticeship]]:MEMBERS[[#This Row],[StaffMemberEnabled]])+COUNTBLANK(MEMBERS[[#This Row],[GenderCode]]:MEMBERS[[#This Row],[Casual]])</f>
        <v>0</v>
      </c>
      <c r="L738" s="57">
        <f>IF(SUBSTITUTE(TEXT(MEMBERS[[#This Row],[StaffMemberCode]],10)," ","")=TEXT(MEMBERS[[#This Row],[StaffMemberCode]],10),0,1)</f>
        <v>0</v>
      </c>
      <c r="M738" s="57">
        <f ca="1">SUM(MEMBERS[[#This Row],[Duplicate NameService Start]:[Space in Code]])</f>
        <v>0</v>
      </c>
      <c r="O738" s="15">
        <v>91073940</v>
      </c>
      <c r="P738" s="15" t="s">
        <v>3428</v>
      </c>
      <c r="Q738" s="15" t="s">
        <v>3900</v>
      </c>
      <c r="R738" s="133" t="str">
        <f>MEMBERS[[#This Row],[FirstName]]&amp;" "&amp;MEMBERS[[#This Row],[LastName]]</f>
        <v>Stephanie Hinchcliffe</v>
      </c>
      <c r="S738" s="21">
        <v>44119</v>
      </c>
      <c r="U738" s="21">
        <v>28119</v>
      </c>
      <c r="V738" t="b">
        <v>0</v>
      </c>
      <c r="W738" t="b">
        <v>0</v>
      </c>
      <c r="X738" t="b">
        <v>0</v>
      </c>
      <c r="Y738" t="s">
        <v>2299</v>
      </c>
      <c r="Z738" t="b">
        <v>1</v>
      </c>
      <c r="AB738" t="s">
        <v>1571</v>
      </c>
      <c r="AC738" t="b">
        <v>0</v>
      </c>
    </row>
    <row r="739" spans="1:29" x14ac:dyDescent="0.3">
      <c r="A739" s="57" t="str">
        <f>MEMBERS[[#This Row],[Title]]&amp;MEMBERS[[#This Row],[ServiceStartDate]]</f>
        <v>Stephanie Palin41518</v>
      </c>
      <c r="B739" s="57">
        <f>IF(COUNTIF(MEMBERS[NameServiceStart],MEMBERS[[#This Row],[NameServiceStart]])=1,0,1)</f>
        <v>0</v>
      </c>
      <c r="C739" s="57">
        <f>IF(COUNTIF(MEMBERS[StaffMemberCode],MEMBERS[[#This Row],[StaffMemberCode]])=1,0,1)</f>
        <v>0</v>
      </c>
      <c r="D739" s="57">
        <f>IF(ISBLANK(MEMBERS[[#This Row],[PayrollLocation]]),0,IF(COUNTIF(SCHOOLS[SchoolCode],MEMBERS[[#This Row],[PayrollLocation]])=1,0,1))</f>
        <v>0</v>
      </c>
      <c r="E739" s="57">
        <f>IF(MEMBERS[[#This Row],[AvailableToAllSchools]]=FALSE,IF(ISBLANK(MEMBERS[[#This Row],[SchoolCodes]]),1,0),IF(MEMBERS[[#This Row],[AvailableToAllSchools]]=TRUE,IF(ISBLANK(MEMBERS[[#This Row],[SchoolCodes]]),0,1)))</f>
        <v>0</v>
      </c>
      <c r="F739" s="57">
        <f>IF(ISBLANK(MEMBERS[[#This Row],[ServiceEndDate]]),0,IF(MEMBERS[[#This Row],[ServiceStartDate]]&lt;MEMBERS[[#This Row],[ServiceEndDate]],0,1))</f>
        <v>0</v>
      </c>
      <c r="G739" s="57" cm="1">
        <f t="array" aca="1" ref="G739" ca="1">IF(CELL("format",MEMBERS[[#This Row],[ServiceStartDate]])="D1",0,1)+IF(CELL("format",MEMBERS[[#This Row],[ServiceEndDate]])="D1",0,1)</f>
        <v>0</v>
      </c>
      <c r="H73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39" s="57">
        <f>IF(LEN(MEMBERS[[#This Row],[StaffMemberCode]])&lt;100,0,1)</f>
        <v>0</v>
      </c>
      <c r="J739" s="57">
        <f>IF(LEN(MEMBERS[[#This Row],[Title]])&lt;100,0,1)</f>
        <v>0</v>
      </c>
      <c r="K739" s="57">
        <f>COUNTBLANK(MEMBERS[[#This Row],[StaffMemberCode]:[ServiceStartDate]])+COUNTBLANK(MEMBERS[[#This Row],[Apprenticeship]]:MEMBERS[[#This Row],[StaffMemberEnabled]])+COUNTBLANK(MEMBERS[[#This Row],[GenderCode]]:MEMBERS[[#This Row],[Casual]])</f>
        <v>0</v>
      </c>
      <c r="L739" s="57">
        <f>IF(SUBSTITUTE(TEXT(MEMBERS[[#This Row],[StaffMemberCode]],10)," ","")=TEXT(MEMBERS[[#This Row],[StaffMemberCode]],10),0,1)</f>
        <v>0</v>
      </c>
      <c r="M739" s="57">
        <f ca="1">SUM(MEMBERS[[#This Row],[Duplicate NameService Start]:[Space in Code]])</f>
        <v>0</v>
      </c>
      <c r="O739" s="15">
        <v>10014615</v>
      </c>
      <c r="P739" s="15" t="s">
        <v>3428</v>
      </c>
      <c r="Q739" s="15" t="s">
        <v>4135</v>
      </c>
      <c r="R739" s="133" t="str">
        <f>MEMBERS[[#This Row],[FirstName]]&amp;" "&amp;MEMBERS[[#This Row],[LastName]]</f>
        <v>Stephanie Palin</v>
      </c>
      <c r="S739" s="21">
        <v>41518</v>
      </c>
      <c r="U739" s="21">
        <v>29211</v>
      </c>
      <c r="V739" s="138" t="b">
        <v>0</v>
      </c>
      <c r="W739" t="b">
        <v>0</v>
      </c>
      <c r="X739" t="b">
        <v>0</v>
      </c>
      <c r="Y739" t="s">
        <v>2126</v>
      </c>
      <c r="Z739" t="b">
        <v>1</v>
      </c>
      <c r="AB739" t="s">
        <v>1571</v>
      </c>
      <c r="AC739" t="b">
        <v>0</v>
      </c>
    </row>
    <row r="740" spans="1:29" x14ac:dyDescent="0.3">
      <c r="A740" s="57" t="str">
        <f>MEMBERS[[#This Row],[Title]]&amp;MEMBERS[[#This Row],[ServiceStartDate]]</f>
        <v>Stephanie Procter43109</v>
      </c>
      <c r="B740" s="57">
        <f>IF(COUNTIF(MEMBERS[NameServiceStart],MEMBERS[[#This Row],[NameServiceStart]])=1,0,1)</f>
        <v>0</v>
      </c>
      <c r="C740" s="57">
        <f>IF(COUNTIF(MEMBERS[StaffMemberCode],MEMBERS[[#This Row],[StaffMemberCode]])=1,0,1)</f>
        <v>0</v>
      </c>
      <c r="D740" s="57">
        <f>IF(ISBLANK(MEMBERS[[#This Row],[PayrollLocation]]),0,IF(COUNTIF(SCHOOLS[SchoolCode],MEMBERS[[#This Row],[PayrollLocation]])=1,0,1))</f>
        <v>0</v>
      </c>
      <c r="E740" s="57">
        <f>IF(MEMBERS[[#This Row],[AvailableToAllSchools]]=FALSE,IF(ISBLANK(MEMBERS[[#This Row],[SchoolCodes]]),1,0),IF(MEMBERS[[#This Row],[AvailableToAllSchools]]=TRUE,IF(ISBLANK(MEMBERS[[#This Row],[SchoolCodes]]),0,1)))</f>
        <v>0</v>
      </c>
      <c r="F740" s="57">
        <f>IF(ISBLANK(MEMBERS[[#This Row],[ServiceEndDate]]),0,IF(MEMBERS[[#This Row],[ServiceStartDate]]&lt;MEMBERS[[#This Row],[ServiceEndDate]],0,1))</f>
        <v>0</v>
      </c>
      <c r="G740" s="57" cm="1">
        <f t="array" aca="1" ref="G740" ca="1">IF(CELL("format",MEMBERS[[#This Row],[ServiceStartDate]])="D1",0,1)+IF(CELL("format",MEMBERS[[#This Row],[ServiceEndDate]])="D1",0,1)</f>
        <v>0</v>
      </c>
      <c r="H74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40" s="57">
        <f>IF(LEN(MEMBERS[[#This Row],[StaffMemberCode]])&lt;100,0,1)</f>
        <v>0</v>
      </c>
      <c r="J740" s="57">
        <f>IF(LEN(MEMBERS[[#This Row],[Title]])&lt;100,0,1)</f>
        <v>0</v>
      </c>
      <c r="K740" s="57">
        <f>COUNTBLANK(MEMBERS[[#This Row],[StaffMemberCode]:[ServiceStartDate]])+COUNTBLANK(MEMBERS[[#This Row],[Apprenticeship]]:MEMBERS[[#This Row],[StaffMemberEnabled]])+COUNTBLANK(MEMBERS[[#This Row],[GenderCode]]:MEMBERS[[#This Row],[Casual]])</f>
        <v>0</v>
      </c>
      <c r="L740" s="57">
        <f>IF(SUBSTITUTE(TEXT(MEMBERS[[#This Row],[StaffMemberCode]],10)," ","")=TEXT(MEMBERS[[#This Row],[StaffMemberCode]],10),0,1)</f>
        <v>0</v>
      </c>
      <c r="M740" s="57">
        <f ca="1">SUM(MEMBERS[[#This Row],[Duplicate NameService Start]:[Space in Code]])</f>
        <v>0</v>
      </c>
      <c r="O740" s="15">
        <v>91073662</v>
      </c>
      <c r="P740" s="15" t="s">
        <v>3428</v>
      </c>
      <c r="Q740" s="15" t="s">
        <v>3901</v>
      </c>
      <c r="R740" s="133" t="str">
        <f>MEMBERS[[#This Row],[FirstName]]&amp;" "&amp;MEMBERS[[#This Row],[LastName]]</f>
        <v>Stephanie Procter</v>
      </c>
      <c r="S740" s="21">
        <v>43109</v>
      </c>
      <c r="U740" s="21">
        <v>35109</v>
      </c>
      <c r="V740" t="b">
        <v>0</v>
      </c>
      <c r="W740" t="b">
        <v>0</v>
      </c>
      <c r="X740" t="b">
        <v>0</v>
      </c>
      <c r="Y740" t="s">
        <v>2089</v>
      </c>
      <c r="Z740" t="b">
        <v>1</v>
      </c>
      <c r="AB740" t="s">
        <v>1571</v>
      </c>
      <c r="AC740" t="b">
        <v>0</v>
      </c>
    </row>
    <row r="741" spans="1:29" x14ac:dyDescent="0.3">
      <c r="A741" s="57" t="str">
        <f>MEMBERS[[#This Row],[Title]]&amp;MEMBERS[[#This Row],[ServiceStartDate]]</f>
        <v>Stephanie Shaw41283</v>
      </c>
      <c r="B741" s="57">
        <f>IF(COUNTIF(MEMBERS[NameServiceStart],MEMBERS[[#This Row],[NameServiceStart]])=1,0,1)</f>
        <v>0</v>
      </c>
      <c r="C741" s="57">
        <f>IF(COUNTIF(MEMBERS[StaffMemberCode],MEMBERS[[#This Row],[StaffMemberCode]])=1,0,1)</f>
        <v>0</v>
      </c>
      <c r="D741" s="57">
        <f>IF(ISBLANK(MEMBERS[[#This Row],[PayrollLocation]]),0,IF(COUNTIF(SCHOOLS[SchoolCode],MEMBERS[[#This Row],[PayrollLocation]])=1,0,1))</f>
        <v>0</v>
      </c>
      <c r="E741" s="57">
        <f>IF(MEMBERS[[#This Row],[AvailableToAllSchools]]=FALSE,IF(ISBLANK(MEMBERS[[#This Row],[SchoolCodes]]),1,0),IF(MEMBERS[[#This Row],[AvailableToAllSchools]]=TRUE,IF(ISBLANK(MEMBERS[[#This Row],[SchoolCodes]]),0,1)))</f>
        <v>0</v>
      </c>
      <c r="F741" s="57">
        <f>IF(ISBLANK(MEMBERS[[#This Row],[ServiceEndDate]]),0,IF(MEMBERS[[#This Row],[ServiceStartDate]]&lt;MEMBERS[[#This Row],[ServiceEndDate]],0,1))</f>
        <v>0</v>
      </c>
      <c r="G741" s="57" cm="1">
        <f t="array" aca="1" ref="G741" ca="1">IF(CELL("format",MEMBERS[[#This Row],[ServiceStartDate]])="D1",0,1)+IF(CELL("format",MEMBERS[[#This Row],[ServiceEndDate]])="D1",0,1)</f>
        <v>0</v>
      </c>
      <c r="H74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41" s="57">
        <f>IF(LEN(MEMBERS[[#This Row],[StaffMemberCode]])&lt;100,0,1)</f>
        <v>0</v>
      </c>
      <c r="J741" s="57">
        <f>IF(LEN(MEMBERS[[#This Row],[Title]])&lt;100,0,1)</f>
        <v>0</v>
      </c>
      <c r="K741" s="57">
        <f>COUNTBLANK(MEMBERS[[#This Row],[StaffMemberCode]:[ServiceStartDate]])+COUNTBLANK(MEMBERS[[#This Row],[Apprenticeship]]:MEMBERS[[#This Row],[StaffMemberEnabled]])+COUNTBLANK(MEMBERS[[#This Row],[GenderCode]]:MEMBERS[[#This Row],[Casual]])</f>
        <v>0</v>
      </c>
      <c r="L741" s="57">
        <f>IF(SUBSTITUTE(TEXT(MEMBERS[[#This Row],[StaffMemberCode]],10)," ","")=TEXT(MEMBERS[[#This Row],[StaffMemberCode]],10),0,1)</f>
        <v>0</v>
      </c>
      <c r="M741" s="57">
        <f ca="1">SUM(MEMBERS[[#This Row],[Duplicate NameService Start]:[Space in Code]])</f>
        <v>0</v>
      </c>
      <c r="O741" s="15">
        <v>91073863</v>
      </c>
      <c r="P741" s="15" t="s">
        <v>3428</v>
      </c>
      <c r="Q741" s="15" t="s">
        <v>3902</v>
      </c>
      <c r="R741" s="133" t="str">
        <f>MEMBERS[[#This Row],[FirstName]]&amp;" "&amp;MEMBERS[[#This Row],[LastName]]</f>
        <v>Stephanie Shaw</v>
      </c>
      <c r="S741" s="21">
        <v>41283</v>
      </c>
      <c r="U741" s="21">
        <v>33309</v>
      </c>
      <c r="V741" t="b">
        <v>0</v>
      </c>
      <c r="W741" t="b">
        <v>0</v>
      </c>
      <c r="X741" t="b">
        <v>0</v>
      </c>
      <c r="Y741" t="s">
        <v>2082</v>
      </c>
      <c r="Z741" t="b">
        <v>1</v>
      </c>
      <c r="AB741" t="s">
        <v>1571</v>
      </c>
      <c r="AC741" t="b">
        <v>0</v>
      </c>
    </row>
    <row r="742" spans="1:29" x14ac:dyDescent="0.3">
      <c r="A742" s="57" t="str">
        <f>MEMBERS[[#This Row],[Title]]&amp;MEMBERS[[#This Row],[ServiceStartDate]]</f>
        <v>Stephanie Wise38726</v>
      </c>
      <c r="B742" s="57">
        <f>IF(COUNTIF(MEMBERS[NameServiceStart],MEMBERS[[#This Row],[NameServiceStart]])=1,0,1)</f>
        <v>0</v>
      </c>
      <c r="C742" s="57">
        <f>IF(COUNTIF(MEMBERS[StaffMemberCode],MEMBERS[[#This Row],[StaffMemberCode]])=1,0,1)</f>
        <v>0</v>
      </c>
      <c r="D742" s="57">
        <f>IF(ISBLANK(MEMBERS[[#This Row],[PayrollLocation]]),0,IF(COUNTIF(SCHOOLS[SchoolCode],MEMBERS[[#This Row],[PayrollLocation]])=1,0,1))</f>
        <v>0</v>
      </c>
      <c r="E742" s="57">
        <f>IF(MEMBERS[[#This Row],[AvailableToAllSchools]]=FALSE,IF(ISBLANK(MEMBERS[[#This Row],[SchoolCodes]]),1,0),IF(MEMBERS[[#This Row],[AvailableToAllSchools]]=TRUE,IF(ISBLANK(MEMBERS[[#This Row],[SchoolCodes]]),0,1)))</f>
        <v>0</v>
      </c>
      <c r="F742" s="57">
        <f>IF(ISBLANK(MEMBERS[[#This Row],[ServiceEndDate]]),0,IF(MEMBERS[[#This Row],[ServiceStartDate]]&lt;MEMBERS[[#This Row],[ServiceEndDate]],0,1))</f>
        <v>0</v>
      </c>
      <c r="G742" s="57" cm="1">
        <f t="array" aca="1" ref="G742" ca="1">IF(CELL("format",MEMBERS[[#This Row],[ServiceStartDate]])="D1",0,1)+IF(CELL("format",MEMBERS[[#This Row],[ServiceEndDate]])="D1",0,1)</f>
        <v>0</v>
      </c>
      <c r="H74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42" s="57">
        <f>IF(LEN(MEMBERS[[#This Row],[StaffMemberCode]])&lt;100,0,1)</f>
        <v>0</v>
      </c>
      <c r="J742" s="57">
        <f>IF(LEN(MEMBERS[[#This Row],[Title]])&lt;100,0,1)</f>
        <v>0</v>
      </c>
      <c r="K742" s="57">
        <f>COUNTBLANK(MEMBERS[[#This Row],[StaffMemberCode]:[ServiceStartDate]])+COUNTBLANK(MEMBERS[[#This Row],[Apprenticeship]]:MEMBERS[[#This Row],[StaffMemberEnabled]])+COUNTBLANK(MEMBERS[[#This Row],[GenderCode]]:MEMBERS[[#This Row],[Casual]])</f>
        <v>0</v>
      </c>
      <c r="L742" s="57">
        <f>IF(SUBSTITUTE(TEXT(MEMBERS[[#This Row],[StaffMemberCode]],10)," ","")=TEXT(MEMBERS[[#This Row],[StaffMemberCode]],10),0,1)</f>
        <v>0</v>
      </c>
      <c r="M742" s="57">
        <f ca="1">SUM(MEMBERS[[#This Row],[Duplicate NameService Start]:[Space in Code]])</f>
        <v>0</v>
      </c>
      <c r="O742" s="15">
        <v>91073699</v>
      </c>
      <c r="P742" s="15" t="s">
        <v>3428</v>
      </c>
      <c r="Q742" s="15" t="s">
        <v>3903</v>
      </c>
      <c r="R742" s="133" t="str">
        <f>MEMBERS[[#This Row],[FirstName]]&amp;" "&amp;MEMBERS[[#This Row],[LastName]]</f>
        <v>Stephanie Wise</v>
      </c>
      <c r="S742" s="21">
        <v>38726</v>
      </c>
      <c r="U742" s="21">
        <v>30195</v>
      </c>
      <c r="V742" t="b">
        <v>0</v>
      </c>
      <c r="W742" t="b">
        <v>0</v>
      </c>
      <c r="X742" t="b">
        <v>0</v>
      </c>
      <c r="Y742" t="s">
        <v>2082</v>
      </c>
      <c r="Z742" t="b">
        <v>1</v>
      </c>
      <c r="AB742" t="s">
        <v>1571</v>
      </c>
      <c r="AC742" t="b">
        <v>0</v>
      </c>
    </row>
    <row r="743" spans="1:29" x14ac:dyDescent="0.3">
      <c r="A743" s="57" t="str">
        <f>MEMBERS[[#This Row],[Title]]&amp;MEMBERS[[#This Row],[ServiceStartDate]]</f>
        <v>Stephen Bloor44690</v>
      </c>
      <c r="B743" s="57">
        <f>IF(COUNTIF(MEMBERS[NameServiceStart],MEMBERS[[#This Row],[NameServiceStart]])=1,0,1)</f>
        <v>0</v>
      </c>
      <c r="C743" s="57">
        <f>IF(COUNTIF(MEMBERS[StaffMemberCode],MEMBERS[[#This Row],[StaffMemberCode]])=1,0,1)</f>
        <v>0</v>
      </c>
      <c r="D743" s="57">
        <f>IF(ISBLANK(MEMBERS[[#This Row],[PayrollLocation]]),0,IF(COUNTIF(SCHOOLS[SchoolCode],MEMBERS[[#This Row],[PayrollLocation]])=1,0,1))</f>
        <v>0</v>
      </c>
      <c r="E743" s="57">
        <f>IF(MEMBERS[[#This Row],[AvailableToAllSchools]]=FALSE,IF(ISBLANK(MEMBERS[[#This Row],[SchoolCodes]]),1,0),IF(MEMBERS[[#This Row],[AvailableToAllSchools]]=TRUE,IF(ISBLANK(MEMBERS[[#This Row],[SchoolCodes]]),0,1)))</f>
        <v>0</v>
      </c>
      <c r="F743" s="57">
        <f>IF(ISBLANK(MEMBERS[[#This Row],[ServiceEndDate]]),0,IF(MEMBERS[[#This Row],[ServiceStartDate]]&lt;MEMBERS[[#This Row],[ServiceEndDate]],0,1))</f>
        <v>0</v>
      </c>
      <c r="G743" s="57" cm="1">
        <f t="array" aca="1" ref="G743" ca="1">IF(CELL("format",MEMBERS[[#This Row],[ServiceStartDate]])="D1",0,1)+IF(CELL("format",MEMBERS[[#This Row],[ServiceEndDate]])="D1",0,1)</f>
        <v>0</v>
      </c>
      <c r="H74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43" s="57">
        <f>IF(LEN(MEMBERS[[#This Row],[StaffMemberCode]])&lt;100,0,1)</f>
        <v>0</v>
      </c>
      <c r="J743" s="57">
        <f>IF(LEN(MEMBERS[[#This Row],[Title]])&lt;100,0,1)</f>
        <v>0</v>
      </c>
      <c r="K743" s="57">
        <f>COUNTBLANK(MEMBERS[[#This Row],[StaffMemberCode]:[ServiceStartDate]])+COUNTBLANK(MEMBERS[[#This Row],[Apprenticeship]]:MEMBERS[[#This Row],[StaffMemberEnabled]])+COUNTBLANK(MEMBERS[[#This Row],[GenderCode]]:MEMBERS[[#This Row],[Casual]])</f>
        <v>0</v>
      </c>
      <c r="L743" s="57">
        <f>IF(SUBSTITUTE(TEXT(MEMBERS[[#This Row],[StaffMemberCode]],10)," ","")=TEXT(MEMBERS[[#This Row],[StaffMemberCode]],10),0,1)</f>
        <v>0</v>
      </c>
      <c r="M743" s="57">
        <f ca="1">SUM(MEMBERS[[#This Row],[Duplicate NameService Start]:[Space in Code]])</f>
        <v>0</v>
      </c>
      <c r="O743" s="15">
        <v>91073820</v>
      </c>
      <c r="P743" s="15" t="s">
        <v>3429</v>
      </c>
      <c r="Q743" s="15" t="s">
        <v>3904</v>
      </c>
      <c r="R743" s="133" t="str">
        <f>MEMBERS[[#This Row],[FirstName]]&amp;" "&amp;MEMBERS[[#This Row],[LastName]]</f>
        <v>Stephen Bloor</v>
      </c>
      <c r="S743" s="21">
        <v>44690</v>
      </c>
      <c r="U743" s="21">
        <v>22530</v>
      </c>
      <c r="V743" t="b">
        <v>0</v>
      </c>
      <c r="W743" t="b">
        <v>0</v>
      </c>
      <c r="X743" t="b">
        <v>0</v>
      </c>
      <c r="Y743" t="s">
        <v>2082</v>
      </c>
      <c r="Z743" t="b">
        <v>1</v>
      </c>
      <c r="AB743" t="s">
        <v>1572</v>
      </c>
      <c r="AC743" t="b">
        <v>1</v>
      </c>
    </row>
    <row r="744" spans="1:29" x14ac:dyDescent="0.3">
      <c r="A744" s="57" t="str">
        <f>MEMBERS[[#This Row],[Title]]&amp;MEMBERS[[#This Row],[ServiceStartDate]]</f>
        <v>Stephen Hodgkinson44958</v>
      </c>
      <c r="B744" s="57">
        <f>IF(COUNTIF(MEMBERS[NameServiceStart],MEMBERS[[#This Row],[NameServiceStart]])=1,0,1)</f>
        <v>0</v>
      </c>
      <c r="C744" s="57">
        <f>IF(COUNTIF(MEMBERS[StaffMemberCode],MEMBERS[[#This Row],[StaffMemberCode]])=1,0,1)</f>
        <v>0</v>
      </c>
      <c r="D744" s="57">
        <f>IF(ISBLANK(MEMBERS[[#This Row],[PayrollLocation]]),0,IF(COUNTIF(SCHOOLS[SchoolCode],MEMBERS[[#This Row],[PayrollLocation]])=1,0,1))</f>
        <v>0</v>
      </c>
      <c r="E744" s="57">
        <f>IF(MEMBERS[[#This Row],[AvailableToAllSchools]]=FALSE,IF(ISBLANK(MEMBERS[[#This Row],[SchoolCodes]]),1,0),IF(MEMBERS[[#This Row],[AvailableToAllSchools]]=TRUE,IF(ISBLANK(MEMBERS[[#This Row],[SchoolCodes]]),0,1)))</f>
        <v>0</v>
      </c>
      <c r="F744" s="57">
        <f>IF(ISBLANK(MEMBERS[[#This Row],[ServiceEndDate]]),0,IF(MEMBERS[[#This Row],[ServiceStartDate]]&lt;MEMBERS[[#This Row],[ServiceEndDate]],0,1))</f>
        <v>0</v>
      </c>
      <c r="G744" s="57" cm="1">
        <f t="array" aca="1" ref="G744" ca="1">IF(CELL("format",MEMBERS[[#This Row],[ServiceStartDate]])="D1",0,1)+IF(CELL("format",MEMBERS[[#This Row],[ServiceEndDate]])="D1",0,1)</f>
        <v>0</v>
      </c>
      <c r="H74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44" s="57">
        <f>IF(LEN(MEMBERS[[#This Row],[StaffMemberCode]])&lt;100,0,1)</f>
        <v>0</v>
      </c>
      <c r="J744" s="57">
        <f>IF(LEN(MEMBERS[[#This Row],[Title]])&lt;100,0,1)</f>
        <v>0</v>
      </c>
      <c r="K744" s="57">
        <f>COUNTBLANK(MEMBERS[[#This Row],[StaffMemberCode]:[ServiceStartDate]])+COUNTBLANK(MEMBERS[[#This Row],[Apprenticeship]]:MEMBERS[[#This Row],[StaffMemberEnabled]])+COUNTBLANK(MEMBERS[[#This Row],[GenderCode]]:MEMBERS[[#This Row],[Casual]])</f>
        <v>0</v>
      </c>
      <c r="L744" s="57">
        <f>IF(SUBSTITUTE(TEXT(MEMBERS[[#This Row],[StaffMemberCode]],10)," ","")=TEXT(MEMBERS[[#This Row],[StaffMemberCode]],10),0,1)</f>
        <v>0</v>
      </c>
      <c r="M744" s="57">
        <f ca="1">SUM(MEMBERS[[#This Row],[Duplicate NameService Start]:[Space in Code]])</f>
        <v>0</v>
      </c>
      <c r="O744" s="15">
        <v>10011251</v>
      </c>
      <c r="P744" s="15" t="s">
        <v>3429</v>
      </c>
      <c r="Q744" s="15" t="s">
        <v>3568</v>
      </c>
      <c r="R744" s="133" t="str">
        <f>MEMBERS[[#This Row],[FirstName]]&amp;" "&amp;MEMBERS[[#This Row],[LastName]]</f>
        <v>Stephen Hodgkinson</v>
      </c>
      <c r="S744" s="21">
        <v>44958</v>
      </c>
      <c r="U744" s="21">
        <v>23587</v>
      </c>
      <c r="V744" s="138" t="b">
        <v>0</v>
      </c>
      <c r="W744" t="b">
        <v>0</v>
      </c>
      <c r="X744" t="b">
        <v>0</v>
      </c>
      <c r="Y744" t="s">
        <v>2126</v>
      </c>
      <c r="Z744" t="b">
        <v>1</v>
      </c>
      <c r="AB744" t="s">
        <v>1572</v>
      </c>
      <c r="AC744" t="b">
        <v>1</v>
      </c>
    </row>
    <row r="745" spans="1:29" x14ac:dyDescent="0.3">
      <c r="A745" s="57" t="str">
        <f>MEMBERS[[#This Row],[Title]]&amp;MEMBERS[[#This Row],[ServiceStartDate]]</f>
        <v>Stephen Marshall44570</v>
      </c>
      <c r="B745" s="57">
        <f>IF(COUNTIF(MEMBERS[NameServiceStart],MEMBERS[[#This Row],[NameServiceStart]])=1,0,1)</f>
        <v>0</v>
      </c>
      <c r="C745" s="57">
        <f>IF(COUNTIF(MEMBERS[StaffMemberCode],MEMBERS[[#This Row],[StaffMemberCode]])=1,0,1)</f>
        <v>0</v>
      </c>
      <c r="D745" s="57">
        <f>IF(ISBLANK(MEMBERS[[#This Row],[PayrollLocation]]),0,IF(COUNTIF(SCHOOLS[SchoolCode],MEMBERS[[#This Row],[PayrollLocation]])=1,0,1))</f>
        <v>0</v>
      </c>
      <c r="E745" s="57">
        <f>IF(MEMBERS[[#This Row],[AvailableToAllSchools]]=FALSE,IF(ISBLANK(MEMBERS[[#This Row],[SchoolCodes]]),1,0),IF(MEMBERS[[#This Row],[AvailableToAllSchools]]=TRUE,IF(ISBLANK(MEMBERS[[#This Row],[SchoolCodes]]),0,1)))</f>
        <v>0</v>
      </c>
      <c r="F745" s="57">
        <f>IF(ISBLANK(MEMBERS[[#This Row],[ServiceEndDate]]),0,IF(MEMBERS[[#This Row],[ServiceStartDate]]&lt;MEMBERS[[#This Row],[ServiceEndDate]],0,1))</f>
        <v>0</v>
      </c>
      <c r="G745" s="57" cm="1">
        <f t="array" aca="1" ref="G745" ca="1">IF(CELL("format",MEMBERS[[#This Row],[ServiceStartDate]])="D1",0,1)+IF(CELL("format",MEMBERS[[#This Row],[ServiceEndDate]])="D1",0,1)</f>
        <v>0</v>
      </c>
      <c r="H74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45" s="57">
        <f>IF(LEN(MEMBERS[[#This Row],[StaffMemberCode]])&lt;100,0,1)</f>
        <v>0</v>
      </c>
      <c r="J745" s="57">
        <f>IF(LEN(MEMBERS[[#This Row],[Title]])&lt;100,0,1)</f>
        <v>0</v>
      </c>
      <c r="K745" s="57">
        <f>COUNTBLANK(MEMBERS[[#This Row],[StaffMemberCode]:[ServiceStartDate]])+COUNTBLANK(MEMBERS[[#This Row],[Apprenticeship]]:MEMBERS[[#This Row],[StaffMemberEnabled]])+COUNTBLANK(MEMBERS[[#This Row],[GenderCode]]:MEMBERS[[#This Row],[Casual]])</f>
        <v>0</v>
      </c>
      <c r="L745" s="57">
        <f>IF(SUBSTITUTE(TEXT(MEMBERS[[#This Row],[StaffMemberCode]],10)," ","")=TEXT(MEMBERS[[#This Row],[StaffMemberCode]],10),0,1)</f>
        <v>0</v>
      </c>
      <c r="M745" s="57">
        <f ca="1">SUM(MEMBERS[[#This Row],[Duplicate NameService Start]:[Space in Code]])</f>
        <v>0</v>
      </c>
      <c r="O745" s="15">
        <v>91073667</v>
      </c>
      <c r="P745" s="15" t="s">
        <v>3429</v>
      </c>
      <c r="Q745" s="15" t="s">
        <v>3905</v>
      </c>
      <c r="R745" s="133" t="str">
        <f>MEMBERS[[#This Row],[FirstName]]&amp;" "&amp;MEMBERS[[#This Row],[LastName]]</f>
        <v>Stephen Marshall</v>
      </c>
      <c r="S745" s="21">
        <v>44570</v>
      </c>
      <c r="U745" s="21">
        <v>21160</v>
      </c>
      <c r="V745" t="b">
        <v>0</v>
      </c>
      <c r="W745" t="b">
        <v>0</v>
      </c>
      <c r="X745" t="b">
        <v>0</v>
      </c>
      <c r="Y745" t="s">
        <v>2082</v>
      </c>
      <c r="Z745" t="b">
        <v>1</v>
      </c>
      <c r="AB745" t="s">
        <v>1572</v>
      </c>
      <c r="AC745" t="b">
        <v>1</v>
      </c>
    </row>
    <row r="746" spans="1:29" x14ac:dyDescent="0.3">
      <c r="A746" s="57" t="str">
        <f>MEMBERS[[#This Row],[Title]]&amp;MEMBERS[[#This Row],[ServiceStartDate]]</f>
        <v>Stephen McVicar44431</v>
      </c>
      <c r="B746" s="57">
        <f>IF(COUNTIF(MEMBERS[NameServiceStart],MEMBERS[[#This Row],[NameServiceStart]])=1,0,1)</f>
        <v>0</v>
      </c>
      <c r="C746" s="57">
        <f>IF(COUNTIF(MEMBERS[StaffMemberCode],MEMBERS[[#This Row],[StaffMemberCode]])=1,0,1)</f>
        <v>0</v>
      </c>
      <c r="D746" s="57">
        <f>IF(ISBLANK(MEMBERS[[#This Row],[PayrollLocation]]),0,IF(COUNTIF(SCHOOLS[SchoolCode],MEMBERS[[#This Row],[PayrollLocation]])=1,0,1))</f>
        <v>0</v>
      </c>
      <c r="E746" s="57">
        <f>IF(MEMBERS[[#This Row],[AvailableToAllSchools]]=FALSE,IF(ISBLANK(MEMBERS[[#This Row],[SchoolCodes]]),1,0),IF(MEMBERS[[#This Row],[AvailableToAllSchools]]=TRUE,IF(ISBLANK(MEMBERS[[#This Row],[SchoolCodes]]),0,1)))</f>
        <v>0</v>
      </c>
      <c r="F746" s="57">
        <f>IF(ISBLANK(MEMBERS[[#This Row],[ServiceEndDate]]),0,IF(MEMBERS[[#This Row],[ServiceStartDate]]&lt;MEMBERS[[#This Row],[ServiceEndDate]],0,1))</f>
        <v>0</v>
      </c>
      <c r="G746" s="57" cm="1">
        <f t="array" aca="1" ref="G746" ca="1">IF(CELL("format",MEMBERS[[#This Row],[ServiceStartDate]])="D1",0,1)+IF(CELL("format",MEMBERS[[#This Row],[ServiceEndDate]])="D1",0,1)</f>
        <v>0</v>
      </c>
      <c r="H74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46" s="57">
        <f>IF(LEN(MEMBERS[[#This Row],[StaffMemberCode]])&lt;100,0,1)</f>
        <v>0</v>
      </c>
      <c r="J746" s="57">
        <f>IF(LEN(MEMBERS[[#This Row],[Title]])&lt;100,0,1)</f>
        <v>0</v>
      </c>
      <c r="K746" s="57">
        <f>COUNTBLANK(MEMBERS[[#This Row],[StaffMemberCode]:[ServiceStartDate]])+COUNTBLANK(MEMBERS[[#This Row],[Apprenticeship]]:MEMBERS[[#This Row],[StaffMemberEnabled]])+COUNTBLANK(MEMBERS[[#This Row],[GenderCode]]:MEMBERS[[#This Row],[Casual]])</f>
        <v>0</v>
      </c>
      <c r="L746" s="57">
        <f>IF(SUBSTITUTE(TEXT(MEMBERS[[#This Row],[StaffMemberCode]],10)," ","")=TEXT(MEMBERS[[#This Row],[StaffMemberCode]],10),0,1)</f>
        <v>0</v>
      </c>
      <c r="M746" s="57">
        <f ca="1">SUM(MEMBERS[[#This Row],[Duplicate NameService Start]:[Space in Code]])</f>
        <v>0</v>
      </c>
      <c r="O746" s="15">
        <v>91075763</v>
      </c>
      <c r="P746" s="15" t="s">
        <v>3429</v>
      </c>
      <c r="Q746" s="15" t="s">
        <v>3906</v>
      </c>
      <c r="R746" s="133" t="str">
        <f>MEMBERS[[#This Row],[FirstName]]&amp;" "&amp;MEMBERS[[#This Row],[LastName]]</f>
        <v>Stephen McVicar</v>
      </c>
      <c r="S746" s="21">
        <v>44431</v>
      </c>
      <c r="U746" s="21">
        <v>24814</v>
      </c>
      <c r="V746" t="b">
        <v>0</v>
      </c>
      <c r="W746" t="b">
        <v>0</v>
      </c>
      <c r="X746" t="b">
        <v>0</v>
      </c>
      <c r="Y746" t="s">
        <v>2200</v>
      </c>
      <c r="Z746" t="b">
        <v>1</v>
      </c>
      <c r="AB746" t="s">
        <v>1572</v>
      </c>
      <c r="AC746" t="b">
        <v>0</v>
      </c>
    </row>
    <row r="747" spans="1:29" x14ac:dyDescent="0.3">
      <c r="A747" s="57" t="str">
        <f>MEMBERS[[#This Row],[Title]]&amp;MEMBERS[[#This Row],[ServiceStartDate]]</f>
        <v>Stephen Slinn44155</v>
      </c>
      <c r="B747" s="57">
        <f>IF(COUNTIF(MEMBERS[NameServiceStart],MEMBERS[[#This Row],[NameServiceStart]])=1,0,1)</f>
        <v>0</v>
      </c>
      <c r="C747" s="57">
        <f>IF(COUNTIF(MEMBERS[StaffMemberCode],MEMBERS[[#This Row],[StaffMemberCode]])=1,0,1)</f>
        <v>0</v>
      </c>
      <c r="D747" s="57">
        <f>IF(ISBLANK(MEMBERS[[#This Row],[PayrollLocation]]),0,IF(COUNTIF(SCHOOLS[SchoolCode],MEMBERS[[#This Row],[PayrollLocation]])=1,0,1))</f>
        <v>0</v>
      </c>
      <c r="E747" s="57">
        <f>IF(MEMBERS[[#This Row],[AvailableToAllSchools]]=FALSE,IF(ISBLANK(MEMBERS[[#This Row],[SchoolCodes]]),1,0),IF(MEMBERS[[#This Row],[AvailableToAllSchools]]=TRUE,IF(ISBLANK(MEMBERS[[#This Row],[SchoolCodes]]),0,1)))</f>
        <v>0</v>
      </c>
      <c r="F747" s="57">
        <f>IF(ISBLANK(MEMBERS[[#This Row],[ServiceEndDate]]),0,IF(MEMBERS[[#This Row],[ServiceStartDate]]&lt;MEMBERS[[#This Row],[ServiceEndDate]],0,1))</f>
        <v>0</v>
      </c>
      <c r="G747" s="57" cm="1">
        <f t="array" aca="1" ref="G747" ca="1">IF(CELL("format",MEMBERS[[#This Row],[ServiceStartDate]])="D1",0,1)+IF(CELL("format",MEMBERS[[#This Row],[ServiceEndDate]])="D1",0,1)</f>
        <v>0</v>
      </c>
      <c r="H74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47" s="57">
        <f>IF(LEN(MEMBERS[[#This Row],[StaffMemberCode]])&lt;100,0,1)</f>
        <v>0</v>
      </c>
      <c r="J747" s="57">
        <f>IF(LEN(MEMBERS[[#This Row],[Title]])&lt;100,0,1)</f>
        <v>0</v>
      </c>
      <c r="K747" s="57">
        <f>COUNTBLANK(MEMBERS[[#This Row],[StaffMemberCode]:[ServiceStartDate]])+COUNTBLANK(MEMBERS[[#This Row],[Apprenticeship]]:MEMBERS[[#This Row],[StaffMemberEnabled]])+COUNTBLANK(MEMBERS[[#This Row],[GenderCode]]:MEMBERS[[#This Row],[Casual]])</f>
        <v>0</v>
      </c>
      <c r="L747" s="57">
        <f>IF(SUBSTITUTE(TEXT(MEMBERS[[#This Row],[StaffMemberCode]],10)," ","")=TEXT(MEMBERS[[#This Row],[StaffMemberCode]],10),0,1)</f>
        <v>0</v>
      </c>
      <c r="M747" s="57">
        <f ca="1">SUM(MEMBERS[[#This Row],[Duplicate NameService Start]:[Space in Code]])</f>
        <v>0</v>
      </c>
      <c r="O747" s="15">
        <v>91073544</v>
      </c>
      <c r="P747" s="15" t="s">
        <v>3429</v>
      </c>
      <c r="Q747" s="15" t="s">
        <v>3570</v>
      </c>
      <c r="R747" s="133" t="str">
        <f>MEMBERS[[#This Row],[FirstName]]&amp;" "&amp;MEMBERS[[#This Row],[LastName]]</f>
        <v>Stephen Slinn</v>
      </c>
      <c r="S747" s="21">
        <v>44155</v>
      </c>
      <c r="U747" s="21">
        <v>24356</v>
      </c>
      <c r="V747" t="b">
        <v>0</v>
      </c>
      <c r="W747" t="b">
        <v>0</v>
      </c>
      <c r="X747" t="b">
        <v>0</v>
      </c>
      <c r="Y747" t="s">
        <v>2094</v>
      </c>
      <c r="Z747" t="b">
        <v>1</v>
      </c>
      <c r="AB747" t="s">
        <v>1572</v>
      </c>
      <c r="AC747" t="b">
        <v>0</v>
      </c>
    </row>
    <row r="748" spans="1:29" x14ac:dyDescent="0.3">
      <c r="A748" s="57" t="str">
        <f>MEMBERS[[#This Row],[Title]]&amp;MEMBERS[[#This Row],[ServiceStartDate]]</f>
        <v>Steven Harbour38353</v>
      </c>
      <c r="B748" s="57">
        <f>IF(COUNTIF(MEMBERS[NameServiceStart],MEMBERS[[#This Row],[NameServiceStart]])=1,0,1)</f>
        <v>0</v>
      </c>
      <c r="C748" s="57">
        <f>IF(COUNTIF(MEMBERS[StaffMemberCode],MEMBERS[[#This Row],[StaffMemberCode]])=1,0,1)</f>
        <v>0</v>
      </c>
      <c r="D748" s="57">
        <f>IF(ISBLANK(MEMBERS[[#This Row],[PayrollLocation]]),0,IF(COUNTIF(SCHOOLS[SchoolCode],MEMBERS[[#This Row],[PayrollLocation]])=1,0,1))</f>
        <v>0</v>
      </c>
      <c r="E748" s="57">
        <f>IF(MEMBERS[[#This Row],[AvailableToAllSchools]]=FALSE,IF(ISBLANK(MEMBERS[[#This Row],[SchoolCodes]]),1,0),IF(MEMBERS[[#This Row],[AvailableToAllSchools]]=TRUE,IF(ISBLANK(MEMBERS[[#This Row],[SchoolCodes]]),0,1)))</f>
        <v>0</v>
      </c>
      <c r="F748" s="57">
        <f>IF(ISBLANK(MEMBERS[[#This Row],[ServiceEndDate]]),0,IF(MEMBERS[[#This Row],[ServiceStartDate]]&lt;MEMBERS[[#This Row],[ServiceEndDate]],0,1))</f>
        <v>0</v>
      </c>
      <c r="G748" s="57" cm="1">
        <f t="array" aca="1" ref="G748" ca="1">IF(CELL("format",MEMBERS[[#This Row],[ServiceStartDate]])="D1",0,1)+IF(CELL("format",MEMBERS[[#This Row],[ServiceEndDate]])="D1",0,1)</f>
        <v>0</v>
      </c>
      <c r="H74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48" s="57">
        <f>IF(LEN(MEMBERS[[#This Row],[StaffMemberCode]])&lt;100,0,1)</f>
        <v>0</v>
      </c>
      <c r="J748" s="57">
        <f>IF(LEN(MEMBERS[[#This Row],[Title]])&lt;100,0,1)</f>
        <v>0</v>
      </c>
      <c r="K748" s="57">
        <f>COUNTBLANK(MEMBERS[[#This Row],[StaffMemberCode]:[ServiceStartDate]])+COUNTBLANK(MEMBERS[[#This Row],[Apprenticeship]]:MEMBERS[[#This Row],[StaffMemberEnabled]])+COUNTBLANK(MEMBERS[[#This Row],[GenderCode]]:MEMBERS[[#This Row],[Casual]])</f>
        <v>0</v>
      </c>
      <c r="L748" s="57">
        <f>IF(SUBSTITUTE(TEXT(MEMBERS[[#This Row],[StaffMemberCode]],10)," ","")=TEXT(MEMBERS[[#This Row],[StaffMemberCode]],10),0,1)</f>
        <v>0</v>
      </c>
      <c r="M748" s="57">
        <f ca="1">SUM(MEMBERS[[#This Row],[Duplicate NameService Start]:[Space in Code]])</f>
        <v>0</v>
      </c>
      <c r="O748" s="15">
        <v>91073674</v>
      </c>
      <c r="P748" s="15" t="s">
        <v>3430</v>
      </c>
      <c r="Q748" s="15" t="s">
        <v>3907</v>
      </c>
      <c r="R748" s="133" t="str">
        <f>MEMBERS[[#This Row],[FirstName]]&amp;" "&amp;MEMBERS[[#This Row],[LastName]]</f>
        <v>Steven Harbour</v>
      </c>
      <c r="S748" s="21">
        <v>38353</v>
      </c>
      <c r="U748" s="21">
        <v>27527</v>
      </c>
      <c r="V748" t="b">
        <v>0</v>
      </c>
      <c r="W748" t="b">
        <v>0</v>
      </c>
      <c r="X748" t="b">
        <v>0</v>
      </c>
      <c r="Y748" t="s">
        <v>2082</v>
      </c>
      <c r="Z748" t="b">
        <v>1</v>
      </c>
      <c r="AB748" t="s">
        <v>1572</v>
      </c>
      <c r="AC748" t="b">
        <v>0</v>
      </c>
    </row>
    <row r="749" spans="1:29" x14ac:dyDescent="0.3">
      <c r="A749" s="57" t="str">
        <f>MEMBERS[[#This Row],[Title]]&amp;MEMBERS[[#This Row],[ServiceStartDate]]</f>
        <v>Steven Rubin43107</v>
      </c>
      <c r="B749" s="57">
        <f>IF(COUNTIF(MEMBERS[NameServiceStart],MEMBERS[[#This Row],[NameServiceStart]])=1,0,1)</f>
        <v>0</v>
      </c>
      <c r="C749" s="57">
        <f>IF(COUNTIF(MEMBERS[StaffMemberCode],MEMBERS[[#This Row],[StaffMemberCode]])=1,0,1)</f>
        <v>0</v>
      </c>
      <c r="D749" s="57">
        <f>IF(ISBLANK(MEMBERS[[#This Row],[PayrollLocation]]),0,IF(COUNTIF(SCHOOLS[SchoolCode],MEMBERS[[#This Row],[PayrollLocation]])=1,0,1))</f>
        <v>0</v>
      </c>
      <c r="E749" s="57">
        <f>IF(MEMBERS[[#This Row],[AvailableToAllSchools]]=FALSE,IF(ISBLANK(MEMBERS[[#This Row],[SchoolCodes]]),1,0),IF(MEMBERS[[#This Row],[AvailableToAllSchools]]=TRUE,IF(ISBLANK(MEMBERS[[#This Row],[SchoolCodes]]),0,1)))</f>
        <v>0</v>
      </c>
      <c r="F749" s="57">
        <f>IF(ISBLANK(MEMBERS[[#This Row],[ServiceEndDate]]),0,IF(MEMBERS[[#This Row],[ServiceStartDate]]&lt;MEMBERS[[#This Row],[ServiceEndDate]],0,1))</f>
        <v>0</v>
      </c>
      <c r="G749" s="57" cm="1">
        <f t="array" aca="1" ref="G749" ca="1">IF(CELL("format",MEMBERS[[#This Row],[ServiceStartDate]])="D1",0,1)+IF(CELL("format",MEMBERS[[#This Row],[ServiceEndDate]])="D1",0,1)</f>
        <v>0</v>
      </c>
      <c r="H74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49" s="57">
        <f>IF(LEN(MEMBERS[[#This Row],[StaffMemberCode]])&lt;100,0,1)</f>
        <v>0</v>
      </c>
      <c r="J749" s="57">
        <f>IF(LEN(MEMBERS[[#This Row],[Title]])&lt;100,0,1)</f>
        <v>0</v>
      </c>
      <c r="K749" s="57">
        <f>COUNTBLANK(MEMBERS[[#This Row],[StaffMemberCode]:[ServiceStartDate]])+COUNTBLANK(MEMBERS[[#This Row],[Apprenticeship]]:MEMBERS[[#This Row],[StaffMemberEnabled]])+COUNTBLANK(MEMBERS[[#This Row],[GenderCode]]:MEMBERS[[#This Row],[Casual]])</f>
        <v>0</v>
      </c>
      <c r="L749" s="57">
        <f>IF(SUBSTITUTE(TEXT(MEMBERS[[#This Row],[StaffMemberCode]],10)," ","")=TEXT(MEMBERS[[#This Row],[StaffMemberCode]],10),0,1)</f>
        <v>0</v>
      </c>
      <c r="M749" s="57">
        <f ca="1">SUM(MEMBERS[[#This Row],[Duplicate NameService Start]:[Space in Code]])</f>
        <v>0</v>
      </c>
      <c r="O749" s="15">
        <v>91073737</v>
      </c>
      <c r="P749" s="15" t="s">
        <v>3430</v>
      </c>
      <c r="Q749" s="15" t="s">
        <v>3908</v>
      </c>
      <c r="R749" s="133" t="str">
        <f>MEMBERS[[#This Row],[FirstName]]&amp;" "&amp;MEMBERS[[#This Row],[LastName]]</f>
        <v>Steven Rubin</v>
      </c>
      <c r="S749" s="21">
        <v>43107</v>
      </c>
      <c r="U749" s="21">
        <v>24955</v>
      </c>
      <c r="V749" t="b">
        <v>0</v>
      </c>
      <c r="W749" t="b">
        <v>0</v>
      </c>
      <c r="X749" t="b">
        <v>0</v>
      </c>
      <c r="Y749" t="s">
        <v>2082</v>
      </c>
      <c r="Z749" t="b">
        <v>1</v>
      </c>
      <c r="AB749" t="s">
        <v>1572</v>
      </c>
      <c r="AC749" t="b">
        <v>0</v>
      </c>
    </row>
    <row r="750" spans="1:29" x14ac:dyDescent="0.3">
      <c r="A750" s="57" t="str">
        <f>MEMBERS[[#This Row],[Title]]&amp;MEMBERS[[#This Row],[ServiceStartDate]]</f>
        <v>Stewart Cope42736</v>
      </c>
      <c r="B750" s="57">
        <f>IF(COUNTIF(MEMBERS[NameServiceStart],MEMBERS[[#This Row],[NameServiceStart]])=1,0,1)</f>
        <v>0</v>
      </c>
      <c r="C750" s="57">
        <f>IF(COUNTIF(MEMBERS[StaffMemberCode],MEMBERS[[#This Row],[StaffMemberCode]])=1,0,1)</f>
        <v>0</v>
      </c>
      <c r="D750" s="57">
        <f>IF(ISBLANK(MEMBERS[[#This Row],[PayrollLocation]]),0,IF(COUNTIF(SCHOOLS[SchoolCode],MEMBERS[[#This Row],[PayrollLocation]])=1,0,1))</f>
        <v>0</v>
      </c>
      <c r="E750" s="57">
        <f>IF(MEMBERS[[#This Row],[AvailableToAllSchools]]=FALSE,IF(ISBLANK(MEMBERS[[#This Row],[SchoolCodes]]),1,0),IF(MEMBERS[[#This Row],[AvailableToAllSchools]]=TRUE,IF(ISBLANK(MEMBERS[[#This Row],[SchoolCodes]]),0,1)))</f>
        <v>0</v>
      </c>
      <c r="F750" s="57">
        <f>IF(ISBLANK(MEMBERS[[#This Row],[ServiceEndDate]]),0,IF(MEMBERS[[#This Row],[ServiceStartDate]]&lt;MEMBERS[[#This Row],[ServiceEndDate]],0,1))</f>
        <v>0</v>
      </c>
      <c r="G750" s="57" cm="1">
        <f t="array" aca="1" ref="G750" ca="1">IF(CELL("format",MEMBERS[[#This Row],[ServiceStartDate]])="D1",0,1)+IF(CELL("format",MEMBERS[[#This Row],[ServiceEndDate]])="D1",0,1)</f>
        <v>0</v>
      </c>
      <c r="H75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50" s="57">
        <f>IF(LEN(MEMBERS[[#This Row],[StaffMemberCode]])&lt;100,0,1)</f>
        <v>0</v>
      </c>
      <c r="J750" s="57">
        <f>IF(LEN(MEMBERS[[#This Row],[Title]])&lt;100,0,1)</f>
        <v>0</v>
      </c>
      <c r="K750" s="57">
        <f>COUNTBLANK(MEMBERS[[#This Row],[StaffMemberCode]:[ServiceStartDate]])+COUNTBLANK(MEMBERS[[#This Row],[Apprenticeship]]:MEMBERS[[#This Row],[StaffMemberEnabled]])+COUNTBLANK(MEMBERS[[#This Row],[GenderCode]]:MEMBERS[[#This Row],[Casual]])</f>
        <v>0</v>
      </c>
      <c r="L750" s="57">
        <f>IF(SUBSTITUTE(TEXT(MEMBERS[[#This Row],[StaffMemberCode]],10)," ","")=TEXT(MEMBERS[[#This Row],[StaffMemberCode]],10),0,1)</f>
        <v>0</v>
      </c>
      <c r="M750" s="57">
        <f ca="1">SUM(MEMBERS[[#This Row],[Duplicate NameService Start]:[Space in Code]])</f>
        <v>0</v>
      </c>
      <c r="O750" s="15">
        <v>10005371</v>
      </c>
      <c r="P750" s="15" t="s">
        <v>4009</v>
      </c>
      <c r="Q750" s="15" t="s">
        <v>4136</v>
      </c>
      <c r="R750" s="133" t="str">
        <f>MEMBERS[[#This Row],[FirstName]]&amp;" "&amp;MEMBERS[[#This Row],[LastName]]</f>
        <v>Stewart Cope</v>
      </c>
      <c r="S750" s="21">
        <v>42736</v>
      </c>
      <c r="U750" s="21">
        <v>31110</v>
      </c>
      <c r="V750" s="138" t="b">
        <v>0</v>
      </c>
      <c r="W750" t="b">
        <v>0</v>
      </c>
      <c r="X750" t="b">
        <v>0</v>
      </c>
      <c r="Y750" t="s">
        <v>2126</v>
      </c>
      <c r="Z750" t="b">
        <v>1</v>
      </c>
      <c r="AB750" t="s">
        <v>1572</v>
      </c>
      <c r="AC750" t="b">
        <v>0</v>
      </c>
    </row>
    <row r="751" spans="1:29" x14ac:dyDescent="0.3">
      <c r="A751" s="57" t="str">
        <f>MEMBERS[[#This Row],[Title]]&amp;MEMBERS[[#This Row],[ServiceStartDate]]</f>
        <v>Susan Blackshaw45924</v>
      </c>
      <c r="B751" s="57">
        <f>IF(COUNTIF(MEMBERS[NameServiceStart],MEMBERS[[#This Row],[NameServiceStart]])=1,0,1)</f>
        <v>0</v>
      </c>
      <c r="C751" s="57">
        <f>IF(COUNTIF(MEMBERS[StaffMemberCode],MEMBERS[[#This Row],[StaffMemberCode]])=1,0,1)</f>
        <v>0</v>
      </c>
      <c r="D751" s="57">
        <f>IF(ISBLANK(MEMBERS[[#This Row],[PayrollLocation]]),0,IF(COUNTIF(SCHOOLS[SchoolCode],MEMBERS[[#This Row],[PayrollLocation]])=1,0,1))</f>
        <v>0</v>
      </c>
      <c r="E751" s="57">
        <f>IF(MEMBERS[[#This Row],[AvailableToAllSchools]]=FALSE,IF(ISBLANK(MEMBERS[[#This Row],[SchoolCodes]]),1,0),IF(MEMBERS[[#This Row],[AvailableToAllSchools]]=TRUE,IF(ISBLANK(MEMBERS[[#This Row],[SchoolCodes]]),0,1)))</f>
        <v>0</v>
      </c>
      <c r="F751" s="57">
        <f>IF(ISBLANK(MEMBERS[[#This Row],[ServiceEndDate]]),0,IF(MEMBERS[[#This Row],[ServiceStartDate]]&lt;MEMBERS[[#This Row],[ServiceEndDate]],0,1))</f>
        <v>0</v>
      </c>
      <c r="G751" s="57" cm="1">
        <f t="array" aca="1" ref="G751" ca="1">IF(CELL("format",MEMBERS[[#This Row],[ServiceStartDate]])="D1",0,1)+IF(CELL("format",MEMBERS[[#This Row],[ServiceEndDate]])="D1",0,1)</f>
        <v>0</v>
      </c>
      <c r="H75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51" s="57">
        <f>IF(LEN(MEMBERS[[#This Row],[StaffMemberCode]])&lt;100,0,1)</f>
        <v>0</v>
      </c>
      <c r="J751" s="57">
        <f>IF(LEN(MEMBERS[[#This Row],[Title]])&lt;100,0,1)</f>
        <v>0</v>
      </c>
      <c r="K751" s="57">
        <f>COUNTBLANK(MEMBERS[[#This Row],[StaffMemberCode]:[ServiceStartDate]])+COUNTBLANK(MEMBERS[[#This Row],[Apprenticeship]]:MEMBERS[[#This Row],[StaffMemberEnabled]])+COUNTBLANK(MEMBERS[[#This Row],[GenderCode]]:MEMBERS[[#This Row],[Casual]])</f>
        <v>0</v>
      </c>
      <c r="L751" s="57">
        <f>IF(SUBSTITUTE(TEXT(MEMBERS[[#This Row],[StaffMemberCode]],10)," ","")=TEXT(MEMBERS[[#This Row],[StaffMemberCode]],10),0,1)</f>
        <v>0</v>
      </c>
      <c r="M751" s="57">
        <f ca="1">SUM(MEMBERS[[#This Row],[Duplicate NameService Start]:[Space in Code]])</f>
        <v>0</v>
      </c>
      <c r="O751" s="15">
        <v>91850066</v>
      </c>
      <c r="P751" s="15" t="s">
        <v>3431</v>
      </c>
      <c r="Q751" s="15" t="s">
        <v>3909</v>
      </c>
      <c r="R751" s="133" t="str">
        <f>MEMBERS[[#This Row],[FirstName]]&amp;" "&amp;MEMBERS[[#This Row],[LastName]]</f>
        <v>Susan Blackshaw</v>
      </c>
      <c r="S751" s="21">
        <v>45924</v>
      </c>
      <c r="U751" s="21">
        <v>22301</v>
      </c>
      <c r="V751" t="b">
        <v>0</v>
      </c>
      <c r="W751" t="b">
        <v>0</v>
      </c>
      <c r="X751" t="b">
        <v>0</v>
      </c>
      <c r="Y751" t="s">
        <v>2094</v>
      </c>
      <c r="Z751" t="b">
        <v>1</v>
      </c>
      <c r="AB751" t="s">
        <v>1571</v>
      </c>
      <c r="AC751" t="b">
        <v>1</v>
      </c>
    </row>
    <row r="752" spans="1:29" x14ac:dyDescent="0.3">
      <c r="A752" s="57" t="str">
        <f>MEMBERS[[#This Row],[Title]]&amp;MEMBERS[[#This Row],[ServiceStartDate]]</f>
        <v>Susan Brownbill45299</v>
      </c>
      <c r="B752" s="57">
        <f>IF(COUNTIF(MEMBERS[NameServiceStart],MEMBERS[[#This Row],[NameServiceStart]])=1,0,1)</f>
        <v>0</v>
      </c>
      <c r="C752" s="57">
        <f>IF(COUNTIF(MEMBERS[StaffMemberCode],MEMBERS[[#This Row],[StaffMemberCode]])=1,0,1)</f>
        <v>0</v>
      </c>
      <c r="D752" s="57">
        <f>IF(ISBLANK(MEMBERS[[#This Row],[PayrollLocation]]),0,IF(COUNTIF(SCHOOLS[SchoolCode],MEMBERS[[#This Row],[PayrollLocation]])=1,0,1))</f>
        <v>0</v>
      </c>
      <c r="E752" s="57">
        <f>IF(MEMBERS[[#This Row],[AvailableToAllSchools]]=FALSE,IF(ISBLANK(MEMBERS[[#This Row],[SchoolCodes]]),1,0),IF(MEMBERS[[#This Row],[AvailableToAllSchools]]=TRUE,IF(ISBLANK(MEMBERS[[#This Row],[SchoolCodes]]),0,1)))</f>
        <v>0</v>
      </c>
      <c r="F752" s="57">
        <f>IF(ISBLANK(MEMBERS[[#This Row],[ServiceEndDate]]),0,IF(MEMBERS[[#This Row],[ServiceStartDate]]&lt;MEMBERS[[#This Row],[ServiceEndDate]],0,1))</f>
        <v>0</v>
      </c>
      <c r="G752" s="57" cm="1">
        <f t="array" aca="1" ref="G752" ca="1">IF(CELL("format",MEMBERS[[#This Row],[ServiceStartDate]])="D1",0,1)+IF(CELL("format",MEMBERS[[#This Row],[ServiceEndDate]])="D1",0,1)</f>
        <v>0</v>
      </c>
      <c r="H75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52" s="57">
        <f>IF(LEN(MEMBERS[[#This Row],[StaffMemberCode]])&lt;100,0,1)</f>
        <v>0</v>
      </c>
      <c r="J752" s="57">
        <f>IF(LEN(MEMBERS[[#This Row],[Title]])&lt;100,0,1)</f>
        <v>0</v>
      </c>
      <c r="K752" s="57">
        <f>COUNTBLANK(MEMBERS[[#This Row],[StaffMemberCode]:[ServiceStartDate]])+COUNTBLANK(MEMBERS[[#This Row],[Apprenticeship]]:MEMBERS[[#This Row],[StaffMemberEnabled]])+COUNTBLANK(MEMBERS[[#This Row],[GenderCode]]:MEMBERS[[#This Row],[Casual]])</f>
        <v>0</v>
      </c>
      <c r="L752" s="57">
        <f>IF(SUBSTITUTE(TEXT(MEMBERS[[#This Row],[StaffMemberCode]],10)," ","")=TEXT(MEMBERS[[#This Row],[StaffMemberCode]],10),0,1)</f>
        <v>0</v>
      </c>
      <c r="M752" s="57">
        <f ca="1">SUM(MEMBERS[[#This Row],[Duplicate NameService Start]:[Space in Code]])</f>
        <v>0</v>
      </c>
      <c r="O752" s="15">
        <v>91073626</v>
      </c>
      <c r="P752" s="15" t="s">
        <v>3431</v>
      </c>
      <c r="Q752" s="15" t="s">
        <v>3910</v>
      </c>
      <c r="R752" s="133" t="str">
        <f>MEMBERS[[#This Row],[FirstName]]&amp;" "&amp;MEMBERS[[#This Row],[LastName]]</f>
        <v>Susan Brownbill</v>
      </c>
      <c r="S752" s="21">
        <v>45299</v>
      </c>
      <c r="U752" s="21">
        <v>20636</v>
      </c>
      <c r="V752" t="b">
        <v>0</v>
      </c>
      <c r="W752" t="b">
        <v>0</v>
      </c>
      <c r="X752" t="b">
        <v>0</v>
      </c>
      <c r="Y752" t="s">
        <v>2094</v>
      </c>
      <c r="Z752" t="b">
        <v>1</v>
      </c>
      <c r="AB752" t="s">
        <v>1571</v>
      </c>
      <c r="AC752" t="b">
        <v>1</v>
      </c>
    </row>
    <row r="753" spans="1:29" x14ac:dyDescent="0.3">
      <c r="A753" s="57" t="str">
        <f>MEMBERS[[#This Row],[Title]]&amp;MEMBERS[[#This Row],[ServiceStartDate]]</f>
        <v>Susan Davies45383</v>
      </c>
      <c r="B753" s="57">
        <f>IF(COUNTIF(MEMBERS[NameServiceStart],MEMBERS[[#This Row],[NameServiceStart]])=1,0,1)</f>
        <v>0</v>
      </c>
      <c r="C753" s="57">
        <f>IF(COUNTIF(MEMBERS[StaffMemberCode],MEMBERS[[#This Row],[StaffMemberCode]])=1,0,1)</f>
        <v>0</v>
      </c>
      <c r="D753" s="57">
        <f>IF(ISBLANK(MEMBERS[[#This Row],[PayrollLocation]]),0,IF(COUNTIF(SCHOOLS[SchoolCode],MEMBERS[[#This Row],[PayrollLocation]])=1,0,1))</f>
        <v>0</v>
      </c>
      <c r="E753" s="57">
        <f>IF(MEMBERS[[#This Row],[AvailableToAllSchools]]=FALSE,IF(ISBLANK(MEMBERS[[#This Row],[SchoolCodes]]),1,0),IF(MEMBERS[[#This Row],[AvailableToAllSchools]]=TRUE,IF(ISBLANK(MEMBERS[[#This Row],[SchoolCodes]]),0,1)))</f>
        <v>0</v>
      </c>
      <c r="F753" s="57">
        <f>IF(ISBLANK(MEMBERS[[#This Row],[ServiceEndDate]]),0,IF(MEMBERS[[#This Row],[ServiceStartDate]]&lt;MEMBERS[[#This Row],[ServiceEndDate]],0,1))</f>
        <v>0</v>
      </c>
      <c r="G753" s="57" cm="1">
        <f t="array" aca="1" ref="G753" ca="1">IF(CELL("format",MEMBERS[[#This Row],[ServiceStartDate]])="D1",0,1)+IF(CELL("format",MEMBERS[[#This Row],[ServiceEndDate]])="D1",0,1)</f>
        <v>0</v>
      </c>
      <c r="H75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53" s="57">
        <f>IF(LEN(MEMBERS[[#This Row],[StaffMemberCode]])&lt;100,0,1)</f>
        <v>0</v>
      </c>
      <c r="J753" s="57">
        <f>IF(LEN(MEMBERS[[#This Row],[Title]])&lt;100,0,1)</f>
        <v>0</v>
      </c>
      <c r="K753" s="57">
        <f>COUNTBLANK(MEMBERS[[#This Row],[StaffMemberCode]:[ServiceStartDate]])+COUNTBLANK(MEMBERS[[#This Row],[Apprenticeship]]:MEMBERS[[#This Row],[StaffMemberEnabled]])+COUNTBLANK(MEMBERS[[#This Row],[GenderCode]]:MEMBERS[[#This Row],[Casual]])</f>
        <v>0</v>
      </c>
      <c r="L753" s="57">
        <f>IF(SUBSTITUTE(TEXT(MEMBERS[[#This Row],[StaffMemberCode]],10)," ","")=TEXT(MEMBERS[[#This Row],[StaffMemberCode]],10),0,1)</f>
        <v>0</v>
      </c>
      <c r="M753" s="57">
        <f ca="1">SUM(MEMBERS[[#This Row],[Duplicate NameService Start]:[Space in Code]])</f>
        <v>0</v>
      </c>
      <c r="O753" s="15">
        <v>10013740</v>
      </c>
      <c r="P753" s="15" t="s">
        <v>3431</v>
      </c>
      <c r="Q753" s="15" t="s">
        <v>3864</v>
      </c>
      <c r="R753" s="133" t="str">
        <f>MEMBERS[[#This Row],[FirstName]]&amp;" "&amp;MEMBERS[[#This Row],[LastName]]</f>
        <v>Susan Davies</v>
      </c>
      <c r="S753" s="21">
        <v>45383</v>
      </c>
      <c r="U753" s="21">
        <v>19799</v>
      </c>
      <c r="V753" s="138" t="b">
        <v>0</v>
      </c>
      <c r="W753" t="b">
        <v>0</v>
      </c>
      <c r="X753" t="b">
        <v>0</v>
      </c>
      <c r="Y753" t="s">
        <v>2126</v>
      </c>
      <c r="Z753" t="b">
        <v>1</v>
      </c>
      <c r="AB753" t="s">
        <v>1571</v>
      </c>
      <c r="AC753" t="b">
        <v>1</v>
      </c>
    </row>
    <row r="754" spans="1:29" x14ac:dyDescent="0.3">
      <c r="A754" s="57" t="str">
        <f>MEMBERS[[#This Row],[Title]]&amp;MEMBERS[[#This Row],[ServiceStartDate]]</f>
        <v>Susan Green41791</v>
      </c>
      <c r="B754" s="57">
        <f>IF(COUNTIF(MEMBERS[NameServiceStart],MEMBERS[[#This Row],[NameServiceStart]])=1,0,1)</f>
        <v>0</v>
      </c>
      <c r="C754" s="57">
        <f>IF(COUNTIF(MEMBERS[StaffMemberCode],MEMBERS[[#This Row],[StaffMemberCode]])=1,0,1)</f>
        <v>0</v>
      </c>
      <c r="D754" s="57">
        <f>IF(ISBLANK(MEMBERS[[#This Row],[PayrollLocation]]),0,IF(COUNTIF(SCHOOLS[SchoolCode],MEMBERS[[#This Row],[PayrollLocation]])=1,0,1))</f>
        <v>0</v>
      </c>
      <c r="E754" s="57">
        <f>IF(MEMBERS[[#This Row],[AvailableToAllSchools]]=FALSE,IF(ISBLANK(MEMBERS[[#This Row],[SchoolCodes]]),1,0),IF(MEMBERS[[#This Row],[AvailableToAllSchools]]=TRUE,IF(ISBLANK(MEMBERS[[#This Row],[SchoolCodes]]),0,1)))</f>
        <v>0</v>
      </c>
      <c r="F754" s="57">
        <f>IF(ISBLANK(MEMBERS[[#This Row],[ServiceEndDate]]),0,IF(MEMBERS[[#This Row],[ServiceStartDate]]&lt;MEMBERS[[#This Row],[ServiceEndDate]],0,1))</f>
        <v>0</v>
      </c>
      <c r="G754" s="57" cm="1">
        <f t="array" aca="1" ref="G754" ca="1">IF(CELL("format",MEMBERS[[#This Row],[ServiceStartDate]])="D1",0,1)+IF(CELL("format",MEMBERS[[#This Row],[ServiceEndDate]])="D1",0,1)</f>
        <v>0</v>
      </c>
      <c r="H75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54" s="57">
        <f>IF(LEN(MEMBERS[[#This Row],[StaffMemberCode]])&lt;100,0,1)</f>
        <v>0</v>
      </c>
      <c r="J754" s="57">
        <f>IF(LEN(MEMBERS[[#This Row],[Title]])&lt;100,0,1)</f>
        <v>0</v>
      </c>
      <c r="K754" s="57">
        <f>COUNTBLANK(MEMBERS[[#This Row],[StaffMemberCode]:[ServiceStartDate]])+COUNTBLANK(MEMBERS[[#This Row],[Apprenticeship]]:MEMBERS[[#This Row],[StaffMemberEnabled]])+COUNTBLANK(MEMBERS[[#This Row],[GenderCode]]:MEMBERS[[#This Row],[Casual]])</f>
        <v>0</v>
      </c>
      <c r="L754" s="57">
        <f>IF(SUBSTITUTE(TEXT(MEMBERS[[#This Row],[StaffMemberCode]],10)," ","")=TEXT(MEMBERS[[#This Row],[StaffMemberCode]],10),0,1)</f>
        <v>0</v>
      </c>
      <c r="M754" s="57">
        <f ca="1">SUM(MEMBERS[[#This Row],[Duplicate NameService Start]:[Space in Code]])</f>
        <v>0</v>
      </c>
      <c r="O754" s="15">
        <v>10005349</v>
      </c>
      <c r="P754" s="15" t="s">
        <v>3431</v>
      </c>
      <c r="Q754" s="15" t="s">
        <v>3682</v>
      </c>
      <c r="R754" s="133" t="str">
        <f>MEMBERS[[#This Row],[FirstName]]&amp;" "&amp;MEMBERS[[#This Row],[LastName]]</f>
        <v>Susan Green</v>
      </c>
      <c r="S754" s="21">
        <v>41791</v>
      </c>
      <c r="U754" s="21">
        <v>27535</v>
      </c>
      <c r="V754" s="138" t="b">
        <v>0</v>
      </c>
      <c r="W754" t="b">
        <v>0</v>
      </c>
      <c r="X754" t="b">
        <v>0</v>
      </c>
      <c r="Y754" t="s">
        <v>2126</v>
      </c>
      <c r="Z754" t="b">
        <v>1</v>
      </c>
      <c r="AB754" t="s">
        <v>1571</v>
      </c>
      <c r="AC754" t="b">
        <v>0</v>
      </c>
    </row>
    <row r="755" spans="1:29" x14ac:dyDescent="0.3">
      <c r="A755" s="57" t="str">
        <f>MEMBERS[[#This Row],[Title]]&amp;MEMBERS[[#This Row],[ServiceStartDate]]</f>
        <v>Susan Jackson41561</v>
      </c>
      <c r="B755" s="57">
        <f>IF(COUNTIF(MEMBERS[NameServiceStart],MEMBERS[[#This Row],[NameServiceStart]])=1,0,1)</f>
        <v>0</v>
      </c>
      <c r="C755" s="57">
        <f>IF(COUNTIF(MEMBERS[StaffMemberCode],MEMBERS[[#This Row],[StaffMemberCode]])=1,0,1)</f>
        <v>0</v>
      </c>
      <c r="D755" s="57">
        <f>IF(ISBLANK(MEMBERS[[#This Row],[PayrollLocation]]),0,IF(COUNTIF(SCHOOLS[SchoolCode],MEMBERS[[#This Row],[PayrollLocation]])=1,0,1))</f>
        <v>0</v>
      </c>
      <c r="E755" s="57">
        <f>IF(MEMBERS[[#This Row],[AvailableToAllSchools]]=FALSE,IF(ISBLANK(MEMBERS[[#This Row],[SchoolCodes]]),1,0),IF(MEMBERS[[#This Row],[AvailableToAllSchools]]=TRUE,IF(ISBLANK(MEMBERS[[#This Row],[SchoolCodes]]),0,1)))</f>
        <v>0</v>
      </c>
      <c r="F755" s="57">
        <f>IF(ISBLANK(MEMBERS[[#This Row],[ServiceEndDate]]),0,IF(MEMBERS[[#This Row],[ServiceStartDate]]&lt;MEMBERS[[#This Row],[ServiceEndDate]],0,1))</f>
        <v>0</v>
      </c>
      <c r="G755" s="57" cm="1">
        <f t="array" aca="1" ref="G755" ca="1">IF(CELL("format",MEMBERS[[#This Row],[ServiceStartDate]])="D1",0,1)+IF(CELL("format",MEMBERS[[#This Row],[ServiceEndDate]])="D1",0,1)</f>
        <v>0</v>
      </c>
      <c r="H75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55" s="57">
        <f>IF(LEN(MEMBERS[[#This Row],[StaffMemberCode]])&lt;100,0,1)</f>
        <v>0</v>
      </c>
      <c r="J755" s="57">
        <f>IF(LEN(MEMBERS[[#This Row],[Title]])&lt;100,0,1)</f>
        <v>0</v>
      </c>
      <c r="K755" s="57">
        <f>COUNTBLANK(MEMBERS[[#This Row],[StaffMemberCode]:[ServiceStartDate]])+COUNTBLANK(MEMBERS[[#This Row],[Apprenticeship]]:MEMBERS[[#This Row],[StaffMemberEnabled]])+COUNTBLANK(MEMBERS[[#This Row],[GenderCode]]:MEMBERS[[#This Row],[Casual]])</f>
        <v>0</v>
      </c>
      <c r="L755" s="57">
        <f>IF(SUBSTITUTE(TEXT(MEMBERS[[#This Row],[StaffMemberCode]],10)," ","")=TEXT(MEMBERS[[#This Row],[StaffMemberCode]],10),0,1)</f>
        <v>0</v>
      </c>
      <c r="M755" s="57">
        <f ca="1">SUM(MEMBERS[[#This Row],[Duplicate NameService Start]:[Space in Code]])</f>
        <v>0</v>
      </c>
      <c r="O755" s="15">
        <v>10005290</v>
      </c>
      <c r="P755" s="15" t="s">
        <v>3431</v>
      </c>
      <c r="Q755" s="15" t="s">
        <v>4137</v>
      </c>
      <c r="R755" s="133" t="str">
        <f>MEMBERS[[#This Row],[FirstName]]&amp;" "&amp;MEMBERS[[#This Row],[LastName]]</f>
        <v>Susan Jackson</v>
      </c>
      <c r="S755" s="21">
        <v>41561</v>
      </c>
      <c r="U755" s="21">
        <v>18911</v>
      </c>
      <c r="V755" s="138" t="b">
        <v>0</v>
      </c>
      <c r="W755" t="b">
        <v>0</v>
      </c>
      <c r="X755" t="b">
        <v>0</v>
      </c>
      <c r="Y755" t="s">
        <v>2126</v>
      </c>
      <c r="Z755" t="b">
        <v>1</v>
      </c>
      <c r="AB755" t="s">
        <v>1571</v>
      </c>
      <c r="AC755" t="b">
        <v>0</v>
      </c>
    </row>
    <row r="756" spans="1:29" x14ac:dyDescent="0.3">
      <c r="A756" s="57" t="str">
        <f>MEMBERS[[#This Row],[Title]]&amp;MEMBERS[[#This Row],[ServiceStartDate]]</f>
        <v>Susan Ndagire43901</v>
      </c>
      <c r="B756" s="57">
        <f>IF(COUNTIF(MEMBERS[NameServiceStart],MEMBERS[[#This Row],[NameServiceStart]])=1,0,1)</f>
        <v>0</v>
      </c>
      <c r="C756" s="57">
        <f>IF(COUNTIF(MEMBERS[StaffMemberCode],MEMBERS[[#This Row],[StaffMemberCode]])=1,0,1)</f>
        <v>0</v>
      </c>
      <c r="D756" s="57">
        <f>IF(ISBLANK(MEMBERS[[#This Row],[PayrollLocation]]),0,IF(COUNTIF(SCHOOLS[SchoolCode],MEMBERS[[#This Row],[PayrollLocation]])=1,0,1))</f>
        <v>0</v>
      </c>
      <c r="E756" s="57">
        <f>IF(MEMBERS[[#This Row],[AvailableToAllSchools]]=FALSE,IF(ISBLANK(MEMBERS[[#This Row],[SchoolCodes]]),1,0),IF(MEMBERS[[#This Row],[AvailableToAllSchools]]=TRUE,IF(ISBLANK(MEMBERS[[#This Row],[SchoolCodes]]),0,1)))</f>
        <v>0</v>
      </c>
      <c r="F756" s="57">
        <f>IF(ISBLANK(MEMBERS[[#This Row],[ServiceEndDate]]),0,IF(MEMBERS[[#This Row],[ServiceStartDate]]&lt;MEMBERS[[#This Row],[ServiceEndDate]],0,1))</f>
        <v>0</v>
      </c>
      <c r="G756" s="57" cm="1">
        <f t="array" aca="1" ref="G756" ca="1">IF(CELL("format",MEMBERS[[#This Row],[ServiceStartDate]])="D1",0,1)+IF(CELL("format",MEMBERS[[#This Row],[ServiceEndDate]])="D1",0,1)</f>
        <v>0</v>
      </c>
      <c r="H75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56" s="57">
        <f>IF(LEN(MEMBERS[[#This Row],[StaffMemberCode]])&lt;100,0,1)</f>
        <v>0</v>
      </c>
      <c r="J756" s="57">
        <f>IF(LEN(MEMBERS[[#This Row],[Title]])&lt;100,0,1)</f>
        <v>0</v>
      </c>
      <c r="K756" s="57">
        <f>COUNTBLANK(MEMBERS[[#This Row],[StaffMemberCode]:[ServiceStartDate]])+COUNTBLANK(MEMBERS[[#This Row],[Apprenticeship]]:MEMBERS[[#This Row],[StaffMemberEnabled]])+COUNTBLANK(MEMBERS[[#This Row],[GenderCode]]:MEMBERS[[#This Row],[Casual]])</f>
        <v>0</v>
      </c>
      <c r="L756" s="57">
        <f>IF(SUBSTITUTE(TEXT(MEMBERS[[#This Row],[StaffMemberCode]],10)," ","")=TEXT(MEMBERS[[#This Row],[StaffMemberCode]],10),0,1)</f>
        <v>0</v>
      </c>
      <c r="M756" s="57">
        <f ca="1">SUM(MEMBERS[[#This Row],[Duplicate NameService Start]:[Space in Code]])</f>
        <v>0</v>
      </c>
      <c r="O756" s="15">
        <v>91073889</v>
      </c>
      <c r="P756" s="15" t="s">
        <v>3431</v>
      </c>
      <c r="Q756" s="15" t="s">
        <v>3911</v>
      </c>
      <c r="R756" s="133" t="str">
        <f>MEMBERS[[#This Row],[FirstName]]&amp;" "&amp;MEMBERS[[#This Row],[LastName]]</f>
        <v>Susan Ndagire</v>
      </c>
      <c r="S756" s="21">
        <v>43901</v>
      </c>
      <c r="U756" s="21">
        <v>28336</v>
      </c>
      <c r="V756" t="b">
        <v>0</v>
      </c>
      <c r="W756" t="b">
        <v>0</v>
      </c>
      <c r="X756" t="b">
        <v>0</v>
      </c>
      <c r="Y756" t="s">
        <v>2266</v>
      </c>
      <c r="Z756" t="b">
        <v>1</v>
      </c>
      <c r="AB756" t="s">
        <v>1571</v>
      </c>
      <c r="AC756" t="b">
        <v>0</v>
      </c>
    </row>
    <row r="757" spans="1:29" x14ac:dyDescent="0.3">
      <c r="A757" s="57" t="str">
        <f>MEMBERS[[#This Row],[Title]]&amp;MEMBERS[[#This Row],[ServiceStartDate]]</f>
        <v>Susan Reissing36951</v>
      </c>
      <c r="B757" s="57">
        <f>IF(COUNTIF(MEMBERS[NameServiceStart],MEMBERS[[#This Row],[NameServiceStart]])=1,0,1)</f>
        <v>0</v>
      </c>
      <c r="C757" s="57">
        <f>IF(COUNTIF(MEMBERS[StaffMemberCode],MEMBERS[[#This Row],[StaffMemberCode]])=1,0,1)</f>
        <v>0</v>
      </c>
      <c r="D757" s="57">
        <f>IF(ISBLANK(MEMBERS[[#This Row],[PayrollLocation]]),0,IF(COUNTIF(SCHOOLS[SchoolCode],MEMBERS[[#This Row],[PayrollLocation]])=1,0,1))</f>
        <v>0</v>
      </c>
      <c r="E757" s="57">
        <f>IF(MEMBERS[[#This Row],[AvailableToAllSchools]]=FALSE,IF(ISBLANK(MEMBERS[[#This Row],[SchoolCodes]]),1,0),IF(MEMBERS[[#This Row],[AvailableToAllSchools]]=TRUE,IF(ISBLANK(MEMBERS[[#This Row],[SchoolCodes]]),0,1)))</f>
        <v>0</v>
      </c>
      <c r="F757" s="57">
        <f>IF(ISBLANK(MEMBERS[[#This Row],[ServiceEndDate]]),0,IF(MEMBERS[[#This Row],[ServiceStartDate]]&lt;MEMBERS[[#This Row],[ServiceEndDate]],0,1))</f>
        <v>0</v>
      </c>
      <c r="G757" s="57" cm="1">
        <f t="array" aca="1" ref="G757" ca="1">IF(CELL("format",MEMBERS[[#This Row],[ServiceStartDate]])="D1",0,1)+IF(CELL("format",MEMBERS[[#This Row],[ServiceEndDate]])="D1",0,1)</f>
        <v>0</v>
      </c>
      <c r="H75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57" s="57">
        <f>IF(LEN(MEMBERS[[#This Row],[StaffMemberCode]])&lt;100,0,1)</f>
        <v>0</v>
      </c>
      <c r="J757" s="57">
        <f>IF(LEN(MEMBERS[[#This Row],[Title]])&lt;100,0,1)</f>
        <v>0</v>
      </c>
      <c r="K757" s="57">
        <f>COUNTBLANK(MEMBERS[[#This Row],[StaffMemberCode]:[ServiceStartDate]])+COUNTBLANK(MEMBERS[[#This Row],[Apprenticeship]]:MEMBERS[[#This Row],[StaffMemberEnabled]])+COUNTBLANK(MEMBERS[[#This Row],[GenderCode]]:MEMBERS[[#This Row],[Casual]])</f>
        <v>0</v>
      </c>
      <c r="L757" s="57">
        <f>IF(SUBSTITUTE(TEXT(MEMBERS[[#This Row],[StaffMemberCode]],10)," ","")=TEXT(MEMBERS[[#This Row],[StaffMemberCode]],10),0,1)</f>
        <v>0</v>
      </c>
      <c r="M757" s="57">
        <f ca="1">SUM(MEMBERS[[#This Row],[Duplicate NameService Start]:[Space in Code]])</f>
        <v>0</v>
      </c>
      <c r="O757" s="15">
        <v>91073909</v>
      </c>
      <c r="P757" s="15" t="s">
        <v>3431</v>
      </c>
      <c r="Q757" s="15" t="s">
        <v>3912</v>
      </c>
      <c r="R757" s="133" t="str">
        <f>MEMBERS[[#This Row],[FirstName]]&amp;" "&amp;MEMBERS[[#This Row],[LastName]]</f>
        <v>Susan Reissing</v>
      </c>
      <c r="S757" s="21">
        <v>36951</v>
      </c>
      <c r="U757" s="21">
        <v>23299</v>
      </c>
      <c r="V757" t="b">
        <v>0</v>
      </c>
      <c r="W757" t="b">
        <v>0</v>
      </c>
      <c r="X757" t="b">
        <v>0</v>
      </c>
      <c r="Y757" t="s">
        <v>51</v>
      </c>
      <c r="Z757" t="b">
        <v>1</v>
      </c>
      <c r="AB757" t="s">
        <v>1571</v>
      </c>
      <c r="AC757" t="b">
        <v>0</v>
      </c>
    </row>
    <row r="758" spans="1:29" x14ac:dyDescent="0.3">
      <c r="A758" s="57" t="str">
        <f>MEMBERS[[#This Row],[Title]]&amp;MEMBERS[[#This Row],[ServiceStartDate]]</f>
        <v>Susan Treasure37865</v>
      </c>
      <c r="B758" s="57">
        <f>IF(COUNTIF(MEMBERS[NameServiceStart],MEMBERS[[#This Row],[NameServiceStart]])=1,0,1)</f>
        <v>0</v>
      </c>
      <c r="C758" s="57">
        <f>IF(COUNTIF(MEMBERS[StaffMemberCode],MEMBERS[[#This Row],[StaffMemberCode]])=1,0,1)</f>
        <v>0</v>
      </c>
      <c r="D758" s="57">
        <f>IF(ISBLANK(MEMBERS[[#This Row],[PayrollLocation]]),0,IF(COUNTIF(SCHOOLS[SchoolCode],MEMBERS[[#This Row],[PayrollLocation]])=1,0,1))</f>
        <v>0</v>
      </c>
      <c r="E758" s="57">
        <f>IF(MEMBERS[[#This Row],[AvailableToAllSchools]]=FALSE,IF(ISBLANK(MEMBERS[[#This Row],[SchoolCodes]]),1,0),IF(MEMBERS[[#This Row],[AvailableToAllSchools]]=TRUE,IF(ISBLANK(MEMBERS[[#This Row],[SchoolCodes]]),0,1)))</f>
        <v>0</v>
      </c>
      <c r="F758" s="57">
        <f>IF(ISBLANK(MEMBERS[[#This Row],[ServiceEndDate]]),0,IF(MEMBERS[[#This Row],[ServiceStartDate]]&lt;MEMBERS[[#This Row],[ServiceEndDate]],0,1))</f>
        <v>0</v>
      </c>
      <c r="G758" s="57" cm="1">
        <f t="array" aca="1" ref="G758" ca="1">IF(CELL("format",MEMBERS[[#This Row],[ServiceStartDate]])="D1",0,1)+IF(CELL("format",MEMBERS[[#This Row],[ServiceEndDate]])="D1",0,1)</f>
        <v>0</v>
      </c>
      <c r="H75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58" s="57">
        <f>IF(LEN(MEMBERS[[#This Row],[StaffMemberCode]])&lt;100,0,1)</f>
        <v>0</v>
      </c>
      <c r="J758" s="57">
        <f>IF(LEN(MEMBERS[[#This Row],[Title]])&lt;100,0,1)</f>
        <v>0</v>
      </c>
      <c r="K758" s="57">
        <f>COUNTBLANK(MEMBERS[[#This Row],[StaffMemberCode]:[ServiceStartDate]])+COUNTBLANK(MEMBERS[[#This Row],[Apprenticeship]]:MEMBERS[[#This Row],[StaffMemberEnabled]])+COUNTBLANK(MEMBERS[[#This Row],[GenderCode]]:MEMBERS[[#This Row],[Casual]])</f>
        <v>0</v>
      </c>
      <c r="L758" s="57">
        <f>IF(SUBSTITUTE(TEXT(MEMBERS[[#This Row],[StaffMemberCode]],10)," ","")=TEXT(MEMBERS[[#This Row],[StaffMemberCode]],10),0,1)</f>
        <v>0</v>
      </c>
      <c r="M758" s="57">
        <f ca="1">SUM(MEMBERS[[#This Row],[Duplicate NameService Start]:[Space in Code]])</f>
        <v>0</v>
      </c>
      <c r="O758" s="15">
        <v>10005297</v>
      </c>
      <c r="P758" s="15" t="s">
        <v>3431</v>
      </c>
      <c r="Q758" s="15" t="s">
        <v>4138</v>
      </c>
      <c r="R758" s="133" t="str">
        <f>MEMBERS[[#This Row],[FirstName]]&amp;" "&amp;MEMBERS[[#This Row],[LastName]]</f>
        <v>Susan Treasure</v>
      </c>
      <c r="S758" s="21">
        <v>37865</v>
      </c>
      <c r="U758" s="21">
        <v>28494</v>
      </c>
      <c r="V758" s="138" t="b">
        <v>0</v>
      </c>
      <c r="W758" t="b">
        <v>0</v>
      </c>
      <c r="X758" t="b">
        <v>0</v>
      </c>
      <c r="Y758" t="s">
        <v>2126</v>
      </c>
      <c r="Z758" t="b">
        <v>1</v>
      </c>
      <c r="AB758" t="s">
        <v>1571</v>
      </c>
      <c r="AC758" t="b">
        <v>0</v>
      </c>
    </row>
    <row r="759" spans="1:29" x14ac:dyDescent="0.3">
      <c r="A759" s="57" t="str">
        <f>MEMBERS[[#This Row],[Title]]&amp;MEMBERS[[#This Row],[ServiceStartDate]]</f>
        <v>Susanne Curry41648</v>
      </c>
      <c r="B759" s="57">
        <f>IF(COUNTIF(MEMBERS[NameServiceStart],MEMBERS[[#This Row],[NameServiceStart]])=1,0,1)</f>
        <v>0</v>
      </c>
      <c r="C759" s="57">
        <f>IF(COUNTIF(MEMBERS[StaffMemberCode],MEMBERS[[#This Row],[StaffMemberCode]])=1,0,1)</f>
        <v>0</v>
      </c>
      <c r="D759" s="57">
        <f>IF(ISBLANK(MEMBERS[[#This Row],[PayrollLocation]]),0,IF(COUNTIF(SCHOOLS[SchoolCode],MEMBERS[[#This Row],[PayrollLocation]])=1,0,1))</f>
        <v>0</v>
      </c>
      <c r="E759" s="57">
        <f>IF(MEMBERS[[#This Row],[AvailableToAllSchools]]=FALSE,IF(ISBLANK(MEMBERS[[#This Row],[SchoolCodes]]),1,0),IF(MEMBERS[[#This Row],[AvailableToAllSchools]]=TRUE,IF(ISBLANK(MEMBERS[[#This Row],[SchoolCodes]]),0,1)))</f>
        <v>0</v>
      </c>
      <c r="F759" s="57">
        <f>IF(ISBLANK(MEMBERS[[#This Row],[ServiceEndDate]]),0,IF(MEMBERS[[#This Row],[ServiceStartDate]]&lt;MEMBERS[[#This Row],[ServiceEndDate]],0,1))</f>
        <v>0</v>
      </c>
      <c r="G759" s="57" cm="1">
        <f t="array" aca="1" ref="G759" ca="1">IF(CELL("format",MEMBERS[[#This Row],[ServiceStartDate]])="D1",0,1)+IF(CELL("format",MEMBERS[[#This Row],[ServiceEndDate]])="D1",0,1)</f>
        <v>0</v>
      </c>
      <c r="H75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59" s="57">
        <f>IF(LEN(MEMBERS[[#This Row],[StaffMemberCode]])&lt;100,0,1)</f>
        <v>0</v>
      </c>
      <c r="J759" s="57">
        <f>IF(LEN(MEMBERS[[#This Row],[Title]])&lt;100,0,1)</f>
        <v>0</v>
      </c>
      <c r="K759" s="57">
        <f>COUNTBLANK(MEMBERS[[#This Row],[StaffMemberCode]:[ServiceStartDate]])+COUNTBLANK(MEMBERS[[#This Row],[Apprenticeship]]:MEMBERS[[#This Row],[StaffMemberEnabled]])+COUNTBLANK(MEMBERS[[#This Row],[GenderCode]]:MEMBERS[[#This Row],[Casual]])</f>
        <v>0</v>
      </c>
      <c r="L759" s="57">
        <f>IF(SUBSTITUTE(TEXT(MEMBERS[[#This Row],[StaffMemberCode]],10)," ","")=TEXT(MEMBERS[[#This Row],[StaffMemberCode]],10),0,1)</f>
        <v>0</v>
      </c>
      <c r="M759" s="57">
        <f ca="1">SUM(MEMBERS[[#This Row],[Duplicate NameService Start]:[Space in Code]])</f>
        <v>0</v>
      </c>
      <c r="O759" s="15">
        <v>91073494</v>
      </c>
      <c r="P759" s="15" t="s">
        <v>3432</v>
      </c>
      <c r="Q759" s="15" t="s">
        <v>3913</v>
      </c>
      <c r="R759" s="133" t="str">
        <f>MEMBERS[[#This Row],[FirstName]]&amp;" "&amp;MEMBERS[[#This Row],[LastName]]</f>
        <v>Susanne Curry</v>
      </c>
      <c r="S759" s="21">
        <v>41648</v>
      </c>
      <c r="U759" s="21">
        <v>24500</v>
      </c>
      <c r="V759" t="b">
        <v>0</v>
      </c>
      <c r="W759" t="b">
        <v>0</v>
      </c>
      <c r="X759" t="b">
        <v>0</v>
      </c>
      <c r="Y759" t="s">
        <v>2094</v>
      </c>
      <c r="Z759" t="b">
        <v>1</v>
      </c>
      <c r="AB759" t="s">
        <v>1571</v>
      </c>
      <c r="AC759" t="b">
        <v>0</v>
      </c>
    </row>
    <row r="760" spans="1:29" x14ac:dyDescent="0.3">
      <c r="A760" s="57" t="str">
        <f>MEMBERS[[#This Row],[Title]]&amp;MEMBERS[[#This Row],[ServiceStartDate]]</f>
        <v>Suzanne Boughey41725</v>
      </c>
      <c r="B760" s="57">
        <f>IF(COUNTIF(MEMBERS[NameServiceStart],MEMBERS[[#This Row],[NameServiceStart]])=1,0,1)</f>
        <v>0</v>
      </c>
      <c r="C760" s="57">
        <f>IF(COUNTIF(MEMBERS[StaffMemberCode],MEMBERS[[#This Row],[StaffMemberCode]])=1,0,1)</f>
        <v>0</v>
      </c>
      <c r="D760" s="57">
        <f>IF(ISBLANK(MEMBERS[[#This Row],[PayrollLocation]]),0,IF(COUNTIF(SCHOOLS[SchoolCode],MEMBERS[[#This Row],[PayrollLocation]])=1,0,1))</f>
        <v>0</v>
      </c>
      <c r="E760" s="57">
        <f>IF(MEMBERS[[#This Row],[AvailableToAllSchools]]=FALSE,IF(ISBLANK(MEMBERS[[#This Row],[SchoolCodes]]),1,0),IF(MEMBERS[[#This Row],[AvailableToAllSchools]]=TRUE,IF(ISBLANK(MEMBERS[[#This Row],[SchoolCodes]]),0,1)))</f>
        <v>0</v>
      </c>
      <c r="F760" s="57">
        <f>IF(ISBLANK(MEMBERS[[#This Row],[ServiceEndDate]]),0,IF(MEMBERS[[#This Row],[ServiceStartDate]]&lt;MEMBERS[[#This Row],[ServiceEndDate]],0,1))</f>
        <v>0</v>
      </c>
      <c r="G760" s="57" cm="1">
        <f t="array" aca="1" ref="G760" ca="1">IF(CELL("format",MEMBERS[[#This Row],[ServiceStartDate]])="D1",0,1)+IF(CELL("format",MEMBERS[[#This Row],[ServiceEndDate]])="D1",0,1)</f>
        <v>0</v>
      </c>
      <c r="H76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60" s="57">
        <f>IF(LEN(MEMBERS[[#This Row],[StaffMemberCode]])&lt;100,0,1)</f>
        <v>0</v>
      </c>
      <c r="J760" s="57">
        <f>IF(LEN(MEMBERS[[#This Row],[Title]])&lt;100,0,1)</f>
        <v>0</v>
      </c>
      <c r="K760" s="57">
        <f>COUNTBLANK(MEMBERS[[#This Row],[StaffMemberCode]:[ServiceStartDate]])+COUNTBLANK(MEMBERS[[#This Row],[Apprenticeship]]:MEMBERS[[#This Row],[StaffMemberEnabled]])+COUNTBLANK(MEMBERS[[#This Row],[GenderCode]]:MEMBERS[[#This Row],[Casual]])</f>
        <v>0</v>
      </c>
      <c r="L760" s="57">
        <f>IF(SUBSTITUTE(TEXT(MEMBERS[[#This Row],[StaffMemberCode]],10)," ","")=TEXT(MEMBERS[[#This Row],[StaffMemberCode]],10),0,1)</f>
        <v>0</v>
      </c>
      <c r="M760" s="57">
        <f ca="1">SUM(MEMBERS[[#This Row],[Duplicate NameService Start]:[Space in Code]])</f>
        <v>0</v>
      </c>
      <c r="O760" s="15">
        <v>91073927</v>
      </c>
      <c r="P760" s="15" t="s">
        <v>3433</v>
      </c>
      <c r="Q760" s="15" t="s">
        <v>3613</v>
      </c>
      <c r="R760" s="133" t="str">
        <f>MEMBERS[[#This Row],[FirstName]]&amp;" "&amp;MEMBERS[[#This Row],[LastName]]</f>
        <v>Suzanne Boughey</v>
      </c>
      <c r="S760" s="21">
        <v>41725</v>
      </c>
      <c r="U760" s="21">
        <v>27832</v>
      </c>
      <c r="V760" t="b">
        <v>0</v>
      </c>
      <c r="W760" t="b">
        <v>0</v>
      </c>
      <c r="X760" t="b">
        <v>0</v>
      </c>
      <c r="Y760" t="s">
        <v>2299</v>
      </c>
      <c r="Z760" t="b">
        <v>1</v>
      </c>
      <c r="AB760" t="s">
        <v>1571</v>
      </c>
      <c r="AC760" t="b">
        <v>0</v>
      </c>
    </row>
    <row r="761" spans="1:29" x14ac:dyDescent="0.3">
      <c r="A761" s="57" t="str">
        <f>MEMBERS[[#This Row],[Title]]&amp;MEMBERS[[#This Row],[ServiceStartDate]]</f>
        <v>Suzanne Cliffe44487</v>
      </c>
      <c r="B761" s="57">
        <f>IF(COUNTIF(MEMBERS[NameServiceStart],MEMBERS[[#This Row],[NameServiceStart]])=1,0,1)</f>
        <v>0</v>
      </c>
      <c r="C761" s="57">
        <f>IF(COUNTIF(MEMBERS[StaffMemberCode],MEMBERS[[#This Row],[StaffMemberCode]])=1,0,1)</f>
        <v>0</v>
      </c>
      <c r="D761" s="57">
        <f>IF(ISBLANK(MEMBERS[[#This Row],[PayrollLocation]]),0,IF(COUNTIF(SCHOOLS[SchoolCode],MEMBERS[[#This Row],[PayrollLocation]])=1,0,1))</f>
        <v>0</v>
      </c>
      <c r="E761" s="57">
        <f>IF(MEMBERS[[#This Row],[AvailableToAllSchools]]=FALSE,IF(ISBLANK(MEMBERS[[#This Row],[SchoolCodes]]),1,0),IF(MEMBERS[[#This Row],[AvailableToAllSchools]]=TRUE,IF(ISBLANK(MEMBERS[[#This Row],[SchoolCodes]]),0,1)))</f>
        <v>0</v>
      </c>
      <c r="F761" s="57">
        <f>IF(ISBLANK(MEMBERS[[#This Row],[ServiceEndDate]]),0,IF(MEMBERS[[#This Row],[ServiceStartDate]]&lt;MEMBERS[[#This Row],[ServiceEndDate]],0,1))</f>
        <v>0</v>
      </c>
      <c r="G761" s="57" cm="1">
        <f t="array" aca="1" ref="G761" ca="1">IF(CELL("format",MEMBERS[[#This Row],[ServiceStartDate]])="D1",0,1)+IF(CELL("format",MEMBERS[[#This Row],[ServiceEndDate]])="D1",0,1)</f>
        <v>0</v>
      </c>
      <c r="H76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61" s="57">
        <f>IF(LEN(MEMBERS[[#This Row],[StaffMemberCode]])&lt;100,0,1)</f>
        <v>0</v>
      </c>
      <c r="J761" s="57">
        <f>IF(LEN(MEMBERS[[#This Row],[Title]])&lt;100,0,1)</f>
        <v>0</v>
      </c>
      <c r="K761" s="57">
        <f>COUNTBLANK(MEMBERS[[#This Row],[StaffMemberCode]:[ServiceStartDate]])+COUNTBLANK(MEMBERS[[#This Row],[Apprenticeship]]:MEMBERS[[#This Row],[StaffMemberEnabled]])+COUNTBLANK(MEMBERS[[#This Row],[GenderCode]]:MEMBERS[[#This Row],[Casual]])</f>
        <v>0</v>
      </c>
      <c r="L761" s="57">
        <f>IF(SUBSTITUTE(TEXT(MEMBERS[[#This Row],[StaffMemberCode]],10)," ","")=TEXT(MEMBERS[[#This Row],[StaffMemberCode]],10),0,1)</f>
        <v>0</v>
      </c>
      <c r="M761" s="57">
        <f ca="1">SUM(MEMBERS[[#This Row],[Duplicate NameService Start]:[Space in Code]])</f>
        <v>0</v>
      </c>
      <c r="O761" s="15">
        <v>91073446</v>
      </c>
      <c r="P761" s="15" t="s">
        <v>3433</v>
      </c>
      <c r="Q761" s="15" t="s">
        <v>3914</v>
      </c>
      <c r="R761" s="133" t="str">
        <f>MEMBERS[[#This Row],[FirstName]]&amp;" "&amp;MEMBERS[[#This Row],[LastName]]</f>
        <v>Suzanne Cliffe</v>
      </c>
      <c r="S761" s="21">
        <v>44487</v>
      </c>
      <c r="U761" s="21">
        <v>29466</v>
      </c>
      <c r="V761" t="b">
        <v>0</v>
      </c>
      <c r="W761" t="b">
        <v>0</v>
      </c>
      <c r="X761" t="b">
        <v>0</v>
      </c>
      <c r="Y761" t="s">
        <v>51</v>
      </c>
      <c r="Z761" t="b">
        <v>1</v>
      </c>
      <c r="AB761" t="s">
        <v>1571</v>
      </c>
      <c r="AC761" t="b">
        <v>0</v>
      </c>
    </row>
    <row r="762" spans="1:29" x14ac:dyDescent="0.3">
      <c r="A762" s="57" t="str">
        <f>MEMBERS[[#This Row],[Title]]&amp;MEMBERS[[#This Row],[ServiceStartDate]]</f>
        <v>Suzanne Fawcett35439</v>
      </c>
      <c r="B762" s="57">
        <f>IF(COUNTIF(MEMBERS[NameServiceStart],MEMBERS[[#This Row],[NameServiceStart]])=1,0,1)</f>
        <v>0</v>
      </c>
      <c r="C762" s="57">
        <f>IF(COUNTIF(MEMBERS[StaffMemberCode],MEMBERS[[#This Row],[StaffMemberCode]])=1,0,1)</f>
        <v>0</v>
      </c>
      <c r="D762" s="57">
        <f>IF(ISBLANK(MEMBERS[[#This Row],[PayrollLocation]]),0,IF(COUNTIF(SCHOOLS[SchoolCode],MEMBERS[[#This Row],[PayrollLocation]])=1,0,1))</f>
        <v>0</v>
      </c>
      <c r="E762" s="57">
        <f>IF(MEMBERS[[#This Row],[AvailableToAllSchools]]=FALSE,IF(ISBLANK(MEMBERS[[#This Row],[SchoolCodes]]),1,0),IF(MEMBERS[[#This Row],[AvailableToAllSchools]]=TRUE,IF(ISBLANK(MEMBERS[[#This Row],[SchoolCodes]]),0,1)))</f>
        <v>0</v>
      </c>
      <c r="F762" s="57">
        <f>IF(ISBLANK(MEMBERS[[#This Row],[ServiceEndDate]]),0,IF(MEMBERS[[#This Row],[ServiceStartDate]]&lt;MEMBERS[[#This Row],[ServiceEndDate]],0,1))</f>
        <v>0</v>
      </c>
      <c r="G762" s="57" cm="1">
        <f t="array" aca="1" ref="G762" ca="1">IF(CELL("format",MEMBERS[[#This Row],[ServiceStartDate]])="D1",0,1)+IF(CELL("format",MEMBERS[[#This Row],[ServiceEndDate]])="D1",0,1)</f>
        <v>0</v>
      </c>
      <c r="H76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62" s="57">
        <f>IF(LEN(MEMBERS[[#This Row],[StaffMemberCode]])&lt;100,0,1)</f>
        <v>0</v>
      </c>
      <c r="J762" s="57">
        <f>IF(LEN(MEMBERS[[#This Row],[Title]])&lt;100,0,1)</f>
        <v>0</v>
      </c>
      <c r="K762" s="57">
        <f>COUNTBLANK(MEMBERS[[#This Row],[StaffMemberCode]:[ServiceStartDate]])+COUNTBLANK(MEMBERS[[#This Row],[Apprenticeship]]:MEMBERS[[#This Row],[StaffMemberEnabled]])+COUNTBLANK(MEMBERS[[#This Row],[GenderCode]]:MEMBERS[[#This Row],[Casual]])</f>
        <v>0</v>
      </c>
      <c r="L762" s="57">
        <f>IF(SUBSTITUTE(TEXT(MEMBERS[[#This Row],[StaffMemberCode]],10)," ","")=TEXT(MEMBERS[[#This Row],[StaffMemberCode]],10),0,1)</f>
        <v>0</v>
      </c>
      <c r="M762" s="57">
        <f ca="1">SUM(MEMBERS[[#This Row],[Duplicate NameService Start]:[Space in Code]])</f>
        <v>0</v>
      </c>
      <c r="O762" s="15">
        <v>91073517</v>
      </c>
      <c r="P762" s="15" t="s">
        <v>3433</v>
      </c>
      <c r="Q762" s="15" t="s">
        <v>3915</v>
      </c>
      <c r="R762" s="133" t="str">
        <f>MEMBERS[[#This Row],[FirstName]]&amp;" "&amp;MEMBERS[[#This Row],[LastName]]</f>
        <v>Suzanne Fawcett</v>
      </c>
      <c r="S762" s="21">
        <v>35439</v>
      </c>
      <c r="U762" s="21">
        <v>26864</v>
      </c>
      <c r="V762" t="b">
        <v>0</v>
      </c>
      <c r="W762" t="b">
        <v>0</v>
      </c>
      <c r="X762" t="b">
        <v>0</v>
      </c>
      <c r="Y762" t="s">
        <v>2094</v>
      </c>
      <c r="Z762" t="b">
        <v>1</v>
      </c>
      <c r="AB762" t="s">
        <v>1571</v>
      </c>
      <c r="AC762" t="b">
        <v>0</v>
      </c>
    </row>
    <row r="763" spans="1:29" x14ac:dyDescent="0.3">
      <c r="A763" s="57" t="str">
        <f>MEMBERS[[#This Row],[Title]]&amp;MEMBERS[[#This Row],[ServiceStartDate]]</f>
        <v>Suzanne Nixon44487</v>
      </c>
      <c r="B763" s="57">
        <f>IF(COUNTIF(MEMBERS[NameServiceStart],MEMBERS[[#This Row],[NameServiceStart]])=1,0,1)</f>
        <v>0</v>
      </c>
      <c r="C763" s="57">
        <f>IF(COUNTIF(MEMBERS[StaffMemberCode],MEMBERS[[#This Row],[StaffMemberCode]])=1,0,1)</f>
        <v>0</v>
      </c>
      <c r="D763" s="57">
        <f>IF(ISBLANK(MEMBERS[[#This Row],[PayrollLocation]]),0,IF(COUNTIF(SCHOOLS[SchoolCode],MEMBERS[[#This Row],[PayrollLocation]])=1,0,1))</f>
        <v>0</v>
      </c>
      <c r="E763" s="57">
        <f>IF(MEMBERS[[#This Row],[AvailableToAllSchools]]=FALSE,IF(ISBLANK(MEMBERS[[#This Row],[SchoolCodes]]),1,0),IF(MEMBERS[[#This Row],[AvailableToAllSchools]]=TRUE,IF(ISBLANK(MEMBERS[[#This Row],[SchoolCodes]]),0,1)))</f>
        <v>0</v>
      </c>
      <c r="F763" s="57">
        <f>IF(ISBLANK(MEMBERS[[#This Row],[ServiceEndDate]]),0,IF(MEMBERS[[#This Row],[ServiceStartDate]]&lt;MEMBERS[[#This Row],[ServiceEndDate]],0,1))</f>
        <v>0</v>
      </c>
      <c r="G763" s="57" cm="1">
        <f t="array" aca="1" ref="G763" ca="1">IF(CELL("format",MEMBERS[[#This Row],[ServiceStartDate]])="D1",0,1)+IF(CELL("format",MEMBERS[[#This Row],[ServiceEndDate]])="D1",0,1)</f>
        <v>0</v>
      </c>
      <c r="H76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63" s="57">
        <f>IF(LEN(MEMBERS[[#This Row],[StaffMemberCode]])&lt;100,0,1)</f>
        <v>0</v>
      </c>
      <c r="J763" s="57">
        <f>IF(LEN(MEMBERS[[#This Row],[Title]])&lt;100,0,1)</f>
        <v>0</v>
      </c>
      <c r="K763" s="57">
        <f>COUNTBLANK(MEMBERS[[#This Row],[StaffMemberCode]:[ServiceStartDate]])+COUNTBLANK(MEMBERS[[#This Row],[Apprenticeship]]:MEMBERS[[#This Row],[StaffMemberEnabled]])+COUNTBLANK(MEMBERS[[#This Row],[GenderCode]]:MEMBERS[[#This Row],[Casual]])</f>
        <v>0</v>
      </c>
      <c r="L763" s="57">
        <f>IF(SUBSTITUTE(TEXT(MEMBERS[[#This Row],[StaffMemberCode]],10)," ","")=TEXT(MEMBERS[[#This Row],[StaffMemberCode]],10),0,1)</f>
        <v>0</v>
      </c>
      <c r="M763" s="57">
        <f ca="1">SUM(MEMBERS[[#This Row],[Duplicate NameService Start]:[Space in Code]])</f>
        <v>0</v>
      </c>
      <c r="O763" s="15">
        <v>91073590</v>
      </c>
      <c r="P763" s="15" t="s">
        <v>3433</v>
      </c>
      <c r="Q763" s="15" t="s">
        <v>3654</v>
      </c>
      <c r="R763" s="133" t="str">
        <f>MEMBERS[[#This Row],[FirstName]]&amp;" "&amp;MEMBERS[[#This Row],[LastName]]</f>
        <v>Suzanne Nixon</v>
      </c>
      <c r="S763" s="21">
        <v>44487</v>
      </c>
      <c r="U763" s="21">
        <v>30356</v>
      </c>
      <c r="V763" t="b">
        <v>0</v>
      </c>
      <c r="W763" t="b">
        <v>0</v>
      </c>
      <c r="X763" t="b">
        <v>0</v>
      </c>
      <c r="Y763" t="s">
        <v>2094</v>
      </c>
      <c r="Z763" t="b">
        <v>1</v>
      </c>
      <c r="AB763" t="s">
        <v>1571</v>
      </c>
      <c r="AC763" t="b">
        <v>0</v>
      </c>
    </row>
    <row r="764" spans="1:29" x14ac:dyDescent="0.3">
      <c r="A764" s="57" t="str">
        <f>MEMBERS[[#This Row],[Title]]&amp;MEMBERS[[#This Row],[ServiceStartDate]]</f>
        <v>Suzanne Williams39923</v>
      </c>
      <c r="B764" s="57">
        <f>IF(COUNTIF(MEMBERS[NameServiceStart],MEMBERS[[#This Row],[NameServiceStart]])=1,0,1)</f>
        <v>0</v>
      </c>
      <c r="C764" s="57">
        <f>IF(COUNTIF(MEMBERS[StaffMemberCode],MEMBERS[[#This Row],[StaffMemberCode]])=1,0,1)</f>
        <v>0</v>
      </c>
      <c r="D764" s="57">
        <f>IF(ISBLANK(MEMBERS[[#This Row],[PayrollLocation]]),0,IF(COUNTIF(SCHOOLS[SchoolCode],MEMBERS[[#This Row],[PayrollLocation]])=1,0,1))</f>
        <v>0</v>
      </c>
      <c r="E764" s="57">
        <f>IF(MEMBERS[[#This Row],[AvailableToAllSchools]]=FALSE,IF(ISBLANK(MEMBERS[[#This Row],[SchoolCodes]]),1,0),IF(MEMBERS[[#This Row],[AvailableToAllSchools]]=TRUE,IF(ISBLANK(MEMBERS[[#This Row],[SchoolCodes]]),0,1)))</f>
        <v>0</v>
      </c>
      <c r="F764" s="57">
        <f>IF(ISBLANK(MEMBERS[[#This Row],[ServiceEndDate]]),0,IF(MEMBERS[[#This Row],[ServiceStartDate]]&lt;MEMBERS[[#This Row],[ServiceEndDate]],0,1))</f>
        <v>0</v>
      </c>
      <c r="G764" s="57" cm="1">
        <f t="array" aca="1" ref="G764" ca="1">IF(CELL("format",MEMBERS[[#This Row],[ServiceStartDate]])="D1",0,1)+IF(CELL("format",MEMBERS[[#This Row],[ServiceEndDate]])="D1",0,1)</f>
        <v>0</v>
      </c>
      <c r="H76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64" s="57">
        <f>IF(LEN(MEMBERS[[#This Row],[StaffMemberCode]])&lt;100,0,1)</f>
        <v>0</v>
      </c>
      <c r="J764" s="57">
        <f>IF(LEN(MEMBERS[[#This Row],[Title]])&lt;100,0,1)</f>
        <v>0</v>
      </c>
      <c r="K764" s="57">
        <f>COUNTBLANK(MEMBERS[[#This Row],[StaffMemberCode]:[ServiceStartDate]])+COUNTBLANK(MEMBERS[[#This Row],[Apprenticeship]]:MEMBERS[[#This Row],[StaffMemberEnabled]])+COUNTBLANK(MEMBERS[[#This Row],[GenderCode]]:MEMBERS[[#This Row],[Casual]])</f>
        <v>0</v>
      </c>
      <c r="L764" s="57">
        <f>IF(SUBSTITUTE(TEXT(MEMBERS[[#This Row],[StaffMemberCode]],10)," ","")=TEXT(MEMBERS[[#This Row],[StaffMemberCode]],10),0,1)</f>
        <v>0</v>
      </c>
      <c r="M764" s="57">
        <f ca="1">SUM(MEMBERS[[#This Row],[Duplicate NameService Start]:[Space in Code]])</f>
        <v>0</v>
      </c>
      <c r="O764" s="15">
        <v>91073480</v>
      </c>
      <c r="P764" s="15" t="s">
        <v>3433</v>
      </c>
      <c r="Q764" s="15" t="s">
        <v>3698</v>
      </c>
      <c r="R764" s="133" t="str">
        <f>MEMBERS[[#This Row],[FirstName]]&amp;" "&amp;MEMBERS[[#This Row],[LastName]]</f>
        <v>Suzanne Williams</v>
      </c>
      <c r="S764" s="21">
        <v>39923</v>
      </c>
      <c r="U764" s="21">
        <v>30751</v>
      </c>
      <c r="V764" t="b">
        <v>0</v>
      </c>
      <c r="W764" t="b">
        <v>0</v>
      </c>
      <c r="X764" t="b">
        <v>0</v>
      </c>
      <c r="Y764" t="s">
        <v>2094</v>
      </c>
      <c r="Z764" t="b">
        <v>1</v>
      </c>
      <c r="AB764" t="s">
        <v>1571</v>
      </c>
      <c r="AC764" t="b">
        <v>0</v>
      </c>
    </row>
    <row r="765" spans="1:29" x14ac:dyDescent="0.3">
      <c r="A765" s="57" t="str">
        <f>MEMBERS[[#This Row],[Title]]&amp;MEMBERS[[#This Row],[ServiceStartDate]]</f>
        <v>Suzanne Wright45778</v>
      </c>
      <c r="B765" s="57">
        <f>IF(COUNTIF(MEMBERS[NameServiceStart],MEMBERS[[#This Row],[NameServiceStart]])=1,0,1)</f>
        <v>0</v>
      </c>
      <c r="C765" s="57">
        <f>IF(COUNTIF(MEMBERS[StaffMemberCode],MEMBERS[[#This Row],[StaffMemberCode]])=1,0,1)</f>
        <v>0</v>
      </c>
      <c r="D765" s="57">
        <f>IF(ISBLANK(MEMBERS[[#This Row],[PayrollLocation]]),0,IF(COUNTIF(SCHOOLS[SchoolCode],MEMBERS[[#This Row],[PayrollLocation]])=1,0,1))</f>
        <v>0</v>
      </c>
      <c r="E765" s="57">
        <f>IF(MEMBERS[[#This Row],[AvailableToAllSchools]]=FALSE,IF(ISBLANK(MEMBERS[[#This Row],[SchoolCodes]]),1,0),IF(MEMBERS[[#This Row],[AvailableToAllSchools]]=TRUE,IF(ISBLANK(MEMBERS[[#This Row],[SchoolCodes]]),0,1)))</f>
        <v>0</v>
      </c>
      <c r="F765" s="57">
        <f>IF(ISBLANK(MEMBERS[[#This Row],[ServiceEndDate]]),0,IF(MEMBERS[[#This Row],[ServiceStartDate]]&lt;MEMBERS[[#This Row],[ServiceEndDate]],0,1))</f>
        <v>0</v>
      </c>
      <c r="G765" s="57" cm="1">
        <f t="array" aca="1" ref="G765" ca="1">IF(CELL("format",MEMBERS[[#This Row],[ServiceStartDate]])="D1",0,1)+IF(CELL("format",MEMBERS[[#This Row],[ServiceEndDate]])="D1",0,1)</f>
        <v>0</v>
      </c>
      <c r="H76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65" s="57">
        <f>IF(LEN(MEMBERS[[#This Row],[StaffMemberCode]])&lt;100,0,1)</f>
        <v>0</v>
      </c>
      <c r="J765" s="57">
        <f>IF(LEN(MEMBERS[[#This Row],[Title]])&lt;100,0,1)</f>
        <v>0</v>
      </c>
      <c r="K765" s="57">
        <f>COUNTBLANK(MEMBERS[[#This Row],[StaffMemberCode]:[ServiceStartDate]])+COUNTBLANK(MEMBERS[[#This Row],[Apprenticeship]]:MEMBERS[[#This Row],[StaffMemberEnabled]])+COUNTBLANK(MEMBERS[[#This Row],[GenderCode]]:MEMBERS[[#This Row],[Casual]])</f>
        <v>0</v>
      </c>
      <c r="L765" s="57">
        <f>IF(SUBSTITUTE(TEXT(MEMBERS[[#This Row],[StaffMemberCode]],10)," ","")=TEXT(MEMBERS[[#This Row],[StaffMemberCode]],10),0,1)</f>
        <v>0</v>
      </c>
      <c r="M765" s="57">
        <f ca="1">SUM(MEMBERS[[#This Row],[Duplicate NameService Start]:[Space in Code]])</f>
        <v>0</v>
      </c>
      <c r="O765" s="15">
        <v>10015929</v>
      </c>
      <c r="P765" s="15" t="s">
        <v>3433</v>
      </c>
      <c r="Q765" s="15" t="s">
        <v>3671</v>
      </c>
      <c r="R765" s="133" t="str">
        <f>MEMBERS[[#This Row],[FirstName]]&amp;" "&amp;MEMBERS[[#This Row],[LastName]]</f>
        <v>Suzanne Wright</v>
      </c>
      <c r="S765" s="21">
        <v>45778</v>
      </c>
      <c r="U765" s="21">
        <v>23417</v>
      </c>
      <c r="V765" s="138" t="b">
        <v>0</v>
      </c>
      <c r="W765" t="b">
        <v>0</v>
      </c>
      <c r="X765" t="b">
        <v>0</v>
      </c>
      <c r="Y765" t="s">
        <v>2126</v>
      </c>
      <c r="Z765" t="b">
        <v>1</v>
      </c>
      <c r="AB765" t="s">
        <v>1571</v>
      </c>
      <c r="AC765" t="b">
        <v>1</v>
      </c>
    </row>
    <row r="766" spans="1:29" x14ac:dyDescent="0.3">
      <c r="A766" s="57" t="str">
        <f>MEMBERS[[#This Row],[Title]]&amp;MEMBERS[[#This Row],[ServiceStartDate]]</f>
        <v>Sze Sung45170</v>
      </c>
      <c r="B766" s="57">
        <f>IF(COUNTIF(MEMBERS[NameServiceStart],MEMBERS[[#This Row],[NameServiceStart]])=1,0,1)</f>
        <v>0</v>
      </c>
      <c r="C766" s="57">
        <f>IF(COUNTIF(MEMBERS[StaffMemberCode],MEMBERS[[#This Row],[StaffMemberCode]])=1,0,1)</f>
        <v>0</v>
      </c>
      <c r="D766" s="57">
        <f>IF(ISBLANK(MEMBERS[[#This Row],[PayrollLocation]]),0,IF(COUNTIF(SCHOOLS[SchoolCode],MEMBERS[[#This Row],[PayrollLocation]])=1,0,1))</f>
        <v>0</v>
      </c>
      <c r="E766" s="57">
        <f>IF(MEMBERS[[#This Row],[AvailableToAllSchools]]=FALSE,IF(ISBLANK(MEMBERS[[#This Row],[SchoolCodes]]),1,0),IF(MEMBERS[[#This Row],[AvailableToAllSchools]]=TRUE,IF(ISBLANK(MEMBERS[[#This Row],[SchoolCodes]]),0,1)))</f>
        <v>0</v>
      </c>
      <c r="F766" s="57">
        <f>IF(ISBLANK(MEMBERS[[#This Row],[ServiceEndDate]]),0,IF(MEMBERS[[#This Row],[ServiceStartDate]]&lt;MEMBERS[[#This Row],[ServiceEndDate]],0,1))</f>
        <v>0</v>
      </c>
      <c r="G766" s="57" cm="1">
        <f t="array" aca="1" ref="G766" ca="1">IF(CELL("format",MEMBERS[[#This Row],[ServiceStartDate]])="D1",0,1)+IF(CELL("format",MEMBERS[[#This Row],[ServiceEndDate]])="D1",0,1)</f>
        <v>0</v>
      </c>
      <c r="H76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66" s="57">
        <f>IF(LEN(MEMBERS[[#This Row],[StaffMemberCode]])&lt;100,0,1)</f>
        <v>0</v>
      </c>
      <c r="J766" s="57">
        <f>IF(LEN(MEMBERS[[#This Row],[Title]])&lt;100,0,1)</f>
        <v>0</v>
      </c>
      <c r="K766" s="57">
        <f>COUNTBLANK(MEMBERS[[#This Row],[StaffMemberCode]:[ServiceStartDate]])+COUNTBLANK(MEMBERS[[#This Row],[Apprenticeship]]:MEMBERS[[#This Row],[StaffMemberEnabled]])+COUNTBLANK(MEMBERS[[#This Row],[GenderCode]]:MEMBERS[[#This Row],[Casual]])</f>
        <v>0</v>
      </c>
      <c r="L766" s="57">
        <f>IF(SUBSTITUTE(TEXT(MEMBERS[[#This Row],[StaffMemberCode]],10)," ","")=TEXT(MEMBERS[[#This Row],[StaffMemberCode]],10),0,1)</f>
        <v>0</v>
      </c>
      <c r="M766" s="57">
        <f ca="1">SUM(MEMBERS[[#This Row],[Duplicate NameService Start]:[Space in Code]])</f>
        <v>0</v>
      </c>
      <c r="O766" s="15">
        <v>10012821</v>
      </c>
      <c r="P766" s="15" t="s">
        <v>4010</v>
      </c>
      <c r="Q766" s="15" t="s">
        <v>4139</v>
      </c>
      <c r="R766" s="133" t="str">
        <f>MEMBERS[[#This Row],[FirstName]]&amp;" "&amp;MEMBERS[[#This Row],[LastName]]</f>
        <v>Sze Sung</v>
      </c>
      <c r="S766" s="21">
        <v>45170</v>
      </c>
      <c r="U766" s="21">
        <v>36006</v>
      </c>
      <c r="V766" s="138" t="b">
        <v>0</v>
      </c>
      <c r="W766" t="b">
        <v>0</v>
      </c>
      <c r="X766" t="b">
        <v>0</v>
      </c>
      <c r="Y766" t="s">
        <v>2126</v>
      </c>
      <c r="Z766" t="b">
        <v>1</v>
      </c>
      <c r="AB766" t="s">
        <v>1571</v>
      </c>
      <c r="AC766" t="b">
        <v>0</v>
      </c>
    </row>
    <row r="767" spans="1:29" x14ac:dyDescent="0.3">
      <c r="A767" s="57" t="str">
        <f>MEMBERS[[#This Row],[Title]]&amp;MEMBERS[[#This Row],[ServiceStartDate]]</f>
        <v>Tammy Cheshire44938</v>
      </c>
      <c r="B767" s="57">
        <f>IF(COUNTIF(MEMBERS[NameServiceStart],MEMBERS[[#This Row],[NameServiceStart]])=1,0,1)</f>
        <v>0</v>
      </c>
      <c r="C767" s="57">
        <f>IF(COUNTIF(MEMBERS[StaffMemberCode],MEMBERS[[#This Row],[StaffMemberCode]])=1,0,1)</f>
        <v>0</v>
      </c>
      <c r="D767" s="57">
        <f>IF(ISBLANK(MEMBERS[[#This Row],[PayrollLocation]]),0,IF(COUNTIF(SCHOOLS[SchoolCode],MEMBERS[[#This Row],[PayrollLocation]])=1,0,1))</f>
        <v>0</v>
      </c>
      <c r="E767" s="57">
        <f>IF(MEMBERS[[#This Row],[AvailableToAllSchools]]=FALSE,IF(ISBLANK(MEMBERS[[#This Row],[SchoolCodes]]),1,0),IF(MEMBERS[[#This Row],[AvailableToAllSchools]]=TRUE,IF(ISBLANK(MEMBERS[[#This Row],[SchoolCodes]]),0,1)))</f>
        <v>0</v>
      </c>
      <c r="F767" s="57">
        <f>IF(ISBLANK(MEMBERS[[#This Row],[ServiceEndDate]]),0,IF(MEMBERS[[#This Row],[ServiceStartDate]]&lt;MEMBERS[[#This Row],[ServiceEndDate]],0,1))</f>
        <v>0</v>
      </c>
      <c r="G767" s="57" cm="1">
        <f t="array" aca="1" ref="G767" ca="1">IF(CELL("format",MEMBERS[[#This Row],[ServiceStartDate]])="D1",0,1)+IF(CELL("format",MEMBERS[[#This Row],[ServiceEndDate]])="D1",0,1)</f>
        <v>0</v>
      </c>
      <c r="H76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67" s="57">
        <f>IF(LEN(MEMBERS[[#This Row],[StaffMemberCode]])&lt;100,0,1)</f>
        <v>0</v>
      </c>
      <c r="J767" s="57">
        <f>IF(LEN(MEMBERS[[#This Row],[Title]])&lt;100,0,1)</f>
        <v>0</v>
      </c>
      <c r="K767" s="57">
        <f>COUNTBLANK(MEMBERS[[#This Row],[StaffMemberCode]:[ServiceStartDate]])+COUNTBLANK(MEMBERS[[#This Row],[Apprenticeship]]:MEMBERS[[#This Row],[StaffMemberEnabled]])+COUNTBLANK(MEMBERS[[#This Row],[GenderCode]]:MEMBERS[[#This Row],[Casual]])</f>
        <v>0</v>
      </c>
      <c r="L767" s="57">
        <f>IF(SUBSTITUTE(TEXT(MEMBERS[[#This Row],[StaffMemberCode]],10)," ","")=TEXT(MEMBERS[[#This Row],[StaffMemberCode]],10),0,1)</f>
        <v>0</v>
      </c>
      <c r="M767" s="57">
        <f ca="1">SUM(MEMBERS[[#This Row],[Duplicate NameService Start]:[Space in Code]])</f>
        <v>0</v>
      </c>
      <c r="O767" s="15">
        <v>91073432</v>
      </c>
      <c r="P767" s="15" t="s">
        <v>3434</v>
      </c>
      <c r="Q767" s="15" t="s">
        <v>3916</v>
      </c>
      <c r="R767" s="133" t="str">
        <f>MEMBERS[[#This Row],[FirstName]]&amp;" "&amp;MEMBERS[[#This Row],[LastName]]</f>
        <v>Tammy Cheshire</v>
      </c>
      <c r="S767" s="21">
        <v>44938</v>
      </c>
      <c r="U767" s="21">
        <v>34143</v>
      </c>
      <c r="V767" t="b">
        <v>0</v>
      </c>
      <c r="W767" t="b">
        <v>0</v>
      </c>
      <c r="X767" t="b">
        <v>0</v>
      </c>
      <c r="Y767" t="s">
        <v>2275</v>
      </c>
      <c r="Z767" t="b">
        <v>1</v>
      </c>
      <c r="AB767" t="s">
        <v>1571</v>
      </c>
      <c r="AC767" t="b">
        <v>0</v>
      </c>
    </row>
    <row r="768" spans="1:29" x14ac:dyDescent="0.3">
      <c r="A768" s="57" t="str">
        <f>MEMBERS[[#This Row],[Title]]&amp;MEMBERS[[#This Row],[ServiceStartDate]]</f>
        <v>Tanya Hickman45090</v>
      </c>
      <c r="B768" s="57">
        <f>IF(COUNTIF(MEMBERS[NameServiceStart],MEMBERS[[#This Row],[NameServiceStart]])=1,0,1)</f>
        <v>0</v>
      </c>
      <c r="C768" s="57">
        <f>IF(COUNTIF(MEMBERS[StaffMemberCode],MEMBERS[[#This Row],[StaffMemberCode]])=1,0,1)</f>
        <v>0</v>
      </c>
      <c r="D768" s="57">
        <f>IF(ISBLANK(MEMBERS[[#This Row],[PayrollLocation]]),0,IF(COUNTIF(SCHOOLS[SchoolCode],MEMBERS[[#This Row],[PayrollLocation]])=1,0,1))</f>
        <v>0</v>
      </c>
      <c r="E768" s="57">
        <f>IF(MEMBERS[[#This Row],[AvailableToAllSchools]]=FALSE,IF(ISBLANK(MEMBERS[[#This Row],[SchoolCodes]]),1,0),IF(MEMBERS[[#This Row],[AvailableToAllSchools]]=TRUE,IF(ISBLANK(MEMBERS[[#This Row],[SchoolCodes]]),0,1)))</f>
        <v>0</v>
      </c>
      <c r="F768" s="57">
        <f>IF(ISBLANK(MEMBERS[[#This Row],[ServiceEndDate]]),0,IF(MEMBERS[[#This Row],[ServiceStartDate]]&lt;MEMBERS[[#This Row],[ServiceEndDate]],0,1))</f>
        <v>0</v>
      </c>
      <c r="G768" s="57" cm="1">
        <f t="array" aca="1" ref="G768" ca="1">IF(CELL("format",MEMBERS[[#This Row],[ServiceStartDate]])="D1",0,1)+IF(CELL("format",MEMBERS[[#This Row],[ServiceEndDate]])="D1",0,1)</f>
        <v>0</v>
      </c>
      <c r="H76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68" s="57">
        <f>IF(LEN(MEMBERS[[#This Row],[StaffMemberCode]])&lt;100,0,1)</f>
        <v>0</v>
      </c>
      <c r="J768" s="57">
        <f>IF(LEN(MEMBERS[[#This Row],[Title]])&lt;100,0,1)</f>
        <v>0</v>
      </c>
      <c r="K768" s="57">
        <f>COUNTBLANK(MEMBERS[[#This Row],[StaffMemberCode]:[ServiceStartDate]])+COUNTBLANK(MEMBERS[[#This Row],[Apprenticeship]]:MEMBERS[[#This Row],[StaffMemberEnabled]])+COUNTBLANK(MEMBERS[[#This Row],[GenderCode]]:MEMBERS[[#This Row],[Casual]])</f>
        <v>0</v>
      </c>
      <c r="L768" s="57">
        <f>IF(SUBSTITUTE(TEXT(MEMBERS[[#This Row],[StaffMemberCode]],10)," ","")=TEXT(MEMBERS[[#This Row],[StaffMemberCode]],10),0,1)</f>
        <v>0</v>
      </c>
      <c r="M768" s="57">
        <f ca="1">SUM(MEMBERS[[#This Row],[Duplicate NameService Start]:[Space in Code]])</f>
        <v>0</v>
      </c>
      <c r="O768" s="15">
        <v>10012682</v>
      </c>
      <c r="P768" s="15" t="s">
        <v>4011</v>
      </c>
      <c r="Q768" s="15" t="s">
        <v>3735</v>
      </c>
      <c r="R768" s="133" t="str">
        <f>MEMBERS[[#This Row],[FirstName]]&amp;" "&amp;MEMBERS[[#This Row],[LastName]]</f>
        <v>Tanya Hickman</v>
      </c>
      <c r="S768" s="21">
        <v>45090</v>
      </c>
      <c r="U768" s="21">
        <v>24673</v>
      </c>
      <c r="V768" s="138" t="b">
        <v>0</v>
      </c>
      <c r="W768" t="b">
        <v>0</v>
      </c>
      <c r="X768" t="b">
        <v>0</v>
      </c>
      <c r="Y768" t="s">
        <v>2126</v>
      </c>
      <c r="Z768" t="b">
        <v>1</v>
      </c>
      <c r="AB768" t="s">
        <v>1571</v>
      </c>
      <c r="AC768" t="b">
        <v>0</v>
      </c>
    </row>
    <row r="769" spans="1:29" x14ac:dyDescent="0.3">
      <c r="A769" s="57" t="str">
        <f>MEMBERS[[#This Row],[Title]]&amp;MEMBERS[[#This Row],[ServiceStartDate]]</f>
        <v>Tara Sanchez44570</v>
      </c>
      <c r="B769" s="57">
        <f>IF(COUNTIF(MEMBERS[NameServiceStart],MEMBERS[[#This Row],[NameServiceStart]])=1,0,1)</f>
        <v>0</v>
      </c>
      <c r="C769" s="57">
        <f>IF(COUNTIF(MEMBERS[StaffMemberCode],MEMBERS[[#This Row],[StaffMemberCode]])=1,0,1)</f>
        <v>0</v>
      </c>
      <c r="D769" s="57">
        <f>IF(ISBLANK(MEMBERS[[#This Row],[PayrollLocation]]),0,IF(COUNTIF(SCHOOLS[SchoolCode],MEMBERS[[#This Row],[PayrollLocation]])=1,0,1))</f>
        <v>0</v>
      </c>
      <c r="E769" s="57">
        <f>IF(MEMBERS[[#This Row],[AvailableToAllSchools]]=FALSE,IF(ISBLANK(MEMBERS[[#This Row],[SchoolCodes]]),1,0),IF(MEMBERS[[#This Row],[AvailableToAllSchools]]=TRUE,IF(ISBLANK(MEMBERS[[#This Row],[SchoolCodes]]),0,1)))</f>
        <v>0</v>
      </c>
      <c r="F769" s="57">
        <f>IF(ISBLANK(MEMBERS[[#This Row],[ServiceEndDate]]),0,IF(MEMBERS[[#This Row],[ServiceStartDate]]&lt;MEMBERS[[#This Row],[ServiceEndDate]],0,1))</f>
        <v>0</v>
      </c>
      <c r="G769" s="57" cm="1">
        <f t="array" aca="1" ref="G769" ca="1">IF(CELL("format",MEMBERS[[#This Row],[ServiceStartDate]])="D1",0,1)+IF(CELL("format",MEMBERS[[#This Row],[ServiceEndDate]])="D1",0,1)</f>
        <v>0</v>
      </c>
      <c r="H76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69" s="57">
        <f>IF(LEN(MEMBERS[[#This Row],[StaffMemberCode]])&lt;100,0,1)</f>
        <v>0</v>
      </c>
      <c r="J769" s="57">
        <f>IF(LEN(MEMBERS[[#This Row],[Title]])&lt;100,0,1)</f>
        <v>0</v>
      </c>
      <c r="K769" s="57">
        <f>COUNTBLANK(MEMBERS[[#This Row],[StaffMemberCode]:[ServiceStartDate]])+COUNTBLANK(MEMBERS[[#This Row],[Apprenticeship]]:MEMBERS[[#This Row],[StaffMemberEnabled]])+COUNTBLANK(MEMBERS[[#This Row],[GenderCode]]:MEMBERS[[#This Row],[Casual]])</f>
        <v>0</v>
      </c>
      <c r="L769" s="57">
        <f>IF(SUBSTITUTE(TEXT(MEMBERS[[#This Row],[StaffMemberCode]],10)," ","")=TEXT(MEMBERS[[#This Row],[StaffMemberCode]],10),0,1)</f>
        <v>0</v>
      </c>
      <c r="M769" s="57">
        <f ca="1">SUM(MEMBERS[[#This Row],[Duplicate NameService Start]:[Space in Code]])</f>
        <v>0</v>
      </c>
      <c r="O769" s="15">
        <v>91073910</v>
      </c>
      <c r="P769" s="15" t="s">
        <v>3435</v>
      </c>
      <c r="Q769" s="15" t="s">
        <v>3917</v>
      </c>
      <c r="R769" s="133" t="str">
        <f>MEMBERS[[#This Row],[FirstName]]&amp;" "&amp;MEMBERS[[#This Row],[LastName]]</f>
        <v>Tara Sanchez</v>
      </c>
      <c r="S769" s="21">
        <v>44570</v>
      </c>
      <c r="U769" s="21">
        <v>27178</v>
      </c>
      <c r="V769" t="b">
        <v>0</v>
      </c>
      <c r="W769" t="b">
        <v>0</v>
      </c>
      <c r="X769" t="b">
        <v>0</v>
      </c>
      <c r="Y769" t="s">
        <v>51</v>
      </c>
      <c r="Z769" t="b">
        <v>1</v>
      </c>
      <c r="AB769" t="s">
        <v>1571</v>
      </c>
      <c r="AC769" t="b">
        <v>0</v>
      </c>
    </row>
    <row r="770" spans="1:29" x14ac:dyDescent="0.3">
      <c r="A770" s="57" t="str">
        <f>MEMBERS[[#This Row],[Title]]&amp;MEMBERS[[#This Row],[ServiceStartDate]]</f>
        <v>Taylor Visagie45901</v>
      </c>
      <c r="B770" s="57">
        <f>IF(COUNTIF(MEMBERS[NameServiceStart],MEMBERS[[#This Row],[NameServiceStart]])=1,0,1)</f>
        <v>0</v>
      </c>
      <c r="C770" s="57">
        <f>IF(COUNTIF(MEMBERS[StaffMemberCode],MEMBERS[[#This Row],[StaffMemberCode]])=1,0,1)</f>
        <v>0</v>
      </c>
      <c r="D770" s="57">
        <f>IF(ISBLANK(MEMBERS[[#This Row],[PayrollLocation]]),0,IF(COUNTIF(SCHOOLS[SchoolCode],MEMBERS[[#This Row],[PayrollLocation]])=1,0,1))</f>
        <v>0</v>
      </c>
      <c r="E770" s="57">
        <f>IF(MEMBERS[[#This Row],[AvailableToAllSchools]]=FALSE,IF(ISBLANK(MEMBERS[[#This Row],[SchoolCodes]]),1,0),IF(MEMBERS[[#This Row],[AvailableToAllSchools]]=TRUE,IF(ISBLANK(MEMBERS[[#This Row],[SchoolCodes]]),0,1)))</f>
        <v>0</v>
      </c>
      <c r="F770" s="57">
        <f>IF(ISBLANK(MEMBERS[[#This Row],[ServiceEndDate]]),0,IF(MEMBERS[[#This Row],[ServiceStartDate]]&lt;MEMBERS[[#This Row],[ServiceEndDate]],0,1))</f>
        <v>0</v>
      </c>
      <c r="G770" s="57" cm="1">
        <f t="array" aca="1" ref="G770" ca="1">IF(CELL("format",MEMBERS[[#This Row],[ServiceStartDate]])="D1",0,1)+IF(CELL("format",MEMBERS[[#This Row],[ServiceEndDate]])="D1",0,1)</f>
        <v>0</v>
      </c>
      <c r="H77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70" s="57">
        <f>IF(LEN(MEMBERS[[#This Row],[StaffMemberCode]])&lt;100,0,1)</f>
        <v>0</v>
      </c>
      <c r="J770" s="57">
        <f>IF(LEN(MEMBERS[[#This Row],[Title]])&lt;100,0,1)</f>
        <v>0</v>
      </c>
      <c r="K770" s="57">
        <f>COUNTBLANK(MEMBERS[[#This Row],[StaffMemberCode]:[ServiceStartDate]])+COUNTBLANK(MEMBERS[[#This Row],[Apprenticeship]]:MEMBERS[[#This Row],[StaffMemberEnabled]])+COUNTBLANK(MEMBERS[[#This Row],[GenderCode]]:MEMBERS[[#This Row],[Casual]])</f>
        <v>0</v>
      </c>
      <c r="L770" s="57">
        <f>IF(SUBSTITUTE(TEXT(MEMBERS[[#This Row],[StaffMemberCode]],10)," ","")=TEXT(MEMBERS[[#This Row],[StaffMemberCode]],10),0,1)</f>
        <v>0</v>
      </c>
      <c r="M770" s="57">
        <f ca="1">SUM(MEMBERS[[#This Row],[Duplicate NameService Start]:[Space in Code]])</f>
        <v>0</v>
      </c>
      <c r="O770" s="15">
        <v>91850018</v>
      </c>
      <c r="P770" s="15" t="s">
        <v>3436</v>
      </c>
      <c r="Q770" s="15" t="s">
        <v>3918</v>
      </c>
      <c r="R770" s="133" t="str">
        <f>MEMBERS[[#This Row],[FirstName]]&amp;" "&amp;MEMBERS[[#This Row],[LastName]]</f>
        <v>Taylor Visagie</v>
      </c>
      <c r="S770" s="21">
        <v>45901</v>
      </c>
      <c r="U770" s="21">
        <v>35724</v>
      </c>
      <c r="V770" t="b">
        <v>0</v>
      </c>
      <c r="W770" t="b">
        <v>0</v>
      </c>
      <c r="X770" t="b">
        <v>0</v>
      </c>
      <c r="Y770" t="s">
        <v>2094</v>
      </c>
      <c r="Z770" t="b">
        <v>1</v>
      </c>
      <c r="AB770" t="s">
        <v>1571</v>
      </c>
      <c r="AC770" t="b">
        <v>0</v>
      </c>
    </row>
    <row r="771" spans="1:29" x14ac:dyDescent="0.3">
      <c r="A771" s="57" t="str">
        <f>MEMBERS[[#This Row],[Title]]&amp;MEMBERS[[#This Row],[ServiceStartDate]]</f>
        <v>Teresa Hassall35434</v>
      </c>
      <c r="B771" s="57">
        <f>IF(COUNTIF(MEMBERS[NameServiceStart],MEMBERS[[#This Row],[NameServiceStart]])=1,0,1)</f>
        <v>0</v>
      </c>
      <c r="C771" s="57">
        <f>IF(COUNTIF(MEMBERS[StaffMemberCode],MEMBERS[[#This Row],[StaffMemberCode]])=1,0,1)</f>
        <v>0</v>
      </c>
      <c r="D771" s="57">
        <f>IF(ISBLANK(MEMBERS[[#This Row],[PayrollLocation]]),0,IF(COUNTIF(SCHOOLS[SchoolCode],MEMBERS[[#This Row],[PayrollLocation]])=1,0,1))</f>
        <v>0</v>
      </c>
      <c r="E771" s="57">
        <f>IF(MEMBERS[[#This Row],[AvailableToAllSchools]]=FALSE,IF(ISBLANK(MEMBERS[[#This Row],[SchoolCodes]]),1,0),IF(MEMBERS[[#This Row],[AvailableToAllSchools]]=TRUE,IF(ISBLANK(MEMBERS[[#This Row],[SchoolCodes]]),0,1)))</f>
        <v>0</v>
      </c>
      <c r="F771" s="57">
        <f>IF(ISBLANK(MEMBERS[[#This Row],[ServiceEndDate]]),0,IF(MEMBERS[[#This Row],[ServiceStartDate]]&lt;MEMBERS[[#This Row],[ServiceEndDate]],0,1))</f>
        <v>0</v>
      </c>
      <c r="G771" s="57" cm="1">
        <f t="array" aca="1" ref="G771" ca="1">IF(CELL("format",MEMBERS[[#This Row],[ServiceStartDate]])="D1",0,1)+IF(CELL("format",MEMBERS[[#This Row],[ServiceEndDate]])="D1",0,1)</f>
        <v>0</v>
      </c>
      <c r="H77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71" s="57">
        <f>IF(LEN(MEMBERS[[#This Row],[StaffMemberCode]])&lt;100,0,1)</f>
        <v>0</v>
      </c>
      <c r="J771" s="57">
        <f>IF(LEN(MEMBERS[[#This Row],[Title]])&lt;100,0,1)</f>
        <v>0</v>
      </c>
      <c r="K771" s="57">
        <f>COUNTBLANK(MEMBERS[[#This Row],[StaffMemberCode]:[ServiceStartDate]])+COUNTBLANK(MEMBERS[[#This Row],[Apprenticeship]]:MEMBERS[[#This Row],[StaffMemberEnabled]])+COUNTBLANK(MEMBERS[[#This Row],[GenderCode]]:MEMBERS[[#This Row],[Casual]])</f>
        <v>0</v>
      </c>
      <c r="L771" s="57">
        <f>IF(SUBSTITUTE(TEXT(MEMBERS[[#This Row],[StaffMemberCode]],10)," ","")=TEXT(MEMBERS[[#This Row],[StaffMemberCode]],10),0,1)</f>
        <v>0</v>
      </c>
      <c r="M771" s="57">
        <f ca="1">SUM(MEMBERS[[#This Row],[Duplicate NameService Start]:[Space in Code]])</f>
        <v>0</v>
      </c>
      <c r="O771" s="15">
        <v>91073504</v>
      </c>
      <c r="P771" s="15" t="s">
        <v>3437</v>
      </c>
      <c r="Q771" s="15" t="s">
        <v>3919</v>
      </c>
      <c r="R771" s="133" t="str">
        <f>MEMBERS[[#This Row],[FirstName]]&amp;" "&amp;MEMBERS[[#This Row],[LastName]]</f>
        <v>Teresa Hassall</v>
      </c>
      <c r="S771" s="21">
        <v>35434</v>
      </c>
      <c r="U771" s="21">
        <v>22695</v>
      </c>
      <c r="V771" t="b">
        <v>0</v>
      </c>
      <c r="W771" t="b">
        <v>0</v>
      </c>
      <c r="X771" t="b">
        <v>0</v>
      </c>
      <c r="Y771" t="s">
        <v>2094</v>
      </c>
      <c r="Z771" t="b">
        <v>1</v>
      </c>
      <c r="AB771" t="s">
        <v>1571</v>
      </c>
      <c r="AC771" t="b">
        <v>0</v>
      </c>
    </row>
    <row r="772" spans="1:29" x14ac:dyDescent="0.3">
      <c r="A772" s="57" t="str">
        <f>MEMBERS[[#This Row],[Title]]&amp;MEMBERS[[#This Row],[ServiceStartDate]]</f>
        <v>Terri Lawton38361</v>
      </c>
      <c r="B772" s="57">
        <f>IF(COUNTIF(MEMBERS[NameServiceStart],MEMBERS[[#This Row],[NameServiceStart]])=1,0,1)</f>
        <v>0</v>
      </c>
      <c r="C772" s="57">
        <f>IF(COUNTIF(MEMBERS[StaffMemberCode],MEMBERS[[#This Row],[StaffMemberCode]])=1,0,1)</f>
        <v>0</v>
      </c>
      <c r="D772" s="57">
        <f>IF(ISBLANK(MEMBERS[[#This Row],[PayrollLocation]]),0,IF(COUNTIF(SCHOOLS[SchoolCode],MEMBERS[[#This Row],[PayrollLocation]])=1,0,1))</f>
        <v>0</v>
      </c>
      <c r="E772" s="57">
        <f>IF(MEMBERS[[#This Row],[AvailableToAllSchools]]=FALSE,IF(ISBLANK(MEMBERS[[#This Row],[SchoolCodes]]),1,0),IF(MEMBERS[[#This Row],[AvailableToAllSchools]]=TRUE,IF(ISBLANK(MEMBERS[[#This Row],[SchoolCodes]]),0,1)))</f>
        <v>0</v>
      </c>
      <c r="F772" s="57">
        <f>IF(ISBLANK(MEMBERS[[#This Row],[ServiceEndDate]]),0,IF(MEMBERS[[#This Row],[ServiceStartDate]]&lt;MEMBERS[[#This Row],[ServiceEndDate]],0,1))</f>
        <v>0</v>
      </c>
      <c r="G772" s="57" cm="1">
        <f t="array" aca="1" ref="G772" ca="1">IF(CELL("format",MEMBERS[[#This Row],[ServiceStartDate]])="D1",0,1)+IF(CELL("format",MEMBERS[[#This Row],[ServiceEndDate]])="D1",0,1)</f>
        <v>0</v>
      </c>
      <c r="H77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72" s="57">
        <f>IF(LEN(MEMBERS[[#This Row],[StaffMemberCode]])&lt;100,0,1)</f>
        <v>0</v>
      </c>
      <c r="J772" s="57">
        <f>IF(LEN(MEMBERS[[#This Row],[Title]])&lt;100,0,1)</f>
        <v>0</v>
      </c>
      <c r="K772" s="57">
        <f>COUNTBLANK(MEMBERS[[#This Row],[StaffMemberCode]:[ServiceStartDate]])+COUNTBLANK(MEMBERS[[#This Row],[Apprenticeship]]:MEMBERS[[#This Row],[StaffMemberEnabled]])+COUNTBLANK(MEMBERS[[#This Row],[GenderCode]]:MEMBERS[[#This Row],[Casual]])</f>
        <v>0</v>
      </c>
      <c r="L772" s="57">
        <f>IF(SUBSTITUTE(TEXT(MEMBERS[[#This Row],[StaffMemberCode]],10)," ","")=TEXT(MEMBERS[[#This Row],[StaffMemberCode]],10),0,1)</f>
        <v>0</v>
      </c>
      <c r="M772" s="57">
        <f ca="1">SUM(MEMBERS[[#This Row],[Duplicate NameService Start]:[Space in Code]])</f>
        <v>0</v>
      </c>
      <c r="O772" s="15">
        <v>91073402</v>
      </c>
      <c r="P772" s="15" t="s">
        <v>3438</v>
      </c>
      <c r="Q772" s="15" t="s">
        <v>3789</v>
      </c>
      <c r="R772" s="133" t="str">
        <f>MEMBERS[[#This Row],[FirstName]]&amp;" "&amp;MEMBERS[[#This Row],[LastName]]</f>
        <v>Terri Lawton</v>
      </c>
      <c r="S772" s="21">
        <v>38361</v>
      </c>
      <c r="U772" s="21">
        <v>30353</v>
      </c>
      <c r="V772" t="b">
        <v>0</v>
      </c>
      <c r="W772" t="b">
        <v>0</v>
      </c>
      <c r="X772" t="b">
        <v>0</v>
      </c>
      <c r="Y772" t="s">
        <v>2275</v>
      </c>
      <c r="Z772" t="b">
        <v>1</v>
      </c>
      <c r="AB772" t="s">
        <v>1571</v>
      </c>
      <c r="AC772" t="b">
        <v>0</v>
      </c>
    </row>
    <row r="773" spans="1:29" x14ac:dyDescent="0.3">
      <c r="A773" s="57" t="str">
        <f>MEMBERS[[#This Row],[Title]]&amp;MEMBERS[[#This Row],[ServiceStartDate]]</f>
        <v>Theodora Disveld45116</v>
      </c>
      <c r="B773" s="57">
        <f>IF(COUNTIF(MEMBERS[NameServiceStart],MEMBERS[[#This Row],[NameServiceStart]])=1,0,1)</f>
        <v>0</v>
      </c>
      <c r="C773" s="57">
        <f>IF(COUNTIF(MEMBERS[StaffMemberCode],MEMBERS[[#This Row],[StaffMemberCode]])=1,0,1)</f>
        <v>0</v>
      </c>
      <c r="D773" s="57">
        <f>IF(ISBLANK(MEMBERS[[#This Row],[PayrollLocation]]),0,IF(COUNTIF(SCHOOLS[SchoolCode],MEMBERS[[#This Row],[PayrollLocation]])=1,0,1))</f>
        <v>0</v>
      </c>
      <c r="E773" s="57">
        <f>IF(MEMBERS[[#This Row],[AvailableToAllSchools]]=FALSE,IF(ISBLANK(MEMBERS[[#This Row],[SchoolCodes]]),1,0),IF(MEMBERS[[#This Row],[AvailableToAllSchools]]=TRUE,IF(ISBLANK(MEMBERS[[#This Row],[SchoolCodes]]),0,1)))</f>
        <v>0</v>
      </c>
      <c r="F773" s="57">
        <f>IF(ISBLANK(MEMBERS[[#This Row],[ServiceEndDate]]),0,IF(MEMBERS[[#This Row],[ServiceStartDate]]&lt;MEMBERS[[#This Row],[ServiceEndDate]],0,1))</f>
        <v>0</v>
      </c>
      <c r="G773" s="57" cm="1">
        <f t="array" aca="1" ref="G773" ca="1">IF(CELL("format",MEMBERS[[#This Row],[ServiceStartDate]])="D1",0,1)+IF(CELL("format",MEMBERS[[#This Row],[ServiceEndDate]])="D1",0,1)</f>
        <v>0</v>
      </c>
      <c r="H77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73" s="57">
        <f>IF(LEN(MEMBERS[[#This Row],[StaffMemberCode]])&lt;100,0,1)</f>
        <v>0</v>
      </c>
      <c r="J773" s="57">
        <f>IF(LEN(MEMBERS[[#This Row],[Title]])&lt;100,0,1)</f>
        <v>0</v>
      </c>
      <c r="K773" s="57">
        <f>COUNTBLANK(MEMBERS[[#This Row],[StaffMemberCode]:[ServiceStartDate]])+COUNTBLANK(MEMBERS[[#This Row],[Apprenticeship]]:MEMBERS[[#This Row],[StaffMemberEnabled]])+COUNTBLANK(MEMBERS[[#This Row],[GenderCode]]:MEMBERS[[#This Row],[Casual]])</f>
        <v>0</v>
      </c>
      <c r="L773" s="57">
        <f>IF(SUBSTITUTE(TEXT(MEMBERS[[#This Row],[StaffMemberCode]],10)," ","")=TEXT(MEMBERS[[#This Row],[StaffMemberCode]],10),0,1)</f>
        <v>0</v>
      </c>
      <c r="M773" s="57">
        <f ca="1">SUM(MEMBERS[[#This Row],[Duplicate NameService Start]:[Space in Code]])</f>
        <v>0</v>
      </c>
      <c r="O773" s="15">
        <v>91073618</v>
      </c>
      <c r="P773" s="15" t="s">
        <v>3439</v>
      </c>
      <c r="Q773" s="15" t="s">
        <v>3920</v>
      </c>
      <c r="R773" s="133" t="str">
        <f>MEMBERS[[#This Row],[FirstName]]&amp;" "&amp;MEMBERS[[#This Row],[LastName]]</f>
        <v>Theodora Disveld</v>
      </c>
      <c r="S773" s="21">
        <v>45116</v>
      </c>
      <c r="U773" s="21">
        <v>22302</v>
      </c>
      <c r="V773" t="b">
        <v>0</v>
      </c>
      <c r="W773" t="b">
        <v>0</v>
      </c>
      <c r="X773" t="b">
        <v>0</v>
      </c>
      <c r="Y773" t="s">
        <v>2094</v>
      </c>
      <c r="Z773" t="b">
        <v>1</v>
      </c>
      <c r="AB773" t="s">
        <v>1571</v>
      </c>
      <c r="AC773" t="b">
        <v>0</v>
      </c>
    </row>
    <row r="774" spans="1:29" x14ac:dyDescent="0.3">
      <c r="A774" s="57" t="str">
        <f>MEMBERS[[#This Row],[Title]]&amp;MEMBERS[[#This Row],[ServiceStartDate]]</f>
        <v>Thomas Allcroft45901</v>
      </c>
      <c r="B774" s="57">
        <f>IF(COUNTIF(MEMBERS[NameServiceStart],MEMBERS[[#This Row],[NameServiceStart]])=1,0,1)</f>
        <v>0</v>
      </c>
      <c r="C774" s="57">
        <f>IF(COUNTIF(MEMBERS[StaffMemberCode],MEMBERS[[#This Row],[StaffMemberCode]])=1,0,1)</f>
        <v>0</v>
      </c>
      <c r="D774" s="57">
        <f>IF(ISBLANK(MEMBERS[[#This Row],[PayrollLocation]]),0,IF(COUNTIF(SCHOOLS[SchoolCode],MEMBERS[[#This Row],[PayrollLocation]])=1,0,1))</f>
        <v>0</v>
      </c>
      <c r="E774" s="57">
        <f>IF(MEMBERS[[#This Row],[AvailableToAllSchools]]=FALSE,IF(ISBLANK(MEMBERS[[#This Row],[SchoolCodes]]),1,0),IF(MEMBERS[[#This Row],[AvailableToAllSchools]]=TRUE,IF(ISBLANK(MEMBERS[[#This Row],[SchoolCodes]]),0,1)))</f>
        <v>0</v>
      </c>
      <c r="F774" s="57">
        <f>IF(ISBLANK(MEMBERS[[#This Row],[ServiceEndDate]]),0,IF(MEMBERS[[#This Row],[ServiceStartDate]]&lt;MEMBERS[[#This Row],[ServiceEndDate]],0,1))</f>
        <v>0</v>
      </c>
      <c r="G774" s="57" cm="1">
        <f t="array" aca="1" ref="G774" ca="1">IF(CELL("format",MEMBERS[[#This Row],[ServiceStartDate]])="D1",0,1)+IF(CELL("format",MEMBERS[[#This Row],[ServiceEndDate]])="D1",0,1)</f>
        <v>0</v>
      </c>
      <c r="H77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74" s="57">
        <f>IF(LEN(MEMBERS[[#This Row],[StaffMemberCode]])&lt;100,0,1)</f>
        <v>0</v>
      </c>
      <c r="J774" s="57">
        <f>IF(LEN(MEMBERS[[#This Row],[Title]])&lt;100,0,1)</f>
        <v>0</v>
      </c>
      <c r="K774" s="57">
        <f>COUNTBLANK(MEMBERS[[#This Row],[StaffMemberCode]:[ServiceStartDate]])+COUNTBLANK(MEMBERS[[#This Row],[Apprenticeship]]:MEMBERS[[#This Row],[StaffMemberEnabled]])+COUNTBLANK(MEMBERS[[#This Row],[GenderCode]]:MEMBERS[[#This Row],[Casual]])</f>
        <v>0</v>
      </c>
      <c r="L774" s="57">
        <f>IF(SUBSTITUTE(TEXT(MEMBERS[[#This Row],[StaffMemberCode]],10)," ","")=TEXT(MEMBERS[[#This Row],[StaffMemberCode]],10),0,1)</f>
        <v>0</v>
      </c>
      <c r="M774" s="57">
        <f ca="1">SUM(MEMBERS[[#This Row],[Duplicate NameService Start]:[Space in Code]])</f>
        <v>0</v>
      </c>
      <c r="O774" s="15">
        <v>10016223</v>
      </c>
      <c r="P774" s="15" t="s">
        <v>3440</v>
      </c>
      <c r="Q774" s="15" t="s">
        <v>4140</v>
      </c>
      <c r="R774" s="133" t="str">
        <f>MEMBERS[[#This Row],[FirstName]]&amp;" "&amp;MEMBERS[[#This Row],[LastName]]</f>
        <v>Thomas Allcroft</v>
      </c>
      <c r="S774" s="21">
        <v>45901</v>
      </c>
      <c r="U774" s="21">
        <v>33167</v>
      </c>
      <c r="V774" s="138" t="b">
        <v>0</v>
      </c>
      <c r="W774" t="b">
        <v>0</v>
      </c>
      <c r="X774" t="b">
        <v>0</v>
      </c>
      <c r="Y774" t="s">
        <v>2126</v>
      </c>
      <c r="Z774" t="b">
        <v>1</v>
      </c>
      <c r="AB774" t="s">
        <v>1572</v>
      </c>
      <c r="AC774" t="b">
        <v>0</v>
      </c>
    </row>
    <row r="775" spans="1:29" x14ac:dyDescent="0.3">
      <c r="A775" s="57" t="str">
        <f>MEMBERS[[#This Row],[Title]]&amp;MEMBERS[[#This Row],[ServiceStartDate]]</f>
        <v>Thomas Cassidy45901</v>
      </c>
      <c r="B775" s="57">
        <f>IF(COUNTIF(MEMBERS[NameServiceStart],MEMBERS[[#This Row],[NameServiceStart]])=1,0,1)</f>
        <v>0</v>
      </c>
      <c r="C775" s="57">
        <f>IF(COUNTIF(MEMBERS[StaffMemberCode],MEMBERS[[#This Row],[StaffMemberCode]])=1,0,1)</f>
        <v>0</v>
      </c>
      <c r="D775" s="57">
        <f>IF(ISBLANK(MEMBERS[[#This Row],[PayrollLocation]]),0,IF(COUNTIF(SCHOOLS[SchoolCode],MEMBERS[[#This Row],[PayrollLocation]])=1,0,1))</f>
        <v>0</v>
      </c>
      <c r="E775" s="57">
        <f>IF(MEMBERS[[#This Row],[AvailableToAllSchools]]=FALSE,IF(ISBLANK(MEMBERS[[#This Row],[SchoolCodes]]),1,0),IF(MEMBERS[[#This Row],[AvailableToAllSchools]]=TRUE,IF(ISBLANK(MEMBERS[[#This Row],[SchoolCodes]]),0,1)))</f>
        <v>0</v>
      </c>
      <c r="F775" s="57">
        <f>IF(ISBLANK(MEMBERS[[#This Row],[ServiceEndDate]]),0,IF(MEMBERS[[#This Row],[ServiceStartDate]]&lt;MEMBERS[[#This Row],[ServiceEndDate]],0,1))</f>
        <v>0</v>
      </c>
      <c r="G775" s="57" cm="1">
        <f t="array" aca="1" ref="G775" ca="1">IF(CELL("format",MEMBERS[[#This Row],[ServiceStartDate]])="D1",0,1)+IF(CELL("format",MEMBERS[[#This Row],[ServiceEndDate]])="D1",0,1)</f>
        <v>0</v>
      </c>
      <c r="H77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75" s="57">
        <f>IF(LEN(MEMBERS[[#This Row],[StaffMemberCode]])&lt;100,0,1)</f>
        <v>0</v>
      </c>
      <c r="J775" s="57">
        <f>IF(LEN(MEMBERS[[#This Row],[Title]])&lt;100,0,1)</f>
        <v>0</v>
      </c>
      <c r="K775" s="57">
        <f>COUNTBLANK(MEMBERS[[#This Row],[StaffMemberCode]:[ServiceStartDate]])+COUNTBLANK(MEMBERS[[#This Row],[Apprenticeship]]:MEMBERS[[#This Row],[StaffMemberEnabled]])+COUNTBLANK(MEMBERS[[#This Row],[GenderCode]]:MEMBERS[[#This Row],[Casual]])</f>
        <v>0</v>
      </c>
      <c r="L775" s="57">
        <f>IF(SUBSTITUTE(TEXT(MEMBERS[[#This Row],[StaffMemberCode]],10)," ","")=TEXT(MEMBERS[[#This Row],[StaffMemberCode]],10),0,1)</f>
        <v>0</v>
      </c>
      <c r="M775" s="57">
        <f ca="1">SUM(MEMBERS[[#This Row],[Duplicate NameService Start]:[Space in Code]])</f>
        <v>0</v>
      </c>
      <c r="O775" s="15">
        <v>91850050</v>
      </c>
      <c r="P775" s="15" t="s">
        <v>3440</v>
      </c>
      <c r="Q775" s="15" t="s">
        <v>3921</v>
      </c>
      <c r="R775" s="133" t="str">
        <f>MEMBERS[[#This Row],[FirstName]]&amp;" "&amp;MEMBERS[[#This Row],[LastName]]</f>
        <v>Thomas Cassidy</v>
      </c>
      <c r="S775" s="21">
        <v>45901</v>
      </c>
      <c r="U775" s="21">
        <v>35061</v>
      </c>
      <c r="V775" t="b">
        <v>0</v>
      </c>
      <c r="W775" t="b">
        <v>0</v>
      </c>
      <c r="X775" t="b">
        <v>0</v>
      </c>
      <c r="Y775" t="s">
        <v>51</v>
      </c>
      <c r="Z775" t="b">
        <v>1</v>
      </c>
      <c r="AB775" t="s">
        <v>1572</v>
      </c>
      <c r="AC775" t="b">
        <v>0</v>
      </c>
    </row>
    <row r="776" spans="1:29" x14ac:dyDescent="0.3">
      <c r="A776" s="57" t="str">
        <f>MEMBERS[[#This Row],[Title]]&amp;MEMBERS[[#This Row],[ServiceStartDate]]</f>
        <v>Thomas Cutts37630</v>
      </c>
      <c r="B776" s="57">
        <f>IF(COUNTIF(MEMBERS[NameServiceStart],MEMBERS[[#This Row],[NameServiceStart]])=1,0,1)</f>
        <v>0</v>
      </c>
      <c r="C776" s="57">
        <f>IF(COUNTIF(MEMBERS[StaffMemberCode],MEMBERS[[#This Row],[StaffMemberCode]])=1,0,1)</f>
        <v>0</v>
      </c>
      <c r="D776" s="57">
        <f>IF(ISBLANK(MEMBERS[[#This Row],[PayrollLocation]]),0,IF(COUNTIF(SCHOOLS[SchoolCode],MEMBERS[[#This Row],[PayrollLocation]])=1,0,1))</f>
        <v>0</v>
      </c>
      <c r="E776" s="57">
        <f>IF(MEMBERS[[#This Row],[AvailableToAllSchools]]=FALSE,IF(ISBLANK(MEMBERS[[#This Row],[SchoolCodes]]),1,0),IF(MEMBERS[[#This Row],[AvailableToAllSchools]]=TRUE,IF(ISBLANK(MEMBERS[[#This Row],[SchoolCodes]]),0,1)))</f>
        <v>0</v>
      </c>
      <c r="F776" s="57">
        <f>IF(ISBLANK(MEMBERS[[#This Row],[ServiceEndDate]]),0,IF(MEMBERS[[#This Row],[ServiceStartDate]]&lt;MEMBERS[[#This Row],[ServiceEndDate]],0,1))</f>
        <v>0</v>
      </c>
      <c r="G776" s="57" cm="1">
        <f t="array" aca="1" ref="G776" ca="1">IF(CELL("format",MEMBERS[[#This Row],[ServiceStartDate]])="D1",0,1)+IF(CELL("format",MEMBERS[[#This Row],[ServiceEndDate]])="D1",0,1)</f>
        <v>0</v>
      </c>
      <c r="H77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76" s="57">
        <f>IF(LEN(MEMBERS[[#This Row],[StaffMemberCode]])&lt;100,0,1)</f>
        <v>0</v>
      </c>
      <c r="J776" s="57">
        <f>IF(LEN(MEMBERS[[#This Row],[Title]])&lt;100,0,1)</f>
        <v>0</v>
      </c>
      <c r="K776" s="57">
        <f>COUNTBLANK(MEMBERS[[#This Row],[StaffMemberCode]:[ServiceStartDate]])+COUNTBLANK(MEMBERS[[#This Row],[Apprenticeship]]:MEMBERS[[#This Row],[StaffMemberEnabled]])+COUNTBLANK(MEMBERS[[#This Row],[GenderCode]]:MEMBERS[[#This Row],[Casual]])</f>
        <v>0</v>
      </c>
      <c r="L776" s="57">
        <f>IF(SUBSTITUTE(TEXT(MEMBERS[[#This Row],[StaffMemberCode]],10)," ","")=TEXT(MEMBERS[[#This Row],[StaffMemberCode]],10),0,1)</f>
        <v>0</v>
      </c>
      <c r="M776" s="57">
        <f ca="1">SUM(MEMBERS[[#This Row],[Duplicate NameService Start]:[Space in Code]])</f>
        <v>0</v>
      </c>
      <c r="O776" s="15">
        <v>91073399</v>
      </c>
      <c r="P776" s="15" t="s">
        <v>3440</v>
      </c>
      <c r="Q776" s="15" t="s">
        <v>3922</v>
      </c>
      <c r="R776" s="133" t="str">
        <f>MEMBERS[[#This Row],[FirstName]]&amp;" "&amp;MEMBERS[[#This Row],[LastName]]</f>
        <v>Thomas Cutts</v>
      </c>
      <c r="S776" s="21">
        <v>37630</v>
      </c>
      <c r="U776" s="21">
        <v>29278</v>
      </c>
      <c r="V776" t="b">
        <v>0</v>
      </c>
      <c r="W776" t="b">
        <v>0</v>
      </c>
      <c r="X776" t="b">
        <v>0</v>
      </c>
      <c r="Y776" t="s">
        <v>2275</v>
      </c>
      <c r="Z776" t="b">
        <v>1</v>
      </c>
      <c r="AB776" t="s">
        <v>1572</v>
      </c>
      <c r="AC776" t="b">
        <v>0</v>
      </c>
    </row>
    <row r="777" spans="1:29" x14ac:dyDescent="0.3">
      <c r="A777" s="57" t="str">
        <f>MEMBERS[[#This Row],[Title]]&amp;MEMBERS[[#This Row],[ServiceStartDate]]</f>
        <v>Thomas Gale44571</v>
      </c>
      <c r="B777" s="57">
        <f>IF(COUNTIF(MEMBERS[NameServiceStart],MEMBERS[[#This Row],[NameServiceStart]])=1,0,1)</f>
        <v>0</v>
      </c>
      <c r="C777" s="57">
        <f>IF(COUNTIF(MEMBERS[StaffMemberCode],MEMBERS[[#This Row],[StaffMemberCode]])=1,0,1)</f>
        <v>0</v>
      </c>
      <c r="D777" s="57">
        <f>IF(ISBLANK(MEMBERS[[#This Row],[PayrollLocation]]),0,IF(COUNTIF(SCHOOLS[SchoolCode],MEMBERS[[#This Row],[PayrollLocation]])=1,0,1))</f>
        <v>0</v>
      </c>
      <c r="E777" s="57">
        <f>IF(MEMBERS[[#This Row],[AvailableToAllSchools]]=FALSE,IF(ISBLANK(MEMBERS[[#This Row],[SchoolCodes]]),1,0),IF(MEMBERS[[#This Row],[AvailableToAllSchools]]=TRUE,IF(ISBLANK(MEMBERS[[#This Row],[SchoolCodes]]),0,1)))</f>
        <v>0</v>
      </c>
      <c r="F777" s="57">
        <f>IF(ISBLANK(MEMBERS[[#This Row],[ServiceEndDate]]),0,IF(MEMBERS[[#This Row],[ServiceStartDate]]&lt;MEMBERS[[#This Row],[ServiceEndDate]],0,1))</f>
        <v>0</v>
      </c>
      <c r="G777" s="57" cm="1">
        <f t="array" aca="1" ref="G777" ca="1">IF(CELL("format",MEMBERS[[#This Row],[ServiceStartDate]])="D1",0,1)+IF(CELL("format",MEMBERS[[#This Row],[ServiceEndDate]])="D1",0,1)</f>
        <v>0</v>
      </c>
      <c r="H77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77" s="57">
        <f>IF(LEN(MEMBERS[[#This Row],[StaffMemberCode]])&lt;100,0,1)</f>
        <v>0</v>
      </c>
      <c r="J777" s="57">
        <f>IF(LEN(MEMBERS[[#This Row],[Title]])&lt;100,0,1)</f>
        <v>0</v>
      </c>
      <c r="K777" s="57">
        <f>COUNTBLANK(MEMBERS[[#This Row],[StaffMemberCode]:[ServiceStartDate]])+COUNTBLANK(MEMBERS[[#This Row],[Apprenticeship]]:MEMBERS[[#This Row],[StaffMemberEnabled]])+COUNTBLANK(MEMBERS[[#This Row],[GenderCode]]:MEMBERS[[#This Row],[Casual]])</f>
        <v>0</v>
      </c>
      <c r="L777" s="57">
        <f>IF(SUBSTITUTE(TEXT(MEMBERS[[#This Row],[StaffMemberCode]],10)," ","")=TEXT(MEMBERS[[#This Row],[StaffMemberCode]],10),0,1)</f>
        <v>0</v>
      </c>
      <c r="M777" s="57">
        <f ca="1">SUM(MEMBERS[[#This Row],[Duplicate NameService Start]:[Space in Code]])</f>
        <v>0</v>
      </c>
      <c r="O777" s="15">
        <v>91073599</v>
      </c>
      <c r="P777" s="15" t="s">
        <v>3440</v>
      </c>
      <c r="Q777" s="15" t="s">
        <v>3923</v>
      </c>
      <c r="R777" s="133" t="str">
        <f>MEMBERS[[#This Row],[FirstName]]&amp;" "&amp;MEMBERS[[#This Row],[LastName]]</f>
        <v>Thomas Gale</v>
      </c>
      <c r="S777" s="21">
        <v>44571</v>
      </c>
      <c r="U777" s="21">
        <v>38344</v>
      </c>
      <c r="V777" t="b">
        <v>0</v>
      </c>
      <c r="W777" t="b">
        <v>0</v>
      </c>
      <c r="X777" t="b">
        <v>0</v>
      </c>
      <c r="Y777" t="s">
        <v>2094</v>
      </c>
      <c r="Z777" t="b">
        <v>1</v>
      </c>
      <c r="AB777" t="s">
        <v>1572</v>
      </c>
      <c r="AC777" t="b">
        <v>1</v>
      </c>
    </row>
    <row r="778" spans="1:29" x14ac:dyDescent="0.3">
      <c r="A778" s="57" t="str">
        <f>MEMBERS[[#This Row],[Title]]&amp;MEMBERS[[#This Row],[ServiceStartDate]]</f>
        <v>Thomas Higinbotham45712</v>
      </c>
      <c r="B778" s="57">
        <f>IF(COUNTIF(MEMBERS[NameServiceStart],MEMBERS[[#This Row],[NameServiceStart]])=1,0,1)</f>
        <v>0</v>
      </c>
      <c r="C778" s="57">
        <f>IF(COUNTIF(MEMBERS[StaffMemberCode],MEMBERS[[#This Row],[StaffMemberCode]])=1,0,1)</f>
        <v>0</v>
      </c>
      <c r="D778" s="57">
        <f>IF(ISBLANK(MEMBERS[[#This Row],[PayrollLocation]]),0,IF(COUNTIF(SCHOOLS[SchoolCode],MEMBERS[[#This Row],[PayrollLocation]])=1,0,1))</f>
        <v>0</v>
      </c>
      <c r="E778" s="57">
        <f>IF(MEMBERS[[#This Row],[AvailableToAllSchools]]=FALSE,IF(ISBLANK(MEMBERS[[#This Row],[SchoolCodes]]),1,0),IF(MEMBERS[[#This Row],[AvailableToAllSchools]]=TRUE,IF(ISBLANK(MEMBERS[[#This Row],[SchoolCodes]]),0,1)))</f>
        <v>0</v>
      </c>
      <c r="F778" s="57">
        <f>IF(ISBLANK(MEMBERS[[#This Row],[ServiceEndDate]]),0,IF(MEMBERS[[#This Row],[ServiceStartDate]]&lt;MEMBERS[[#This Row],[ServiceEndDate]],0,1))</f>
        <v>0</v>
      </c>
      <c r="G778" s="57" cm="1">
        <f t="array" aca="1" ref="G778" ca="1">IF(CELL("format",MEMBERS[[#This Row],[ServiceStartDate]])="D1",0,1)+IF(CELL("format",MEMBERS[[#This Row],[ServiceEndDate]])="D1",0,1)</f>
        <v>0</v>
      </c>
      <c r="H77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78" s="57">
        <f>IF(LEN(MEMBERS[[#This Row],[StaffMemberCode]])&lt;100,0,1)</f>
        <v>0</v>
      </c>
      <c r="J778" s="57">
        <f>IF(LEN(MEMBERS[[#This Row],[Title]])&lt;100,0,1)</f>
        <v>0</v>
      </c>
      <c r="K778" s="57">
        <f>COUNTBLANK(MEMBERS[[#This Row],[StaffMemberCode]:[ServiceStartDate]])+COUNTBLANK(MEMBERS[[#This Row],[Apprenticeship]]:MEMBERS[[#This Row],[StaffMemberEnabled]])+COUNTBLANK(MEMBERS[[#This Row],[GenderCode]]:MEMBERS[[#This Row],[Casual]])</f>
        <v>0</v>
      </c>
      <c r="L778" s="57">
        <f>IF(SUBSTITUTE(TEXT(MEMBERS[[#This Row],[StaffMemberCode]],10)," ","")=TEXT(MEMBERS[[#This Row],[StaffMemberCode]],10),0,1)</f>
        <v>0</v>
      </c>
      <c r="M778" s="57">
        <f ca="1">SUM(MEMBERS[[#This Row],[Duplicate NameService Start]:[Space in Code]])</f>
        <v>0</v>
      </c>
      <c r="O778" s="15">
        <v>10015576</v>
      </c>
      <c r="P778" s="15" t="s">
        <v>3440</v>
      </c>
      <c r="Q778" s="15" t="s">
        <v>4141</v>
      </c>
      <c r="R778" s="133" t="str">
        <f>MEMBERS[[#This Row],[FirstName]]&amp;" "&amp;MEMBERS[[#This Row],[LastName]]</f>
        <v>Thomas Higinbotham</v>
      </c>
      <c r="S778" s="21">
        <v>45712</v>
      </c>
      <c r="U778" s="21">
        <v>36187</v>
      </c>
      <c r="V778" s="138" t="b">
        <v>0</v>
      </c>
      <c r="W778" t="b">
        <v>0</v>
      </c>
      <c r="X778" t="b">
        <v>0</v>
      </c>
      <c r="Y778" t="s">
        <v>2126</v>
      </c>
      <c r="Z778" t="b">
        <v>1</v>
      </c>
      <c r="AB778" t="s">
        <v>1572</v>
      </c>
      <c r="AC778" t="b">
        <v>0</v>
      </c>
    </row>
    <row r="779" spans="1:29" x14ac:dyDescent="0.3">
      <c r="A779" s="57" t="str">
        <f>MEMBERS[[#This Row],[Title]]&amp;MEMBERS[[#This Row],[ServiceStartDate]]</f>
        <v>Thomas Pyle45901</v>
      </c>
      <c r="B779" s="57">
        <f>IF(COUNTIF(MEMBERS[NameServiceStart],MEMBERS[[#This Row],[NameServiceStart]])=1,0,1)</f>
        <v>0</v>
      </c>
      <c r="C779" s="57">
        <f>IF(COUNTIF(MEMBERS[StaffMemberCode],MEMBERS[[#This Row],[StaffMemberCode]])=1,0,1)</f>
        <v>0</v>
      </c>
      <c r="D779" s="57">
        <f>IF(ISBLANK(MEMBERS[[#This Row],[PayrollLocation]]),0,IF(COUNTIF(SCHOOLS[SchoolCode],MEMBERS[[#This Row],[PayrollLocation]])=1,0,1))</f>
        <v>0</v>
      </c>
      <c r="E779" s="57">
        <f>IF(MEMBERS[[#This Row],[AvailableToAllSchools]]=FALSE,IF(ISBLANK(MEMBERS[[#This Row],[SchoolCodes]]),1,0),IF(MEMBERS[[#This Row],[AvailableToAllSchools]]=TRUE,IF(ISBLANK(MEMBERS[[#This Row],[SchoolCodes]]),0,1)))</f>
        <v>0</v>
      </c>
      <c r="F779" s="57">
        <f>IF(ISBLANK(MEMBERS[[#This Row],[ServiceEndDate]]),0,IF(MEMBERS[[#This Row],[ServiceStartDate]]&lt;MEMBERS[[#This Row],[ServiceEndDate]],0,1))</f>
        <v>0</v>
      </c>
      <c r="G779" s="57" cm="1">
        <f t="array" aca="1" ref="G779" ca="1">IF(CELL("format",MEMBERS[[#This Row],[ServiceStartDate]])="D1",0,1)+IF(CELL("format",MEMBERS[[#This Row],[ServiceEndDate]])="D1",0,1)</f>
        <v>0</v>
      </c>
      <c r="H77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79" s="57">
        <f>IF(LEN(MEMBERS[[#This Row],[StaffMemberCode]])&lt;100,0,1)</f>
        <v>0</v>
      </c>
      <c r="J779" s="57">
        <f>IF(LEN(MEMBERS[[#This Row],[Title]])&lt;100,0,1)</f>
        <v>0</v>
      </c>
      <c r="K779" s="57">
        <f>COUNTBLANK(MEMBERS[[#This Row],[StaffMemberCode]:[ServiceStartDate]])+COUNTBLANK(MEMBERS[[#This Row],[Apprenticeship]]:MEMBERS[[#This Row],[StaffMemberEnabled]])+COUNTBLANK(MEMBERS[[#This Row],[GenderCode]]:MEMBERS[[#This Row],[Casual]])</f>
        <v>0</v>
      </c>
      <c r="L779" s="57">
        <f>IF(SUBSTITUTE(TEXT(MEMBERS[[#This Row],[StaffMemberCode]],10)," ","")=TEXT(MEMBERS[[#This Row],[StaffMemberCode]],10),0,1)</f>
        <v>0</v>
      </c>
      <c r="M779" s="57">
        <f ca="1">SUM(MEMBERS[[#This Row],[Duplicate NameService Start]:[Space in Code]])</f>
        <v>0</v>
      </c>
      <c r="O779" s="15">
        <v>91850013</v>
      </c>
      <c r="P779" s="15" t="s">
        <v>3440</v>
      </c>
      <c r="Q779" s="15" t="s">
        <v>3924</v>
      </c>
      <c r="R779" s="133" t="str">
        <f>MEMBERS[[#This Row],[FirstName]]&amp;" "&amp;MEMBERS[[#This Row],[LastName]]</f>
        <v>Thomas Pyle</v>
      </c>
      <c r="S779" s="21">
        <v>45901</v>
      </c>
      <c r="U779" s="21">
        <v>37087</v>
      </c>
      <c r="V779" t="b">
        <v>0</v>
      </c>
      <c r="W779" t="b">
        <v>0</v>
      </c>
      <c r="X779" t="b">
        <v>0</v>
      </c>
      <c r="Y779" t="s">
        <v>2200</v>
      </c>
      <c r="Z779" t="b">
        <v>1</v>
      </c>
      <c r="AB779" t="s">
        <v>1571</v>
      </c>
      <c r="AC779" t="b">
        <v>0</v>
      </c>
    </row>
    <row r="780" spans="1:29" x14ac:dyDescent="0.3">
      <c r="A780" s="57" t="str">
        <f>MEMBERS[[#This Row],[Title]]&amp;MEMBERS[[#This Row],[ServiceStartDate]]</f>
        <v>Thomas Sims45778</v>
      </c>
      <c r="B780" s="57">
        <f>IF(COUNTIF(MEMBERS[NameServiceStart],MEMBERS[[#This Row],[NameServiceStart]])=1,0,1)</f>
        <v>0</v>
      </c>
      <c r="C780" s="57">
        <f>IF(COUNTIF(MEMBERS[StaffMemberCode],MEMBERS[[#This Row],[StaffMemberCode]])=1,0,1)</f>
        <v>0</v>
      </c>
      <c r="D780" s="57">
        <f>IF(ISBLANK(MEMBERS[[#This Row],[PayrollLocation]]),0,IF(COUNTIF(SCHOOLS[SchoolCode],MEMBERS[[#This Row],[PayrollLocation]])=1,0,1))</f>
        <v>0</v>
      </c>
      <c r="E780" s="57">
        <f>IF(MEMBERS[[#This Row],[AvailableToAllSchools]]=FALSE,IF(ISBLANK(MEMBERS[[#This Row],[SchoolCodes]]),1,0),IF(MEMBERS[[#This Row],[AvailableToAllSchools]]=TRUE,IF(ISBLANK(MEMBERS[[#This Row],[SchoolCodes]]),0,1)))</f>
        <v>0</v>
      </c>
      <c r="F780" s="57">
        <f>IF(ISBLANK(MEMBERS[[#This Row],[ServiceEndDate]]),0,IF(MEMBERS[[#This Row],[ServiceStartDate]]&lt;MEMBERS[[#This Row],[ServiceEndDate]],0,1))</f>
        <v>0</v>
      </c>
      <c r="G780" s="57" cm="1">
        <f t="array" aca="1" ref="G780" ca="1">IF(CELL("format",MEMBERS[[#This Row],[ServiceStartDate]])="D1",0,1)+IF(CELL("format",MEMBERS[[#This Row],[ServiceEndDate]])="D1",0,1)</f>
        <v>0</v>
      </c>
      <c r="H78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80" s="57">
        <f>IF(LEN(MEMBERS[[#This Row],[StaffMemberCode]])&lt;100,0,1)</f>
        <v>0</v>
      </c>
      <c r="J780" s="57">
        <f>IF(LEN(MEMBERS[[#This Row],[Title]])&lt;100,0,1)</f>
        <v>0</v>
      </c>
      <c r="K780" s="57">
        <f>COUNTBLANK(MEMBERS[[#This Row],[StaffMemberCode]:[ServiceStartDate]])+COUNTBLANK(MEMBERS[[#This Row],[Apprenticeship]]:MEMBERS[[#This Row],[StaffMemberEnabled]])+COUNTBLANK(MEMBERS[[#This Row],[GenderCode]]:MEMBERS[[#This Row],[Casual]])</f>
        <v>0</v>
      </c>
      <c r="L780" s="57">
        <f>IF(SUBSTITUTE(TEXT(MEMBERS[[#This Row],[StaffMemberCode]],10)," ","")=TEXT(MEMBERS[[#This Row],[StaffMemberCode]],10),0,1)</f>
        <v>0</v>
      </c>
      <c r="M780" s="57">
        <f ca="1">SUM(MEMBERS[[#This Row],[Duplicate NameService Start]:[Space in Code]])</f>
        <v>0</v>
      </c>
      <c r="O780" s="15">
        <v>91850054</v>
      </c>
      <c r="P780" s="15" t="s">
        <v>3440</v>
      </c>
      <c r="Q780" s="15" t="s">
        <v>3925</v>
      </c>
      <c r="R780" s="133" t="str">
        <f>MEMBERS[[#This Row],[FirstName]]&amp;" "&amp;MEMBERS[[#This Row],[LastName]]</f>
        <v>Thomas Sims</v>
      </c>
      <c r="S780" s="21">
        <v>45778</v>
      </c>
      <c r="U780" s="21">
        <v>36172</v>
      </c>
      <c r="V780" t="b">
        <v>0</v>
      </c>
      <c r="W780" t="b">
        <v>0</v>
      </c>
      <c r="X780" t="b">
        <v>0</v>
      </c>
      <c r="Y780" t="s">
        <v>2094</v>
      </c>
      <c r="Z780" t="b">
        <v>1</v>
      </c>
      <c r="AB780" t="s">
        <v>1572</v>
      </c>
      <c r="AC780" t="b">
        <v>0</v>
      </c>
    </row>
    <row r="781" spans="1:29" x14ac:dyDescent="0.3">
      <c r="A781" s="57" t="str">
        <f>MEMBERS[[#This Row],[Title]]&amp;MEMBERS[[#This Row],[ServiceStartDate]]</f>
        <v>Thomas Smith44570</v>
      </c>
      <c r="B781" s="57">
        <f>IF(COUNTIF(MEMBERS[NameServiceStart],MEMBERS[[#This Row],[NameServiceStart]])=1,0,1)</f>
        <v>0</v>
      </c>
      <c r="C781" s="57">
        <f>IF(COUNTIF(MEMBERS[StaffMemberCode],MEMBERS[[#This Row],[StaffMemberCode]])=1,0,1)</f>
        <v>0</v>
      </c>
      <c r="D781" s="57">
        <f>IF(ISBLANK(MEMBERS[[#This Row],[PayrollLocation]]),0,IF(COUNTIF(SCHOOLS[SchoolCode],MEMBERS[[#This Row],[PayrollLocation]])=1,0,1))</f>
        <v>0</v>
      </c>
      <c r="E781" s="57">
        <f>IF(MEMBERS[[#This Row],[AvailableToAllSchools]]=FALSE,IF(ISBLANK(MEMBERS[[#This Row],[SchoolCodes]]),1,0),IF(MEMBERS[[#This Row],[AvailableToAllSchools]]=TRUE,IF(ISBLANK(MEMBERS[[#This Row],[SchoolCodes]]),0,1)))</f>
        <v>0</v>
      </c>
      <c r="F781" s="57">
        <f>IF(ISBLANK(MEMBERS[[#This Row],[ServiceEndDate]]),0,IF(MEMBERS[[#This Row],[ServiceStartDate]]&lt;MEMBERS[[#This Row],[ServiceEndDate]],0,1))</f>
        <v>0</v>
      </c>
      <c r="G781" s="57" cm="1">
        <f t="array" aca="1" ref="G781" ca="1">IF(CELL("format",MEMBERS[[#This Row],[ServiceStartDate]])="D1",0,1)+IF(CELL("format",MEMBERS[[#This Row],[ServiceEndDate]])="D1",0,1)</f>
        <v>0</v>
      </c>
      <c r="H78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81" s="57">
        <f>IF(LEN(MEMBERS[[#This Row],[StaffMemberCode]])&lt;100,0,1)</f>
        <v>0</v>
      </c>
      <c r="J781" s="57">
        <f>IF(LEN(MEMBERS[[#This Row],[Title]])&lt;100,0,1)</f>
        <v>0</v>
      </c>
      <c r="K781" s="57">
        <f>COUNTBLANK(MEMBERS[[#This Row],[StaffMemberCode]:[ServiceStartDate]])+COUNTBLANK(MEMBERS[[#This Row],[Apprenticeship]]:MEMBERS[[#This Row],[StaffMemberEnabled]])+COUNTBLANK(MEMBERS[[#This Row],[GenderCode]]:MEMBERS[[#This Row],[Casual]])</f>
        <v>0</v>
      </c>
      <c r="L781" s="57">
        <f>IF(SUBSTITUTE(TEXT(MEMBERS[[#This Row],[StaffMemberCode]],10)," ","")=TEXT(MEMBERS[[#This Row],[StaffMemberCode]],10),0,1)</f>
        <v>0</v>
      </c>
      <c r="M781" s="57">
        <f ca="1">SUM(MEMBERS[[#This Row],[Duplicate NameService Start]:[Space in Code]])</f>
        <v>0</v>
      </c>
      <c r="O781" s="15">
        <v>91073814</v>
      </c>
      <c r="P781" s="15" t="s">
        <v>3440</v>
      </c>
      <c r="Q781" s="15" t="s">
        <v>3516</v>
      </c>
      <c r="R781" s="133" t="str">
        <f>MEMBERS[[#This Row],[FirstName]]&amp;" "&amp;MEMBERS[[#This Row],[LastName]]</f>
        <v>Thomas Smith</v>
      </c>
      <c r="S781" s="21">
        <v>44570</v>
      </c>
      <c r="U781" s="21">
        <v>36440</v>
      </c>
      <c r="V781" t="b">
        <v>0</v>
      </c>
      <c r="W781" t="b">
        <v>0</v>
      </c>
      <c r="X781" t="b">
        <v>0</v>
      </c>
      <c r="Y781" t="s">
        <v>2082</v>
      </c>
      <c r="Z781" t="b">
        <v>1</v>
      </c>
      <c r="AB781" t="s">
        <v>1572</v>
      </c>
      <c r="AC781" t="b">
        <v>0</v>
      </c>
    </row>
    <row r="782" spans="1:29" x14ac:dyDescent="0.3">
      <c r="A782" s="57" t="str">
        <f>MEMBERS[[#This Row],[Title]]&amp;MEMBERS[[#This Row],[ServiceStartDate]]</f>
        <v>Thomas West45859</v>
      </c>
      <c r="B782" s="57">
        <f>IF(COUNTIF(MEMBERS[NameServiceStart],MEMBERS[[#This Row],[NameServiceStart]])=1,0,1)</f>
        <v>0</v>
      </c>
      <c r="C782" s="57">
        <f>IF(COUNTIF(MEMBERS[StaffMemberCode],MEMBERS[[#This Row],[StaffMemberCode]])=1,0,1)</f>
        <v>0</v>
      </c>
      <c r="D782" s="57">
        <f>IF(ISBLANK(MEMBERS[[#This Row],[PayrollLocation]]),0,IF(COUNTIF(SCHOOLS[SchoolCode],MEMBERS[[#This Row],[PayrollLocation]])=1,0,1))</f>
        <v>0</v>
      </c>
      <c r="E782" s="57">
        <f>IF(MEMBERS[[#This Row],[AvailableToAllSchools]]=FALSE,IF(ISBLANK(MEMBERS[[#This Row],[SchoolCodes]]),1,0),IF(MEMBERS[[#This Row],[AvailableToAllSchools]]=TRUE,IF(ISBLANK(MEMBERS[[#This Row],[SchoolCodes]]),0,1)))</f>
        <v>0</v>
      </c>
      <c r="F782" s="57">
        <f>IF(ISBLANK(MEMBERS[[#This Row],[ServiceEndDate]]),0,IF(MEMBERS[[#This Row],[ServiceStartDate]]&lt;MEMBERS[[#This Row],[ServiceEndDate]],0,1))</f>
        <v>0</v>
      </c>
      <c r="G782" s="57" cm="1">
        <f t="array" aca="1" ref="G782" ca="1">IF(CELL("format",MEMBERS[[#This Row],[ServiceStartDate]])="D1",0,1)+IF(CELL("format",MEMBERS[[#This Row],[ServiceEndDate]])="D1",0,1)</f>
        <v>0</v>
      </c>
      <c r="H78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82" s="57">
        <f>IF(LEN(MEMBERS[[#This Row],[StaffMemberCode]])&lt;100,0,1)</f>
        <v>0</v>
      </c>
      <c r="J782" s="57">
        <f>IF(LEN(MEMBERS[[#This Row],[Title]])&lt;100,0,1)</f>
        <v>0</v>
      </c>
      <c r="K782" s="57">
        <f>COUNTBLANK(MEMBERS[[#This Row],[StaffMemberCode]:[ServiceStartDate]])+COUNTBLANK(MEMBERS[[#This Row],[Apprenticeship]]:MEMBERS[[#This Row],[StaffMemberEnabled]])+COUNTBLANK(MEMBERS[[#This Row],[GenderCode]]:MEMBERS[[#This Row],[Casual]])</f>
        <v>0</v>
      </c>
      <c r="L782" s="57">
        <f>IF(SUBSTITUTE(TEXT(MEMBERS[[#This Row],[StaffMemberCode]],10)," ","")=TEXT(MEMBERS[[#This Row],[StaffMemberCode]],10),0,1)</f>
        <v>0</v>
      </c>
      <c r="M782" s="57">
        <f ca="1">SUM(MEMBERS[[#This Row],[Duplicate NameService Start]:[Space in Code]])</f>
        <v>0</v>
      </c>
      <c r="O782" s="15">
        <v>10016184</v>
      </c>
      <c r="P782" s="15" t="s">
        <v>3440</v>
      </c>
      <c r="Q782" s="15" t="s">
        <v>4142</v>
      </c>
      <c r="R782" s="133" t="str">
        <f>MEMBERS[[#This Row],[FirstName]]&amp;" "&amp;MEMBERS[[#This Row],[LastName]]</f>
        <v>Thomas West</v>
      </c>
      <c r="S782" s="21">
        <v>45859</v>
      </c>
      <c r="U782" s="21">
        <v>39885</v>
      </c>
      <c r="V782" s="138" t="b">
        <v>0</v>
      </c>
      <c r="W782" t="b">
        <v>0</v>
      </c>
      <c r="X782" t="b">
        <v>0</v>
      </c>
      <c r="Y782" t="s">
        <v>2126</v>
      </c>
      <c r="Z782" t="b">
        <v>1</v>
      </c>
      <c r="AB782" t="s">
        <v>1572</v>
      </c>
      <c r="AC782" t="b">
        <v>1</v>
      </c>
    </row>
    <row r="783" spans="1:29" x14ac:dyDescent="0.3">
      <c r="A783" s="57" t="str">
        <f>MEMBERS[[#This Row],[Title]]&amp;MEMBERS[[#This Row],[ServiceStartDate]]</f>
        <v>Timothy Maclellan40187</v>
      </c>
      <c r="B783" s="57">
        <f>IF(COUNTIF(MEMBERS[NameServiceStart],MEMBERS[[#This Row],[NameServiceStart]])=1,0,1)</f>
        <v>0</v>
      </c>
      <c r="C783" s="57">
        <f>IF(COUNTIF(MEMBERS[StaffMemberCode],MEMBERS[[#This Row],[StaffMemberCode]])=1,0,1)</f>
        <v>0</v>
      </c>
      <c r="D783" s="57">
        <f>IF(ISBLANK(MEMBERS[[#This Row],[PayrollLocation]]),0,IF(COUNTIF(SCHOOLS[SchoolCode],MEMBERS[[#This Row],[PayrollLocation]])=1,0,1))</f>
        <v>0</v>
      </c>
      <c r="E783" s="57">
        <f>IF(MEMBERS[[#This Row],[AvailableToAllSchools]]=FALSE,IF(ISBLANK(MEMBERS[[#This Row],[SchoolCodes]]),1,0),IF(MEMBERS[[#This Row],[AvailableToAllSchools]]=TRUE,IF(ISBLANK(MEMBERS[[#This Row],[SchoolCodes]]),0,1)))</f>
        <v>0</v>
      </c>
      <c r="F783" s="57">
        <f>IF(ISBLANK(MEMBERS[[#This Row],[ServiceEndDate]]),0,IF(MEMBERS[[#This Row],[ServiceStartDate]]&lt;MEMBERS[[#This Row],[ServiceEndDate]],0,1))</f>
        <v>0</v>
      </c>
      <c r="G783" s="57" cm="1">
        <f t="array" aca="1" ref="G783" ca="1">IF(CELL("format",MEMBERS[[#This Row],[ServiceStartDate]])="D1",0,1)+IF(CELL("format",MEMBERS[[#This Row],[ServiceEndDate]])="D1",0,1)</f>
        <v>0</v>
      </c>
      <c r="H78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83" s="57">
        <f>IF(LEN(MEMBERS[[#This Row],[StaffMemberCode]])&lt;100,0,1)</f>
        <v>0</v>
      </c>
      <c r="J783" s="57">
        <f>IF(LEN(MEMBERS[[#This Row],[Title]])&lt;100,0,1)</f>
        <v>0</v>
      </c>
      <c r="K783" s="57">
        <f>COUNTBLANK(MEMBERS[[#This Row],[StaffMemberCode]:[ServiceStartDate]])+COUNTBLANK(MEMBERS[[#This Row],[Apprenticeship]]:MEMBERS[[#This Row],[StaffMemberEnabled]])+COUNTBLANK(MEMBERS[[#This Row],[GenderCode]]:MEMBERS[[#This Row],[Casual]])</f>
        <v>0</v>
      </c>
      <c r="L783" s="57">
        <f>IF(SUBSTITUTE(TEXT(MEMBERS[[#This Row],[StaffMemberCode]],10)," ","")=TEXT(MEMBERS[[#This Row],[StaffMemberCode]],10),0,1)</f>
        <v>0</v>
      </c>
      <c r="M783" s="57">
        <f ca="1">SUM(MEMBERS[[#This Row],[Duplicate NameService Start]:[Space in Code]])</f>
        <v>0</v>
      </c>
      <c r="O783" s="15">
        <v>91073477</v>
      </c>
      <c r="P783" s="15" t="s">
        <v>3441</v>
      </c>
      <c r="Q783" s="15" t="s">
        <v>3722</v>
      </c>
      <c r="R783" s="133" t="str">
        <f>MEMBERS[[#This Row],[FirstName]]&amp;" "&amp;MEMBERS[[#This Row],[LastName]]</f>
        <v>Timothy Maclellan</v>
      </c>
      <c r="S783" s="21">
        <v>40187</v>
      </c>
      <c r="U783" s="21">
        <v>30340</v>
      </c>
      <c r="V783" t="b">
        <v>0</v>
      </c>
      <c r="W783" t="b">
        <v>0</v>
      </c>
      <c r="X783" t="b">
        <v>0</v>
      </c>
      <c r="Y783" t="s">
        <v>2094</v>
      </c>
      <c r="Z783" t="b">
        <v>1</v>
      </c>
      <c r="AB783" t="s">
        <v>1572</v>
      </c>
      <c r="AC783" t="b">
        <v>0</v>
      </c>
    </row>
    <row r="784" spans="1:29" x14ac:dyDescent="0.3">
      <c r="A784" s="57" t="str">
        <f>MEMBERS[[#This Row],[Title]]&amp;MEMBERS[[#This Row],[ServiceStartDate]]</f>
        <v>Tina Baker38530</v>
      </c>
      <c r="B784" s="57">
        <f>IF(COUNTIF(MEMBERS[NameServiceStart],MEMBERS[[#This Row],[NameServiceStart]])=1,0,1)</f>
        <v>0</v>
      </c>
      <c r="C784" s="57">
        <f>IF(COUNTIF(MEMBERS[StaffMemberCode],MEMBERS[[#This Row],[StaffMemberCode]])=1,0,1)</f>
        <v>0</v>
      </c>
      <c r="D784" s="57">
        <f>IF(ISBLANK(MEMBERS[[#This Row],[PayrollLocation]]),0,IF(COUNTIF(SCHOOLS[SchoolCode],MEMBERS[[#This Row],[PayrollLocation]])=1,0,1))</f>
        <v>0</v>
      </c>
      <c r="E784" s="57">
        <f>IF(MEMBERS[[#This Row],[AvailableToAllSchools]]=FALSE,IF(ISBLANK(MEMBERS[[#This Row],[SchoolCodes]]),1,0),IF(MEMBERS[[#This Row],[AvailableToAllSchools]]=TRUE,IF(ISBLANK(MEMBERS[[#This Row],[SchoolCodes]]),0,1)))</f>
        <v>0</v>
      </c>
      <c r="F784" s="57">
        <f>IF(ISBLANK(MEMBERS[[#This Row],[ServiceEndDate]]),0,IF(MEMBERS[[#This Row],[ServiceStartDate]]&lt;MEMBERS[[#This Row],[ServiceEndDate]],0,1))</f>
        <v>0</v>
      </c>
      <c r="G784" s="57" cm="1">
        <f t="array" aca="1" ref="G784" ca="1">IF(CELL("format",MEMBERS[[#This Row],[ServiceStartDate]])="D1",0,1)+IF(CELL("format",MEMBERS[[#This Row],[ServiceEndDate]])="D1",0,1)</f>
        <v>0</v>
      </c>
      <c r="H78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84" s="57">
        <f>IF(LEN(MEMBERS[[#This Row],[StaffMemberCode]])&lt;100,0,1)</f>
        <v>0</v>
      </c>
      <c r="J784" s="57">
        <f>IF(LEN(MEMBERS[[#This Row],[Title]])&lt;100,0,1)</f>
        <v>0</v>
      </c>
      <c r="K784" s="57">
        <f>COUNTBLANK(MEMBERS[[#This Row],[StaffMemberCode]:[ServiceStartDate]])+COUNTBLANK(MEMBERS[[#This Row],[Apprenticeship]]:MEMBERS[[#This Row],[StaffMemberEnabled]])+COUNTBLANK(MEMBERS[[#This Row],[GenderCode]]:MEMBERS[[#This Row],[Casual]])</f>
        <v>0</v>
      </c>
      <c r="L784" s="57">
        <f>IF(SUBSTITUTE(TEXT(MEMBERS[[#This Row],[StaffMemberCode]],10)," ","")=TEXT(MEMBERS[[#This Row],[StaffMemberCode]],10),0,1)</f>
        <v>0</v>
      </c>
      <c r="M784" s="57">
        <f ca="1">SUM(MEMBERS[[#This Row],[Duplicate NameService Start]:[Space in Code]])</f>
        <v>0</v>
      </c>
      <c r="O784" s="15">
        <v>10005304</v>
      </c>
      <c r="P784" s="15" t="s">
        <v>3442</v>
      </c>
      <c r="Q784" s="15" t="s">
        <v>3686</v>
      </c>
      <c r="R784" s="133" t="str">
        <f>MEMBERS[[#This Row],[FirstName]]&amp;" "&amp;MEMBERS[[#This Row],[LastName]]</f>
        <v>Tina Baker</v>
      </c>
      <c r="S784" s="21">
        <v>38530</v>
      </c>
      <c r="U784" s="21">
        <v>26965</v>
      </c>
      <c r="V784" s="138" t="b">
        <v>0</v>
      </c>
      <c r="W784" t="b">
        <v>0</v>
      </c>
      <c r="X784" t="b">
        <v>0</v>
      </c>
      <c r="Y784" t="s">
        <v>2126</v>
      </c>
      <c r="Z784" t="b">
        <v>1</v>
      </c>
      <c r="AB784" t="s">
        <v>1571</v>
      </c>
      <c r="AC784" t="b">
        <v>0</v>
      </c>
    </row>
    <row r="785" spans="1:29" x14ac:dyDescent="0.3">
      <c r="A785" s="57" t="str">
        <f>MEMBERS[[#This Row],[Title]]&amp;MEMBERS[[#This Row],[ServiceStartDate]]</f>
        <v>Tina Ralph44287</v>
      </c>
      <c r="B785" s="57">
        <f>IF(COUNTIF(MEMBERS[NameServiceStart],MEMBERS[[#This Row],[NameServiceStart]])=1,0,1)</f>
        <v>0</v>
      </c>
      <c r="C785" s="57">
        <f>IF(COUNTIF(MEMBERS[StaffMemberCode],MEMBERS[[#This Row],[StaffMemberCode]])=1,0,1)</f>
        <v>0</v>
      </c>
      <c r="D785" s="57">
        <f>IF(ISBLANK(MEMBERS[[#This Row],[PayrollLocation]]),0,IF(COUNTIF(SCHOOLS[SchoolCode],MEMBERS[[#This Row],[PayrollLocation]])=1,0,1))</f>
        <v>0</v>
      </c>
      <c r="E785" s="57">
        <f>IF(MEMBERS[[#This Row],[AvailableToAllSchools]]=FALSE,IF(ISBLANK(MEMBERS[[#This Row],[SchoolCodes]]),1,0),IF(MEMBERS[[#This Row],[AvailableToAllSchools]]=TRUE,IF(ISBLANK(MEMBERS[[#This Row],[SchoolCodes]]),0,1)))</f>
        <v>0</v>
      </c>
      <c r="F785" s="57">
        <f>IF(ISBLANK(MEMBERS[[#This Row],[ServiceEndDate]]),0,IF(MEMBERS[[#This Row],[ServiceStartDate]]&lt;MEMBERS[[#This Row],[ServiceEndDate]],0,1))</f>
        <v>0</v>
      </c>
      <c r="G785" s="57" cm="1">
        <f t="array" aca="1" ref="G785" ca="1">IF(CELL("format",MEMBERS[[#This Row],[ServiceStartDate]])="D1",0,1)+IF(CELL("format",MEMBERS[[#This Row],[ServiceEndDate]])="D1",0,1)</f>
        <v>0</v>
      </c>
      <c r="H78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85" s="57">
        <f>IF(LEN(MEMBERS[[#This Row],[StaffMemberCode]])&lt;100,0,1)</f>
        <v>0</v>
      </c>
      <c r="J785" s="57">
        <f>IF(LEN(MEMBERS[[#This Row],[Title]])&lt;100,0,1)</f>
        <v>0</v>
      </c>
      <c r="K785" s="57">
        <f>COUNTBLANK(MEMBERS[[#This Row],[StaffMemberCode]:[ServiceStartDate]])+COUNTBLANK(MEMBERS[[#This Row],[Apprenticeship]]:MEMBERS[[#This Row],[StaffMemberEnabled]])+COUNTBLANK(MEMBERS[[#This Row],[GenderCode]]:MEMBERS[[#This Row],[Casual]])</f>
        <v>0</v>
      </c>
      <c r="L785" s="57">
        <f>IF(SUBSTITUTE(TEXT(MEMBERS[[#This Row],[StaffMemberCode]],10)," ","")=TEXT(MEMBERS[[#This Row],[StaffMemberCode]],10),0,1)</f>
        <v>0</v>
      </c>
      <c r="M785" s="57">
        <f ca="1">SUM(MEMBERS[[#This Row],[Duplicate NameService Start]:[Space in Code]])</f>
        <v>0</v>
      </c>
      <c r="O785" s="15">
        <v>91073529</v>
      </c>
      <c r="P785" s="15" t="s">
        <v>3442</v>
      </c>
      <c r="Q785" s="15" t="s">
        <v>3926</v>
      </c>
      <c r="R785" s="133" t="str">
        <f>MEMBERS[[#This Row],[FirstName]]&amp;" "&amp;MEMBERS[[#This Row],[LastName]]</f>
        <v>Tina Ralph</v>
      </c>
      <c r="S785" s="21">
        <v>44287</v>
      </c>
      <c r="U785" s="21">
        <v>23690</v>
      </c>
      <c r="V785" t="b">
        <v>0</v>
      </c>
      <c r="W785" t="b">
        <v>0</v>
      </c>
      <c r="X785" t="b">
        <v>0</v>
      </c>
      <c r="Y785" t="s">
        <v>2094</v>
      </c>
      <c r="Z785" t="b">
        <v>1</v>
      </c>
      <c r="AB785" t="s">
        <v>1571</v>
      </c>
      <c r="AC785" t="b">
        <v>1</v>
      </c>
    </row>
    <row r="786" spans="1:29" x14ac:dyDescent="0.3">
      <c r="A786" s="57" t="str">
        <f>MEMBERS[[#This Row],[Title]]&amp;MEMBERS[[#This Row],[ServiceStartDate]]</f>
        <v>Toby Ward42013</v>
      </c>
      <c r="B786" s="57">
        <f>IF(COUNTIF(MEMBERS[NameServiceStart],MEMBERS[[#This Row],[NameServiceStart]])=1,0,1)</f>
        <v>0</v>
      </c>
      <c r="C786" s="57">
        <f>IF(COUNTIF(MEMBERS[StaffMemberCode],MEMBERS[[#This Row],[StaffMemberCode]])=1,0,1)</f>
        <v>0</v>
      </c>
      <c r="D786" s="57">
        <f>IF(ISBLANK(MEMBERS[[#This Row],[PayrollLocation]]),0,IF(COUNTIF(SCHOOLS[SchoolCode],MEMBERS[[#This Row],[PayrollLocation]])=1,0,1))</f>
        <v>0</v>
      </c>
      <c r="E786" s="57">
        <f>IF(MEMBERS[[#This Row],[AvailableToAllSchools]]=FALSE,IF(ISBLANK(MEMBERS[[#This Row],[SchoolCodes]]),1,0),IF(MEMBERS[[#This Row],[AvailableToAllSchools]]=TRUE,IF(ISBLANK(MEMBERS[[#This Row],[SchoolCodes]]),0,1)))</f>
        <v>0</v>
      </c>
      <c r="F786" s="57">
        <f>IF(ISBLANK(MEMBERS[[#This Row],[ServiceEndDate]]),0,IF(MEMBERS[[#This Row],[ServiceStartDate]]&lt;MEMBERS[[#This Row],[ServiceEndDate]],0,1))</f>
        <v>0</v>
      </c>
      <c r="G786" s="57" cm="1">
        <f t="array" aca="1" ref="G786" ca="1">IF(CELL("format",MEMBERS[[#This Row],[ServiceStartDate]])="D1",0,1)+IF(CELL("format",MEMBERS[[#This Row],[ServiceEndDate]])="D1",0,1)</f>
        <v>0</v>
      </c>
      <c r="H78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86" s="57">
        <f>IF(LEN(MEMBERS[[#This Row],[StaffMemberCode]])&lt;100,0,1)</f>
        <v>0</v>
      </c>
      <c r="J786" s="57">
        <f>IF(LEN(MEMBERS[[#This Row],[Title]])&lt;100,0,1)</f>
        <v>0</v>
      </c>
      <c r="K786" s="57">
        <f>COUNTBLANK(MEMBERS[[#This Row],[StaffMemberCode]:[ServiceStartDate]])+COUNTBLANK(MEMBERS[[#This Row],[Apprenticeship]]:MEMBERS[[#This Row],[StaffMemberEnabled]])+COUNTBLANK(MEMBERS[[#This Row],[GenderCode]]:MEMBERS[[#This Row],[Casual]])</f>
        <v>0</v>
      </c>
      <c r="L786" s="57">
        <f>IF(SUBSTITUTE(TEXT(MEMBERS[[#This Row],[StaffMemberCode]],10)," ","")=TEXT(MEMBERS[[#This Row],[StaffMemberCode]],10),0,1)</f>
        <v>0</v>
      </c>
      <c r="M786" s="57">
        <f ca="1">SUM(MEMBERS[[#This Row],[Duplicate NameService Start]:[Space in Code]])</f>
        <v>0</v>
      </c>
      <c r="O786" s="15">
        <v>91073581</v>
      </c>
      <c r="P786" s="15" t="s">
        <v>3443</v>
      </c>
      <c r="Q786" s="15" t="s">
        <v>3868</v>
      </c>
      <c r="R786" s="133" t="str">
        <f>MEMBERS[[#This Row],[FirstName]]&amp;" "&amp;MEMBERS[[#This Row],[LastName]]</f>
        <v>Toby Ward</v>
      </c>
      <c r="S786" s="21">
        <v>42013</v>
      </c>
      <c r="U786" s="21">
        <v>32088</v>
      </c>
      <c r="V786" t="b">
        <v>0</v>
      </c>
      <c r="W786" t="b">
        <v>0</v>
      </c>
      <c r="X786" t="b">
        <v>0</v>
      </c>
      <c r="Y786" t="s">
        <v>2094</v>
      </c>
      <c r="Z786" t="b">
        <v>1</v>
      </c>
      <c r="AB786" t="s">
        <v>1572</v>
      </c>
      <c r="AC786" t="b">
        <v>0</v>
      </c>
    </row>
    <row r="787" spans="1:29" x14ac:dyDescent="0.3">
      <c r="A787" s="57" t="str">
        <f>MEMBERS[[#This Row],[Title]]&amp;MEMBERS[[#This Row],[ServiceStartDate]]</f>
        <v>Toni Brookshaw39091</v>
      </c>
      <c r="B787" s="57">
        <f>IF(COUNTIF(MEMBERS[NameServiceStart],MEMBERS[[#This Row],[NameServiceStart]])=1,0,1)</f>
        <v>0</v>
      </c>
      <c r="C787" s="57">
        <f>IF(COUNTIF(MEMBERS[StaffMemberCode],MEMBERS[[#This Row],[StaffMemberCode]])=1,0,1)</f>
        <v>0</v>
      </c>
      <c r="D787" s="57">
        <f>IF(ISBLANK(MEMBERS[[#This Row],[PayrollLocation]]),0,IF(COUNTIF(SCHOOLS[SchoolCode],MEMBERS[[#This Row],[PayrollLocation]])=1,0,1))</f>
        <v>0</v>
      </c>
      <c r="E787" s="57">
        <f>IF(MEMBERS[[#This Row],[AvailableToAllSchools]]=FALSE,IF(ISBLANK(MEMBERS[[#This Row],[SchoolCodes]]),1,0),IF(MEMBERS[[#This Row],[AvailableToAllSchools]]=TRUE,IF(ISBLANK(MEMBERS[[#This Row],[SchoolCodes]]),0,1)))</f>
        <v>0</v>
      </c>
      <c r="F787" s="57">
        <f>IF(ISBLANK(MEMBERS[[#This Row],[ServiceEndDate]]),0,IF(MEMBERS[[#This Row],[ServiceStartDate]]&lt;MEMBERS[[#This Row],[ServiceEndDate]],0,1))</f>
        <v>0</v>
      </c>
      <c r="G787" s="57" cm="1">
        <f t="array" aca="1" ref="G787" ca="1">IF(CELL("format",MEMBERS[[#This Row],[ServiceStartDate]])="D1",0,1)+IF(CELL("format",MEMBERS[[#This Row],[ServiceEndDate]])="D1",0,1)</f>
        <v>0</v>
      </c>
      <c r="H78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87" s="57">
        <f>IF(LEN(MEMBERS[[#This Row],[StaffMemberCode]])&lt;100,0,1)</f>
        <v>0</v>
      </c>
      <c r="J787" s="57">
        <f>IF(LEN(MEMBERS[[#This Row],[Title]])&lt;100,0,1)</f>
        <v>0</v>
      </c>
      <c r="K787" s="57">
        <f>COUNTBLANK(MEMBERS[[#This Row],[StaffMemberCode]:[ServiceStartDate]])+COUNTBLANK(MEMBERS[[#This Row],[Apprenticeship]]:MEMBERS[[#This Row],[StaffMemberEnabled]])+COUNTBLANK(MEMBERS[[#This Row],[GenderCode]]:MEMBERS[[#This Row],[Casual]])</f>
        <v>0</v>
      </c>
      <c r="L787" s="57">
        <f>IF(SUBSTITUTE(TEXT(MEMBERS[[#This Row],[StaffMemberCode]],10)," ","")=TEXT(MEMBERS[[#This Row],[StaffMemberCode]],10),0,1)</f>
        <v>0</v>
      </c>
      <c r="M787" s="57">
        <f ca="1">SUM(MEMBERS[[#This Row],[Duplicate NameService Start]:[Space in Code]])</f>
        <v>0</v>
      </c>
      <c r="O787" s="15">
        <v>91073686</v>
      </c>
      <c r="P787" s="15" t="s">
        <v>3444</v>
      </c>
      <c r="Q787" s="15" t="s">
        <v>3927</v>
      </c>
      <c r="R787" s="133" t="str">
        <f>MEMBERS[[#This Row],[FirstName]]&amp;" "&amp;MEMBERS[[#This Row],[LastName]]</f>
        <v>Toni Brookshaw</v>
      </c>
      <c r="S787" s="21">
        <v>39091</v>
      </c>
      <c r="U787" s="21">
        <v>30146</v>
      </c>
      <c r="V787" t="b">
        <v>0</v>
      </c>
      <c r="W787" t="b">
        <v>0</v>
      </c>
      <c r="X787" t="b">
        <v>0</v>
      </c>
      <c r="Y787" t="s">
        <v>2082</v>
      </c>
      <c r="Z787" t="b">
        <v>1</v>
      </c>
      <c r="AB787" t="s">
        <v>1571</v>
      </c>
      <c r="AC787" t="b">
        <v>0</v>
      </c>
    </row>
    <row r="788" spans="1:29" x14ac:dyDescent="0.3">
      <c r="A788" s="57" t="str">
        <f>MEMBERS[[#This Row],[Title]]&amp;MEMBERS[[#This Row],[ServiceStartDate]]</f>
        <v>Tony Leigh45565</v>
      </c>
      <c r="B788" s="57">
        <f>IF(COUNTIF(MEMBERS[NameServiceStart],MEMBERS[[#This Row],[NameServiceStart]])=1,0,1)</f>
        <v>0</v>
      </c>
      <c r="C788" s="57">
        <f>IF(COUNTIF(MEMBERS[StaffMemberCode],MEMBERS[[#This Row],[StaffMemberCode]])=1,0,1)</f>
        <v>0</v>
      </c>
      <c r="D788" s="57">
        <f>IF(ISBLANK(MEMBERS[[#This Row],[PayrollLocation]]),0,IF(COUNTIF(SCHOOLS[SchoolCode],MEMBERS[[#This Row],[PayrollLocation]])=1,0,1))</f>
        <v>0</v>
      </c>
      <c r="E788" s="57">
        <f>IF(MEMBERS[[#This Row],[AvailableToAllSchools]]=FALSE,IF(ISBLANK(MEMBERS[[#This Row],[SchoolCodes]]),1,0),IF(MEMBERS[[#This Row],[AvailableToAllSchools]]=TRUE,IF(ISBLANK(MEMBERS[[#This Row],[SchoolCodes]]),0,1)))</f>
        <v>0</v>
      </c>
      <c r="F788" s="57">
        <f>IF(ISBLANK(MEMBERS[[#This Row],[ServiceEndDate]]),0,IF(MEMBERS[[#This Row],[ServiceStartDate]]&lt;MEMBERS[[#This Row],[ServiceEndDate]],0,1))</f>
        <v>0</v>
      </c>
      <c r="G788" s="57" cm="1">
        <f t="array" aca="1" ref="G788" ca="1">IF(CELL("format",MEMBERS[[#This Row],[ServiceStartDate]])="D1",0,1)+IF(CELL("format",MEMBERS[[#This Row],[ServiceEndDate]])="D1",0,1)</f>
        <v>0</v>
      </c>
      <c r="H78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88" s="57">
        <f>IF(LEN(MEMBERS[[#This Row],[StaffMemberCode]])&lt;100,0,1)</f>
        <v>0</v>
      </c>
      <c r="J788" s="57">
        <f>IF(LEN(MEMBERS[[#This Row],[Title]])&lt;100,0,1)</f>
        <v>0</v>
      </c>
      <c r="K788" s="57">
        <f>COUNTBLANK(MEMBERS[[#This Row],[StaffMemberCode]:[ServiceStartDate]])+COUNTBLANK(MEMBERS[[#This Row],[Apprenticeship]]:MEMBERS[[#This Row],[StaffMemberEnabled]])+COUNTBLANK(MEMBERS[[#This Row],[GenderCode]]:MEMBERS[[#This Row],[Casual]])</f>
        <v>0</v>
      </c>
      <c r="L788" s="57">
        <f>IF(SUBSTITUTE(TEXT(MEMBERS[[#This Row],[StaffMemberCode]],10)," ","")=TEXT(MEMBERS[[#This Row],[StaffMemberCode]],10),0,1)</f>
        <v>0</v>
      </c>
      <c r="M788" s="57">
        <f ca="1">SUM(MEMBERS[[#This Row],[Duplicate NameService Start]:[Space in Code]])</f>
        <v>0</v>
      </c>
      <c r="O788" s="15">
        <v>10014598</v>
      </c>
      <c r="P788" s="15" t="s">
        <v>4012</v>
      </c>
      <c r="Q788" s="15" t="s">
        <v>4143</v>
      </c>
      <c r="R788" s="133" t="str">
        <f>MEMBERS[[#This Row],[FirstName]]&amp;" "&amp;MEMBERS[[#This Row],[LastName]]</f>
        <v>Tony Leigh</v>
      </c>
      <c r="S788" s="21">
        <v>45565</v>
      </c>
      <c r="U788" s="21">
        <v>24103</v>
      </c>
      <c r="V788" s="138" t="b">
        <v>0</v>
      </c>
      <c r="W788" t="b">
        <v>0</v>
      </c>
      <c r="X788" t="b">
        <v>0</v>
      </c>
      <c r="Y788" t="s">
        <v>2126</v>
      </c>
      <c r="Z788" t="b">
        <v>1</v>
      </c>
      <c r="AB788" t="s">
        <v>1572</v>
      </c>
      <c r="AC788" t="b">
        <v>0</v>
      </c>
    </row>
    <row r="789" spans="1:29" x14ac:dyDescent="0.3">
      <c r="A789" s="57" t="str">
        <f>MEMBERS[[#This Row],[Title]]&amp;MEMBERS[[#This Row],[ServiceStartDate]]</f>
        <v>Tracey Atkins45488</v>
      </c>
      <c r="B789" s="57">
        <f>IF(COUNTIF(MEMBERS[NameServiceStart],MEMBERS[[#This Row],[NameServiceStart]])=1,0,1)</f>
        <v>0</v>
      </c>
      <c r="C789" s="57">
        <f>IF(COUNTIF(MEMBERS[StaffMemberCode],MEMBERS[[#This Row],[StaffMemberCode]])=1,0,1)</f>
        <v>0</v>
      </c>
      <c r="D789" s="57">
        <f>IF(ISBLANK(MEMBERS[[#This Row],[PayrollLocation]]),0,IF(COUNTIF(SCHOOLS[SchoolCode],MEMBERS[[#This Row],[PayrollLocation]])=1,0,1))</f>
        <v>0</v>
      </c>
      <c r="E789" s="57">
        <f>IF(MEMBERS[[#This Row],[AvailableToAllSchools]]=FALSE,IF(ISBLANK(MEMBERS[[#This Row],[SchoolCodes]]),1,0),IF(MEMBERS[[#This Row],[AvailableToAllSchools]]=TRUE,IF(ISBLANK(MEMBERS[[#This Row],[SchoolCodes]]),0,1)))</f>
        <v>0</v>
      </c>
      <c r="F789" s="57">
        <f>IF(ISBLANK(MEMBERS[[#This Row],[ServiceEndDate]]),0,IF(MEMBERS[[#This Row],[ServiceStartDate]]&lt;MEMBERS[[#This Row],[ServiceEndDate]],0,1))</f>
        <v>0</v>
      </c>
      <c r="G789" s="57" cm="1">
        <f t="array" aca="1" ref="G789" ca="1">IF(CELL("format",MEMBERS[[#This Row],[ServiceStartDate]])="D1",0,1)+IF(CELL("format",MEMBERS[[#This Row],[ServiceEndDate]])="D1",0,1)</f>
        <v>0</v>
      </c>
      <c r="H78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89" s="57">
        <f>IF(LEN(MEMBERS[[#This Row],[StaffMemberCode]])&lt;100,0,1)</f>
        <v>0</v>
      </c>
      <c r="J789" s="57">
        <f>IF(LEN(MEMBERS[[#This Row],[Title]])&lt;100,0,1)</f>
        <v>0</v>
      </c>
      <c r="K789" s="57">
        <f>COUNTBLANK(MEMBERS[[#This Row],[StaffMemberCode]:[ServiceStartDate]])+COUNTBLANK(MEMBERS[[#This Row],[Apprenticeship]]:MEMBERS[[#This Row],[StaffMemberEnabled]])+COUNTBLANK(MEMBERS[[#This Row],[GenderCode]]:MEMBERS[[#This Row],[Casual]])</f>
        <v>0</v>
      </c>
      <c r="L789" s="57">
        <f>IF(SUBSTITUTE(TEXT(MEMBERS[[#This Row],[StaffMemberCode]],10)," ","")=TEXT(MEMBERS[[#This Row],[StaffMemberCode]],10),0,1)</f>
        <v>0</v>
      </c>
      <c r="M789" s="57">
        <f ca="1">SUM(MEMBERS[[#This Row],[Duplicate NameService Start]:[Space in Code]])</f>
        <v>0</v>
      </c>
      <c r="O789" s="15">
        <v>91324774</v>
      </c>
      <c r="P789" s="15" t="s">
        <v>3445</v>
      </c>
      <c r="Q789" s="15" t="s">
        <v>3928</v>
      </c>
      <c r="R789" s="133" t="str">
        <f>MEMBERS[[#This Row],[FirstName]]&amp;" "&amp;MEMBERS[[#This Row],[LastName]]</f>
        <v>Tracey Atkins</v>
      </c>
      <c r="S789" s="21">
        <v>45488</v>
      </c>
      <c r="U789" s="21">
        <v>22900</v>
      </c>
      <c r="V789" t="b">
        <v>0</v>
      </c>
      <c r="W789" t="b">
        <v>0</v>
      </c>
      <c r="X789" t="b">
        <v>0</v>
      </c>
      <c r="Y789" t="s">
        <v>2266</v>
      </c>
      <c r="Z789" t="b">
        <v>1</v>
      </c>
      <c r="AB789" t="s">
        <v>1571</v>
      </c>
      <c r="AC789" t="b">
        <v>0</v>
      </c>
    </row>
    <row r="790" spans="1:29" x14ac:dyDescent="0.3">
      <c r="A790" s="57" t="str">
        <f>MEMBERS[[#This Row],[Title]]&amp;MEMBERS[[#This Row],[ServiceStartDate]]</f>
        <v>Tracey Birchall39091</v>
      </c>
      <c r="B790" s="57">
        <f>IF(COUNTIF(MEMBERS[NameServiceStart],MEMBERS[[#This Row],[NameServiceStart]])=1,0,1)</f>
        <v>0</v>
      </c>
      <c r="C790" s="57">
        <f>IF(COUNTIF(MEMBERS[StaffMemberCode],MEMBERS[[#This Row],[StaffMemberCode]])=1,0,1)</f>
        <v>0</v>
      </c>
      <c r="D790" s="57">
        <f>IF(ISBLANK(MEMBERS[[#This Row],[PayrollLocation]]),0,IF(COUNTIF(SCHOOLS[SchoolCode],MEMBERS[[#This Row],[PayrollLocation]])=1,0,1))</f>
        <v>0</v>
      </c>
      <c r="E790" s="57">
        <f>IF(MEMBERS[[#This Row],[AvailableToAllSchools]]=FALSE,IF(ISBLANK(MEMBERS[[#This Row],[SchoolCodes]]),1,0),IF(MEMBERS[[#This Row],[AvailableToAllSchools]]=TRUE,IF(ISBLANK(MEMBERS[[#This Row],[SchoolCodes]]),0,1)))</f>
        <v>0</v>
      </c>
      <c r="F790" s="57">
        <f>IF(ISBLANK(MEMBERS[[#This Row],[ServiceEndDate]]),0,IF(MEMBERS[[#This Row],[ServiceStartDate]]&lt;MEMBERS[[#This Row],[ServiceEndDate]],0,1))</f>
        <v>0</v>
      </c>
      <c r="G790" s="57" cm="1">
        <f t="array" aca="1" ref="G790" ca="1">IF(CELL("format",MEMBERS[[#This Row],[ServiceStartDate]])="D1",0,1)+IF(CELL("format",MEMBERS[[#This Row],[ServiceEndDate]])="D1",0,1)</f>
        <v>0</v>
      </c>
      <c r="H79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90" s="57">
        <f>IF(LEN(MEMBERS[[#This Row],[StaffMemberCode]])&lt;100,0,1)</f>
        <v>0</v>
      </c>
      <c r="J790" s="57">
        <f>IF(LEN(MEMBERS[[#This Row],[Title]])&lt;100,0,1)</f>
        <v>0</v>
      </c>
      <c r="K790" s="57">
        <f>COUNTBLANK(MEMBERS[[#This Row],[StaffMemberCode]:[ServiceStartDate]])+COUNTBLANK(MEMBERS[[#This Row],[Apprenticeship]]:MEMBERS[[#This Row],[StaffMemberEnabled]])+COUNTBLANK(MEMBERS[[#This Row],[GenderCode]]:MEMBERS[[#This Row],[Casual]])</f>
        <v>0</v>
      </c>
      <c r="L790" s="57">
        <f>IF(SUBSTITUTE(TEXT(MEMBERS[[#This Row],[StaffMemberCode]],10)," ","")=TEXT(MEMBERS[[#This Row],[StaffMemberCode]],10),0,1)</f>
        <v>0</v>
      </c>
      <c r="M790" s="57">
        <f ca="1">SUM(MEMBERS[[#This Row],[Duplicate NameService Start]:[Space in Code]])</f>
        <v>0</v>
      </c>
      <c r="O790" s="15">
        <v>91073685</v>
      </c>
      <c r="P790" s="15" t="s">
        <v>3445</v>
      </c>
      <c r="Q790" s="15" t="s">
        <v>3724</v>
      </c>
      <c r="R790" s="133" t="str">
        <f>MEMBERS[[#This Row],[FirstName]]&amp;" "&amp;MEMBERS[[#This Row],[LastName]]</f>
        <v>Tracey Birchall</v>
      </c>
      <c r="S790" s="21">
        <v>39091</v>
      </c>
      <c r="U790" s="21">
        <v>23420</v>
      </c>
      <c r="V790" t="b">
        <v>0</v>
      </c>
      <c r="W790" t="b">
        <v>0</v>
      </c>
      <c r="X790" t="b">
        <v>0</v>
      </c>
      <c r="Y790" t="s">
        <v>2082</v>
      </c>
      <c r="Z790" t="b">
        <v>1</v>
      </c>
      <c r="AB790" t="s">
        <v>1571</v>
      </c>
      <c r="AC790" t="b">
        <v>0</v>
      </c>
    </row>
    <row r="791" spans="1:29" x14ac:dyDescent="0.3">
      <c r="A791" s="57" t="str">
        <f>MEMBERS[[#This Row],[Title]]&amp;MEMBERS[[#This Row],[ServiceStartDate]]</f>
        <v>Tracey Sketchley38838</v>
      </c>
      <c r="B791" s="57">
        <f>IF(COUNTIF(MEMBERS[NameServiceStart],MEMBERS[[#This Row],[NameServiceStart]])=1,0,1)</f>
        <v>0</v>
      </c>
      <c r="C791" s="57">
        <f>IF(COUNTIF(MEMBERS[StaffMemberCode],MEMBERS[[#This Row],[StaffMemberCode]])=1,0,1)</f>
        <v>0</v>
      </c>
      <c r="D791" s="57">
        <f>IF(ISBLANK(MEMBERS[[#This Row],[PayrollLocation]]),0,IF(COUNTIF(SCHOOLS[SchoolCode],MEMBERS[[#This Row],[PayrollLocation]])=1,0,1))</f>
        <v>0</v>
      </c>
      <c r="E791" s="57">
        <f>IF(MEMBERS[[#This Row],[AvailableToAllSchools]]=FALSE,IF(ISBLANK(MEMBERS[[#This Row],[SchoolCodes]]),1,0),IF(MEMBERS[[#This Row],[AvailableToAllSchools]]=TRUE,IF(ISBLANK(MEMBERS[[#This Row],[SchoolCodes]]),0,1)))</f>
        <v>0</v>
      </c>
      <c r="F791" s="57">
        <f>IF(ISBLANK(MEMBERS[[#This Row],[ServiceEndDate]]),0,IF(MEMBERS[[#This Row],[ServiceStartDate]]&lt;MEMBERS[[#This Row],[ServiceEndDate]],0,1))</f>
        <v>0</v>
      </c>
      <c r="G791" s="57" cm="1">
        <f t="array" aca="1" ref="G791" ca="1">IF(CELL("format",MEMBERS[[#This Row],[ServiceStartDate]])="D1",0,1)+IF(CELL("format",MEMBERS[[#This Row],[ServiceEndDate]])="D1",0,1)</f>
        <v>0</v>
      </c>
      <c r="H79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91" s="57">
        <f>IF(LEN(MEMBERS[[#This Row],[StaffMemberCode]])&lt;100,0,1)</f>
        <v>0</v>
      </c>
      <c r="J791" s="57">
        <f>IF(LEN(MEMBERS[[#This Row],[Title]])&lt;100,0,1)</f>
        <v>0</v>
      </c>
      <c r="K791" s="57">
        <f>COUNTBLANK(MEMBERS[[#This Row],[StaffMemberCode]:[ServiceStartDate]])+COUNTBLANK(MEMBERS[[#This Row],[Apprenticeship]]:MEMBERS[[#This Row],[StaffMemberEnabled]])+COUNTBLANK(MEMBERS[[#This Row],[GenderCode]]:MEMBERS[[#This Row],[Casual]])</f>
        <v>0</v>
      </c>
      <c r="L791" s="57">
        <f>IF(SUBSTITUTE(TEXT(MEMBERS[[#This Row],[StaffMemberCode]],10)," ","")=TEXT(MEMBERS[[#This Row],[StaffMemberCode]],10),0,1)</f>
        <v>0</v>
      </c>
      <c r="M791" s="57">
        <f ca="1">SUM(MEMBERS[[#This Row],[Duplicate NameService Start]:[Space in Code]])</f>
        <v>0</v>
      </c>
      <c r="O791" s="15">
        <v>91073929</v>
      </c>
      <c r="P791" s="15" t="s">
        <v>3445</v>
      </c>
      <c r="Q791" s="15" t="s">
        <v>3929</v>
      </c>
      <c r="R791" s="133" t="str">
        <f>MEMBERS[[#This Row],[FirstName]]&amp;" "&amp;MEMBERS[[#This Row],[LastName]]</f>
        <v>Tracey Sketchley</v>
      </c>
      <c r="S791" s="21">
        <v>38838</v>
      </c>
      <c r="U791" s="21">
        <v>25898</v>
      </c>
      <c r="V791" t="b">
        <v>0</v>
      </c>
      <c r="W791" t="b">
        <v>0</v>
      </c>
      <c r="X791" t="b">
        <v>0</v>
      </c>
      <c r="Y791" t="s">
        <v>2299</v>
      </c>
      <c r="Z791" t="b">
        <v>1</v>
      </c>
      <c r="AB791" t="s">
        <v>1571</v>
      </c>
      <c r="AC791" t="b">
        <v>0</v>
      </c>
    </row>
    <row r="792" spans="1:29" x14ac:dyDescent="0.3">
      <c r="A792" s="57" t="str">
        <f>MEMBERS[[#This Row],[Title]]&amp;MEMBERS[[#This Row],[ServiceStartDate]]</f>
        <v>Tracey Stoneley44937</v>
      </c>
      <c r="B792" s="57">
        <f>IF(COUNTIF(MEMBERS[NameServiceStart],MEMBERS[[#This Row],[NameServiceStart]])=1,0,1)</f>
        <v>0</v>
      </c>
      <c r="C792" s="57">
        <f>IF(COUNTIF(MEMBERS[StaffMemberCode],MEMBERS[[#This Row],[StaffMemberCode]])=1,0,1)</f>
        <v>0</v>
      </c>
      <c r="D792" s="57">
        <f>IF(ISBLANK(MEMBERS[[#This Row],[PayrollLocation]]),0,IF(COUNTIF(SCHOOLS[SchoolCode],MEMBERS[[#This Row],[PayrollLocation]])=1,0,1))</f>
        <v>0</v>
      </c>
      <c r="E792" s="57">
        <f>IF(MEMBERS[[#This Row],[AvailableToAllSchools]]=FALSE,IF(ISBLANK(MEMBERS[[#This Row],[SchoolCodes]]),1,0),IF(MEMBERS[[#This Row],[AvailableToAllSchools]]=TRUE,IF(ISBLANK(MEMBERS[[#This Row],[SchoolCodes]]),0,1)))</f>
        <v>0</v>
      </c>
      <c r="F792" s="57">
        <f>IF(ISBLANK(MEMBERS[[#This Row],[ServiceEndDate]]),0,IF(MEMBERS[[#This Row],[ServiceStartDate]]&lt;MEMBERS[[#This Row],[ServiceEndDate]],0,1))</f>
        <v>0</v>
      </c>
      <c r="G792" s="57" cm="1">
        <f t="array" aca="1" ref="G792" ca="1">IF(CELL("format",MEMBERS[[#This Row],[ServiceStartDate]])="D1",0,1)+IF(CELL("format",MEMBERS[[#This Row],[ServiceEndDate]])="D1",0,1)</f>
        <v>0</v>
      </c>
      <c r="H79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92" s="57">
        <f>IF(LEN(MEMBERS[[#This Row],[StaffMemberCode]])&lt;100,0,1)</f>
        <v>0</v>
      </c>
      <c r="J792" s="57">
        <f>IF(LEN(MEMBERS[[#This Row],[Title]])&lt;100,0,1)</f>
        <v>0</v>
      </c>
      <c r="K792" s="57">
        <f>COUNTBLANK(MEMBERS[[#This Row],[StaffMemberCode]:[ServiceStartDate]])+COUNTBLANK(MEMBERS[[#This Row],[Apprenticeship]]:MEMBERS[[#This Row],[StaffMemberEnabled]])+COUNTBLANK(MEMBERS[[#This Row],[GenderCode]]:MEMBERS[[#This Row],[Casual]])</f>
        <v>0</v>
      </c>
      <c r="L792" s="57">
        <f>IF(SUBSTITUTE(TEXT(MEMBERS[[#This Row],[StaffMemberCode]],10)," ","")=TEXT(MEMBERS[[#This Row],[StaffMemberCode]],10),0,1)</f>
        <v>0</v>
      </c>
      <c r="M792" s="57">
        <f ca="1">SUM(MEMBERS[[#This Row],[Duplicate NameService Start]:[Space in Code]])</f>
        <v>0</v>
      </c>
      <c r="O792" s="15">
        <v>91073625</v>
      </c>
      <c r="P792" s="15" t="s">
        <v>3445</v>
      </c>
      <c r="Q792" s="15" t="s">
        <v>3930</v>
      </c>
      <c r="R792" s="133" t="str">
        <f>MEMBERS[[#This Row],[FirstName]]&amp;" "&amp;MEMBERS[[#This Row],[LastName]]</f>
        <v>Tracey Stoneley</v>
      </c>
      <c r="S792" s="21">
        <v>44937</v>
      </c>
      <c r="U792" s="21">
        <v>22806</v>
      </c>
      <c r="V792" t="b">
        <v>0</v>
      </c>
      <c r="W792" t="b">
        <v>0</v>
      </c>
      <c r="X792" t="b">
        <v>0</v>
      </c>
      <c r="Y792" t="s">
        <v>2094</v>
      </c>
      <c r="Z792" t="b">
        <v>1</v>
      </c>
      <c r="AB792" t="s">
        <v>1571</v>
      </c>
      <c r="AC792" t="b">
        <v>1</v>
      </c>
    </row>
    <row r="793" spans="1:29" x14ac:dyDescent="0.3">
      <c r="A793" s="57" t="str">
        <f>MEMBERS[[#This Row],[Title]]&amp;MEMBERS[[#This Row],[ServiceStartDate]]</f>
        <v>Tracy Cushing44515</v>
      </c>
      <c r="B793" s="57">
        <f>IF(COUNTIF(MEMBERS[NameServiceStart],MEMBERS[[#This Row],[NameServiceStart]])=1,0,1)</f>
        <v>0</v>
      </c>
      <c r="C793" s="57">
        <f>IF(COUNTIF(MEMBERS[StaffMemberCode],MEMBERS[[#This Row],[StaffMemberCode]])=1,0,1)</f>
        <v>0</v>
      </c>
      <c r="D793" s="57">
        <f>IF(ISBLANK(MEMBERS[[#This Row],[PayrollLocation]]),0,IF(COUNTIF(SCHOOLS[SchoolCode],MEMBERS[[#This Row],[PayrollLocation]])=1,0,1))</f>
        <v>0</v>
      </c>
      <c r="E793" s="57">
        <f>IF(MEMBERS[[#This Row],[AvailableToAllSchools]]=FALSE,IF(ISBLANK(MEMBERS[[#This Row],[SchoolCodes]]),1,0),IF(MEMBERS[[#This Row],[AvailableToAllSchools]]=TRUE,IF(ISBLANK(MEMBERS[[#This Row],[SchoolCodes]]),0,1)))</f>
        <v>0</v>
      </c>
      <c r="F793" s="57">
        <f>IF(ISBLANK(MEMBERS[[#This Row],[ServiceEndDate]]),0,IF(MEMBERS[[#This Row],[ServiceStartDate]]&lt;MEMBERS[[#This Row],[ServiceEndDate]],0,1))</f>
        <v>0</v>
      </c>
      <c r="G793" s="57" cm="1">
        <f t="array" aca="1" ref="G793" ca="1">IF(CELL("format",MEMBERS[[#This Row],[ServiceStartDate]])="D1",0,1)+IF(CELL("format",MEMBERS[[#This Row],[ServiceEndDate]])="D1",0,1)</f>
        <v>0</v>
      </c>
      <c r="H79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93" s="57">
        <f>IF(LEN(MEMBERS[[#This Row],[StaffMemberCode]])&lt;100,0,1)</f>
        <v>0</v>
      </c>
      <c r="J793" s="57">
        <f>IF(LEN(MEMBERS[[#This Row],[Title]])&lt;100,0,1)</f>
        <v>0</v>
      </c>
      <c r="K793" s="57">
        <f>COUNTBLANK(MEMBERS[[#This Row],[StaffMemberCode]:[ServiceStartDate]])+COUNTBLANK(MEMBERS[[#This Row],[Apprenticeship]]:MEMBERS[[#This Row],[StaffMemberEnabled]])+COUNTBLANK(MEMBERS[[#This Row],[GenderCode]]:MEMBERS[[#This Row],[Casual]])</f>
        <v>0</v>
      </c>
      <c r="L793" s="57">
        <f>IF(SUBSTITUTE(TEXT(MEMBERS[[#This Row],[StaffMemberCode]],10)," ","")=TEXT(MEMBERS[[#This Row],[StaffMemberCode]],10),0,1)</f>
        <v>0</v>
      </c>
      <c r="M793" s="57">
        <f ca="1">SUM(MEMBERS[[#This Row],[Duplicate NameService Start]:[Space in Code]])</f>
        <v>0</v>
      </c>
      <c r="O793" s="15">
        <v>91073789</v>
      </c>
      <c r="P793" s="15" t="s">
        <v>3446</v>
      </c>
      <c r="Q793" s="15" t="s">
        <v>3931</v>
      </c>
      <c r="R793" s="133" t="str">
        <f>MEMBERS[[#This Row],[FirstName]]&amp;" "&amp;MEMBERS[[#This Row],[LastName]]</f>
        <v>Tracy Cushing</v>
      </c>
      <c r="S793" s="21">
        <v>44515</v>
      </c>
      <c r="U793" s="21">
        <v>23673</v>
      </c>
      <c r="V793" t="b">
        <v>0</v>
      </c>
      <c r="W793" t="b">
        <v>0</v>
      </c>
      <c r="X793" t="b">
        <v>0</v>
      </c>
      <c r="Y793" t="s">
        <v>2082</v>
      </c>
      <c r="Z793" t="b">
        <v>1</v>
      </c>
      <c r="AB793" t="s">
        <v>1571</v>
      </c>
      <c r="AC793" t="b">
        <v>1</v>
      </c>
    </row>
    <row r="794" spans="1:29" x14ac:dyDescent="0.3">
      <c r="A794" s="57" t="str">
        <f>MEMBERS[[#This Row],[Title]]&amp;MEMBERS[[#This Row],[ServiceStartDate]]</f>
        <v>Travis Cooke45901</v>
      </c>
      <c r="B794" s="57">
        <f>IF(COUNTIF(MEMBERS[NameServiceStart],MEMBERS[[#This Row],[NameServiceStart]])=1,0,1)</f>
        <v>0</v>
      </c>
      <c r="C794" s="57">
        <f>IF(COUNTIF(MEMBERS[StaffMemberCode],MEMBERS[[#This Row],[StaffMemberCode]])=1,0,1)</f>
        <v>0</v>
      </c>
      <c r="D794" s="57">
        <f>IF(ISBLANK(MEMBERS[[#This Row],[PayrollLocation]]),0,IF(COUNTIF(SCHOOLS[SchoolCode],MEMBERS[[#This Row],[PayrollLocation]])=1,0,1))</f>
        <v>0</v>
      </c>
      <c r="E794" s="57">
        <f>IF(MEMBERS[[#This Row],[AvailableToAllSchools]]=FALSE,IF(ISBLANK(MEMBERS[[#This Row],[SchoolCodes]]),1,0),IF(MEMBERS[[#This Row],[AvailableToAllSchools]]=TRUE,IF(ISBLANK(MEMBERS[[#This Row],[SchoolCodes]]),0,1)))</f>
        <v>0</v>
      </c>
      <c r="F794" s="57">
        <f>IF(ISBLANK(MEMBERS[[#This Row],[ServiceEndDate]]),0,IF(MEMBERS[[#This Row],[ServiceStartDate]]&lt;MEMBERS[[#This Row],[ServiceEndDate]],0,1))</f>
        <v>0</v>
      </c>
      <c r="G794" s="57" cm="1">
        <f t="array" aca="1" ref="G794" ca="1">IF(CELL("format",MEMBERS[[#This Row],[ServiceStartDate]])="D1",0,1)+IF(CELL("format",MEMBERS[[#This Row],[ServiceEndDate]])="D1",0,1)</f>
        <v>0</v>
      </c>
      <c r="H79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94" s="57">
        <f>IF(LEN(MEMBERS[[#This Row],[StaffMemberCode]])&lt;100,0,1)</f>
        <v>0</v>
      </c>
      <c r="J794" s="57">
        <f>IF(LEN(MEMBERS[[#This Row],[Title]])&lt;100,0,1)</f>
        <v>0</v>
      </c>
      <c r="K794" s="57">
        <f>COUNTBLANK(MEMBERS[[#This Row],[StaffMemberCode]:[ServiceStartDate]])+COUNTBLANK(MEMBERS[[#This Row],[Apprenticeship]]:MEMBERS[[#This Row],[StaffMemberEnabled]])+COUNTBLANK(MEMBERS[[#This Row],[GenderCode]]:MEMBERS[[#This Row],[Casual]])</f>
        <v>0</v>
      </c>
      <c r="L794" s="57">
        <f>IF(SUBSTITUTE(TEXT(MEMBERS[[#This Row],[StaffMemberCode]],10)," ","")=TEXT(MEMBERS[[#This Row],[StaffMemberCode]],10),0,1)</f>
        <v>0</v>
      </c>
      <c r="M794" s="57">
        <f ca="1">SUM(MEMBERS[[#This Row],[Duplicate NameService Start]:[Space in Code]])</f>
        <v>0</v>
      </c>
      <c r="O794" s="15">
        <v>10016224</v>
      </c>
      <c r="P794" s="15" t="s">
        <v>4013</v>
      </c>
      <c r="Q794" s="15" t="s">
        <v>4144</v>
      </c>
      <c r="R794" s="133" t="str">
        <f>MEMBERS[[#This Row],[FirstName]]&amp;" "&amp;MEMBERS[[#This Row],[LastName]]</f>
        <v>Travis Cooke</v>
      </c>
      <c r="S794" s="21">
        <v>45901</v>
      </c>
      <c r="U794" s="21">
        <v>37098</v>
      </c>
      <c r="V794" s="138" t="b">
        <v>0</v>
      </c>
      <c r="W794" t="b">
        <v>0</v>
      </c>
      <c r="X794" t="b">
        <v>0</v>
      </c>
      <c r="Y794" t="s">
        <v>2126</v>
      </c>
      <c r="Z794" t="b">
        <v>1</v>
      </c>
      <c r="AB794" t="s">
        <v>1572</v>
      </c>
      <c r="AC794" t="b">
        <v>0</v>
      </c>
    </row>
    <row r="795" spans="1:29" x14ac:dyDescent="0.3">
      <c r="A795" s="57" t="str">
        <f>MEMBERS[[#This Row],[Title]]&amp;MEMBERS[[#This Row],[ServiceStartDate]]</f>
        <v>Tricia Kelleher45310</v>
      </c>
      <c r="B795" s="57">
        <f>IF(COUNTIF(MEMBERS[NameServiceStart],MEMBERS[[#This Row],[NameServiceStart]])=1,0,1)</f>
        <v>0</v>
      </c>
      <c r="C795" s="57">
        <f>IF(COUNTIF(MEMBERS[StaffMemberCode],MEMBERS[[#This Row],[StaffMemberCode]])=1,0,1)</f>
        <v>0</v>
      </c>
      <c r="D795" s="57">
        <f>IF(ISBLANK(MEMBERS[[#This Row],[PayrollLocation]]),0,IF(COUNTIF(SCHOOLS[SchoolCode],MEMBERS[[#This Row],[PayrollLocation]])=1,0,1))</f>
        <v>0</v>
      </c>
      <c r="E795" s="57">
        <f>IF(MEMBERS[[#This Row],[AvailableToAllSchools]]=FALSE,IF(ISBLANK(MEMBERS[[#This Row],[SchoolCodes]]),1,0),IF(MEMBERS[[#This Row],[AvailableToAllSchools]]=TRUE,IF(ISBLANK(MEMBERS[[#This Row],[SchoolCodes]]),0,1)))</f>
        <v>0</v>
      </c>
      <c r="F795" s="57">
        <f>IF(ISBLANK(MEMBERS[[#This Row],[ServiceEndDate]]),0,IF(MEMBERS[[#This Row],[ServiceStartDate]]&lt;MEMBERS[[#This Row],[ServiceEndDate]],0,1))</f>
        <v>0</v>
      </c>
      <c r="G795" s="57" cm="1">
        <f t="array" aca="1" ref="G795" ca="1">IF(CELL("format",MEMBERS[[#This Row],[ServiceStartDate]])="D1",0,1)+IF(CELL("format",MEMBERS[[#This Row],[ServiceEndDate]])="D1",0,1)</f>
        <v>0</v>
      </c>
      <c r="H79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95" s="57">
        <f>IF(LEN(MEMBERS[[#This Row],[StaffMemberCode]])&lt;100,0,1)</f>
        <v>0</v>
      </c>
      <c r="J795" s="57">
        <f>IF(LEN(MEMBERS[[#This Row],[Title]])&lt;100,0,1)</f>
        <v>0</v>
      </c>
      <c r="K795" s="57">
        <f>COUNTBLANK(MEMBERS[[#This Row],[StaffMemberCode]:[ServiceStartDate]])+COUNTBLANK(MEMBERS[[#This Row],[Apprenticeship]]:MEMBERS[[#This Row],[StaffMemberEnabled]])+COUNTBLANK(MEMBERS[[#This Row],[GenderCode]]:MEMBERS[[#This Row],[Casual]])</f>
        <v>0</v>
      </c>
      <c r="L795" s="57">
        <f>IF(SUBSTITUTE(TEXT(MEMBERS[[#This Row],[StaffMemberCode]],10)," ","")=TEXT(MEMBERS[[#This Row],[StaffMemberCode]],10),0,1)</f>
        <v>0</v>
      </c>
      <c r="M795" s="57">
        <f ca="1">SUM(MEMBERS[[#This Row],[Duplicate NameService Start]:[Space in Code]])</f>
        <v>0</v>
      </c>
      <c r="O795" s="15">
        <v>10013546</v>
      </c>
      <c r="P795" s="15" t="s">
        <v>4014</v>
      </c>
      <c r="Q795" s="15" t="s">
        <v>4145</v>
      </c>
      <c r="R795" s="133" t="str">
        <f>MEMBERS[[#This Row],[FirstName]]&amp;" "&amp;MEMBERS[[#This Row],[LastName]]</f>
        <v>Tricia Kelleher</v>
      </c>
      <c r="S795" s="21">
        <v>45310</v>
      </c>
      <c r="U795" s="21">
        <v>22703</v>
      </c>
      <c r="V795" s="138" t="b">
        <v>0</v>
      </c>
      <c r="W795" t="b">
        <v>0</v>
      </c>
      <c r="X795" t="b">
        <v>0</v>
      </c>
      <c r="Y795" t="s">
        <v>2126</v>
      </c>
      <c r="Z795" t="b">
        <v>1</v>
      </c>
      <c r="AB795" t="s">
        <v>1571</v>
      </c>
      <c r="AC795" t="b">
        <v>1</v>
      </c>
    </row>
    <row r="796" spans="1:29" x14ac:dyDescent="0.3">
      <c r="A796" s="57" t="str">
        <f>MEMBERS[[#This Row],[Title]]&amp;MEMBERS[[#This Row],[ServiceStartDate]]</f>
        <v>Valentina Bailey44531</v>
      </c>
      <c r="B796" s="57">
        <f>IF(COUNTIF(MEMBERS[NameServiceStart],MEMBERS[[#This Row],[NameServiceStart]])=1,0,1)</f>
        <v>0</v>
      </c>
      <c r="C796" s="57">
        <f>IF(COUNTIF(MEMBERS[StaffMemberCode],MEMBERS[[#This Row],[StaffMemberCode]])=1,0,1)</f>
        <v>0</v>
      </c>
      <c r="D796" s="57">
        <f>IF(ISBLANK(MEMBERS[[#This Row],[PayrollLocation]]),0,IF(COUNTIF(SCHOOLS[SchoolCode],MEMBERS[[#This Row],[PayrollLocation]])=1,0,1))</f>
        <v>0</v>
      </c>
      <c r="E796" s="57">
        <f>IF(MEMBERS[[#This Row],[AvailableToAllSchools]]=FALSE,IF(ISBLANK(MEMBERS[[#This Row],[SchoolCodes]]),1,0),IF(MEMBERS[[#This Row],[AvailableToAllSchools]]=TRUE,IF(ISBLANK(MEMBERS[[#This Row],[SchoolCodes]]),0,1)))</f>
        <v>0</v>
      </c>
      <c r="F796" s="57">
        <f>IF(ISBLANK(MEMBERS[[#This Row],[ServiceEndDate]]),0,IF(MEMBERS[[#This Row],[ServiceStartDate]]&lt;MEMBERS[[#This Row],[ServiceEndDate]],0,1))</f>
        <v>0</v>
      </c>
      <c r="G796" s="57" cm="1">
        <f t="array" aca="1" ref="G796" ca="1">IF(CELL("format",MEMBERS[[#This Row],[ServiceStartDate]])="D1",0,1)+IF(CELL("format",MEMBERS[[#This Row],[ServiceEndDate]])="D1",0,1)</f>
        <v>0</v>
      </c>
      <c r="H79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96" s="57">
        <f>IF(LEN(MEMBERS[[#This Row],[StaffMemberCode]])&lt;100,0,1)</f>
        <v>0</v>
      </c>
      <c r="J796" s="57">
        <f>IF(LEN(MEMBERS[[#This Row],[Title]])&lt;100,0,1)</f>
        <v>0</v>
      </c>
      <c r="K796" s="57">
        <f>COUNTBLANK(MEMBERS[[#This Row],[StaffMemberCode]:[ServiceStartDate]])+COUNTBLANK(MEMBERS[[#This Row],[Apprenticeship]]:MEMBERS[[#This Row],[StaffMemberEnabled]])+COUNTBLANK(MEMBERS[[#This Row],[GenderCode]]:MEMBERS[[#This Row],[Casual]])</f>
        <v>0</v>
      </c>
      <c r="L796" s="57">
        <f>IF(SUBSTITUTE(TEXT(MEMBERS[[#This Row],[StaffMemberCode]],10)," ","")=TEXT(MEMBERS[[#This Row],[StaffMemberCode]],10),0,1)</f>
        <v>0</v>
      </c>
      <c r="M796" s="57">
        <f ca="1">SUM(MEMBERS[[#This Row],[Duplicate NameService Start]:[Space in Code]])</f>
        <v>0</v>
      </c>
      <c r="O796" s="15">
        <v>10009931</v>
      </c>
      <c r="P796" s="15" t="s">
        <v>4015</v>
      </c>
      <c r="Q796" s="15" t="s">
        <v>3463</v>
      </c>
      <c r="R796" s="133" t="str">
        <f>MEMBERS[[#This Row],[FirstName]]&amp;" "&amp;MEMBERS[[#This Row],[LastName]]</f>
        <v>Valentina Bailey</v>
      </c>
      <c r="S796" s="21">
        <v>44531</v>
      </c>
      <c r="U796" s="21">
        <v>23332</v>
      </c>
      <c r="V796" s="138" t="b">
        <v>0</v>
      </c>
      <c r="W796" t="b">
        <v>0</v>
      </c>
      <c r="X796" t="b">
        <v>0</v>
      </c>
      <c r="Y796" t="s">
        <v>2126</v>
      </c>
      <c r="Z796" t="b">
        <v>1</v>
      </c>
      <c r="AB796" t="s">
        <v>1571</v>
      </c>
      <c r="AC796" t="b">
        <v>0</v>
      </c>
    </row>
    <row r="797" spans="1:29" x14ac:dyDescent="0.3">
      <c r="A797" s="57" t="str">
        <f>MEMBERS[[#This Row],[Title]]&amp;MEMBERS[[#This Row],[ServiceStartDate]]</f>
        <v>Valerie Evans45180</v>
      </c>
      <c r="B797" s="57">
        <f>IF(COUNTIF(MEMBERS[NameServiceStart],MEMBERS[[#This Row],[NameServiceStart]])=1,0,1)</f>
        <v>0</v>
      </c>
      <c r="C797" s="57">
        <f>IF(COUNTIF(MEMBERS[StaffMemberCode],MEMBERS[[#This Row],[StaffMemberCode]])=1,0,1)</f>
        <v>0</v>
      </c>
      <c r="D797" s="57">
        <f>IF(ISBLANK(MEMBERS[[#This Row],[PayrollLocation]]),0,IF(COUNTIF(SCHOOLS[SchoolCode],MEMBERS[[#This Row],[PayrollLocation]])=1,0,1))</f>
        <v>0</v>
      </c>
      <c r="E797" s="57">
        <f>IF(MEMBERS[[#This Row],[AvailableToAllSchools]]=FALSE,IF(ISBLANK(MEMBERS[[#This Row],[SchoolCodes]]),1,0),IF(MEMBERS[[#This Row],[AvailableToAllSchools]]=TRUE,IF(ISBLANK(MEMBERS[[#This Row],[SchoolCodes]]),0,1)))</f>
        <v>0</v>
      </c>
      <c r="F797" s="57">
        <f>IF(ISBLANK(MEMBERS[[#This Row],[ServiceEndDate]]),0,IF(MEMBERS[[#This Row],[ServiceStartDate]]&lt;MEMBERS[[#This Row],[ServiceEndDate]],0,1))</f>
        <v>0</v>
      </c>
      <c r="G797" s="57" cm="1">
        <f t="array" aca="1" ref="G797" ca="1">IF(CELL("format",MEMBERS[[#This Row],[ServiceStartDate]])="D1",0,1)+IF(CELL("format",MEMBERS[[#This Row],[ServiceEndDate]])="D1",0,1)</f>
        <v>0</v>
      </c>
      <c r="H79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97" s="57">
        <f>IF(LEN(MEMBERS[[#This Row],[StaffMemberCode]])&lt;100,0,1)</f>
        <v>0</v>
      </c>
      <c r="J797" s="57">
        <f>IF(LEN(MEMBERS[[#This Row],[Title]])&lt;100,0,1)</f>
        <v>0</v>
      </c>
      <c r="K797" s="57">
        <f>COUNTBLANK(MEMBERS[[#This Row],[StaffMemberCode]:[ServiceStartDate]])+COUNTBLANK(MEMBERS[[#This Row],[Apprenticeship]]:MEMBERS[[#This Row],[StaffMemberEnabled]])+COUNTBLANK(MEMBERS[[#This Row],[GenderCode]]:MEMBERS[[#This Row],[Casual]])</f>
        <v>0</v>
      </c>
      <c r="L797" s="57">
        <f>IF(SUBSTITUTE(TEXT(MEMBERS[[#This Row],[StaffMemberCode]],10)," ","")=TEXT(MEMBERS[[#This Row],[StaffMemberCode]],10),0,1)</f>
        <v>0</v>
      </c>
      <c r="M797" s="57">
        <f ca="1">SUM(MEMBERS[[#This Row],[Duplicate NameService Start]:[Space in Code]])</f>
        <v>0</v>
      </c>
      <c r="O797" s="15">
        <v>91073619</v>
      </c>
      <c r="P797" s="15" t="s">
        <v>3447</v>
      </c>
      <c r="Q797" s="15" t="s">
        <v>3485</v>
      </c>
      <c r="R797" s="133" t="str">
        <f>MEMBERS[[#This Row],[FirstName]]&amp;" "&amp;MEMBERS[[#This Row],[LastName]]</f>
        <v>Valerie Evans</v>
      </c>
      <c r="S797" s="21">
        <v>45180</v>
      </c>
      <c r="U797" s="21">
        <v>24361</v>
      </c>
      <c r="V797" t="b">
        <v>0</v>
      </c>
      <c r="W797" t="b">
        <v>0</v>
      </c>
      <c r="X797" t="b">
        <v>0</v>
      </c>
      <c r="Y797" t="s">
        <v>2094</v>
      </c>
      <c r="Z797" t="b">
        <v>1</v>
      </c>
      <c r="AB797" t="s">
        <v>1571</v>
      </c>
      <c r="AC797" t="b">
        <v>0</v>
      </c>
    </row>
    <row r="798" spans="1:29" x14ac:dyDescent="0.3">
      <c r="A798" s="57" t="str">
        <f>MEMBERS[[#This Row],[Title]]&amp;MEMBERS[[#This Row],[ServiceStartDate]]</f>
        <v>Vanessa Stoker44570</v>
      </c>
      <c r="B798" s="57">
        <f>IF(COUNTIF(MEMBERS[NameServiceStart],MEMBERS[[#This Row],[NameServiceStart]])=1,0,1)</f>
        <v>0</v>
      </c>
      <c r="C798" s="57">
        <f>IF(COUNTIF(MEMBERS[StaffMemberCode],MEMBERS[[#This Row],[StaffMemberCode]])=1,0,1)</f>
        <v>0</v>
      </c>
      <c r="D798" s="57">
        <f>IF(ISBLANK(MEMBERS[[#This Row],[PayrollLocation]]),0,IF(COUNTIF(SCHOOLS[SchoolCode],MEMBERS[[#This Row],[PayrollLocation]])=1,0,1))</f>
        <v>0</v>
      </c>
      <c r="E798" s="57">
        <f>IF(MEMBERS[[#This Row],[AvailableToAllSchools]]=FALSE,IF(ISBLANK(MEMBERS[[#This Row],[SchoolCodes]]),1,0),IF(MEMBERS[[#This Row],[AvailableToAllSchools]]=TRUE,IF(ISBLANK(MEMBERS[[#This Row],[SchoolCodes]]),0,1)))</f>
        <v>0</v>
      </c>
      <c r="F798" s="57">
        <f>IF(ISBLANK(MEMBERS[[#This Row],[ServiceEndDate]]),0,IF(MEMBERS[[#This Row],[ServiceStartDate]]&lt;MEMBERS[[#This Row],[ServiceEndDate]],0,1))</f>
        <v>0</v>
      </c>
      <c r="G798" s="57" cm="1">
        <f t="array" aca="1" ref="G798" ca="1">IF(CELL("format",MEMBERS[[#This Row],[ServiceStartDate]])="D1",0,1)+IF(CELL("format",MEMBERS[[#This Row],[ServiceEndDate]])="D1",0,1)</f>
        <v>0</v>
      </c>
      <c r="H79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98" s="57">
        <f>IF(LEN(MEMBERS[[#This Row],[StaffMemberCode]])&lt;100,0,1)</f>
        <v>0</v>
      </c>
      <c r="J798" s="57">
        <f>IF(LEN(MEMBERS[[#This Row],[Title]])&lt;100,0,1)</f>
        <v>0</v>
      </c>
      <c r="K798" s="57">
        <f>COUNTBLANK(MEMBERS[[#This Row],[StaffMemberCode]:[ServiceStartDate]])+COUNTBLANK(MEMBERS[[#This Row],[Apprenticeship]]:MEMBERS[[#This Row],[StaffMemberEnabled]])+COUNTBLANK(MEMBERS[[#This Row],[GenderCode]]:MEMBERS[[#This Row],[Casual]])</f>
        <v>0</v>
      </c>
      <c r="L798" s="57">
        <f>IF(SUBSTITUTE(TEXT(MEMBERS[[#This Row],[StaffMemberCode]],10)," ","")=TEXT(MEMBERS[[#This Row],[StaffMemberCode]],10),0,1)</f>
        <v>0</v>
      </c>
      <c r="M798" s="57">
        <f ca="1">SUM(MEMBERS[[#This Row],[Duplicate NameService Start]:[Space in Code]])</f>
        <v>0</v>
      </c>
      <c r="O798" s="15">
        <v>91073644</v>
      </c>
      <c r="P798" s="15" t="s">
        <v>3448</v>
      </c>
      <c r="Q798" s="15" t="s">
        <v>3932</v>
      </c>
      <c r="R798" s="133" t="str">
        <f>MEMBERS[[#This Row],[FirstName]]&amp;" "&amp;MEMBERS[[#This Row],[LastName]]</f>
        <v>Vanessa Stoker</v>
      </c>
      <c r="S798" s="21">
        <v>44570</v>
      </c>
      <c r="U798" s="21">
        <v>22054</v>
      </c>
      <c r="V798" t="b">
        <v>0</v>
      </c>
      <c r="W798" t="b">
        <v>0</v>
      </c>
      <c r="X798" t="b">
        <v>0</v>
      </c>
      <c r="Y798" t="s">
        <v>2089</v>
      </c>
      <c r="Z798" t="b">
        <v>1</v>
      </c>
      <c r="AB798" t="s">
        <v>1571</v>
      </c>
      <c r="AC798" t="b">
        <v>1</v>
      </c>
    </row>
    <row r="799" spans="1:29" x14ac:dyDescent="0.3">
      <c r="A799" s="57" t="str">
        <f>MEMBERS[[#This Row],[Title]]&amp;MEMBERS[[#This Row],[ServiceStartDate]]</f>
        <v>Vicki Sims45628</v>
      </c>
      <c r="B799" s="57">
        <f>IF(COUNTIF(MEMBERS[NameServiceStart],MEMBERS[[#This Row],[NameServiceStart]])=1,0,1)</f>
        <v>0</v>
      </c>
      <c r="C799" s="57">
        <f>IF(COUNTIF(MEMBERS[StaffMemberCode],MEMBERS[[#This Row],[StaffMemberCode]])=1,0,1)</f>
        <v>0</v>
      </c>
      <c r="D799" s="57">
        <f>IF(ISBLANK(MEMBERS[[#This Row],[PayrollLocation]]),0,IF(COUNTIF(SCHOOLS[SchoolCode],MEMBERS[[#This Row],[PayrollLocation]])=1,0,1))</f>
        <v>0</v>
      </c>
      <c r="E799" s="57">
        <f>IF(MEMBERS[[#This Row],[AvailableToAllSchools]]=FALSE,IF(ISBLANK(MEMBERS[[#This Row],[SchoolCodes]]),1,0),IF(MEMBERS[[#This Row],[AvailableToAllSchools]]=TRUE,IF(ISBLANK(MEMBERS[[#This Row],[SchoolCodes]]),0,1)))</f>
        <v>0</v>
      </c>
      <c r="F799" s="57">
        <f>IF(ISBLANK(MEMBERS[[#This Row],[ServiceEndDate]]),0,IF(MEMBERS[[#This Row],[ServiceStartDate]]&lt;MEMBERS[[#This Row],[ServiceEndDate]],0,1))</f>
        <v>0</v>
      </c>
      <c r="G799" s="57" cm="1">
        <f t="array" aca="1" ref="G799" ca="1">IF(CELL("format",MEMBERS[[#This Row],[ServiceStartDate]])="D1",0,1)+IF(CELL("format",MEMBERS[[#This Row],[ServiceEndDate]])="D1",0,1)</f>
        <v>0</v>
      </c>
      <c r="H79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799" s="57">
        <f>IF(LEN(MEMBERS[[#This Row],[StaffMemberCode]])&lt;100,0,1)</f>
        <v>0</v>
      </c>
      <c r="J799" s="57">
        <f>IF(LEN(MEMBERS[[#This Row],[Title]])&lt;100,0,1)</f>
        <v>0</v>
      </c>
      <c r="K799" s="57">
        <f>COUNTBLANK(MEMBERS[[#This Row],[StaffMemberCode]:[ServiceStartDate]])+COUNTBLANK(MEMBERS[[#This Row],[Apprenticeship]]:MEMBERS[[#This Row],[StaffMemberEnabled]])+COUNTBLANK(MEMBERS[[#This Row],[GenderCode]]:MEMBERS[[#This Row],[Casual]])</f>
        <v>0</v>
      </c>
      <c r="L799" s="57">
        <f>IF(SUBSTITUTE(TEXT(MEMBERS[[#This Row],[StaffMemberCode]],10)," ","")=TEXT(MEMBERS[[#This Row],[StaffMemberCode]],10),0,1)</f>
        <v>0</v>
      </c>
      <c r="M799" s="57">
        <f ca="1">SUM(MEMBERS[[#This Row],[Duplicate NameService Start]:[Space in Code]])</f>
        <v>0</v>
      </c>
      <c r="O799" s="15">
        <v>91329669</v>
      </c>
      <c r="P799" s="15" t="s">
        <v>3449</v>
      </c>
      <c r="Q799" s="15" t="s">
        <v>3925</v>
      </c>
      <c r="R799" s="133" t="str">
        <f>MEMBERS[[#This Row],[FirstName]]&amp;" "&amp;MEMBERS[[#This Row],[LastName]]</f>
        <v>Vicki Sims</v>
      </c>
      <c r="S799" s="21">
        <v>45628</v>
      </c>
      <c r="U799" s="21">
        <v>32326</v>
      </c>
      <c r="V799" t="b">
        <v>0</v>
      </c>
      <c r="W799" t="b">
        <v>0</v>
      </c>
      <c r="X799" t="b">
        <v>0</v>
      </c>
      <c r="Y799" t="s">
        <v>2200</v>
      </c>
      <c r="Z799" t="b">
        <v>1</v>
      </c>
      <c r="AB799" t="s">
        <v>1571</v>
      </c>
      <c r="AC799" t="b">
        <v>1</v>
      </c>
    </row>
    <row r="800" spans="1:29" x14ac:dyDescent="0.3">
      <c r="A800" s="57" t="str">
        <f>MEMBERS[[#This Row],[Title]]&amp;MEMBERS[[#This Row],[ServiceStartDate]]</f>
        <v>Vicky Wynne45536</v>
      </c>
      <c r="B800" s="57">
        <f>IF(COUNTIF(MEMBERS[NameServiceStart],MEMBERS[[#This Row],[NameServiceStart]])=1,0,1)</f>
        <v>0</v>
      </c>
      <c r="C800" s="57">
        <f>IF(COUNTIF(MEMBERS[StaffMemberCode],MEMBERS[[#This Row],[StaffMemberCode]])=1,0,1)</f>
        <v>0</v>
      </c>
      <c r="D800" s="57">
        <f>IF(ISBLANK(MEMBERS[[#This Row],[PayrollLocation]]),0,IF(COUNTIF(SCHOOLS[SchoolCode],MEMBERS[[#This Row],[PayrollLocation]])=1,0,1))</f>
        <v>0</v>
      </c>
      <c r="E800" s="57">
        <f>IF(MEMBERS[[#This Row],[AvailableToAllSchools]]=FALSE,IF(ISBLANK(MEMBERS[[#This Row],[SchoolCodes]]),1,0),IF(MEMBERS[[#This Row],[AvailableToAllSchools]]=TRUE,IF(ISBLANK(MEMBERS[[#This Row],[SchoolCodes]]),0,1)))</f>
        <v>0</v>
      </c>
      <c r="F800" s="57">
        <f>IF(ISBLANK(MEMBERS[[#This Row],[ServiceEndDate]]),0,IF(MEMBERS[[#This Row],[ServiceStartDate]]&lt;MEMBERS[[#This Row],[ServiceEndDate]],0,1))</f>
        <v>0</v>
      </c>
      <c r="G800" s="57" cm="1">
        <f t="array" aca="1" ref="G800" ca="1">IF(CELL("format",MEMBERS[[#This Row],[ServiceStartDate]])="D1",0,1)+IF(CELL("format",MEMBERS[[#This Row],[ServiceEndDate]])="D1",0,1)</f>
        <v>0</v>
      </c>
      <c r="H80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00" s="57">
        <f>IF(LEN(MEMBERS[[#This Row],[StaffMemberCode]])&lt;100,0,1)</f>
        <v>0</v>
      </c>
      <c r="J800" s="57">
        <f>IF(LEN(MEMBERS[[#This Row],[Title]])&lt;100,0,1)</f>
        <v>0</v>
      </c>
      <c r="K800" s="57">
        <f>COUNTBLANK(MEMBERS[[#This Row],[StaffMemberCode]:[ServiceStartDate]])+COUNTBLANK(MEMBERS[[#This Row],[Apprenticeship]]:MEMBERS[[#This Row],[StaffMemberEnabled]])+COUNTBLANK(MEMBERS[[#This Row],[GenderCode]]:MEMBERS[[#This Row],[Casual]])</f>
        <v>0</v>
      </c>
      <c r="L800" s="57">
        <f>IF(SUBSTITUTE(TEXT(MEMBERS[[#This Row],[StaffMemberCode]],10)," ","")=TEXT(MEMBERS[[#This Row],[StaffMemberCode]],10),0,1)</f>
        <v>0</v>
      </c>
      <c r="M800" s="57">
        <f ca="1">SUM(MEMBERS[[#This Row],[Duplicate NameService Start]:[Space in Code]])</f>
        <v>0</v>
      </c>
      <c r="O800" s="15">
        <v>91324617</v>
      </c>
      <c r="P800" s="15" t="s">
        <v>3450</v>
      </c>
      <c r="Q800" s="15" t="s">
        <v>3933</v>
      </c>
      <c r="R800" s="133" t="str">
        <f>MEMBERS[[#This Row],[FirstName]]&amp;" "&amp;MEMBERS[[#This Row],[LastName]]</f>
        <v>Vicky Wynne</v>
      </c>
      <c r="S800" s="21">
        <v>45536</v>
      </c>
      <c r="U800" s="21">
        <v>33456</v>
      </c>
      <c r="V800" t="b">
        <v>0</v>
      </c>
      <c r="W800" t="b">
        <v>0</v>
      </c>
      <c r="X800" t="b">
        <v>0</v>
      </c>
      <c r="Y800" t="s">
        <v>2266</v>
      </c>
      <c r="Z800" t="b">
        <v>1</v>
      </c>
      <c r="AB800" t="s">
        <v>1571</v>
      </c>
      <c r="AC800" t="b">
        <v>0</v>
      </c>
    </row>
    <row r="801" spans="1:29" x14ac:dyDescent="0.3">
      <c r="A801" s="57" t="str">
        <f>MEMBERS[[#This Row],[Title]]&amp;MEMBERS[[#This Row],[ServiceStartDate]]</f>
        <v>Victoria Broster44837</v>
      </c>
      <c r="B801" s="57">
        <f>IF(COUNTIF(MEMBERS[NameServiceStart],MEMBERS[[#This Row],[NameServiceStart]])=1,0,1)</f>
        <v>0</v>
      </c>
      <c r="C801" s="57">
        <f>IF(COUNTIF(MEMBERS[StaffMemberCode],MEMBERS[[#This Row],[StaffMemberCode]])=1,0,1)</f>
        <v>0</v>
      </c>
      <c r="D801" s="57">
        <f>IF(ISBLANK(MEMBERS[[#This Row],[PayrollLocation]]),0,IF(COUNTIF(SCHOOLS[SchoolCode],MEMBERS[[#This Row],[PayrollLocation]])=1,0,1))</f>
        <v>0</v>
      </c>
      <c r="E801" s="57">
        <f>IF(MEMBERS[[#This Row],[AvailableToAllSchools]]=FALSE,IF(ISBLANK(MEMBERS[[#This Row],[SchoolCodes]]),1,0),IF(MEMBERS[[#This Row],[AvailableToAllSchools]]=TRUE,IF(ISBLANK(MEMBERS[[#This Row],[SchoolCodes]]),0,1)))</f>
        <v>0</v>
      </c>
      <c r="F801" s="57">
        <f>IF(ISBLANK(MEMBERS[[#This Row],[ServiceEndDate]]),0,IF(MEMBERS[[#This Row],[ServiceStartDate]]&lt;MEMBERS[[#This Row],[ServiceEndDate]],0,1))</f>
        <v>0</v>
      </c>
      <c r="G801" s="57" cm="1">
        <f t="array" aca="1" ref="G801" ca="1">IF(CELL("format",MEMBERS[[#This Row],[ServiceStartDate]])="D1",0,1)+IF(CELL("format",MEMBERS[[#This Row],[ServiceEndDate]])="D1",0,1)</f>
        <v>0</v>
      </c>
      <c r="H80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01" s="57">
        <f>IF(LEN(MEMBERS[[#This Row],[StaffMemberCode]])&lt;100,0,1)</f>
        <v>0</v>
      </c>
      <c r="J801" s="57">
        <f>IF(LEN(MEMBERS[[#This Row],[Title]])&lt;100,0,1)</f>
        <v>0</v>
      </c>
      <c r="K801" s="57">
        <f>COUNTBLANK(MEMBERS[[#This Row],[StaffMemberCode]:[ServiceStartDate]])+COUNTBLANK(MEMBERS[[#This Row],[Apprenticeship]]:MEMBERS[[#This Row],[StaffMemberEnabled]])+COUNTBLANK(MEMBERS[[#This Row],[GenderCode]]:MEMBERS[[#This Row],[Casual]])</f>
        <v>0</v>
      </c>
      <c r="L801" s="57">
        <f>IF(SUBSTITUTE(TEXT(MEMBERS[[#This Row],[StaffMemberCode]],10)," ","")=TEXT(MEMBERS[[#This Row],[StaffMemberCode]],10),0,1)</f>
        <v>0</v>
      </c>
      <c r="M801" s="57">
        <f ca="1">SUM(MEMBERS[[#This Row],[Duplicate NameService Start]:[Space in Code]])</f>
        <v>0</v>
      </c>
      <c r="O801" s="15">
        <v>10010793</v>
      </c>
      <c r="P801" s="15" t="s">
        <v>3451</v>
      </c>
      <c r="Q801" s="15" t="s">
        <v>4146</v>
      </c>
      <c r="R801" s="133" t="str">
        <f>MEMBERS[[#This Row],[FirstName]]&amp;" "&amp;MEMBERS[[#This Row],[LastName]]</f>
        <v>Victoria Broster</v>
      </c>
      <c r="S801" s="21">
        <v>44837</v>
      </c>
      <c r="U801" s="21">
        <v>33411</v>
      </c>
      <c r="V801" s="138" t="b">
        <v>0</v>
      </c>
      <c r="W801" t="b">
        <v>0</v>
      </c>
      <c r="X801" t="b">
        <v>0</v>
      </c>
      <c r="Y801" t="s">
        <v>2126</v>
      </c>
      <c r="Z801" t="b">
        <v>1</v>
      </c>
      <c r="AB801" t="s">
        <v>1571</v>
      </c>
      <c r="AC801" t="b">
        <v>0</v>
      </c>
    </row>
    <row r="802" spans="1:29" x14ac:dyDescent="0.3">
      <c r="A802" s="57" t="str">
        <f>MEMBERS[[#This Row],[Title]]&amp;MEMBERS[[#This Row],[ServiceStartDate]]</f>
        <v>Victoria Denny38565</v>
      </c>
      <c r="B802" s="57">
        <f>IF(COUNTIF(MEMBERS[NameServiceStart],MEMBERS[[#This Row],[NameServiceStart]])=1,0,1)</f>
        <v>0</v>
      </c>
      <c r="C802" s="57">
        <f>IF(COUNTIF(MEMBERS[StaffMemberCode],MEMBERS[[#This Row],[StaffMemberCode]])=1,0,1)</f>
        <v>0</v>
      </c>
      <c r="D802" s="57">
        <f>IF(ISBLANK(MEMBERS[[#This Row],[PayrollLocation]]),0,IF(COUNTIF(SCHOOLS[SchoolCode],MEMBERS[[#This Row],[PayrollLocation]])=1,0,1))</f>
        <v>0</v>
      </c>
      <c r="E802" s="57">
        <f>IF(MEMBERS[[#This Row],[AvailableToAllSchools]]=FALSE,IF(ISBLANK(MEMBERS[[#This Row],[SchoolCodes]]),1,0),IF(MEMBERS[[#This Row],[AvailableToAllSchools]]=TRUE,IF(ISBLANK(MEMBERS[[#This Row],[SchoolCodes]]),0,1)))</f>
        <v>0</v>
      </c>
      <c r="F802" s="57">
        <f>IF(ISBLANK(MEMBERS[[#This Row],[ServiceEndDate]]),0,IF(MEMBERS[[#This Row],[ServiceStartDate]]&lt;MEMBERS[[#This Row],[ServiceEndDate]],0,1))</f>
        <v>0</v>
      </c>
      <c r="G802" s="57" cm="1">
        <f t="array" aca="1" ref="G802" ca="1">IF(CELL("format",MEMBERS[[#This Row],[ServiceStartDate]])="D1",0,1)+IF(CELL("format",MEMBERS[[#This Row],[ServiceEndDate]])="D1",0,1)</f>
        <v>0</v>
      </c>
      <c r="H80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02" s="57">
        <f>IF(LEN(MEMBERS[[#This Row],[StaffMemberCode]])&lt;100,0,1)</f>
        <v>0</v>
      </c>
      <c r="J802" s="57">
        <f>IF(LEN(MEMBERS[[#This Row],[Title]])&lt;100,0,1)</f>
        <v>0</v>
      </c>
      <c r="K802" s="57">
        <f>COUNTBLANK(MEMBERS[[#This Row],[StaffMemberCode]:[ServiceStartDate]])+COUNTBLANK(MEMBERS[[#This Row],[Apprenticeship]]:MEMBERS[[#This Row],[StaffMemberEnabled]])+COUNTBLANK(MEMBERS[[#This Row],[GenderCode]]:MEMBERS[[#This Row],[Casual]])</f>
        <v>0</v>
      </c>
      <c r="L802" s="57">
        <f>IF(SUBSTITUTE(TEXT(MEMBERS[[#This Row],[StaffMemberCode]],10)," ","")=TEXT(MEMBERS[[#This Row],[StaffMemberCode]],10),0,1)</f>
        <v>0</v>
      </c>
      <c r="M802" s="57">
        <f ca="1">SUM(MEMBERS[[#This Row],[Duplicate NameService Start]:[Space in Code]])</f>
        <v>0</v>
      </c>
      <c r="O802" s="15">
        <v>10005303</v>
      </c>
      <c r="P802" s="15" t="s">
        <v>3451</v>
      </c>
      <c r="Q802" s="15" t="s">
        <v>4147</v>
      </c>
      <c r="R802" s="133" t="str">
        <f>MEMBERS[[#This Row],[FirstName]]&amp;" "&amp;MEMBERS[[#This Row],[LastName]]</f>
        <v>Victoria Denny</v>
      </c>
      <c r="S802" s="21">
        <v>38565</v>
      </c>
      <c r="U802" s="21">
        <v>28689</v>
      </c>
      <c r="V802" s="138" t="b">
        <v>0</v>
      </c>
      <c r="W802" t="b">
        <v>0</v>
      </c>
      <c r="X802" t="b">
        <v>0</v>
      </c>
      <c r="Y802" t="s">
        <v>2126</v>
      </c>
      <c r="Z802" t="b">
        <v>1</v>
      </c>
      <c r="AB802" t="s">
        <v>1571</v>
      </c>
      <c r="AC802" t="b">
        <v>0</v>
      </c>
    </row>
    <row r="803" spans="1:29" x14ac:dyDescent="0.3">
      <c r="A803" s="57" t="str">
        <f>MEMBERS[[#This Row],[Title]]&amp;MEMBERS[[#This Row],[ServiceStartDate]]</f>
        <v>Victoria Edmondson45901</v>
      </c>
      <c r="B803" s="57">
        <f>IF(COUNTIF(MEMBERS[NameServiceStart],MEMBERS[[#This Row],[NameServiceStart]])=1,0,1)</f>
        <v>0</v>
      </c>
      <c r="C803" s="57">
        <f>IF(COUNTIF(MEMBERS[StaffMemberCode],MEMBERS[[#This Row],[StaffMemberCode]])=1,0,1)</f>
        <v>0</v>
      </c>
      <c r="D803" s="57">
        <f>IF(ISBLANK(MEMBERS[[#This Row],[PayrollLocation]]),0,IF(COUNTIF(SCHOOLS[SchoolCode],MEMBERS[[#This Row],[PayrollLocation]])=1,0,1))</f>
        <v>0</v>
      </c>
      <c r="E803" s="57">
        <f>IF(MEMBERS[[#This Row],[AvailableToAllSchools]]=FALSE,IF(ISBLANK(MEMBERS[[#This Row],[SchoolCodes]]),1,0),IF(MEMBERS[[#This Row],[AvailableToAllSchools]]=TRUE,IF(ISBLANK(MEMBERS[[#This Row],[SchoolCodes]]),0,1)))</f>
        <v>0</v>
      </c>
      <c r="F803" s="57">
        <f>IF(ISBLANK(MEMBERS[[#This Row],[ServiceEndDate]]),0,IF(MEMBERS[[#This Row],[ServiceStartDate]]&lt;MEMBERS[[#This Row],[ServiceEndDate]],0,1))</f>
        <v>0</v>
      </c>
      <c r="G803" s="57" cm="1">
        <f t="array" aca="1" ref="G803" ca="1">IF(CELL("format",MEMBERS[[#This Row],[ServiceStartDate]])="D1",0,1)+IF(CELL("format",MEMBERS[[#This Row],[ServiceEndDate]])="D1",0,1)</f>
        <v>0</v>
      </c>
      <c r="H80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03" s="57">
        <f>IF(LEN(MEMBERS[[#This Row],[StaffMemberCode]])&lt;100,0,1)</f>
        <v>0</v>
      </c>
      <c r="J803" s="57">
        <f>IF(LEN(MEMBERS[[#This Row],[Title]])&lt;100,0,1)</f>
        <v>0</v>
      </c>
      <c r="K803" s="57">
        <f>COUNTBLANK(MEMBERS[[#This Row],[StaffMemberCode]:[ServiceStartDate]])+COUNTBLANK(MEMBERS[[#This Row],[Apprenticeship]]:MEMBERS[[#This Row],[StaffMemberEnabled]])+COUNTBLANK(MEMBERS[[#This Row],[GenderCode]]:MEMBERS[[#This Row],[Casual]])</f>
        <v>0</v>
      </c>
      <c r="L803" s="57">
        <f>IF(SUBSTITUTE(TEXT(MEMBERS[[#This Row],[StaffMemberCode]],10)," ","")=TEXT(MEMBERS[[#This Row],[StaffMemberCode]],10),0,1)</f>
        <v>0</v>
      </c>
      <c r="M803" s="57">
        <f ca="1">SUM(MEMBERS[[#This Row],[Duplicate NameService Start]:[Space in Code]])</f>
        <v>0</v>
      </c>
      <c r="O803" s="15">
        <v>91850043</v>
      </c>
      <c r="P803" s="15" t="s">
        <v>3451</v>
      </c>
      <c r="Q803" s="15" t="s">
        <v>3934</v>
      </c>
      <c r="R803" s="133" t="str">
        <f>MEMBERS[[#This Row],[FirstName]]&amp;" "&amp;MEMBERS[[#This Row],[LastName]]</f>
        <v>Victoria Edmondson</v>
      </c>
      <c r="S803" s="21">
        <v>45901</v>
      </c>
      <c r="U803" s="21">
        <v>28807</v>
      </c>
      <c r="V803" t="b">
        <v>0</v>
      </c>
      <c r="W803" t="b">
        <v>0</v>
      </c>
      <c r="X803" t="b">
        <v>0</v>
      </c>
      <c r="Y803" t="s">
        <v>2266</v>
      </c>
      <c r="Z803" t="b">
        <v>1</v>
      </c>
      <c r="AB803" t="s">
        <v>1571</v>
      </c>
      <c r="AC803" t="b">
        <v>0</v>
      </c>
    </row>
    <row r="804" spans="1:29" x14ac:dyDescent="0.3">
      <c r="A804" s="57" t="str">
        <f>MEMBERS[[#This Row],[Title]]&amp;MEMBERS[[#This Row],[ServiceStartDate]]</f>
        <v>Victoria Jennings45355</v>
      </c>
      <c r="B804" s="57">
        <f>IF(COUNTIF(MEMBERS[NameServiceStart],MEMBERS[[#This Row],[NameServiceStart]])=1,0,1)</f>
        <v>0</v>
      </c>
      <c r="C804" s="57">
        <f>IF(COUNTIF(MEMBERS[StaffMemberCode],MEMBERS[[#This Row],[StaffMemberCode]])=1,0,1)</f>
        <v>0</v>
      </c>
      <c r="D804" s="57">
        <f>IF(ISBLANK(MEMBERS[[#This Row],[PayrollLocation]]),0,IF(COUNTIF(SCHOOLS[SchoolCode],MEMBERS[[#This Row],[PayrollLocation]])=1,0,1))</f>
        <v>0</v>
      </c>
      <c r="E804" s="57">
        <f>IF(MEMBERS[[#This Row],[AvailableToAllSchools]]=FALSE,IF(ISBLANK(MEMBERS[[#This Row],[SchoolCodes]]),1,0),IF(MEMBERS[[#This Row],[AvailableToAllSchools]]=TRUE,IF(ISBLANK(MEMBERS[[#This Row],[SchoolCodes]]),0,1)))</f>
        <v>0</v>
      </c>
      <c r="F804" s="57">
        <f>IF(ISBLANK(MEMBERS[[#This Row],[ServiceEndDate]]),0,IF(MEMBERS[[#This Row],[ServiceStartDate]]&lt;MEMBERS[[#This Row],[ServiceEndDate]],0,1))</f>
        <v>0</v>
      </c>
      <c r="G804" s="57" cm="1">
        <f t="array" aca="1" ref="G804" ca="1">IF(CELL("format",MEMBERS[[#This Row],[ServiceStartDate]])="D1",0,1)+IF(CELL("format",MEMBERS[[#This Row],[ServiceEndDate]])="D1",0,1)</f>
        <v>0</v>
      </c>
      <c r="H80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04" s="57">
        <f>IF(LEN(MEMBERS[[#This Row],[StaffMemberCode]])&lt;100,0,1)</f>
        <v>0</v>
      </c>
      <c r="J804" s="57">
        <f>IF(LEN(MEMBERS[[#This Row],[Title]])&lt;100,0,1)</f>
        <v>0</v>
      </c>
      <c r="K804" s="57">
        <f>COUNTBLANK(MEMBERS[[#This Row],[StaffMemberCode]:[ServiceStartDate]])+COUNTBLANK(MEMBERS[[#This Row],[Apprenticeship]]:MEMBERS[[#This Row],[StaffMemberEnabled]])+COUNTBLANK(MEMBERS[[#This Row],[GenderCode]]:MEMBERS[[#This Row],[Casual]])</f>
        <v>0</v>
      </c>
      <c r="L804" s="57">
        <f>IF(SUBSTITUTE(TEXT(MEMBERS[[#This Row],[StaffMemberCode]],10)," ","")=TEXT(MEMBERS[[#This Row],[StaffMemberCode]],10),0,1)</f>
        <v>0</v>
      </c>
      <c r="M804" s="57">
        <f ca="1">SUM(MEMBERS[[#This Row],[Duplicate NameService Start]:[Space in Code]])</f>
        <v>0</v>
      </c>
      <c r="O804" s="15">
        <v>10013678</v>
      </c>
      <c r="P804" s="15" t="s">
        <v>3451</v>
      </c>
      <c r="Q804" s="15" t="s">
        <v>4097</v>
      </c>
      <c r="R804" s="133" t="str">
        <f>MEMBERS[[#This Row],[FirstName]]&amp;" "&amp;MEMBERS[[#This Row],[LastName]]</f>
        <v>Victoria Jennings</v>
      </c>
      <c r="S804" s="21">
        <v>45355</v>
      </c>
      <c r="U804" s="21">
        <v>26437</v>
      </c>
      <c r="V804" s="138" t="b">
        <v>0</v>
      </c>
      <c r="W804" t="b">
        <v>0</v>
      </c>
      <c r="X804" t="b">
        <v>0</v>
      </c>
      <c r="Y804" t="s">
        <v>2126</v>
      </c>
      <c r="Z804" t="b">
        <v>1</v>
      </c>
      <c r="AB804" t="s">
        <v>1571</v>
      </c>
      <c r="AC804" t="b">
        <v>0</v>
      </c>
    </row>
    <row r="805" spans="1:29" x14ac:dyDescent="0.3">
      <c r="A805" s="57" t="str">
        <f>MEMBERS[[#This Row],[Title]]&amp;MEMBERS[[#This Row],[ServiceStartDate]]</f>
        <v>Victoria Lockett39685</v>
      </c>
      <c r="B805" s="57">
        <f>IF(COUNTIF(MEMBERS[NameServiceStart],MEMBERS[[#This Row],[NameServiceStart]])=1,0,1)</f>
        <v>0</v>
      </c>
      <c r="C805" s="57">
        <f>IF(COUNTIF(MEMBERS[StaffMemberCode],MEMBERS[[#This Row],[StaffMemberCode]])=1,0,1)</f>
        <v>0</v>
      </c>
      <c r="D805" s="57">
        <f>IF(ISBLANK(MEMBERS[[#This Row],[PayrollLocation]]),0,IF(COUNTIF(SCHOOLS[SchoolCode],MEMBERS[[#This Row],[PayrollLocation]])=1,0,1))</f>
        <v>0</v>
      </c>
      <c r="E805" s="57">
        <f>IF(MEMBERS[[#This Row],[AvailableToAllSchools]]=FALSE,IF(ISBLANK(MEMBERS[[#This Row],[SchoolCodes]]),1,0),IF(MEMBERS[[#This Row],[AvailableToAllSchools]]=TRUE,IF(ISBLANK(MEMBERS[[#This Row],[SchoolCodes]]),0,1)))</f>
        <v>0</v>
      </c>
      <c r="F805" s="57">
        <f>IF(ISBLANK(MEMBERS[[#This Row],[ServiceEndDate]]),0,IF(MEMBERS[[#This Row],[ServiceStartDate]]&lt;MEMBERS[[#This Row],[ServiceEndDate]],0,1))</f>
        <v>0</v>
      </c>
      <c r="G805" s="57" cm="1">
        <f t="array" aca="1" ref="G805" ca="1">IF(CELL("format",MEMBERS[[#This Row],[ServiceStartDate]])="D1",0,1)+IF(CELL("format",MEMBERS[[#This Row],[ServiceEndDate]])="D1",0,1)</f>
        <v>0</v>
      </c>
      <c r="H80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05" s="57">
        <f>IF(LEN(MEMBERS[[#This Row],[StaffMemberCode]])&lt;100,0,1)</f>
        <v>0</v>
      </c>
      <c r="J805" s="57">
        <f>IF(LEN(MEMBERS[[#This Row],[Title]])&lt;100,0,1)</f>
        <v>0</v>
      </c>
      <c r="K805" s="57">
        <f>COUNTBLANK(MEMBERS[[#This Row],[StaffMemberCode]:[ServiceStartDate]])+COUNTBLANK(MEMBERS[[#This Row],[Apprenticeship]]:MEMBERS[[#This Row],[StaffMemberEnabled]])+COUNTBLANK(MEMBERS[[#This Row],[GenderCode]]:MEMBERS[[#This Row],[Casual]])</f>
        <v>0</v>
      </c>
      <c r="L805" s="57">
        <f>IF(SUBSTITUTE(TEXT(MEMBERS[[#This Row],[StaffMemberCode]],10)," ","")=TEXT(MEMBERS[[#This Row],[StaffMemberCode]],10),0,1)</f>
        <v>0</v>
      </c>
      <c r="M805" s="57">
        <f ca="1">SUM(MEMBERS[[#This Row],[Duplicate NameService Start]:[Space in Code]])</f>
        <v>0</v>
      </c>
      <c r="O805" s="15">
        <v>91073476</v>
      </c>
      <c r="P805" s="15" t="s">
        <v>3451</v>
      </c>
      <c r="Q805" s="15" t="s">
        <v>3511</v>
      </c>
      <c r="R805" s="133" t="str">
        <f>MEMBERS[[#This Row],[FirstName]]&amp;" "&amp;MEMBERS[[#This Row],[LastName]]</f>
        <v>Victoria Lockett</v>
      </c>
      <c r="S805" s="21">
        <v>39685</v>
      </c>
      <c r="U805" s="21">
        <v>26373</v>
      </c>
      <c r="V805" t="b">
        <v>0</v>
      </c>
      <c r="W805" t="b">
        <v>0</v>
      </c>
      <c r="X805" t="b">
        <v>0</v>
      </c>
      <c r="Y805" t="s">
        <v>2094</v>
      </c>
      <c r="Z805" t="b">
        <v>1</v>
      </c>
      <c r="AB805" t="s">
        <v>1571</v>
      </c>
      <c r="AC805" t="b">
        <v>0</v>
      </c>
    </row>
    <row r="806" spans="1:29" x14ac:dyDescent="0.3">
      <c r="A806" s="57" t="str">
        <f>MEMBERS[[#This Row],[Title]]&amp;MEMBERS[[#This Row],[ServiceStartDate]]</f>
        <v>Victoria Monaghan44671</v>
      </c>
      <c r="B806" s="57">
        <f>IF(COUNTIF(MEMBERS[NameServiceStart],MEMBERS[[#This Row],[NameServiceStart]])=1,0,1)</f>
        <v>0</v>
      </c>
      <c r="C806" s="57">
        <f>IF(COUNTIF(MEMBERS[StaffMemberCode],MEMBERS[[#This Row],[StaffMemberCode]])=1,0,1)</f>
        <v>0</v>
      </c>
      <c r="D806" s="57">
        <f>IF(ISBLANK(MEMBERS[[#This Row],[PayrollLocation]]),0,IF(COUNTIF(SCHOOLS[SchoolCode],MEMBERS[[#This Row],[PayrollLocation]])=1,0,1))</f>
        <v>0</v>
      </c>
      <c r="E806" s="57">
        <f>IF(MEMBERS[[#This Row],[AvailableToAllSchools]]=FALSE,IF(ISBLANK(MEMBERS[[#This Row],[SchoolCodes]]),1,0),IF(MEMBERS[[#This Row],[AvailableToAllSchools]]=TRUE,IF(ISBLANK(MEMBERS[[#This Row],[SchoolCodes]]),0,1)))</f>
        <v>0</v>
      </c>
      <c r="F806" s="57">
        <f>IF(ISBLANK(MEMBERS[[#This Row],[ServiceEndDate]]),0,IF(MEMBERS[[#This Row],[ServiceStartDate]]&lt;MEMBERS[[#This Row],[ServiceEndDate]],0,1))</f>
        <v>0</v>
      </c>
      <c r="G806" s="57" cm="1">
        <f t="array" aca="1" ref="G806" ca="1">IF(CELL("format",MEMBERS[[#This Row],[ServiceStartDate]])="D1",0,1)+IF(CELL("format",MEMBERS[[#This Row],[ServiceEndDate]])="D1",0,1)</f>
        <v>0</v>
      </c>
      <c r="H80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06" s="57">
        <f>IF(LEN(MEMBERS[[#This Row],[StaffMemberCode]])&lt;100,0,1)</f>
        <v>0</v>
      </c>
      <c r="J806" s="57">
        <f>IF(LEN(MEMBERS[[#This Row],[Title]])&lt;100,0,1)</f>
        <v>0</v>
      </c>
      <c r="K806" s="57">
        <f>COUNTBLANK(MEMBERS[[#This Row],[StaffMemberCode]:[ServiceStartDate]])+COUNTBLANK(MEMBERS[[#This Row],[Apprenticeship]]:MEMBERS[[#This Row],[StaffMemberEnabled]])+COUNTBLANK(MEMBERS[[#This Row],[GenderCode]]:MEMBERS[[#This Row],[Casual]])</f>
        <v>0</v>
      </c>
      <c r="L806" s="57">
        <f>IF(SUBSTITUTE(TEXT(MEMBERS[[#This Row],[StaffMemberCode]],10)," ","")=TEXT(MEMBERS[[#This Row],[StaffMemberCode]],10),0,1)</f>
        <v>0</v>
      </c>
      <c r="M806" s="57">
        <f ca="1">SUM(MEMBERS[[#This Row],[Duplicate NameService Start]:[Space in Code]])</f>
        <v>0</v>
      </c>
      <c r="O806" s="15">
        <v>91073801</v>
      </c>
      <c r="P806" s="15" t="s">
        <v>3451</v>
      </c>
      <c r="Q806" s="15" t="s">
        <v>3935</v>
      </c>
      <c r="R806" s="133" t="str">
        <f>MEMBERS[[#This Row],[FirstName]]&amp;" "&amp;MEMBERS[[#This Row],[LastName]]</f>
        <v>Victoria Monaghan</v>
      </c>
      <c r="S806" s="21">
        <v>44671</v>
      </c>
      <c r="U806" s="21">
        <v>33126</v>
      </c>
      <c r="V806" t="b">
        <v>0</v>
      </c>
      <c r="W806" t="b">
        <v>0</v>
      </c>
      <c r="X806" t="b">
        <v>0</v>
      </c>
      <c r="Y806" t="s">
        <v>2082</v>
      </c>
      <c r="Z806" t="b">
        <v>1</v>
      </c>
      <c r="AB806" t="s">
        <v>1571</v>
      </c>
      <c r="AC806" t="b">
        <v>0</v>
      </c>
    </row>
    <row r="807" spans="1:29" x14ac:dyDescent="0.3">
      <c r="A807" s="57" t="str">
        <f>MEMBERS[[#This Row],[Title]]&amp;MEMBERS[[#This Row],[ServiceStartDate]]</f>
        <v>Victoria Pickering44376</v>
      </c>
      <c r="B807" s="57">
        <f>IF(COUNTIF(MEMBERS[NameServiceStart],MEMBERS[[#This Row],[NameServiceStart]])=1,0,1)</f>
        <v>0</v>
      </c>
      <c r="C807" s="57">
        <f>IF(COUNTIF(MEMBERS[StaffMemberCode],MEMBERS[[#This Row],[StaffMemberCode]])=1,0,1)</f>
        <v>0</v>
      </c>
      <c r="D807" s="57">
        <f>IF(ISBLANK(MEMBERS[[#This Row],[PayrollLocation]]),0,IF(COUNTIF(SCHOOLS[SchoolCode],MEMBERS[[#This Row],[PayrollLocation]])=1,0,1))</f>
        <v>0</v>
      </c>
      <c r="E807" s="57">
        <f>IF(MEMBERS[[#This Row],[AvailableToAllSchools]]=FALSE,IF(ISBLANK(MEMBERS[[#This Row],[SchoolCodes]]),1,0),IF(MEMBERS[[#This Row],[AvailableToAllSchools]]=TRUE,IF(ISBLANK(MEMBERS[[#This Row],[SchoolCodes]]),0,1)))</f>
        <v>0</v>
      </c>
      <c r="F807" s="57">
        <f>IF(ISBLANK(MEMBERS[[#This Row],[ServiceEndDate]]),0,IF(MEMBERS[[#This Row],[ServiceStartDate]]&lt;MEMBERS[[#This Row],[ServiceEndDate]],0,1))</f>
        <v>0</v>
      </c>
      <c r="G807" s="57" cm="1">
        <f t="array" aca="1" ref="G807" ca="1">IF(CELL("format",MEMBERS[[#This Row],[ServiceStartDate]])="D1",0,1)+IF(CELL("format",MEMBERS[[#This Row],[ServiceEndDate]])="D1",0,1)</f>
        <v>0</v>
      </c>
      <c r="H80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07" s="57">
        <f>IF(LEN(MEMBERS[[#This Row],[StaffMemberCode]])&lt;100,0,1)</f>
        <v>0</v>
      </c>
      <c r="J807" s="57">
        <f>IF(LEN(MEMBERS[[#This Row],[Title]])&lt;100,0,1)</f>
        <v>0</v>
      </c>
      <c r="K807" s="57">
        <f>COUNTBLANK(MEMBERS[[#This Row],[StaffMemberCode]:[ServiceStartDate]])+COUNTBLANK(MEMBERS[[#This Row],[Apprenticeship]]:MEMBERS[[#This Row],[StaffMemberEnabled]])+COUNTBLANK(MEMBERS[[#This Row],[GenderCode]]:MEMBERS[[#This Row],[Casual]])</f>
        <v>0</v>
      </c>
      <c r="L807" s="57">
        <f>IF(SUBSTITUTE(TEXT(MEMBERS[[#This Row],[StaffMemberCode]],10)," ","")=TEXT(MEMBERS[[#This Row],[StaffMemberCode]],10),0,1)</f>
        <v>0</v>
      </c>
      <c r="M807" s="57">
        <f ca="1">SUM(MEMBERS[[#This Row],[Duplicate NameService Start]:[Space in Code]])</f>
        <v>0</v>
      </c>
      <c r="O807" s="15">
        <v>10007960</v>
      </c>
      <c r="P807" s="15" t="s">
        <v>3451</v>
      </c>
      <c r="Q807" s="15" t="s">
        <v>4148</v>
      </c>
      <c r="R807" s="133" t="str">
        <f>MEMBERS[[#This Row],[FirstName]]&amp;" "&amp;MEMBERS[[#This Row],[LastName]]</f>
        <v>Victoria Pickering</v>
      </c>
      <c r="S807" s="21">
        <v>44376</v>
      </c>
      <c r="U807" s="21">
        <v>31048</v>
      </c>
      <c r="V807" s="138" t="b">
        <v>0</v>
      </c>
      <c r="W807" t="b">
        <v>0</v>
      </c>
      <c r="X807" t="b">
        <v>0</v>
      </c>
      <c r="Y807" t="s">
        <v>2126</v>
      </c>
      <c r="Z807" t="b">
        <v>1</v>
      </c>
      <c r="AB807" t="s">
        <v>1571</v>
      </c>
      <c r="AC807" t="b">
        <v>1</v>
      </c>
    </row>
    <row r="808" spans="1:29" x14ac:dyDescent="0.3">
      <c r="A808" s="57" t="str">
        <f>MEMBERS[[#This Row],[Title]]&amp;MEMBERS[[#This Row],[ServiceStartDate]]</f>
        <v>Victoria Roberts45446</v>
      </c>
      <c r="B808" s="57">
        <f>IF(COUNTIF(MEMBERS[NameServiceStart],MEMBERS[[#This Row],[NameServiceStart]])=1,0,1)</f>
        <v>0</v>
      </c>
      <c r="C808" s="57">
        <f>IF(COUNTIF(MEMBERS[StaffMemberCode],MEMBERS[[#This Row],[StaffMemberCode]])=1,0,1)</f>
        <v>0</v>
      </c>
      <c r="D808" s="57">
        <f>IF(ISBLANK(MEMBERS[[#This Row],[PayrollLocation]]),0,IF(COUNTIF(SCHOOLS[SchoolCode],MEMBERS[[#This Row],[PayrollLocation]])=1,0,1))</f>
        <v>0</v>
      </c>
      <c r="E808" s="57">
        <f>IF(MEMBERS[[#This Row],[AvailableToAllSchools]]=FALSE,IF(ISBLANK(MEMBERS[[#This Row],[SchoolCodes]]),1,0),IF(MEMBERS[[#This Row],[AvailableToAllSchools]]=TRUE,IF(ISBLANK(MEMBERS[[#This Row],[SchoolCodes]]),0,1)))</f>
        <v>0</v>
      </c>
      <c r="F808" s="57">
        <f>IF(ISBLANK(MEMBERS[[#This Row],[ServiceEndDate]]),0,IF(MEMBERS[[#This Row],[ServiceStartDate]]&lt;MEMBERS[[#This Row],[ServiceEndDate]],0,1))</f>
        <v>0</v>
      </c>
      <c r="G808" s="57" cm="1">
        <f t="array" aca="1" ref="G808" ca="1">IF(CELL("format",MEMBERS[[#This Row],[ServiceStartDate]])="D1",0,1)+IF(CELL("format",MEMBERS[[#This Row],[ServiceEndDate]])="D1",0,1)</f>
        <v>0</v>
      </c>
      <c r="H80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08" s="57">
        <f>IF(LEN(MEMBERS[[#This Row],[StaffMemberCode]])&lt;100,0,1)</f>
        <v>0</v>
      </c>
      <c r="J808" s="57">
        <f>IF(LEN(MEMBERS[[#This Row],[Title]])&lt;100,0,1)</f>
        <v>0</v>
      </c>
      <c r="K808" s="57">
        <f>COUNTBLANK(MEMBERS[[#This Row],[StaffMemberCode]:[ServiceStartDate]])+COUNTBLANK(MEMBERS[[#This Row],[Apprenticeship]]:MEMBERS[[#This Row],[StaffMemberEnabled]])+COUNTBLANK(MEMBERS[[#This Row],[GenderCode]]:MEMBERS[[#This Row],[Casual]])</f>
        <v>0</v>
      </c>
      <c r="L808" s="57">
        <f>IF(SUBSTITUTE(TEXT(MEMBERS[[#This Row],[StaffMemberCode]],10)," ","")=TEXT(MEMBERS[[#This Row],[StaffMemberCode]],10),0,1)</f>
        <v>0</v>
      </c>
      <c r="M808" s="57">
        <f ca="1">SUM(MEMBERS[[#This Row],[Duplicate NameService Start]:[Space in Code]])</f>
        <v>0</v>
      </c>
      <c r="O808" s="15">
        <v>10014962</v>
      </c>
      <c r="P808" s="15" t="s">
        <v>3451</v>
      </c>
      <c r="Q808" s="15" t="s">
        <v>3514</v>
      </c>
      <c r="R808" s="133" t="str">
        <f>MEMBERS[[#This Row],[FirstName]]&amp;" "&amp;MEMBERS[[#This Row],[LastName]]</f>
        <v>Victoria Roberts</v>
      </c>
      <c r="S808" s="21">
        <v>45446</v>
      </c>
      <c r="U808" s="21">
        <v>33550</v>
      </c>
      <c r="V808" s="138" t="b">
        <v>0</v>
      </c>
      <c r="W808" t="b">
        <v>0</v>
      </c>
      <c r="X808" t="b">
        <v>0</v>
      </c>
      <c r="Y808" t="s">
        <v>2126</v>
      </c>
      <c r="Z808" t="b">
        <v>1</v>
      </c>
      <c r="AB808" t="s">
        <v>1571</v>
      </c>
      <c r="AC808" t="b">
        <v>0</v>
      </c>
    </row>
    <row r="809" spans="1:29" x14ac:dyDescent="0.3">
      <c r="A809" s="57" t="str">
        <f>MEMBERS[[#This Row],[Title]]&amp;MEMBERS[[#This Row],[ServiceStartDate]]</f>
        <v>Victoria Robinson39456</v>
      </c>
      <c r="B809" s="57">
        <f>IF(COUNTIF(MEMBERS[NameServiceStart],MEMBERS[[#This Row],[NameServiceStart]])=1,0,1)</f>
        <v>0</v>
      </c>
      <c r="C809" s="57">
        <f>IF(COUNTIF(MEMBERS[StaffMemberCode],MEMBERS[[#This Row],[StaffMemberCode]])=1,0,1)</f>
        <v>0</v>
      </c>
      <c r="D809" s="57">
        <f>IF(ISBLANK(MEMBERS[[#This Row],[PayrollLocation]]),0,IF(COUNTIF(SCHOOLS[SchoolCode],MEMBERS[[#This Row],[PayrollLocation]])=1,0,1))</f>
        <v>0</v>
      </c>
      <c r="E809" s="57">
        <f>IF(MEMBERS[[#This Row],[AvailableToAllSchools]]=FALSE,IF(ISBLANK(MEMBERS[[#This Row],[SchoolCodes]]),1,0),IF(MEMBERS[[#This Row],[AvailableToAllSchools]]=TRUE,IF(ISBLANK(MEMBERS[[#This Row],[SchoolCodes]]),0,1)))</f>
        <v>0</v>
      </c>
      <c r="F809" s="57">
        <f>IF(ISBLANK(MEMBERS[[#This Row],[ServiceEndDate]]),0,IF(MEMBERS[[#This Row],[ServiceStartDate]]&lt;MEMBERS[[#This Row],[ServiceEndDate]],0,1))</f>
        <v>0</v>
      </c>
      <c r="G809" s="57" cm="1">
        <f t="array" aca="1" ref="G809" ca="1">IF(CELL("format",MEMBERS[[#This Row],[ServiceStartDate]])="D1",0,1)+IF(CELL("format",MEMBERS[[#This Row],[ServiceEndDate]])="D1",0,1)</f>
        <v>0</v>
      </c>
      <c r="H80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09" s="57">
        <f>IF(LEN(MEMBERS[[#This Row],[StaffMemberCode]])&lt;100,0,1)</f>
        <v>0</v>
      </c>
      <c r="J809" s="57">
        <f>IF(LEN(MEMBERS[[#This Row],[Title]])&lt;100,0,1)</f>
        <v>0</v>
      </c>
      <c r="K809" s="57">
        <f>COUNTBLANK(MEMBERS[[#This Row],[StaffMemberCode]:[ServiceStartDate]])+COUNTBLANK(MEMBERS[[#This Row],[Apprenticeship]]:MEMBERS[[#This Row],[StaffMemberEnabled]])+COUNTBLANK(MEMBERS[[#This Row],[GenderCode]]:MEMBERS[[#This Row],[Casual]])</f>
        <v>0</v>
      </c>
      <c r="L809" s="57">
        <f>IF(SUBSTITUTE(TEXT(MEMBERS[[#This Row],[StaffMemberCode]],10)," ","")=TEXT(MEMBERS[[#This Row],[StaffMemberCode]],10),0,1)</f>
        <v>0</v>
      </c>
      <c r="M809" s="57">
        <f ca="1">SUM(MEMBERS[[#This Row],[Duplicate NameService Start]:[Space in Code]])</f>
        <v>0</v>
      </c>
      <c r="O809" s="15">
        <v>91073563</v>
      </c>
      <c r="P809" s="15" t="s">
        <v>3451</v>
      </c>
      <c r="Q809" s="15" t="s">
        <v>3519</v>
      </c>
      <c r="R809" s="133" t="str">
        <f>MEMBERS[[#This Row],[FirstName]]&amp;" "&amp;MEMBERS[[#This Row],[LastName]]</f>
        <v>Victoria Robinson</v>
      </c>
      <c r="S809" s="21">
        <v>39456</v>
      </c>
      <c r="U809" s="21">
        <v>31149</v>
      </c>
      <c r="V809" t="b">
        <v>0</v>
      </c>
      <c r="W809" t="b">
        <v>0</v>
      </c>
      <c r="X809" t="b">
        <v>0</v>
      </c>
      <c r="Y809" t="s">
        <v>2094</v>
      </c>
      <c r="Z809" t="b">
        <v>1</v>
      </c>
      <c r="AB809" t="s">
        <v>1571</v>
      </c>
      <c r="AC809" t="b">
        <v>0</v>
      </c>
    </row>
    <row r="810" spans="1:29" x14ac:dyDescent="0.3">
      <c r="A810" s="57" t="str">
        <f>MEMBERS[[#This Row],[Title]]&amp;MEMBERS[[#This Row],[ServiceStartDate]]</f>
        <v>Victoria Ryan40917</v>
      </c>
      <c r="B810" s="57">
        <f>IF(COUNTIF(MEMBERS[NameServiceStart],MEMBERS[[#This Row],[NameServiceStart]])=1,0,1)</f>
        <v>0</v>
      </c>
      <c r="C810" s="57">
        <f>IF(COUNTIF(MEMBERS[StaffMemberCode],MEMBERS[[#This Row],[StaffMemberCode]])=1,0,1)</f>
        <v>0</v>
      </c>
      <c r="D810" s="57">
        <f>IF(ISBLANK(MEMBERS[[#This Row],[PayrollLocation]]),0,IF(COUNTIF(SCHOOLS[SchoolCode],MEMBERS[[#This Row],[PayrollLocation]])=1,0,1))</f>
        <v>0</v>
      </c>
      <c r="E810" s="57">
        <f>IF(MEMBERS[[#This Row],[AvailableToAllSchools]]=FALSE,IF(ISBLANK(MEMBERS[[#This Row],[SchoolCodes]]),1,0),IF(MEMBERS[[#This Row],[AvailableToAllSchools]]=TRUE,IF(ISBLANK(MEMBERS[[#This Row],[SchoolCodes]]),0,1)))</f>
        <v>0</v>
      </c>
      <c r="F810" s="57">
        <f>IF(ISBLANK(MEMBERS[[#This Row],[ServiceEndDate]]),0,IF(MEMBERS[[#This Row],[ServiceStartDate]]&lt;MEMBERS[[#This Row],[ServiceEndDate]],0,1))</f>
        <v>0</v>
      </c>
      <c r="G810" s="57" cm="1">
        <f t="array" aca="1" ref="G810" ca="1">IF(CELL("format",MEMBERS[[#This Row],[ServiceStartDate]])="D1",0,1)+IF(CELL("format",MEMBERS[[#This Row],[ServiceEndDate]])="D1",0,1)</f>
        <v>0</v>
      </c>
      <c r="H81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10" s="57">
        <f>IF(LEN(MEMBERS[[#This Row],[StaffMemberCode]])&lt;100,0,1)</f>
        <v>0</v>
      </c>
      <c r="J810" s="57">
        <f>IF(LEN(MEMBERS[[#This Row],[Title]])&lt;100,0,1)</f>
        <v>0</v>
      </c>
      <c r="K810" s="57">
        <f>COUNTBLANK(MEMBERS[[#This Row],[StaffMemberCode]:[ServiceStartDate]])+COUNTBLANK(MEMBERS[[#This Row],[Apprenticeship]]:MEMBERS[[#This Row],[StaffMemberEnabled]])+COUNTBLANK(MEMBERS[[#This Row],[GenderCode]]:MEMBERS[[#This Row],[Casual]])</f>
        <v>0</v>
      </c>
      <c r="L810" s="57">
        <f>IF(SUBSTITUTE(TEXT(MEMBERS[[#This Row],[StaffMemberCode]],10)," ","")=TEXT(MEMBERS[[#This Row],[StaffMemberCode]],10),0,1)</f>
        <v>0</v>
      </c>
      <c r="M810" s="57">
        <f ca="1">SUM(MEMBERS[[#This Row],[Duplicate NameService Start]:[Space in Code]])</f>
        <v>0</v>
      </c>
      <c r="O810" s="15">
        <v>91073770</v>
      </c>
      <c r="P810" s="15" t="s">
        <v>3451</v>
      </c>
      <c r="Q810" s="15" t="s">
        <v>3936</v>
      </c>
      <c r="R810" s="133" t="str">
        <f>MEMBERS[[#This Row],[FirstName]]&amp;" "&amp;MEMBERS[[#This Row],[LastName]]</f>
        <v>Victoria Ryan</v>
      </c>
      <c r="S810" s="21">
        <v>40917</v>
      </c>
      <c r="U810" s="21">
        <v>30356</v>
      </c>
      <c r="V810" t="b">
        <v>0</v>
      </c>
      <c r="W810" t="b">
        <v>0</v>
      </c>
      <c r="X810" t="b">
        <v>0</v>
      </c>
      <c r="Y810" t="s">
        <v>2082</v>
      </c>
      <c r="Z810" t="b">
        <v>1</v>
      </c>
      <c r="AB810" t="s">
        <v>1571</v>
      </c>
      <c r="AC810" t="b">
        <v>0</v>
      </c>
    </row>
    <row r="811" spans="1:29" x14ac:dyDescent="0.3">
      <c r="A811" s="57" t="str">
        <f>MEMBERS[[#This Row],[Title]]&amp;MEMBERS[[#This Row],[ServiceStartDate]]</f>
        <v>Victoria Skelding37995</v>
      </c>
      <c r="B811" s="57">
        <f>IF(COUNTIF(MEMBERS[NameServiceStart],MEMBERS[[#This Row],[NameServiceStart]])=1,0,1)</f>
        <v>0</v>
      </c>
      <c r="C811" s="57">
        <f>IF(COUNTIF(MEMBERS[StaffMemberCode],MEMBERS[[#This Row],[StaffMemberCode]])=1,0,1)</f>
        <v>0</v>
      </c>
      <c r="D811" s="57">
        <f>IF(ISBLANK(MEMBERS[[#This Row],[PayrollLocation]]),0,IF(COUNTIF(SCHOOLS[SchoolCode],MEMBERS[[#This Row],[PayrollLocation]])=1,0,1))</f>
        <v>0</v>
      </c>
      <c r="E811" s="57">
        <f>IF(MEMBERS[[#This Row],[AvailableToAllSchools]]=FALSE,IF(ISBLANK(MEMBERS[[#This Row],[SchoolCodes]]),1,0),IF(MEMBERS[[#This Row],[AvailableToAllSchools]]=TRUE,IF(ISBLANK(MEMBERS[[#This Row],[SchoolCodes]]),0,1)))</f>
        <v>0</v>
      </c>
      <c r="F811" s="57">
        <f>IF(ISBLANK(MEMBERS[[#This Row],[ServiceEndDate]]),0,IF(MEMBERS[[#This Row],[ServiceStartDate]]&lt;MEMBERS[[#This Row],[ServiceEndDate]],0,1))</f>
        <v>0</v>
      </c>
      <c r="G811" s="57" cm="1">
        <f t="array" aca="1" ref="G811" ca="1">IF(CELL("format",MEMBERS[[#This Row],[ServiceStartDate]])="D1",0,1)+IF(CELL("format",MEMBERS[[#This Row],[ServiceEndDate]])="D1",0,1)</f>
        <v>0</v>
      </c>
      <c r="H81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11" s="57">
        <f>IF(LEN(MEMBERS[[#This Row],[StaffMemberCode]])&lt;100,0,1)</f>
        <v>0</v>
      </c>
      <c r="J811" s="57">
        <f>IF(LEN(MEMBERS[[#This Row],[Title]])&lt;100,0,1)</f>
        <v>0</v>
      </c>
      <c r="K811" s="57">
        <f>COUNTBLANK(MEMBERS[[#This Row],[StaffMemberCode]:[ServiceStartDate]])+COUNTBLANK(MEMBERS[[#This Row],[Apprenticeship]]:MEMBERS[[#This Row],[StaffMemberEnabled]])+COUNTBLANK(MEMBERS[[#This Row],[GenderCode]]:MEMBERS[[#This Row],[Casual]])</f>
        <v>0</v>
      </c>
      <c r="L811" s="57">
        <f>IF(SUBSTITUTE(TEXT(MEMBERS[[#This Row],[StaffMemberCode]],10)," ","")=TEXT(MEMBERS[[#This Row],[StaffMemberCode]],10),0,1)</f>
        <v>0</v>
      </c>
      <c r="M811" s="57">
        <f ca="1">SUM(MEMBERS[[#This Row],[Duplicate NameService Start]:[Space in Code]])</f>
        <v>0</v>
      </c>
      <c r="O811" s="15">
        <v>91073506</v>
      </c>
      <c r="P811" s="15" t="s">
        <v>3451</v>
      </c>
      <c r="Q811" s="15" t="s">
        <v>3937</v>
      </c>
      <c r="R811" s="133" t="str">
        <f>MEMBERS[[#This Row],[FirstName]]&amp;" "&amp;MEMBERS[[#This Row],[LastName]]</f>
        <v>Victoria Skelding</v>
      </c>
      <c r="S811" s="21">
        <v>37995</v>
      </c>
      <c r="U811" s="21">
        <v>29909</v>
      </c>
      <c r="V811" t="b">
        <v>0</v>
      </c>
      <c r="W811" t="b">
        <v>0</v>
      </c>
      <c r="X811" t="b">
        <v>0</v>
      </c>
      <c r="Y811" t="s">
        <v>2094</v>
      </c>
      <c r="Z811" t="b">
        <v>1</v>
      </c>
      <c r="AB811" t="s">
        <v>1571</v>
      </c>
      <c r="AC811" t="b">
        <v>0</v>
      </c>
    </row>
    <row r="812" spans="1:29" x14ac:dyDescent="0.3">
      <c r="A812" s="57" t="str">
        <f>MEMBERS[[#This Row],[Title]]&amp;MEMBERS[[#This Row],[ServiceStartDate]]</f>
        <v>Victoria Thorley40787</v>
      </c>
      <c r="B812" s="57">
        <f>IF(COUNTIF(MEMBERS[NameServiceStart],MEMBERS[[#This Row],[NameServiceStart]])=1,0,1)</f>
        <v>0</v>
      </c>
      <c r="C812" s="57">
        <f>IF(COUNTIF(MEMBERS[StaffMemberCode],MEMBERS[[#This Row],[StaffMemberCode]])=1,0,1)</f>
        <v>0</v>
      </c>
      <c r="D812" s="57">
        <f>IF(ISBLANK(MEMBERS[[#This Row],[PayrollLocation]]),0,IF(COUNTIF(SCHOOLS[SchoolCode],MEMBERS[[#This Row],[PayrollLocation]])=1,0,1))</f>
        <v>0</v>
      </c>
      <c r="E812" s="57">
        <f>IF(MEMBERS[[#This Row],[AvailableToAllSchools]]=FALSE,IF(ISBLANK(MEMBERS[[#This Row],[SchoolCodes]]),1,0),IF(MEMBERS[[#This Row],[AvailableToAllSchools]]=TRUE,IF(ISBLANK(MEMBERS[[#This Row],[SchoolCodes]]),0,1)))</f>
        <v>0</v>
      </c>
      <c r="F812" s="57">
        <f>IF(ISBLANK(MEMBERS[[#This Row],[ServiceEndDate]]),0,IF(MEMBERS[[#This Row],[ServiceStartDate]]&lt;MEMBERS[[#This Row],[ServiceEndDate]],0,1))</f>
        <v>0</v>
      </c>
      <c r="G812" s="57" cm="1">
        <f t="array" aca="1" ref="G812" ca="1">IF(CELL("format",MEMBERS[[#This Row],[ServiceStartDate]])="D1",0,1)+IF(CELL("format",MEMBERS[[#This Row],[ServiceEndDate]])="D1",0,1)</f>
        <v>0</v>
      </c>
      <c r="H81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12" s="57">
        <f>IF(LEN(MEMBERS[[#This Row],[StaffMemberCode]])&lt;100,0,1)</f>
        <v>0</v>
      </c>
      <c r="J812" s="57">
        <f>IF(LEN(MEMBERS[[#This Row],[Title]])&lt;100,0,1)</f>
        <v>0</v>
      </c>
      <c r="K812" s="57">
        <f>COUNTBLANK(MEMBERS[[#This Row],[StaffMemberCode]:[ServiceStartDate]])+COUNTBLANK(MEMBERS[[#This Row],[Apprenticeship]]:MEMBERS[[#This Row],[StaffMemberEnabled]])+COUNTBLANK(MEMBERS[[#This Row],[GenderCode]]:MEMBERS[[#This Row],[Casual]])</f>
        <v>0</v>
      </c>
      <c r="L812" s="57">
        <f>IF(SUBSTITUTE(TEXT(MEMBERS[[#This Row],[StaffMemberCode]],10)," ","")=TEXT(MEMBERS[[#This Row],[StaffMemberCode]],10),0,1)</f>
        <v>0</v>
      </c>
      <c r="M812" s="57">
        <f ca="1">SUM(MEMBERS[[#This Row],[Duplicate NameService Start]:[Space in Code]])</f>
        <v>0</v>
      </c>
      <c r="O812" s="15">
        <v>10005331</v>
      </c>
      <c r="P812" s="15" t="s">
        <v>3451</v>
      </c>
      <c r="Q812" s="15" t="s">
        <v>3763</v>
      </c>
      <c r="R812" s="133" t="str">
        <f>MEMBERS[[#This Row],[FirstName]]&amp;" "&amp;MEMBERS[[#This Row],[LastName]]</f>
        <v>Victoria Thorley</v>
      </c>
      <c r="S812" s="21">
        <v>40787</v>
      </c>
      <c r="U812" s="21">
        <v>32422</v>
      </c>
      <c r="V812" s="138" t="b">
        <v>0</v>
      </c>
      <c r="W812" t="b">
        <v>0</v>
      </c>
      <c r="X812" t="b">
        <v>0</v>
      </c>
      <c r="Y812" t="s">
        <v>2126</v>
      </c>
      <c r="Z812" t="b">
        <v>1</v>
      </c>
      <c r="AB812" t="s">
        <v>1571</v>
      </c>
      <c r="AC812" t="b">
        <v>0</v>
      </c>
    </row>
    <row r="813" spans="1:29" x14ac:dyDescent="0.3">
      <c r="A813" s="57" t="str">
        <f>MEMBERS[[#This Row],[Title]]&amp;MEMBERS[[#This Row],[ServiceStartDate]]</f>
        <v>Victoria Wright40336</v>
      </c>
      <c r="B813" s="57">
        <f>IF(COUNTIF(MEMBERS[NameServiceStart],MEMBERS[[#This Row],[NameServiceStart]])=1,0,1)</f>
        <v>0</v>
      </c>
      <c r="C813" s="57">
        <f>IF(COUNTIF(MEMBERS[StaffMemberCode],MEMBERS[[#This Row],[StaffMemberCode]])=1,0,1)</f>
        <v>0</v>
      </c>
      <c r="D813" s="57">
        <f>IF(ISBLANK(MEMBERS[[#This Row],[PayrollLocation]]),0,IF(COUNTIF(SCHOOLS[SchoolCode],MEMBERS[[#This Row],[PayrollLocation]])=1,0,1))</f>
        <v>0</v>
      </c>
      <c r="E813" s="57">
        <f>IF(MEMBERS[[#This Row],[AvailableToAllSchools]]=FALSE,IF(ISBLANK(MEMBERS[[#This Row],[SchoolCodes]]),1,0),IF(MEMBERS[[#This Row],[AvailableToAllSchools]]=TRUE,IF(ISBLANK(MEMBERS[[#This Row],[SchoolCodes]]),0,1)))</f>
        <v>0</v>
      </c>
      <c r="F813" s="57">
        <f>IF(ISBLANK(MEMBERS[[#This Row],[ServiceEndDate]]),0,IF(MEMBERS[[#This Row],[ServiceStartDate]]&lt;MEMBERS[[#This Row],[ServiceEndDate]],0,1))</f>
        <v>0</v>
      </c>
      <c r="G813" s="57" cm="1">
        <f t="array" aca="1" ref="G813" ca="1">IF(CELL("format",MEMBERS[[#This Row],[ServiceStartDate]])="D1",0,1)+IF(CELL("format",MEMBERS[[#This Row],[ServiceEndDate]])="D1",0,1)</f>
        <v>0</v>
      </c>
      <c r="H81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13" s="57">
        <f>IF(LEN(MEMBERS[[#This Row],[StaffMemberCode]])&lt;100,0,1)</f>
        <v>0</v>
      </c>
      <c r="J813" s="57">
        <f>IF(LEN(MEMBERS[[#This Row],[Title]])&lt;100,0,1)</f>
        <v>0</v>
      </c>
      <c r="K813" s="57">
        <f>COUNTBLANK(MEMBERS[[#This Row],[StaffMemberCode]:[ServiceStartDate]])+COUNTBLANK(MEMBERS[[#This Row],[Apprenticeship]]:MEMBERS[[#This Row],[StaffMemberEnabled]])+COUNTBLANK(MEMBERS[[#This Row],[GenderCode]]:MEMBERS[[#This Row],[Casual]])</f>
        <v>0</v>
      </c>
      <c r="L813" s="57">
        <f>IF(SUBSTITUTE(TEXT(MEMBERS[[#This Row],[StaffMemberCode]],10)," ","")=TEXT(MEMBERS[[#This Row],[StaffMemberCode]],10),0,1)</f>
        <v>0</v>
      </c>
      <c r="M813" s="57">
        <f ca="1">SUM(MEMBERS[[#This Row],[Duplicate NameService Start]:[Space in Code]])</f>
        <v>0</v>
      </c>
      <c r="O813" s="15">
        <v>91075752</v>
      </c>
      <c r="P813" s="15" t="s">
        <v>3451</v>
      </c>
      <c r="Q813" s="15" t="s">
        <v>3671</v>
      </c>
      <c r="R813" s="133" t="str">
        <f>MEMBERS[[#This Row],[FirstName]]&amp;" "&amp;MEMBERS[[#This Row],[LastName]]</f>
        <v>Victoria Wright</v>
      </c>
      <c r="S813" s="21">
        <v>40336</v>
      </c>
      <c r="U813" s="21">
        <v>25283</v>
      </c>
      <c r="V813" t="b">
        <v>0</v>
      </c>
      <c r="W813" t="b">
        <v>0</v>
      </c>
      <c r="X813" t="b">
        <v>0</v>
      </c>
      <c r="Y813" t="s">
        <v>2200</v>
      </c>
      <c r="Z813" t="b">
        <v>1</v>
      </c>
      <c r="AB813" t="s">
        <v>1571</v>
      </c>
      <c r="AC813" t="b">
        <v>0</v>
      </c>
    </row>
    <row r="814" spans="1:29" x14ac:dyDescent="0.3">
      <c r="A814" s="57" t="str">
        <f>MEMBERS[[#This Row],[Title]]&amp;MEMBERS[[#This Row],[ServiceStartDate]]</f>
        <v>Vivienne Ruscoe40189</v>
      </c>
      <c r="B814" s="57">
        <f>IF(COUNTIF(MEMBERS[NameServiceStart],MEMBERS[[#This Row],[NameServiceStart]])=1,0,1)</f>
        <v>0</v>
      </c>
      <c r="C814" s="57">
        <f>IF(COUNTIF(MEMBERS[StaffMemberCode],MEMBERS[[#This Row],[StaffMemberCode]])=1,0,1)</f>
        <v>0</v>
      </c>
      <c r="D814" s="57">
        <f>IF(ISBLANK(MEMBERS[[#This Row],[PayrollLocation]]),0,IF(COUNTIF(SCHOOLS[SchoolCode],MEMBERS[[#This Row],[PayrollLocation]])=1,0,1))</f>
        <v>0</v>
      </c>
      <c r="E814" s="57">
        <f>IF(MEMBERS[[#This Row],[AvailableToAllSchools]]=FALSE,IF(ISBLANK(MEMBERS[[#This Row],[SchoolCodes]]),1,0),IF(MEMBERS[[#This Row],[AvailableToAllSchools]]=TRUE,IF(ISBLANK(MEMBERS[[#This Row],[SchoolCodes]]),0,1)))</f>
        <v>0</v>
      </c>
      <c r="F814" s="57">
        <f>IF(ISBLANK(MEMBERS[[#This Row],[ServiceEndDate]]),0,IF(MEMBERS[[#This Row],[ServiceStartDate]]&lt;MEMBERS[[#This Row],[ServiceEndDate]],0,1))</f>
        <v>0</v>
      </c>
      <c r="G814" s="57" cm="1">
        <f t="array" aca="1" ref="G814" ca="1">IF(CELL("format",MEMBERS[[#This Row],[ServiceStartDate]])="D1",0,1)+IF(CELL("format",MEMBERS[[#This Row],[ServiceEndDate]])="D1",0,1)</f>
        <v>0</v>
      </c>
      <c r="H81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14" s="57">
        <f>IF(LEN(MEMBERS[[#This Row],[StaffMemberCode]])&lt;100,0,1)</f>
        <v>0</v>
      </c>
      <c r="J814" s="57">
        <f>IF(LEN(MEMBERS[[#This Row],[Title]])&lt;100,0,1)</f>
        <v>0</v>
      </c>
      <c r="K814" s="57">
        <f>COUNTBLANK(MEMBERS[[#This Row],[StaffMemberCode]:[ServiceStartDate]])+COUNTBLANK(MEMBERS[[#This Row],[Apprenticeship]]:MEMBERS[[#This Row],[StaffMemberEnabled]])+COUNTBLANK(MEMBERS[[#This Row],[GenderCode]]:MEMBERS[[#This Row],[Casual]])</f>
        <v>0</v>
      </c>
      <c r="L814" s="57">
        <f>IF(SUBSTITUTE(TEXT(MEMBERS[[#This Row],[StaffMemberCode]],10)," ","")=TEXT(MEMBERS[[#This Row],[StaffMemberCode]],10),0,1)</f>
        <v>0</v>
      </c>
      <c r="M814" s="57">
        <f ca="1">SUM(MEMBERS[[#This Row],[Duplicate NameService Start]:[Space in Code]])</f>
        <v>0</v>
      </c>
      <c r="O814" s="15">
        <v>91073527</v>
      </c>
      <c r="P814" s="15" t="s">
        <v>3452</v>
      </c>
      <c r="Q814" s="15" t="s">
        <v>3938</v>
      </c>
      <c r="R814" s="133" t="str">
        <f>MEMBERS[[#This Row],[FirstName]]&amp;" "&amp;MEMBERS[[#This Row],[LastName]]</f>
        <v>Vivienne Ruscoe</v>
      </c>
      <c r="S814" s="21">
        <v>40189</v>
      </c>
      <c r="U814" s="21">
        <v>23782</v>
      </c>
      <c r="V814" t="b">
        <v>0</v>
      </c>
      <c r="W814" t="b">
        <v>0</v>
      </c>
      <c r="X814" t="b">
        <v>0</v>
      </c>
      <c r="Y814" t="s">
        <v>2094</v>
      </c>
      <c r="Z814" t="b">
        <v>1</v>
      </c>
      <c r="AB814" t="s">
        <v>1571</v>
      </c>
      <c r="AC814" t="b">
        <v>0</v>
      </c>
    </row>
    <row r="815" spans="1:29" x14ac:dyDescent="0.3">
      <c r="A815" s="57" t="str">
        <f>MEMBERS[[#This Row],[Title]]&amp;MEMBERS[[#This Row],[ServiceStartDate]]</f>
        <v>Warinda Pullinger44578</v>
      </c>
      <c r="B815" s="57">
        <f>IF(COUNTIF(MEMBERS[NameServiceStart],MEMBERS[[#This Row],[NameServiceStart]])=1,0,1)</f>
        <v>0</v>
      </c>
      <c r="C815" s="57">
        <f>IF(COUNTIF(MEMBERS[StaffMemberCode],MEMBERS[[#This Row],[StaffMemberCode]])=1,0,1)</f>
        <v>0</v>
      </c>
      <c r="D815" s="57">
        <f>IF(ISBLANK(MEMBERS[[#This Row],[PayrollLocation]]),0,IF(COUNTIF(SCHOOLS[SchoolCode],MEMBERS[[#This Row],[PayrollLocation]])=1,0,1))</f>
        <v>0</v>
      </c>
      <c r="E815" s="57">
        <f>IF(MEMBERS[[#This Row],[AvailableToAllSchools]]=FALSE,IF(ISBLANK(MEMBERS[[#This Row],[SchoolCodes]]),1,0),IF(MEMBERS[[#This Row],[AvailableToAllSchools]]=TRUE,IF(ISBLANK(MEMBERS[[#This Row],[SchoolCodes]]),0,1)))</f>
        <v>0</v>
      </c>
      <c r="F815" s="57">
        <f>IF(ISBLANK(MEMBERS[[#This Row],[ServiceEndDate]]),0,IF(MEMBERS[[#This Row],[ServiceStartDate]]&lt;MEMBERS[[#This Row],[ServiceEndDate]],0,1))</f>
        <v>0</v>
      </c>
      <c r="G815" s="57" cm="1">
        <f t="array" aca="1" ref="G815" ca="1">IF(CELL("format",MEMBERS[[#This Row],[ServiceStartDate]])="D1",0,1)+IF(CELL("format",MEMBERS[[#This Row],[ServiceEndDate]])="D1",0,1)</f>
        <v>0</v>
      </c>
      <c r="H81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15" s="57">
        <f>IF(LEN(MEMBERS[[#This Row],[StaffMemberCode]])&lt;100,0,1)</f>
        <v>0</v>
      </c>
      <c r="J815" s="57">
        <f>IF(LEN(MEMBERS[[#This Row],[Title]])&lt;100,0,1)</f>
        <v>0</v>
      </c>
      <c r="K815" s="57">
        <f>COUNTBLANK(MEMBERS[[#This Row],[StaffMemberCode]:[ServiceStartDate]])+COUNTBLANK(MEMBERS[[#This Row],[Apprenticeship]]:MEMBERS[[#This Row],[StaffMemberEnabled]])+COUNTBLANK(MEMBERS[[#This Row],[GenderCode]]:MEMBERS[[#This Row],[Casual]])</f>
        <v>0</v>
      </c>
      <c r="L815" s="57">
        <f>IF(SUBSTITUTE(TEXT(MEMBERS[[#This Row],[StaffMemberCode]],10)," ","")=TEXT(MEMBERS[[#This Row],[StaffMemberCode]],10),0,1)</f>
        <v>0</v>
      </c>
      <c r="M815" s="57">
        <f ca="1">SUM(MEMBERS[[#This Row],[Duplicate NameService Start]:[Space in Code]])</f>
        <v>0</v>
      </c>
      <c r="O815" s="15">
        <v>91073794</v>
      </c>
      <c r="P815" s="15" t="s">
        <v>3453</v>
      </c>
      <c r="Q815" s="15" t="s">
        <v>3939</v>
      </c>
      <c r="R815" s="133" t="str">
        <f>MEMBERS[[#This Row],[FirstName]]&amp;" "&amp;MEMBERS[[#This Row],[LastName]]</f>
        <v>Warinda Pullinger</v>
      </c>
      <c r="S815" s="21">
        <v>44578</v>
      </c>
      <c r="U815" s="21">
        <v>31517</v>
      </c>
      <c r="V815" t="b">
        <v>0</v>
      </c>
      <c r="W815" t="b">
        <v>0</v>
      </c>
      <c r="X815" t="b">
        <v>0</v>
      </c>
      <c r="Y815" t="s">
        <v>2082</v>
      </c>
      <c r="Z815" t="b">
        <v>1</v>
      </c>
      <c r="AB815" t="s">
        <v>1571</v>
      </c>
      <c r="AC815" t="b">
        <v>0</v>
      </c>
    </row>
    <row r="816" spans="1:29" x14ac:dyDescent="0.3">
      <c r="A816" s="57" t="str">
        <f>MEMBERS[[#This Row],[Title]]&amp;MEMBERS[[#This Row],[ServiceStartDate]]</f>
        <v>Wayne Clough38551</v>
      </c>
      <c r="B816" s="57">
        <f>IF(COUNTIF(MEMBERS[NameServiceStart],MEMBERS[[#This Row],[NameServiceStart]])=1,0,1)</f>
        <v>0</v>
      </c>
      <c r="C816" s="57">
        <f>IF(COUNTIF(MEMBERS[StaffMemberCode],MEMBERS[[#This Row],[StaffMemberCode]])=1,0,1)</f>
        <v>0</v>
      </c>
      <c r="D816" s="57">
        <f>IF(ISBLANK(MEMBERS[[#This Row],[PayrollLocation]]),0,IF(COUNTIF(SCHOOLS[SchoolCode],MEMBERS[[#This Row],[PayrollLocation]])=1,0,1))</f>
        <v>0</v>
      </c>
      <c r="E816" s="57">
        <f>IF(MEMBERS[[#This Row],[AvailableToAllSchools]]=FALSE,IF(ISBLANK(MEMBERS[[#This Row],[SchoolCodes]]),1,0),IF(MEMBERS[[#This Row],[AvailableToAllSchools]]=TRUE,IF(ISBLANK(MEMBERS[[#This Row],[SchoolCodes]]),0,1)))</f>
        <v>0</v>
      </c>
      <c r="F816" s="57">
        <f>IF(ISBLANK(MEMBERS[[#This Row],[ServiceEndDate]]),0,IF(MEMBERS[[#This Row],[ServiceStartDate]]&lt;MEMBERS[[#This Row],[ServiceEndDate]],0,1))</f>
        <v>0</v>
      </c>
      <c r="G816" s="57" cm="1">
        <f t="array" aca="1" ref="G816" ca="1">IF(CELL("format",MEMBERS[[#This Row],[ServiceStartDate]])="D1",0,1)+IF(CELL("format",MEMBERS[[#This Row],[ServiceEndDate]])="D1",0,1)</f>
        <v>0</v>
      </c>
      <c r="H81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16" s="57">
        <f>IF(LEN(MEMBERS[[#This Row],[StaffMemberCode]])&lt;100,0,1)</f>
        <v>0</v>
      </c>
      <c r="J816" s="57">
        <f>IF(LEN(MEMBERS[[#This Row],[Title]])&lt;100,0,1)</f>
        <v>0</v>
      </c>
      <c r="K816" s="57">
        <f>COUNTBLANK(MEMBERS[[#This Row],[StaffMemberCode]:[ServiceStartDate]])+COUNTBLANK(MEMBERS[[#This Row],[Apprenticeship]]:MEMBERS[[#This Row],[StaffMemberEnabled]])+COUNTBLANK(MEMBERS[[#This Row],[GenderCode]]:MEMBERS[[#This Row],[Casual]])</f>
        <v>0</v>
      </c>
      <c r="L816" s="57">
        <f>IF(SUBSTITUTE(TEXT(MEMBERS[[#This Row],[StaffMemberCode]],10)," ","")=TEXT(MEMBERS[[#This Row],[StaffMemberCode]],10),0,1)</f>
        <v>0</v>
      </c>
      <c r="M816" s="57">
        <f ca="1">SUM(MEMBERS[[#This Row],[Duplicate NameService Start]:[Space in Code]])</f>
        <v>0</v>
      </c>
      <c r="O816" s="15">
        <v>10005305</v>
      </c>
      <c r="P816" s="15" t="s">
        <v>4016</v>
      </c>
      <c r="Q816" s="15" t="s">
        <v>3731</v>
      </c>
      <c r="R816" s="133" t="str">
        <f>MEMBERS[[#This Row],[FirstName]]&amp;" "&amp;MEMBERS[[#This Row],[LastName]]</f>
        <v>Wayne Clough</v>
      </c>
      <c r="S816" s="21">
        <v>38551</v>
      </c>
      <c r="U816" s="21">
        <v>22286</v>
      </c>
      <c r="V816" s="138" t="b">
        <v>0</v>
      </c>
      <c r="W816" t="b">
        <v>0</v>
      </c>
      <c r="X816" t="b">
        <v>0</v>
      </c>
      <c r="Y816" t="s">
        <v>2126</v>
      </c>
      <c r="Z816" t="b">
        <v>1</v>
      </c>
      <c r="AB816" t="s">
        <v>1572</v>
      </c>
      <c r="AC816" t="b">
        <v>0</v>
      </c>
    </row>
    <row r="817" spans="1:29" x14ac:dyDescent="0.3">
      <c r="A817" s="57" t="str">
        <f>MEMBERS[[#This Row],[Title]]&amp;MEMBERS[[#This Row],[ServiceStartDate]]</f>
        <v>Wayne Newton44305</v>
      </c>
      <c r="B817" s="57">
        <f>IF(COUNTIF(MEMBERS[NameServiceStart],MEMBERS[[#This Row],[NameServiceStart]])=1,0,1)</f>
        <v>0</v>
      </c>
      <c r="C817" s="57">
        <f>IF(COUNTIF(MEMBERS[StaffMemberCode],MEMBERS[[#This Row],[StaffMemberCode]])=1,0,1)</f>
        <v>0</v>
      </c>
      <c r="D817" s="57">
        <f>IF(ISBLANK(MEMBERS[[#This Row],[PayrollLocation]]),0,IF(COUNTIF(SCHOOLS[SchoolCode],MEMBERS[[#This Row],[PayrollLocation]])=1,0,1))</f>
        <v>0</v>
      </c>
      <c r="E817" s="57">
        <f>IF(MEMBERS[[#This Row],[AvailableToAllSchools]]=FALSE,IF(ISBLANK(MEMBERS[[#This Row],[SchoolCodes]]),1,0),IF(MEMBERS[[#This Row],[AvailableToAllSchools]]=TRUE,IF(ISBLANK(MEMBERS[[#This Row],[SchoolCodes]]),0,1)))</f>
        <v>0</v>
      </c>
      <c r="F817" s="57">
        <f>IF(ISBLANK(MEMBERS[[#This Row],[ServiceEndDate]]),0,IF(MEMBERS[[#This Row],[ServiceStartDate]]&lt;MEMBERS[[#This Row],[ServiceEndDate]],0,1))</f>
        <v>0</v>
      </c>
      <c r="G817" s="57" cm="1">
        <f t="array" aca="1" ref="G817" ca="1">IF(CELL("format",MEMBERS[[#This Row],[ServiceStartDate]])="D1",0,1)+IF(CELL("format",MEMBERS[[#This Row],[ServiceEndDate]])="D1",0,1)</f>
        <v>0</v>
      </c>
      <c r="H81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17" s="57">
        <f>IF(LEN(MEMBERS[[#This Row],[StaffMemberCode]])&lt;100,0,1)</f>
        <v>0</v>
      </c>
      <c r="J817" s="57">
        <f>IF(LEN(MEMBERS[[#This Row],[Title]])&lt;100,0,1)</f>
        <v>0</v>
      </c>
      <c r="K817" s="57">
        <f>COUNTBLANK(MEMBERS[[#This Row],[StaffMemberCode]:[ServiceStartDate]])+COUNTBLANK(MEMBERS[[#This Row],[Apprenticeship]]:MEMBERS[[#This Row],[StaffMemberEnabled]])+COUNTBLANK(MEMBERS[[#This Row],[GenderCode]]:MEMBERS[[#This Row],[Casual]])</f>
        <v>0</v>
      </c>
      <c r="L817" s="57">
        <f>IF(SUBSTITUTE(TEXT(MEMBERS[[#This Row],[StaffMemberCode]],10)," ","")=TEXT(MEMBERS[[#This Row],[StaffMemberCode]],10),0,1)</f>
        <v>0</v>
      </c>
      <c r="M817" s="57">
        <f ca="1">SUM(MEMBERS[[#This Row],[Duplicate NameService Start]:[Space in Code]])</f>
        <v>0</v>
      </c>
      <c r="O817" s="15">
        <v>10008048</v>
      </c>
      <c r="P817" s="15" t="s">
        <v>4016</v>
      </c>
      <c r="Q817" s="15" t="s">
        <v>4149</v>
      </c>
      <c r="R817" s="133" t="str">
        <f>MEMBERS[[#This Row],[FirstName]]&amp;" "&amp;MEMBERS[[#This Row],[LastName]]</f>
        <v>Wayne Newton</v>
      </c>
      <c r="S817" s="21">
        <v>44305</v>
      </c>
      <c r="U817" s="21">
        <v>29327</v>
      </c>
      <c r="V817" s="138" t="b">
        <v>0</v>
      </c>
      <c r="W817" t="b">
        <v>0</v>
      </c>
      <c r="X817" t="b">
        <v>0</v>
      </c>
      <c r="Y817" t="s">
        <v>2126</v>
      </c>
      <c r="Z817" t="b">
        <v>1</v>
      </c>
      <c r="AB817" t="s">
        <v>1572</v>
      </c>
      <c r="AC817" t="b">
        <v>0</v>
      </c>
    </row>
    <row r="818" spans="1:29" x14ac:dyDescent="0.3">
      <c r="A818" s="57" t="str">
        <f>MEMBERS[[#This Row],[Title]]&amp;MEMBERS[[#This Row],[ServiceStartDate]]</f>
        <v>William Keech44570</v>
      </c>
      <c r="B818" s="57">
        <f>IF(COUNTIF(MEMBERS[NameServiceStart],MEMBERS[[#This Row],[NameServiceStart]])=1,0,1)</f>
        <v>0</v>
      </c>
      <c r="C818" s="57">
        <f>IF(COUNTIF(MEMBERS[StaffMemberCode],MEMBERS[[#This Row],[StaffMemberCode]])=1,0,1)</f>
        <v>0</v>
      </c>
      <c r="D818" s="57">
        <f>IF(ISBLANK(MEMBERS[[#This Row],[PayrollLocation]]),0,IF(COUNTIF(SCHOOLS[SchoolCode],MEMBERS[[#This Row],[PayrollLocation]])=1,0,1))</f>
        <v>0</v>
      </c>
      <c r="E818" s="57">
        <f>IF(MEMBERS[[#This Row],[AvailableToAllSchools]]=FALSE,IF(ISBLANK(MEMBERS[[#This Row],[SchoolCodes]]),1,0),IF(MEMBERS[[#This Row],[AvailableToAllSchools]]=TRUE,IF(ISBLANK(MEMBERS[[#This Row],[SchoolCodes]]),0,1)))</f>
        <v>0</v>
      </c>
      <c r="F818" s="57">
        <f>IF(ISBLANK(MEMBERS[[#This Row],[ServiceEndDate]]),0,IF(MEMBERS[[#This Row],[ServiceStartDate]]&lt;MEMBERS[[#This Row],[ServiceEndDate]],0,1))</f>
        <v>0</v>
      </c>
      <c r="G818" s="57" cm="1">
        <f t="array" aca="1" ref="G818" ca="1">IF(CELL("format",MEMBERS[[#This Row],[ServiceStartDate]])="D1",0,1)+IF(CELL("format",MEMBERS[[#This Row],[ServiceEndDate]])="D1",0,1)</f>
        <v>0</v>
      </c>
      <c r="H81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18" s="57">
        <f>IF(LEN(MEMBERS[[#This Row],[StaffMemberCode]])&lt;100,0,1)</f>
        <v>0</v>
      </c>
      <c r="J818" s="57">
        <f>IF(LEN(MEMBERS[[#This Row],[Title]])&lt;100,0,1)</f>
        <v>0</v>
      </c>
      <c r="K818" s="57">
        <f>COUNTBLANK(MEMBERS[[#This Row],[StaffMemberCode]:[ServiceStartDate]])+COUNTBLANK(MEMBERS[[#This Row],[Apprenticeship]]:MEMBERS[[#This Row],[StaffMemberEnabled]])+COUNTBLANK(MEMBERS[[#This Row],[GenderCode]]:MEMBERS[[#This Row],[Casual]])</f>
        <v>0</v>
      </c>
      <c r="L818" s="57">
        <f>IF(SUBSTITUTE(TEXT(MEMBERS[[#This Row],[StaffMemberCode]],10)," ","")=TEXT(MEMBERS[[#This Row],[StaffMemberCode]],10),0,1)</f>
        <v>0</v>
      </c>
      <c r="M818" s="57">
        <f ca="1">SUM(MEMBERS[[#This Row],[Duplicate NameService Start]:[Space in Code]])</f>
        <v>0</v>
      </c>
      <c r="O818" s="15">
        <v>91073691</v>
      </c>
      <c r="P818" s="15" t="s">
        <v>3454</v>
      </c>
      <c r="Q818" s="15" t="s">
        <v>3940</v>
      </c>
      <c r="R818" s="133" t="str">
        <f>MEMBERS[[#This Row],[FirstName]]&amp;" "&amp;MEMBERS[[#This Row],[LastName]]</f>
        <v>William Keech</v>
      </c>
      <c r="S818" s="21">
        <v>44570</v>
      </c>
      <c r="U818" s="21">
        <v>17739</v>
      </c>
      <c r="V818" t="b">
        <v>0</v>
      </c>
      <c r="W818" t="b">
        <v>0</v>
      </c>
      <c r="X818" t="b">
        <v>0</v>
      </c>
      <c r="Y818" t="s">
        <v>2082</v>
      </c>
      <c r="Z818" t="b">
        <v>1</v>
      </c>
      <c r="AB818" t="s">
        <v>1572</v>
      </c>
      <c r="AC818" t="b">
        <v>1</v>
      </c>
    </row>
    <row r="819" spans="1:29" x14ac:dyDescent="0.3">
      <c r="A819" s="57" t="str">
        <f>MEMBERS[[#This Row],[Title]]&amp;MEMBERS[[#This Row],[ServiceStartDate]]</f>
        <v>William Ludlow45536</v>
      </c>
      <c r="B819" s="57">
        <f>IF(COUNTIF(MEMBERS[NameServiceStart],MEMBERS[[#This Row],[NameServiceStart]])=1,0,1)</f>
        <v>0</v>
      </c>
      <c r="C819" s="57">
        <f>IF(COUNTIF(MEMBERS[StaffMemberCode],MEMBERS[[#This Row],[StaffMemberCode]])=1,0,1)</f>
        <v>0</v>
      </c>
      <c r="D819" s="57">
        <f>IF(ISBLANK(MEMBERS[[#This Row],[PayrollLocation]]),0,IF(COUNTIF(SCHOOLS[SchoolCode],MEMBERS[[#This Row],[PayrollLocation]])=1,0,1))</f>
        <v>0</v>
      </c>
      <c r="E819" s="57">
        <f>IF(MEMBERS[[#This Row],[AvailableToAllSchools]]=FALSE,IF(ISBLANK(MEMBERS[[#This Row],[SchoolCodes]]),1,0),IF(MEMBERS[[#This Row],[AvailableToAllSchools]]=TRUE,IF(ISBLANK(MEMBERS[[#This Row],[SchoolCodes]]),0,1)))</f>
        <v>0</v>
      </c>
      <c r="F819" s="57">
        <f>IF(ISBLANK(MEMBERS[[#This Row],[ServiceEndDate]]),0,IF(MEMBERS[[#This Row],[ServiceStartDate]]&lt;MEMBERS[[#This Row],[ServiceEndDate]],0,1))</f>
        <v>0</v>
      </c>
      <c r="G819" s="57" cm="1">
        <f t="array" aca="1" ref="G819" ca="1">IF(CELL("format",MEMBERS[[#This Row],[ServiceStartDate]])="D1",0,1)+IF(CELL("format",MEMBERS[[#This Row],[ServiceEndDate]])="D1",0,1)</f>
        <v>0</v>
      </c>
      <c r="H81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19" s="57">
        <f>IF(LEN(MEMBERS[[#This Row],[StaffMemberCode]])&lt;100,0,1)</f>
        <v>0</v>
      </c>
      <c r="J819" s="57">
        <f>IF(LEN(MEMBERS[[#This Row],[Title]])&lt;100,0,1)</f>
        <v>0</v>
      </c>
      <c r="K819" s="57">
        <f>COUNTBLANK(MEMBERS[[#This Row],[StaffMemberCode]:[ServiceStartDate]])+COUNTBLANK(MEMBERS[[#This Row],[Apprenticeship]]:MEMBERS[[#This Row],[StaffMemberEnabled]])+COUNTBLANK(MEMBERS[[#This Row],[GenderCode]]:MEMBERS[[#This Row],[Casual]])</f>
        <v>0</v>
      </c>
      <c r="L819" s="57">
        <f>IF(SUBSTITUTE(TEXT(MEMBERS[[#This Row],[StaffMemberCode]],10)," ","")=TEXT(MEMBERS[[#This Row],[StaffMemberCode]],10),0,1)</f>
        <v>0</v>
      </c>
      <c r="M819" s="57">
        <f ca="1">SUM(MEMBERS[[#This Row],[Duplicate NameService Start]:[Space in Code]])</f>
        <v>0</v>
      </c>
      <c r="O819" s="15">
        <v>10014567</v>
      </c>
      <c r="P819" s="15" t="s">
        <v>3454</v>
      </c>
      <c r="Q819" s="15" t="s">
        <v>4126</v>
      </c>
      <c r="R819" s="133" t="str">
        <f>MEMBERS[[#This Row],[FirstName]]&amp;" "&amp;MEMBERS[[#This Row],[LastName]]</f>
        <v>William Ludlow</v>
      </c>
      <c r="S819" s="21">
        <v>45536</v>
      </c>
      <c r="U819" s="21">
        <v>31616</v>
      </c>
      <c r="V819" s="138" t="b">
        <v>0</v>
      </c>
      <c r="W819" t="b">
        <v>0</v>
      </c>
      <c r="X819" t="b">
        <v>0</v>
      </c>
      <c r="Y819" t="s">
        <v>2126</v>
      </c>
      <c r="Z819" t="b">
        <v>1</v>
      </c>
      <c r="AB819" t="s">
        <v>1572</v>
      </c>
      <c r="AC819" t="b">
        <v>0</v>
      </c>
    </row>
    <row r="820" spans="1:29" x14ac:dyDescent="0.3">
      <c r="A820" s="57" t="str">
        <f>MEMBERS[[#This Row],[Title]]&amp;MEMBERS[[#This Row],[ServiceStartDate]]</f>
        <v>William O'Neill44739</v>
      </c>
      <c r="B820" s="57">
        <f>IF(COUNTIF(MEMBERS[NameServiceStart],MEMBERS[[#This Row],[NameServiceStart]])=1,0,1)</f>
        <v>0</v>
      </c>
      <c r="C820" s="57">
        <f>IF(COUNTIF(MEMBERS[StaffMemberCode],MEMBERS[[#This Row],[StaffMemberCode]])=1,0,1)</f>
        <v>0</v>
      </c>
      <c r="D820" s="57">
        <f>IF(ISBLANK(MEMBERS[[#This Row],[PayrollLocation]]),0,IF(COUNTIF(SCHOOLS[SchoolCode],MEMBERS[[#This Row],[PayrollLocation]])=1,0,1))</f>
        <v>0</v>
      </c>
      <c r="E820" s="57">
        <f>IF(MEMBERS[[#This Row],[AvailableToAllSchools]]=FALSE,IF(ISBLANK(MEMBERS[[#This Row],[SchoolCodes]]),1,0),IF(MEMBERS[[#This Row],[AvailableToAllSchools]]=TRUE,IF(ISBLANK(MEMBERS[[#This Row],[SchoolCodes]]),0,1)))</f>
        <v>0</v>
      </c>
      <c r="F820" s="57">
        <f>IF(ISBLANK(MEMBERS[[#This Row],[ServiceEndDate]]),0,IF(MEMBERS[[#This Row],[ServiceStartDate]]&lt;MEMBERS[[#This Row],[ServiceEndDate]],0,1))</f>
        <v>0</v>
      </c>
      <c r="G820" s="57" cm="1">
        <f t="array" aca="1" ref="G820" ca="1">IF(CELL("format",MEMBERS[[#This Row],[ServiceStartDate]])="D1",0,1)+IF(CELL("format",MEMBERS[[#This Row],[ServiceEndDate]])="D1",0,1)</f>
        <v>0</v>
      </c>
      <c r="H82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20" s="57">
        <f>IF(LEN(MEMBERS[[#This Row],[StaffMemberCode]])&lt;100,0,1)</f>
        <v>0</v>
      </c>
      <c r="J820" s="57">
        <f>IF(LEN(MEMBERS[[#This Row],[Title]])&lt;100,0,1)</f>
        <v>0</v>
      </c>
      <c r="K820" s="57">
        <f>COUNTBLANK(MEMBERS[[#This Row],[StaffMemberCode]:[ServiceStartDate]])+COUNTBLANK(MEMBERS[[#This Row],[Apprenticeship]]:MEMBERS[[#This Row],[StaffMemberEnabled]])+COUNTBLANK(MEMBERS[[#This Row],[GenderCode]]:MEMBERS[[#This Row],[Casual]])</f>
        <v>0</v>
      </c>
      <c r="L820" s="57">
        <f>IF(SUBSTITUTE(TEXT(MEMBERS[[#This Row],[StaffMemberCode]],10)," ","")=TEXT(MEMBERS[[#This Row],[StaffMemberCode]],10),0,1)</f>
        <v>0</v>
      </c>
      <c r="M820" s="57">
        <f ca="1">SUM(MEMBERS[[#This Row],[Duplicate NameService Start]:[Space in Code]])</f>
        <v>0</v>
      </c>
      <c r="O820" s="15">
        <v>91073805</v>
      </c>
      <c r="P820" s="15" t="s">
        <v>3454</v>
      </c>
      <c r="Q820" s="15" t="s">
        <v>3483</v>
      </c>
      <c r="R820" s="133" t="str">
        <f>MEMBERS[[#This Row],[FirstName]]&amp;" "&amp;MEMBERS[[#This Row],[LastName]]</f>
        <v>William O'Neill</v>
      </c>
      <c r="S820" s="21">
        <v>44739</v>
      </c>
      <c r="U820" s="21">
        <v>37880</v>
      </c>
      <c r="V820" t="b">
        <v>0</v>
      </c>
      <c r="W820" t="b">
        <v>0</v>
      </c>
      <c r="X820" t="b">
        <v>0</v>
      </c>
      <c r="Y820" t="s">
        <v>2082</v>
      </c>
      <c r="Z820" t="b">
        <v>1</v>
      </c>
      <c r="AB820" t="s">
        <v>1572</v>
      </c>
      <c r="AC820" t="b">
        <v>1</v>
      </c>
    </row>
    <row r="821" spans="1:29" x14ac:dyDescent="0.3">
      <c r="A821" s="57" t="str">
        <f>MEMBERS[[#This Row],[Title]]&amp;MEMBERS[[#This Row],[ServiceStartDate]]</f>
        <v>William Potts33247</v>
      </c>
      <c r="B821" s="57">
        <f>IF(COUNTIF(MEMBERS[NameServiceStart],MEMBERS[[#This Row],[NameServiceStart]])=1,0,1)</f>
        <v>0</v>
      </c>
      <c r="C821" s="57">
        <f>IF(COUNTIF(MEMBERS[StaffMemberCode],MEMBERS[[#This Row],[StaffMemberCode]])=1,0,1)</f>
        <v>0</v>
      </c>
      <c r="D821" s="57">
        <f>IF(ISBLANK(MEMBERS[[#This Row],[PayrollLocation]]),0,IF(COUNTIF(SCHOOLS[SchoolCode],MEMBERS[[#This Row],[PayrollLocation]])=1,0,1))</f>
        <v>0</v>
      </c>
      <c r="E821" s="57">
        <f>IF(MEMBERS[[#This Row],[AvailableToAllSchools]]=FALSE,IF(ISBLANK(MEMBERS[[#This Row],[SchoolCodes]]),1,0),IF(MEMBERS[[#This Row],[AvailableToAllSchools]]=TRUE,IF(ISBLANK(MEMBERS[[#This Row],[SchoolCodes]]),0,1)))</f>
        <v>0</v>
      </c>
      <c r="F821" s="57">
        <f>IF(ISBLANK(MEMBERS[[#This Row],[ServiceEndDate]]),0,IF(MEMBERS[[#This Row],[ServiceStartDate]]&lt;MEMBERS[[#This Row],[ServiceEndDate]],0,1))</f>
        <v>0</v>
      </c>
      <c r="G821" s="57" cm="1">
        <f t="array" aca="1" ref="G821" ca="1">IF(CELL("format",MEMBERS[[#This Row],[ServiceStartDate]])="D1",0,1)+IF(CELL("format",MEMBERS[[#This Row],[ServiceEndDate]])="D1",0,1)</f>
        <v>0</v>
      </c>
      <c r="H821"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21" s="57">
        <f>IF(LEN(MEMBERS[[#This Row],[StaffMemberCode]])&lt;100,0,1)</f>
        <v>0</v>
      </c>
      <c r="J821" s="57">
        <f>IF(LEN(MEMBERS[[#This Row],[Title]])&lt;100,0,1)</f>
        <v>0</v>
      </c>
      <c r="K821" s="57">
        <f>COUNTBLANK(MEMBERS[[#This Row],[StaffMemberCode]:[ServiceStartDate]])+COUNTBLANK(MEMBERS[[#This Row],[Apprenticeship]]:MEMBERS[[#This Row],[StaffMemberEnabled]])+COUNTBLANK(MEMBERS[[#This Row],[GenderCode]]:MEMBERS[[#This Row],[Casual]])</f>
        <v>0</v>
      </c>
      <c r="L821" s="57">
        <f>IF(SUBSTITUTE(TEXT(MEMBERS[[#This Row],[StaffMemberCode]],10)," ","")=TEXT(MEMBERS[[#This Row],[StaffMemberCode]],10),0,1)</f>
        <v>0</v>
      </c>
      <c r="M821" s="57">
        <f ca="1">SUM(MEMBERS[[#This Row],[Duplicate NameService Start]:[Space in Code]])</f>
        <v>0</v>
      </c>
      <c r="O821" s="15">
        <v>91073758</v>
      </c>
      <c r="P821" s="15" t="s">
        <v>3454</v>
      </c>
      <c r="Q821" s="15" t="s">
        <v>3625</v>
      </c>
      <c r="R821" s="133" t="str">
        <f>MEMBERS[[#This Row],[FirstName]]&amp;" "&amp;MEMBERS[[#This Row],[LastName]]</f>
        <v>William Potts</v>
      </c>
      <c r="S821" s="21">
        <v>33247</v>
      </c>
      <c r="U821" s="21">
        <v>24893</v>
      </c>
      <c r="V821" t="b">
        <v>0</v>
      </c>
      <c r="W821" t="b">
        <v>0</v>
      </c>
      <c r="X821" t="b">
        <v>0</v>
      </c>
      <c r="Y821" t="s">
        <v>2082</v>
      </c>
      <c r="Z821" t="b">
        <v>1</v>
      </c>
      <c r="AB821" t="s">
        <v>1572</v>
      </c>
      <c r="AC821" t="b">
        <v>0</v>
      </c>
    </row>
    <row r="822" spans="1:29" x14ac:dyDescent="0.3">
      <c r="A822" s="57" t="str">
        <f>MEMBERS[[#This Row],[Title]]&amp;MEMBERS[[#This Row],[ServiceStartDate]]</f>
        <v>William Rigden45170</v>
      </c>
      <c r="B822" s="57">
        <f>IF(COUNTIF(MEMBERS[NameServiceStart],MEMBERS[[#This Row],[NameServiceStart]])=1,0,1)</f>
        <v>0</v>
      </c>
      <c r="C822" s="57">
        <f>IF(COUNTIF(MEMBERS[StaffMemberCode],MEMBERS[[#This Row],[StaffMemberCode]])=1,0,1)</f>
        <v>0</v>
      </c>
      <c r="D822" s="57">
        <f>IF(ISBLANK(MEMBERS[[#This Row],[PayrollLocation]]),0,IF(COUNTIF(SCHOOLS[SchoolCode],MEMBERS[[#This Row],[PayrollLocation]])=1,0,1))</f>
        <v>0</v>
      </c>
      <c r="E822" s="57">
        <f>IF(MEMBERS[[#This Row],[AvailableToAllSchools]]=FALSE,IF(ISBLANK(MEMBERS[[#This Row],[SchoolCodes]]),1,0),IF(MEMBERS[[#This Row],[AvailableToAllSchools]]=TRUE,IF(ISBLANK(MEMBERS[[#This Row],[SchoolCodes]]),0,1)))</f>
        <v>0</v>
      </c>
      <c r="F822" s="57">
        <f>IF(ISBLANK(MEMBERS[[#This Row],[ServiceEndDate]]),0,IF(MEMBERS[[#This Row],[ServiceStartDate]]&lt;MEMBERS[[#This Row],[ServiceEndDate]],0,1))</f>
        <v>0</v>
      </c>
      <c r="G822" s="57" cm="1">
        <f t="array" aca="1" ref="G822" ca="1">IF(CELL("format",MEMBERS[[#This Row],[ServiceStartDate]])="D1",0,1)+IF(CELL("format",MEMBERS[[#This Row],[ServiceEndDate]])="D1",0,1)</f>
        <v>0</v>
      </c>
      <c r="H82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22" s="57">
        <f>IF(LEN(MEMBERS[[#This Row],[StaffMemberCode]])&lt;100,0,1)</f>
        <v>0</v>
      </c>
      <c r="J822" s="57">
        <f>IF(LEN(MEMBERS[[#This Row],[Title]])&lt;100,0,1)</f>
        <v>0</v>
      </c>
      <c r="K822" s="57">
        <f>COUNTBLANK(MEMBERS[[#This Row],[StaffMemberCode]:[ServiceStartDate]])+COUNTBLANK(MEMBERS[[#This Row],[Apprenticeship]]:MEMBERS[[#This Row],[StaffMemberEnabled]])+COUNTBLANK(MEMBERS[[#This Row],[GenderCode]]:MEMBERS[[#This Row],[Casual]])</f>
        <v>0</v>
      </c>
      <c r="L822" s="57">
        <f>IF(SUBSTITUTE(TEXT(MEMBERS[[#This Row],[StaffMemberCode]],10)," ","")=TEXT(MEMBERS[[#This Row],[StaffMemberCode]],10),0,1)</f>
        <v>0</v>
      </c>
      <c r="M822" s="57">
        <f ca="1">SUM(MEMBERS[[#This Row],[Duplicate NameService Start]:[Space in Code]])</f>
        <v>0</v>
      </c>
      <c r="O822" s="15">
        <v>10012803</v>
      </c>
      <c r="P822" s="15" t="s">
        <v>3454</v>
      </c>
      <c r="Q822" s="15" t="s">
        <v>4150</v>
      </c>
      <c r="R822" s="133" t="str">
        <f>MEMBERS[[#This Row],[FirstName]]&amp;" "&amp;MEMBERS[[#This Row],[LastName]]</f>
        <v>William Rigden</v>
      </c>
      <c r="S822" s="21">
        <v>45170</v>
      </c>
      <c r="U822" s="21">
        <v>36495</v>
      </c>
      <c r="V822" s="138" t="b">
        <v>0</v>
      </c>
      <c r="W822" t="b">
        <v>0</v>
      </c>
      <c r="X822" t="b">
        <v>0</v>
      </c>
      <c r="Y822" t="s">
        <v>2126</v>
      </c>
      <c r="Z822" t="b">
        <v>1</v>
      </c>
      <c r="AB822" t="s">
        <v>1572</v>
      </c>
      <c r="AC822" t="b">
        <v>0</v>
      </c>
    </row>
    <row r="823" spans="1:29" x14ac:dyDescent="0.3">
      <c r="A823" s="57" t="str">
        <f>MEMBERS[[#This Row],[Title]]&amp;MEMBERS[[#This Row],[ServiceStartDate]]</f>
        <v>William Smithson39692</v>
      </c>
      <c r="B823" s="57">
        <f>IF(COUNTIF(MEMBERS[NameServiceStart],MEMBERS[[#This Row],[NameServiceStart]])=1,0,1)</f>
        <v>0</v>
      </c>
      <c r="C823" s="57">
        <f>IF(COUNTIF(MEMBERS[StaffMemberCode],MEMBERS[[#This Row],[StaffMemberCode]])=1,0,1)</f>
        <v>0</v>
      </c>
      <c r="D823" s="57">
        <f>IF(ISBLANK(MEMBERS[[#This Row],[PayrollLocation]]),0,IF(COUNTIF(SCHOOLS[SchoolCode],MEMBERS[[#This Row],[PayrollLocation]])=1,0,1))</f>
        <v>0</v>
      </c>
      <c r="E823" s="57">
        <f>IF(MEMBERS[[#This Row],[AvailableToAllSchools]]=FALSE,IF(ISBLANK(MEMBERS[[#This Row],[SchoolCodes]]),1,0),IF(MEMBERS[[#This Row],[AvailableToAllSchools]]=TRUE,IF(ISBLANK(MEMBERS[[#This Row],[SchoolCodes]]),0,1)))</f>
        <v>0</v>
      </c>
      <c r="F823" s="57">
        <f>IF(ISBLANK(MEMBERS[[#This Row],[ServiceEndDate]]),0,IF(MEMBERS[[#This Row],[ServiceStartDate]]&lt;MEMBERS[[#This Row],[ServiceEndDate]],0,1))</f>
        <v>0</v>
      </c>
      <c r="G823" s="57" cm="1">
        <f t="array" aca="1" ref="G823" ca="1">IF(CELL("format",MEMBERS[[#This Row],[ServiceStartDate]])="D1",0,1)+IF(CELL("format",MEMBERS[[#This Row],[ServiceEndDate]])="D1",0,1)</f>
        <v>0</v>
      </c>
      <c r="H82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23" s="57">
        <f>IF(LEN(MEMBERS[[#This Row],[StaffMemberCode]])&lt;100,0,1)</f>
        <v>0</v>
      </c>
      <c r="J823" s="57">
        <f>IF(LEN(MEMBERS[[#This Row],[Title]])&lt;100,0,1)</f>
        <v>0</v>
      </c>
      <c r="K823" s="57">
        <f>COUNTBLANK(MEMBERS[[#This Row],[StaffMemberCode]:[ServiceStartDate]])+COUNTBLANK(MEMBERS[[#This Row],[Apprenticeship]]:MEMBERS[[#This Row],[StaffMemberEnabled]])+COUNTBLANK(MEMBERS[[#This Row],[GenderCode]]:MEMBERS[[#This Row],[Casual]])</f>
        <v>0</v>
      </c>
      <c r="L823" s="57">
        <f>IF(SUBSTITUTE(TEXT(MEMBERS[[#This Row],[StaffMemberCode]],10)," ","")=TEXT(MEMBERS[[#This Row],[StaffMemberCode]],10),0,1)</f>
        <v>0</v>
      </c>
      <c r="M823" s="57">
        <f ca="1">SUM(MEMBERS[[#This Row],[Duplicate NameService Start]:[Space in Code]])</f>
        <v>0</v>
      </c>
      <c r="O823" s="15">
        <v>10015720</v>
      </c>
      <c r="P823" s="15" t="s">
        <v>3454</v>
      </c>
      <c r="Q823" s="15" t="s">
        <v>4151</v>
      </c>
      <c r="R823" s="133" t="str">
        <f>MEMBERS[[#This Row],[FirstName]]&amp;" "&amp;MEMBERS[[#This Row],[LastName]]</f>
        <v>William Smithson</v>
      </c>
      <c r="S823" s="21">
        <v>39692</v>
      </c>
      <c r="U823" s="21">
        <v>30709</v>
      </c>
      <c r="V823" s="138" t="b">
        <v>0</v>
      </c>
      <c r="W823" t="b">
        <v>0</v>
      </c>
      <c r="X823" t="b">
        <v>0</v>
      </c>
      <c r="Y823" t="s">
        <v>2126</v>
      </c>
      <c r="Z823" t="b">
        <v>1</v>
      </c>
      <c r="AB823" t="s">
        <v>1572</v>
      </c>
      <c r="AC823" t="b">
        <v>0</v>
      </c>
    </row>
    <row r="824" spans="1:29" x14ac:dyDescent="0.3">
      <c r="A824" s="57" t="str">
        <f>MEMBERS[[#This Row],[Title]]&amp;MEMBERS[[#This Row],[ServiceStartDate]]</f>
        <v>Xinyi Yao44805</v>
      </c>
      <c r="B824" s="57">
        <f>IF(COUNTIF(MEMBERS[NameServiceStart],MEMBERS[[#This Row],[NameServiceStart]])=1,0,1)</f>
        <v>0</v>
      </c>
      <c r="C824" s="57">
        <f>IF(COUNTIF(MEMBERS[StaffMemberCode],MEMBERS[[#This Row],[StaffMemberCode]])=1,0,1)</f>
        <v>0</v>
      </c>
      <c r="D824" s="57">
        <f>IF(ISBLANK(MEMBERS[[#This Row],[PayrollLocation]]),0,IF(COUNTIF(SCHOOLS[SchoolCode],MEMBERS[[#This Row],[PayrollLocation]])=1,0,1))</f>
        <v>0</v>
      </c>
      <c r="E824" s="57">
        <f>IF(MEMBERS[[#This Row],[AvailableToAllSchools]]=FALSE,IF(ISBLANK(MEMBERS[[#This Row],[SchoolCodes]]),1,0),IF(MEMBERS[[#This Row],[AvailableToAllSchools]]=TRUE,IF(ISBLANK(MEMBERS[[#This Row],[SchoolCodes]]),0,1)))</f>
        <v>0</v>
      </c>
      <c r="F824" s="57">
        <f>IF(ISBLANK(MEMBERS[[#This Row],[ServiceEndDate]]),0,IF(MEMBERS[[#This Row],[ServiceStartDate]]&lt;MEMBERS[[#This Row],[ServiceEndDate]],0,1))</f>
        <v>0</v>
      </c>
      <c r="G824" s="57" cm="1">
        <f t="array" aca="1" ref="G824" ca="1">IF(CELL("format",MEMBERS[[#This Row],[ServiceStartDate]])="D1",0,1)+IF(CELL("format",MEMBERS[[#This Row],[ServiceEndDate]])="D1",0,1)</f>
        <v>0</v>
      </c>
      <c r="H824"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24" s="57">
        <f>IF(LEN(MEMBERS[[#This Row],[StaffMemberCode]])&lt;100,0,1)</f>
        <v>0</v>
      </c>
      <c r="J824" s="57">
        <f>IF(LEN(MEMBERS[[#This Row],[Title]])&lt;100,0,1)</f>
        <v>0</v>
      </c>
      <c r="K824" s="57">
        <f>COUNTBLANK(MEMBERS[[#This Row],[StaffMemberCode]:[ServiceStartDate]])+COUNTBLANK(MEMBERS[[#This Row],[Apprenticeship]]:MEMBERS[[#This Row],[StaffMemberEnabled]])+COUNTBLANK(MEMBERS[[#This Row],[GenderCode]]:MEMBERS[[#This Row],[Casual]])</f>
        <v>0</v>
      </c>
      <c r="L824" s="57">
        <f>IF(SUBSTITUTE(TEXT(MEMBERS[[#This Row],[StaffMemberCode]],10)," ","")=TEXT(MEMBERS[[#This Row],[StaffMemberCode]],10),0,1)</f>
        <v>0</v>
      </c>
      <c r="M824" s="57">
        <f ca="1">SUM(MEMBERS[[#This Row],[Duplicate NameService Start]:[Space in Code]])</f>
        <v>0</v>
      </c>
      <c r="O824" s="15">
        <v>10016227</v>
      </c>
      <c r="P824" s="15" t="s">
        <v>4017</v>
      </c>
      <c r="Q824" s="15" t="s">
        <v>4152</v>
      </c>
      <c r="R824" s="133" t="str">
        <f>MEMBERS[[#This Row],[FirstName]]&amp;" "&amp;MEMBERS[[#This Row],[LastName]]</f>
        <v>Xinyi Yao</v>
      </c>
      <c r="S824" s="21">
        <v>44805</v>
      </c>
      <c r="U824" s="21">
        <v>36224</v>
      </c>
      <c r="V824" s="138" t="b">
        <v>0</v>
      </c>
      <c r="W824" t="b">
        <v>0</v>
      </c>
      <c r="X824" t="b">
        <v>0</v>
      </c>
      <c r="Y824" t="s">
        <v>2126</v>
      </c>
      <c r="Z824" t="b">
        <v>1</v>
      </c>
      <c r="AB824" t="s">
        <v>1571</v>
      </c>
      <c r="AC824" t="b">
        <v>0</v>
      </c>
    </row>
    <row r="825" spans="1:29" x14ac:dyDescent="0.3">
      <c r="A825" s="57" t="str">
        <f>MEMBERS[[#This Row],[Title]]&amp;MEMBERS[[#This Row],[ServiceStartDate]]</f>
        <v>Zac Evans45810</v>
      </c>
      <c r="B825" s="57">
        <f>IF(COUNTIF(MEMBERS[NameServiceStart],MEMBERS[[#This Row],[NameServiceStart]])=1,0,1)</f>
        <v>0</v>
      </c>
      <c r="C825" s="57">
        <f>IF(COUNTIF(MEMBERS[StaffMemberCode],MEMBERS[[#This Row],[StaffMemberCode]])=1,0,1)</f>
        <v>0</v>
      </c>
      <c r="D825" s="57">
        <f>IF(ISBLANK(MEMBERS[[#This Row],[PayrollLocation]]),0,IF(COUNTIF(SCHOOLS[SchoolCode],MEMBERS[[#This Row],[PayrollLocation]])=1,0,1))</f>
        <v>0</v>
      </c>
      <c r="E825" s="57">
        <f>IF(MEMBERS[[#This Row],[AvailableToAllSchools]]=FALSE,IF(ISBLANK(MEMBERS[[#This Row],[SchoolCodes]]),1,0),IF(MEMBERS[[#This Row],[AvailableToAllSchools]]=TRUE,IF(ISBLANK(MEMBERS[[#This Row],[SchoolCodes]]),0,1)))</f>
        <v>0</v>
      </c>
      <c r="F825" s="57">
        <f>IF(ISBLANK(MEMBERS[[#This Row],[ServiceEndDate]]),0,IF(MEMBERS[[#This Row],[ServiceStartDate]]&lt;MEMBERS[[#This Row],[ServiceEndDate]],0,1))</f>
        <v>0</v>
      </c>
      <c r="G825" s="57" cm="1">
        <f t="array" aca="1" ref="G825" ca="1">IF(CELL("format",MEMBERS[[#This Row],[ServiceStartDate]])="D1",0,1)+IF(CELL("format",MEMBERS[[#This Row],[ServiceEndDate]])="D1",0,1)</f>
        <v>0</v>
      </c>
      <c r="H825"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25" s="57">
        <f>IF(LEN(MEMBERS[[#This Row],[StaffMemberCode]])&lt;100,0,1)</f>
        <v>0</v>
      </c>
      <c r="J825" s="57">
        <f>IF(LEN(MEMBERS[[#This Row],[Title]])&lt;100,0,1)</f>
        <v>0</v>
      </c>
      <c r="K825" s="57">
        <f>COUNTBLANK(MEMBERS[[#This Row],[StaffMemberCode]:[ServiceStartDate]])+COUNTBLANK(MEMBERS[[#This Row],[Apprenticeship]]:MEMBERS[[#This Row],[StaffMemberEnabled]])+COUNTBLANK(MEMBERS[[#This Row],[GenderCode]]:MEMBERS[[#This Row],[Casual]])</f>
        <v>0</v>
      </c>
      <c r="L825" s="57">
        <f>IF(SUBSTITUTE(TEXT(MEMBERS[[#This Row],[StaffMemberCode]],10)," ","")=TEXT(MEMBERS[[#This Row],[StaffMemberCode]],10),0,1)</f>
        <v>0</v>
      </c>
      <c r="M825" s="57">
        <f ca="1">SUM(MEMBERS[[#This Row],[Duplicate NameService Start]:[Space in Code]])</f>
        <v>0</v>
      </c>
      <c r="O825" s="15">
        <v>91850015</v>
      </c>
      <c r="P825" s="15" t="s">
        <v>3455</v>
      </c>
      <c r="Q825" s="15" t="s">
        <v>3485</v>
      </c>
      <c r="R825" s="133" t="str">
        <f>MEMBERS[[#This Row],[FirstName]]&amp;" "&amp;MEMBERS[[#This Row],[LastName]]</f>
        <v>Zac Evans</v>
      </c>
      <c r="S825" s="21">
        <v>45810</v>
      </c>
      <c r="U825" s="21">
        <v>36483</v>
      </c>
      <c r="V825" t="b">
        <v>0</v>
      </c>
      <c r="W825" t="b">
        <v>0</v>
      </c>
      <c r="X825" t="b">
        <v>0</v>
      </c>
      <c r="Y825" t="s">
        <v>2082</v>
      </c>
      <c r="Z825" t="b">
        <v>1</v>
      </c>
      <c r="AB825" t="s">
        <v>1571</v>
      </c>
      <c r="AC825" t="b">
        <v>0</v>
      </c>
    </row>
    <row r="826" spans="1:29" x14ac:dyDescent="0.3">
      <c r="A826" s="57" t="str">
        <f>MEMBERS[[#This Row],[Title]]&amp;MEMBERS[[#This Row],[ServiceStartDate]]</f>
        <v>Zach Rogerson45901</v>
      </c>
      <c r="B826" s="57">
        <f>IF(COUNTIF(MEMBERS[NameServiceStart],MEMBERS[[#This Row],[NameServiceStart]])=1,0,1)</f>
        <v>0</v>
      </c>
      <c r="C826" s="57">
        <f>IF(COUNTIF(MEMBERS[StaffMemberCode],MEMBERS[[#This Row],[StaffMemberCode]])=1,0,1)</f>
        <v>0</v>
      </c>
      <c r="D826" s="57">
        <f>IF(ISBLANK(MEMBERS[[#This Row],[PayrollLocation]]),0,IF(COUNTIF(SCHOOLS[SchoolCode],MEMBERS[[#This Row],[PayrollLocation]])=1,0,1))</f>
        <v>0</v>
      </c>
      <c r="E826" s="57">
        <f>IF(MEMBERS[[#This Row],[AvailableToAllSchools]]=FALSE,IF(ISBLANK(MEMBERS[[#This Row],[SchoolCodes]]),1,0),IF(MEMBERS[[#This Row],[AvailableToAllSchools]]=TRUE,IF(ISBLANK(MEMBERS[[#This Row],[SchoolCodes]]),0,1)))</f>
        <v>0</v>
      </c>
      <c r="F826" s="57">
        <f>IF(ISBLANK(MEMBERS[[#This Row],[ServiceEndDate]]),0,IF(MEMBERS[[#This Row],[ServiceStartDate]]&lt;MEMBERS[[#This Row],[ServiceEndDate]],0,1))</f>
        <v>0</v>
      </c>
      <c r="G826" s="57" cm="1">
        <f t="array" aca="1" ref="G826" ca="1">IF(CELL("format",MEMBERS[[#This Row],[ServiceStartDate]])="D1",0,1)+IF(CELL("format",MEMBERS[[#This Row],[ServiceEndDate]])="D1",0,1)</f>
        <v>0</v>
      </c>
      <c r="H826"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26" s="57">
        <f>IF(LEN(MEMBERS[[#This Row],[StaffMemberCode]])&lt;100,0,1)</f>
        <v>0</v>
      </c>
      <c r="J826" s="57">
        <f>IF(LEN(MEMBERS[[#This Row],[Title]])&lt;100,0,1)</f>
        <v>0</v>
      </c>
      <c r="K826" s="57">
        <f>COUNTBLANK(MEMBERS[[#This Row],[StaffMemberCode]:[ServiceStartDate]])+COUNTBLANK(MEMBERS[[#This Row],[Apprenticeship]]:MEMBERS[[#This Row],[StaffMemberEnabled]])+COUNTBLANK(MEMBERS[[#This Row],[GenderCode]]:MEMBERS[[#This Row],[Casual]])</f>
        <v>0</v>
      </c>
      <c r="L826" s="57">
        <f>IF(SUBSTITUTE(TEXT(MEMBERS[[#This Row],[StaffMemberCode]],10)," ","")=TEXT(MEMBERS[[#This Row],[StaffMemberCode]],10),0,1)</f>
        <v>0</v>
      </c>
      <c r="M826" s="57">
        <f ca="1">SUM(MEMBERS[[#This Row],[Duplicate NameService Start]:[Space in Code]])</f>
        <v>0</v>
      </c>
      <c r="O826" s="15">
        <v>91850021</v>
      </c>
      <c r="P826" s="15" t="s">
        <v>3456</v>
      </c>
      <c r="Q826" s="15" t="s">
        <v>3941</v>
      </c>
      <c r="R826" s="133" t="str">
        <f>MEMBERS[[#This Row],[FirstName]]&amp;" "&amp;MEMBERS[[#This Row],[LastName]]</f>
        <v>Zach Rogerson</v>
      </c>
      <c r="S826" s="21">
        <v>45901</v>
      </c>
      <c r="U826" s="21">
        <v>33021</v>
      </c>
      <c r="V826" t="b">
        <v>0</v>
      </c>
      <c r="W826" t="b">
        <v>0</v>
      </c>
      <c r="X826" t="b">
        <v>0</v>
      </c>
      <c r="Y826" t="s">
        <v>2094</v>
      </c>
      <c r="Z826" t="b">
        <v>1</v>
      </c>
      <c r="AB826" t="s">
        <v>1572</v>
      </c>
      <c r="AC826" t="b">
        <v>0</v>
      </c>
    </row>
    <row r="827" spans="1:29" x14ac:dyDescent="0.3">
      <c r="A827" s="57" t="str">
        <f>MEMBERS[[#This Row],[Title]]&amp;MEMBERS[[#This Row],[ServiceStartDate]]</f>
        <v>Zander Gabbatiss45859</v>
      </c>
      <c r="B827" s="57">
        <f>IF(COUNTIF(MEMBERS[NameServiceStart],MEMBERS[[#This Row],[NameServiceStart]])=1,0,1)</f>
        <v>0</v>
      </c>
      <c r="C827" s="57">
        <f>IF(COUNTIF(MEMBERS[StaffMemberCode],MEMBERS[[#This Row],[StaffMemberCode]])=1,0,1)</f>
        <v>0</v>
      </c>
      <c r="D827" s="57">
        <f>IF(ISBLANK(MEMBERS[[#This Row],[PayrollLocation]]),0,IF(COUNTIF(SCHOOLS[SchoolCode],MEMBERS[[#This Row],[PayrollLocation]])=1,0,1))</f>
        <v>0</v>
      </c>
      <c r="E827" s="57">
        <f>IF(MEMBERS[[#This Row],[AvailableToAllSchools]]=FALSE,IF(ISBLANK(MEMBERS[[#This Row],[SchoolCodes]]),1,0),IF(MEMBERS[[#This Row],[AvailableToAllSchools]]=TRUE,IF(ISBLANK(MEMBERS[[#This Row],[SchoolCodes]]),0,1)))</f>
        <v>0</v>
      </c>
      <c r="F827" s="57">
        <f>IF(ISBLANK(MEMBERS[[#This Row],[ServiceEndDate]]),0,IF(MEMBERS[[#This Row],[ServiceStartDate]]&lt;MEMBERS[[#This Row],[ServiceEndDate]],0,1))</f>
        <v>0</v>
      </c>
      <c r="G827" s="57" cm="1">
        <f t="array" aca="1" ref="G827" ca="1">IF(CELL("format",MEMBERS[[#This Row],[ServiceStartDate]])="D1",0,1)+IF(CELL("format",MEMBERS[[#This Row],[ServiceEndDate]])="D1",0,1)</f>
        <v>0</v>
      </c>
      <c r="H827"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27" s="57">
        <f>IF(LEN(MEMBERS[[#This Row],[StaffMemberCode]])&lt;100,0,1)</f>
        <v>0</v>
      </c>
      <c r="J827" s="57">
        <f>IF(LEN(MEMBERS[[#This Row],[Title]])&lt;100,0,1)</f>
        <v>0</v>
      </c>
      <c r="K827" s="57">
        <f>COUNTBLANK(MEMBERS[[#This Row],[StaffMemberCode]:[ServiceStartDate]])+COUNTBLANK(MEMBERS[[#This Row],[Apprenticeship]]:MEMBERS[[#This Row],[StaffMemberEnabled]])+COUNTBLANK(MEMBERS[[#This Row],[GenderCode]]:MEMBERS[[#This Row],[Casual]])</f>
        <v>0</v>
      </c>
      <c r="L827" s="57">
        <f>IF(SUBSTITUTE(TEXT(MEMBERS[[#This Row],[StaffMemberCode]],10)," ","")=TEXT(MEMBERS[[#This Row],[StaffMemberCode]],10),0,1)</f>
        <v>0</v>
      </c>
      <c r="M827" s="57">
        <f ca="1">SUM(MEMBERS[[#This Row],[Duplicate NameService Start]:[Space in Code]])</f>
        <v>0</v>
      </c>
      <c r="O827" s="15">
        <v>10016187</v>
      </c>
      <c r="P827" s="15" t="s">
        <v>4018</v>
      </c>
      <c r="Q827" s="15" t="s">
        <v>4057</v>
      </c>
      <c r="R827" s="133" t="str">
        <f>MEMBERS[[#This Row],[FirstName]]&amp;" "&amp;MEMBERS[[#This Row],[LastName]]</f>
        <v>Zander Gabbatiss</v>
      </c>
      <c r="S827" s="21">
        <v>45859</v>
      </c>
      <c r="U827" s="21">
        <v>39735</v>
      </c>
      <c r="V827" s="138" t="b">
        <v>0</v>
      </c>
      <c r="W827" t="b">
        <v>0</v>
      </c>
      <c r="X827" t="b">
        <v>0</v>
      </c>
      <c r="Y827" t="s">
        <v>2126</v>
      </c>
      <c r="Z827" t="b">
        <v>1</v>
      </c>
      <c r="AB827" t="s">
        <v>1572</v>
      </c>
      <c r="AC827" t="b">
        <v>1</v>
      </c>
    </row>
    <row r="828" spans="1:29" x14ac:dyDescent="0.3">
      <c r="A828" s="57" t="str">
        <f>MEMBERS[[#This Row],[Title]]&amp;MEMBERS[[#This Row],[ServiceStartDate]]</f>
        <v>Zoe Martinez41640</v>
      </c>
      <c r="B828" s="57">
        <f>IF(COUNTIF(MEMBERS[NameServiceStart],MEMBERS[[#This Row],[NameServiceStart]])=1,0,1)</f>
        <v>0</v>
      </c>
      <c r="C828" s="57">
        <f>IF(COUNTIF(MEMBERS[StaffMemberCode],MEMBERS[[#This Row],[StaffMemberCode]])=1,0,1)</f>
        <v>0</v>
      </c>
      <c r="D828" s="57">
        <f>IF(ISBLANK(MEMBERS[[#This Row],[PayrollLocation]]),0,IF(COUNTIF(SCHOOLS[SchoolCode],MEMBERS[[#This Row],[PayrollLocation]])=1,0,1))</f>
        <v>0</v>
      </c>
      <c r="E828" s="57">
        <f>IF(MEMBERS[[#This Row],[AvailableToAllSchools]]=FALSE,IF(ISBLANK(MEMBERS[[#This Row],[SchoolCodes]]),1,0),IF(MEMBERS[[#This Row],[AvailableToAllSchools]]=TRUE,IF(ISBLANK(MEMBERS[[#This Row],[SchoolCodes]]),0,1)))</f>
        <v>0</v>
      </c>
      <c r="F828" s="57">
        <f>IF(ISBLANK(MEMBERS[[#This Row],[ServiceEndDate]]),0,IF(MEMBERS[[#This Row],[ServiceStartDate]]&lt;MEMBERS[[#This Row],[ServiceEndDate]],0,1))</f>
        <v>0</v>
      </c>
      <c r="G828" s="57" cm="1">
        <f t="array" aca="1" ref="G828" ca="1">IF(CELL("format",MEMBERS[[#This Row],[ServiceStartDate]])="D1",0,1)+IF(CELL("format",MEMBERS[[#This Row],[ServiceEndDate]])="D1",0,1)</f>
        <v>0</v>
      </c>
      <c r="H828"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28" s="57">
        <f>IF(LEN(MEMBERS[[#This Row],[StaffMemberCode]])&lt;100,0,1)</f>
        <v>0</v>
      </c>
      <c r="J828" s="57">
        <f>IF(LEN(MEMBERS[[#This Row],[Title]])&lt;100,0,1)</f>
        <v>0</v>
      </c>
      <c r="K828" s="57">
        <f>COUNTBLANK(MEMBERS[[#This Row],[StaffMemberCode]:[ServiceStartDate]])+COUNTBLANK(MEMBERS[[#This Row],[Apprenticeship]]:MEMBERS[[#This Row],[StaffMemberEnabled]])+COUNTBLANK(MEMBERS[[#This Row],[GenderCode]]:MEMBERS[[#This Row],[Casual]])</f>
        <v>0</v>
      </c>
      <c r="L828" s="57">
        <f>IF(SUBSTITUTE(TEXT(MEMBERS[[#This Row],[StaffMemberCode]],10)," ","")=TEXT(MEMBERS[[#This Row],[StaffMemberCode]],10),0,1)</f>
        <v>0</v>
      </c>
      <c r="M828" s="57">
        <f ca="1">SUM(MEMBERS[[#This Row],[Duplicate NameService Start]:[Space in Code]])</f>
        <v>0</v>
      </c>
      <c r="O828" s="15">
        <v>91073806</v>
      </c>
      <c r="P828" s="15" t="s">
        <v>3457</v>
      </c>
      <c r="Q828" s="15" t="s">
        <v>3942</v>
      </c>
      <c r="R828" s="133" t="str">
        <f>MEMBERS[[#This Row],[FirstName]]&amp;" "&amp;MEMBERS[[#This Row],[LastName]]</f>
        <v>Zoe Martinez</v>
      </c>
      <c r="S828" s="21">
        <v>41640</v>
      </c>
      <c r="U828" s="21">
        <v>29929</v>
      </c>
      <c r="V828" t="b">
        <v>0</v>
      </c>
      <c r="W828" t="b">
        <v>0</v>
      </c>
      <c r="X828" t="b">
        <v>0</v>
      </c>
      <c r="Y828" t="s">
        <v>2082</v>
      </c>
      <c r="Z828" t="b">
        <v>1</v>
      </c>
      <c r="AB828" t="s">
        <v>1571</v>
      </c>
      <c r="AC828" t="b">
        <v>0</v>
      </c>
    </row>
    <row r="829" spans="1:29" x14ac:dyDescent="0.3">
      <c r="A829" s="57" t="str">
        <f>MEMBERS[[#This Row],[Title]]&amp;MEMBERS[[#This Row],[ServiceStartDate]]</f>
        <v>Zoe Willis45901</v>
      </c>
      <c r="B829" s="57">
        <f>IF(COUNTIF(MEMBERS[NameServiceStart],MEMBERS[[#This Row],[NameServiceStart]])=1,0,1)</f>
        <v>0</v>
      </c>
      <c r="C829" s="57">
        <f>IF(COUNTIF(MEMBERS[StaffMemberCode],MEMBERS[[#This Row],[StaffMemberCode]])=1,0,1)</f>
        <v>0</v>
      </c>
      <c r="D829" s="57">
        <f>IF(ISBLANK(MEMBERS[[#This Row],[PayrollLocation]]),0,IF(COUNTIF(SCHOOLS[SchoolCode],MEMBERS[[#This Row],[PayrollLocation]])=1,0,1))</f>
        <v>0</v>
      </c>
      <c r="E829" s="57">
        <f>IF(MEMBERS[[#This Row],[AvailableToAllSchools]]=FALSE,IF(ISBLANK(MEMBERS[[#This Row],[SchoolCodes]]),1,0),IF(MEMBERS[[#This Row],[AvailableToAllSchools]]=TRUE,IF(ISBLANK(MEMBERS[[#This Row],[SchoolCodes]]),0,1)))</f>
        <v>0</v>
      </c>
      <c r="F829" s="57">
        <f>IF(ISBLANK(MEMBERS[[#This Row],[ServiceEndDate]]),0,IF(MEMBERS[[#This Row],[ServiceStartDate]]&lt;MEMBERS[[#This Row],[ServiceEndDate]],0,1))</f>
        <v>0</v>
      </c>
      <c r="G829" s="57" cm="1">
        <f t="array" aca="1" ref="G829" ca="1">IF(CELL("format",MEMBERS[[#This Row],[ServiceStartDate]])="D1",0,1)+IF(CELL("format",MEMBERS[[#This Row],[ServiceEndDate]])="D1",0,1)</f>
        <v>0</v>
      </c>
      <c r="H829"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29" s="57">
        <f>IF(LEN(MEMBERS[[#This Row],[StaffMemberCode]])&lt;100,0,1)</f>
        <v>0</v>
      </c>
      <c r="J829" s="57">
        <f>IF(LEN(MEMBERS[[#This Row],[Title]])&lt;100,0,1)</f>
        <v>0</v>
      </c>
      <c r="K829" s="57">
        <f>COUNTBLANK(MEMBERS[[#This Row],[StaffMemberCode]:[ServiceStartDate]])+COUNTBLANK(MEMBERS[[#This Row],[Apprenticeship]]:MEMBERS[[#This Row],[StaffMemberEnabled]])+COUNTBLANK(MEMBERS[[#This Row],[GenderCode]]:MEMBERS[[#This Row],[Casual]])</f>
        <v>0</v>
      </c>
      <c r="L829" s="57">
        <f>IF(SUBSTITUTE(TEXT(MEMBERS[[#This Row],[StaffMemberCode]],10)," ","")=TEXT(MEMBERS[[#This Row],[StaffMemberCode]],10),0,1)</f>
        <v>0</v>
      </c>
      <c r="M829" s="57">
        <f ca="1">SUM(MEMBERS[[#This Row],[Duplicate NameService Start]:[Space in Code]])</f>
        <v>0</v>
      </c>
      <c r="O829" s="15">
        <v>91850034</v>
      </c>
      <c r="P829" s="15" t="s">
        <v>3457</v>
      </c>
      <c r="Q829" s="15" t="s">
        <v>3895</v>
      </c>
      <c r="R829" s="133" t="str">
        <f>MEMBERS[[#This Row],[FirstName]]&amp;" "&amp;MEMBERS[[#This Row],[LastName]]</f>
        <v>Zoe Willis</v>
      </c>
      <c r="S829" s="21">
        <v>45901</v>
      </c>
      <c r="U829" s="21">
        <v>33534</v>
      </c>
      <c r="V829" t="b">
        <v>0</v>
      </c>
      <c r="W829" t="b">
        <v>0</v>
      </c>
      <c r="X829" t="b">
        <v>0</v>
      </c>
      <c r="Y829" t="s">
        <v>2089</v>
      </c>
      <c r="Z829" t="b">
        <v>1</v>
      </c>
      <c r="AB829" t="s">
        <v>1571</v>
      </c>
      <c r="AC829" t="b">
        <v>0</v>
      </c>
    </row>
    <row r="830" spans="1:29" x14ac:dyDescent="0.3">
      <c r="A830" s="57" t="str">
        <f>MEMBERS[[#This Row],[Title]]&amp;MEMBERS[[#This Row],[ServiceStartDate]]</f>
        <v>Zoeanne Sample38879</v>
      </c>
      <c r="B830" s="57">
        <f>IF(COUNTIF(MEMBERS[NameServiceStart],MEMBERS[[#This Row],[NameServiceStart]])=1,0,1)</f>
        <v>0</v>
      </c>
      <c r="C830" s="57">
        <f>IF(COUNTIF(MEMBERS[StaffMemberCode],MEMBERS[[#This Row],[StaffMemberCode]])=1,0,1)</f>
        <v>0</v>
      </c>
      <c r="D830" s="57">
        <f>IF(ISBLANK(MEMBERS[[#This Row],[PayrollLocation]]),0,IF(COUNTIF(SCHOOLS[SchoolCode],MEMBERS[[#This Row],[PayrollLocation]])=1,0,1))</f>
        <v>0</v>
      </c>
      <c r="E830" s="57">
        <f>IF(MEMBERS[[#This Row],[AvailableToAllSchools]]=FALSE,IF(ISBLANK(MEMBERS[[#This Row],[SchoolCodes]]),1,0),IF(MEMBERS[[#This Row],[AvailableToAllSchools]]=TRUE,IF(ISBLANK(MEMBERS[[#This Row],[SchoolCodes]]),0,1)))</f>
        <v>0</v>
      </c>
      <c r="F830" s="57">
        <f>IF(ISBLANK(MEMBERS[[#This Row],[ServiceEndDate]]),0,IF(MEMBERS[[#This Row],[ServiceStartDate]]&lt;MEMBERS[[#This Row],[ServiceEndDate]],0,1))</f>
        <v>0</v>
      </c>
      <c r="G830" s="57" cm="1">
        <f t="array" aca="1" ref="G830" ca="1">IF(CELL("format",MEMBERS[[#This Row],[ServiceStartDate]])="D1",0,1)+IF(CELL("format",MEMBERS[[#This Row],[ServiceEndDate]])="D1",0,1)</f>
        <v>0</v>
      </c>
      <c r="H830"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830" s="57">
        <f>IF(LEN(MEMBERS[[#This Row],[StaffMemberCode]])&lt;100,0,1)</f>
        <v>0</v>
      </c>
      <c r="J830" s="57">
        <f>IF(LEN(MEMBERS[[#This Row],[Title]])&lt;100,0,1)</f>
        <v>0</v>
      </c>
      <c r="K830" s="57">
        <f>COUNTBLANK(MEMBERS[[#This Row],[StaffMemberCode]:[ServiceStartDate]])+COUNTBLANK(MEMBERS[[#This Row],[Apprenticeship]]:MEMBERS[[#This Row],[StaffMemberEnabled]])+COUNTBLANK(MEMBERS[[#This Row],[GenderCode]]:MEMBERS[[#This Row],[Casual]])</f>
        <v>0</v>
      </c>
      <c r="L830" s="57">
        <f>IF(SUBSTITUTE(TEXT(MEMBERS[[#This Row],[StaffMemberCode]],10)," ","")=TEXT(MEMBERS[[#This Row],[StaffMemberCode]],10),0,1)</f>
        <v>0</v>
      </c>
      <c r="M830" s="57">
        <f ca="1">SUM(MEMBERS[[#This Row],[Duplicate NameService Start]:[Space in Code]])</f>
        <v>0</v>
      </c>
      <c r="O830" s="15">
        <v>91073680</v>
      </c>
      <c r="P830" s="15" t="s">
        <v>3458</v>
      </c>
      <c r="Q830" s="15" t="s">
        <v>3943</v>
      </c>
      <c r="R830" s="133" t="str">
        <f>MEMBERS[[#This Row],[FirstName]]&amp;" "&amp;MEMBERS[[#This Row],[LastName]]</f>
        <v>Zoeanne Sample</v>
      </c>
      <c r="S830" s="21">
        <v>38879</v>
      </c>
      <c r="U830" s="21">
        <v>29965</v>
      </c>
      <c r="V830" t="b">
        <v>0</v>
      </c>
      <c r="W830" t="b">
        <v>0</v>
      </c>
      <c r="X830" t="b">
        <v>0</v>
      </c>
      <c r="Y830" t="s">
        <v>2082</v>
      </c>
      <c r="Z830" t="b">
        <v>1</v>
      </c>
      <c r="AB830" t="s">
        <v>1571</v>
      </c>
      <c r="AC830" t="b">
        <v>0</v>
      </c>
    </row>
    <row r="831" spans="1:29" x14ac:dyDescent="0.3">
      <c r="A831"/>
      <c r="B831"/>
      <c r="C831"/>
      <c r="D831"/>
      <c r="E831"/>
      <c r="F831"/>
      <c r="G831"/>
      <c r="H831"/>
      <c r="I831"/>
      <c r="J831"/>
      <c r="K831"/>
      <c r="L831"/>
      <c r="M831"/>
      <c r="N831"/>
      <c r="O831"/>
      <c r="P831"/>
      <c r="Q831"/>
      <c r="R831"/>
      <c r="S831"/>
      <c r="T831"/>
      <c r="U831"/>
      <c r="V831"/>
      <c r="X831"/>
    </row>
    <row r="832" spans="1:29" x14ac:dyDescent="0.3">
      <c r="A832"/>
      <c r="B832"/>
      <c r="C832"/>
      <c r="D832"/>
      <c r="E832"/>
      <c r="F832"/>
      <c r="G832"/>
      <c r="H832"/>
      <c r="I832"/>
      <c r="J832"/>
      <c r="K832"/>
      <c r="L832"/>
      <c r="M832"/>
      <c r="N832"/>
      <c r="O832"/>
      <c r="P832"/>
      <c r="Q832"/>
      <c r="R832"/>
      <c r="S832"/>
      <c r="T832"/>
      <c r="U832"/>
      <c r="V832"/>
      <c r="X832"/>
    </row>
    <row r="833" spans="1:24" x14ac:dyDescent="0.3">
      <c r="A833"/>
      <c r="B833"/>
      <c r="C833"/>
      <c r="D833"/>
      <c r="E833"/>
      <c r="F833"/>
      <c r="G833"/>
      <c r="H833"/>
      <c r="I833"/>
      <c r="J833"/>
      <c r="K833"/>
      <c r="L833"/>
      <c r="M833"/>
      <c r="N833"/>
      <c r="O833"/>
      <c r="P833"/>
      <c r="Q833"/>
      <c r="R833"/>
      <c r="S833"/>
      <c r="T833"/>
      <c r="U833"/>
      <c r="V833"/>
      <c r="X833"/>
    </row>
    <row r="834" spans="1:24" x14ac:dyDescent="0.3">
      <c r="A834"/>
      <c r="B834"/>
      <c r="C834"/>
      <c r="D834"/>
      <c r="E834"/>
      <c r="F834"/>
      <c r="G834"/>
      <c r="H834"/>
      <c r="I834"/>
      <c r="J834"/>
      <c r="K834"/>
      <c r="L834"/>
      <c r="M834"/>
      <c r="N834"/>
      <c r="O834"/>
      <c r="P834"/>
      <c r="Q834"/>
      <c r="R834"/>
      <c r="S834"/>
      <c r="T834"/>
      <c r="U834"/>
      <c r="V834"/>
      <c r="X834"/>
    </row>
    <row r="835" spans="1:24" x14ac:dyDescent="0.3">
      <c r="A835"/>
      <c r="B835"/>
      <c r="C835"/>
      <c r="D835"/>
      <c r="E835"/>
      <c r="F835"/>
      <c r="G835"/>
      <c r="H835"/>
      <c r="I835"/>
      <c r="J835"/>
      <c r="K835"/>
      <c r="L835"/>
      <c r="M835"/>
      <c r="N835"/>
      <c r="O835"/>
      <c r="P835"/>
      <c r="Q835"/>
      <c r="R835"/>
      <c r="S835"/>
      <c r="T835"/>
      <c r="U835"/>
      <c r="V835"/>
      <c r="X835"/>
    </row>
    <row r="836" spans="1:24" x14ac:dyDescent="0.3">
      <c r="A836"/>
      <c r="B836"/>
      <c r="C836"/>
      <c r="D836"/>
      <c r="E836"/>
      <c r="F836"/>
      <c r="G836"/>
      <c r="H836"/>
      <c r="I836"/>
      <c r="J836"/>
      <c r="K836"/>
      <c r="L836"/>
      <c r="M836"/>
      <c r="N836"/>
      <c r="O836"/>
      <c r="P836"/>
      <c r="Q836"/>
      <c r="R836"/>
      <c r="S836"/>
      <c r="T836"/>
      <c r="U836"/>
      <c r="V836"/>
      <c r="X836"/>
    </row>
    <row r="837" spans="1:24" x14ac:dyDescent="0.3">
      <c r="A837"/>
      <c r="B837"/>
      <c r="C837"/>
      <c r="D837"/>
      <c r="E837"/>
      <c r="F837"/>
      <c r="G837"/>
      <c r="H837"/>
      <c r="I837"/>
      <c r="J837"/>
      <c r="K837"/>
      <c r="L837"/>
      <c r="M837"/>
      <c r="N837"/>
      <c r="O837"/>
      <c r="P837"/>
      <c r="Q837"/>
      <c r="R837"/>
      <c r="S837"/>
      <c r="T837"/>
      <c r="U837"/>
      <c r="V837"/>
      <c r="X837"/>
    </row>
    <row r="838" spans="1:24" x14ac:dyDescent="0.3">
      <c r="A838"/>
      <c r="B838"/>
      <c r="C838"/>
      <c r="D838"/>
      <c r="E838"/>
      <c r="F838"/>
      <c r="G838"/>
      <c r="H838"/>
      <c r="I838"/>
      <c r="J838"/>
      <c r="K838"/>
      <c r="L838"/>
      <c r="M838"/>
      <c r="N838"/>
      <c r="O838"/>
      <c r="P838"/>
      <c r="Q838"/>
      <c r="R838"/>
      <c r="S838"/>
      <c r="T838"/>
      <c r="U838"/>
      <c r="V838"/>
      <c r="X838"/>
    </row>
    <row r="839" spans="1:24" x14ac:dyDescent="0.3">
      <c r="A839"/>
      <c r="B839"/>
      <c r="C839"/>
      <c r="D839"/>
      <c r="E839"/>
      <c r="F839"/>
      <c r="G839"/>
      <c r="H839"/>
      <c r="I839"/>
      <c r="J839"/>
      <c r="K839"/>
      <c r="L839"/>
      <c r="M839"/>
      <c r="N839"/>
      <c r="O839"/>
      <c r="P839"/>
      <c r="Q839"/>
      <c r="R839"/>
      <c r="S839"/>
      <c r="T839"/>
      <c r="U839"/>
      <c r="V839"/>
      <c r="X839"/>
    </row>
    <row r="840" spans="1:24" x14ac:dyDescent="0.3">
      <c r="A840"/>
      <c r="B840"/>
      <c r="C840"/>
      <c r="D840"/>
      <c r="E840"/>
      <c r="F840"/>
      <c r="G840"/>
      <c r="H840"/>
      <c r="I840"/>
      <c r="J840"/>
      <c r="K840"/>
      <c r="L840"/>
      <c r="M840"/>
      <c r="N840"/>
      <c r="O840"/>
      <c r="P840"/>
      <c r="Q840"/>
      <c r="R840"/>
      <c r="S840"/>
      <c r="T840"/>
      <c r="U840"/>
      <c r="V840"/>
      <c r="X840"/>
    </row>
    <row r="841" spans="1:24" x14ac:dyDescent="0.3">
      <c r="A841"/>
      <c r="B841"/>
      <c r="C841"/>
      <c r="D841"/>
      <c r="E841"/>
      <c r="F841"/>
      <c r="G841"/>
      <c r="H841"/>
      <c r="I841"/>
      <c r="J841"/>
      <c r="K841"/>
      <c r="L841"/>
      <c r="M841"/>
      <c r="N841"/>
      <c r="O841"/>
      <c r="P841"/>
      <c r="Q841"/>
      <c r="R841"/>
      <c r="S841"/>
      <c r="T841"/>
      <c r="U841"/>
      <c r="V841"/>
      <c r="X841"/>
    </row>
    <row r="842" spans="1:24" x14ac:dyDescent="0.3">
      <c r="A842"/>
      <c r="B842"/>
      <c r="C842"/>
      <c r="D842"/>
      <c r="E842"/>
      <c r="F842"/>
      <c r="G842"/>
      <c r="H842"/>
      <c r="I842"/>
      <c r="J842"/>
      <c r="K842"/>
      <c r="L842"/>
      <c r="M842"/>
      <c r="N842"/>
      <c r="O842"/>
      <c r="P842"/>
      <c r="Q842"/>
      <c r="R842"/>
      <c r="S842"/>
      <c r="T842"/>
      <c r="U842"/>
      <c r="V842"/>
      <c r="X842"/>
    </row>
    <row r="843" spans="1:24" x14ac:dyDescent="0.3">
      <c r="A843"/>
      <c r="B843"/>
      <c r="C843"/>
      <c r="D843"/>
      <c r="E843"/>
      <c r="F843"/>
      <c r="G843"/>
      <c r="H843"/>
      <c r="I843"/>
      <c r="J843"/>
      <c r="K843"/>
      <c r="L843"/>
      <c r="M843"/>
      <c r="N843"/>
      <c r="O843"/>
      <c r="P843"/>
      <c r="Q843"/>
      <c r="R843"/>
      <c r="S843"/>
      <c r="T843"/>
      <c r="U843"/>
      <c r="V843"/>
      <c r="X843"/>
    </row>
    <row r="844" spans="1:24" x14ac:dyDescent="0.3">
      <c r="A844"/>
      <c r="B844"/>
      <c r="C844"/>
      <c r="D844"/>
      <c r="E844"/>
      <c r="F844"/>
      <c r="G844"/>
      <c r="H844"/>
      <c r="I844"/>
      <c r="J844"/>
      <c r="K844"/>
      <c r="L844"/>
      <c r="M844"/>
      <c r="N844"/>
      <c r="O844"/>
      <c r="P844"/>
      <c r="Q844"/>
      <c r="R844"/>
      <c r="S844"/>
      <c r="T844"/>
      <c r="U844"/>
      <c r="V844"/>
      <c r="X844"/>
    </row>
    <row r="845" spans="1:24" x14ac:dyDescent="0.3">
      <c r="A845"/>
      <c r="B845"/>
      <c r="C845"/>
      <c r="D845"/>
      <c r="E845"/>
      <c r="F845"/>
      <c r="G845"/>
      <c r="H845"/>
      <c r="I845"/>
      <c r="J845"/>
      <c r="K845"/>
      <c r="L845"/>
      <c r="M845"/>
      <c r="N845"/>
      <c r="O845"/>
      <c r="P845"/>
      <c r="Q845"/>
      <c r="R845"/>
      <c r="S845"/>
      <c r="T845"/>
      <c r="U845"/>
      <c r="V845"/>
      <c r="X845"/>
    </row>
    <row r="846" spans="1:24" x14ac:dyDescent="0.3">
      <c r="A846"/>
      <c r="B846"/>
      <c r="C846"/>
      <c r="D846"/>
      <c r="E846"/>
      <c r="F846"/>
      <c r="G846"/>
      <c r="H846"/>
      <c r="I846"/>
      <c r="J846"/>
      <c r="K846"/>
      <c r="L846"/>
      <c r="M846"/>
      <c r="N846"/>
      <c r="O846"/>
      <c r="P846"/>
      <c r="Q846"/>
      <c r="R846"/>
      <c r="S846"/>
      <c r="T846"/>
      <c r="U846"/>
      <c r="V846"/>
      <c r="X846"/>
    </row>
    <row r="847" spans="1:24" x14ac:dyDescent="0.3">
      <c r="A847"/>
      <c r="B847"/>
      <c r="C847"/>
      <c r="D847"/>
      <c r="E847"/>
      <c r="F847"/>
      <c r="G847"/>
      <c r="H847"/>
      <c r="I847"/>
      <c r="J847"/>
      <c r="K847"/>
      <c r="L847"/>
      <c r="M847"/>
      <c r="N847"/>
      <c r="O847"/>
      <c r="P847"/>
      <c r="Q847"/>
      <c r="R847"/>
      <c r="S847"/>
      <c r="T847"/>
      <c r="U847"/>
      <c r="V847"/>
      <c r="X847"/>
    </row>
    <row r="848" spans="1:24" x14ac:dyDescent="0.3">
      <c r="A848"/>
      <c r="B848"/>
      <c r="C848"/>
      <c r="D848"/>
      <c r="E848"/>
      <c r="F848"/>
      <c r="G848"/>
      <c r="H848"/>
      <c r="I848"/>
      <c r="J848"/>
      <c r="K848"/>
      <c r="L848"/>
      <c r="M848"/>
      <c r="N848"/>
      <c r="O848"/>
      <c r="P848"/>
      <c r="Q848"/>
      <c r="R848"/>
      <c r="S848"/>
      <c r="T848"/>
      <c r="U848"/>
      <c r="V848"/>
      <c r="X848"/>
    </row>
    <row r="849" spans="1:24" x14ac:dyDescent="0.3">
      <c r="A849"/>
      <c r="B849"/>
      <c r="C849"/>
      <c r="D849"/>
      <c r="E849"/>
      <c r="F849"/>
      <c r="G849"/>
      <c r="H849"/>
      <c r="I849"/>
      <c r="J849"/>
      <c r="K849"/>
      <c r="L849"/>
      <c r="M849"/>
      <c r="N849"/>
      <c r="O849"/>
      <c r="P849"/>
      <c r="Q849"/>
      <c r="R849"/>
      <c r="S849"/>
      <c r="T849"/>
      <c r="U849"/>
      <c r="V849"/>
      <c r="X849"/>
    </row>
    <row r="850" spans="1:24" x14ac:dyDescent="0.3">
      <c r="A850"/>
      <c r="B850"/>
      <c r="C850"/>
      <c r="D850"/>
      <c r="E850"/>
      <c r="F850"/>
      <c r="G850"/>
      <c r="H850"/>
      <c r="I850"/>
      <c r="J850"/>
      <c r="K850"/>
      <c r="L850"/>
      <c r="M850"/>
      <c r="N850"/>
      <c r="O850"/>
      <c r="P850"/>
      <c r="Q850"/>
      <c r="R850"/>
      <c r="S850"/>
      <c r="T850"/>
      <c r="U850"/>
      <c r="V850"/>
      <c r="X850"/>
    </row>
    <row r="851" spans="1:24" x14ac:dyDescent="0.3">
      <c r="A851"/>
      <c r="B851"/>
      <c r="C851"/>
      <c r="D851"/>
      <c r="E851"/>
      <c r="F851"/>
      <c r="G851"/>
      <c r="H851"/>
      <c r="I851"/>
      <c r="J851"/>
      <c r="K851"/>
      <c r="L851"/>
      <c r="M851"/>
      <c r="N851"/>
      <c r="O851"/>
      <c r="P851"/>
      <c r="Q851"/>
      <c r="R851"/>
      <c r="S851"/>
      <c r="T851"/>
      <c r="U851"/>
      <c r="V851"/>
      <c r="X851"/>
    </row>
    <row r="852" spans="1:24" x14ac:dyDescent="0.3">
      <c r="A852"/>
      <c r="B852"/>
      <c r="C852"/>
      <c r="D852"/>
      <c r="E852"/>
      <c r="F852"/>
      <c r="G852"/>
      <c r="H852"/>
      <c r="I852"/>
      <c r="J852"/>
      <c r="K852"/>
      <c r="L852"/>
      <c r="M852"/>
      <c r="N852"/>
      <c r="O852"/>
      <c r="P852"/>
      <c r="Q852"/>
      <c r="R852"/>
      <c r="S852"/>
      <c r="T852"/>
      <c r="U852"/>
      <c r="V852"/>
      <c r="X852"/>
    </row>
    <row r="853" spans="1:24" x14ac:dyDescent="0.3">
      <c r="A853"/>
      <c r="B853"/>
      <c r="C853"/>
      <c r="D853"/>
      <c r="E853"/>
      <c r="F853"/>
      <c r="G853"/>
      <c r="H853"/>
      <c r="I853"/>
      <c r="J853"/>
      <c r="K853"/>
      <c r="L853"/>
      <c r="M853"/>
      <c r="N853"/>
      <c r="O853"/>
      <c r="P853"/>
      <c r="Q853"/>
      <c r="R853"/>
      <c r="S853"/>
      <c r="T853"/>
      <c r="U853"/>
      <c r="V853"/>
      <c r="X853"/>
    </row>
    <row r="854" spans="1:24" x14ac:dyDescent="0.3">
      <c r="A854"/>
      <c r="B854"/>
      <c r="C854"/>
      <c r="D854"/>
      <c r="E854"/>
      <c r="F854"/>
      <c r="G854"/>
      <c r="H854"/>
      <c r="I854"/>
      <c r="J854"/>
      <c r="K854"/>
      <c r="L854"/>
      <c r="M854"/>
      <c r="N854"/>
      <c r="O854"/>
      <c r="P854"/>
      <c r="Q854"/>
      <c r="R854"/>
      <c r="S854"/>
      <c r="T854"/>
      <c r="U854"/>
      <c r="V854"/>
      <c r="X854"/>
    </row>
    <row r="855" spans="1:24" x14ac:dyDescent="0.3">
      <c r="A855"/>
      <c r="B855"/>
      <c r="C855"/>
      <c r="D855"/>
      <c r="E855"/>
      <c r="F855"/>
      <c r="G855"/>
      <c r="H855"/>
      <c r="I855"/>
      <c r="J855"/>
      <c r="K855"/>
      <c r="L855"/>
      <c r="M855"/>
      <c r="N855"/>
      <c r="O855"/>
      <c r="P855"/>
      <c r="Q855"/>
      <c r="R855"/>
      <c r="S855"/>
      <c r="T855"/>
      <c r="U855"/>
      <c r="V855"/>
      <c r="X855"/>
    </row>
    <row r="856" spans="1:24" x14ac:dyDescent="0.3">
      <c r="A856"/>
      <c r="B856"/>
      <c r="C856"/>
      <c r="D856"/>
      <c r="E856"/>
      <c r="F856"/>
      <c r="G856"/>
      <c r="H856"/>
      <c r="I856"/>
      <c r="J856"/>
      <c r="K856"/>
      <c r="L856"/>
      <c r="M856"/>
      <c r="N856"/>
      <c r="O856"/>
      <c r="P856"/>
      <c r="Q856"/>
      <c r="R856"/>
      <c r="S856"/>
      <c r="T856"/>
      <c r="U856"/>
      <c r="V856"/>
      <c r="X856"/>
    </row>
    <row r="857" spans="1:24" x14ac:dyDescent="0.3">
      <c r="A857"/>
      <c r="B857"/>
      <c r="C857"/>
      <c r="D857"/>
      <c r="E857"/>
      <c r="F857"/>
      <c r="G857"/>
      <c r="H857"/>
      <c r="I857"/>
      <c r="J857"/>
      <c r="K857"/>
      <c r="L857"/>
      <c r="M857"/>
      <c r="N857"/>
      <c r="O857"/>
      <c r="P857"/>
      <c r="Q857"/>
      <c r="R857"/>
      <c r="S857"/>
      <c r="T857"/>
      <c r="U857"/>
      <c r="V857"/>
      <c r="X857"/>
    </row>
    <row r="858" spans="1:24" x14ac:dyDescent="0.3">
      <c r="A858"/>
      <c r="B858"/>
      <c r="C858"/>
      <c r="D858"/>
      <c r="E858"/>
      <c r="F858"/>
      <c r="G858"/>
      <c r="H858"/>
      <c r="I858"/>
      <c r="J858"/>
      <c r="K858"/>
      <c r="L858"/>
      <c r="M858"/>
      <c r="N858"/>
      <c r="O858"/>
      <c r="P858"/>
      <c r="Q858"/>
      <c r="R858"/>
      <c r="S858"/>
      <c r="T858"/>
      <c r="U858"/>
      <c r="V858"/>
      <c r="X858"/>
    </row>
    <row r="859" spans="1:24" x14ac:dyDescent="0.3">
      <c r="A859"/>
      <c r="B859"/>
      <c r="C859"/>
      <c r="D859"/>
      <c r="E859"/>
      <c r="F859"/>
      <c r="G859"/>
      <c r="H859"/>
      <c r="I859"/>
      <c r="J859"/>
      <c r="K859"/>
      <c r="L859"/>
      <c r="M859"/>
      <c r="N859"/>
      <c r="O859"/>
      <c r="P859"/>
      <c r="Q859"/>
      <c r="R859"/>
      <c r="S859"/>
      <c r="T859"/>
      <c r="U859"/>
      <c r="V859"/>
      <c r="X859"/>
    </row>
    <row r="860" spans="1:24" x14ac:dyDescent="0.3">
      <c r="A860"/>
      <c r="B860"/>
      <c r="C860"/>
      <c r="D860"/>
      <c r="E860"/>
      <c r="F860"/>
      <c r="G860"/>
      <c r="H860"/>
      <c r="I860"/>
      <c r="J860"/>
      <c r="K860"/>
      <c r="L860"/>
      <c r="M860"/>
      <c r="N860"/>
      <c r="O860"/>
      <c r="P860"/>
      <c r="Q860"/>
      <c r="R860"/>
      <c r="S860"/>
      <c r="T860"/>
      <c r="U860"/>
      <c r="V860"/>
      <c r="X860"/>
    </row>
    <row r="861" spans="1:24" x14ac:dyDescent="0.3">
      <c r="A861"/>
      <c r="B861"/>
      <c r="C861"/>
      <c r="D861"/>
      <c r="E861"/>
      <c r="F861"/>
      <c r="G861"/>
      <c r="H861"/>
      <c r="I861"/>
      <c r="J861"/>
      <c r="K861"/>
      <c r="L861"/>
      <c r="M861"/>
      <c r="N861"/>
      <c r="O861"/>
      <c r="P861"/>
      <c r="Q861"/>
      <c r="R861"/>
      <c r="S861"/>
      <c r="T861"/>
      <c r="U861"/>
      <c r="V861"/>
      <c r="X861"/>
    </row>
    <row r="862" spans="1:24" x14ac:dyDescent="0.3">
      <c r="A862"/>
      <c r="B862"/>
      <c r="C862"/>
      <c r="D862"/>
      <c r="E862"/>
      <c r="F862"/>
      <c r="G862"/>
      <c r="H862"/>
      <c r="I862"/>
      <c r="J862"/>
      <c r="K862"/>
      <c r="L862"/>
      <c r="M862"/>
      <c r="N862"/>
      <c r="O862"/>
      <c r="P862"/>
      <c r="Q862"/>
      <c r="R862"/>
      <c r="S862"/>
      <c r="T862"/>
      <c r="U862"/>
      <c r="V862"/>
      <c r="X862"/>
    </row>
    <row r="863" spans="1:24" x14ac:dyDescent="0.3">
      <c r="A863"/>
      <c r="B863"/>
      <c r="C863"/>
      <c r="D863"/>
      <c r="E863"/>
      <c r="F863"/>
      <c r="G863"/>
      <c r="H863"/>
      <c r="I863"/>
      <c r="J863"/>
      <c r="K863"/>
      <c r="L863"/>
      <c r="M863"/>
      <c r="N863"/>
      <c r="O863"/>
      <c r="P863"/>
      <c r="Q863"/>
      <c r="R863"/>
      <c r="S863"/>
      <c r="T863"/>
      <c r="U863"/>
      <c r="V863"/>
      <c r="X863"/>
    </row>
    <row r="864" spans="1:24" x14ac:dyDescent="0.3">
      <c r="A864"/>
      <c r="B864"/>
      <c r="C864"/>
      <c r="D864"/>
      <c r="E864"/>
      <c r="F864"/>
      <c r="G864"/>
      <c r="H864"/>
      <c r="I864"/>
      <c r="J864"/>
      <c r="K864"/>
      <c r="L864"/>
      <c r="M864"/>
      <c r="N864"/>
      <c r="O864"/>
      <c r="P864"/>
      <c r="Q864"/>
      <c r="R864"/>
      <c r="S864"/>
      <c r="T864"/>
      <c r="U864"/>
      <c r="V864"/>
      <c r="X864"/>
    </row>
    <row r="865" spans="1:24" x14ac:dyDescent="0.3">
      <c r="A865"/>
      <c r="B865"/>
      <c r="C865"/>
      <c r="D865"/>
      <c r="E865"/>
      <c r="F865"/>
      <c r="G865"/>
      <c r="H865"/>
      <c r="I865"/>
      <c r="J865"/>
      <c r="K865"/>
      <c r="L865"/>
      <c r="M865"/>
      <c r="N865"/>
      <c r="O865"/>
      <c r="P865"/>
      <c r="Q865"/>
      <c r="R865"/>
      <c r="S865"/>
      <c r="T865"/>
      <c r="U865"/>
      <c r="V865"/>
      <c r="X865"/>
    </row>
    <row r="866" spans="1:24" x14ac:dyDescent="0.3">
      <c r="A866"/>
      <c r="B866"/>
      <c r="C866"/>
      <c r="D866"/>
      <c r="E866"/>
      <c r="F866"/>
      <c r="G866"/>
      <c r="H866"/>
      <c r="I866"/>
      <c r="J866"/>
      <c r="K866"/>
      <c r="L866"/>
      <c r="M866"/>
      <c r="N866"/>
      <c r="O866"/>
      <c r="P866"/>
      <c r="Q866"/>
      <c r="R866"/>
      <c r="S866"/>
      <c r="T866"/>
      <c r="U866"/>
      <c r="V866"/>
      <c r="X866"/>
    </row>
    <row r="867" spans="1:24" x14ac:dyDescent="0.3">
      <c r="A867"/>
      <c r="B867"/>
      <c r="C867"/>
      <c r="D867"/>
      <c r="E867"/>
      <c r="F867"/>
      <c r="G867"/>
      <c r="H867"/>
      <c r="I867"/>
      <c r="J867"/>
      <c r="K867"/>
      <c r="L867"/>
      <c r="M867"/>
      <c r="N867"/>
      <c r="O867"/>
      <c r="P867"/>
      <c r="Q867"/>
      <c r="R867"/>
      <c r="S867"/>
      <c r="T867"/>
      <c r="U867"/>
      <c r="V867"/>
      <c r="X867"/>
    </row>
    <row r="868" spans="1:24" x14ac:dyDescent="0.3">
      <c r="A868"/>
      <c r="B868"/>
      <c r="C868"/>
      <c r="D868"/>
      <c r="E868"/>
      <c r="F868"/>
      <c r="G868"/>
      <c r="H868"/>
      <c r="I868"/>
      <c r="J868"/>
      <c r="K868"/>
      <c r="L868"/>
      <c r="M868"/>
      <c r="N868"/>
      <c r="O868"/>
      <c r="P868"/>
      <c r="Q868"/>
      <c r="R868"/>
      <c r="S868"/>
      <c r="T868"/>
      <c r="U868"/>
      <c r="V868"/>
      <c r="X868"/>
    </row>
    <row r="869" spans="1:24" x14ac:dyDescent="0.3">
      <c r="A869"/>
      <c r="B869"/>
      <c r="C869"/>
      <c r="D869"/>
      <c r="E869"/>
      <c r="F869"/>
      <c r="G869"/>
      <c r="H869"/>
      <c r="I869"/>
      <c r="J869"/>
      <c r="K869"/>
      <c r="L869"/>
      <c r="M869"/>
      <c r="N869"/>
      <c r="O869"/>
      <c r="P869"/>
      <c r="Q869"/>
      <c r="R869"/>
      <c r="S869"/>
      <c r="T869"/>
      <c r="U869"/>
      <c r="V869"/>
      <c r="X869"/>
    </row>
    <row r="870" spans="1:24" x14ac:dyDescent="0.3">
      <c r="A870"/>
      <c r="B870"/>
      <c r="C870"/>
      <c r="D870"/>
      <c r="E870"/>
      <c r="F870"/>
      <c r="G870"/>
      <c r="H870"/>
      <c r="I870"/>
      <c r="J870"/>
      <c r="K870"/>
      <c r="L870"/>
      <c r="M870"/>
      <c r="N870"/>
      <c r="O870"/>
      <c r="P870"/>
      <c r="Q870"/>
      <c r="R870"/>
      <c r="S870"/>
      <c r="T870"/>
      <c r="U870"/>
      <c r="V870"/>
      <c r="X870"/>
    </row>
    <row r="871" spans="1:24" x14ac:dyDescent="0.3">
      <c r="A871"/>
      <c r="B871"/>
      <c r="C871"/>
      <c r="D871"/>
      <c r="E871"/>
      <c r="F871"/>
      <c r="G871"/>
      <c r="H871"/>
      <c r="I871"/>
      <c r="J871"/>
      <c r="K871"/>
      <c r="L871"/>
      <c r="M871"/>
      <c r="N871"/>
      <c r="O871"/>
      <c r="P871"/>
      <c r="Q871"/>
      <c r="R871"/>
      <c r="S871"/>
      <c r="T871"/>
      <c r="U871"/>
      <c r="V871"/>
      <c r="X871"/>
    </row>
    <row r="872" spans="1:24" x14ac:dyDescent="0.3">
      <c r="A872"/>
      <c r="B872"/>
      <c r="C872"/>
      <c r="D872"/>
      <c r="E872"/>
      <c r="F872"/>
      <c r="G872"/>
      <c r="H872"/>
      <c r="I872"/>
      <c r="J872"/>
      <c r="K872"/>
      <c r="L872"/>
      <c r="M872"/>
      <c r="N872"/>
      <c r="O872"/>
      <c r="P872"/>
      <c r="Q872"/>
      <c r="R872"/>
      <c r="S872"/>
      <c r="T872"/>
      <c r="U872"/>
      <c r="V872"/>
      <c r="X872"/>
    </row>
    <row r="873" spans="1:24" x14ac:dyDescent="0.3">
      <c r="A873"/>
      <c r="B873"/>
      <c r="C873"/>
      <c r="D873"/>
      <c r="E873"/>
      <c r="F873"/>
      <c r="G873"/>
      <c r="H873"/>
      <c r="I873"/>
      <c r="J873"/>
      <c r="K873"/>
      <c r="L873"/>
      <c r="M873"/>
      <c r="N873"/>
      <c r="O873"/>
      <c r="P873"/>
      <c r="Q873"/>
      <c r="R873"/>
      <c r="S873"/>
      <c r="T873"/>
      <c r="U873"/>
      <c r="V873"/>
      <c r="X873"/>
    </row>
    <row r="874" spans="1:24" x14ac:dyDescent="0.3">
      <c r="A874"/>
      <c r="B874"/>
      <c r="C874"/>
      <c r="D874"/>
      <c r="E874"/>
      <c r="F874"/>
      <c r="G874"/>
      <c r="H874"/>
      <c r="I874"/>
      <c r="J874"/>
      <c r="K874"/>
      <c r="L874"/>
      <c r="M874"/>
      <c r="N874"/>
      <c r="O874"/>
      <c r="P874"/>
      <c r="Q874"/>
      <c r="R874"/>
      <c r="S874"/>
      <c r="T874"/>
      <c r="U874"/>
      <c r="V874"/>
      <c r="X874"/>
    </row>
    <row r="875" spans="1:24" x14ac:dyDescent="0.3">
      <c r="A875"/>
      <c r="B875"/>
      <c r="C875"/>
      <c r="D875"/>
      <c r="E875"/>
      <c r="F875"/>
      <c r="G875"/>
      <c r="H875"/>
      <c r="I875"/>
      <c r="J875"/>
      <c r="K875"/>
      <c r="L875"/>
      <c r="M875"/>
      <c r="N875"/>
      <c r="O875"/>
      <c r="P875"/>
      <c r="Q875"/>
      <c r="R875"/>
      <c r="S875"/>
      <c r="T875"/>
      <c r="U875"/>
      <c r="V875"/>
      <c r="X875"/>
    </row>
    <row r="876" spans="1:24" x14ac:dyDescent="0.3">
      <c r="A876"/>
      <c r="B876"/>
      <c r="C876"/>
      <c r="D876"/>
      <c r="E876"/>
      <c r="F876"/>
      <c r="G876"/>
      <c r="H876"/>
      <c r="I876"/>
      <c r="J876"/>
      <c r="K876"/>
      <c r="L876"/>
      <c r="M876"/>
      <c r="N876"/>
      <c r="O876"/>
      <c r="P876"/>
      <c r="Q876"/>
      <c r="R876"/>
      <c r="S876"/>
      <c r="T876"/>
      <c r="U876"/>
      <c r="V876"/>
      <c r="X876"/>
    </row>
    <row r="877" spans="1:24" x14ac:dyDescent="0.3">
      <c r="A877"/>
      <c r="B877"/>
      <c r="C877"/>
      <c r="D877"/>
      <c r="E877"/>
      <c r="F877"/>
      <c r="G877"/>
      <c r="H877"/>
      <c r="I877"/>
      <c r="J877"/>
      <c r="K877"/>
      <c r="L877"/>
      <c r="M877"/>
      <c r="N877"/>
      <c r="O877"/>
      <c r="P877"/>
      <c r="Q877"/>
      <c r="R877"/>
      <c r="S877"/>
      <c r="T877"/>
      <c r="U877"/>
      <c r="V877"/>
      <c r="X877"/>
    </row>
    <row r="878" spans="1:24" x14ac:dyDescent="0.3">
      <c r="A878"/>
      <c r="B878"/>
      <c r="C878"/>
      <c r="D878"/>
      <c r="E878"/>
      <c r="F878"/>
      <c r="G878"/>
      <c r="H878"/>
      <c r="I878"/>
      <c r="J878"/>
      <c r="K878"/>
      <c r="L878"/>
      <c r="M878"/>
      <c r="N878"/>
      <c r="O878"/>
      <c r="P878"/>
      <c r="Q878"/>
      <c r="R878"/>
      <c r="S878"/>
      <c r="T878"/>
      <c r="U878"/>
      <c r="V878"/>
      <c r="X878"/>
    </row>
    <row r="879" spans="1:24" x14ac:dyDescent="0.3">
      <c r="A879"/>
      <c r="B879"/>
      <c r="C879"/>
      <c r="D879"/>
      <c r="E879"/>
      <c r="F879"/>
      <c r="G879"/>
      <c r="H879"/>
      <c r="I879"/>
      <c r="J879"/>
      <c r="K879"/>
      <c r="L879"/>
      <c r="M879"/>
      <c r="N879"/>
      <c r="O879"/>
      <c r="P879"/>
      <c r="Q879"/>
      <c r="R879"/>
      <c r="S879"/>
      <c r="T879"/>
      <c r="U879"/>
      <c r="V879"/>
      <c r="X879"/>
    </row>
    <row r="880" spans="1:24" x14ac:dyDescent="0.3">
      <c r="A880"/>
      <c r="B880"/>
      <c r="C880"/>
      <c r="D880"/>
      <c r="E880"/>
      <c r="F880"/>
      <c r="G880"/>
      <c r="H880"/>
      <c r="I880"/>
      <c r="J880"/>
      <c r="K880"/>
      <c r="L880"/>
      <c r="M880"/>
      <c r="N880"/>
      <c r="O880"/>
      <c r="P880"/>
      <c r="Q880"/>
      <c r="R880"/>
      <c r="S880"/>
      <c r="T880"/>
      <c r="U880"/>
      <c r="V880"/>
      <c r="X880"/>
    </row>
    <row r="881" spans="1:24" x14ac:dyDescent="0.3">
      <c r="A881"/>
      <c r="B881"/>
      <c r="C881"/>
      <c r="D881"/>
      <c r="E881"/>
      <c r="F881"/>
      <c r="G881"/>
      <c r="H881"/>
      <c r="I881"/>
      <c r="J881"/>
      <c r="K881"/>
      <c r="L881"/>
      <c r="M881"/>
      <c r="N881"/>
      <c r="O881"/>
      <c r="P881"/>
      <c r="Q881"/>
      <c r="R881"/>
      <c r="S881"/>
      <c r="T881"/>
      <c r="U881"/>
      <c r="V881"/>
      <c r="X881"/>
    </row>
    <row r="882" spans="1:24" x14ac:dyDescent="0.3">
      <c r="A882"/>
      <c r="B882"/>
      <c r="C882"/>
      <c r="D882"/>
      <c r="E882"/>
      <c r="F882"/>
      <c r="G882"/>
      <c r="H882"/>
      <c r="I882"/>
      <c r="J882"/>
      <c r="K882"/>
      <c r="L882"/>
      <c r="M882"/>
      <c r="N882"/>
      <c r="O882"/>
      <c r="P882"/>
      <c r="Q882"/>
      <c r="R882"/>
      <c r="S882"/>
      <c r="T882"/>
      <c r="U882"/>
      <c r="V882"/>
      <c r="X882"/>
    </row>
    <row r="883" spans="1:24" x14ac:dyDescent="0.3">
      <c r="A883"/>
      <c r="B883"/>
      <c r="C883"/>
      <c r="D883"/>
      <c r="E883"/>
      <c r="F883"/>
      <c r="G883"/>
      <c r="H883"/>
      <c r="I883"/>
      <c r="J883"/>
      <c r="K883"/>
      <c r="L883"/>
      <c r="M883"/>
      <c r="N883"/>
      <c r="O883"/>
      <c r="P883"/>
      <c r="Q883"/>
      <c r="R883"/>
      <c r="S883"/>
      <c r="T883"/>
      <c r="U883"/>
      <c r="V883"/>
      <c r="X883"/>
    </row>
    <row r="884" spans="1:24" x14ac:dyDescent="0.3">
      <c r="A884"/>
      <c r="B884"/>
      <c r="C884"/>
      <c r="D884"/>
      <c r="E884"/>
      <c r="F884"/>
      <c r="G884"/>
      <c r="H884"/>
      <c r="I884"/>
      <c r="J884"/>
      <c r="K884"/>
      <c r="L884"/>
      <c r="M884"/>
      <c r="N884"/>
      <c r="O884"/>
      <c r="P884"/>
      <c r="Q884"/>
      <c r="R884"/>
      <c r="S884"/>
      <c r="T884"/>
      <c r="U884"/>
      <c r="V884"/>
      <c r="X884"/>
    </row>
    <row r="885" spans="1:24" x14ac:dyDescent="0.3">
      <c r="A885"/>
      <c r="B885"/>
      <c r="C885"/>
      <c r="D885"/>
      <c r="E885"/>
      <c r="F885"/>
      <c r="G885"/>
      <c r="H885"/>
      <c r="I885"/>
      <c r="J885"/>
      <c r="K885"/>
      <c r="L885"/>
      <c r="M885"/>
      <c r="N885"/>
      <c r="O885"/>
      <c r="P885"/>
      <c r="Q885"/>
      <c r="R885"/>
      <c r="S885"/>
      <c r="T885"/>
      <c r="U885"/>
      <c r="V885"/>
      <c r="X885"/>
    </row>
    <row r="886" spans="1:24" x14ac:dyDescent="0.3">
      <c r="A886"/>
      <c r="B886"/>
      <c r="C886"/>
      <c r="D886"/>
      <c r="E886"/>
      <c r="F886"/>
      <c r="G886"/>
      <c r="H886"/>
      <c r="I886"/>
      <c r="J886"/>
      <c r="K886"/>
      <c r="L886"/>
      <c r="M886"/>
      <c r="N886"/>
      <c r="O886"/>
      <c r="P886"/>
      <c r="Q886"/>
      <c r="R886"/>
      <c r="S886"/>
      <c r="T886"/>
      <c r="U886"/>
      <c r="V886"/>
      <c r="X886"/>
    </row>
    <row r="887" spans="1:24" x14ac:dyDescent="0.3">
      <c r="A887"/>
      <c r="B887"/>
      <c r="C887"/>
      <c r="D887"/>
      <c r="E887"/>
      <c r="F887"/>
      <c r="G887"/>
      <c r="H887"/>
      <c r="I887"/>
      <c r="J887"/>
      <c r="K887"/>
      <c r="L887"/>
      <c r="M887"/>
      <c r="N887"/>
      <c r="O887"/>
      <c r="P887"/>
      <c r="Q887"/>
      <c r="R887"/>
      <c r="S887"/>
      <c r="T887"/>
      <c r="U887"/>
      <c r="V887"/>
      <c r="X887"/>
    </row>
    <row r="888" spans="1:24" x14ac:dyDescent="0.3">
      <c r="A888"/>
      <c r="B888"/>
      <c r="C888"/>
      <c r="D888"/>
      <c r="E888"/>
      <c r="F888"/>
      <c r="G888"/>
      <c r="H888"/>
      <c r="I888"/>
      <c r="J888"/>
      <c r="K888"/>
      <c r="L888"/>
      <c r="M888"/>
      <c r="N888"/>
      <c r="O888"/>
      <c r="P888"/>
      <c r="Q888"/>
      <c r="R888"/>
      <c r="S888"/>
      <c r="T888"/>
      <c r="U888"/>
      <c r="V888"/>
      <c r="X888"/>
    </row>
    <row r="889" spans="1:24" x14ac:dyDescent="0.3">
      <c r="A889"/>
      <c r="B889"/>
      <c r="C889"/>
      <c r="D889"/>
      <c r="E889"/>
      <c r="F889"/>
      <c r="G889"/>
      <c r="H889"/>
      <c r="I889"/>
      <c r="J889"/>
      <c r="K889"/>
      <c r="L889"/>
      <c r="M889"/>
      <c r="N889"/>
      <c r="O889"/>
      <c r="P889"/>
      <c r="Q889"/>
      <c r="R889"/>
      <c r="S889"/>
      <c r="T889"/>
      <c r="U889"/>
      <c r="V889"/>
      <c r="X889"/>
    </row>
    <row r="890" spans="1:24" x14ac:dyDescent="0.3">
      <c r="A890"/>
      <c r="B890"/>
      <c r="C890"/>
      <c r="D890"/>
      <c r="E890"/>
      <c r="F890"/>
      <c r="G890"/>
      <c r="H890"/>
      <c r="I890"/>
      <c r="J890"/>
      <c r="K890"/>
      <c r="L890"/>
      <c r="M890"/>
      <c r="N890"/>
      <c r="O890"/>
      <c r="P890"/>
      <c r="Q890"/>
      <c r="R890"/>
      <c r="S890"/>
      <c r="T890"/>
      <c r="U890"/>
      <c r="V890"/>
      <c r="X890"/>
    </row>
    <row r="891" spans="1:24" x14ac:dyDescent="0.3">
      <c r="A891"/>
      <c r="B891"/>
      <c r="C891"/>
      <c r="D891"/>
      <c r="E891"/>
      <c r="F891"/>
      <c r="G891"/>
      <c r="H891"/>
      <c r="I891"/>
      <c r="J891"/>
      <c r="K891"/>
      <c r="L891"/>
      <c r="M891"/>
      <c r="N891"/>
      <c r="O891"/>
      <c r="P891"/>
      <c r="Q891"/>
      <c r="R891"/>
      <c r="S891"/>
      <c r="T891"/>
      <c r="U891"/>
      <c r="V891"/>
      <c r="X891"/>
    </row>
    <row r="892" spans="1:24" x14ac:dyDescent="0.3">
      <c r="A892"/>
      <c r="B892"/>
      <c r="C892"/>
      <c r="D892"/>
      <c r="E892"/>
      <c r="F892"/>
      <c r="G892"/>
      <c r="H892"/>
      <c r="I892"/>
      <c r="J892"/>
      <c r="K892"/>
      <c r="L892"/>
      <c r="M892"/>
      <c r="N892"/>
      <c r="O892"/>
      <c r="P892"/>
      <c r="Q892"/>
      <c r="R892"/>
      <c r="S892"/>
      <c r="T892"/>
      <c r="U892"/>
      <c r="V892"/>
      <c r="X892"/>
    </row>
    <row r="893" spans="1:24" x14ac:dyDescent="0.3">
      <c r="A893"/>
      <c r="B893"/>
      <c r="C893"/>
      <c r="D893"/>
      <c r="E893"/>
      <c r="F893"/>
      <c r="G893"/>
      <c r="H893"/>
      <c r="I893"/>
      <c r="J893"/>
      <c r="K893"/>
      <c r="L893"/>
      <c r="M893"/>
      <c r="N893"/>
      <c r="O893"/>
      <c r="P893"/>
      <c r="Q893"/>
      <c r="R893"/>
      <c r="S893"/>
      <c r="T893"/>
      <c r="U893"/>
      <c r="V893"/>
      <c r="X893"/>
    </row>
    <row r="894" spans="1:24" x14ac:dyDescent="0.3">
      <c r="A894"/>
      <c r="B894"/>
      <c r="C894"/>
      <c r="D894"/>
      <c r="E894"/>
      <c r="F894"/>
      <c r="G894"/>
      <c r="H894"/>
      <c r="I894"/>
      <c r="J894"/>
      <c r="K894"/>
      <c r="L894"/>
      <c r="M894"/>
      <c r="N894"/>
      <c r="O894"/>
      <c r="P894"/>
      <c r="Q894"/>
      <c r="R894"/>
      <c r="S894"/>
      <c r="T894"/>
      <c r="U894"/>
      <c r="V894"/>
      <c r="X894"/>
    </row>
    <row r="895" spans="1:24" x14ac:dyDescent="0.3">
      <c r="A895"/>
      <c r="B895"/>
      <c r="C895"/>
      <c r="D895"/>
      <c r="E895"/>
      <c r="F895"/>
      <c r="G895"/>
      <c r="H895"/>
      <c r="I895"/>
      <c r="J895"/>
      <c r="K895"/>
      <c r="L895"/>
      <c r="M895"/>
      <c r="N895"/>
      <c r="O895"/>
      <c r="P895"/>
      <c r="Q895"/>
      <c r="R895"/>
      <c r="S895"/>
      <c r="T895"/>
      <c r="U895"/>
      <c r="V895"/>
      <c r="X895"/>
    </row>
    <row r="896" spans="1:24" x14ac:dyDescent="0.3">
      <c r="A896"/>
      <c r="B896"/>
      <c r="C896"/>
      <c r="D896"/>
      <c r="E896"/>
      <c r="F896"/>
      <c r="G896"/>
      <c r="H896"/>
      <c r="I896"/>
      <c r="J896"/>
      <c r="K896"/>
      <c r="L896"/>
      <c r="M896"/>
      <c r="N896"/>
      <c r="O896"/>
      <c r="P896"/>
      <c r="Q896"/>
      <c r="R896"/>
      <c r="S896"/>
      <c r="T896"/>
      <c r="U896"/>
      <c r="V896"/>
      <c r="X896"/>
    </row>
    <row r="897" spans="1:24" x14ac:dyDescent="0.3">
      <c r="A897"/>
      <c r="B897"/>
      <c r="C897"/>
      <c r="D897"/>
      <c r="E897"/>
      <c r="F897"/>
      <c r="G897"/>
      <c r="H897"/>
      <c r="I897"/>
      <c r="J897"/>
      <c r="K897"/>
      <c r="L897"/>
      <c r="M897"/>
      <c r="N897"/>
      <c r="O897"/>
      <c r="P897"/>
      <c r="Q897"/>
      <c r="R897"/>
      <c r="S897"/>
      <c r="T897"/>
      <c r="U897"/>
      <c r="V897"/>
      <c r="X897"/>
    </row>
    <row r="898" spans="1:24" x14ac:dyDescent="0.3">
      <c r="A898"/>
      <c r="B898"/>
      <c r="C898"/>
      <c r="D898"/>
      <c r="E898"/>
      <c r="F898"/>
      <c r="G898"/>
      <c r="H898"/>
      <c r="I898"/>
      <c r="J898"/>
      <c r="K898"/>
      <c r="L898"/>
      <c r="M898"/>
      <c r="N898"/>
      <c r="O898"/>
      <c r="P898"/>
      <c r="Q898"/>
      <c r="R898"/>
      <c r="S898"/>
      <c r="T898"/>
      <c r="U898"/>
      <c r="V898"/>
      <c r="X898"/>
    </row>
  </sheetData>
  <phoneticPr fontId="2" type="noConversion"/>
  <conditionalFormatting sqref="O899:O1048576 O1:O830">
    <cfRule type="duplicateValues" dxfId="3" priority="1"/>
  </conditionalFormatting>
  <conditionalFormatting sqref="R899:R1048576 R1:R830">
    <cfRule type="duplicateValues" dxfId="2" priority="2"/>
  </conditionalFormatting>
  <pageMargins left="0.7" right="0.7" top="0.75" bottom="0.75" header="0.3" footer="0.3"/>
  <pageSetup paperSize="9" orientation="portrait" horizontalDpi="300" verticalDpi="300" r:id="rId1"/>
  <legacyDrawing r:id="rId2"/>
  <tableParts count="1">
    <tablePart r:id="rId3"/>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D8419-2A65-498A-A7A7-69FCCD285291}">
  <sheetPr codeName="Sheet27">
    <tabColor theme="9" tint="0.39997558519241921"/>
  </sheetPr>
  <dimension ref="A1:AU338"/>
  <sheetViews>
    <sheetView topLeftCell="Y1" zoomScale="90" zoomScaleNormal="90" workbookViewId="0">
      <pane ySplit="1" topLeftCell="A2" activePane="bottomLeft" state="frozen"/>
      <selection activeCell="D2" sqref="D2"/>
      <selection pane="bottomLeft" activeCell="AK344" sqref="AK344"/>
    </sheetView>
  </sheetViews>
  <sheetFormatPr defaultColWidth="9.33203125" defaultRowHeight="14.4" outlineLevelCol="1" x14ac:dyDescent="0.3"/>
  <cols>
    <col min="1" max="8" width="10.5546875" style="12" hidden="1" customWidth="1" outlineLevel="1"/>
    <col min="9" max="9" width="9.33203125" style="12" hidden="1" customWidth="1" outlineLevel="1"/>
    <col min="10" max="10" width="8.6640625" style="12" hidden="1" customWidth="1" outlineLevel="1"/>
    <col min="11" max="11" width="10.5546875" style="12" hidden="1" customWidth="1" outlineLevel="1"/>
    <col min="12" max="13" width="8.88671875" style="12" hidden="1" customWidth="1" outlineLevel="1"/>
    <col min="14" max="14" width="10.109375" style="12" hidden="1" customWidth="1" outlineLevel="1"/>
    <col min="15" max="15" width="8.5546875" style="12" hidden="1" customWidth="1" outlineLevel="1"/>
    <col min="16" max="20" width="10.5546875" style="12" hidden="1" customWidth="1" outlineLevel="1"/>
    <col min="21" max="22" width="8.44140625" style="12" hidden="1" customWidth="1" outlineLevel="1"/>
    <col min="23" max="23" width="9" style="12" hidden="1" customWidth="1" outlineLevel="1"/>
    <col min="24" max="24" width="9" style="136" hidden="1" customWidth="1" outlineLevel="1"/>
    <col min="25" max="25" width="10.5546875" style="12" customWidth="1" collapsed="1"/>
    <col min="26" max="26" width="12.6640625" style="12" bestFit="1" customWidth="1"/>
    <col min="27" max="27" width="12.33203125" style="12" bestFit="1" customWidth="1"/>
    <col min="28" max="28" width="12.6640625" style="15" customWidth="1"/>
    <col min="29" max="29" width="12.5546875" style="12" customWidth="1"/>
    <col min="30" max="30" width="28.33203125" style="12" bestFit="1" customWidth="1"/>
    <col min="31" max="31" width="13.44140625" style="12" customWidth="1"/>
    <col min="32" max="32" width="9.6640625" style="12" customWidth="1"/>
    <col min="33" max="33" width="6.88671875" style="12" bestFit="1" customWidth="1"/>
    <col min="34" max="34" width="13.109375" style="12" customWidth="1"/>
    <col min="35" max="35" width="13.88671875" style="12" customWidth="1"/>
    <col min="36" max="36" width="13.33203125" style="12" customWidth="1"/>
    <col min="37" max="37" width="11.33203125" style="12" customWidth="1"/>
    <col min="38" max="38" width="10.5546875" style="12" customWidth="1"/>
    <col min="39" max="39" width="12.6640625" style="12" customWidth="1"/>
    <col min="40" max="40" width="13.33203125" style="20" customWidth="1"/>
    <col min="41" max="42" width="11.6640625" style="21" customWidth="1"/>
    <col min="43" max="43" width="10.5546875" style="12" customWidth="1"/>
    <col min="44" max="44" width="8.33203125" customWidth="1"/>
    <col min="45" max="45" width="10.5546875" customWidth="1"/>
    <col min="46" max="46" width="12.6640625" bestFit="1" customWidth="1"/>
    <col min="47" max="47" width="10.5546875" style="12" customWidth="1"/>
    <col min="48" max="16384" width="9.33203125" style="12"/>
  </cols>
  <sheetData>
    <row r="1" spans="1:47" s="24" customFormat="1" ht="43.2" x14ac:dyDescent="0.3">
      <c r="A1" s="114" t="s">
        <v>1651</v>
      </c>
      <c r="B1" s="59" t="s">
        <v>1619</v>
      </c>
      <c r="C1" s="65" t="s">
        <v>1650</v>
      </c>
      <c r="D1" s="65" t="s">
        <v>1692</v>
      </c>
      <c r="E1" s="65" t="s">
        <v>1648</v>
      </c>
      <c r="F1" s="65" t="s">
        <v>1693</v>
      </c>
      <c r="G1" s="65" t="s">
        <v>1688</v>
      </c>
      <c r="H1" s="65" t="s">
        <v>1687</v>
      </c>
      <c r="I1" s="65" t="s">
        <v>1691</v>
      </c>
      <c r="J1" s="65" t="s">
        <v>1690</v>
      </c>
      <c r="K1" s="65" t="s">
        <v>1647</v>
      </c>
      <c r="L1" s="65" t="s">
        <v>1689</v>
      </c>
      <c r="M1" s="65" t="s">
        <v>1765</v>
      </c>
      <c r="N1" s="65" t="s">
        <v>1645</v>
      </c>
      <c r="O1" s="65" t="s">
        <v>1646</v>
      </c>
      <c r="P1" s="65" t="s">
        <v>1649</v>
      </c>
      <c r="Q1" s="65" t="s">
        <v>1663</v>
      </c>
      <c r="R1" s="65" t="s">
        <v>1664</v>
      </c>
      <c r="S1" s="65" t="s">
        <v>1641</v>
      </c>
      <c r="T1" s="65" t="s">
        <v>1726</v>
      </c>
      <c r="U1" s="65" t="s">
        <v>1659</v>
      </c>
      <c r="V1" s="65" t="s">
        <v>1761</v>
      </c>
      <c r="W1" s="65" t="s">
        <v>1640</v>
      </c>
      <c r="X1" s="122" t="s">
        <v>1660</v>
      </c>
      <c r="Y1" s="59" t="s">
        <v>886</v>
      </c>
      <c r="Z1" s="67" t="s">
        <v>1049</v>
      </c>
      <c r="AA1" s="67" t="s">
        <v>890</v>
      </c>
      <c r="AB1" s="50" t="s">
        <v>1199</v>
      </c>
      <c r="AC1" s="67" t="s">
        <v>1207</v>
      </c>
      <c r="AD1" s="65" t="s">
        <v>62</v>
      </c>
      <c r="AE1" s="67" t="s">
        <v>1208</v>
      </c>
      <c r="AF1" s="65" t="s">
        <v>1209</v>
      </c>
      <c r="AG1" s="65" t="s">
        <v>53</v>
      </c>
      <c r="AH1" s="65" t="s">
        <v>1050</v>
      </c>
      <c r="AI1" s="67" t="s">
        <v>1120</v>
      </c>
      <c r="AJ1" s="67" t="s">
        <v>1056</v>
      </c>
      <c r="AK1" s="67" t="s">
        <v>903</v>
      </c>
      <c r="AL1" s="67" t="s">
        <v>61</v>
      </c>
      <c r="AM1" s="67" t="s">
        <v>1144</v>
      </c>
      <c r="AN1" s="67" t="s">
        <v>1151</v>
      </c>
      <c r="AO1" s="61" t="s">
        <v>1210</v>
      </c>
      <c r="AP1" s="61" t="s">
        <v>1211</v>
      </c>
      <c r="AQ1" s="67" t="s">
        <v>1703</v>
      </c>
      <c r="AR1" s="76" t="s">
        <v>1212</v>
      </c>
      <c r="AS1" s="76" t="s">
        <v>1213</v>
      </c>
      <c r="AT1" s="67" t="s">
        <v>1336</v>
      </c>
      <c r="AU1" s="67" t="s">
        <v>56</v>
      </c>
    </row>
    <row r="2" spans="1:47" x14ac:dyDescent="0.3">
      <c r="A2" s="57" t="str">
        <f>AA2&amp;AB2&amp;AC2&amp;AE2&amp;AK2&amp;AO2</f>
        <v>AUD9107364291073642AAHTSTCH45901</v>
      </c>
      <c r="B2" s="57">
        <f>COUNTIF(CONT_TEA[Unique Contract],CONT_TEA[[#This Row],[Unique Contract]])-1</f>
        <v>0</v>
      </c>
      <c r="C2" s="57">
        <f>IFERROR(IF(FIND(CONT_TEA[[#This Row],[SchoolCode]],_xlfn.XLOOKUP(CONT_TEA[[#This Row],[StaffMemberCode]],MEMBERS[StaffMemberCode],MEMBERS[SchoolCodes]))&gt;0,0,1),1)</f>
        <v>0</v>
      </c>
      <c r="D2" s="57" cm="1">
        <f t="array" ref="D2">IF(_xlfn.XLOOKUP(CONT_TEA[[#This Row],[StaffRoleCode]],ROLES[StaffRoleCode],ROLES[AvailableToAllSchools],1,0,)=TRUE,0,IF(ISERROR(FIND(CONT_TEA[[#This Row],[SchoolCode]],_xlfn.TEXTJOIN(",",TRUE,_xlfn.UNIQUE(IF(ROLES[StaffRoleCode]=CONT_TEA[[#This Row],[StaffRoleCode]],ROLES[SchoolCodes],""))))),1,0))</f>
        <v>0</v>
      </c>
      <c r="E2" s="57" cm="1">
        <f t="array" ref="E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 s="57" cm="1">
        <f t="array" ref="F2">IF(_xlfn.XLOOKUP(CONT_TEA[[#This Row],[PayScaleCode]],PAYSCALES[PayScaleCode],PAYSCALES[AvailableToAllSchools],1,0,)=TRUE,0,IF(ISERROR(FIND(CONT_TEA[[#This Row],[SchoolCode]],_xlfn.TEXTJOIN(",",TRUE,_xlfn.UNIQUE(IF(PAYSCALES[PayScaleCode]=CONT_TEA[[#This Row],[PayScaleCode]],PAYSCALES[SchoolCodes],""))))),1,0))</f>
        <v>0</v>
      </c>
      <c r="G2" s="57">
        <f>IF(_xlfn.XLOOKUP(CONT_TEA[[#This Row],[PayScaleGradeCode]],GRADES[PayScaleGradeCode],GRADES[AvailableToAllSchools])=TRUE,0,IFERROR(IF(FIND(CONT_TEA[[#This Row],[SchoolCode]],_xlfn.XLOOKUP(CONT_TEA[[#This Row],[PayScaleGradeCode]],GRADES[PayScaleGradeCode],GRADES[SchoolCodes]))&gt;=1,0,1),1))</f>
        <v>0</v>
      </c>
      <c r="H2" s="57">
        <f>IF(ISERROR(IF((_xlfn.XLOOKUP(CONT_TEA[[#This Row],[PayScaleGradeCode]],GRADES[PayScaleGradeCode],GRADES[PayScaleCode])=CONT_TEA[[#This Row],[PayScaleCode]]),0,1)),1,0)</f>
        <v>0</v>
      </c>
      <c r="I2" s="57" cm="1">
        <f t="array" ref="I2">IF(ISERROR(FIND(CONT_TEA[[#This Row],[PayScalePointCode]],_xlfn.TEXTJOIN(",",TRUE,IF(PSPOINTS[PayScaleCode]=CONT_TEA[[#This Row],[PayScaleCode]],PSPOINTS[PayScalePointCode])))),1,0)</f>
        <v>0</v>
      </c>
      <c r="J2" s="57" cm="1">
        <f t="array" ref="J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 s="57">
        <f>IF(_xlfn.XLOOKUP(CONT_TEA[[#This Row],[PayScalePointCode]],PSPOINTS[PayScalePointCode],PSPOINTS[PayScalePointEnabled])=TRUE,0,1)</f>
        <v>0</v>
      </c>
      <c r="L2" s="57" cm="1">
        <f t="array" ref="L2">IF(_xlfn.XLOOKUP(CONT_TEA[[#This Row],[DepartmentCode]],DEPTS[DepartmentCode],DEPTS[AvailableToAllSchools],1,0,)=TRUE,0,IF(ISERROR(FIND(CONT_TEA[[#This Row],[SchoolCode]],_xlfn.TEXTJOIN(",",TRUE,_xlfn.UNIQUE(IF(DEPTS[DepartmentCode]=CONT_TEA[[#This Row],[DepartmentCode]],DEPTS[SchoolCodes],""))))),1,0))</f>
        <v>0</v>
      </c>
      <c r="M2" s="57">
        <f>IFERROR(IF(_xlfn.XLOOKUP(CONT_TEA[[#This Row],[SRG Gross]],FinanceCodesBudget[FinanceCode],FinanceCodesBudget[LedgerCode])=_xlfn.XLOOKUP(CONT_TEA[[#This Row],[DepartmentCode]],DEPTS[DepartmentCode],DEPTS[LedgerCode]),0,1),1)</f>
        <v>1</v>
      </c>
      <c r="N2" s="57" cm="1">
        <f t="array" ref="N2">IF(_xlfn.XLOOKUP(CONT_TEA[[#This Row],[PensionCode]],PENS[PensionCode],PENS[AvailableToAllSchools],1,0,)=TRUE,0,IF(ISERROR(FIND(CONT_TEA[[#This Row],[SchoolCode]],_xlfn.TEXTJOIN(",",TRUE,_xlfn.UNIQUE(IF(PENS[PensionCode]=CONT_TEA[[#This Row],[PensionCode]],PENS[SchoolCodes],""))))),1,0))</f>
        <v>0</v>
      </c>
      <c r="O2" s="57" cm="1">
        <f t="array" ref="O2">IF(_xlfn.XLOOKUP(CONT_TEA[[#This Row],[EquatedWeekPatternCode]],EQW[EquatedWeekPatternCode],EQW[AvailableToAllSchools],1,0,)=TRUE,0,IF(ISERROR(FIND(CONT_TEA[[#This Row],[SchoolCode]],_xlfn.TEXTJOIN(",",TRUE,_xlfn.UNIQUE(IF(EQW[EquatedWeekPatternCode]=CONT_TEA[[#This Row],[EquatedWeekPatternCode]],EQW[SchoolCodes],""))))),1,0))</f>
        <v>0</v>
      </c>
      <c r="P2" s="57">
        <f>1-COUNTIF(ContractTypes[Code],CONT_TEA[[#This Row],[ContractTypeCode]])</f>
        <v>0</v>
      </c>
      <c r="Q2" s="57">
        <f>IF(VLOOKUP(CONT_TEA[[#This Row],[StaffMemberCode]],MEMBERS[[StaffMemberCode]:[ServiceStartDate]],5,0)&gt;CONT_TEA[[#This Row],[DateFrom]],1,0)</f>
        <v>0</v>
      </c>
      <c r="R2" s="57">
        <f>IF(_xlfn.XLOOKUP(CONT_TEA[[#This Row],[StaffMemberCode]],MEMBERS[StaffMemberCode],MEMBERS[ServiceEndDate])="",0,IF(CONT_TEA[[#This Row],[DateTo]]="",1,IF(_xlfn.XLOOKUP(CONT_TEA[[#This Row],[StaffMemberCode]],MEMBERS[StaffMemberCode],MEMBERS[ServiceEndDate])&lt;CONT_TEA[[#This Row],[DateTo]],1,0)))</f>
        <v>0</v>
      </c>
      <c r="S2" s="57">
        <f>IF(ISBLANK(CONT_TEA[[#This Row],[DateTo]]),0,IF(CONT_TEA[[#This Row],[DateFrom]]=CONT_TEA[[#This Row],[DateTo]],0,IF(CONT_TEA[[#This Row],[DateFrom]]&lt;CONT_TEA[[#This Row],[DateTo]],0,1)))</f>
        <v>0</v>
      </c>
      <c r="T2" s="57" cm="1">
        <f t="array" aca="1" ref="T2" ca="1">IF(CELL("format",CONT_TEA[[#This Row],[DateFrom]])="D1",0,1)+IF(CELL("format",CONT_TEA[[#This Row],[DateTo]])="D1",0,1)</f>
        <v>0</v>
      </c>
      <c r="U2" s="57">
        <f>IF(OR(CONT_TEA[[#This Row],[MatEditOnly]]=TRUE,CONT_TEA[[#This Row],[MatEditOnly]]=FALSE),IF(OR(CONT_TEA[[#This Row],[NoIncrement]]=TRUE,CONT_TEA[[#This Row],[NoIncrement]]=FALSE),0,1),1)</f>
        <v>0</v>
      </c>
      <c r="V2" s="57">
        <f>IF(ISBLANK(CONT_TEA[[#This Row],[FundCode]])=TRUE,0,IF(COUNTIF(FUNDS[FundCode],CONT_TEA[[#This Row],[FundCode]])=1,0,1))</f>
        <v>0</v>
      </c>
      <c r="W2" s="57">
        <f>IF(LEN(CONT_TEA[[#This Row],[Notes]])&lt;4000,0,1)</f>
        <v>0</v>
      </c>
      <c r="X2" s="57">
        <f>IF(SUBSTITUTE(TEXT(CONT_TEA[[#This Row],[Reference]],10)," ","")=TEXT(CONT_TEA[[#This Row],[Reference]],10),0,1)</f>
        <v>0</v>
      </c>
      <c r="Y2" s="57">
        <f ca="1">SUM(CONT_TEA[[#This Row],[Duplicate Contract]:[Space in Code]])</f>
        <v>1</v>
      </c>
      <c r="AA2" s="12" t="s">
        <v>2089</v>
      </c>
      <c r="AB2" s="15">
        <v>91073642</v>
      </c>
      <c r="AC2" s="12" t="s">
        <v>4351</v>
      </c>
      <c r="AD2" s="57" t="str">
        <f>_xlfn.XLOOKUP(CONT_TEA[[#This Row],[StaffMemberCode]],StaffMembers!O:O,StaffMembers!R:R)</f>
        <v>Nicola Richardson</v>
      </c>
      <c r="AE2" s="12" t="s">
        <v>1613</v>
      </c>
      <c r="AF2" s="57">
        <f>_xlfn.XLOOKUP(CONT_TEA[[#This Row],[SRG]],SRG[StaffRoleGroupCode],SRG[GrossSalaryFinanceCode])</f>
        <v>610100</v>
      </c>
      <c r="AG2" s="57" t="str">
        <f>_xlfn.XLOOKUP(CONT_TEA[[#This Row],[StaffRoleCode]],ROLES[StaffRoleCode],ROLES[StaffRoleGroupCode])</f>
        <v>LST</v>
      </c>
      <c r="AH2" s="57" t="str">
        <f>_xlfn.XLOOKUP(CONT_TEA[[#This Row],[StaffRoleCode]],ROLES[StaffRoleCode],ROLES[PayScaleCode])</f>
        <v>LS</v>
      </c>
      <c r="AI2" s="12" t="s">
        <v>3090</v>
      </c>
      <c r="AJ2" s="12" t="s">
        <v>1079</v>
      </c>
      <c r="AK2" s="12" t="s">
        <v>2499</v>
      </c>
      <c r="AM2" s="68" t="s">
        <v>1147</v>
      </c>
      <c r="AN2" s="13" t="s">
        <v>1702</v>
      </c>
      <c r="AO2" s="21">
        <v>45901</v>
      </c>
      <c r="AQ2" s="12">
        <v>1</v>
      </c>
      <c r="AR2" t="b">
        <v>0</v>
      </c>
      <c r="AS2" t="b">
        <v>0</v>
      </c>
      <c r="AT2" s="12" t="s">
        <v>1574</v>
      </c>
    </row>
    <row r="3" spans="1:47" x14ac:dyDescent="0.3">
      <c r="A3" s="57" t="str">
        <f t="shared" ref="A3:A25" si="0">AA3&amp;AB3&amp;AC3&amp;AE3&amp;AK3&amp;AO3</f>
        <v>BLS9107345191073451AAHTSTCH45901</v>
      </c>
      <c r="B3" s="57">
        <f>COUNTIF(CONT_TEA[Unique Contract],CONT_TEA[[#This Row],[Unique Contract]])-1</f>
        <v>0</v>
      </c>
      <c r="C3" s="57">
        <f>IFERROR(IF(FIND(CONT_TEA[[#This Row],[SchoolCode]],_xlfn.XLOOKUP(CONT_TEA[[#This Row],[StaffMemberCode]],MEMBERS[StaffMemberCode],MEMBERS[SchoolCodes]))&gt;0,0,1),1)</f>
        <v>0</v>
      </c>
      <c r="D3" s="57" cm="1">
        <f t="array" ref="D3">IF(_xlfn.XLOOKUP(CONT_TEA[[#This Row],[StaffRoleCode]],ROLES[StaffRoleCode],ROLES[AvailableToAllSchools],1,0,)=TRUE,0,IF(ISERROR(FIND(CONT_TEA[[#This Row],[SchoolCode]],_xlfn.TEXTJOIN(",",TRUE,_xlfn.UNIQUE(IF(ROLES[StaffRoleCode]=CONT_TEA[[#This Row],[StaffRoleCode]],ROLES[SchoolCodes],""))))),1,0))</f>
        <v>0</v>
      </c>
      <c r="E3" s="57" cm="1">
        <f t="array" ref="E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 s="57" cm="1">
        <f t="array" ref="F3">IF(_xlfn.XLOOKUP(CONT_TEA[[#This Row],[PayScaleCode]],PAYSCALES[PayScaleCode],PAYSCALES[AvailableToAllSchools],1,0,)=TRUE,0,IF(ISERROR(FIND(CONT_TEA[[#This Row],[SchoolCode]],_xlfn.TEXTJOIN(",",TRUE,_xlfn.UNIQUE(IF(PAYSCALES[PayScaleCode]=CONT_TEA[[#This Row],[PayScaleCode]],PAYSCALES[SchoolCodes],""))))),1,0))</f>
        <v>0</v>
      </c>
      <c r="G3" s="57">
        <f>IF(_xlfn.XLOOKUP(CONT_TEA[[#This Row],[PayScaleGradeCode]],GRADES[PayScaleGradeCode],GRADES[AvailableToAllSchools])=TRUE,0,IFERROR(IF(FIND(CONT_TEA[[#This Row],[SchoolCode]],_xlfn.XLOOKUP(CONT_TEA[[#This Row],[PayScaleGradeCode]],GRADES[PayScaleGradeCode],GRADES[SchoolCodes]))&gt;=1,0,1),1))</f>
        <v>0</v>
      </c>
      <c r="H3" s="57">
        <f>IF(ISERROR(IF((_xlfn.XLOOKUP(CONT_TEA[[#This Row],[PayScaleGradeCode]],GRADES[PayScaleGradeCode],GRADES[PayScaleCode])=CONT_TEA[[#This Row],[PayScaleCode]]),0,1)),1,0)</f>
        <v>0</v>
      </c>
      <c r="I3" s="57" cm="1">
        <f t="array" ref="I3">IF(ISERROR(FIND(CONT_TEA[[#This Row],[PayScalePointCode]],_xlfn.TEXTJOIN(",",TRUE,IF(PSPOINTS[PayScaleCode]=CONT_TEA[[#This Row],[PayScaleCode]],PSPOINTS[PayScalePointCode])))),1,0)</f>
        <v>0</v>
      </c>
      <c r="J3" s="57" cm="1">
        <f t="array" ref="J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 s="57">
        <f>IF(_xlfn.XLOOKUP(CONT_TEA[[#This Row],[PayScalePointCode]],PSPOINTS[PayScalePointCode],PSPOINTS[PayScalePointEnabled])=TRUE,0,1)</f>
        <v>0</v>
      </c>
      <c r="L3" s="57" cm="1">
        <f t="array" ref="L3">IF(_xlfn.XLOOKUP(CONT_TEA[[#This Row],[DepartmentCode]],DEPTS[DepartmentCode],DEPTS[AvailableToAllSchools],1,0,)=TRUE,0,IF(ISERROR(FIND(CONT_TEA[[#This Row],[SchoolCode]],_xlfn.TEXTJOIN(",",TRUE,_xlfn.UNIQUE(IF(DEPTS[DepartmentCode]=CONT_TEA[[#This Row],[DepartmentCode]],DEPTS[SchoolCodes],""))))),1,0))</f>
        <v>0</v>
      </c>
      <c r="M3" s="57">
        <f>IFERROR(IF(_xlfn.XLOOKUP(CONT_TEA[[#This Row],[SRG Gross]],FinanceCodesBudget[FinanceCode],FinanceCodesBudget[LedgerCode])=_xlfn.XLOOKUP(CONT_TEA[[#This Row],[DepartmentCode]],DEPTS[DepartmentCode],DEPTS[LedgerCode]),0,1),1)</f>
        <v>1</v>
      </c>
      <c r="N3" s="57" cm="1">
        <f t="array" ref="N3">IF(_xlfn.XLOOKUP(CONT_TEA[[#This Row],[PensionCode]],PENS[PensionCode],PENS[AvailableToAllSchools],1,0,)=TRUE,0,IF(ISERROR(FIND(CONT_TEA[[#This Row],[SchoolCode]],_xlfn.TEXTJOIN(",",TRUE,_xlfn.UNIQUE(IF(PENS[PensionCode]=CONT_TEA[[#This Row],[PensionCode]],PENS[SchoolCodes],""))))),1,0))</f>
        <v>0</v>
      </c>
      <c r="O3" s="57" cm="1">
        <f t="array" ref="O3">IF(_xlfn.XLOOKUP(CONT_TEA[[#This Row],[EquatedWeekPatternCode]],EQW[EquatedWeekPatternCode],EQW[AvailableToAllSchools],1,0,)=TRUE,0,IF(ISERROR(FIND(CONT_TEA[[#This Row],[SchoolCode]],_xlfn.TEXTJOIN(",",TRUE,_xlfn.UNIQUE(IF(EQW[EquatedWeekPatternCode]=CONT_TEA[[#This Row],[EquatedWeekPatternCode]],EQW[SchoolCodes],""))))),1,0))</f>
        <v>0</v>
      </c>
      <c r="P3" s="57">
        <f>1-COUNTIF(ContractTypes[Code],CONT_TEA[[#This Row],[ContractTypeCode]])</f>
        <v>0</v>
      </c>
      <c r="Q3" s="57">
        <f>IF(VLOOKUP(CONT_TEA[[#This Row],[StaffMemberCode]],MEMBERS[[StaffMemberCode]:[ServiceStartDate]],5,0)&gt;CONT_TEA[[#This Row],[DateFrom]],1,0)</f>
        <v>0</v>
      </c>
      <c r="R3" s="57">
        <f>IF(_xlfn.XLOOKUP(CONT_TEA[[#This Row],[StaffMemberCode]],MEMBERS[StaffMemberCode],MEMBERS[ServiceEndDate])="",0,IF(CONT_TEA[[#This Row],[DateTo]]="",1,IF(_xlfn.XLOOKUP(CONT_TEA[[#This Row],[StaffMemberCode]],MEMBERS[StaffMemberCode],MEMBERS[ServiceEndDate])&lt;CONT_TEA[[#This Row],[DateTo]],1,0)))</f>
        <v>0</v>
      </c>
      <c r="S3" s="57">
        <f>IF(ISBLANK(CONT_TEA[[#This Row],[DateTo]]),0,IF(CONT_TEA[[#This Row],[DateFrom]]=CONT_TEA[[#This Row],[DateTo]],0,IF(CONT_TEA[[#This Row],[DateFrom]]&lt;CONT_TEA[[#This Row],[DateTo]],0,1)))</f>
        <v>0</v>
      </c>
      <c r="T3" s="57" cm="1">
        <f t="array" aca="1" ref="T3" ca="1">IF(CELL("format",CONT_TEA[[#This Row],[DateFrom]])="D1",0,1)+IF(CELL("format",CONT_TEA[[#This Row],[DateTo]])="D1",0,1)</f>
        <v>0</v>
      </c>
      <c r="U3" s="57">
        <f>IF(OR(CONT_TEA[[#This Row],[MatEditOnly]]=TRUE,CONT_TEA[[#This Row],[MatEditOnly]]=FALSE),IF(OR(CONT_TEA[[#This Row],[NoIncrement]]=TRUE,CONT_TEA[[#This Row],[NoIncrement]]=FALSE),0,1),1)</f>
        <v>0</v>
      </c>
      <c r="V3" s="57">
        <f>IF(ISBLANK(CONT_TEA[[#This Row],[FundCode]])=TRUE,0,IF(COUNTIF(FUNDS[FundCode],CONT_TEA[[#This Row],[FundCode]])=1,0,1))</f>
        <v>0</v>
      </c>
      <c r="W3" s="57">
        <f>IF(LEN(CONT_TEA[[#This Row],[Notes]])&lt;4000,0,1)</f>
        <v>0</v>
      </c>
      <c r="X3" s="57">
        <f>IF(SUBSTITUTE(TEXT(CONT_TEA[[#This Row],[Reference]],10)," ","")=TEXT(CONT_TEA[[#This Row],[Reference]],10),0,1)</f>
        <v>0</v>
      </c>
      <c r="Y3" s="57">
        <f ca="1">SUM(CONT_TEA[[#This Row],[Duplicate Contract]:[Space in Code]])</f>
        <v>1</v>
      </c>
      <c r="AA3" s="12" t="s">
        <v>2094</v>
      </c>
      <c r="AB3" s="15">
        <v>91073451</v>
      </c>
      <c r="AC3" s="12" t="s">
        <v>4352</v>
      </c>
      <c r="AD3" s="57" t="str">
        <f>_xlfn.XLOOKUP(CONT_TEA[[#This Row],[StaffMemberCode]],StaffMembers!O:O,StaffMembers!R:R)</f>
        <v>Charlotte Neilson</v>
      </c>
      <c r="AE3" s="12" t="s">
        <v>1613</v>
      </c>
      <c r="AF3" s="57">
        <f>_xlfn.XLOOKUP(CONT_TEA[[#This Row],[SRG]],SRG[StaffRoleGroupCode],SRG[GrossSalaryFinanceCode])</f>
        <v>610100</v>
      </c>
      <c r="AG3" s="57" t="str">
        <f>_xlfn.XLOOKUP(CONT_TEA[[#This Row],[StaffRoleCode]],ROLES[StaffRoleCode],ROLES[StaffRoleGroupCode])</f>
        <v>LST</v>
      </c>
      <c r="AH3" s="57" t="str">
        <f>_xlfn.XLOOKUP(CONT_TEA[[#This Row],[StaffRoleCode]],ROLES[StaffRoleCode],ROLES[PayScaleCode])</f>
        <v>LS</v>
      </c>
      <c r="AI3" s="12" t="s">
        <v>3089</v>
      </c>
      <c r="AJ3" s="12" t="s">
        <v>1092</v>
      </c>
      <c r="AK3" s="12" t="s">
        <v>2499</v>
      </c>
      <c r="AM3" s="68" t="s">
        <v>1147</v>
      </c>
      <c r="AN3" s="13" t="s">
        <v>1702</v>
      </c>
      <c r="AO3" s="21">
        <v>45901</v>
      </c>
      <c r="AQ3" s="12">
        <v>1</v>
      </c>
      <c r="AR3" t="b">
        <v>0</v>
      </c>
      <c r="AS3" t="b">
        <v>0</v>
      </c>
      <c r="AT3" s="12" t="s">
        <v>1574</v>
      </c>
    </row>
    <row r="4" spans="1:47" x14ac:dyDescent="0.3">
      <c r="A4" s="57" t="str">
        <f t="shared" si="0"/>
        <v>BLS9107348491073484AAHTSTCH45901</v>
      </c>
      <c r="B4" s="57">
        <f>COUNTIF(CONT_TEA[Unique Contract],CONT_TEA[[#This Row],[Unique Contract]])-1</f>
        <v>0</v>
      </c>
      <c r="C4" s="57">
        <f>IFERROR(IF(FIND(CONT_TEA[[#This Row],[SchoolCode]],_xlfn.XLOOKUP(CONT_TEA[[#This Row],[StaffMemberCode]],MEMBERS[StaffMemberCode],MEMBERS[SchoolCodes]))&gt;0,0,1),1)</f>
        <v>0</v>
      </c>
      <c r="D4" s="57" cm="1">
        <f t="array" ref="D4">IF(_xlfn.XLOOKUP(CONT_TEA[[#This Row],[StaffRoleCode]],ROLES[StaffRoleCode],ROLES[AvailableToAllSchools],1,0,)=TRUE,0,IF(ISERROR(FIND(CONT_TEA[[#This Row],[SchoolCode]],_xlfn.TEXTJOIN(",",TRUE,_xlfn.UNIQUE(IF(ROLES[StaffRoleCode]=CONT_TEA[[#This Row],[StaffRoleCode]],ROLES[SchoolCodes],""))))),1,0))</f>
        <v>0</v>
      </c>
      <c r="E4" s="57" cm="1">
        <f t="array" ref="E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4" s="57" cm="1">
        <f t="array" ref="F4">IF(_xlfn.XLOOKUP(CONT_TEA[[#This Row],[PayScaleCode]],PAYSCALES[PayScaleCode],PAYSCALES[AvailableToAllSchools],1,0,)=TRUE,0,IF(ISERROR(FIND(CONT_TEA[[#This Row],[SchoolCode]],_xlfn.TEXTJOIN(",",TRUE,_xlfn.UNIQUE(IF(PAYSCALES[PayScaleCode]=CONT_TEA[[#This Row],[PayScaleCode]],PAYSCALES[SchoolCodes],""))))),1,0))</f>
        <v>0</v>
      </c>
      <c r="G4" s="57">
        <f>IF(_xlfn.XLOOKUP(CONT_TEA[[#This Row],[PayScaleGradeCode]],GRADES[PayScaleGradeCode],GRADES[AvailableToAllSchools])=TRUE,0,IFERROR(IF(FIND(CONT_TEA[[#This Row],[SchoolCode]],_xlfn.XLOOKUP(CONT_TEA[[#This Row],[PayScaleGradeCode]],GRADES[PayScaleGradeCode],GRADES[SchoolCodes]))&gt;=1,0,1),1))</f>
        <v>0</v>
      </c>
      <c r="H4" s="57">
        <f>IF(ISERROR(IF((_xlfn.XLOOKUP(CONT_TEA[[#This Row],[PayScaleGradeCode]],GRADES[PayScaleGradeCode],GRADES[PayScaleCode])=CONT_TEA[[#This Row],[PayScaleCode]]),0,1)),1,0)</f>
        <v>0</v>
      </c>
      <c r="I4" s="57" cm="1">
        <f t="array" ref="I4">IF(ISERROR(FIND(CONT_TEA[[#This Row],[PayScalePointCode]],_xlfn.TEXTJOIN(",",TRUE,IF(PSPOINTS[PayScaleCode]=CONT_TEA[[#This Row],[PayScaleCode]],PSPOINTS[PayScalePointCode])))),1,0)</f>
        <v>0</v>
      </c>
      <c r="J4" s="57" cm="1">
        <f t="array" ref="J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4" s="57">
        <f>IF(_xlfn.XLOOKUP(CONT_TEA[[#This Row],[PayScalePointCode]],PSPOINTS[PayScalePointCode],PSPOINTS[PayScalePointEnabled])=TRUE,0,1)</f>
        <v>0</v>
      </c>
      <c r="L4" s="57" cm="1">
        <f t="array" ref="L4">IF(_xlfn.XLOOKUP(CONT_TEA[[#This Row],[DepartmentCode]],DEPTS[DepartmentCode],DEPTS[AvailableToAllSchools],1,0,)=TRUE,0,IF(ISERROR(FIND(CONT_TEA[[#This Row],[SchoolCode]],_xlfn.TEXTJOIN(",",TRUE,_xlfn.UNIQUE(IF(DEPTS[DepartmentCode]=CONT_TEA[[#This Row],[DepartmentCode]],DEPTS[SchoolCodes],""))))),1,0))</f>
        <v>0</v>
      </c>
      <c r="M4" s="57">
        <f>IFERROR(IF(_xlfn.XLOOKUP(CONT_TEA[[#This Row],[SRG Gross]],FinanceCodesBudget[FinanceCode],FinanceCodesBudget[LedgerCode])=_xlfn.XLOOKUP(CONT_TEA[[#This Row],[DepartmentCode]],DEPTS[DepartmentCode],DEPTS[LedgerCode]),0,1),1)</f>
        <v>1</v>
      </c>
      <c r="N4" s="57" cm="1">
        <f t="array" ref="N4">IF(_xlfn.XLOOKUP(CONT_TEA[[#This Row],[PensionCode]],PENS[PensionCode],PENS[AvailableToAllSchools],1,0,)=TRUE,0,IF(ISERROR(FIND(CONT_TEA[[#This Row],[SchoolCode]],_xlfn.TEXTJOIN(",",TRUE,_xlfn.UNIQUE(IF(PENS[PensionCode]=CONT_TEA[[#This Row],[PensionCode]],PENS[SchoolCodes],""))))),1,0))</f>
        <v>0</v>
      </c>
      <c r="O4" s="57" cm="1">
        <f t="array" ref="O4">IF(_xlfn.XLOOKUP(CONT_TEA[[#This Row],[EquatedWeekPatternCode]],EQW[EquatedWeekPatternCode],EQW[AvailableToAllSchools],1,0,)=TRUE,0,IF(ISERROR(FIND(CONT_TEA[[#This Row],[SchoolCode]],_xlfn.TEXTJOIN(",",TRUE,_xlfn.UNIQUE(IF(EQW[EquatedWeekPatternCode]=CONT_TEA[[#This Row],[EquatedWeekPatternCode]],EQW[SchoolCodes],""))))),1,0))</f>
        <v>0</v>
      </c>
      <c r="P4" s="57">
        <f>1-COUNTIF(ContractTypes[Code],CONT_TEA[[#This Row],[ContractTypeCode]])</f>
        <v>0</v>
      </c>
      <c r="Q4" s="57">
        <f>IF(VLOOKUP(CONT_TEA[[#This Row],[StaffMemberCode]],MEMBERS[[StaffMemberCode]:[ServiceStartDate]],5,0)&gt;CONT_TEA[[#This Row],[DateFrom]],1,0)</f>
        <v>0</v>
      </c>
      <c r="R4" s="57">
        <f>IF(_xlfn.XLOOKUP(CONT_TEA[[#This Row],[StaffMemberCode]],MEMBERS[StaffMemberCode],MEMBERS[ServiceEndDate])="",0,IF(CONT_TEA[[#This Row],[DateTo]]="",1,IF(_xlfn.XLOOKUP(CONT_TEA[[#This Row],[StaffMemberCode]],MEMBERS[StaffMemberCode],MEMBERS[ServiceEndDate])&lt;CONT_TEA[[#This Row],[DateTo]],1,0)))</f>
        <v>0</v>
      </c>
      <c r="S4" s="57">
        <f>IF(ISBLANK(CONT_TEA[[#This Row],[DateTo]]),0,IF(CONT_TEA[[#This Row],[DateFrom]]=CONT_TEA[[#This Row],[DateTo]],0,IF(CONT_TEA[[#This Row],[DateFrom]]&lt;CONT_TEA[[#This Row],[DateTo]],0,1)))</f>
        <v>0</v>
      </c>
      <c r="T4" s="57" cm="1">
        <f t="array" aca="1" ref="T4" ca="1">IF(CELL("format",CONT_TEA[[#This Row],[DateFrom]])="D1",0,1)+IF(CELL("format",CONT_TEA[[#This Row],[DateTo]])="D1",0,1)</f>
        <v>0</v>
      </c>
      <c r="U4" s="57">
        <f>IF(OR(CONT_TEA[[#This Row],[MatEditOnly]]=TRUE,CONT_TEA[[#This Row],[MatEditOnly]]=FALSE),IF(OR(CONT_TEA[[#This Row],[NoIncrement]]=TRUE,CONT_TEA[[#This Row],[NoIncrement]]=FALSE),0,1),1)</f>
        <v>0</v>
      </c>
      <c r="V4" s="57">
        <f>IF(ISBLANK(CONT_TEA[[#This Row],[FundCode]])=TRUE,0,IF(COUNTIF(FUNDS[FundCode],CONT_TEA[[#This Row],[FundCode]])=1,0,1))</f>
        <v>0</v>
      </c>
      <c r="W4" s="57">
        <f>IF(LEN(CONT_TEA[[#This Row],[Notes]])&lt;4000,0,1)</f>
        <v>0</v>
      </c>
      <c r="X4" s="57">
        <f>IF(SUBSTITUTE(TEXT(CONT_TEA[[#This Row],[Reference]],10)," ","")=TEXT(CONT_TEA[[#This Row],[Reference]],10),0,1)</f>
        <v>0</v>
      </c>
      <c r="Y4" s="57">
        <f ca="1">SUM(CONT_TEA[[#This Row],[Duplicate Contract]:[Space in Code]])</f>
        <v>1</v>
      </c>
      <c r="AA4" s="12" t="s">
        <v>2094</v>
      </c>
      <c r="AB4" s="15">
        <v>91073484</v>
      </c>
      <c r="AC4" s="12" t="s">
        <v>4353</v>
      </c>
      <c r="AD4" s="57" t="str">
        <f>_xlfn.XLOOKUP(CONT_TEA[[#This Row],[StaffMemberCode]],StaffMembers!O:O,StaffMembers!R:R)</f>
        <v>Christopher Barker</v>
      </c>
      <c r="AE4" s="12" t="s">
        <v>1613</v>
      </c>
      <c r="AF4" s="57">
        <f>_xlfn.XLOOKUP(CONT_TEA[[#This Row],[SRG]],SRG[StaffRoleGroupCode],SRG[GrossSalaryFinanceCode])</f>
        <v>610100</v>
      </c>
      <c r="AG4" s="57" t="str">
        <f>_xlfn.XLOOKUP(CONT_TEA[[#This Row],[StaffRoleCode]],ROLES[StaffRoleCode],ROLES[StaffRoleGroupCode])</f>
        <v>LST</v>
      </c>
      <c r="AH4" s="57" t="str">
        <f>_xlfn.XLOOKUP(CONT_TEA[[#This Row],[StaffRoleCode]],ROLES[StaffRoleCode],ROLES[PayScaleCode])</f>
        <v>LS</v>
      </c>
      <c r="AI4" s="12" t="s">
        <v>3089</v>
      </c>
      <c r="AJ4" s="12" t="s">
        <v>1087</v>
      </c>
      <c r="AK4" s="12" t="s">
        <v>2499</v>
      </c>
      <c r="AM4" s="68" t="s">
        <v>1147</v>
      </c>
      <c r="AN4" s="13" t="s">
        <v>1702</v>
      </c>
      <c r="AO4" s="21">
        <v>45901</v>
      </c>
      <c r="AQ4" s="12">
        <v>1</v>
      </c>
      <c r="AR4" t="b">
        <v>0</v>
      </c>
      <c r="AS4" t="b">
        <v>0</v>
      </c>
      <c r="AT4" s="12" t="s">
        <v>1574</v>
      </c>
    </row>
    <row r="5" spans="1:47" x14ac:dyDescent="0.3">
      <c r="A5" s="57" t="str">
        <f t="shared" si="0"/>
        <v>ALS9107370391073703AAHTSTCH45901</v>
      </c>
      <c r="B5" s="57">
        <f>COUNTIF(CONT_TEA[Unique Contract],CONT_TEA[[#This Row],[Unique Contract]])-1</f>
        <v>0</v>
      </c>
      <c r="C5" s="57">
        <f>IFERROR(IF(FIND(CONT_TEA[[#This Row],[SchoolCode]],_xlfn.XLOOKUP(CONT_TEA[[#This Row],[StaffMemberCode]],MEMBERS[StaffMemberCode],MEMBERS[SchoolCodes]))&gt;0,0,1),1)</f>
        <v>0</v>
      </c>
      <c r="D5" s="57" cm="1">
        <f t="array" ref="D5">IF(_xlfn.XLOOKUP(CONT_TEA[[#This Row],[StaffRoleCode]],ROLES[StaffRoleCode],ROLES[AvailableToAllSchools],1,0,)=TRUE,0,IF(ISERROR(FIND(CONT_TEA[[#This Row],[SchoolCode]],_xlfn.TEXTJOIN(",",TRUE,_xlfn.UNIQUE(IF(ROLES[StaffRoleCode]=CONT_TEA[[#This Row],[StaffRoleCode]],ROLES[SchoolCodes],""))))),1,0))</f>
        <v>0</v>
      </c>
      <c r="E5" s="57" cm="1">
        <f t="array" ref="E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5" s="57" cm="1">
        <f t="array" ref="F5">IF(_xlfn.XLOOKUP(CONT_TEA[[#This Row],[PayScaleCode]],PAYSCALES[PayScaleCode],PAYSCALES[AvailableToAllSchools],1,0,)=TRUE,0,IF(ISERROR(FIND(CONT_TEA[[#This Row],[SchoolCode]],_xlfn.TEXTJOIN(",",TRUE,_xlfn.UNIQUE(IF(PAYSCALES[PayScaleCode]=CONT_TEA[[#This Row],[PayScaleCode]],PAYSCALES[SchoolCodes],""))))),1,0))</f>
        <v>0</v>
      </c>
      <c r="G5" s="57">
        <f>IF(_xlfn.XLOOKUP(CONT_TEA[[#This Row],[PayScaleGradeCode]],GRADES[PayScaleGradeCode],GRADES[AvailableToAllSchools])=TRUE,0,IFERROR(IF(FIND(CONT_TEA[[#This Row],[SchoolCode]],_xlfn.XLOOKUP(CONT_TEA[[#This Row],[PayScaleGradeCode]],GRADES[PayScaleGradeCode],GRADES[SchoolCodes]))&gt;=1,0,1),1))</f>
        <v>0</v>
      </c>
      <c r="H5" s="57">
        <f>IF(ISERROR(IF((_xlfn.XLOOKUP(CONT_TEA[[#This Row],[PayScaleGradeCode]],GRADES[PayScaleGradeCode],GRADES[PayScaleCode])=CONT_TEA[[#This Row],[PayScaleCode]]),0,1)),1,0)</f>
        <v>0</v>
      </c>
      <c r="I5" s="57" cm="1">
        <f t="array" ref="I5">IF(ISERROR(FIND(CONT_TEA[[#This Row],[PayScalePointCode]],_xlfn.TEXTJOIN(",",TRUE,IF(PSPOINTS[PayScaleCode]=CONT_TEA[[#This Row],[PayScaleCode]],PSPOINTS[PayScalePointCode])))),1,0)</f>
        <v>0</v>
      </c>
      <c r="J5" s="57" cm="1">
        <f t="array" ref="J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5" s="57">
        <f>IF(_xlfn.XLOOKUP(CONT_TEA[[#This Row],[PayScalePointCode]],PSPOINTS[PayScalePointCode],PSPOINTS[PayScalePointEnabled])=TRUE,0,1)</f>
        <v>0</v>
      </c>
      <c r="L5" s="57" cm="1">
        <f t="array" ref="L5">IF(_xlfn.XLOOKUP(CONT_TEA[[#This Row],[DepartmentCode]],DEPTS[DepartmentCode],DEPTS[AvailableToAllSchools],1,0,)=TRUE,0,IF(ISERROR(FIND(CONT_TEA[[#This Row],[SchoolCode]],_xlfn.TEXTJOIN(",",TRUE,_xlfn.UNIQUE(IF(DEPTS[DepartmentCode]=CONT_TEA[[#This Row],[DepartmentCode]],DEPTS[SchoolCodes],""))))),1,0))</f>
        <v>0</v>
      </c>
      <c r="M5" s="57">
        <f>IFERROR(IF(_xlfn.XLOOKUP(CONT_TEA[[#This Row],[SRG Gross]],FinanceCodesBudget[FinanceCode],FinanceCodesBudget[LedgerCode])=_xlfn.XLOOKUP(CONT_TEA[[#This Row],[DepartmentCode]],DEPTS[DepartmentCode],DEPTS[LedgerCode]),0,1),1)</f>
        <v>1</v>
      </c>
      <c r="N5" s="57" cm="1">
        <f t="array" ref="N5">IF(_xlfn.XLOOKUP(CONT_TEA[[#This Row],[PensionCode]],PENS[PensionCode],PENS[AvailableToAllSchools],1,0,)=TRUE,0,IF(ISERROR(FIND(CONT_TEA[[#This Row],[SchoolCode]],_xlfn.TEXTJOIN(",",TRUE,_xlfn.UNIQUE(IF(PENS[PensionCode]=CONT_TEA[[#This Row],[PensionCode]],PENS[SchoolCodes],""))))),1,0))</f>
        <v>0</v>
      </c>
      <c r="O5" s="57" cm="1">
        <f t="array" ref="O5">IF(_xlfn.XLOOKUP(CONT_TEA[[#This Row],[EquatedWeekPatternCode]],EQW[EquatedWeekPatternCode],EQW[AvailableToAllSchools],1,0,)=TRUE,0,IF(ISERROR(FIND(CONT_TEA[[#This Row],[SchoolCode]],_xlfn.TEXTJOIN(",",TRUE,_xlfn.UNIQUE(IF(EQW[EquatedWeekPatternCode]=CONT_TEA[[#This Row],[EquatedWeekPatternCode]],EQW[SchoolCodes],""))))),1,0))</f>
        <v>0</v>
      </c>
      <c r="P5" s="57">
        <f>1-COUNTIF(ContractTypes[Code],CONT_TEA[[#This Row],[ContractTypeCode]])</f>
        <v>0</v>
      </c>
      <c r="Q5" s="57">
        <f>IF(VLOOKUP(CONT_TEA[[#This Row],[StaffMemberCode]],MEMBERS[[StaffMemberCode]:[ServiceStartDate]],5,0)&gt;CONT_TEA[[#This Row],[DateFrom]],1,0)</f>
        <v>0</v>
      </c>
      <c r="R5" s="57">
        <f>IF(_xlfn.XLOOKUP(CONT_TEA[[#This Row],[StaffMemberCode]],MEMBERS[StaffMemberCode],MEMBERS[ServiceEndDate])="",0,IF(CONT_TEA[[#This Row],[DateTo]]="",1,IF(_xlfn.XLOOKUP(CONT_TEA[[#This Row],[StaffMemberCode]],MEMBERS[StaffMemberCode],MEMBERS[ServiceEndDate])&lt;CONT_TEA[[#This Row],[DateTo]],1,0)))</f>
        <v>0</v>
      </c>
      <c r="S5" s="57">
        <f>IF(ISBLANK(CONT_TEA[[#This Row],[DateTo]]),0,IF(CONT_TEA[[#This Row],[DateFrom]]=CONT_TEA[[#This Row],[DateTo]],0,IF(CONT_TEA[[#This Row],[DateFrom]]&lt;CONT_TEA[[#This Row],[DateTo]],0,1)))</f>
        <v>0</v>
      </c>
      <c r="T5" s="57" cm="1">
        <f t="array" aca="1" ref="T5" ca="1">IF(CELL("format",CONT_TEA[[#This Row],[DateFrom]])="D1",0,1)+IF(CELL("format",CONT_TEA[[#This Row],[DateTo]])="D1",0,1)</f>
        <v>0</v>
      </c>
      <c r="U5" s="57">
        <f>IF(OR(CONT_TEA[[#This Row],[MatEditOnly]]=TRUE,CONT_TEA[[#This Row],[MatEditOnly]]=FALSE),IF(OR(CONT_TEA[[#This Row],[NoIncrement]]=TRUE,CONT_TEA[[#This Row],[NoIncrement]]=FALSE),0,1),1)</f>
        <v>0</v>
      </c>
      <c r="V5" s="57">
        <f>IF(ISBLANK(CONT_TEA[[#This Row],[FundCode]])=TRUE,0,IF(COUNTIF(FUNDS[FundCode],CONT_TEA[[#This Row],[FundCode]])=1,0,1))</f>
        <v>0</v>
      </c>
      <c r="W5" s="57">
        <f>IF(LEN(CONT_TEA[[#This Row],[Notes]])&lt;4000,0,1)</f>
        <v>0</v>
      </c>
      <c r="X5" s="57">
        <f>IF(SUBSTITUTE(TEXT(CONT_TEA[[#This Row],[Reference]],10)," ","")=TEXT(CONT_TEA[[#This Row],[Reference]],10),0,1)</f>
        <v>0</v>
      </c>
      <c r="Y5" s="57">
        <f ca="1">SUM(CONT_TEA[[#This Row],[Duplicate Contract]:[Space in Code]])</f>
        <v>1</v>
      </c>
      <c r="AA5" s="12" t="s">
        <v>2082</v>
      </c>
      <c r="AB5" s="15">
        <v>91073703</v>
      </c>
      <c r="AC5" s="12" t="s">
        <v>4354</v>
      </c>
      <c r="AD5" s="57" t="str">
        <f>_xlfn.XLOOKUP(CONT_TEA[[#This Row],[StaffMemberCode]],StaffMembers!O:O,StaffMembers!R:R)</f>
        <v>Elizabeth Brazier</v>
      </c>
      <c r="AE5" s="12" t="s">
        <v>1613</v>
      </c>
      <c r="AF5" s="57">
        <f>_xlfn.XLOOKUP(CONT_TEA[[#This Row],[SRG]],SRG[StaffRoleGroupCode],SRG[GrossSalaryFinanceCode])</f>
        <v>610100</v>
      </c>
      <c r="AG5" s="57" t="str">
        <f>_xlfn.XLOOKUP(CONT_TEA[[#This Row],[StaffRoleCode]],ROLES[StaffRoleCode],ROLES[StaffRoleGroupCode])</f>
        <v>LST</v>
      </c>
      <c r="AH5" s="57" t="str">
        <f>_xlfn.XLOOKUP(CONT_TEA[[#This Row],[StaffRoleCode]],ROLES[StaffRoleCode],ROLES[PayScaleCode])</f>
        <v>LS</v>
      </c>
      <c r="AI5" s="12" t="s">
        <v>3085</v>
      </c>
      <c r="AJ5" s="12" t="s">
        <v>1089</v>
      </c>
      <c r="AK5" s="12" t="s">
        <v>2499</v>
      </c>
      <c r="AM5" s="68" t="s">
        <v>1147</v>
      </c>
      <c r="AN5" s="13" t="s">
        <v>1702</v>
      </c>
      <c r="AO5" s="21">
        <v>45901</v>
      </c>
      <c r="AQ5" s="12">
        <v>1</v>
      </c>
      <c r="AR5" t="b">
        <v>0</v>
      </c>
      <c r="AS5" t="b">
        <v>0</v>
      </c>
      <c r="AT5" s="12" t="s">
        <v>1574</v>
      </c>
    </row>
    <row r="6" spans="1:47" x14ac:dyDescent="0.3">
      <c r="A6" s="57" t="str">
        <f t="shared" si="0"/>
        <v>BLS9107346891073468AAHTSTCH45901</v>
      </c>
      <c r="B6" s="57">
        <f>COUNTIF(CONT_TEA[Unique Contract],CONT_TEA[[#This Row],[Unique Contract]])-1</f>
        <v>0</v>
      </c>
      <c r="C6" s="57">
        <f>IFERROR(IF(FIND(CONT_TEA[[#This Row],[SchoolCode]],_xlfn.XLOOKUP(CONT_TEA[[#This Row],[StaffMemberCode]],MEMBERS[StaffMemberCode],MEMBERS[SchoolCodes]))&gt;0,0,1),1)</f>
        <v>0</v>
      </c>
      <c r="D6" s="57" cm="1">
        <f t="array" ref="D6">IF(_xlfn.XLOOKUP(CONT_TEA[[#This Row],[StaffRoleCode]],ROLES[StaffRoleCode],ROLES[AvailableToAllSchools],1,0,)=TRUE,0,IF(ISERROR(FIND(CONT_TEA[[#This Row],[SchoolCode]],_xlfn.TEXTJOIN(",",TRUE,_xlfn.UNIQUE(IF(ROLES[StaffRoleCode]=CONT_TEA[[#This Row],[StaffRoleCode]],ROLES[SchoolCodes],""))))),1,0))</f>
        <v>0</v>
      </c>
      <c r="E6" s="57" cm="1">
        <f t="array" ref="E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6" s="57" cm="1">
        <f t="array" ref="F6">IF(_xlfn.XLOOKUP(CONT_TEA[[#This Row],[PayScaleCode]],PAYSCALES[PayScaleCode],PAYSCALES[AvailableToAllSchools],1,0,)=TRUE,0,IF(ISERROR(FIND(CONT_TEA[[#This Row],[SchoolCode]],_xlfn.TEXTJOIN(",",TRUE,_xlfn.UNIQUE(IF(PAYSCALES[PayScaleCode]=CONT_TEA[[#This Row],[PayScaleCode]],PAYSCALES[SchoolCodes],""))))),1,0))</f>
        <v>0</v>
      </c>
      <c r="G6" s="57">
        <f>IF(_xlfn.XLOOKUP(CONT_TEA[[#This Row],[PayScaleGradeCode]],GRADES[PayScaleGradeCode],GRADES[AvailableToAllSchools])=TRUE,0,IFERROR(IF(FIND(CONT_TEA[[#This Row],[SchoolCode]],_xlfn.XLOOKUP(CONT_TEA[[#This Row],[PayScaleGradeCode]],GRADES[PayScaleGradeCode],GRADES[SchoolCodes]))&gt;=1,0,1),1))</f>
        <v>0</v>
      </c>
      <c r="H6" s="57">
        <f>IF(ISERROR(IF((_xlfn.XLOOKUP(CONT_TEA[[#This Row],[PayScaleGradeCode]],GRADES[PayScaleGradeCode],GRADES[PayScaleCode])=CONT_TEA[[#This Row],[PayScaleCode]]),0,1)),1,0)</f>
        <v>0</v>
      </c>
      <c r="I6" s="57" cm="1">
        <f t="array" ref="I6">IF(ISERROR(FIND(CONT_TEA[[#This Row],[PayScalePointCode]],_xlfn.TEXTJOIN(",",TRUE,IF(PSPOINTS[PayScaleCode]=CONT_TEA[[#This Row],[PayScaleCode]],PSPOINTS[PayScalePointCode])))),1,0)</f>
        <v>0</v>
      </c>
      <c r="J6" s="57" cm="1">
        <f t="array" ref="J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6" s="57">
        <f>IF(_xlfn.XLOOKUP(CONT_TEA[[#This Row],[PayScalePointCode]],PSPOINTS[PayScalePointCode],PSPOINTS[PayScalePointEnabled])=TRUE,0,1)</f>
        <v>0</v>
      </c>
      <c r="L6" s="57" cm="1">
        <f t="array" ref="L6">IF(_xlfn.XLOOKUP(CONT_TEA[[#This Row],[DepartmentCode]],DEPTS[DepartmentCode],DEPTS[AvailableToAllSchools],1,0,)=TRUE,0,IF(ISERROR(FIND(CONT_TEA[[#This Row],[SchoolCode]],_xlfn.TEXTJOIN(",",TRUE,_xlfn.UNIQUE(IF(DEPTS[DepartmentCode]=CONT_TEA[[#This Row],[DepartmentCode]],DEPTS[SchoolCodes],""))))),1,0))</f>
        <v>0</v>
      </c>
      <c r="M6" s="57">
        <f>IFERROR(IF(_xlfn.XLOOKUP(CONT_TEA[[#This Row],[SRG Gross]],FinanceCodesBudget[FinanceCode],FinanceCodesBudget[LedgerCode])=_xlfn.XLOOKUP(CONT_TEA[[#This Row],[DepartmentCode]],DEPTS[DepartmentCode],DEPTS[LedgerCode]),0,1),1)</f>
        <v>1</v>
      </c>
      <c r="N6" s="57" cm="1">
        <f t="array" ref="N6">IF(_xlfn.XLOOKUP(CONT_TEA[[#This Row],[PensionCode]],PENS[PensionCode],PENS[AvailableToAllSchools],1,0,)=TRUE,0,IF(ISERROR(FIND(CONT_TEA[[#This Row],[SchoolCode]],_xlfn.TEXTJOIN(",",TRUE,_xlfn.UNIQUE(IF(PENS[PensionCode]=CONT_TEA[[#This Row],[PensionCode]],PENS[SchoolCodes],""))))),1,0))</f>
        <v>0</v>
      </c>
      <c r="O6" s="57" cm="1">
        <f t="array" ref="O6">IF(_xlfn.XLOOKUP(CONT_TEA[[#This Row],[EquatedWeekPatternCode]],EQW[EquatedWeekPatternCode],EQW[AvailableToAllSchools],1,0,)=TRUE,0,IF(ISERROR(FIND(CONT_TEA[[#This Row],[SchoolCode]],_xlfn.TEXTJOIN(",",TRUE,_xlfn.UNIQUE(IF(EQW[EquatedWeekPatternCode]=CONT_TEA[[#This Row],[EquatedWeekPatternCode]],EQW[SchoolCodes],""))))),1,0))</f>
        <v>0</v>
      </c>
      <c r="P6" s="57">
        <f>1-COUNTIF(ContractTypes[Code],CONT_TEA[[#This Row],[ContractTypeCode]])</f>
        <v>0</v>
      </c>
      <c r="Q6" s="57">
        <f>IF(VLOOKUP(CONT_TEA[[#This Row],[StaffMemberCode]],MEMBERS[[StaffMemberCode]:[ServiceStartDate]],5,0)&gt;CONT_TEA[[#This Row],[DateFrom]],1,0)</f>
        <v>0</v>
      </c>
      <c r="R6" s="57">
        <f>IF(_xlfn.XLOOKUP(CONT_TEA[[#This Row],[StaffMemberCode]],MEMBERS[StaffMemberCode],MEMBERS[ServiceEndDate])="",0,IF(CONT_TEA[[#This Row],[DateTo]]="",1,IF(_xlfn.XLOOKUP(CONT_TEA[[#This Row],[StaffMemberCode]],MEMBERS[StaffMemberCode],MEMBERS[ServiceEndDate])&lt;CONT_TEA[[#This Row],[DateTo]],1,0)))</f>
        <v>0</v>
      </c>
      <c r="S6" s="57">
        <f>IF(ISBLANK(CONT_TEA[[#This Row],[DateTo]]),0,IF(CONT_TEA[[#This Row],[DateFrom]]=CONT_TEA[[#This Row],[DateTo]],0,IF(CONT_TEA[[#This Row],[DateFrom]]&lt;CONT_TEA[[#This Row],[DateTo]],0,1)))</f>
        <v>0</v>
      </c>
      <c r="T6" s="57" cm="1">
        <f t="array" aca="1" ref="T6" ca="1">IF(CELL("format",CONT_TEA[[#This Row],[DateFrom]])="D1",0,1)+IF(CELL("format",CONT_TEA[[#This Row],[DateTo]])="D1",0,1)</f>
        <v>0</v>
      </c>
      <c r="U6" s="57">
        <f>IF(OR(CONT_TEA[[#This Row],[MatEditOnly]]=TRUE,CONT_TEA[[#This Row],[MatEditOnly]]=FALSE),IF(OR(CONT_TEA[[#This Row],[NoIncrement]]=TRUE,CONT_TEA[[#This Row],[NoIncrement]]=FALSE),0,1),1)</f>
        <v>0</v>
      </c>
      <c r="V6" s="57">
        <f>IF(ISBLANK(CONT_TEA[[#This Row],[FundCode]])=TRUE,0,IF(COUNTIF(FUNDS[FundCode],CONT_TEA[[#This Row],[FundCode]])=1,0,1))</f>
        <v>0</v>
      </c>
      <c r="W6" s="57">
        <f>IF(LEN(CONT_TEA[[#This Row],[Notes]])&lt;4000,0,1)</f>
        <v>0</v>
      </c>
      <c r="X6" s="57">
        <f>IF(SUBSTITUTE(TEXT(CONT_TEA[[#This Row],[Reference]],10)," ","")=TEXT(CONT_TEA[[#This Row],[Reference]],10),0,1)</f>
        <v>0</v>
      </c>
      <c r="Y6" s="57">
        <f ca="1">SUM(CONT_TEA[[#This Row],[Duplicate Contract]:[Space in Code]])</f>
        <v>1</v>
      </c>
      <c r="AA6" s="12" t="s">
        <v>2094</v>
      </c>
      <c r="AB6" s="15">
        <v>91073468</v>
      </c>
      <c r="AC6" s="12" t="s">
        <v>4355</v>
      </c>
      <c r="AD6" s="57" t="str">
        <f>_xlfn.XLOOKUP(CONT_TEA[[#This Row],[StaffMemberCode]],StaffMembers!O:O,StaffMembers!R:R)</f>
        <v>Emma Latham</v>
      </c>
      <c r="AE6" s="12" t="s">
        <v>1613</v>
      </c>
      <c r="AF6" s="57">
        <f>_xlfn.XLOOKUP(CONT_TEA[[#This Row],[SRG]],SRG[StaffRoleGroupCode],SRG[GrossSalaryFinanceCode])</f>
        <v>610100</v>
      </c>
      <c r="AG6" s="57" t="str">
        <f>_xlfn.XLOOKUP(CONT_TEA[[#This Row],[StaffRoleCode]],ROLES[StaffRoleCode],ROLES[StaffRoleGroupCode])</f>
        <v>LST</v>
      </c>
      <c r="AH6" s="57" t="str">
        <f>_xlfn.XLOOKUP(CONT_TEA[[#This Row],[StaffRoleCode]],ROLES[StaffRoleCode],ROLES[PayScaleCode])</f>
        <v>LS</v>
      </c>
      <c r="AI6" s="12" t="s">
        <v>3089</v>
      </c>
      <c r="AJ6" s="12" t="s">
        <v>1092</v>
      </c>
      <c r="AK6" s="12" t="s">
        <v>2499</v>
      </c>
      <c r="AM6" s="68" t="s">
        <v>1147</v>
      </c>
      <c r="AN6" s="13" t="s">
        <v>1702</v>
      </c>
      <c r="AO6" s="21">
        <v>45901</v>
      </c>
      <c r="AQ6" s="12">
        <v>1</v>
      </c>
      <c r="AR6" t="b">
        <v>0</v>
      </c>
      <c r="AS6" t="b">
        <v>0</v>
      </c>
      <c r="AT6" s="12" t="s">
        <v>1574</v>
      </c>
    </row>
    <row r="7" spans="1:47" x14ac:dyDescent="0.3">
      <c r="A7" s="57" t="str">
        <f t="shared" si="0"/>
        <v>WVP9107341491073414AAHTSTCH45901</v>
      </c>
      <c r="B7" s="57">
        <f>COUNTIF(CONT_TEA[Unique Contract],CONT_TEA[[#This Row],[Unique Contract]])-1</f>
        <v>0</v>
      </c>
      <c r="C7" s="57">
        <f>IFERROR(IF(FIND(CONT_TEA[[#This Row],[SchoolCode]],_xlfn.XLOOKUP(CONT_TEA[[#This Row],[StaffMemberCode]],MEMBERS[StaffMemberCode],MEMBERS[SchoolCodes]))&gt;0,0,1),1)</f>
        <v>0</v>
      </c>
      <c r="D7" s="57" cm="1">
        <f t="array" ref="D7">IF(_xlfn.XLOOKUP(CONT_TEA[[#This Row],[StaffRoleCode]],ROLES[StaffRoleCode],ROLES[AvailableToAllSchools],1,0,)=TRUE,0,IF(ISERROR(FIND(CONT_TEA[[#This Row],[SchoolCode]],_xlfn.TEXTJOIN(",",TRUE,_xlfn.UNIQUE(IF(ROLES[StaffRoleCode]=CONT_TEA[[#This Row],[StaffRoleCode]],ROLES[SchoolCodes],""))))),1,0))</f>
        <v>0</v>
      </c>
      <c r="E7" s="57" cm="1">
        <f t="array" ref="E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7" s="57" cm="1">
        <f t="array" ref="F7">IF(_xlfn.XLOOKUP(CONT_TEA[[#This Row],[PayScaleCode]],PAYSCALES[PayScaleCode],PAYSCALES[AvailableToAllSchools],1,0,)=TRUE,0,IF(ISERROR(FIND(CONT_TEA[[#This Row],[SchoolCode]],_xlfn.TEXTJOIN(",",TRUE,_xlfn.UNIQUE(IF(PAYSCALES[PayScaleCode]=CONT_TEA[[#This Row],[PayScaleCode]],PAYSCALES[SchoolCodes],""))))),1,0))</f>
        <v>0</v>
      </c>
      <c r="G7" s="57">
        <f>IF(_xlfn.XLOOKUP(CONT_TEA[[#This Row],[PayScaleGradeCode]],GRADES[PayScaleGradeCode],GRADES[AvailableToAllSchools])=TRUE,0,IFERROR(IF(FIND(CONT_TEA[[#This Row],[SchoolCode]],_xlfn.XLOOKUP(CONT_TEA[[#This Row],[PayScaleGradeCode]],GRADES[PayScaleGradeCode],GRADES[SchoolCodes]))&gt;=1,0,1),1))</f>
        <v>0</v>
      </c>
      <c r="H7" s="57">
        <f>IF(ISERROR(IF((_xlfn.XLOOKUP(CONT_TEA[[#This Row],[PayScaleGradeCode]],GRADES[PayScaleGradeCode],GRADES[PayScaleCode])=CONT_TEA[[#This Row],[PayScaleCode]]),0,1)),1,0)</f>
        <v>0</v>
      </c>
      <c r="I7" s="57" cm="1">
        <f t="array" ref="I7">IF(ISERROR(FIND(CONT_TEA[[#This Row],[PayScalePointCode]],_xlfn.TEXTJOIN(",",TRUE,IF(PSPOINTS[PayScaleCode]=CONT_TEA[[#This Row],[PayScaleCode]],PSPOINTS[PayScalePointCode])))),1,0)</f>
        <v>0</v>
      </c>
      <c r="J7" s="57" cm="1">
        <f t="array" ref="J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7" s="57">
        <f>IF(_xlfn.XLOOKUP(CONT_TEA[[#This Row],[PayScalePointCode]],PSPOINTS[PayScalePointCode],PSPOINTS[PayScalePointEnabled])=TRUE,0,1)</f>
        <v>0</v>
      </c>
      <c r="L7" s="57" cm="1">
        <f t="array" ref="L7">IF(_xlfn.XLOOKUP(CONT_TEA[[#This Row],[DepartmentCode]],DEPTS[DepartmentCode],DEPTS[AvailableToAllSchools],1,0,)=TRUE,0,IF(ISERROR(FIND(CONT_TEA[[#This Row],[SchoolCode]],_xlfn.TEXTJOIN(",",TRUE,_xlfn.UNIQUE(IF(DEPTS[DepartmentCode]=CONT_TEA[[#This Row],[DepartmentCode]],DEPTS[SchoolCodes],""))))),1,0))</f>
        <v>0</v>
      </c>
      <c r="M7" s="57">
        <f>IFERROR(IF(_xlfn.XLOOKUP(CONT_TEA[[#This Row],[SRG Gross]],FinanceCodesBudget[FinanceCode],FinanceCodesBudget[LedgerCode])=_xlfn.XLOOKUP(CONT_TEA[[#This Row],[DepartmentCode]],DEPTS[DepartmentCode],DEPTS[LedgerCode]),0,1),1)</f>
        <v>1</v>
      </c>
      <c r="N7" s="57" cm="1">
        <f t="array" ref="N7">IF(_xlfn.XLOOKUP(CONT_TEA[[#This Row],[PensionCode]],PENS[PensionCode],PENS[AvailableToAllSchools],1,0,)=TRUE,0,IF(ISERROR(FIND(CONT_TEA[[#This Row],[SchoolCode]],_xlfn.TEXTJOIN(",",TRUE,_xlfn.UNIQUE(IF(PENS[PensionCode]=CONT_TEA[[#This Row],[PensionCode]],PENS[SchoolCodes],""))))),1,0))</f>
        <v>0</v>
      </c>
      <c r="O7" s="57" cm="1">
        <f t="array" ref="O7">IF(_xlfn.XLOOKUP(CONT_TEA[[#This Row],[EquatedWeekPatternCode]],EQW[EquatedWeekPatternCode],EQW[AvailableToAllSchools],1,0,)=TRUE,0,IF(ISERROR(FIND(CONT_TEA[[#This Row],[SchoolCode]],_xlfn.TEXTJOIN(",",TRUE,_xlfn.UNIQUE(IF(EQW[EquatedWeekPatternCode]=CONT_TEA[[#This Row],[EquatedWeekPatternCode]],EQW[SchoolCodes],""))))),1,0))</f>
        <v>0</v>
      </c>
      <c r="P7" s="57">
        <f>1-COUNTIF(ContractTypes[Code],CONT_TEA[[#This Row],[ContractTypeCode]])</f>
        <v>0</v>
      </c>
      <c r="Q7" s="57">
        <f>IF(VLOOKUP(CONT_TEA[[#This Row],[StaffMemberCode]],MEMBERS[[StaffMemberCode]:[ServiceStartDate]],5,0)&gt;CONT_TEA[[#This Row],[DateFrom]],1,0)</f>
        <v>0</v>
      </c>
      <c r="R7" s="57">
        <f>IF(_xlfn.XLOOKUP(CONT_TEA[[#This Row],[StaffMemberCode]],MEMBERS[StaffMemberCode],MEMBERS[ServiceEndDate])="",0,IF(CONT_TEA[[#This Row],[DateTo]]="",1,IF(_xlfn.XLOOKUP(CONT_TEA[[#This Row],[StaffMemberCode]],MEMBERS[StaffMemberCode],MEMBERS[ServiceEndDate])&lt;CONT_TEA[[#This Row],[DateTo]],1,0)))</f>
        <v>0</v>
      </c>
      <c r="S7" s="57">
        <f>IF(ISBLANK(CONT_TEA[[#This Row],[DateTo]]),0,IF(CONT_TEA[[#This Row],[DateFrom]]=CONT_TEA[[#This Row],[DateTo]],0,IF(CONT_TEA[[#This Row],[DateFrom]]&lt;CONT_TEA[[#This Row],[DateTo]],0,1)))</f>
        <v>0</v>
      </c>
      <c r="T7" s="57" cm="1">
        <f t="array" aca="1" ref="T7" ca="1">IF(CELL("format",CONT_TEA[[#This Row],[DateFrom]])="D1",0,1)+IF(CELL("format",CONT_TEA[[#This Row],[DateTo]])="D1",0,1)</f>
        <v>0</v>
      </c>
      <c r="U7" s="57">
        <f>IF(OR(CONT_TEA[[#This Row],[MatEditOnly]]=TRUE,CONT_TEA[[#This Row],[MatEditOnly]]=FALSE),IF(OR(CONT_TEA[[#This Row],[NoIncrement]]=TRUE,CONT_TEA[[#This Row],[NoIncrement]]=FALSE),0,1),1)</f>
        <v>0</v>
      </c>
      <c r="V7" s="57">
        <f>IF(ISBLANK(CONT_TEA[[#This Row],[FundCode]])=TRUE,0,IF(COUNTIF(FUNDS[FundCode],CONT_TEA[[#This Row],[FundCode]])=1,0,1))</f>
        <v>0</v>
      </c>
      <c r="W7" s="57">
        <f>IF(LEN(CONT_TEA[[#This Row],[Notes]])&lt;4000,0,1)</f>
        <v>0</v>
      </c>
      <c r="X7" s="57">
        <f>IF(SUBSTITUTE(TEXT(CONT_TEA[[#This Row],[Reference]],10)," ","")=TEXT(CONT_TEA[[#This Row],[Reference]],10),0,1)</f>
        <v>0</v>
      </c>
      <c r="Y7" s="57">
        <f ca="1">SUM(CONT_TEA[[#This Row],[Duplicate Contract]:[Space in Code]])</f>
        <v>1</v>
      </c>
      <c r="AA7" s="12" t="s">
        <v>2275</v>
      </c>
      <c r="AB7" s="15">
        <v>91073414</v>
      </c>
      <c r="AC7" s="12" t="s">
        <v>4356</v>
      </c>
      <c r="AD7" s="57" t="str">
        <f>_xlfn.XLOOKUP(CONT_TEA[[#This Row],[StaffMemberCode]],StaffMembers!O:O,StaffMembers!R:R)</f>
        <v>Emma Loveland</v>
      </c>
      <c r="AE7" s="12" t="s">
        <v>1613</v>
      </c>
      <c r="AF7" s="57">
        <f>_xlfn.XLOOKUP(CONT_TEA[[#This Row],[SRG]],SRG[StaffRoleGroupCode],SRG[GrossSalaryFinanceCode])</f>
        <v>610100</v>
      </c>
      <c r="AG7" s="57" t="str">
        <f>_xlfn.XLOOKUP(CONT_TEA[[#This Row],[StaffRoleCode]],ROLES[StaffRoleCode],ROLES[StaffRoleGroupCode])</f>
        <v>LST</v>
      </c>
      <c r="AH7" s="57" t="str">
        <f>_xlfn.XLOOKUP(CONT_TEA[[#This Row],[StaffRoleCode]],ROLES[StaffRoleCode],ROLES[PayScaleCode])</f>
        <v>LS</v>
      </c>
      <c r="AI7" s="12" t="s">
        <v>3092</v>
      </c>
      <c r="AJ7" s="12" t="s">
        <v>1081</v>
      </c>
      <c r="AK7" s="12" t="s">
        <v>2499</v>
      </c>
      <c r="AM7" s="68" t="s">
        <v>1147</v>
      </c>
      <c r="AN7" s="13" t="s">
        <v>1702</v>
      </c>
      <c r="AO7" s="21">
        <v>45901</v>
      </c>
      <c r="AQ7" s="12">
        <v>0.8</v>
      </c>
      <c r="AR7" t="b">
        <v>0</v>
      </c>
      <c r="AS7" t="b">
        <v>0</v>
      </c>
      <c r="AT7" s="12" t="s">
        <v>1574</v>
      </c>
    </row>
    <row r="8" spans="1:47" x14ac:dyDescent="0.3">
      <c r="A8" s="57" t="str">
        <f t="shared" si="0"/>
        <v>ALS9107369491073694AAHTSTCH45901</v>
      </c>
      <c r="B8" s="57">
        <f>COUNTIF(CONT_TEA[Unique Contract],CONT_TEA[[#This Row],[Unique Contract]])-1</f>
        <v>0</v>
      </c>
      <c r="C8" s="57">
        <f>IFERROR(IF(FIND(CONT_TEA[[#This Row],[SchoolCode]],_xlfn.XLOOKUP(CONT_TEA[[#This Row],[StaffMemberCode]],MEMBERS[StaffMemberCode],MEMBERS[SchoolCodes]))&gt;0,0,1),1)</f>
        <v>0</v>
      </c>
      <c r="D8" s="57" cm="1">
        <f t="array" ref="D8">IF(_xlfn.XLOOKUP(CONT_TEA[[#This Row],[StaffRoleCode]],ROLES[StaffRoleCode],ROLES[AvailableToAllSchools],1,0,)=TRUE,0,IF(ISERROR(FIND(CONT_TEA[[#This Row],[SchoolCode]],_xlfn.TEXTJOIN(",",TRUE,_xlfn.UNIQUE(IF(ROLES[StaffRoleCode]=CONT_TEA[[#This Row],[StaffRoleCode]],ROLES[SchoolCodes],""))))),1,0))</f>
        <v>0</v>
      </c>
      <c r="E8" s="57" cm="1">
        <f t="array" ref="E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8" s="57" cm="1">
        <f t="array" ref="F8">IF(_xlfn.XLOOKUP(CONT_TEA[[#This Row],[PayScaleCode]],PAYSCALES[PayScaleCode],PAYSCALES[AvailableToAllSchools],1,0,)=TRUE,0,IF(ISERROR(FIND(CONT_TEA[[#This Row],[SchoolCode]],_xlfn.TEXTJOIN(",",TRUE,_xlfn.UNIQUE(IF(PAYSCALES[PayScaleCode]=CONT_TEA[[#This Row],[PayScaleCode]],PAYSCALES[SchoolCodes],""))))),1,0))</f>
        <v>0</v>
      </c>
      <c r="G8" s="57">
        <f>IF(_xlfn.XLOOKUP(CONT_TEA[[#This Row],[PayScaleGradeCode]],GRADES[PayScaleGradeCode],GRADES[AvailableToAllSchools])=TRUE,0,IFERROR(IF(FIND(CONT_TEA[[#This Row],[SchoolCode]],_xlfn.XLOOKUP(CONT_TEA[[#This Row],[PayScaleGradeCode]],GRADES[PayScaleGradeCode],GRADES[SchoolCodes]))&gt;=1,0,1),1))</f>
        <v>0</v>
      </c>
      <c r="H8" s="57">
        <f>IF(ISERROR(IF((_xlfn.XLOOKUP(CONT_TEA[[#This Row],[PayScaleGradeCode]],GRADES[PayScaleGradeCode],GRADES[PayScaleCode])=CONT_TEA[[#This Row],[PayScaleCode]]),0,1)),1,0)</f>
        <v>0</v>
      </c>
      <c r="I8" s="57" cm="1">
        <f t="array" ref="I8">IF(ISERROR(FIND(CONT_TEA[[#This Row],[PayScalePointCode]],_xlfn.TEXTJOIN(",",TRUE,IF(PSPOINTS[PayScaleCode]=CONT_TEA[[#This Row],[PayScaleCode]],PSPOINTS[PayScalePointCode])))),1,0)</f>
        <v>0</v>
      </c>
      <c r="J8" s="57" cm="1">
        <f t="array" ref="J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8" s="57">
        <f>IF(_xlfn.XLOOKUP(CONT_TEA[[#This Row],[PayScalePointCode]],PSPOINTS[PayScalePointCode],PSPOINTS[PayScalePointEnabled])=TRUE,0,1)</f>
        <v>0</v>
      </c>
      <c r="L8" s="57" cm="1">
        <f t="array" ref="L8">IF(_xlfn.XLOOKUP(CONT_TEA[[#This Row],[DepartmentCode]],DEPTS[DepartmentCode],DEPTS[AvailableToAllSchools],1,0,)=TRUE,0,IF(ISERROR(FIND(CONT_TEA[[#This Row],[SchoolCode]],_xlfn.TEXTJOIN(",",TRUE,_xlfn.UNIQUE(IF(DEPTS[DepartmentCode]=CONT_TEA[[#This Row],[DepartmentCode]],DEPTS[SchoolCodes],""))))),1,0))</f>
        <v>0</v>
      </c>
      <c r="M8" s="57">
        <f>IFERROR(IF(_xlfn.XLOOKUP(CONT_TEA[[#This Row],[SRG Gross]],FinanceCodesBudget[FinanceCode],FinanceCodesBudget[LedgerCode])=_xlfn.XLOOKUP(CONT_TEA[[#This Row],[DepartmentCode]],DEPTS[DepartmentCode],DEPTS[LedgerCode]),0,1),1)</f>
        <v>1</v>
      </c>
      <c r="N8" s="57" cm="1">
        <f t="array" ref="N8">IF(_xlfn.XLOOKUP(CONT_TEA[[#This Row],[PensionCode]],PENS[PensionCode],PENS[AvailableToAllSchools],1,0,)=TRUE,0,IF(ISERROR(FIND(CONT_TEA[[#This Row],[SchoolCode]],_xlfn.TEXTJOIN(",",TRUE,_xlfn.UNIQUE(IF(PENS[PensionCode]=CONT_TEA[[#This Row],[PensionCode]],PENS[SchoolCodes],""))))),1,0))</f>
        <v>0</v>
      </c>
      <c r="O8" s="57" cm="1">
        <f t="array" ref="O8">IF(_xlfn.XLOOKUP(CONT_TEA[[#This Row],[EquatedWeekPatternCode]],EQW[EquatedWeekPatternCode],EQW[AvailableToAllSchools],1,0,)=TRUE,0,IF(ISERROR(FIND(CONT_TEA[[#This Row],[SchoolCode]],_xlfn.TEXTJOIN(",",TRUE,_xlfn.UNIQUE(IF(EQW[EquatedWeekPatternCode]=CONT_TEA[[#This Row],[EquatedWeekPatternCode]],EQW[SchoolCodes],""))))),1,0))</f>
        <v>0</v>
      </c>
      <c r="P8" s="57">
        <f>1-COUNTIF(ContractTypes[Code],CONT_TEA[[#This Row],[ContractTypeCode]])</f>
        <v>0</v>
      </c>
      <c r="Q8" s="57">
        <f>IF(VLOOKUP(CONT_TEA[[#This Row],[StaffMemberCode]],MEMBERS[[StaffMemberCode]:[ServiceStartDate]],5,0)&gt;CONT_TEA[[#This Row],[DateFrom]],1,0)</f>
        <v>0</v>
      </c>
      <c r="R8" s="57">
        <f>IF(_xlfn.XLOOKUP(CONT_TEA[[#This Row],[StaffMemberCode]],MEMBERS[StaffMemberCode],MEMBERS[ServiceEndDate])="",0,IF(CONT_TEA[[#This Row],[DateTo]]="",1,IF(_xlfn.XLOOKUP(CONT_TEA[[#This Row],[StaffMemberCode]],MEMBERS[StaffMemberCode],MEMBERS[ServiceEndDate])&lt;CONT_TEA[[#This Row],[DateTo]],1,0)))</f>
        <v>0</v>
      </c>
      <c r="S8" s="57">
        <f>IF(ISBLANK(CONT_TEA[[#This Row],[DateTo]]),0,IF(CONT_TEA[[#This Row],[DateFrom]]=CONT_TEA[[#This Row],[DateTo]],0,IF(CONT_TEA[[#This Row],[DateFrom]]&lt;CONT_TEA[[#This Row],[DateTo]],0,1)))</f>
        <v>0</v>
      </c>
      <c r="T8" s="57" cm="1">
        <f t="array" aca="1" ref="T8" ca="1">IF(CELL("format",CONT_TEA[[#This Row],[DateFrom]])="D1",0,1)+IF(CELL("format",CONT_TEA[[#This Row],[DateTo]])="D1",0,1)</f>
        <v>0</v>
      </c>
      <c r="U8" s="57">
        <f>IF(OR(CONT_TEA[[#This Row],[MatEditOnly]]=TRUE,CONT_TEA[[#This Row],[MatEditOnly]]=FALSE),IF(OR(CONT_TEA[[#This Row],[NoIncrement]]=TRUE,CONT_TEA[[#This Row],[NoIncrement]]=FALSE),0,1),1)</f>
        <v>0</v>
      </c>
      <c r="V8" s="57">
        <f>IF(ISBLANK(CONT_TEA[[#This Row],[FundCode]])=TRUE,0,IF(COUNTIF(FUNDS[FundCode],CONT_TEA[[#This Row],[FundCode]])=1,0,1))</f>
        <v>0</v>
      </c>
      <c r="W8" s="57">
        <f>IF(LEN(CONT_TEA[[#This Row],[Notes]])&lt;4000,0,1)</f>
        <v>0</v>
      </c>
      <c r="X8" s="57">
        <f>IF(SUBSTITUTE(TEXT(CONT_TEA[[#This Row],[Reference]],10)," ","")=TEXT(CONT_TEA[[#This Row],[Reference]],10),0,1)</f>
        <v>0</v>
      </c>
      <c r="Y8" s="57">
        <f ca="1">SUM(CONT_TEA[[#This Row],[Duplicate Contract]:[Space in Code]])</f>
        <v>1</v>
      </c>
      <c r="AA8" s="12" t="s">
        <v>2082</v>
      </c>
      <c r="AB8" s="15">
        <v>91073694</v>
      </c>
      <c r="AC8" s="12" t="s">
        <v>4357</v>
      </c>
      <c r="AD8" s="57" t="str">
        <f>_xlfn.XLOOKUP(CONT_TEA[[#This Row],[StaffMemberCode]],StaffMembers!O:O,StaffMembers!R:R)</f>
        <v>Lianne Jardine</v>
      </c>
      <c r="AE8" s="12" t="s">
        <v>1613</v>
      </c>
      <c r="AF8" s="57">
        <f>_xlfn.XLOOKUP(CONT_TEA[[#This Row],[SRG]],SRG[StaffRoleGroupCode],SRG[GrossSalaryFinanceCode])</f>
        <v>610100</v>
      </c>
      <c r="AG8" s="57" t="str">
        <f>_xlfn.XLOOKUP(CONT_TEA[[#This Row],[StaffRoleCode]],ROLES[StaffRoleCode],ROLES[StaffRoleGroupCode])</f>
        <v>LST</v>
      </c>
      <c r="AH8" s="57" t="str">
        <f>_xlfn.XLOOKUP(CONT_TEA[[#This Row],[StaffRoleCode]],ROLES[StaffRoleCode],ROLES[PayScaleCode])</f>
        <v>LS</v>
      </c>
      <c r="AI8" s="12" t="s">
        <v>3085</v>
      </c>
      <c r="AJ8" s="12" t="s">
        <v>1091</v>
      </c>
      <c r="AK8" s="12" t="s">
        <v>2499</v>
      </c>
      <c r="AM8" s="68" t="s">
        <v>1147</v>
      </c>
      <c r="AN8" s="13" t="s">
        <v>1702</v>
      </c>
      <c r="AO8" s="21">
        <v>45901</v>
      </c>
      <c r="AQ8" s="12">
        <v>1</v>
      </c>
      <c r="AR8" t="b">
        <v>0</v>
      </c>
      <c r="AS8" t="b">
        <v>0</v>
      </c>
      <c r="AT8" s="12" t="s">
        <v>1574</v>
      </c>
    </row>
    <row r="9" spans="1:47" x14ac:dyDescent="0.3">
      <c r="A9" s="57" t="str">
        <f t="shared" si="0"/>
        <v>HIG9107388391073883AAHTSTCH45901</v>
      </c>
      <c r="B9" s="57">
        <f>COUNTIF(CONT_TEA[Unique Contract],CONT_TEA[[#This Row],[Unique Contract]])-1</f>
        <v>0</v>
      </c>
      <c r="C9" s="57">
        <f>IFERROR(IF(FIND(CONT_TEA[[#This Row],[SchoolCode]],_xlfn.XLOOKUP(CONT_TEA[[#This Row],[StaffMemberCode]],MEMBERS[StaffMemberCode],MEMBERS[SchoolCodes]))&gt;0,0,1),1)</f>
        <v>0</v>
      </c>
      <c r="D9" s="57" cm="1">
        <f t="array" ref="D9">IF(_xlfn.XLOOKUP(CONT_TEA[[#This Row],[StaffRoleCode]],ROLES[StaffRoleCode],ROLES[AvailableToAllSchools],1,0,)=TRUE,0,IF(ISERROR(FIND(CONT_TEA[[#This Row],[SchoolCode]],_xlfn.TEXTJOIN(",",TRUE,_xlfn.UNIQUE(IF(ROLES[StaffRoleCode]=CONT_TEA[[#This Row],[StaffRoleCode]],ROLES[SchoolCodes],""))))),1,0))</f>
        <v>0</v>
      </c>
      <c r="E9" s="57" cm="1">
        <f t="array" ref="E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9" s="57" cm="1">
        <f t="array" ref="F9">IF(_xlfn.XLOOKUP(CONT_TEA[[#This Row],[PayScaleCode]],PAYSCALES[PayScaleCode],PAYSCALES[AvailableToAllSchools],1,0,)=TRUE,0,IF(ISERROR(FIND(CONT_TEA[[#This Row],[SchoolCode]],_xlfn.TEXTJOIN(",",TRUE,_xlfn.UNIQUE(IF(PAYSCALES[PayScaleCode]=CONT_TEA[[#This Row],[PayScaleCode]],PAYSCALES[SchoolCodes],""))))),1,0))</f>
        <v>0</v>
      </c>
      <c r="G9" s="57">
        <f>IF(_xlfn.XLOOKUP(CONT_TEA[[#This Row],[PayScaleGradeCode]],GRADES[PayScaleGradeCode],GRADES[AvailableToAllSchools])=TRUE,0,IFERROR(IF(FIND(CONT_TEA[[#This Row],[SchoolCode]],_xlfn.XLOOKUP(CONT_TEA[[#This Row],[PayScaleGradeCode]],GRADES[PayScaleGradeCode],GRADES[SchoolCodes]))&gt;=1,0,1),1))</f>
        <v>0</v>
      </c>
      <c r="H9" s="57">
        <f>IF(ISERROR(IF((_xlfn.XLOOKUP(CONT_TEA[[#This Row],[PayScaleGradeCode]],GRADES[PayScaleGradeCode],GRADES[PayScaleCode])=CONT_TEA[[#This Row],[PayScaleCode]]),0,1)),1,0)</f>
        <v>0</v>
      </c>
      <c r="I9" s="57" cm="1">
        <f t="array" ref="I9">IF(ISERROR(FIND(CONT_TEA[[#This Row],[PayScalePointCode]],_xlfn.TEXTJOIN(",",TRUE,IF(PSPOINTS[PayScaleCode]=CONT_TEA[[#This Row],[PayScaleCode]],PSPOINTS[PayScalePointCode])))),1,0)</f>
        <v>0</v>
      </c>
      <c r="J9" s="57" cm="1">
        <f t="array" ref="J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9" s="57">
        <f>IF(_xlfn.XLOOKUP(CONT_TEA[[#This Row],[PayScalePointCode]],PSPOINTS[PayScalePointCode],PSPOINTS[PayScalePointEnabled])=TRUE,0,1)</f>
        <v>0</v>
      </c>
      <c r="L9" s="57" cm="1">
        <f t="array" ref="L9">IF(_xlfn.XLOOKUP(CONT_TEA[[#This Row],[DepartmentCode]],DEPTS[DepartmentCode],DEPTS[AvailableToAllSchools],1,0,)=TRUE,0,IF(ISERROR(FIND(CONT_TEA[[#This Row],[SchoolCode]],_xlfn.TEXTJOIN(",",TRUE,_xlfn.UNIQUE(IF(DEPTS[DepartmentCode]=CONT_TEA[[#This Row],[DepartmentCode]],DEPTS[SchoolCodes],""))))),1,0))</f>
        <v>0</v>
      </c>
      <c r="M9" s="57">
        <f>IFERROR(IF(_xlfn.XLOOKUP(CONT_TEA[[#This Row],[SRG Gross]],FinanceCodesBudget[FinanceCode],FinanceCodesBudget[LedgerCode])=_xlfn.XLOOKUP(CONT_TEA[[#This Row],[DepartmentCode]],DEPTS[DepartmentCode],DEPTS[LedgerCode]),0,1),1)</f>
        <v>1</v>
      </c>
      <c r="N9" s="57" cm="1">
        <f t="array" ref="N9">IF(_xlfn.XLOOKUP(CONT_TEA[[#This Row],[PensionCode]],PENS[PensionCode],PENS[AvailableToAllSchools],1,0,)=TRUE,0,IF(ISERROR(FIND(CONT_TEA[[#This Row],[SchoolCode]],_xlfn.TEXTJOIN(",",TRUE,_xlfn.UNIQUE(IF(PENS[PensionCode]=CONT_TEA[[#This Row],[PensionCode]],PENS[SchoolCodes],""))))),1,0))</f>
        <v>0</v>
      </c>
      <c r="O9" s="57" cm="1">
        <f t="array" ref="O9">IF(_xlfn.XLOOKUP(CONT_TEA[[#This Row],[EquatedWeekPatternCode]],EQW[EquatedWeekPatternCode],EQW[AvailableToAllSchools],1,0,)=TRUE,0,IF(ISERROR(FIND(CONT_TEA[[#This Row],[SchoolCode]],_xlfn.TEXTJOIN(",",TRUE,_xlfn.UNIQUE(IF(EQW[EquatedWeekPatternCode]=CONT_TEA[[#This Row],[EquatedWeekPatternCode]],EQW[SchoolCodes],""))))),1,0))</f>
        <v>0</v>
      </c>
      <c r="P9" s="57">
        <f>1-COUNTIF(ContractTypes[Code],CONT_TEA[[#This Row],[ContractTypeCode]])</f>
        <v>0</v>
      </c>
      <c r="Q9" s="57">
        <f>IF(VLOOKUP(CONT_TEA[[#This Row],[StaffMemberCode]],MEMBERS[[StaffMemberCode]:[ServiceStartDate]],5,0)&gt;CONT_TEA[[#This Row],[DateFrom]],1,0)</f>
        <v>0</v>
      </c>
      <c r="R9" s="57">
        <f>IF(_xlfn.XLOOKUP(CONT_TEA[[#This Row],[StaffMemberCode]],MEMBERS[StaffMemberCode],MEMBERS[ServiceEndDate])="",0,IF(CONT_TEA[[#This Row],[DateTo]]="",1,IF(_xlfn.XLOOKUP(CONT_TEA[[#This Row],[StaffMemberCode]],MEMBERS[StaffMemberCode],MEMBERS[ServiceEndDate])&lt;CONT_TEA[[#This Row],[DateTo]],1,0)))</f>
        <v>0</v>
      </c>
      <c r="S9" s="57">
        <f>IF(ISBLANK(CONT_TEA[[#This Row],[DateTo]]),0,IF(CONT_TEA[[#This Row],[DateFrom]]=CONT_TEA[[#This Row],[DateTo]],0,IF(CONT_TEA[[#This Row],[DateFrom]]&lt;CONT_TEA[[#This Row],[DateTo]],0,1)))</f>
        <v>0</v>
      </c>
      <c r="T9" s="57" cm="1">
        <f t="array" aca="1" ref="T9" ca="1">IF(CELL("format",CONT_TEA[[#This Row],[DateFrom]])="D1",0,1)+IF(CELL("format",CONT_TEA[[#This Row],[DateTo]])="D1",0,1)</f>
        <v>0</v>
      </c>
      <c r="U9" s="57">
        <f>IF(OR(CONT_TEA[[#This Row],[MatEditOnly]]=TRUE,CONT_TEA[[#This Row],[MatEditOnly]]=FALSE),IF(OR(CONT_TEA[[#This Row],[NoIncrement]]=TRUE,CONT_TEA[[#This Row],[NoIncrement]]=FALSE),0,1),1)</f>
        <v>0</v>
      </c>
      <c r="V9" s="57">
        <f>IF(ISBLANK(CONT_TEA[[#This Row],[FundCode]])=TRUE,0,IF(COUNTIF(FUNDS[FundCode],CONT_TEA[[#This Row],[FundCode]])=1,0,1))</f>
        <v>0</v>
      </c>
      <c r="W9" s="57">
        <f>IF(LEN(CONT_TEA[[#This Row],[Notes]])&lt;4000,0,1)</f>
        <v>0</v>
      </c>
      <c r="X9" s="57">
        <f>IF(SUBSTITUTE(TEXT(CONT_TEA[[#This Row],[Reference]],10)," ","")=TEXT(CONT_TEA[[#This Row],[Reference]],10),0,1)</f>
        <v>0</v>
      </c>
      <c r="Y9" s="57">
        <f ca="1">SUM(CONT_TEA[[#This Row],[Duplicate Contract]:[Space in Code]])</f>
        <v>1</v>
      </c>
      <c r="AA9" s="12" t="s">
        <v>2266</v>
      </c>
      <c r="AB9" s="15">
        <v>91073883</v>
      </c>
      <c r="AC9" s="12" t="s">
        <v>4358</v>
      </c>
      <c r="AD9" s="57" t="str">
        <f>_xlfn.XLOOKUP(CONT_TEA[[#This Row],[StaffMemberCode]],StaffMembers!O:O,StaffMembers!R:R)</f>
        <v>Marianne Dyde</v>
      </c>
      <c r="AE9" s="12" t="s">
        <v>1613</v>
      </c>
      <c r="AF9" s="57">
        <f>_xlfn.XLOOKUP(CONT_TEA[[#This Row],[SRG]],SRG[StaffRoleGroupCode],SRG[GrossSalaryFinanceCode])</f>
        <v>610100</v>
      </c>
      <c r="AG9" s="57" t="str">
        <f>_xlfn.XLOOKUP(CONT_TEA[[#This Row],[StaffRoleCode]],ROLES[StaffRoleCode],ROLES[StaffRoleGroupCode])</f>
        <v>LST</v>
      </c>
      <c r="AH9" s="57" t="str">
        <f>_xlfn.XLOOKUP(CONT_TEA[[#This Row],[StaffRoleCode]],ROLES[StaffRoleCode],ROLES[PayScaleCode])</f>
        <v>LS</v>
      </c>
      <c r="AI9" s="12" t="s">
        <v>3091</v>
      </c>
      <c r="AJ9" s="12" t="s">
        <v>1081</v>
      </c>
      <c r="AK9" s="12" t="s">
        <v>2499</v>
      </c>
      <c r="AM9" s="68" t="s">
        <v>1147</v>
      </c>
      <c r="AN9" s="13" t="s">
        <v>1702</v>
      </c>
      <c r="AO9" s="21">
        <v>45901</v>
      </c>
      <c r="AQ9" s="12">
        <v>1</v>
      </c>
      <c r="AR9" t="b">
        <v>0</v>
      </c>
      <c r="AS9" t="b">
        <v>0</v>
      </c>
      <c r="AT9" s="12" t="s">
        <v>1574</v>
      </c>
    </row>
    <row r="10" spans="1:47" x14ac:dyDescent="0.3">
      <c r="A10" s="57" t="str">
        <f t="shared" si="0"/>
        <v>ALS9107377191073771AAHTSTCH45901</v>
      </c>
      <c r="B10" s="57">
        <f>COUNTIF(CONT_TEA[Unique Contract],CONT_TEA[[#This Row],[Unique Contract]])-1</f>
        <v>0</v>
      </c>
      <c r="C10" s="57">
        <f>IFERROR(IF(FIND(CONT_TEA[[#This Row],[SchoolCode]],_xlfn.XLOOKUP(CONT_TEA[[#This Row],[StaffMemberCode]],MEMBERS[StaffMemberCode],MEMBERS[SchoolCodes]))&gt;0,0,1),1)</f>
        <v>0</v>
      </c>
      <c r="D10" s="57" cm="1">
        <f t="array" ref="D10">IF(_xlfn.XLOOKUP(CONT_TEA[[#This Row],[StaffRoleCode]],ROLES[StaffRoleCode],ROLES[AvailableToAllSchools],1,0,)=TRUE,0,IF(ISERROR(FIND(CONT_TEA[[#This Row],[SchoolCode]],_xlfn.TEXTJOIN(",",TRUE,_xlfn.UNIQUE(IF(ROLES[StaffRoleCode]=CONT_TEA[[#This Row],[StaffRoleCode]],ROLES[SchoolCodes],""))))),1,0))</f>
        <v>0</v>
      </c>
      <c r="E10" s="57" cm="1">
        <f t="array" ref="E1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0" s="57" cm="1">
        <f t="array" ref="F10">IF(_xlfn.XLOOKUP(CONT_TEA[[#This Row],[PayScaleCode]],PAYSCALES[PayScaleCode],PAYSCALES[AvailableToAllSchools],1,0,)=TRUE,0,IF(ISERROR(FIND(CONT_TEA[[#This Row],[SchoolCode]],_xlfn.TEXTJOIN(",",TRUE,_xlfn.UNIQUE(IF(PAYSCALES[PayScaleCode]=CONT_TEA[[#This Row],[PayScaleCode]],PAYSCALES[SchoolCodes],""))))),1,0))</f>
        <v>0</v>
      </c>
      <c r="G10" s="57">
        <f>IF(_xlfn.XLOOKUP(CONT_TEA[[#This Row],[PayScaleGradeCode]],GRADES[PayScaleGradeCode],GRADES[AvailableToAllSchools])=TRUE,0,IFERROR(IF(FIND(CONT_TEA[[#This Row],[SchoolCode]],_xlfn.XLOOKUP(CONT_TEA[[#This Row],[PayScaleGradeCode]],GRADES[PayScaleGradeCode],GRADES[SchoolCodes]))&gt;=1,0,1),1))</f>
        <v>0</v>
      </c>
      <c r="H10" s="57">
        <f>IF(ISERROR(IF((_xlfn.XLOOKUP(CONT_TEA[[#This Row],[PayScaleGradeCode]],GRADES[PayScaleGradeCode],GRADES[PayScaleCode])=CONT_TEA[[#This Row],[PayScaleCode]]),0,1)),1,0)</f>
        <v>0</v>
      </c>
      <c r="I10" s="57" cm="1">
        <f t="array" ref="I10">IF(ISERROR(FIND(CONT_TEA[[#This Row],[PayScalePointCode]],_xlfn.TEXTJOIN(",",TRUE,IF(PSPOINTS[PayScaleCode]=CONT_TEA[[#This Row],[PayScaleCode]],PSPOINTS[PayScalePointCode])))),1,0)</f>
        <v>0</v>
      </c>
      <c r="J10" s="57" cm="1">
        <f t="array" ref="J1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0" s="57">
        <f>IF(_xlfn.XLOOKUP(CONT_TEA[[#This Row],[PayScalePointCode]],PSPOINTS[PayScalePointCode],PSPOINTS[PayScalePointEnabled])=TRUE,0,1)</f>
        <v>0</v>
      </c>
      <c r="L10" s="57" cm="1">
        <f t="array" ref="L10">IF(_xlfn.XLOOKUP(CONT_TEA[[#This Row],[DepartmentCode]],DEPTS[DepartmentCode],DEPTS[AvailableToAllSchools],1,0,)=TRUE,0,IF(ISERROR(FIND(CONT_TEA[[#This Row],[SchoolCode]],_xlfn.TEXTJOIN(",",TRUE,_xlfn.UNIQUE(IF(DEPTS[DepartmentCode]=CONT_TEA[[#This Row],[DepartmentCode]],DEPTS[SchoolCodes],""))))),1,0))</f>
        <v>0</v>
      </c>
      <c r="M10" s="57">
        <f>IFERROR(IF(_xlfn.XLOOKUP(CONT_TEA[[#This Row],[SRG Gross]],FinanceCodesBudget[FinanceCode],FinanceCodesBudget[LedgerCode])=_xlfn.XLOOKUP(CONT_TEA[[#This Row],[DepartmentCode]],DEPTS[DepartmentCode],DEPTS[LedgerCode]),0,1),1)</f>
        <v>1</v>
      </c>
      <c r="N10" s="57" cm="1">
        <f t="array" ref="N10">IF(_xlfn.XLOOKUP(CONT_TEA[[#This Row],[PensionCode]],PENS[PensionCode],PENS[AvailableToAllSchools],1,0,)=TRUE,0,IF(ISERROR(FIND(CONT_TEA[[#This Row],[SchoolCode]],_xlfn.TEXTJOIN(",",TRUE,_xlfn.UNIQUE(IF(PENS[PensionCode]=CONT_TEA[[#This Row],[PensionCode]],PENS[SchoolCodes],""))))),1,0))</f>
        <v>0</v>
      </c>
      <c r="O10" s="57" cm="1">
        <f t="array" ref="O10">IF(_xlfn.XLOOKUP(CONT_TEA[[#This Row],[EquatedWeekPatternCode]],EQW[EquatedWeekPatternCode],EQW[AvailableToAllSchools],1,0,)=TRUE,0,IF(ISERROR(FIND(CONT_TEA[[#This Row],[SchoolCode]],_xlfn.TEXTJOIN(",",TRUE,_xlfn.UNIQUE(IF(EQW[EquatedWeekPatternCode]=CONT_TEA[[#This Row],[EquatedWeekPatternCode]],EQW[SchoolCodes],""))))),1,0))</f>
        <v>0</v>
      </c>
      <c r="P10" s="57">
        <f>1-COUNTIF(ContractTypes[Code],CONT_TEA[[#This Row],[ContractTypeCode]])</f>
        <v>0</v>
      </c>
      <c r="Q10" s="57">
        <f>IF(VLOOKUP(CONT_TEA[[#This Row],[StaffMemberCode]],MEMBERS[[StaffMemberCode]:[ServiceStartDate]],5,0)&gt;CONT_TEA[[#This Row],[DateFrom]],1,0)</f>
        <v>0</v>
      </c>
      <c r="R10" s="57">
        <f>IF(_xlfn.XLOOKUP(CONT_TEA[[#This Row],[StaffMemberCode]],MEMBERS[StaffMemberCode],MEMBERS[ServiceEndDate])="",0,IF(CONT_TEA[[#This Row],[DateTo]]="",1,IF(_xlfn.XLOOKUP(CONT_TEA[[#This Row],[StaffMemberCode]],MEMBERS[StaffMemberCode],MEMBERS[ServiceEndDate])&lt;CONT_TEA[[#This Row],[DateTo]],1,0)))</f>
        <v>0</v>
      </c>
      <c r="S10" s="57">
        <f>IF(ISBLANK(CONT_TEA[[#This Row],[DateTo]]),0,IF(CONT_TEA[[#This Row],[DateFrom]]=CONT_TEA[[#This Row],[DateTo]],0,IF(CONT_TEA[[#This Row],[DateFrom]]&lt;CONT_TEA[[#This Row],[DateTo]],0,1)))</f>
        <v>0</v>
      </c>
      <c r="T10" s="57" cm="1">
        <f t="array" aca="1" ref="T10" ca="1">IF(CELL("format",CONT_TEA[[#This Row],[DateFrom]])="D1",0,1)+IF(CELL("format",CONT_TEA[[#This Row],[DateTo]])="D1",0,1)</f>
        <v>0</v>
      </c>
      <c r="U10" s="57">
        <f>IF(OR(CONT_TEA[[#This Row],[MatEditOnly]]=TRUE,CONT_TEA[[#This Row],[MatEditOnly]]=FALSE),IF(OR(CONT_TEA[[#This Row],[NoIncrement]]=TRUE,CONT_TEA[[#This Row],[NoIncrement]]=FALSE),0,1),1)</f>
        <v>0</v>
      </c>
      <c r="V10" s="57">
        <f>IF(ISBLANK(CONT_TEA[[#This Row],[FundCode]])=TRUE,0,IF(COUNTIF(FUNDS[FundCode],CONT_TEA[[#This Row],[FundCode]])=1,0,1))</f>
        <v>0</v>
      </c>
      <c r="W10" s="57">
        <f>IF(LEN(CONT_TEA[[#This Row],[Notes]])&lt;4000,0,1)</f>
        <v>0</v>
      </c>
      <c r="X10" s="57">
        <f>IF(SUBSTITUTE(TEXT(CONT_TEA[[#This Row],[Reference]],10)," ","")=TEXT(CONT_TEA[[#This Row],[Reference]],10),0,1)</f>
        <v>0</v>
      </c>
      <c r="Y10" s="57">
        <f ca="1">SUM(CONT_TEA[[#This Row],[Duplicate Contract]:[Space in Code]])</f>
        <v>1</v>
      </c>
      <c r="AA10" s="12" t="s">
        <v>2082</v>
      </c>
      <c r="AB10" s="15">
        <v>91073771</v>
      </c>
      <c r="AC10" s="12" t="s">
        <v>4359</v>
      </c>
      <c r="AD10" s="57" t="str">
        <f>_xlfn.XLOOKUP(CONT_TEA[[#This Row],[StaffMemberCode]],StaffMembers!O:O,StaffMembers!R:R)</f>
        <v>Robert Pearce</v>
      </c>
      <c r="AE10" s="12" t="s">
        <v>1613</v>
      </c>
      <c r="AF10" s="57">
        <f>_xlfn.XLOOKUP(CONT_TEA[[#This Row],[SRG]],SRG[StaffRoleGroupCode],SRG[GrossSalaryFinanceCode])</f>
        <v>610100</v>
      </c>
      <c r="AG10" s="57" t="str">
        <f>_xlfn.XLOOKUP(CONT_TEA[[#This Row],[StaffRoleCode]],ROLES[StaffRoleCode],ROLES[StaffRoleGroupCode])</f>
        <v>LST</v>
      </c>
      <c r="AH10" s="57" t="str">
        <f>_xlfn.XLOOKUP(CONT_TEA[[#This Row],[StaffRoleCode]],ROLES[StaffRoleCode],ROLES[PayScaleCode])</f>
        <v>LS</v>
      </c>
      <c r="AI10" s="12" t="s">
        <v>3085</v>
      </c>
      <c r="AJ10" s="12" t="s">
        <v>1090</v>
      </c>
      <c r="AK10" s="12" t="s">
        <v>2499</v>
      </c>
      <c r="AM10" s="68" t="s">
        <v>1147</v>
      </c>
      <c r="AN10" s="13" t="s">
        <v>1702</v>
      </c>
      <c r="AO10" s="21">
        <v>45901</v>
      </c>
      <c r="AQ10" s="12">
        <v>1</v>
      </c>
      <c r="AR10" t="b">
        <v>0</v>
      </c>
      <c r="AS10" t="b">
        <v>0</v>
      </c>
      <c r="AT10" s="12" t="s">
        <v>1574</v>
      </c>
    </row>
    <row r="11" spans="1:47" x14ac:dyDescent="0.3">
      <c r="A11" s="57" t="str">
        <f t="shared" si="0"/>
        <v>ALS9107369691073696AAHTSTCH45901</v>
      </c>
      <c r="B11" s="57">
        <f>COUNTIF(CONT_TEA[Unique Contract],CONT_TEA[[#This Row],[Unique Contract]])-1</f>
        <v>0</v>
      </c>
      <c r="C11" s="57">
        <f>IFERROR(IF(FIND(CONT_TEA[[#This Row],[SchoolCode]],_xlfn.XLOOKUP(CONT_TEA[[#This Row],[StaffMemberCode]],MEMBERS[StaffMemberCode],MEMBERS[SchoolCodes]))&gt;0,0,1),1)</f>
        <v>0</v>
      </c>
      <c r="D11" s="57" cm="1">
        <f t="array" ref="D11">IF(_xlfn.XLOOKUP(CONT_TEA[[#This Row],[StaffRoleCode]],ROLES[StaffRoleCode],ROLES[AvailableToAllSchools],1,0,)=TRUE,0,IF(ISERROR(FIND(CONT_TEA[[#This Row],[SchoolCode]],_xlfn.TEXTJOIN(",",TRUE,_xlfn.UNIQUE(IF(ROLES[StaffRoleCode]=CONT_TEA[[#This Row],[StaffRoleCode]],ROLES[SchoolCodes],""))))),1,0))</f>
        <v>0</v>
      </c>
      <c r="E11" s="57" cm="1">
        <f t="array" ref="E1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1" s="57" cm="1">
        <f t="array" ref="F11">IF(_xlfn.XLOOKUP(CONT_TEA[[#This Row],[PayScaleCode]],PAYSCALES[PayScaleCode],PAYSCALES[AvailableToAllSchools],1,0,)=TRUE,0,IF(ISERROR(FIND(CONT_TEA[[#This Row],[SchoolCode]],_xlfn.TEXTJOIN(",",TRUE,_xlfn.UNIQUE(IF(PAYSCALES[PayScaleCode]=CONT_TEA[[#This Row],[PayScaleCode]],PAYSCALES[SchoolCodes],""))))),1,0))</f>
        <v>0</v>
      </c>
      <c r="G11" s="57">
        <f>IF(_xlfn.XLOOKUP(CONT_TEA[[#This Row],[PayScaleGradeCode]],GRADES[PayScaleGradeCode],GRADES[AvailableToAllSchools])=TRUE,0,IFERROR(IF(FIND(CONT_TEA[[#This Row],[SchoolCode]],_xlfn.XLOOKUP(CONT_TEA[[#This Row],[PayScaleGradeCode]],GRADES[PayScaleGradeCode],GRADES[SchoolCodes]))&gt;=1,0,1),1))</f>
        <v>0</v>
      </c>
      <c r="H11" s="57">
        <f>IF(ISERROR(IF((_xlfn.XLOOKUP(CONT_TEA[[#This Row],[PayScaleGradeCode]],GRADES[PayScaleGradeCode],GRADES[PayScaleCode])=CONT_TEA[[#This Row],[PayScaleCode]]),0,1)),1,0)</f>
        <v>0</v>
      </c>
      <c r="I11" s="57" cm="1">
        <f t="array" ref="I11">IF(ISERROR(FIND(CONT_TEA[[#This Row],[PayScalePointCode]],_xlfn.TEXTJOIN(",",TRUE,IF(PSPOINTS[PayScaleCode]=CONT_TEA[[#This Row],[PayScaleCode]],PSPOINTS[PayScalePointCode])))),1,0)</f>
        <v>0</v>
      </c>
      <c r="J11" s="57" cm="1">
        <f t="array" ref="J1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1" s="57">
        <f>IF(_xlfn.XLOOKUP(CONT_TEA[[#This Row],[PayScalePointCode]],PSPOINTS[PayScalePointCode],PSPOINTS[PayScalePointEnabled])=TRUE,0,1)</f>
        <v>0</v>
      </c>
      <c r="L11" s="57" cm="1">
        <f t="array" ref="L11">IF(_xlfn.XLOOKUP(CONT_TEA[[#This Row],[DepartmentCode]],DEPTS[DepartmentCode],DEPTS[AvailableToAllSchools],1,0,)=TRUE,0,IF(ISERROR(FIND(CONT_TEA[[#This Row],[SchoolCode]],_xlfn.TEXTJOIN(",",TRUE,_xlfn.UNIQUE(IF(DEPTS[DepartmentCode]=CONT_TEA[[#This Row],[DepartmentCode]],DEPTS[SchoolCodes],""))))),1,0))</f>
        <v>0</v>
      </c>
      <c r="M11" s="57">
        <f>IFERROR(IF(_xlfn.XLOOKUP(CONT_TEA[[#This Row],[SRG Gross]],FinanceCodesBudget[FinanceCode],FinanceCodesBudget[LedgerCode])=_xlfn.XLOOKUP(CONT_TEA[[#This Row],[DepartmentCode]],DEPTS[DepartmentCode],DEPTS[LedgerCode]),0,1),1)</f>
        <v>1</v>
      </c>
      <c r="N11" s="57" cm="1">
        <f t="array" ref="N11">IF(_xlfn.XLOOKUP(CONT_TEA[[#This Row],[PensionCode]],PENS[PensionCode],PENS[AvailableToAllSchools],1,0,)=TRUE,0,IF(ISERROR(FIND(CONT_TEA[[#This Row],[SchoolCode]],_xlfn.TEXTJOIN(",",TRUE,_xlfn.UNIQUE(IF(PENS[PensionCode]=CONT_TEA[[#This Row],[PensionCode]],PENS[SchoolCodes],""))))),1,0))</f>
        <v>0</v>
      </c>
      <c r="O11" s="57" cm="1">
        <f t="array" ref="O11">IF(_xlfn.XLOOKUP(CONT_TEA[[#This Row],[EquatedWeekPatternCode]],EQW[EquatedWeekPatternCode],EQW[AvailableToAllSchools],1,0,)=TRUE,0,IF(ISERROR(FIND(CONT_TEA[[#This Row],[SchoolCode]],_xlfn.TEXTJOIN(",",TRUE,_xlfn.UNIQUE(IF(EQW[EquatedWeekPatternCode]=CONT_TEA[[#This Row],[EquatedWeekPatternCode]],EQW[SchoolCodes],""))))),1,0))</f>
        <v>0</v>
      </c>
      <c r="P11" s="57">
        <f>1-COUNTIF(ContractTypes[Code],CONT_TEA[[#This Row],[ContractTypeCode]])</f>
        <v>0</v>
      </c>
      <c r="Q11" s="57">
        <f>IF(VLOOKUP(CONT_TEA[[#This Row],[StaffMemberCode]],MEMBERS[[StaffMemberCode]:[ServiceStartDate]],5,0)&gt;CONT_TEA[[#This Row],[DateFrom]],1,0)</f>
        <v>0</v>
      </c>
      <c r="R11" s="57">
        <f>IF(_xlfn.XLOOKUP(CONT_TEA[[#This Row],[StaffMemberCode]],MEMBERS[StaffMemberCode],MEMBERS[ServiceEndDate])="",0,IF(CONT_TEA[[#This Row],[DateTo]]="",1,IF(_xlfn.XLOOKUP(CONT_TEA[[#This Row],[StaffMemberCode]],MEMBERS[StaffMemberCode],MEMBERS[ServiceEndDate])&lt;CONT_TEA[[#This Row],[DateTo]],1,0)))</f>
        <v>0</v>
      </c>
      <c r="S11" s="57">
        <f>IF(ISBLANK(CONT_TEA[[#This Row],[DateTo]]),0,IF(CONT_TEA[[#This Row],[DateFrom]]=CONT_TEA[[#This Row],[DateTo]],0,IF(CONT_TEA[[#This Row],[DateFrom]]&lt;CONT_TEA[[#This Row],[DateTo]],0,1)))</f>
        <v>0</v>
      </c>
      <c r="T11" s="57" cm="1">
        <f t="array" aca="1" ref="T11" ca="1">IF(CELL("format",CONT_TEA[[#This Row],[DateFrom]])="D1",0,1)+IF(CELL("format",CONT_TEA[[#This Row],[DateTo]])="D1",0,1)</f>
        <v>0</v>
      </c>
      <c r="U11" s="57">
        <f>IF(OR(CONT_TEA[[#This Row],[MatEditOnly]]=TRUE,CONT_TEA[[#This Row],[MatEditOnly]]=FALSE),IF(OR(CONT_TEA[[#This Row],[NoIncrement]]=TRUE,CONT_TEA[[#This Row],[NoIncrement]]=FALSE),0,1),1)</f>
        <v>0</v>
      </c>
      <c r="V11" s="57">
        <f>IF(ISBLANK(CONT_TEA[[#This Row],[FundCode]])=TRUE,0,IF(COUNTIF(FUNDS[FundCode],CONT_TEA[[#This Row],[FundCode]])=1,0,1))</f>
        <v>0</v>
      </c>
      <c r="W11" s="57">
        <f>IF(LEN(CONT_TEA[[#This Row],[Notes]])&lt;4000,0,1)</f>
        <v>0</v>
      </c>
      <c r="X11" s="57">
        <f>IF(SUBSTITUTE(TEXT(CONT_TEA[[#This Row],[Reference]],10)," ","")=TEXT(CONT_TEA[[#This Row],[Reference]],10),0,1)</f>
        <v>0</v>
      </c>
      <c r="Y11" s="57">
        <f ca="1">SUM(CONT_TEA[[#This Row],[Duplicate Contract]:[Space in Code]])</f>
        <v>1</v>
      </c>
      <c r="AA11" s="12" t="s">
        <v>2082</v>
      </c>
      <c r="AB11" s="15">
        <v>91073696</v>
      </c>
      <c r="AC11" s="12" t="s">
        <v>4360</v>
      </c>
      <c r="AD11" s="57" t="str">
        <f>_xlfn.XLOOKUP(CONT_TEA[[#This Row],[StaffMemberCode]],StaffMembers!O:O,StaffMembers!R:R)</f>
        <v>Sally Martin</v>
      </c>
      <c r="AE11" s="12" t="s">
        <v>1613</v>
      </c>
      <c r="AF11" s="57">
        <f>_xlfn.XLOOKUP(CONT_TEA[[#This Row],[SRG]],SRG[StaffRoleGroupCode],SRG[GrossSalaryFinanceCode])</f>
        <v>610100</v>
      </c>
      <c r="AG11" s="57" t="str">
        <f>_xlfn.XLOOKUP(CONT_TEA[[#This Row],[StaffRoleCode]],ROLES[StaffRoleCode],ROLES[StaffRoleGroupCode])</f>
        <v>LST</v>
      </c>
      <c r="AH11" s="57" t="str">
        <f>_xlfn.XLOOKUP(CONT_TEA[[#This Row],[StaffRoleCode]],ROLES[StaffRoleCode],ROLES[PayScaleCode])</f>
        <v>LS</v>
      </c>
      <c r="AI11" s="12" t="s">
        <v>3085</v>
      </c>
      <c r="AJ11" s="12" t="s">
        <v>1089</v>
      </c>
      <c r="AK11" s="12" t="s">
        <v>2499</v>
      </c>
      <c r="AM11" s="68" t="s">
        <v>1147</v>
      </c>
      <c r="AN11" s="13" t="s">
        <v>1702</v>
      </c>
      <c r="AO11" s="21">
        <v>45901</v>
      </c>
      <c r="AQ11" s="12">
        <v>1</v>
      </c>
      <c r="AR11" t="b">
        <v>0</v>
      </c>
      <c r="AS11" t="b">
        <v>0</v>
      </c>
      <c r="AT11" s="12" t="s">
        <v>1574</v>
      </c>
    </row>
    <row r="12" spans="1:47" x14ac:dyDescent="0.3">
      <c r="A12" s="57" t="str">
        <f t="shared" si="0"/>
        <v>ALS9107373791073737AAHTSTCH45901</v>
      </c>
      <c r="B12" s="57">
        <f>COUNTIF(CONT_TEA[Unique Contract],CONT_TEA[[#This Row],[Unique Contract]])-1</f>
        <v>0</v>
      </c>
      <c r="C12" s="57">
        <f>IFERROR(IF(FIND(CONT_TEA[[#This Row],[SchoolCode]],_xlfn.XLOOKUP(CONT_TEA[[#This Row],[StaffMemberCode]],MEMBERS[StaffMemberCode],MEMBERS[SchoolCodes]))&gt;0,0,1),1)</f>
        <v>0</v>
      </c>
      <c r="D12" s="57" cm="1">
        <f t="array" ref="D12">IF(_xlfn.XLOOKUP(CONT_TEA[[#This Row],[StaffRoleCode]],ROLES[StaffRoleCode],ROLES[AvailableToAllSchools],1,0,)=TRUE,0,IF(ISERROR(FIND(CONT_TEA[[#This Row],[SchoolCode]],_xlfn.TEXTJOIN(",",TRUE,_xlfn.UNIQUE(IF(ROLES[StaffRoleCode]=CONT_TEA[[#This Row],[StaffRoleCode]],ROLES[SchoolCodes],""))))),1,0))</f>
        <v>0</v>
      </c>
      <c r="E12" s="57" cm="1">
        <f t="array" ref="E1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2" s="57" cm="1">
        <f t="array" ref="F12">IF(_xlfn.XLOOKUP(CONT_TEA[[#This Row],[PayScaleCode]],PAYSCALES[PayScaleCode],PAYSCALES[AvailableToAllSchools],1,0,)=TRUE,0,IF(ISERROR(FIND(CONT_TEA[[#This Row],[SchoolCode]],_xlfn.TEXTJOIN(",",TRUE,_xlfn.UNIQUE(IF(PAYSCALES[PayScaleCode]=CONT_TEA[[#This Row],[PayScaleCode]],PAYSCALES[SchoolCodes],""))))),1,0))</f>
        <v>0</v>
      </c>
      <c r="G12" s="57">
        <f>IF(_xlfn.XLOOKUP(CONT_TEA[[#This Row],[PayScaleGradeCode]],GRADES[PayScaleGradeCode],GRADES[AvailableToAllSchools])=TRUE,0,IFERROR(IF(FIND(CONT_TEA[[#This Row],[SchoolCode]],_xlfn.XLOOKUP(CONT_TEA[[#This Row],[PayScaleGradeCode]],GRADES[PayScaleGradeCode],GRADES[SchoolCodes]))&gt;=1,0,1),1))</f>
        <v>0</v>
      </c>
      <c r="H12" s="57">
        <f>IF(ISERROR(IF((_xlfn.XLOOKUP(CONT_TEA[[#This Row],[PayScaleGradeCode]],GRADES[PayScaleGradeCode],GRADES[PayScaleCode])=CONT_TEA[[#This Row],[PayScaleCode]]),0,1)),1,0)</f>
        <v>0</v>
      </c>
      <c r="I12" s="57" cm="1">
        <f t="array" ref="I12">IF(ISERROR(FIND(CONT_TEA[[#This Row],[PayScalePointCode]],_xlfn.TEXTJOIN(",",TRUE,IF(PSPOINTS[PayScaleCode]=CONT_TEA[[#This Row],[PayScaleCode]],PSPOINTS[PayScalePointCode])))),1,0)</f>
        <v>0</v>
      </c>
      <c r="J12" s="57" cm="1">
        <f t="array" ref="J1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2" s="57">
        <f>IF(_xlfn.XLOOKUP(CONT_TEA[[#This Row],[PayScalePointCode]],PSPOINTS[PayScalePointCode],PSPOINTS[PayScalePointEnabled])=TRUE,0,1)</f>
        <v>0</v>
      </c>
      <c r="L12" s="57" cm="1">
        <f t="array" ref="L12">IF(_xlfn.XLOOKUP(CONT_TEA[[#This Row],[DepartmentCode]],DEPTS[DepartmentCode],DEPTS[AvailableToAllSchools],1,0,)=TRUE,0,IF(ISERROR(FIND(CONT_TEA[[#This Row],[SchoolCode]],_xlfn.TEXTJOIN(",",TRUE,_xlfn.UNIQUE(IF(DEPTS[DepartmentCode]=CONT_TEA[[#This Row],[DepartmentCode]],DEPTS[SchoolCodes],""))))),1,0))</f>
        <v>0</v>
      </c>
      <c r="M12" s="57">
        <f>IFERROR(IF(_xlfn.XLOOKUP(CONT_TEA[[#This Row],[SRG Gross]],FinanceCodesBudget[FinanceCode],FinanceCodesBudget[LedgerCode])=_xlfn.XLOOKUP(CONT_TEA[[#This Row],[DepartmentCode]],DEPTS[DepartmentCode],DEPTS[LedgerCode]),0,1),1)</f>
        <v>1</v>
      </c>
      <c r="N12" s="57" cm="1">
        <f t="array" ref="N12">IF(_xlfn.XLOOKUP(CONT_TEA[[#This Row],[PensionCode]],PENS[PensionCode],PENS[AvailableToAllSchools],1,0,)=TRUE,0,IF(ISERROR(FIND(CONT_TEA[[#This Row],[SchoolCode]],_xlfn.TEXTJOIN(",",TRUE,_xlfn.UNIQUE(IF(PENS[PensionCode]=CONT_TEA[[#This Row],[PensionCode]],PENS[SchoolCodes],""))))),1,0))</f>
        <v>0</v>
      </c>
      <c r="O12" s="57" cm="1">
        <f t="array" ref="O12">IF(_xlfn.XLOOKUP(CONT_TEA[[#This Row],[EquatedWeekPatternCode]],EQW[EquatedWeekPatternCode],EQW[AvailableToAllSchools],1,0,)=TRUE,0,IF(ISERROR(FIND(CONT_TEA[[#This Row],[SchoolCode]],_xlfn.TEXTJOIN(",",TRUE,_xlfn.UNIQUE(IF(EQW[EquatedWeekPatternCode]=CONT_TEA[[#This Row],[EquatedWeekPatternCode]],EQW[SchoolCodes],""))))),1,0))</f>
        <v>0</v>
      </c>
      <c r="P12" s="57">
        <f>1-COUNTIF(ContractTypes[Code],CONT_TEA[[#This Row],[ContractTypeCode]])</f>
        <v>0</v>
      </c>
      <c r="Q12" s="57">
        <f>IF(VLOOKUP(CONT_TEA[[#This Row],[StaffMemberCode]],MEMBERS[[StaffMemberCode]:[ServiceStartDate]],5,0)&gt;CONT_TEA[[#This Row],[DateFrom]],1,0)</f>
        <v>0</v>
      </c>
      <c r="R12" s="57">
        <f>IF(_xlfn.XLOOKUP(CONT_TEA[[#This Row],[StaffMemberCode]],MEMBERS[StaffMemberCode],MEMBERS[ServiceEndDate])="",0,IF(CONT_TEA[[#This Row],[DateTo]]="",1,IF(_xlfn.XLOOKUP(CONT_TEA[[#This Row],[StaffMemberCode]],MEMBERS[StaffMemberCode],MEMBERS[ServiceEndDate])&lt;CONT_TEA[[#This Row],[DateTo]],1,0)))</f>
        <v>0</v>
      </c>
      <c r="S12" s="57">
        <f>IF(ISBLANK(CONT_TEA[[#This Row],[DateTo]]),0,IF(CONT_TEA[[#This Row],[DateFrom]]=CONT_TEA[[#This Row],[DateTo]],0,IF(CONT_TEA[[#This Row],[DateFrom]]&lt;CONT_TEA[[#This Row],[DateTo]],0,1)))</f>
        <v>0</v>
      </c>
      <c r="T12" s="57" cm="1">
        <f t="array" aca="1" ref="T12" ca="1">IF(CELL("format",CONT_TEA[[#This Row],[DateFrom]])="D1",0,1)+IF(CELL("format",CONT_TEA[[#This Row],[DateTo]])="D1",0,1)</f>
        <v>0</v>
      </c>
      <c r="U12" s="57">
        <f>IF(OR(CONT_TEA[[#This Row],[MatEditOnly]]=TRUE,CONT_TEA[[#This Row],[MatEditOnly]]=FALSE),IF(OR(CONT_TEA[[#This Row],[NoIncrement]]=TRUE,CONT_TEA[[#This Row],[NoIncrement]]=FALSE),0,1),1)</f>
        <v>0</v>
      </c>
      <c r="V12" s="57">
        <f>IF(ISBLANK(CONT_TEA[[#This Row],[FundCode]])=TRUE,0,IF(COUNTIF(FUNDS[FundCode],CONT_TEA[[#This Row],[FundCode]])=1,0,1))</f>
        <v>0</v>
      </c>
      <c r="W12" s="57">
        <f>IF(LEN(CONT_TEA[[#This Row],[Notes]])&lt;4000,0,1)</f>
        <v>0</v>
      </c>
      <c r="X12" s="57">
        <f>IF(SUBSTITUTE(TEXT(CONT_TEA[[#This Row],[Reference]],10)," ","")=TEXT(CONT_TEA[[#This Row],[Reference]],10),0,1)</f>
        <v>0</v>
      </c>
      <c r="Y12" s="57">
        <f ca="1">SUM(CONT_TEA[[#This Row],[Duplicate Contract]:[Space in Code]])</f>
        <v>1</v>
      </c>
      <c r="AA12" s="12" t="s">
        <v>2082</v>
      </c>
      <c r="AB12" s="15">
        <v>91073737</v>
      </c>
      <c r="AC12" s="12" t="s">
        <v>4361</v>
      </c>
      <c r="AD12" s="57" t="str">
        <f>_xlfn.XLOOKUP(CONT_TEA[[#This Row],[StaffMemberCode]],StaffMembers!O:O,StaffMembers!R:R)</f>
        <v>Steven Rubin</v>
      </c>
      <c r="AE12" s="12" t="s">
        <v>1613</v>
      </c>
      <c r="AF12" s="57">
        <f>_xlfn.XLOOKUP(CONT_TEA[[#This Row],[SRG]],SRG[StaffRoleGroupCode],SRG[GrossSalaryFinanceCode])</f>
        <v>610100</v>
      </c>
      <c r="AG12" s="57" t="str">
        <f>_xlfn.XLOOKUP(CONT_TEA[[#This Row],[StaffRoleCode]],ROLES[StaffRoleCode],ROLES[StaffRoleGroupCode])</f>
        <v>LST</v>
      </c>
      <c r="AH12" s="57" t="str">
        <f>_xlfn.XLOOKUP(CONT_TEA[[#This Row],[StaffRoleCode]],ROLES[StaffRoleCode],ROLES[PayScaleCode])</f>
        <v>LS</v>
      </c>
      <c r="AI12" s="12" t="s">
        <v>3085</v>
      </c>
      <c r="AJ12" s="12" t="s">
        <v>1090</v>
      </c>
      <c r="AK12" s="12" t="s">
        <v>2499</v>
      </c>
      <c r="AM12" s="68" t="s">
        <v>1147</v>
      </c>
      <c r="AN12" s="13" t="s">
        <v>1702</v>
      </c>
      <c r="AO12" s="21">
        <v>45901</v>
      </c>
      <c r="AQ12" s="12">
        <v>1</v>
      </c>
      <c r="AR12" t="b">
        <v>0</v>
      </c>
      <c r="AS12" t="b">
        <v>0</v>
      </c>
      <c r="AT12" s="12" t="s">
        <v>1574</v>
      </c>
    </row>
    <row r="13" spans="1:47" x14ac:dyDescent="0.3">
      <c r="A13" s="57" t="str">
        <f t="shared" si="0"/>
        <v>WVP9107340291073402AAHTSTCH45901</v>
      </c>
      <c r="B13" s="57">
        <f>COUNTIF(CONT_TEA[Unique Contract],CONT_TEA[[#This Row],[Unique Contract]])-1</f>
        <v>0</v>
      </c>
      <c r="C13" s="57">
        <f>IFERROR(IF(FIND(CONT_TEA[[#This Row],[SchoolCode]],_xlfn.XLOOKUP(CONT_TEA[[#This Row],[StaffMemberCode]],MEMBERS[StaffMemberCode],MEMBERS[SchoolCodes]))&gt;0,0,1),1)</f>
        <v>0</v>
      </c>
      <c r="D13" s="57" cm="1">
        <f t="array" ref="D13">IF(_xlfn.XLOOKUP(CONT_TEA[[#This Row],[StaffRoleCode]],ROLES[StaffRoleCode],ROLES[AvailableToAllSchools],1,0,)=TRUE,0,IF(ISERROR(FIND(CONT_TEA[[#This Row],[SchoolCode]],_xlfn.TEXTJOIN(",",TRUE,_xlfn.UNIQUE(IF(ROLES[StaffRoleCode]=CONT_TEA[[#This Row],[StaffRoleCode]],ROLES[SchoolCodes],""))))),1,0))</f>
        <v>0</v>
      </c>
      <c r="E13" s="57" cm="1">
        <f t="array" ref="E1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3" s="57" cm="1">
        <f t="array" ref="F13">IF(_xlfn.XLOOKUP(CONT_TEA[[#This Row],[PayScaleCode]],PAYSCALES[PayScaleCode],PAYSCALES[AvailableToAllSchools],1,0,)=TRUE,0,IF(ISERROR(FIND(CONT_TEA[[#This Row],[SchoolCode]],_xlfn.TEXTJOIN(",",TRUE,_xlfn.UNIQUE(IF(PAYSCALES[PayScaleCode]=CONT_TEA[[#This Row],[PayScaleCode]],PAYSCALES[SchoolCodes],""))))),1,0))</f>
        <v>0</v>
      </c>
      <c r="G13" s="57">
        <f>IF(_xlfn.XLOOKUP(CONT_TEA[[#This Row],[PayScaleGradeCode]],GRADES[PayScaleGradeCode],GRADES[AvailableToAllSchools])=TRUE,0,IFERROR(IF(FIND(CONT_TEA[[#This Row],[SchoolCode]],_xlfn.XLOOKUP(CONT_TEA[[#This Row],[PayScaleGradeCode]],GRADES[PayScaleGradeCode],GRADES[SchoolCodes]))&gt;=1,0,1),1))</f>
        <v>0</v>
      </c>
      <c r="H13" s="57">
        <f>IF(ISERROR(IF((_xlfn.XLOOKUP(CONT_TEA[[#This Row],[PayScaleGradeCode]],GRADES[PayScaleGradeCode],GRADES[PayScaleCode])=CONT_TEA[[#This Row],[PayScaleCode]]),0,1)),1,0)</f>
        <v>0</v>
      </c>
      <c r="I13" s="57" cm="1">
        <f t="array" ref="I13">IF(ISERROR(FIND(CONT_TEA[[#This Row],[PayScalePointCode]],_xlfn.TEXTJOIN(",",TRUE,IF(PSPOINTS[PayScaleCode]=CONT_TEA[[#This Row],[PayScaleCode]],PSPOINTS[PayScalePointCode])))),1,0)</f>
        <v>0</v>
      </c>
      <c r="J13" s="57" cm="1">
        <f t="array" ref="J1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3" s="57">
        <f>IF(_xlfn.XLOOKUP(CONT_TEA[[#This Row],[PayScalePointCode]],PSPOINTS[PayScalePointCode],PSPOINTS[PayScalePointEnabled])=TRUE,0,1)</f>
        <v>0</v>
      </c>
      <c r="L13" s="57" cm="1">
        <f t="array" ref="L13">IF(_xlfn.XLOOKUP(CONT_TEA[[#This Row],[DepartmentCode]],DEPTS[DepartmentCode],DEPTS[AvailableToAllSchools],1,0,)=TRUE,0,IF(ISERROR(FIND(CONT_TEA[[#This Row],[SchoolCode]],_xlfn.TEXTJOIN(",",TRUE,_xlfn.UNIQUE(IF(DEPTS[DepartmentCode]=CONT_TEA[[#This Row],[DepartmentCode]],DEPTS[SchoolCodes],""))))),1,0))</f>
        <v>0</v>
      </c>
      <c r="M13" s="57">
        <f>IFERROR(IF(_xlfn.XLOOKUP(CONT_TEA[[#This Row],[SRG Gross]],FinanceCodesBudget[FinanceCode],FinanceCodesBudget[LedgerCode])=_xlfn.XLOOKUP(CONT_TEA[[#This Row],[DepartmentCode]],DEPTS[DepartmentCode],DEPTS[LedgerCode]),0,1),1)</f>
        <v>1</v>
      </c>
      <c r="N13" s="57" cm="1">
        <f t="array" ref="N13">IF(_xlfn.XLOOKUP(CONT_TEA[[#This Row],[PensionCode]],PENS[PensionCode],PENS[AvailableToAllSchools],1,0,)=TRUE,0,IF(ISERROR(FIND(CONT_TEA[[#This Row],[SchoolCode]],_xlfn.TEXTJOIN(",",TRUE,_xlfn.UNIQUE(IF(PENS[PensionCode]=CONT_TEA[[#This Row],[PensionCode]],PENS[SchoolCodes],""))))),1,0))</f>
        <v>0</v>
      </c>
      <c r="O13" s="57" cm="1">
        <f t="array" ref="O13">IF(_xlfn.XLOOKUP(CONT_TEA[[#This Row],[EquatedWeekPatternCode]],EQW[EquatedWeekPatternCode],EQW[AvailableToAllSchools],1,0,)=TRUE,0,IF(ISERROR(FIND(CONT_TEA[[#This Row],[SchoolCode]],_xlfn.TEXTJOIN(",",TRUE,_xlfn.UNIQUE(IF(EQW[EquatedWeekPatternCode]=CONT_TEA[[#This Row],[EquatedWeekPatternCode]],EQW[SchoolCodes],""))))),1,0))</f>
        <v>0</v>
      </c>
      <c r="P13" s="57">
        <f>1-COUNTIF(ContractTypes[Code],CONT_TEA[[#This Row],[ContractTypeCode]])</f>
        <v>0</v>
      </c>
      <c r="Q13" s="57">
        <f>IF(VLOOKUP(CONT_TEA[[#This Row],[StaffMemberCode]],MEMBERS[[StaffMemberCode]:[ServiceStartDate]],5,0)&gt;CONT_TEA[[#This Row],[DateFrom]],1,0)</f>
        <v>0</v>
      </c>
      <c r="R13" s="57">
        <f>IF(_xlfn.XLOOKUP(CONT_TEA[[#This Row],[StaffMemberCode]],MEMBERS[StaffMemberCode],MEMBERS[ServiceEndDate])="",0,IF(CONT_TEA[[#This Row],[DateTo]]="",1,IF(_xlfn.XLOOKUP(CONT_TEA[[#This Row],[StaffMemberCode]],MEMBERS[StaffMemberCode],MEMBERS[ServiceEndDate])&lt;CONT_TEA[[#This Row],[DateTo]],1,0)))</f>
        <v>0</v>
      </c>
      <c r="S13" s="57">
        <f>IF(ISBLANK(CONT_TEA[[#This Row],[DateTo]]),0,IF(CONT_TEA[[#This Row],[DateFrom]]=CONT_TEA[[#This Row],[DateTo]],0,IF(CONT_TEA[[#This Row],[DateFrom]]&lt;CONT_TEA[[#This Row],[DateTo]],0,1)))</f>
        <v>0</v>
      </c>
      <c r="T13" s="57" cm="1">
        <f t="array" aca="1" ref="T13" ca="1">IF(CELL("format",CONT_TEA[[#This Row],[DateFrom]])="D1",0,1)+IF(CELL("format",CONT_TEA[[#This Row],[DateTo]])="D1",0,1)</f>
        <v>0</v>
      </c>
      <c r="U13" s="57">
        <f>IF(OR(CONT_TEA[[#This Row],[MatEditOnly]]=TRUE,CONT_TEA[[#This Row],[MatEditOnly]]=FALSE),IF(OR(CONT_TEA[[#This Row],[NoIncrement]]=TRUE,CONT_TEA[[#This Row],[NoIncrement]]=FALSE),0,1),1)</f>
        <v>0</v>
      </c>
      <c r="V13" s="57">
        <f>IF(ISBLANK(CONT_TEA[[#This Row],[FundCode]])=TRUE,0,IF(COUNTIF(FUNDS[FundCode],CONT_TEA[[#This Row],[FundCode]])=1,0,1))</f>
        <v>0</v>
      </c>
      <c r="W13" s="57">
        <f>IF(LEN(CONT_TEA[[#This Row],[Notes]])&lt;4000,0,1)</f>
        <v>0</v>
      </c>
      <c r="X13" s="57">
        <f>IF(SUBSTITUTE(TEXT(CONT_TEA[[#This Row],[Reference]],10)," ","")=TEXT(CONT_TEA[[#This Row],[Reference]],10),0,1)</f>
        <v>0</v>
      </c>
      <c r="Y13" s="57">
        <f ca="1">SUM(CONT_TEA[[#This Row],[Duplicate Contract]:[Space in Code]])</f>
        <v>1</v>
      </c>
      <c r="AA13" s="12" t="s">
        <v>2275</v>
      </c>
      <c r="AB13" s="15">
        <v>91073402</v>
      </c>
      <c r="AC13" s="12" t="s">
        <v>4362</v>
      </c>
      <c r="AD13" s="57" t="str">
        <f>_xlfn.XLOOKUP(CONT_TEA[[#This Row],[StaffMemberCode]],StaffMembers!O:O,StaffMembers!R:R)</f>
        <v>Terri Lawton</v>
      </c>
      <c r="AE13" s="12" t="s">
        <v>1613</v>
      </c>
      <c r="AF13" s="57">
        <f>_xlfn.XLOOKUP(CONT_TEA[[#This Row],[SRG]],SRG[StaffRoleGroupCode],SRG[GrossSalaryFinanceCode])</f>
        <v>610100</v>
      </c>
      <c r="AG13" s="57" t="str">
        <f>_xlfn.XLOOKUP(CONT_TEA[[#This Row],[StaffRoleCode]],ROLES[StaffRoleCode],ROLES[StaffRoleGroupCode])</f>
        <v>LST</v>
      </c>
      <c r="AH13" s="57" t="str">
        <f>_xlfn.XLOOKUP(CONT_TEA[[#This Row],[StaffRoleCode]],ROLES[StaffRoleCode],ROLES[PayScaleCode])</f>
        <v>LS</v>
      </c>
      <c r="AI13" s="12" t="s">
        <v>3092</v>
      </c>
      <c r="AJ13" s="12" t="s">
        <v>1082</v>
      </c>
      <c r="AK13" s="12" t="s">
        <v>2499</v>
      </c>
      <c r="AM13" s="68" t="s">
        <v>1147</v>
      </c>
      <c r="AN13" s="13" t="s">
        <v>1702</v>
      </c>
      <c r="AO13" s="21">
        <v>45901</v>
      </c>
      <c r="AQ13" s="12">
        <v>1</v>
      </c>
      <c r="AR13" t="b">
        <v>0</v>
      </c>
      <c r="AS13" t="b">
        <v>0</v>
      </c>
      <c r="AT13" s="12" t="s">
        <v>1574</v>
      </c>
    </row>
    <row r="14" spans="1:47" x14ac:dyDescent="0.3">
      <c r="A14" s="57" t="str">
        <f t="shared" si="0"/>
        <v>MAT9107390791073907ACEOHUBLMT45901</v>
      </c>
      <c r="B14" s="57">
        <f>COUNTIF(CONT_TEA[Unique Contract],CONT_TEA[[#This Row],[Unique Contract]])-1</f>
        <v>0</v>
      </c>
      <c r="C14" s="57">
        <f>IFERROR(IF(FIND(CONT_TEA[[#This Row],[SchoolCode]],_xlfn.XLOOKUP(CONT_TEA[[#This Row],[StaffMemberCode]],MEMBERS[StaffMemberCode],MEMBERS[SchoolCodes]))&gt;0,0,1),1)</f>
        <v>0</v>
      </c>
      <c r="D14" s="57" cm="1">
        <f t="array" ref="D14">IF(_xlfn.XLOOKUP(CONT_TEA[[#This Row],[StaffRoleCode]],ROLES[StaffRoleCode],ROLES[AvailableToAllSchools],1,0,)=TRUE,0,IF(ISERROR(FIND(CONT_TEA[[#This Row],[SchoolCode]],_xlfn.TEXTJOIN(",",TRUE,_xlfn.UNIQUE(IF(ROLES[StaffRoleCode]=CONT_TEA[[#This Row],[StaffRoleCode]],ROLES[SchoolCodes],""))))),1,0))</f>
        <v>0</v>
      </c>
      <c r="E14" s="57" cm="1">
        <f t="array" ref="E1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4" s="57" cm="1">
        <f t="array" ref="F14">IF(_xlfn.XLOOKUP(CONT_TEA[[#This Row],[PayScaleCode]],PAYSCALES[PayScaleCode],PAYSCALES[AvailableToAllSchools],1,0,)=TRUE,0,IF(ISERROR(FIND(CONT_TEA[[#This Row],[SchoolCode]],_xlfn.TEXTJOIN(",",TRUE,_xlfn.UNIQUE(IF(PAYSCALES[PayScaleCode]=CONT_TEA[[#This Row],[PayScaleCode]],PAYSCALES[SchoolCodes],""))))),1,0))</f>
        <v>0</v>
      </c>
      <c r="G14" s="57">
        <f>IF(_xlfn.XLOOKUP(CONT_TEA[[#This Row],[PayScaleGradeCode]],GRADES[PayScaleGradeCode],GRADES[AvailableToAllSchools])=TRUE,0,IFERROR(IF(FIND(CONT_TEA[[#This Row],[SchoolCode]],_xlfn.XLOOKUP(CONT_TEA[[#This Row],[PayScaleGradeCode]],GRADES[PayScaleGradeCode],GRADES[SchoolCodes]))&gt;=1,0,1),1))</f>
        <v>0</v>
      </c>
      <c r="H14" s="57">
        <f>IF(ISERROR(IF((_xlfn.XLOOKUP(CONT_TEA[[#This Row],[PayScaleGradeCode]],GRADES[PayScaleGradeCode],GRADES[PayScaleCode])=CONT_TEA[[#This Row],[PayScaleCode]]),0,1)),1,0)</f>
        <v>0</v>
      </c>
      <c r="I14" s="57" cm="1">
        <f t="array" ref="I14">IF(ISERROR(FIND(CONT_TEA[[#This Row],[PayScalePointCode]],_xlfn.TEXTJOIN(",",TRUE,IF(PSPOINTS[PayScaleCode]=CONT_TEA[[#This Row],[PayScaleCode]],PSPOINTS[PayScalePointCode])))),1,0)</f>
        <v>0</v>
      </c>
      <c r="J14" s="57" cm="1">
        <f t="array" ref="J1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4" s="57">
        <f>IF(_xlfn.XLOOKUP(CONT_TEA[[#This Row],[PayScalePointCode]],PSPOINTS[PayScalePointCode],PSPOINTS[PayScalePointEnabled])=TRUE,0,1)</f>
        <v>0</v>
      </c>
      <c r="L14" s="57" cm="1">
        <f t="array" ref="L14">IF(_xlfn.XLOOKUP(CONT_TEA[[#This Row],[DepartmentCode]],DEPTS[DepartmentCode],DEPTS[AvailableToAllSchools],1,0,)=TRUE,0,IF(ISERROR(FIND(CONT_TEA[[#This Row],[SchoolCode]],_xlfn.TEXTJOIN(",",TRUE,_xlfn.UNIQUE(IF(DEPTS[DepartmentCode]=CONT_TEA[[#This Row],[DepartmentCode]],DEPTS[SchoolCodes],""))))),1,0))</f>
        <v>0</v>
      </c>
      <c r="M14" s="57">
        <f>IFERROR(IF(_xlfn.XLOOKUP(CONT_TEA[[#This Row],[SRG Gross]],FinanceCodesBudget[FinanceCode],FinanceCodesBudget[LedgerCode])=_xlfn.XLOOKUP(CONT_TEA[[#This Row],[DepartmentCode]],DEPTS[DepartmentCode],DEPTS[LedgerCode]),0,1),1)</f>
        <v>0</v>
      </c>
      <c r="N14" s="57" cm="1">
        <f t="array" ref="N14">IF(_xlfn.XLOOKUP(CONT_TEA[[#This Row],[PensionCode]],PENS[PensionCode],PENS[AvailableToAllSchools],1,0,)=TRUE,0,IF(ISERROR(FIND(CONT_TEA[[#This Row],[SchoolCode]],_xlfn.TEXTJOIN(",",TRUE,_xlfn.UNIQUE(IF(PENS[PensionCode]=CONT_TEA[[#This Row],[PensionCode]],PENS[SchoolCodes],""))))),1,0))</f>
        <v>0</v>
      </c>
      <c r="O14" s="57" cm="1">
        <f t="array" ref="O14">IF(_xlfn.XLOOKUP(CONT_TEA[[#This Row],[EquatedWeekPatternCode]],EQW[EquatedWeekPatternCode],EQW[AvailableToAllSchools],1,0,)=TRUE,0,IF(ISERROR(FIND(CONT_TEA[[#This Row],[SchoolCode]],_xlfn.TEXTJOIN(",",TRUE,_xlfn.UNIQUE(IF(EQW[EquatedWeekPatternCode]=CONT_TEA[[#This Row],[EquatedWeekPatternCode]],EQW[SchoolCodes],""))))),1,0))</f>
        <v>0</v>
      </c>
      <c r="P14" s="57">
        <f>1-COUNTIF(ContractTypes[Code],CONT_TEA[[#This Row],[ContractTypeCode]])</f>
        <v>0</v>
      </c>
      <c r="Q14" s="57">
        <f>IF(VLOOKUP(CONT_TEA[[#This Row],[StaffMemberCode]],MEMBERS[[StaffMemberCode]:[ServiceStartDate]],5,0)&gt;CONT_TEA[[#This Row],[DateFrom]],1,0)</f>
        <v>0</v>
      </c>
      <c r="R14" s="57">
        <f>IF(_xlfn.XLOOKUP(CONT_TEA[[#This Row],[StaffMemberCode]],MEMBERS[StaffMemberCode],MEMBERS[ServiceEndDate])="",0,IF(CONT_TEA[[#This Row],[DateTo]]="",1,IF(_xlfn.XLOOKUP(CONT_TEA[[#This Row],[StaffMemberCode]],MEMBERS[StaffMemberCode],MEMBERS[ServiceEndDate])&lt;CONT_TEA[[#This Row],[DateTo]],1,0)))</f>
        <v>0</v>
      </c>
      <c r="S14" s="57">
        <f>IF(ISBLANK(CONT_TEA[[#This Row],[DateTo]]),0,IF(CONT_TEA[[#This Row],[DateFrom]]=CONT_TEA[[#This Row],[DateTo]],0,IF(CONT_TEA[[#This Row],[DateFrom]]&lt;CONT_TEA[[#This Row],[DateTo]],0,1)))</f>
        <v>0</v>
      </c>
      <c r="T14" s="57" cm="1">
        <f t="array" aca="1" ref="T14" ca="1">IF(CELL("format",CONT_TEA[[#This Row],[DateFrom]])="D1",0,1)+IF(CELL("format",CONT_TEA[[#This Row],[DateTo]])="D1",0,1)</f>
        <v>0</v>
      </c>
      <c r="U14" s="57">
        <f>IF(OR(CONT_TEA[[#This Row],[MatEditOnly]]=TRUE,CONT_TEA[[#This Row],[MatEditOnly]]=FALSE),IF(OR(CONT_TEA[[#This Row],[NoIncrement]]=TRUE,CONT_TEA[[#This Row],[NoIncrement]]=FALSE),0,1),1)</f>
        <v>0</v>
      </c>
      <c r="V14" s="57">
        <f>IF(ISBLANK(CONT_TEA[[#This Row],[FundCode]])=TRUE,0,IF(COUNTIF(FUNDS[FundCode],CONT_TEA[[#This Row],[FundCode]])=1,0,1))</f>
        <v>0</v>
      </c>
      <c r="W14" s="57">
        <f>IF(LEN(CONT_TEA[[#This Row],[Notes]])&lt;4000,0,1)</f>
        <v>0</v>
      </c>
      <c r="X14" s="57">
        <f>IF(SUBSTITUTE(TEXT(CONT_TEA[[#This Row],[Reference]],10)," ","")=TEXT(CONT_TEA[[#This Row],[Reference]],10),0,1)</f>
        <v>0</v>
      </c>
      <c r="Y14" s="57">
        <f ca="1">SUM(CONT_TEA[[#This Row],[Duplicate Contract]:[Space in Code]])</f>
        <v>0</v>
      </c>
      <c r="AA14" s="12" t="s">
        <v>51</v>
      </c>
      <c r="AB14" s="15">
        <v>91073907</v>
      </c>
      <c r="AC14" s="12" t="s">
        <v>4363</v>
      </c>
      <c r="AD14" s="57" t="str">
        <f>_xlfn.XLOOKUP(CONT_TEA[[#This Row],[StaffMemberCode]],StaffMembers!O:O,StaffMembers!R:R)</f>
        <v>Richard Middlebrook</v>
      </c>
      <c r="AE14" s="12" t="s">
        <v>1220</v>
      </c>
      <c r="AF14" s="57">
        <f>_xlfn.XLOOKUP(CONT_TEA[[#This Row],[SRG]],SRG[StaffRoleGroupCode],SRG[GrossSalaryFinanceCode])</f>
        <v>610100</v>
      </c>
      <c r="AG14" s="57" t="str">
        <f>_xlfn.XLOOKUP(CONT_TEA[[#This Row],[StaffRoleCode]],ROLES[StaffRoleCode],ROLES[StaffRoleGroupCode])</f>
        <v>LST</v>
      </c>
      <c r="AH14" s="57" t="str">
        <f>_xlfn.XLOOKUP(CONT_TEA[[#This Row],[StaffRoleCode]],ROLES[StaffRoleCode],ROLES[PayScaleCode])</f>
        <v>CEO</v>
      </c>
      <c r="AI14" s="12" t="s">
        <v>1220</v>
      </c>
      <c r="AJ14" s="12" t="s">
        <v>1075</v>
      </c>
      <c r="AK14" s="12" t="s">
        <v>2406</v>
      </c>
      <c r="AM14" s="68" t="s">
        <v>1147</v>
      </c>
      <c r="AN14" s="13" t="s">
        <v>1702</v>
      </c>
      <c r="AO14" s="21">
        <v>45901</v>
      </c>
      <c r="AQ14" s="12">
        <v>1</v>
      </c>
      <c r="AR14" t="b">
        <v>0</v>
      </c>
      <c r="AS14" t="b">
        <v>0</v>
      </c>
      <c r="AT14" s="12" t="s">
        <v>1574</v>
      </c>
    </row>
    <row r="15" spans="1:47" x14ac:dyDescent="0.3">
      <c r="A15" s="57" t="str">
        <f t="shared" si="0"/>
        <v>PTP9107365091073650BDHTSTCH45901</v>
      </c>
      <c r="B15" s="57">
        <f>COUNTIF(CONT_TEA[Unique Contract],CONT_TEA[[#This Row],[Unique Contract]])-1</f>
        <v>0</v>
      </c>
      <c r="C15" s="57">
        <f>IFERROR(IF(FIND(CONT_TEA[[#This Row],[SchoolCode]],_xlfn.XLOOKUP(CONT_TEA[[#This Row],[StaffMemberCode]],MEMBERS[StaffMemberCode],MEMBERS[SchoolCodes]))&gt;0,0,1),1)</f>
        <v>0</v>
      </c>
      <c r="D15" s="57" cm="1">
        <f t="array" ref="D15">IF(_xlfn.XLOOKUP(CONT_TEA[[#This Row],[StaffRoleCode]],ROLES[StaffRoleCode],ROLES[AvailableToAllSchools],1,0,)=TRUE,0,IF(ISERROR(FIND(CONT_TEA[[#This Row],[SchoolCode]],_xlfn.TEXTJOIN(",",TRUE,_xlfn.UNIQUE(IF(ROLES[StaffRoleCode]=CONT_TEA[[#This Row],[StaffRoleCode]],ROLES[SchoolCodes],""))))),1,0))</f>
        <v>0</v>
      </c>
      <c r="E15" s="57" cm="1">
        <f t="array" ref="E1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5" s="57" cm="1">
        <f t="array" ref="F15">IF(_xlfn.XLOOKUP(CONT_TEA[[#This Row],[PayScaleCode]],PAYSCALES[PayScaleCode],PAYSCALES[AvailableToAllSchools],1,0,)=TRUE,0,IF(ISERROR(FIND(CONT_TEA[[#This Row],[SchoolCode]],_xlfn.TEXTJOIN(",",TRUE,_xlfn.UNIQUE(IF(PAYSCALES[PayScaleCode]=CONT_TEA[[#This Row],[PayScaleCode]],PAYSCALES[SchoolCodes],""))))),1,0))</f>
        <v>0</v>
      </c>
      <c r="G15" s="57">
        <f>IF(_xlfn.XLOOKUP(CONT_TEA[[#This Row],[PayScaleGradeCode]],GRADES[PayScaleGradeCode],GRADES[AvailableToAllSchools])=TRUE,0,IFERROR(IF(FIND(CONT_TEA[[#This Row],[SchoolCode]],_xlfn.XLOOKUP(CONT_TEA[[#This Row],[PayScaleGradeCode]],GRADES[PayScaleGradeCode],GRADES[SchoolCodes]))&gt;=1,0,1),1))</f>
        <v>0</v>
      </c>
      <c r="H15" s="57">
        <f>IF(ISERROR(IF((_xlfn.XLOOKUP(CONT_TEA[[#This Row],[PayScaleGradeCode]],GRADES[PayScaleGradeCode],GRADES[PayScaleCode])=CONT_TEA[[#This Row],[PayScaleCode]]),0,1)),1,0)</f>
        <v>0</v>
      </c>
      <c r="I15" s="57" cm="1">
        <f t="array" ref="I15">IF(ISERROR(FIND(CONT_TEA[[#This Row],[PayScalePointCode]],_xlfn.TEXTJOIN(",",TRUE,IF(PSPOINTS[PayScaleCode]=CONT_TEA[[#This Row],[PayScaleCode]],PSPOINTS[PayScalePointCode])))),1,0)</f>
        <v>0</v>
      </c>
      <c r="J15" s="57" cm="1">
        <f t="array" ref="J1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5" s="57">
        <f>IF(_xlfn.XLOOKUP(CONT_TEA[[#This Row],[PayScalePointCode]],PSPOINTS[PayScalePointCode],PSPOINTS[PayScalePointEnabled])=TRUE,0,1)</f>
        <v>0</v>
      </c>
      <c r="L15" s="57" cm="1">
        <f t="array" ref="L15">IF(_xlfn.XLOOKUP(CONT_TEA[[#This Row],[DepartmentCode]],DEPTS[DepartmentCode],DEPTS[AvailableToAllSchools],1,0,)=TRUE,0,IF(ISERROR(FIND(CONT_TEA[[#This Row],[SchoolCode]],_xlfn.TEXTJOIN(",",TRUE,_xlfn.UNIQUE(IF(DEPTS[DepartmentCode]=CONT_TEA[[#This Row],[DepartmentCode]],DEPTS[SchoolCodes],""))))),1,0))</f>
        <v>0</v>
      </c>
      <c r="M15" s="57">
        <f>IFERROR(IF(_xlfn.XLOOKUP(CONT_TEA[[#This Row],[SRG Gross]],FinanceCodesBudget[FinanceCode],FinanceCodesBudget[LedgerCode])=_xlfn.XLOOKUP(CONT_TEA[[#This Row],[DepartmentCode]],DEPTS[DepartmentCode],DEPTS[LedgerCode]),0,1),1)</f>
        <v>1</v>
      </c>
      <c r="N15" s="57" cm="1">
        <f t="array" ref="N15">IF(_xlfn.XLOOKUP(CONT_TEA[[#This Row],[PensionCode]],PENS[PensionCode],PENS[AvailableToAllSchools],1,0,)=TRUE,0,IF(ISERROR(FIND(CONT_TEA[[#This Row],[SchoolCode]],_xlfn.TEXTJOIN(",",TRUE,_xlfn.UNIQUE(IF(PENS[PensionCode]=CONT_TEA[[#This Row],[PensionCode]],PENS[SchoolCodes],""))))),1,0))</f>
        <v>0</v>
      </c>
      <c r="O15" s="57" cm="1">
        <f t="array" ref="O15">IF(_xlfn.XLOOKUP(CONT_TEA[[#This Row],[EquatedWeekPatternCode]],EQW[EquatedWeekPatternCode],EQW[AvailableToAllSchools],1,0,)=TRUE,0,IF(ISERROR(FIND(CONT_TEA[[#This Row],[SchoolCode]],_xlfn.TEXTJOIN(",",TRUE,_xlfn.UNIQUE(IF(EQW[EquatedWeekPatternCode]=CONT_TEA[[#This Row],[EquatedWeekPatternCode]],EQW[SchoolCodes],""))))),1,0))</f>
        <v>0</v>
      </c>
      <c r="P15" s="57">
        <f>1-COUNTIF(ContractTypes[Code],CONT_TEA[[#This Row],[ContractTypeCode]])</f>
        <v>0</v>
      </c>
      <c r="Q15" s="57">
        <f>IF(VLOOKUP(CONT_TEA[[#This Row],[StaffMemberCode]],MEMBERS[[StaffMemberCode]:[ServiceStartDate]],5,0)&gt;CONT_TEA[[#This Row],[DateFrom]],1,0)</f>
        <v>0</v>
      </c>
      <c r="R15" s="57">
        <f>IF(_xlfn.XLOOKUP(CONT_TEA[[#This Row],[StaffMemberCode]],MEMBERS[StaffMemberCode],MEMBERS[ServiceEndDate])="",0,IF(CONT_TEA[[#This Row],[DateTo]]="",1,IF(_xlfn.XLOOKUP(CONT_TEA[[#This Row],[StaffMemberCode]],MEMBERS[StaffMemberCode],MEMBERS[ServiceEndDate])&lt;CONT_TEA[[#This Row],[DateTo]],1,0)))</f>
        <v>0</v>
      </c>
      <c r="S15" s="57">
        <f>IF(ISBLANK(CONT_TEA[[#This Row],[DateTo]]),0,IF(CONT_TEA[[#This Row],[DateFrom]]=CONT_TEA[[#This Row],[DateTo]],0,IF(CONT_TEA[[#This Row],[DateFrom]]&lt;CONT_TEA[[#This Row],[DateTo]],0,1)))</f>
        <v>0</v>
      </c>
      <c r="T15" s="57" cm="1">
        <f t="array" aca="1" ref="T15" ca="1">IF(CELL("format",CONT_TEA[[#This Row],[DateFrom]])="D1",0,1)+IF(CELL("format",CONT_TEA[[#This Row],[DateTo]])="D1",0,1)</f>
        <v>0</v>
      </c>
      <c r="U15" s="57">
        <f>IF(OR(CONT_TEA[[#This Row],[MatEditOnly]]=TRUE,CONT_TEA[[#This Row],[MatEditOnly]]=FALSE),IF(OR(CONT_TEA[[#This Row],[NoIncrement]]=TRUE,CONT_TEA[[#This Row],[NoIncrement]]=FALSE),0,1),1)</f>
        <v>0</v>
      </c>
      <c r="V15" s="57">
        <f>IF(ISBLANK(CONT_TEA[[#This Row],[FundCode]])=TRUE,0,IF(COUNTIF(FUNDS[FundCode],CONT_TEA[[#This Row],[FundCode]])=1,0,1))</f>
        <v>0</v>
      </c>
      <c r="W15" s="57">
        <f>IF(LEN(CONT_TEA[[#This Row],[Notes]])&lt;4000,0,1)</f>
        <v>0</v>
      </c>
      <c r="X15" s="57">
        <f>IF(SUBSTITUTE(TEXT(CONT_TEA[[#This Row],[Reference]],10)," ","")=TEXT(CONT_TEA[[#This Row],[Reference]],10),0,1)</f>
        <v>0</v>
      </c>
      <c r="Y15" s="57">
        <f ca="1">SUM(CONT_TEA[[#This Row],[Duplicate Contract]:[Space in Code]])</f>
        <v>1</v>
      </c>
      <c r="AA15" s="12" t="s">
        <v>2299</v>
      </c>
      <c r="AB15" s="15">
        <v>91073650</v>
      </c>
      <c r="AC15" s="12" t="s">
        <v>4364</v>
      </c>
      <c r="AD15" s="57" t="str">
        <f>_xlfn.XLOOKUP(CONT_TEA[[#This Row],[StaffMemberCode]],StaffMembers!O:O,StaffMembers!R:R)</f>
        <v>Jane Bird</v>
      </c>
      <c r="AE15" s="12" t="s">
        <v>1612</v>
      </c>
      <c r="AF15" s="57">
        <f>_xlfn.XLOOKUP(CONT_TEA[[#This Row],[SRG]],SRG[StaffRoleGroupCode],SRG[GrossSalaryFinanceCode])</f>
        <v>610100</v>
      </c>
      <c r="AG15" s="57" t="str">
        <f>_xlfn.XLOOKUP(CONT_TEA[[#This Row],[StaffRoleCode]],ROLES[StaffRoleCode],ROLES[StaffRoleGroupCode])</f>
        <v>LST</v>
      </c>
      <c r="AH15" s="57" t="str">
        <f>_xlfn.XLOOKUP(CONT_TEA[[#This Row],[StaffRoleCode]],ROLES[StaffRoleCode],ROLES[PayScaleCode])</f>
        <v>LS</v>
      </c>
      <c r="AI15" s="12" t="s">
        <v>3087</v>
      </c>
      <c r="AJ15" s="12" t="s">
        <v>1081</v>
      </c>
      <c r="AK15" s="12" t="s">
        <v>2499</v>
      </c>
      <c r="AM15" s="68" t="s">
        <v>1147</v>
      </c>
      <c r="AN15" s="13" t="s">
        <v>1702</v>
      </c>
      <c r="AO15" s="21">
        <v>45901</v>
      </c>
      <c r="AQ15" s="12">
        <v>1</v>
      </c>
      <c r="AR15" t="b">
        <v>0</v>
      </c>
      <c r="AS15" t="b">
        <v>0</v>
      </c>
      <c r="AT15" s="12" t="s">
        <v>1574</v>
      </c>
    </row>
    <row r="16" spans="1:47" x14ac:dyDescent="0.3">
      <c r="A16" s="57" t="str">
        <f t="shared" si="0"/>
        <v>ALS9107370791073707ADHTSTCH45901</v>
      </c>
      <c r="B16" s="57">
        <f>COUNTIF(CONT_TEA[Unique Contract],CONT_TEA[[#This Row],[Unique Contract]])-1</f>
        <v>0</v>
      </c>
      <c r="C16" s="57">
        <f>IFERROR(IF(FIND(CONT_TEA[[#This Row],[SchoolCode]],_xlfn.XLOOKUP(CONT_TEA[[#This Row],[StaffMemberCode]],MEMBERS[StaffMemberCode],MEMBERS[SchoolCodes]))&gt;0,0,1),1)</f>
        <v>0</v>
      </c>
      <c r="D16" s="57" cm="1">
        <f t="array" ref="D16">IF(_xlfn.XLOOKUP(CONT_TEA[[#This Row],[StaffRoleCode]],ROLES[StaffRoleCode],ROLES[AvailableToAllSchools],1,0,)=TRUE,0,IF(ISERROR(FIND(CONT_TEA[[#This Row],[SchoolCode]],_xlfn.TEXTJOIN(",",TRUE,_xlfn.UNIQUE(IF(ROLES[StaffRoleCode]=CONT_TEA[[#This Row],[StaffRoleCode]],ROLES[SchoolCodes],""))))),1,0))</f>
        <v>0</v>
      </c>
      <c r="E16" s="57" cm="1">
        <f t="array" ref="E1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6" s="57" cm="1">
        <f t="array" ref="F16">IF(_xlfn.XLOOKUP(CONT_TEA[[#This Row],[PayScaleCode]],PAYSCALES[PayScaleCode],PAYSCALES[AvailableToAllSchools],1,0,)=TRUE,0,IF(ISERROR(FIND(CONT_TEA[[#This Row],[SchoolCode]],_xlfn.TEXTJOIN(",",TRUE,_xlfn.UNIQUE(IF(PAYSCALES[PayScaleCode]=CONT_TEA[[#This Row],[PayScaleCode]],PAYSCALES[SchoolCodes],""))))),1,0))</f>
        <v>0</v>
      </c>
      <c r="G16" s="57">
        <f>IF(_xlfn.XLOOKUP(CONT_TEA[[#This Row],[PayScaleGradeCode]],GRADES[PayScaleGradeCode],GRADES[AvailableToAllSchools])=TRUE,0,IFERROR(IF(FIND(CONT_TEA[[#This Row],[SchoolCode]],_xlfn.XLOOKUP(CONT_TEA[[#This Row],[PayScaleGradeCode]],GRADES[PayScaleGradeCode],GRADES[SchoolCodes]))&gt;=1,0,1),1))</f>
        <v>0</v>
      </c>
      <c r="H16" s="57">
        <f>IF(ISERROR(IF((_xlfn.XLOOKUP(CONT_TEA[[#This Row],[PayScaleGradeCode]],GRADES[PayScaleGradeCode],GRADES[PayScaleCode])=CONT_TEA[[#This Row],[PayScaleCode]]),0,1)),1,0)</f>
        <v>0</v>
      </c>
      <c r="I16" s="57" cm="1">
        <f t="array" ref="I16">IF(ISERROR(FIND(CONT_TEA[[#This Row],[PayScalePointCode]],_xlfn.TEXTJOIN(",",TRUE,IF(PSPOINTS[PayScaleCode]=CONT_TEA[[#This Row],[PayScaleCode]],PSPOINTS[PayScalePointCode])))),1,0)</f>
        <v>0</v>
      </c>
      <c r="J16" s="57" cm="1">
        <f t="array" ref="J1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6" s="57">
        <f>IF(_xlfn.XLOOKUP(CONT_TEA[[#This Row],[PayScalePointCode]],PSPOINTS[PayScalePointCode],PSPOINTS[PayScalePointEnabled])=TRUE,0,1)</f>
        <v>0</v>
      </c>
      <c r="L16" s="57" cm="1">
        <f t="array" ref="L16">IF(_xlfn.XLOOKUP(CONT_TEA[[#This Row],[DepartmentCode]],DEPTS[DepartmentCode],DEPTS[AvailableToAllSchools],1,0,)=TRUE,0,IF(ISERROR(FIND(CONT_TEA[[#This Row],[SchoolCode]],_xlfn.TEXTJOIN(",",TRUE,_xlfn.UNIQUE(IF(DEPTS[DepartmentCode]=CONT_TEA[[#This Row],[DepartmentCode]],DEPTS[SchoolCodes],""))))),1,0))</f>
        <v>0</v>
      </c>
      <c r="M16" s="57">
        <f>IFERROR(IF(_xlfn.XLOOKUP(CONT_TEA[[#This Row],[SRG Gross]],FinanceCodesBudget[FinanceCode],FinanceCodesBudget[LedgerCode])=_xlfn.XLOOKUP(CONT_TEA[[#This Row],[DepartmentCode]],DEPTS[DepartmentCode],DEPTS[LedgerCode]),0,1),1)</f>
        <v>1</v>
      </c>
      <c r="N16" s="57" cm="1">
        <f t="array" ref="N16">IF(_xlfn.XLOOKUP(CONT_TEA[[#This Row],[PensionCode]],PENS[PensionCode],PENS[AvailableToAllSchools],1,0,)=TRUE,0,IF(ISERROR(FIND(CONT_TEA[[#This Row],[SchoolCode]],_xlfn.TEXTJOIN(",",TRUE,_xlfn.UNIQUE(IF(PENS[PensionCode]=CONT_TEA[[#This Row],[PensionCode]],PENS[SchoolCodes],""))))),1,0))</f>
        <v>0</v>
      </c>
      <c r="O16" s="57" cm="1">
        <f t="array" ref="O16">IF(_xlfn.XLOOKUP(CONT_TEA[[#This Row],[EquatedWeekPatternCode]],EQW[EquatedWeekPatternCode],EQW[AvailableToAllSchools],1,0,)=TRUE,0,IF(ISERROR(FIND(CONT_TEA[[#This Row],[SchoolCode]],_xlfn.TEXTJOIN(",",TRUE,_xlfn.UNIQUE(IF(EQW[EquatedWeekPatternCode]=CONT_TEA[[#This Row],[EquatedWeekPatternCode]],EQW[SchoolCodes],""))))),1,0))</f>
        <v>0</v>
      </c>
      <c r="P16" s="57">
        <f>1-COUNTIF(ContractTypes[Code],CONT_TEA[[#This Row],[ContractTypeCode]])</f>
        <v>0</v>
      </c>
      <c r="Q16" s="57">
        <f>IF(VLOOKUP(CONT_TEA[[#This Row],[StaffMemberCode]],MEMBERS[[StaffMemberCode]:[ServiceStartDate]],5,0)&gt;CONT_TEA[[#This Row],[DateFrom]],1,0)</f>
        <v>0</v>
      </c>
      <c r="R16" s="57">
        <f>IF(_xlfn.XLOOKUP(CONT_TEA[[#This Row],[StaffMemberCode]],MEMBERS[StaffMemberCode],MEMBERS[ServiceEndDate])="",0,IF(CONT_TEA[[#This Row],[DateTo]]="",1,IF(_xlfn.XLOOKUP(CONT_TEA[[#This Row],[StaffMemberCode]],MEMBERS[StaffMemberCode],MEMBERS[ServiceEndDate])&lt;CONT_TEA[[#This Row],[DateTo]],1,0)))</f>
        <v>0</v>
      </c>
      <c r="S16" s="57">
        <f>IF(ISBLANK(CONT_TEA[[#This Row],[DateTo]]),0,IF(CONT_TEA[[#This Row],[DateFrom]]=CONT_TEA[[#This Row],[DateTo]],0,IF(CONT_TEA[[#This Row],[DateFrom]]&lt;CONT_TEA[[#This Row],[DateTo]],0,1)))</f>
        <v>0</v>
      </c>
      <c r="T16" s="57" cm="1">
        <f t="array" aca="1" ref="T16" ca="1">IF(CELL("format",CONT_TEA[[#This Row],[DateFrom]])="D1",0,1)+IF(CELL("format",CONT_TEA[[#This Row],[DateTo]])="D1",0,1)</f>
        <v>0</v>
      </c>
      <c r="U16" s="57">
        <f>IF(OR(CONT_TEA[[#This Row],[MatEditOnly]]=TRUE,CONT_TEA[[#This Row],[MatEditOnly]]=FALSE),IF(OR(CONT_TEA[[#This Row],[NoIncrement]]=TRUE,CONT_TEA[[#This Row],[NoIncrement]]=FALSE),0,1),1)</f>
        <v>0</v>
      </c>
      <c r="V16" s="57">
        <f>IF(ISBLANK(CONT_TEA[[#This Row],[FundCode]])=TRUE,0,IF(COUNTIF(FUNDS[FundCode],CONT_TEA[[#This Row],[FundCode]])=1,0,1))</f>
        <v>0</v>
      </c>
      <c r="W16" s="57">
        <f>IF(LEN(CONT_TEA[[#This Row],[Notes]])&lt;4000,0,1)</f>
        <v>0</v>
      </c>
      <c r="X16" s="57">
        <f>IF(SUBSTITUTE(TEXT(CONT_TEA[[#This Row],[Reference]],10)," ","")=TEXT(CONT_TEA[[#This Row],[Reference]],10),0,1)</f>
        <v>0</v>
      </c>
      <c r="Y16" s="57">
        <f ca="1">SUM(CONT_TEA[[#This Row],[Duplicate Contract]:[Space in Code]])</f>
        <v>1</v>
      </c>
      <c r="AA16" s="12" t="s">
        <v>2082</v>
      </c>
      <c r="AB16" s="15">
        <v>91073707</v>
      </c>
      <c r="AC16" s="12" t="s">
        <v>4365</v>
      </c>
      <c r="AD16" s="57" t="str">
        <f>_xlfn.XLOOKUP(CONT_TEA[[#This Row],[StaffMemberCode]],StaffMembers!O:O,StaffMembers!R:R)</f>
        <v>Liane Young</v>
      </c>
      <c r="AE16" s="12" t="s">
        <v>1612</v>
      </c>
      <c r="AF16" s="57">
        <f>_xlfn.XLOOKUP(CONT_TEA[[#This Row],[SRG]],SRG[StaffRoleGroupCode],SRG[GrossSalaryFinanceCode])</f>
        <v>610100</v>
      </c>
      <c r="AG16" s="57" t="str">
        <f>_xlfn.XLOOKUP(CONT_TEA[[#This Row],[StaffRoleCode]],ROLES[StaffRoleCode],ROLES[StaffRoleGroupCode])</f>
        <v>LST</v>
      </c>
      <c r="AH16" s="57" t="str">
        <f>_xlfn.XLOOKUP(CONT_TEA[[#This Row],[StaffRoleCode]],ROLES[StaffRoleCode],ROLES[PayScaleCode])</f>
        <v>LS</v>
      </c>
      <c r="AI16" s="12" t="s">
        <v>3086</v>
      </c>
      <c r="AJ16" s="12" t="s">
        <v>1096</v>
      </c>
      <c r="AK16" s="12" t="s">
        <v>2499</v>
      </c>
      <c r="AM16" s="68" t="s">
        <v>1147</v>
      </c>
      <c r="AN16" s="13" t="s">
        <v>1702</v>
      </c>
      <c r="AO16" s="21">
        <v>45901</v>
      </c>
      <c r="AQ16" s="12">
        <v>1</v>
      </c>
      <c r="AR16" t="b">
        <v>0</v>
      </c>
      <c r="AS16" t="b">
        <v>0</v>
      </c>
      <c r="AT16" s="12" t="s">
        <v>1574</v>
      </c>
    </row>
    <row r="17" spans="1:46" x14ac:dyDescent="0.3">
      <c r="A17" s="57" t="str">
        <f t="shared" si="0"/>
        <v>SBL9107577591075775ADHTSTCH45901</v>
      </c>
      <c r="B17" s="57">
        <f>COUNTIF(CONT_TEA[Unique Contract],CONT_TEA[[#This Row],[Unique Contract]])-1</f>
        <v>0</v>
      </c>
      <c r="C17" s="57">
        <f>IFERROR(IF(FIND(CONT_TEA[[#This Row],[SchoolCode]],_xlfn.XLOOKUP(CONT_TEA[[#This Row],[StaffMemberCode]],MEMBERS[StaffMemberCode],MEMBERS[SchoolCodes]))&gt;0,0,1),1)</f>
        <v>0</v>
      </c>
      <c r="D17" s="57" cm="1">
        <f t="array" ref="D17">IF(_xlfn.XLOOKUP(CONT_TEA[[#This Row],[StaffRoleCode]],ROLES[StaffRoleCode],ROLES[AvailableToAllSchools],1,0,)=TRUE,0,IF(ISERROR(FIND(CONT_TEA[[#This Row],[SchoolCode]],_xlfn.TEXTJOIN(",",TRUE,_xlfn.UNIQUE(IF(ROLES[StaffRoleCode]=CONT_TEA[[#This Row],[StaffRoleCode]],ROLES[SchoolCodes],""))))),1,0))</f>
        <v>0</v>
      </c>
      <c r="E17" s="57" cm="1">
        <f t="array" ref="E1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7" s="57" cm="1">
        <f t="array" ref="F17">IF(_xlfn.XLOOKUP(CONT_TEA[[#This Row],[PayScaleCode]],PAYSCALES[PayScaleCode],PAYSCALES[AvailableToAllSchools],1,0,)=TRUE,0,IF(ISERROR(FIND(CONT_TEA[[#This Row],[SchoolCode]],_xlfn.TEXTJOIN(",",TRUE,_xlfn.UNIQUE(IF(PAYSCALES[PayScaleCode]=CONT_TEA[[#This Row],[PayScaleCode]],PAYSCALES[SchoolCodes],""))))),1,0))</f>
        <v>0</v>
      </c>
      <c r="G17" s="57">
        <f>IF(_xlfn.XLOOKUP(CONT_TEA[[#This Row],[PayScaleGradeCode]],GRADES[PayScaleGradeCode],GRADES[AvailableToAllSchools])=TRUE,0,IFERROR(IF(FIND(CONT_TEA[[#This Row],[SchoolCode]],_xlfn.XLOOKUP(CONT_TEA[[#This Row],[PayScaleGradeCode]],GRADES[PayScaleGradeCode],GRADES[SchoolCodes]))&gt;=1,0,1),1))</f>
        <v>0</v>
      </c>
      <c r="H17" s="57">
        <f>IF(ISERROR(IF((_xlfn.XLOOKUP(CONT_TEA[[#This Row],[PayScaleGradeCode]],GRADES[PayScaleGradeCode],GRADES[PayScaleCode])=CONT_TEA[[#This Row],[PayScaleCode]]),0,1)),1,0)</f>
        <v>0</v>
      </c>
      <c r="I17" s="57" cm="1">
        <f t="array" ref="I17">IF(ISERROR(FIND(CONT_TEA[[#This Row],[PayScalePointCode]],_xlfn.TEXTJOIN(",",TRUE,IF(PSPOINTS[PayScaleCode]=CONT_TEA[[#This Row],[PayScaleCode]],PSPOINTS[PayScalePointCode])))),1,0)</f>
        <v>0</v>
      </c>
      <c r="J17" s="57" cm="1">
        <f t="array" ref="J1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7" s="57">
        <f>IF(_xlfn.XLOOKUP(CONT_TEA[[#This Row],[PayScalePointCode]],PSPOINTS[PayScalePointCode],PSPOINTS[PayScalePointEnabled])=TRUE,0,1)</f>
        <v>0</v>
      </c>
      <c r="L17" s="57" cm="1">
        <f t="array" ref="L17">IF(_xlfn.XLOOKUP(CONT_TEA[[#This Row],[DepartmentCode]],DEPTS[DepartmentCode],DEPTS[AvailableToAllSchools],1,0,)=TRUE,0,IF(ISERROR(FIND(CONT_TEA[[#This Row],[SchoolCode]],_xlfn.TEXTJOIN(",",TRUE,_xlfn.UNIQUE(IF(DEPTS[DepartmentCode]=CONT_TEA[[#This Row],[DepartmentCode]],DEPTS[SchoolCodes],""))))),1,0))</f>
        <v>0</v>
      </c>
      <c r="M17" s="57">
        <f>IFERROR(IF(_xlfn.XLOOKUP(CONT_TEA[[#This Row],[SRG Gross]],FinanceCodesBudget[FinanceCode],FinanceCodesBudget[LedgerCode])=_xlfn.XLOOKUP(CONT_TEA[[#This Row],[DepartmentCode]],DEPTS[DepartmentCode],DEPTS[LedgerCode]),0,1),1)</f>
        <v>1</v>
      </c>
      <c r="N17" s="57" cm="1">
        <f t="array" ref="N17">IF(_xlfn.XLOOKUP(CONT_TEA[[#This Row],[PensionCode]],PENS[PensionCode],PENS[AvailableToAllSchools],1,0,)=TRUE,0,IF(ISERROR(FIND(CONT_TEA[[#This Row],[SchoolCode]],_xlfn.TEXTJOIN(",",TRUE,_xlfn.UNIQUE(IF(PENS[PensionCode]=CONT_TEA[[#This Row],[PensionCode]],PENS[SchoolCodes],""))))),1,0))</f>
        <v>0</v>
      </c>
      <c r="O17" s="57" cm="1">
        <f t="array" ref="O17">IF(_xlfn.XLOOKUP(CONT_TEA[[#This Row],[EquatedWeekPatternCode]],EQW[EquatedWeekPatternCode],EQW[AvailableToAllSchools],1,0,)=TRUE,0,IF(ISERROR(FIND(CONT_TEA[[#This Row],[SchoolCode]],_xlfn.TEXTJOIN(",",TRUE,_xlfn.UNIQUE(IF(EQW[EquatedWeekPatternCode]=CONT_TEA[[#This Row],[EquatedWeekPatternCode]],EQW[SchoolCodes],""))))),1,0))</f>
        <v>0</v>
      </c>
      <c r="P17" s="57">
        <f>1-COUNTIF(ContractTypes[Code],CONT_TEA[[#This Row],[ContractTypeCode]])</f>
        <v>0</v>
      </c>
      <c r="Q17" s="57">
        <f>IF(VLOOKUP(CONT_TEA[[#This Row],[StaffMemberCode]],MEMBERS[[StaffMemberCode]:[ServiceStartDate]],5,0)&gt;CONT_TEA[[#This Row],[DateFrom]],1,0)</f>
        <v>0</v>
      </c>
      <c r="R17" s="57">
        <f>IF(_xlfn.XLOOKUP(CONT_TEA[[#This Row],[StaffMemberCode]],MEMBERS[StaffMemberCode],MEMBERS[ServiceEndDate])="",0,IF(CONT_TEA[[#This Row],[DateTo]]="",1,IF(_xlfn.XLOOKUP(CONT_TEA[[#This Row],[StaffMemberCode]],MEMBERS[StaffMemberCode],MEMBERS[ServiceEndDate])&lt;CONT_TEA[[#This Row],[DateTo]],1,0)))</f>
        <v>0</v>
      </c>
      <c r="S17" s="57">
        <f>IF(ISBLANK(CONT_TEA[[#This Row],[DateTo]]),0,IF(CONT_TEA[[#This Row],[DateFrom]]=CONT_TEA[[#This Row],[DateTo]],0,IF(CONT_TEA[[#This Row],[DateFrom]]&lt;CONT_TEA[[#This Row],[DateTo]],0,1)))</f>
        <v>0</v>
      </c>
      <c r="T17" s="57" cm="1">
        <f t="array" aca="1" ref="T17" ca="1">IF(CELL("format",CONT_TEA[[#This Row],[DateFrom]])="D1",0,1)+IF(CELL("format",CONT_TEA[[#This Row],[DateTo]])="D1",0,1)</f>
        <v>0</v>
      </c>
      <c r="U17" s="57">
        <f>IF(OR(CONT_TEA[[#This Row],[MatEditOnly]]=TRUE,CONT_TEA[[#This Row],[MatEditOnly]]=FALSE),IF(OR(CONT_TEA[[#This Row],[NoIncrement]]=TRUE,CONT_TEA[[#This Row],[NoIncrement]]=FALSE),0,1),1)</f>
        <v>0</v>
      </c>
      <c r="V17" s="57">
        <f>IF(ISBLANK(CONT_TEA[[#This Row],[FundCode]])=TRUE,0,IF(COUNTIF(FUNDS[FundCode],CONT_TEA[[#This Row],[FundCode]])=1,0,1))</f>
        <v>0</v>
      </c>
      <c r="W17" s="57">
        <f>IF(LEN(CONT_TEA[[#This Row],[Notes]])&lt;4000,0,1)</f>
        <v>0</v>
      </c>
      <c r="X17" s="57">
        <f>IF(SUBSTITUTE(TEXT(CONT_TEA[[#This Row],[Reference]],10)," ","")=TEXT(CONT_TEA[[#This Row],[Reference]],10),0,1)</f>
        <v>0</v>
      </c>
      <c r="Y17" s="57">
        <f ca="1">SUM(CONT_TEA[[#This Row],[Duplicate Contract]:[Space in Code]])</f>
        <v>1</v>
      </c>
      <c r="AA17" s="12" t="s">
        <v>2200</v>
      </c>
      <c r="AB17" s="15">
        <v>91075775</v>
      </c>
      <c r="AC17" s="12" t="s">
        <v>4366</v>
      </c>
      <c r="AD17" s="57" t="str">
        <f>_xlfn.XLOOKUP(CONT_TEA[[#This Row],[StaffMemberCode]],StaffMembers!O:O,StaffMembers!R:R)</f>
        <v>Sarah Ailsby</v>
      </c>
      <c r="AE17" s="12" t="s">
        <v>1612</v>
      </c>
      <c r="AF17" s="57">
        <f>_xlfn.XLOOKUP(CONT_TEA[[#This Row],[SRG]],SRG[StaffRoleGroupCode],SRG[GrossSalaryFinanceCode])</f>
        <v>610100</v>
      </c>
      <c r="AG17" s="57" t="str">
        <f>_xlfn.XLOOKUP(CONT_TEA[[#This Row],[StaffRoleCode]],ROLES[StaffRoleCode],ROLES[StaffRoleGroupCode])</f>
        <v>LST</v>
      </c>
      <c r="AH17" s="57" t="str">
        <f>_xlfn.XLOOKUP(CONT_TEA[[#This Row],[StaffRoleCode]],ROLES[StaffRoleCode],ROLES[PayScaleCode])</f>
        <v>LS</v>
      </c>
      <c r="AI17" s="12" t="s">
        <v>3088</v>
      </c>
      <c r="AJ17" s="12" t="s">
        <v>1081</v>
      </c>
      <c r="AK17" s="12" t="s">
        <v>2499</v>
      </c>
      <c r="AM17" s="68" t="s">
        <v>1147</v>
      </c>
      <c r="AN17" s="13" t="s">
        <v>1702</v>
      </c>
      <c r="AO17" s="21">
        <v>45901</v>
      </c>
      <c r="AQ17" s="12">
        <v>1</v>
      </c>
      <c r="AR17" t="b">
        <v>0</v>
      </c>
      <c r="AS17" t="b">
        <v>0</v>
      </c>
      <c r="AT17" s="12" t="s">
        <v>1574</v>
      </c>
    </row>
    <row r="18" spans="1:46" x14ac:dyDescent="0.3">
      <c r="A18" s="57" t="str">
        <f t="shared" si="0"/>
        <v>BLS9107350691073506ADHTSTCH45901</v>
      </c>
      <c r="B18" s="57">
        <f>COUNTIF(CONT_TEA[Unique Contract],CONT_TEA[[#This Row],[Unique Contract]])-1</f>
        <v>0</v>
      </c>
      <c r="C18" s="57">
        <f>IFERROR(IF(FIND(CONT_TEA[[#This Row],[SchoolCode]],_xlfn.XLOOKUP(CONT_TEA[[#This Row],[StaffMemberCode]],MEMBERS[StaffMemberCode],MEMBERS[SchoolCodes]))&gt;0,0,1),1)</f>
        <v>0</v>
      </c>
      <c r="D18" s="57" cm="1">
        <f t="array" ref="D18">IF(_xlfn.XLOOKUP(CONT_TEA[[#This Row],[StaffRoleCode]],ROLES[StaffRoleCode],ROLES[AvailableToAllSchools],1,0,)=TRUE,0,IF(ISERROR(FIND(CONT_TEA[[#This Row],[SchoolCode]],_xlfn.TEXTJOIN(",",TRUE,_xlfn.UNIQUE(IF(ROLES[StaffRoleCode]=CONT_TEA[[#This Row],[StaffRoleCode]],ROLES[SchoolCodes],""))))),1,0))</f>
        <v>0</v>
      </c>
      <c r="E18" s="57" cm="1">
        <f t="array" ref="E1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8" s="57" cm="1">
        <f t="array" ref="F18">IF(_xlfn.XLOOKUP(CONT_TEA[[#This Row],[PayScaleCode]],PAYSCALES[PayScaleCode],PAYSCALES[AvailableToAllSchools],1,0,)=TRUE,0,IF(ISERROR(FIND(CONT_TEA[[#This Row],[SchoolCode]],_xlfn.TEXTJOIN(",",TRUE,_xlfn.UNIQUE(IF(PAYSCALES[PayScaleCode]=CONT_TEA[[#This Row],[PayScaleCode]],PAYSCALES[SchoolCodes],""))))),1,0))</f>
        <v>0</v>
      </c>
      <c r="G18" s="57">
        <f>IF(_xlfn.XLOOKUP(CONT_TEA[[#This Row],[PayScaleGradeCode]],GRADES[PayScaleGradeCode],GRADES[AvailableToAllSchools])=TRUE,0,IFERROR(IF(FIND(CONT_TEA[[#This Row],[SchoolCode]],_xlfn.XLOOKUP(CONT_TEA[[#This Row],[PayScaleGradeCode]],GRADES[PayScaleGradeCode],GRADES[SchoolCodes]))&gt;=1,0,1),1))</f>
        <v>0</v>
      </c>
      <c r="H18" s="57">
        <f>IF(ISERROR(IF((_xlfn.XLOOKUP(CONT_TEA[[#This Row],[PayScaleGradeCode]],GRADES[PayScaleGradeCode],GRADES[PayScaleCode])=CONT_TEA[[#This Row],[PayScaleCode]]),0,1)),1,0)</f>
        <v>0</v>
      </c>
      <c r="I18" s="57" cm="1">
        <f t="array" ref="I18">IF(ISERROR(FIND(CONT_TEA[[#This Row],[PayScalePointCode]],_xlfn.TEXTJOIN(",",TRUE,IF(PSPOINTS[PayScaleCode]=CONT_TEA[[#This Row],[PayScaleCode]],PSPOINTS[PayScalePointCode])))),1,0)</f>
        <v>0</v>
      </c>
      <c r="J18" s="57" cm="1">
        <f t="array" ref="J1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8" s="57">
        <f>IF(_xlfn.XLOOKUP(CONT_TEA[[#This Row],[PayScalePointCode]],PSPOINTS[PayScalePointCode],PSPOINTS[PayScalePointEnabled])=TRUE,0,1)</f>
        <v>0</v>
      </c>
      <c r="L18" s="57" cm="1">
        <f t="array" ref="L18">IF(_xlfn.XLOOKUP(CONT_TEA[[#This Row],[DepartmentCode]],DEPTS[DepartmentCode],DEPTS[AvailableToAllSchools],1,0,)=TRUE,0,IF(ISERROR(FIND(CONT_TEA[[#This Row],[SchoolCode]],_xlfn.TEXTJOIN(",",TRUE,_xlfn.UNIQUE(IF(DEPTS[DepartmentCode]=CONT_TEA[[#This Row],[DepartmentCode]],DEPTS[SchoolCodes],""))))),1,0))</f>
        <v>0</v>
      </c>
      <c r="M18" s="57">
        <f>IFERROR(IF(_xlfn.XLOOKUP(CONT_TEA[[#This Row],[SRG Gross]],FinanceCodesBudget[FinanceCode],FinanceCodesBudget[LedgerCode])=_xlfn.XLOOKUP(CONT_TEA[[#This Row],[DepartmentCode]],DEPTS[DepartmentCode],DEPTS[LedgerCode]),0,1),1)</f>
        <v>1</v>
      </c>
      <c r="N18" s="57" cm="1">
        <f t="array" ref="N18">IF(_xlfn.XLOOKUP(CONT_TEA[[#This Row],[PensionCode]],PENS[PensionCode],PENS[AvailableToAllSchools],1,0,)=TRUE,0,IF(ISERROR(FIND(CONT_TEA[[#This Row],[SchoolCode]],_xlfn.TEXTJOIN(",",TRUE,_xlfn.UNIQUE(IF(PENS[PensionCode]=CONT_TEA[[#This Row],[PensionCode]],PENS[SchoolCodes],""))))),1,0))</f>
        <v>0</v>
      </c>
      <c r="O18" s="57" cm="1">
        <f t="array" ref="O18">IF(_xlfn.XLOOKUP(CONT_TEA[[#This Row],[EquatedWeekPatternCode]],EQW[EquatedWeekPatternCode],EQW[AvailableToAllSchools],1,0,)=TRUE,0,IF(ISERROR(FIND(CONT_TEA[[#This Row],[SchoolCode]],_xlfn.TEXTJOIN(",",TRUE,_xlfn.UNIQUE(IF(EQW[EquatedWeekPatternCode]=CONT_TEA[[#This Row],[EquatedWeekPatternCode]],EQW[SchoolCodes],""))))),1,0))</f>
        <v>0</v>
      </c>
      <c r="P18" s="57">
        <f>1-COUNTIF(ContractTypes[Code],CONT_TEA[[#This Row],[ContractTypeCode]])</f>
        <v>0</v>
      </c>
      <c r="Q18" s="57">
        <f>IF(VLOOKUP(CONT_TEA[[#This Row],[StaffMemberCode]],MEMBERS[[StaffMemberCode]:[ServiceStartDate]],5,0)&gt;CONT_TEA[[#This Row],[DateFrom]],1,0)</f>
        <v>0</v>
      </c>
      <c r="R18" s="57">
        <f>IF(_xlfn.XLOOKUP(CONT_TEA[[#This Row],[StaffMemberCode]],MEMBERS[StaffMemberCode],MEMBERS[ServiceEndDate])="",0,IF(CONT_TEA[[#This Row],[DateTo]]="",1,IF(_xlfn.XLOOKUP(CONT_TEA[[#This Row],[StaffMemberCode]],MEMBERS[StaffMemberCode],MEMBERS[ServiceEndDate])&lt;CONT_TEA[[#This Row],[DateTo]],1,0)))</f>
        <v>0</v>
      </c>
      <c r="S18" s="57">
        <f>IF(ISBLANK(CONT_TEA[[#This Row],[DateTo]]),0,IF(CONT_TEA[[#This Row],[DateFrom]]=CONT_TEA[[#This Row],[DateTo]],0,IF(CONT_TEA[[#This Row],[DateFrom]]&lt;CONT_TEA[[#This Row],[DateTo]],0,1)))</f>
        <v>0</v>
      </c>
      <c r="T18" s="57" cm="1">
        <f t="array" aca="1" ref="T18" ca="1">IF(CELL("format",CONT_TEA[[#This Row],[DateFrom]])="D1",0,1)+IF(CELL("format",CONT_TEA[[#This Row],[DateTo]])="D1",0,1)</f>
        <v>0</v>
      </c>
      <c r="U18" s="57">
        <f>IF(OR(CONT_TEA[[#This Row],[MatEditOnly]]=TRUE,CONT_TEA[[#This Row],[MatEditOnly]]=FALSE),IF(OR(CONT_TEA[[#This Row],[NoIncrement]]=TRUE,CONT_TEA[[#This Row],[NoIncrement]]=FALSE),0,1),1)</f>
        <v>0</v>
      </c>
      <c r="V18" s="57">
        <f>IF(ISBLANK(CONT_TEA[[#This Row],[FundCode]])=TRUE,0,IF(COUNTIF(FUNDS[FundCode],CONT_TEA[[#This Row],[FundCode]])=1,0,1))</f>
        <v>0</v>
      </c>
      <c r="W18" s="57">
        <f>IF(LEN(CONT_TEA[[#This Row],[Notes]])&lt;4000,0,1)</f>
        <v>0</v>
      </c>
      <c r="X18" s="57">
        <f>IF(SUBSTITUTE(TEXT(CONT_TEA[[#This Row],[Reference]],10)," ","")=TEXT(CONT_TEA[[#This Row],[Reference]],10),0,1)</f>
        <v>0</v>
      </c>
      <c r="Y18" s="57">
        <f ca="1">SUM(CONT_TEA[[#This Row],[Duplicate Contract]:[Space in Code]])</f>
        <v>1</v>
      </c>
      <c r="AA18" s="12" t="s">
        <v>2094</v>
      </c>
      <c r="AB18" s="15">
        <v>91073506</v>
      </c>
      <c r="AC18" s="12" t="s">
        <v>4367</v>
      </c>
      <c r="AD18" s="57" t="str">
        <f>_xlfn.XLOOKUP(CONT_TEA[[#This Row],[StaffMemberCode]],StaffMembers!O:O,StaffMembers!R:R)</f>
        <v>Victoria Skelding</v>
      </c>
      <c r="AE18" s="12" t="s">
        <v>1612</v>
      </c>
      <c r="AF18" s="57">
        <f>_xlfn.XLOOKUP(CONT_TEA[[#This Row],[SRG]],SRG[StaffRoleGroupCode],SRG[GrossSalaryFinanceCode])</f>
        <v>610100</v>
      </c>
      <c r="AG18" s="57" t="str">
        <f>_xlfn.XLOOKUP(CONT_TEA[[#This Row],[StaffRoleCode]],ROLES[StaffRoleCode],ROLES[StaffRoleGroupCode])</f>
        <v>LST</v>
      </c>
      <c r="AH18" s="57" t="str">
        <f>_xlfn.XLOOKUP(CONT_TEA[[#This Row],[StaffRoleCode]],ROLES[StaffRoleCode],ROLES[PayScaleCode])</f>
        <v>LS</v>
      </c>
      <c r="AI18" s="12" t="s">
        <v>3086</v>
      </c>
      <c r="AJ18" s="12" t="s">
        <v>1095</v>
      </c>
      <c r="AK18" s="12" t="s">
        <v>2499</v>
      </c>
      <c r="AM18" s="68" t="s">
        <v>1147</v>
      </c>
      <c r="AN18" s="13" t="s">
        <v>1702</v>
      </c>
      <c r="AO18" s="21">
        <v>45901</v>
      </c>
      <c r="AQ18" s="12">
        <v>1</v>
      </c>
      <c r="AR18" t="b">
        <v>0</v>
      </c>
      <c r="AS18" t="b">
        <v>0</v>
      </c>
      <c r="AT18" s="12" t="s">
        <v>1574</v>
      </c>
    </row>
    <row r="19" spans="1:46" x14ac:dyDescent="0.3">
      <c r="A19" s="57" t="str">
        <f t="shared" si="0"/>
        <v>ALS9107369791073697AHOSSTCH45901</v>
      </c>
      <c r="B19" s="57">
        <f>COUNTIF(CONT_TEA[Unique Contract],CONT_TEA[[#This Row],[Unique Contract]])-1</f>
        <v>0</v>
      </c>
      <c r="C19" s="57">
        <f>IFERROR(IF(FIND(CONT_TEA[[#This Row],[SchoolCode]],_xlfn.XLOOKUP(CONT_TEA[[#This Row],[StaffMemberCode]],MEMBERS[StaffMemberCode],MEMBERS[SchoolCodes]))&gt;0,0,1),1)</f>
        <v>0</v>
      </c>
      <c r="D19" s="57" cm="1">
        <f t="array" ref="D19">IF(_xlfn.XLOOKUP(CONT_TEA[[#This Row],[StaffRoleCode]],ROLES[StaffRoleCode],ROLES[AvailableToAllSchools],1,0,)=TRUE,0,IF(ISERROR(FIND(CONT_TEA[[#This Row],[SchoolCode]],_xlfn.TEXTJOIN(",",TRUE,_xlfn.UNIQUE(IF(ROLES[StaffRoleCode]=CONT_TEA[[#This Row],[StaffRoleCode]],ROLES[SchoolCodes],""))))),1,0))</f>
        <v>0</v>
      </c>
      <c r="E19" s="57" cm="1">
        <f t="array" ref="E1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9" s="57" cm="1">
        <f t="array" ref="F19">IF(_xlfn.XLOOKUP(CONT_TEA[[#This Row],[PayScaleCode]],PAYSCALES[PayScaleCode],PAYSCALES[AvailableToAllSchools],1,0,)=TRUE,0,IF(ISERROR(FIND(CONT_TEA[[#This Row],[SchoolCode]],_xlfn.TEXTJOIN(",",TRUE,_xlfn.UNIQUE(IF(PAYSCALES[PayScaleCode]=CONT_TEA[[#This Row],[PayScaleCode]],PAYSCALES[SchoolCodes],""))))),1,0))</f>
        <v>0</v>
      </c>
      <c r="G19" s="57">
        <f>IF(_xlfn.XLOOKUP(CONT_TEA[[#This Row],[PayScaleGradeCode]],GRADES[PayScaleGradeCode],GRADES[AvailableToAllSchools])=TRUE,0,IFERROR(IF(FIND(CONT_TEA[[#This Row],[SchoolCode]],_xlfn.XLOOKUP(CONT_TEA[[#This Row],[PayScaleGradeCode]],GRADES[PayScaleGradeCode],GRADES[SchoolCodes]))&gt;=1,0,1),1))</f>
        <v>0</v>
      </c>
      <c r="H19" s="57">
        <f>IF(ISERROR(IF((_xlfn.XLOOKUP(CONT_TEA[[#This Row],[PayScaleGradeCode]],GRADES[PayScaleGradeCode],GRADES[PayScaleCode])=CONT_TEA[[#This Row],[PayScaleCode]]),0,1)),1,0)</f>
        <v>0</v>
      </c>
      <c r="I19" s="57" cm="1">
        <f t="array" ref="I19">IF(ISERROR(FIND(CONT_TEA[[#This Row],[PayScalePointCode]],_xlfn.TEXTJOIN(",",TRUE,IF(PSPOINTS[PayScaleCode]=CONT_TEA[[#This Row],[PayScaleCode]],PSPOINTS[PayScalePointCode])))),1,0)</f>
        <v>0</v>
      </c>
      <c r="J19" s="57" cm="1">
        <f t="array" ref="J1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9" s="57">
        <f>IF(_xlfn.XLOOKUP(CONT_TEA[[#This Row],[PayScalePointCode]],PSPOINTS[PayScalePointCode],PSPOINTS[PayScalePointEnabled])=TRUE,0,1)</f>
        <v>0</v>
      </c>
      <c r="L19" s="57" cm="1">
        <f t="array" ref="L19">IF(_xlfn.XLOOKUP(CONT_TEA[[#This Row],[DepartmentCode]],DEPTS[DepartmentCode],DEPTS[AvailableToAllSchools],1,0,)=TRUE,0,IF(ISERROR(FIND(CONT_TEA[[#This Row],[SchoolCode]],_xlfn.TEXTJOIN(",",TRUE,_xlfn.UNIQUE(IF(DEPTS[DepartmentCode]=CONT_TEA[[#This Row],[DepartmentCode]],DEPTS[SchoolCodes],""))))),1,0))</f>
        <v>0</v>
      </c>
      <c r="M19" s="57">
        <f>IFERROR(IF(_xlfn.XLOOKUP(CONT_TEA[[#This Row],[SRG Gross]],FinanceCodesBudget[FinanceCode],FinanceCodesBudget[LedgerCode])=_xlfn.XLOOKUP(CONT_TEA[[#This Row],[DepartmentCode]],DEPTS[DepartmentCode],DEPTS[LedgerCode]),0,1),1)</f>
        <v>1</v>
      </c>
      <c r="N19" s="57" cm="1">
        <f t="array" ref="N19">IF(_xlfn.XLOOKUP(CONT_TEA[[#This Row],[PensionCode]],PENS[PensionCode],PENS[AvailableToAllSchools],1,0,)=TRUE,0,IF(ISERROR(FIND(CONT_TEA[[#This Row],[SchoolCode]],_xlfn.TEXTJOIN(",",TRUE,_xlfn.UNIQUE(IF(PENS[PensionCode]=CONT_TEA[[#This Row],[PensionCode]],PENS[SchoolCodes],""))))),1,0))</f>
        <v>0</v>
      </c>
      <c r="O19" s="57" cm="1">
        <f t="array" ref="O19">IF(_xlfn.XLOOKUP(CONT_TEA[[#This Row],[EquatedWeekPatternCode]],EQW[EquatedWeekPatternCode],EQW[AvailableToAllSchools],1,0,)=TRUE,0,IF(ISERROR(FIND(CONT_TEA[[#This Row],[SchoolCode]],_xlfn.TEXTJOIN(",",TRUE,_xlfn.UNIQUE(IF(EQW[EquatedWeekPatternCode]=CONT_TEA[[#This Row],[EquatedWeekPatternCode]],EQW[SchoolCodes],""))))),1,0))</f>
        <v>0</v>
      </c>
      <c r="P19" s="57">
        <f>1-COUNTIF(ContractTypes[Code],CONT_TEA[[#This Row],[ContractTypeCode]])</f>
        <v>0</v>
      </c>
      <c r="Q19" s="57">
        <f>IF(VLOOKUP(CONT_TEA[[#This Row],[StaffMemberCode]],MEMBERS[[StaffMemberCode]:[ServiceStartDate]],5,0)&gt;CONT_TEA[[#This Row],[DateFrom]],1,0)</f>
        <v>0</v>
      </c>
      <c r="R19" s="57">
        <f>IF(_xlfn.XLOOKUP(CONT_TEA[[#This Row],[StaffMemberCode]],MEMBERS[StaffMemberCode],MEMBERS[ServiceEndDate])="",0,IF(CONT_TEA[[#This Row],[DateTo]]="",1,IF(_xlfn.XLOOKUP(CONT_TEA[[#This Row],[StaffMemberCode]],MEMBERS[StaffMemberCode],MEMBERS[ServiceEndDate])&lt;CONT_TEA[[#This Row],[DateTo]],1,0)))</f>
        <v>0</v>
      </c>
      <c r="S19" s="57">
        <f>IF(ISBLANK(CONT_TEA[[#This Row],[DateTo]]),0,IF(CONT_TEA[[#This Row],[DateFrom]]=CONT_TEA[[#This Row],[DateTo]],0,IF(CONT_TEA[[#This Row],[DateFrom]]&lt;CONT_TEA[[#This Row],[DateTo]],0,1)))</f>
        <v>0</v>
      </c>
      <c r="T19" s="57" cm="1">
        <f t="array" aca="1" ref="T19" ca="1">IF(CELL("format",CONT_TEA[[#This Row],[DateFrom]])="D1",0,1)+IF(CELL("format",CONT_TEA[[#This Row],[DateTo]])="D1",0,1)</f>
        <v>0</v>
      </c>
      <c r="U19" s="57">
        <f>IF(OR(CONT_TEA[[#This Row],[MatEditOnly]]=TRUE,CONT_TEA[[#This Row],[MatEditOnly]]=FALSE),IF(OR(CONT_TEA[[#This Row],[NoIncrement]]=TRUE,CONT_TEA[[#This Row],[NoIncrement]]=FALSE),0,1),1)</f>
        <v>0</v>
      </c>
      <c r="V19" s="57">
        <f>IF(ISBLANK(CONT_TEA[[#This Row],[FundCode]])=TRUE,0,IF(COUNTIF(FUNDS[FundCode],CONT_TEA[[#This Row],[FundCode]])=1,0,1))</f>
        <v>0</v>
      </c>
      <c r="W19" s="57">
        <f>IF(LEN(CONT_TEA[[#This Row],[Notes]])&lt;4000,0,1)</f>
        <v>0</v>
      </c>
      <c r="X19" s="57">
        <f>IF(SUBSTITUTE(TEXT(CONT_TEA[[#This Row],[Reference]],10)," ","")=TEXT(CONT_TEA[[#This Row],[Reference]],10),0,1)</f>
        <v>0</v>
      </c>
      <c r="Y19" s="57">
        <f ca="1">SUM(CONT_TEA[[#This Row],[Duplicate Contract]:[Space in Code]])</f>
        <v>1</v>
      </c>
      <c r="AA19" s="12" t="s">
        <v>2082</v>
      </c>
      <c r="AB19" s="15">
        <v>91073697</v>
      </c>
      <c r="AC19" s="12" t="s">
        <v>4368</v>
      </c>
      <c r="AD19" s="57" t="str">
        <f>_xlfn.XLOOKUP(CONT_TEA[[#This Row],[StaffMemberCode]],StaffMembers!O:O,StaffMembers!R:R)</f>
        <v>Andrea O'Neill</v>
      </c>
      <c r="AE19" s="12" t="s">
        <v>4164</v>
      </c>
      <c r="AF19" s="57">
        <f>_xlfn.XLOOKUP(CONT_TEA[[#This Row],[SRG]],SRG[StaffRoleGroupCode],SRG[GrossSalaryFinanceCode])</f>
        <v>610100</v>
      </c>
      <c r="AG19" s="57" t="str">
        <f>_xlfn.XLOOKUP(CONT_TEA[[#This Row],[StaffRoleCode]],ROLES[StaffRoleCode],ROLES[StaffRoleGroupCode])</f>
        <v>LST</v>
      </c>
      <c r="AH19" s="57" t="str">
        <f>_xlfn.XLOOKUP(CONT_TEA[[#This Row],[StaffRoleCode]],ROLES[StaffRoleCode],ROLES[PayScaleCode])</f>
        <v>LS</v>
      </c>
      <c r="AI19" s="12" t="s">
        <v>3081</v>
      </c>
      <c r="AJ19" s="12" t="s">
        <v>1109</v>
      </c>
      <c r="AK19" s="12" t="s">
        <v>2499</v>
      </c>
      <c r="AM19" s="68" t="s">
        <v>1147</v>
      </c>
      <c r="AN19" s="13" t="s">
        <v>1702</v>
      </c>
      <c r="AO19" s="21">
        <v>45901</v>
      </c>
      <c r="AQ19" s="12">
        <v>1</v>
      </c>
      <c r="AR19" t="b">
        <v>0</v>
      </c>
      <c r="AS19" t="b">
        <v>0</v>
      </c>
      <c r="AT19" s="12" t="s">
        <v>1574</v>
      </c>
    </row>
    <row r="20" spans="1:46" x14ac:dyDescent="0.3">
      <c r="A20" s="57" t="str">
        <f t="shared" si="0"/>
        <v>AUD9107364391073643AHTSTCH45901</v>
      </c>
      <c r="B20" s="57">
        <f>COUNTIF(CONT_TEA[Unique Contract],CONT_TEA[[#This Row],[Unique Contract]])-1</f>
        <v>0</v>
      </c>
      <c r="C20" s="57">
        <f>IFERROR(IF(FIND(CONT_TEA[[#This Row],[SchoolCode]],_xlfn.XLOOKUP(CONT_TEA[[#This Row],[StaffMemberCode]],MEMBERS[StaffMemberCode],MEMBERS[SchoolCodes]))&gt;0,0,1),1)</f>
        <v>0</v>
      </c>
      <c r="D20" s="57" cm="1">
        <f t="array" ref="D20">IF(_xlfn.XLOOKUP(CONT_TEA[[#This Row],[StaffRoleCode]],ROLES[StaffRoleCode],ROLES[AvailableToAllSchools],1,0,)=TRUE,0,IF(ISERROR(FIND(CONT_TEA[[#This Row],[SchoolCode]],_xlfn.TEXTJOIN(",",TRUE,_xlfn.UNIQUE(IF(ROLES[StaffRoleCode]=CONT_TEA[[#This Row],[StaffRoleCode]],ROLES[SchoolCodes],""))))),1,0))</f>
        <v>0</v>
      </c>
      <c r="E20" s="57" cm="1">
        <f t="array" ref="E2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0" s="57" cm="1">
        <f t="array" ref="F20">IF(_xlfn.XLOOKUP(CONT_TEA[[#This Row],[PayScaleCode]],PAYSCALES[PayScaleCode],PAYSCALES[AvailableToAllSchools],1,0,)=TRUE,0,IF(ISERROR(FIND(CONT_TEA[[#This Row],[SchoolCode]],_xlfn.TEXTJOIN(",",TRUE,_xlfn.UNIQUE(IF(PAYSCALES[PayScaleCode]=CONT_TEA[[#This Row],[PayScaleCode]],PAYSCALES[SchoolCodes],""))))),1,0))</f>
        <v>0</v>
      </c>
      <c r="G20" s="57">
        <f>IF(_xlfn.XLOOKUP(CONT_TEA[[#This Row],[PayScaleGradeCode]],GRADES[PayScaleGradeCode],GRADES[AvailableToAllSchools])=TRUE,0,IFERROR(IF(FIND(CONT_TEA[[#This Row],[SchoolCode]],_xlfn.XLOOKUP(CONT_TEA[[#This Row],[PayScaleGradeCode]],GRADES[PayScaleGradeCode],GRADES[SchoolCodes]))&gt;=1,0,1),1))</f>
        <v>0</v>
      </c>
      <c r="H20" s="57">
        <f>IF(ISERROR(IF((_xlfn.XLOOKUP(CONT_TEA[[#This Row],[PayScaleGradeCode]],GRADES[PayScaleGradeCode],GRADES[PayScaleCode])=CONT_TEA[[#This Row],[PayScaleCode]]),0,1)),1,0)</f>
        <v>0</v>
      </c>
      <c r="I20" s="57" cm="1">
        <f t="array" ref="I20">IF(ISERROR(FIND(CONT_TEA[[#This Row],[PayScalePointCode]],_xlfn.TEXTJOIN(",",TRUE,IF(PSPOINTS[PayScaleCode]=CONT_TEA[[#This Row],[PayScaleCode]],PSPOINTS[PayScalePointCode])))),1,0)</f>
        <v>0</v>
      </c>
      <c r="J20" s="57" cm="1">
        <f t="array" ref="J2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0" s="57">
        <f>IF(_xlfn.XLOOKUP(CONT_TEA[[#This Row],[PayScalePointCode]],PSPOINTS[PayScalePointCode],PSPOINTS[PayScalePointEnabled])=TRUE,0,1)</f>
        <v>0</v>
      </c>
      <c r="L20" s="57" cm="1">
        <f t="array" ref="L20">IF(_xlfn.XLOOKUP(CONT_TEA[[#This Row],[DepartmentCode]],DEPTS[DepartmentCode],DEPTS[AvailableToAllSchools],1,0,)=TRUE,0,IF(ISERROR(FIND(CONT_TEA[[#This Row],[SchoolCode]],_xlfn.TEXTJOIN(",",TRUE,_xlfn.UNIQUE(IF(DEPTS[DepartmentCode]=CONT_TEA[[#This Row],[DepartmentCode]],DEPTS[SchoolCodes],""))))),1,0))</f>
        <v>0</v>
      </c>
      <c r="M20" s="57">
        <f>IFERROR(IF(_xlfn.XLOOKUP(CONT_TEA[[#This Row],[SRG Gross]],FinanceCodesBudget[FinanceCode],FinanceCodesBudget[LedgerCode])=_xlfn.XLOOKUP(CONT_TEA[[#This Row],[DepartmentCode]],DEPTS[DepartmentCode],DEPTS[LedgerCode]),0,1),1)</f>
        <v>1</v>
      </c>
      <c r="N20" s="57" cm="1">
        <f t="array" ref="N20">IF(_xlfn.XLOOKUP(CONT_TEA[[#This Row],[PensionCode]],PENS[PensionCode],PENS[AvailableToAllSchools],1,0,)=TRUE,0,IF(ISERROR(FIND(CONT_TEA[[#This Row],[SchoolCode]],_xlfn.TEXTJOIN(",",TRUE,_xlfn.UNIQUE(IF(PENS[PensionCode]=CONT_TEA[[#This Row],[PensionCode]],PENS[SchoolCodes],""))))),1,0))</f>
        <v>0</v>
      </c>
      <c r="O20" s="57" cm="1">
        <f t="array" ref="O20">IF(_xlfn.XLOOKUP(CONT_TEA[[#This Row],[EquatedWeekPatternCode]],EQW[EquatedWeekPatternCode],EQW[AvailableToAllSchools],1,0,)=TRUE,0,IF(ISERROR(FIND(CONT_TEA[[#This Row],[SchoolCode]],_xlfn.TEXTJOIN(",",TRUE,_xlfn.UNIQUE(IF(EQW[EquatedWeekPatternCode]=CONT_TEA[[#This Row],[EquatedWeekPatternCode]],EQW[SchoolCodes],""))))),1,0))</f>
        <v>0</v>
      </c>
      <c r="P20" s="57">
        <f>1-COUNTIF(ContractTypes[Code],CONT_TEA[[#This Row],[ContractTypeCode]])</f>
        <v>0</v>
      </c>
      <c r="Q20" s="57">
        <f>IF(VLOOKUP(CONT_TEA[[#This Row],[StaffMemberCode]],MEMBERS[[StaffMemberCode]:[ServiceStartDate]],5,0)&gt;CONT_TEA[[#This Row],[DateFrom]],1,0)</f>
        <v>0</v>
      </c>
      <c r="R20" s="57">
        <f>IF(_xlfn.XLOOKUP(CONT_TEA[[#This Row],[StaffMemberCode]],MEMBERS[StaffMemberCode],MEMBERS[ServiceEndDate])="",0,IF(CONT_TEA[[#This Row],[DateTo]]="",1,IF(_xlfn.XLOOKUP(CONT_TEA[[#This Row],[StaffMemberCode]],MEMBERS[StaffMemberCode],MEMBERS[ServiceEndDate])&lt;CONT_TEA[[#This Row],[DateTo]],1,0)))</f>
        <v>0</v>
      </c>
      <c r="S20" s="57">
        <f>IF(ISBLANK(CONT_TEA[[#This Row],[DateTo]]),0,IF(CONT_TEA[[#This Row],[DateFrom]]=CONT_TEA[[#This Row],[DateTo]],0,IF(CONT_TEA[[#This Row],[DateFrom]]&lt;CONT_TEA[[#This Row],[DateTo]],0,1)))</f>
        <v>0</v>
      </c>
      <c r="T20" s="57" cm="1">
        <f t="array" aca="1" ref="T20" ca="1">IF(CELL("format",CONT_TEA[[#This Row],[DateFrom]])="D1",0,1)+IF(CELL("format",CONT_TEA[[#This Row],[DateTo]])="D1",0,1)</f>
        <v>0</v>
      </c>
      <c r="U20" s="57">
        <f>IF(OR(CONT_TEA[[#This Row],[MatEditOnly]]=TRUE,CONT_TEA[[#This Row],[MatEditOnly]]=FALSE),IF(OR(CONT_TEA[[#This Row],[NoIncrement]]=TRUE,CONT_TEA[[#This Row],[NoIncrement]]=FALSE),0,1),1)</f>
        <v>0</v>
      </c>
      <c r="V20" s="57">
        <f>IF(ISBLANK(CONT_TEA[[#This Row],[FundCode]])=TRUE,0,IF(COUNTIF(FUNDS[FundCode],CONT_TEA[[#This Row],[FundCode]])=1,0,1))</f>
        <v>0</v>
      </c>
      <c r="W20" s="57">
        <f>IF(LEN(CONT_TEA[[#This Row],[Notes]])&lt;4000,0,1)</f>
        <v>0</v>
      </c>
      <c r="X20" s="57">
        <f>IF(SUBSTITUTE(TEXT(CONT_TEA[[#This Row],[Reference]],10)," ","")=TEXT(CONT_TEA[[#This Row],[Reference]],10),0,1)</f>
        <v>0</v>
      </c>
      <c r="Y20" s="57">
        <f ca="1">SUM(CONT_TEA[[#This Row],[Duplicate Contract]:[Space in Code]])</f>
        <v>1</v>
      </c>
      <c r="AA20" s="12" t="s">
        <v>2089</v>
      </c>
      <c r="AB20" s="15">
        <v>91073643</v>
      </c>
      <c r="AC20" s="12" t="s">
        <v>4369</v>
      </c>
      <c r="AD20" s="57" t="str">
        <f>_xlfn.XLOOKUP(CONT_TEA[[#This Row],[StaffMemberCode]],StaffMembers!O:O,StaffMembers!R:R)</f>
        <v>Andrew Perry</v>
      </c>
      <c r="AE20" s="12" t="s">
        <v>1553</v>
      </c>
      <c r="AF20" s="57">
        <f>_xlfn.XLOOKUP(CONT_TEA[[#This Row],[SRG]],SRG[StaffRoleGroupCode],SRG[GrossSalaryFinanceCode])</f>
        <v>610100</v>
      </c>
      <c r="AG20" s="57" t="str">
        <f>_xlfn.XLOOKUP(CONT_TEA[[#This Row],[StaffRoleCode]],ROLES[StaffRoleCode],ROLES[StaffRoleGroupCode])</f>
        <v>LST</v>
      </c>
      <c r="AH20" s="57" t="str">
        <f>_xlfn.XLOOKUP(CONT_TEA[[#This Row],[StaffRoleCode]],ROLES[StaffRoleCode],ROLES[PayScaleCode])</f>
        <v>LS</v>
      </c>
      <c r="AI20" s="12" t="s">
        <v>3082</v>
      </c>
      <c r="AJ20" s="12" t="s">
        <v>1089</v>
      </c>
      <c r="AK20" s="12" t="s">
        <v>2499</v>
      </c>
      <c r="AM20" s="68" t="s">
        <v>1147</v>
      </c>
      <c r="AN20" s="13" t="s">
        <v>1702</v>
      </c>
      <c r="AO20" s="21">
        <v>45901</v>
      </c>
      <c r="AQ20" s="12">
        <v>1</v>
      </c>
      <c r="AR20" t="b">
        <v>0</v>
      </c>
      <c r="AS20" t="b">
        <v>0</v>
      </c>
      <c r="AT20" s="12" t="s">
        <v>1574</v>
      </c>
    </row>
    <row r="21" spans="1:46" x14ac:dyDescent="0.3">
      <c r="A21" s="57" t="str">
        <f t="shared" si="0"/>
        <v>SBL9107574391075743AHTSTCH45901</v>
      </c>
      <c r="B21" s="57">
        <f>COUNTIF(CONT_TEA[Unique Contract],CONT_TEA[[#This Row],[Unique Contract]])-1</f>
        <v>0</v>
      </c>
      <c r="C21" s="57">
        <f>IFERROR(IF(FIND(CONT_TEA[[#This Row],[SchoolCode]],_xlfn.XLOOKUP(CONT_TEA[[#This Row],[StaffMemberCode]],MEMBERS[StaffMemberCode],MEMBERS[SchoolCodes]))&gt;0,0,1),1)</f>
        <v>0</v>
      </c>
      <c r="D21" s="57" cm="1">
        <f t="array" ref="D21">IF(_xlfn.XLOOKUP(CONT_TEA[[#This Row],[StaffRoleCode]],ROLES[StaffRoleCode],ROLES[AvailableToAllSchools],1,0,)=TRUE,0,IF(ISERROR(FIND(CONT_TEA[[#This Row],[SchoolCode]],_xlfn.TEXTJOIN(",",TRUE,_xlfn.UNIQUE(IF(ROLES[StaffRoleCode]=CONT_TEA[[#This Row],[StaffRoleCode]],ROLES[SchoolCodes],""))))),1,0))</f>
        <v>0</v>
      </c>
      <c r="E21" s="57" cm="1">
        <f t="array" ref="E2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1" s="57" cm="1">
        <f t="array" ref="F21">IF(_xlfn.XLOOKUP(CONT_TEA[[#This Row],[PayScaleCode]],PAYSCALES[PayScaleCode],PAYSCALES[AvailableToAllSchools],1,0,)=TRUE,0,IF(ISERROR(FIND(CONT_TEA[[#This Row],[SchoolCode]],_xlfn.TEXTJOIN(",",TRUE,_xlfn.UNIQUE(IF(PAYSCALES[PayScaleCode]=CONT_TEA[[#This Row],[PayScaleCode]],PAYSCALES[SchoolCodes],""))))),1,0))</f>
        <v>0</v>
      </c>
      <c r="G21" s="57">
        <f>IF(_xlfn.XLOOKUP(CONT_TEA[[#This Row],[PayScaleGradeCode]],GRADES[PayScaleGradeCode],GRADES[AvailableToAllSchools])=TRUE,0,IFERROR(IF(FIND(CONT_TEA[[#This Row],[SchoolCode]],_xlfn.XLOOKUP(CONT_TEA[[#This Row],[PayScaleGradeCode]],GRADES[PayScaleGradeCode],GRADES[SchoolCodes]))&gt;=1,0,1),1))</f>
        <v>0</v>
      </c>
      <c r="H21" s="57">
        <f>IF(ISERROR(IF((_xlfn.XLOOKUP(CONT_TEA[[#This Row],[PayScaleGradeCode]],GRADES[PayScaleGradeCode],GRADES[PayScaleCode])=CONT_TEA[[#This Row],[PayScaleCode]]),0,1)),1,0)</f>
        <v>0</v>
      </c>
      <c r="I21" s="57" cm="1">
        <f t="array" ref="I21">IF(ISERROR(FIND(CONT_TEA[[#This Row],[PayScalePointCode]],_xlfn.TEXTJOIN(",",TRUE,IF(PSPOINTS[PayScaleCode]=CONT_TEA[[#This Row],[PayScaleCode]],PSPOINTS[PayScalePointCode])))),1,0)</f>
        <v>0</v>
      </c>
      <c r="J21" s="57" cm="1">
        <f t="array" ref="J2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1" s="57">
        <f>IF(_xlfn.XLOOKUP(CONT_TEA[[#This Row],[PayScalePointCode]],PSPOINTS[PayScalePointCode],PSPOINTS[PayScalePointEnabled])=TRUE,0,1)</f>
        <v>0</v>
      </c>
      <c r="L21" s="57" cm="1">
        <f t="array" ref="L21">IF(_xlfn.XLOOKUP(CONT_TEA[[#This Row],[DepartmentCode]],DEPTS[DepartmentCode],DEPTS[AvailableToAllSchools],1,0,)=TRUE,0,IF(ISERROR(FIND(CONT_TEA[[#This Row],[SchoolCode]],_xlfn.TEXTJOIN(",",TRUE,_xlfn.UNIQUE(IF(DEPTS[DepartmentCode]=CONT_TEA[[#This Row],[DepartmentCode]],DEPTS[SchoolCodes],""))))),1,0))</f>
        <v>0</v>
      </c>
      <c r="M21" s="57">
        <f>IFERROR(IF(_xlfn.XLOOKUP(CONT_TEA[[#This Row],[SRG Gross]],FinanceCodesBudget[FinanceCode],FinanceCodesBudget[LedgerCode])=_xlfn.XLOOKUP(CONT_TEA[[#This Row],[DepartmentCode]],DEPTS[DepartmentCode],DEPTS[LedgerCode]),0,1),1)</f>
        <v>1</v>
      </c>
      <c r="N21" s="57" cm="1">
        <f t="array" ref="N21">IF(_xlfn.XLOOKUP(CONT_TEA[[#This Row],[PensionCode]],PENS[PensionCode],PENS[AvailableToAllSchools],1,0,)=TRUE,0,IF(ISERROR(FIND(CONT_TEA[[#This Row],[SchoolCode]],_xlfn.TEXTJOIN(",",TRUE,_xlfn.UNIQUE(IF(PENS[PensionCode]=CONT_TEA[[#This Row],[PensionCode]],PENS[SchoolCodes],""))))),1,0))</f>
        <v>0</v>
      </c>
      <c r="O21" s="57" cm="1">
        <f t="array" ref="O21">IF(_xlfn.XLOOKUP(CONT_TEA[[#This Row],[EquatedWeekPatternCode]],EQW[EquatedWeekPatternCode],EQW[AvailableToAllSchools],1,0,)=TRUE,0,IF(ISERROR(FIND(CONT_TEA[[#This Row],[SchoolCode]],_xlfn.TEXTJOIN(",",TRUE,_xlfn.UNIQUE(IF(EQW[EquatedWeekPatternCode]=CONT_TEA[[#This Row],[EquatedWeekPatternCode]],EQW[SchoolCodes],""))))),1,0))</f>
        <v>0</v>
      </c>
      <c r="P21" s="57">
        <f>1-COUNTIF(ContractTypes[Code],CONT_TEA[[#This Row],[ContractTypeCode]])</f>
        <v>0</v>
      </c>
      <c r="Q21" s="57">
        <f>IF(VLOOKUP(CONT_TEA[[#This Row],[StaffMemberCode]],MEMBERS[[StaffMemberCode]:[ServiceStartDate]],5,0)&gt;CONT_TEA[[#This Row],[DateFrom]],1,0)</f>
        <v>0</v>
      </c>
      <c r="R21" s="57">
        <f>IF(_xlfn.XLOOKUP(CONT_TEA[[#This Row],[StaffMemberCode]],MEMBERS[StaffMemberCode],MEMBERS[ServiceEndDate])="",0,IF(CONT_TEA[[#This Row],[DateTo]]="",1,IF(_xlfn.XLOOKUP(CONT_TEA[[#This Row],[StaffMemberCode]],MEMBERS[StaffMemberCode],MEMBERS[ServiceEndDate])&lt;CONT_TEA[[#This Row],[DateTo]],1,0)))</f>
        <v>0</v>
      </c>
      <c r="S21" s="57">
        <f>IF(ISBLANK(CONT_TEA[[#This Row],[DateTo]]),0,IF(CONT_TEA[[#This Row],[DateFrom]]=CONT_TEA[[#This Row],[DateTo]],0,IF(CONT_TEA[[#This Row],[DateFrom]]&lt;CONT_TEA[[#This Row],[DateTo]],0,1)))</f>
        <v>0</v>
      </c>
      <c r="T21" s="57" cm="1">
        <f t="array" aca="1" ref="T21" ca="1">IF(CELL("format",CONT_TEA[[#This Row],[DateFrom]])="D1",0,1)+IF(CELL("format",CONT_TEA[[#This Row],[DateTo]])="D1",0,1)</f>
        <v>0</v>
      </c>
      <c r="U21" s="57">
        <f>IF(OR(CONT_TEA[[#This Row],[MatEditOnly]]=TRUE,CONT_TEA[[#This Row],[MatEditOnly]]=FALSE),IF(OR(CONT_TEA[[#This Row],[NoIncrement]]=TRUE,CONT_TEA[[#This Row],[NoIncrement]]=FALSE),0,1),1)</f>
        <v>0</v>
      </c>
      <c r="V21" s="57">
        <f>IF(ISBLANK(CONT_TEA[[#This Row],[FundCode]])=TRUE,0,IF(COUNTIF(FUNDS[FundCode],CONT_TEA[[#This Row],[FundCode]])=1,0,1))</f>
        <v>0</v>
      </c>
      <c r="W21" s="57">
        <f>IF(LEN(CONT_TEA[[#This Row],[Notes]])&lt;4000,0,1)</f>
        <v>0</v>
      </c>
      <c r="X21" s="57">
        <f>IF(SUBSTITUTE(TEXT(CONT_TEA[[#This Row],[Reference]],10)," ","")=TEXT(CONT_TEA[[#This Row],[Reference]],10),0,1)</f>
        <v>0</v>
      </c>
      <c r="Y21" s="57">
        <f ca="1">SUM(CONT_TEA[[#This Row],[Duplicate Contract]:[Space in Code]])</f>
        <v>1</v>
      </c>
      <c r="AA21" s="12" t="s">
        <v>2200</v>
      </c>
      <c r="AB21" s="15">
        <v>91075743</v>
      </c>
      <c r="AC21" s="12" t="s">
        <v>4370</v>
      </c>
      <c r="AD21" s="57" t="str">
        <f>_xlfn.XLOOKUP(CONT_TEA[[#This Row],[StaffMemberCode]],StaffMembers!O:O,StaffMembers!R:R)</f>
        <v>Jennifer Holden</v>
      </c>
      <c r="AE21" s="12" t="s">
        <v>1553</v>
      </c>
      <c r="AF21" s="57">
        <f>_xlfn.XLOOKUP(CONT_TEA[[#This Row],[SRG]],SRG[StaffRoleGroupCode],SRG[GrossSalaryFinanceCode])</f>
        <v>610100</v>
      </c>
      <c r="AG21" s="57" t="str">
        <f>_xlfn.XLOOKUP(CONT_TEA[[#This Row],[StaffRoleCode]],ROLES[StaffRoleCode],ROLES[StaffRoleGroupCode])</f>
        <v>LST</v>
      </c>
      <c r="AH21" s="57" t="str">
        <f>_xlfn.XLOOKUP(CONT_TEA[[#This Row],[StaffRoleCode]],ROLES[StaffRoleCode],ROLES[PayScaleCode])</f>
        <v>LS</v>
      </c>
      <c r="AI21" s="12" t="s">
        <v>3084</v>
      </c>
      <c r="AJ21" s="12" t="s">
        <v>1089</v>
      </c>
      <c r="AK21" s="12" t="s">
        <v>2499</v>
      </c>
      <c r="AM21" s="68" t="s">
        <v>1147</v>
      </c>
      <c r="AN21" s="13" t="s">
        <v>1702</v>
      </c>
      <c r="AO21" s="21">
        <v>45901</v>
      </c>
      <c r="AQ21" s="12">
        <v>1</v>
      </c>
      <c r="AR21" t="b">
        <v>0</v>
      </c>
      <c r="AS21" t="b">
        <v>0</v>
      </c>
      <c r="AT21" s="12" t="s">
        <v>1574</v>
      </c>
    </row>
    <row r="22" spans="1:46" x14ac:dyDescent="0.3">
      <c r="A22" s="57" t="str">
        <f t="shared" si="0"/>
        <v>PTP9185003791850037AHTSTCH45901</v>
      </c>
      <c r="B22" s="57">
        <f>COUNTIF(CONT_TEA[Unique Contract],CONT_TEA[[#This Row],[Unique Contract]])-1</f>
        <v>0</v>
      </c>
      <c r="C22" s="57">
        <f>IFERROR(IF(FIND(CONT_TEA[[#This Row],[SchoolCode]],_xlfn.XLOOKUP(CONT_TEA[[#This Row],[StaffMemberCode]],MEMBERS[StaffMemberCode],MEMBERS[SchoolCodes]))&gt;0,0,1),1)</f>
        <v>0</v>
      </c>
      <c r="D22" s="57" cm="1">
        <f t="array" ref="D22">IF(_xlfn.XLOOKUP(CONT_TEA[[#This Row],[StaffRoleCode]],ROLES[StaffRoleCode],ROLES[AvailableToAllSchools],1,0,)=TRUE,0,IF(ISERROR(FIND(CONT_TEA[[#This Row],[SchoolCode]],_xlfn.TEXTJOIN(",",TRUE,_xlfn.UNIQUE(IF(ROLES[StaffRoleCode]=CONT_TEA[[#This Row],[StaffRoleCode]],ROLES[SchoolCodes],""))))),1,0))</f>
        <v>0</v>
      </c>
      <c r="E22" s="57" cm="1">
        <f t="array" ref="E2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2" s="57" cm="1">
        <f t="array" ref="F22">IF(_xlfn.XLOOKUP(CONT_TEA[[#This Row],[PayScaleCode]],PAYSCALES[PayScaleCode],PAYSCALES[AvailableToAllSchools],1,0,)=TRUE,0,IF(ISERROR(FIND(CONT_TEA[[#This Row],[SchoolCode]],_xlfn.TEXTJOIN(",",TRUE,_xlfn.UNIQUE(IF(PAYSCALES[PayScaleCode]=CONT_TEA[[#This Row],[PayScaleCode]],PAYSCALES[SchoolCodes],""))))),1,0))</f>
        <v>0</v>
      </c>
      <c r="G22" s="57">
        <f>IF(_xlfn.XLOOKUP(CONT_TEA[[#This Row],[PayScaleGradeCode]],GRADES[PayScaleGradeCode],GRADES[AvailableToAllSchools])=TRUE,0,IFERROR(IF(FIND(CONT_TEA[[#This Row],[SchoolCode]],_xlfn.XLOOKUP(CONT_TEA[[#This Row],[PayScaleGradeCode]],GRADES[PayScaleGradeCode],GRADES[SchoolCodes]))&gt;=1,0,1),1))</f>
        <v>0</v>
      </c>
      <c r="H22" s="57">
        <f>IF(ISERROR(IF((_xlfn.XLOOKUP(CONT_TEA[[#This Row],[PayScaleGradeCode]],GRADES[PayScaleGradeCode],GRADES[PayScaleCode])=CONT_TEA[[#This Row],[PayScaleCode]]),0,1)),1,0)</f>
        <v>0</v>
      </c>
      <c r="I22" s="57" cm="1">
        <f t="array" ref="I22">IF(ISERROR(FIND(CONT_TEA[[#This Row],[PayScalePointCode]],_xlfn.TEXTJOIN(",",TRUE,IF(PSPOINTS[PayScaleCode]=CONT_TEA[[#This Row],[PayScaleCode]],PSPOINTS[PayScalePointCode])))),1,0)</f>
        <v>0</v>
      </c>
      <c r="J22" s="57" cm="1">
        <f t="array" ref="J2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2" s="57">
        <f>IF(_xlfn.XLOOKUP(CONT_TEA[[#This Row],[PayScalePointCode]],PSPOINTS[PayScalePointCode],PSPOINTS[PayScalePointEnabled])=TRUE,0,1)</f>
        <v>0</v>
      </c>
      <c r="L22" s="57" cm="1">
        <f t="array" ref="L22">IF(_xlfn.XLOOKUP(CONT_TEA[[#This Row],[DepartmentCode]],DEPTS[DepartmentCode],DEPTS[AvailableToAllSchools],1,0,)=TRUE,0,IF(ISERROR(FIND(CONT_TEA[[#This Row],[SchoolCode]],_xlfn.TEXTJOIN(",",TRUE,_xlfn.UNIQUE(IF(DEPTS[DepartmentCode]=CONT_TEA[[#This Row],[DepartmentCode]],DEPTS[SchoolCodes],""))))),1,0))</f>
        <v>0</v>
      </c>
      <c r="M22" s="57">
        <f>IFERROR(IF(_xlfn.XLOOKUP(CONT_TEA[[#This Row],[SRG Gross]],FinanceCodesBudget[FinanceCode],FinanceCodesBudget[LedgerCode])=_xlfn.XLOOKUP(CONT_TEA[[#This Row],[DepartmentCode]],DEPTS[DepartmentCode],DEPTS[LedgerCode]),0,1),1)</f>
        <v>1</v>
      </c>
      <c r="N22" s="57" cm="1">
        <f t="array" ref="N22">IF(_xlfn.XLOOKUP(CONT_TEA[[#This Row],[PensionCode]],PENS[PensionCode],PENS[AvailableToAllSchools],1,0,)=TRUE,0,IF(ISERROR(FIND(CONT_TEA[[#This Row],[SchoolCode]],_xlfn.TEXTJOIN(",",TRUE,_xlfn.UNIQUE(IF(PENS[PensionCode]=CONT_TEA[[#This Row],[PensionCode]],PENS[SchoolCodes],""))))),1,0))</f>
        <v>0</v>
      </c>
      <c r="O22" s="57" cm="1">
        <f t="array" ref="O22">IF(_xlfn.XLOOKUP(CONT_TEA[[#This Row],[EquatedWeekPatternCode]],EQW[EquatedWeekPatternCode],EQW[AvailableToAllSchools],1,0,)=TRUE,0,IF(ISERROR(FIND(CONT_TEA[[#This Row],[SchoolCode]],_xlfn.TEXTJOIN(",",TRUE,_xlfn.UNIQUE(IF(EQW[EquatedWeekPatternCode]=CONT_TEA[[#This Row],[EquatedWeekPatternCode]],EQW[SchoolCodes],""))))),1,0))</f>
        <v>0</v>
      </c>
      <c r="P22" s="57">
        <f>1-COUNTIF(ContractTypes[Code],CONT_TEA[[#This Row],[ContractTypeCode]])</f>
        <v>0</v>
      </c>
      <c r="Q22" s="57">
        <f>IF(VLOOKUP(CONT_TEA[[#This Row],[StaffMemberCode]],MEMBERS[[StaffMemberCode]:[ServiceStartDate]],5,0)&gt;CONT_TEA[[#This Row],[DateFrom]],1,0)</f>
        <v>0</v>
      </c>
      <c r="R22" s="57">
        <f>IF(_xlfn.XLOOKUP(CONT_TEA[[#This Row],[StaffMemberCode]],MEMBERS[StaffMemberCode],MEMBERS[ServiceEndDate])="",0,IF(CONT_TEA[[#This Row],[DateTo]]="",1,IF(_xlfn.XLOOKUP(CONT_TEA[[#This Row],[StaffMemberCode]],MEMBERS[StaffMemberCode],MEMBERS[ServiceEndDate])&lt;CONT_TEA[[#This Row],[DateTo]],1,0)))</f>
        <v>0</v>
      </c>
      <c r="S22" s="57">
        <f>IF(ISBLANK(CONT_TEA[[#This Row],[DateTo]]),0,IF(CONT_TEA[[#This Row],[DateFrom]]=CONT_TEA[[#This Row],[DateTo]],0,IF(CONT_TEA[[#This Row],[DateFrom]]&lt;CONT_TEA[[#This Row],[DateTo]],0,1)))</f>
        <v>0</v>
      </c>
      <c r="T22" s="57" cm="1">
        <f t="array" aca="1" ref="T22" ca="1">IF(CELL("format",CONT_TEA[[#This Row],[DateFrom]])="D1",0,1)+IF(CELL("format",CONT_TEA[[#This Row],[DateTo]])="D1",0,1)</f>
        <v>0</v>
      </c>
      <c r="U22" s="57">
        <f>IF(OR(CONT_TEA[[#This Row],[MatEditOnly]]=TRUE,CONT_TEA[[#This Row],[MatEditOnly]]=FALSE),IF(OR(CONT_TEA[[#This Row],[NoIncrement]]=TRUE,CONT_TEA[[#This Row],[NoIncrement]]=FALSE),0,1),1)</f>
        <v>0</v>
      </c>
      <c r="V22" s="57">
        <f>IF(ISBLANK(CONT_TEA[[#This Row],[FundCode]])=TRUE,0,IF(COUNTIF(FUNDS[FundCode],CONT_TEA[[#This Row],[FundCode]])=1,0,1))</f>
        <v>0</v>
      </c>
      <c r="W22" s="57">
        <f>IF(LEN(CONT_TEA[[#This Row],[Notes]])&lt;4000,0,1)</f>
        <v>0</v>
      </c>
      <c r="X22" s="57">
        <f>IF(SUBSTITUTE(TEXT(CONT_TEA[[#This Row],[Reference]],10)," ","")=TEXT(CONT_TEA[[#This Row],[Reference]],10),0,1)</f>
        <v>0</v>
      </c>
      <c r="Y22" s="57">
        <f ca="1">SUM(CONT_TEA[[#This Row],[Duplicate Contract]:[Space in Code]])</f>
        <v>1</v>
      </c>
      <c r="AA22" s="12" t="s">
        <v>2299</v>
      </c>
      <c r="AB22" s="15">
        <v>91850037</v>
      </c>
      <c r="AC22" s="12" t="s">
        <v>4371</v>
      </c>
      <c r="AD22" s="57" t="str">
        <f>_xlfn.XLOOKUP(CONT_TEA[[#This Row],[StaffMemberCode]],StaffMembers!O:O,StaffMembers!R:R)</f>
        <v>Nicola Casey</v>
      </c>
      <c r="AE22" s="12" t="s">
        <v>1553</v>
      </c>
      <c r="AF22" s="57">
        <f>_xlfn.XLOOKUP(CONT_TEA[[#This Row],[SRG]],SRG[StaffRoleGroupCode],SRG[GrossSalaryFinanceCode])</f>
        <v>610100</v>
      </c>
      <c r="AG22" s="57" t="str">
        <f>_xlfn.XLOOKUP(CONT_TEA[[#This Row],[StaffRoleCode]],ROLES[StaffRoleCode],ROLES[StaffRoleGroupCode])</f>
        <v>LST</v>
      </c>
      <c r="AH22" s="57" t="str">
        <f>_xlfn.XLOOKUP(CONT_TEA[[#This Row],[StaffRoleCode]],ROLES[StaffRoleCode],ROLES[PayScaleCode])</f>
        <v>LS</v>
      </c>
      <c r="AI22" s="12" t="s">
        <v>3082</v>
      </c>
      <c r="AJ22" s="12" t="s">
        <v>1086</v>
      </c>
      <c r="AK22" s="12" t="s">
        <v>2499</v>
      </c>
      <c r="AM22" s="68" t="s">
        <v>1147</v>
      </c>
      <c r="AN22" s="13" t="s">
        <v>1702</v>
      </c>
      <c r="AO22" s="21">
        <v>45901</v>
      </c>
      <c r="AQ22" s="12">
        <v>1</v>
      </c>
      <c r="AR22" t="b">
        <v>0</v>
      </c>
      <c r="AS22" t="b">
        <v>0</v>
      </c>
      <c r="AT22" s="12" t="s">
        <v>65</v>
      </c>
    </row>
    <row r="23" spans="1:46" x14ac:dyDescent="0.3">
      <c r="A23" s="57" t="str">
        <f t="shared" si="0"/>
        <v>BLS9107345291073452AHTSTCH45901</v>
      </c>
      <c r="B23" s="57">
        <f>COUNTIF(CONT_TEA[Unique Contract],CONT_TEA[[#This Row],[Unique Contract]])-1</f>
        <v>0</v>
      </c>
      <c r="C23" s="57">
        <f>IFERROR(IF(FIND(CONT_TEA[[#This Row],[SchoolCode]],_xlfn.XLOOKUP(CONT_TEA[[#This Row],[StaffMemberCode]],MEMBERS[StaffMemberCode],MEMBERS[SchoolCodes]))&gt;0,0,1),1)</f>
        <v>0</v>
      </c>
      <c r="D23" s="57" cm="1">
        <f t="array" ref="D23">IF(_xlfn.XLOOKUP(CONT_TEA[[#This Row],[StaffRoleCode]],ROLES[StaffRoleCode],ROLES[AvailableToAllSchools],1,0,)=TRUE,0,IF(ISERROR(FIND(CONT_TEA[[#This Row],[SchoolCode]],_xlfn.TEXTJOIN(",",TRUE,_xlfn.UNIQUE(IF(ROLES[StaffRoleCode]=CONT_TEA[[#This Row],[StaffRoleCode]],ROLES[SchoolCodes],""))))),1,0))</f>
        <v>0</v>
      </c>
      <c r="E23" s="57" cm="1">
        <f t="array" ref="E2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3" s="57" cm="1">
        <f t="array" ref="F23">IF(_xlfn.XLOOKUP(CONT_TEA[[#This Row],[PayScaleCode]],PAYSCALES[PayScaleCode],PAYSCALES[AvailableToAllSchools],1,0,)=TRUE,0,IF(ISERROR(FIND(CONT_TEA[[#This Row],[SchoolCode]],_xlfn.TEXTJOIN(",",TRUE,_xlfn.UNIQUE(IF(PAYSCALES[PayScaleCode]=CONT_TEA[[#This Row],[PayScaleCode]],PAYSCALES[SchoolCodes],""))))),1,0))</f>
        <v>0</v>
      </c>
      <c r="G23" s="57">
        <f>IF(_xlfn.XLOOKUP(CONT_TEA[[#This Row],[PayScaleGradeCode]],GRADES[PayScaleGradeCode],GRADES[AvailableToAllSchools])=TRUE,0,IFERROR(IF(FIND(CONT_TEA[[#This Row],[SchoolCode]],_xlfn.XLOOKUP(CONT_TEA[[#This Row],[PayScaleGradeCode]],GRADES[PayScaleGradeCode],GRADES[SchoolCodes]))&gt;=1,0,1),1))</f>
        <v>0</v>
      </c>
      <c r="H23" s="57">
        <f>IF(ISERROR(IF((_xlfn.XLOOKUP(CONT_TEA[[#This Row],[PayScaleGradeCode]],GRADES[PayScaleGradeCode],GRADES[PayScaleCode])=CONT_TEA[[#This Row],[PayScaleCode]]),0,1)),1,0)</f>
        <v>0</v>
      </c>
      <c r="I23" s="57" cm="1">
        <f t="array" ref="I23">IF(ISERROR(FIND(CONT_TEA[[#This Row],[PayScalePointCode]],_xlfn.TEXTJOIN(",",TRUE,IF(PSPOINTS[PayScaleCode]=CONT_TEA[[#This Row],[PayScaleCode]],PSPOINTS[PayScalePointCode])))),1,0)</f>
        <v>0</v>
      </c>
      <c r="J23" s="57" cm="1">
        <f t="array" ref="J2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3" s="57">
        <f>IF(_xlfn.XLOOKUP(CONT_TEA[[#This Row],[PayScalePointCode]],PSPOINTS[PayScalePointCode],PSPOINTS[PayScalePointEnabled])=TRUE,0,1)</f>
        <v>0</v>
      </c>
      <c r="L23" s="57" cm="1">
        <f t="array" ref="L23">IF(_xlfn.XLOOKUP(CONT_TEA[[#This Row],[DepartmentCode]],DEPTS[DepartmentCode],DEPTS[AvailableToAllSchools],1,0,)=TRUE,0,IF(ISERROR(FIND(CONT_TEA[[#This Row],[SchoolCode]],_xlfn.TEXTJOIN(",",TRUE,_xlfn.UNIQUE(IF(DEPTS[DepartmentCode]=CONT_TEA[[#This Row],[DepartmentCode]],DEPTS[SchoolCodes],""))))),1,0))</f>
        <v>0</v>
      </c>
      <c r="M23" s="57">
        <f>IFERROR(IF(_xlfn.XLOOKUP(CONT_TEA[[#This Row],[SRG Gross]],FinanceCodesBudget[FinanceCode],FinanceCodesBudget[LedgerCode])=_xlfn.XLOOKUP(CONT_TEA[[#This Row],[DepartmentCode]],DEPTS[DepartmentCode],DEPTS[LedgerCode]),0,1),1)</f>
        <v>1</v>
      </c>
      <c r="N23" s="57" cm="1">
        <f t="array" ref="N23">IF(_xlfn.XLOOKUP(CONT_TEA[[#This Row],[PensionCode]],PENS[PensionCode],PENS[AvailableToAllSchools],1,0,)=TRUE,0,IF(ISERROR(FIND(CONT_TEA[[#This Row],[SchoolCode]],_xlfn.TEXTJOIN(",",TRUE,_xlfn.UNIQUE(IF(PENS[PensionCode]=CONT_TEA[[#This Row],[PensionCode]],PENS[SchoolCodes],""))))),1,0))</f>
        <v>0</v>
      </c>
      <c r="O23" s="57" cm="1">
        <f t="array" ref="O23">IF(_xlfn.XLOOKUP(CONT_TEA[[#This Row],[EquatedWeekPatternCode]],EQW[EquatedWeekPatternCode],EQW[AvailableToAllSchools],1,0,)=TRUE,0,IF(ISERROR(FIND(CONT_TEA[[#This Row],[SchoolCode]],_xlfn.TEXTJOIN(",",TRUE,_xlfn.UNIQUE(IF(EQW[EquatedWeekPatternCode]=CONT_TEA[[#This Row],[EquatedWeekPatternCode]],EQW[SchoolCodes],""))))),1,0))</f>
        <v>0</v>
      </c>
      <c r="P23" s="57">
        <f>1-COUNTIF(ContractTypes[Code],CONT_TEA[[#This Row],[ContractTypeCode]])</f>
        <v>0</v>
      </c>
      <c r="Q23" s="57">
        <f>IF(VLOOKUP(CONT_TEA[[#This Row],[StaffMemberCode]],MEMBERS[[StaffMemberCode]:[ServiceStartDate]],5,0)&gt;CONT_TEA[[#This Row],[DateFrom]],1,0)</f>
        <v>0</v>
      </c>
      <c r="R23" s="57">
        <f>IF(_xlfn.XLOOKUP(CONT_TEA[[#This Row],[StaffMemberCode]],MEMBERS[StaffMemberCode],MEMBERS[ServiceEndDate])="",0,IF(CONT_TEA[[#This Row],[DateTo]]="",1,IF(_xlfn.XLOOKUP(CONT_TEA[[#This Row],[StaffMemberCode]],MEMBERS[StaffMemberCode],MEMBERS[ServiceEndDate])&lt;CONT_TEA[[#This Row],[DateTo]],1,0)))</f>
        <v>0</v>
      </c>
      <c r="S23" s="57">
        <f>IF(ISBLANK(CONT_TEA[[#This Row],[DateTo]]),0,IF(CONT_TEA[[#This Row],[DateFrom]]=CONT_TEA[[#This Row],[DateTo]],0,IF(CONT_TEA[[#This Row],[DateFrom]]&lt;CONT_TEA[[#This Row],[DateTo]],0,1)))</f>
        <v>0</v>
      </c>
      <c r="T23" s="57" cm="1">
        <f t="array" aca="1" ref="T23" ca="1">IF(CELL("format",CONT_TEA[[#This Row],[DateFrom]])="D1",0,1)+IF(CELL("format",CONT_TEA[[#This Row],[DateTo]])="D1",0,1)</f>
        <v>0</v>
      </c>
      <c r="U23" s="57">
        <f>IF(OR(CONT_TEA[[#This Row],[MatEditOnly]]=TRUE,CONT_TEA[[#This Row],[MatEditOnly]]=FALSE),IF(OR(CONT_TEA[[#This Row],[NoIncrement]]=TRUE,CONT_TEA[[#This Row],[NoIncrement]]=FALSE),0,1),1)</f>
        <v>0</v>
      </c>
      <c r="V23" s="57">
        <f>IF(ISBLANK(CONT_TEA[[#This Row],[FundCode]])=TRUE,0,IF(COUNTIF(FUNDS[FundCode],CONT_TEA[[#This Row],[FundCode]])=1,0,1))</f>
        <v>0</v>
      </c>
      <c r="W23" s="57">
        <f>IF(LEN(CONT_TEA[[#This Row],[Notes]])&lt;4000,0,1)</f>
        <v>0</v>
      </c>
      <c r="X23" s="57">
        <f>IF(SUBSTITUTE(TEXT(CONT_TEA[[#This Row],[Reference]],10)," ","")=TEXT(CONT_TEA[[#This Row],[Reference]],10),0,1)</f>
        <v>0</v>
      </c>
      <c r="Y23" s="57">
        <f ca="1">SUM(CONT_TEA[[#This Row],[Duplicate Contract]:[Space in Code]])</f>
        <v>1</v>
      </c>
      <c r="AA23" s="12" t="s">
        <v>2094</v>
      </c>
      <c r="AB23" s="15">
        <v>91073452</v>
      </c>
      <c r="AC23" s="12" t="s">
        <v>4372</v>
      </c>
      <c r="AD23" s="57" t="str">
        <f>_xlfn.XLOOKUP(CONT_TEA[[#This Row],[StaffMemberCode]],StaffMembers!O:O,StaffMembers!R:R)</f>
        <v>Paul Whitehead</v>
      </c>
      <c r="AE23" s="12" t="s">
        <v>1553</v>
      </c>
      <c r="AF23" s="57">
        <f>_xlfn.XLOOKUP(CONT_TEA[[#This Row],[SRG]],SRG[StaffRoleGroupCode],SRG[GrossSalaryFinanceCode])</f>
        <v>610100</v>
      </c>
      <c r="AG23" s="57" t="str">
        <f>_xlfn.XLOOKUP(CONT_TEA[[#This Row],[StaffRoleCode]],ROLES[StaffRoleCode],ROLES[StaffRoleGroupCode])</f>
        <v>LST</v>
      </c>
      <c r="AH23" s="57" t="str">
        <f>_xlfn.XLOOKUP(CONT_TEA[[#This Row],[StaffRoleCode]],ROLES[StaffRoleCode],ROLES[PayScaleCode])</f>
        <v>LS</v>
      </c>
      <c r="AI23" s="12" t="s">
        <v>3081</v>
      </c>
      <c r="AJ23" s="12" t="s">
        <v>1107</v>
      </c>
      <c r="AK23" s="12" t="s">
        <v>2499</v>
      </c>
      <c r="AM23" s="68" t="s">
        <v>1147</v>
      </c>
      <c r="AN23" s="13" t="s">
        <v>1702</v>
      </c>
      <c r="AO23" s="21">
        <v>45901</v>
      </c>
      <c r="AQ23" s="12">
        <v>1</v>
      </c>
      <c r="AR23" t="b">
        <v>0</v>
      </c>
      <c r="AS23" t="b">
        <v>0</v>
      </c>
      <c r="AT23" s="12" t="s">
        <v>1574</v>
      </c>
    </row>
    <row r="24" spans="1:46" x14ac:dyDescent="0.3">
      <c r="A24" s="57" t="str">
        <f t="shared" si="0"/>
        <v>HIG9107389091073890AHTSTCH45901</v>
      </c>
      <c r="B24" s="57">
        <f>COUNTIF(CONT_TEA[Unique Contract],CONT_TEA[[#This Row],[Unique Contract]])-1</f>
        <v>0</v>
      </c>
      <c r="C24" s="57">
        <f>IFERROR(IF(FIND(CONT_TEA[[#This Row],[SchoolCode]],_xlfn.XLOOKUP(CONT_TEA[[#This Row],[StaffMemberCode]],MEMBERS[StaffMemberCode],MEMBERS[SchoolCodes]))&gt;0,0,1),1)</f>
        <v>0</v>
      </c>
      <c r="D24" s="57" cm="1">
        <f t="array" ref="D24">IF(_xlfn.XLOOKUP(CONT_TEA[[#This Row],[StaffRoleCode]],ROLES[StaffRoleCode],ROLES[AvailableToAllSchools],1,0,)=TRUE,0,IF(ISERROR(FIND(CONT_TEA[[#This Row],[SchoolCode]],_xlfn.TEXTJOIN(",",TRUE,_xlfn.UNIQUE(IF(ROLES[StaffRoleCode]=CONT_TEA[[#This Row],[StaffRoleCode]],ROLES[SchoolCodes],""))))),1,0))</f>
        <v>0</v>
      </c>
      <c r="E24" s="57" cm="1">
        <f t="array" ref="E2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4" s="57" cm="1">
        <f t="array" ref="F24">IF(_xlfn.XLOOKUP(CONT_TEA[[#This Row],[PayScaleCode]],PAYSCALES[PayScaleCode],PAYSCALES[AvailableToAllSchools],1,0,)=TRUE,0,IF(ISERROR(FIND(CONT_TEA[[#This Row],[SchoolCode]],_xlfn.TEXTJOIN(",",TRUE,_xlfn.UNIQUE(IF(PAYSCALES[PayScaleCode]=CONT_TEA[[#This Row],[PayScaleCode]],PAYSCALES[SchoolCodes],""))))),1,0))</f>
        <v>0</v>
      </c>
      <c r="G24" s="57">
        <f>IF(_xlfn.XLOOKUP(CONT_TEA[[#This Row],[PayScaleGradeCode]],GRADES[PayScaleGradeCode],GRADES[AvailableToAllSchools])=TRUE,0,IFERROR(IF(FIND(CONT_TEA[[#This Row],[SchoolCode]],_xlfn.XLOOKUP(CONT_TEA[[#This Row],[PayScaleGradeCode]],GRADES[PayScaleGradeCode],GRADES[SchoolCodes]))&gt;=1,0,1),1))</f>
        <v>0</v>
      </c>
      <c r="H24" s="57">
        <f>IF(ISERROR(IF((_xlfn.XLOOKUP(CONT_TEA[[#This Row],[PayScaleGradeCode]],GRADES[PayScaleGradeCode],GRADES[PayScaleCode])=CONT_TEA[[#This Row],[PayScaleCode]]),0,1)),1,0)</f>
        <v>0</v>
      </c>
      <c r="I24" s="57" cm="1">
        <f t="array" ref="I24">IF(ISERROR(FIND(CONT_TEA[[#This Row],[PayScalePointCode]],_xlfn.TEXTJOIN(",",TRUE,IF(PSPOINTS[PayScaleCode]=CONT_TEA[[#This Row],[PayScaleCode]],PSPOINTS[PayScalePointCode])))),1,0)</f>
        <v>0</v>
      </c>
      <c r="J24" s="57" cm="1">
        <f t="array" ref="J2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4" s="57">
        <f>IF(_xlfn.XLOOKUP(CONT_TEA[[#This Row],[PayScalePointCode]],PSPOINTS[PayScalePointCode],PSPOINTS[PayScalePointEnabled])=TRUE,0,1)</f>
        <v>0</v>
      </c>
      <c r="L24" s="57" cm="1">
        <f t="array" ref="L24">IF(_xlfn.XLOOKUP(CONT_TEA[[#This Row],[DepartmentCode]],DEPTS[DepartmentCode],DEPTS[AvailableToAllSchools],1,0,)=TRUE,0,IF(ISERROR(FIND(CONT_TEA[[#This Row],[SchoolCode]],_xlfn.TEXTJOIN(",",TRUE,_xlfn.UNIQUE(IF(DEPTS[DepartmentCode]=CONT_TEA[[#This Row],[DepartmentCode]],DEPTS[SchoolCodes],""))))),1,0))</f>
        <v>0</v>
      </c>
      <c r="M24" s="57">
        <f>IFERROR(IF(_xlfn.XLOOKUP(CONT_TEA[[#This Row],[SRG Gross]],FinanceCodesBudget[FinanceCode],FinanceCodesBudget[LedgerCode])=_xlfn.XLOOKUP(CONT_TEA[[#This Row],[DepartmentCode]],DEPTS[DepartmentCode],DEPTS[LedgerCode]),0,1),1)</f>
        <v>1</v>
      </c>
      <c r="N24" s="57" cm="1">
        <f t="array" ref="N24">IF(_xlfn.XLOOKUP(CONT_TEA[[#This Row],[PensionCode]],PENS[PensionCode],PENS[AvailableToAllSchools],1,0,)=TRUE,0,IF(ISERROR(FIND(CONT_TEA[[#This Row],[SchoolCode]],_xlfn.TEXTJOIN(",",TRUE,_xlfn.UNIQUE(IF(PENS[PensionCode]=CONT_TEA[[#This Row],[PensionCode]],PENS[SchoolCodes],""))))),1,0))</f>
        <v>0</v>
      </c>
      <c r="O24" s="57" cm="1">
        <f t="array" ref="O24">IF(_xlfn.XLOOKUP(CONT_TEA[[#This Row],[EquatedWeekPatternCode]],EQW[EquatedWeekPatternCode],EQW[AvailableToAllSchools],1,0,)=TRUE,0,IF(ISERROR(FIND(CONT_TEA[[#This Row],[SchoolCode]],_xlfn.TEXTJOIN(",",TRUE,_xlfn.UNIQUE(IF(EQW[EquatedWeekPatternCode]=CONT_TEA[[#This Row],[EquatedWeekPatternCode]],EQW[SchoolCodes],""))))),1,0))</f>
        <v>0</v>
      </c>
      <c r="P24" s="57">
        <f>1-COUNTIF(ContractTypes[Code],CONT_TEA[[#This Row],[ContractTypeCode]])</f>
        <v>0</v>
      </c>
      <c r="Q24" s="57">
        <f>IF(VLOOKUP(CONT_TEA[[#This Row],[StaffMemberCode]],MEMBERS[[StaffMemberCode]:[ServiceStartDate]],5,0)&gt;CONT_TEA[[#This Row],[DateFrom]],1,0)</f>
        <v>0</v>
      </c>
      <c r="R24" s="57">
        <f>IF(_xlfn.XLOOKUP(CONT_TEA[[#This Row],[StaffMemberCode]],MEMBERS[StaffMemberCode],MEMBERS[ServiceEndDate])="",0,IF(CONT_TEA[[#This Row],[DateTo]]="",1,IF(_xlfn.XLOOKUP(CONT_TEA[[#This Row],[StaffMemberCode]],MEMBERS[StaffMemberCode],MEMBERS[ServiceEndDate])&lt;CONT_TEA[[#This Row],[DateTo]],1,0)))</f>
        <v>0</v>
      </c>
      <c r="S24" s="57">
        <f>IF(ISBLANK(CONT_TEA[[#This Row],[DateTo]]),0,IF(CONT_TEA[[#This Row],[DateFrom]]=CONT_TEA[[#This Row],[DateTo]],0,IF(CONT_TEA[[#This Row],[DateFrom]]&lt;CONT_TEA[[#This Row],[DateTo]],0,1)))</f>
        <v>0</v>
      </c>
      <c r="T24" s="57" cm="1">
        <f t="array" aca="1" ref="T24" ca="1">IF(CELL("format",CONT_TEA[[#This Row],[DateFrom]])="D1",0,1)+IF(CELL("format",CONT_TEA[[#This Row],[DateTo]])="D1",0,1)</f>
        <v>0</v>
      </c>
      <c r="U24" s="57">
        <f>IF(OR(CONT_TEA[[#This Row],[MatEditOnly]]=TRUE,CONT_TEA[[#This Row],[MatEditOnly]]=FALSE),IF(OR(CONT_TEA[[#This Row],[NoIncrement]]=TRUE,CONT_TEA[[#This Row],[NoIncrement]]=FALSE),0,1),1)</f>
        <v>0</v>
      </c>
      <c r="V24" s="57">
        <f>IF(ISBLANK(CONT_TEA[[#This Row],[FundCode]])=TRUE,0,IF(COUNTIF(FUNDS[FundCode],CONT_TEA[[#This Row],[FundCode]])=1,0,1))</f>
        <v>0</v>
      </c>
      <c r="W24" s="57">
        <f>IF(LEN(CONT_TEA[[#This Row],[Notes]])&lt;4000,0,1)</f>
        <v>0</v>
      </c>
      <c r="X24" s="57">
        <f>IF(SUBSTITUTE(TEXT(CONT_TEA[[#This Row],[Reference]],10)," ","")=TEXT(CONT_TEA[[#This Row],[Reference]],10),0,1)</f>
        <v>0</v>
      </c>
      <c r="Y24" s="57">
        <f ca="1">SUM(CONT_TEA[[#This Row],[Duplicate Contract]:[Space in Code]])</f>
        <v>1</v>
      </c>
      <c r="AA24" s="12" t="s">
        <v>2266</v>
      </c>
      <c r="AB24" s="15">
        <v>91073890</v>
      </c>
      <c r="AC24" s="12" t="s">
        <v>4373</v>
      </c>
      <c r="AD24" s="57" t="str">
        <f>_xlfn.XLOOKUP(CONT_TEA[[#This Row],[StaffMemberCode]],StaffMembers!O:O,StaffMembers!R:R)</f>
        <v>Rachel Woollam</v>
      </c>
      <c r="AE24" s="12" t="s">
        <v>1553</v>
      </c>
      <c r="AF24" s="57">
        <f>_xlfn.XLOOKUP(CONT_TEA[[#This Row],[SRG]],SRG[StaffRoleGroupCode],SRG[GrossSalaryFinanceCode])</f>
        <v>610100</v>
      </c>
      <c r="AG24" s="57" t="str">
        <f>_xlfn.XLOOKUP(CONT_TEA[[#This Row],[StaffRoleCode]],ROLES[StaffRoleCode],ROLES[StaffRoleGroupCode])</f>
        <v>LST</v>
      </c>
      <c r="AH24" s="57" t="str">
        <f>_xlfn.XLOOKUP(CONT_TEA[[#This Row],[StaffRoleCode]],ROLES[StaffRoleCode],ROLES[PayScaleCode])</f>
        <v>LS</v>
      </c>
      <c r="AI24" s="12" t="s">
        <v>3083</v>
      </c>
      <c r="AJ24" s="12" t="s">
        <v>1093</v>
      </c>
      <c r="AK24" s="12" t="s">
        <v>2499</v>
      </c>
      <c r="AM24" s="68" t="s">
        <v>1147</v>
      </c>
      <c r="AN24" s="13" t="s">
        <v>1702</v>
      </c>
      <c r="AO24" s="21">
        <v>45901</v>
      </c>
      <c r="AQ24" s="12">
        <v>1</v>
      </c>
      <c r="AR24" t="b">
        <v>0</v>
      </c>
      <c r="AS24" t="b">
        <v>0</v>
      </c>
      <c r="AT24" s="12" t="s">
        <v>1574</v>
      </c>
    </row>
    <row r="25" spans="1:46" x14ac:dyDescent="0.3">
      <c r="A25" s="57" t="str">
        <f t="shared" si="0"/>
        <v>WVP9107339991073399AHTSTCH45901</v>
      </c>
      <c r="B25" s="57">
        <f>COUNTIF(CONT_TEA[Unique Contract],CONT_TEA[[#This Row],[Unique Contract]])-1</f>
        <v>0</v>
      </c>
      <c r="C25" s="57">
        <f>IFERROR(IF(FIND(CONT_TEA[[#This Row],[SchoolCode]],_xlfn.XLOOKUP(CONT_TEA[[#This Row],[StaffMemberCode]],MEMBERS[StaffMemberCode],MEMBERS[SchoolCodes]))&gt;0,0,1),1)</f>
        <v>0</v>
      </c>
      <c r="D25" s="57" cm="1">
        <f t="array" ref="D25">IF(_xlfn.XLOOKUP(CONT_TEA[[#This Row],[StaffRoleCode]],ROLES[StaffRoleCode],ROLES[AvailableToAllSchools],1,0,)=TRUE,0,IF(ISERROR(FIND(CONT_TEA[[#This Row],[SchoolCode]],_xlfn.TEXTJOIN(",",TRUE,_xlfn.UNIQUE(IF(ROLES[StaffRoleCode]=CONT_TEA[[#This Row],[StaffRoleCode]],ROLES[SchoolCodes],""))))),1,0))</f>
        <v>0</v>
      </c>
      <c r="E25" s="57" cm="1">
        <f t="array" ref="E2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5" s="57" cm="1">
        <f t="array" ref="F25">IF(_xlfn.XLOOKUP(CONT_TEA[[#This Row],[PayScaleCode]],PAYSCALES[PayScaleCode],PAYSCALES[AvailableToAllSchools],1,0,)=TRUE,0,IF(ISERROR(FIND(CONT_TEA[[#This Row],[SchoolCode]],_xlfn.TEXTJOIN(",",TRUE,_xlfn.UNIQUE(IF(PAYSCALES[PayScaleCode]=CONT_TEA[[#This Row],[PayScaleCode]],PAYSCALES[SchoolCodes],""))))),1,0))</f>
        <v>0</v>
      </c>
      <c r="G25" s="57">
        <f>IF(_xlfn.XLOOKUP(CONT_TEA[[#This Row],[PayScaleGradeCode]],GRADES[PayScaleGradeCode],GRADES[AvailableToAllSchools])=TRUE,0,IFERROR(IF(FIND(CONT_TEA[[#This Row],[SchoolCode]],_xlfn.XLOOKUP(CONT_TEA[[#This Row],[PayScaleGradeCode]],GRADES[PayScaleGradeCode],GRADES[SchoolCodes]))&gt;=1,0,1),1))</f>
        <v>0</v>
      </c>
      <c r="H25" s="57">
        <f>IF(ISERROR(IF((_xlfn.XLOOKUP(CONT_TEA[[#This Row],[PayScaleGradeCode]],GRADES[PayScaleGradeCode],GRADES[PayScaleCode])=CONT_TEA[[#This Row],[PayScaleCode]]),0,1)),1,0)</f>
        <v>0</v>
      </c>
      <c r="I25" s="57" cm="1">
        <f t="array" ref="I25">IF(ISERROR(FIND(CONT_TEA[[#This Row],[PayScalePointCode]],_xlfn.TEXTJOIN(",",TRUE,IF(PSPOINTS[PayScaleCode]=CONT_TEA[[#This Row],[PayScaleCode]],PSPOINTS[PayScalePointCode])))),1,0)</f>
        <v>0</v>
      </c>
      <c r="J25" s="57" cm="1">
        <f t="array" ref="J2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5" s="57">
        <f>IF(_xlfn.XLOOKUP(CONT_TEA[[#This Row],[PayScalePointCode]],PSPOINTS[PayScalePointCode],PSPOINTS[PayScalePointEnabled])=TRUE,0,1)</f>
        <v>0</v>
      </c>
      <c r="L25" s="57" cm="1">
        <f t="array" ref="L25">IF(_xlfn.XLOOKUP(CONT_TEA[[#This Row],[DepartmentCode]],DEPTS[DepartmentCode],DEPTS[AvailableToAllSchools],1,0,)=TRUE,0,IF(ISERROR(FIND(CONT_TEA[[#This Row],[SchoolCode]],_xlfn.TEXTJOIN(",",TRUE,_xlfn.UNIQUE(IF(DEPTS[DepartmentCode]=CONT_TEA[[#This Row],[DepartmentCode]],DEPTS[SchoolCodes],""))))),1,0))</f>
        <v>0</v>
      </c>
      <c r="M25" s="57">
        <f>IFERROR(IF(_xlfn.XLOOKUP(CONT_TEA[[#This Row],[SRG Gross]],FinanceCodesBudget[FinanceCode],FinanceCodesBudget[LedgerCode])=_xlfn.XLOOKUP(CONT_TEA[[#This Row],[DepartmentCode]],DEPTS[DepartmentCode],DEPTS[LedgerCode]),0,1),1)</f>
        <v>1</v>
      </c>
      <c r="N25" s="57" cm="1">
        <f t="array" ref="N25">IF(_xlfn.XLOOKUP(CONT_TEA[[#This Row],[PensionCode]],PENS[PensionCode],PENS[AvailableToAllSchools],1,0,)=TRUE,0,IF(ISERROR(FIND(CONT_TEA[[#This Row],[SchoolCode]],_xlfn.TEXTJOIN(",",TRUE,_xlfn.UNIQUE(IF(PENS[PensionCode]=CONT_TEA[[#This Row],[PensionCode]],PENS[SchoolCodes],""))))),1,0))</f>
        <v>0</v>
      </c>
      <c r="O25" s="57" cm="1">
        <f t="array" ref="O25">IF(_xlfn.XLOOKUP(CONT_TEA[[#This Row],[EquatedWeekPatternCode]],EQW[EquatedWeekPatternCode],EQW[AvailableToAllSchools],1,0,)=TRUE,0,IF(ISERROR(FIND(CONT_TEA[[#This Row],[SchoolCode]],_xlfn.TEXTJOIN(",",TRUE,_xlfn.UNIQUE(IF(EQW[EquatedWeekPatternCode]=CONT_TEA[[#This Row],[EquatedWeekPatternCode]],EQW[SchoolCodes],""))))),1,0))</f>
        <v>0</v>
      </c>
      <c r="P25" s="57">
        <f>1-COUNTIF(ContractTypes[Code],CONT_TEA[[#This Row],[ContractTypeCode]])</f>
        <v>0</v>
      </c>
      <c r="Q25" s="57">
        <f>IF(VLOOKUP(CONT_TEA[[#This Row],[StaffMemberCode]],MEMBERS[[StaffMemberCode]:[ServiceStartDate]],5,0)&gt;CONT_TEA[[#This Row],[DateFrom]],1,0)</f>
        <v>0</v>
      </c>
      <c r="R25" s="57">
        <f>IF(_xlfn.XLOOKUP(CONT_TEA[[#This Row],[StaffMemberCode]],MEMBERS[StaffMemberCode],MEMBERS[ServiceEndDate])="",0,IF(CONT_TEA[[#This Row],[DateTo]]="",1,IF(_xlfn.XLOOKUP(CONT_TEA[[#This Row],[StaffMemberCode]],MEMBERS[StaffMemberCode],MEMBERS[ServiceEndDate])&lt;CONT_TEA[[#This Row],[DateTo]],1,0)))</f>
        <v>0</v>
      </c>
      <c r="S25" s="57">
        <f>IF(ISBLANK(CONT_TEA[[#This Row],[DateTo]]),0,IF(CONT_TEA[[#This Row],[DateFrom]]=CONT_TEA[[#This Row],[DateTo]],0,IF(CONT_TEA[[#This Row],[DateFrom]]&lt;CONT_TEA[[#This Row],[DateTo]],0,1)))</f>
        <v>0</v>
      </c>
      <c r="T25" s="57" cm="1">
        <f t="array" aca="1" ref="T25" ca="1">IF(CELL("format",CONT_TEA[[#This Row],[DateFrom]])="D1",0,1)+IF(CELL("format",CONT_TEA[[#This Row],[DateTo]])="D1",0,1)</f>
        <v>0</v>
      </c>
      <c r="U25" s="57">
        <f>IF(OR(CONT_TEA[[#This Row],[MatEditOnly]]=TRUE,CONT_TEA[[#This Row],[MatEditOnly]]=FALSE),IF(OR(CONT_TEA[[#This Row],[NoIncrement]]=TRUE,CONT_TEA[[#This Row],[NoIncrement]]=FALSE),0,1),1)</f>
        <v>0</v>
      </c>
      <c r="V25" s="57">
        <f>IF(ISBLANK(CONT_TEA[[#This Row],[FundCode]])=TRUE,0,IF(COUNTIF(FUNDS[FundCode],CONT_TEA[[#This Row],[FundCode]])=1,0,1))</f>
        <v>0</v>
      </c>
      <c r="W25" s="57">
        <f>IF(LEN(CONT_TEA[[#This Row],[Notes]])&lt;4000,0,1)</f>
        <v>0</v>
      </c>
      <c r="X25" s="57">
        <f>IF(SUBSTITUTE(TEXT(CONT_TEA[[#This Row],[Reference]],10)," ","")=TEXT(CONT_TEA[[#This Row],[Reference]],10),0,1)</f>
        <v>0</v>
      </c>
      <c r="Y25" s="57">
        <f ca="1">SUM(CONT_TEA[[#This Row],[Duplicate Contract]:[Space in Code]])</f>
        <v>1</v>
      </c>
      <c r="AA25" s="12" t="s">
        <v>2275</v>
      </c>
      <c r="AB25" s="15">
        <v>91073399</v>
      </c>
      <c r="AC25" s="12" t="s">
        <v>4374</v>
      </c>
      <c r="AD25" s="57" t="str">
        <f>_xlfn.XLOOKUP(CONT_TEA[[#This Row],[StaffMemberCode]],StaffMembers!O:O,StaffMembers!R:R)</f>
        <v>Thomas Cutts</v>
      </c>
      <c r="AE25" s="12" t="s">
        <v>1553</v>
      </c>
      <c r="AF25" s="57">
        <f>_xlfn.XLOOKUP(CONT_TEA[[#This Row],[SRG]],SRG[StaffRoleGroupCode],SRG[GrossSalaryFinanceCode])</f>
        <v>610100</v>
      </c>
      <c r="AG25" s="57" t="str">
        <f>_xlfn.XLOOKUP(CONT_TEA[[#This Row],[StaffRoleCode]],ROLES[StaffRoleCode],ROLES[StaffRoleGroupCode])</f>
        <v>LST</v>
      </c>
      <c r="AH25" s="57" t="str">
        <f>_xlfn.XLOOKUP(CONT_TEA[[#This Row],[StaffRoleCode]],ROLES[StaffRoleCode],ROLES[PayScaleCode])</f>
        <v>LS</v>
      </c>
      <c r="AI25" s="12" t="s">
        <v>3085</v>
      </c>
      <c r="AJ25" s="12" t="s">
        <v>1091</v>
      </c>
      <c r="AK25" s="12" t="s">
        <v>2499</v>
      </c>
      <c r="AM25" s="68" t="s">
        <v>1147</v>
      </c>
      <c r="AN25" s="13" t="s">
        <v>1702</v>
      </c>
      <c r="AO25" s="21">
        <v>45901</v>
      </c>
      <c r="AQ25" s="12">
        <v>1</v>
      </c>
      <c r="AR25" t="b">
        <v>0</v>
      </c>
      <c r="AS25" t="b">
        <v>0</v>
      </c>
      <c r="AT25" s="12" t="s">
        <v>1574</v>
      </c>
    </row>
    <row r="26" spans="1:46" x14ac:dyDescent="0.3">
      <c r="A26" s="57" t="str">
        <f t="shared" ref="A26:A89" si="1">AA26&amp;AB26&amp;AC26&amp;AE26&amp;AK26&amp;AO26</f>
        <v>BLS9107347291073472ATEASTCH45901</v>
      </c>
      <c r="B26" s="57">
        <f>COUNTIF(CONT_TEA[Unique Contract],CONT_TEA[[#This Row],[Unique Contract]])-1</f>
        <v>0</v>
      </c>
      <c r="C26" s="57">
        <f>IFERROR(IF(FIND(CONT_TEA[[#This Row],[SchoolCode]],_xlfn.XLOOKUP(CONT_TEA[[#This Row],[StaffMemberCode]],MEMBERS[StaffMemberCode],MEMBERS[SchoolCodes]))&gt;0,0,1),1)</f>
        <v>0</v>
      </c>
      <c r="D26" s="57" cm="1">
        <f t="array" ref="D26">IF(_xlfn.XLOOKUP(CONT_TEA[[#This Row],[StaffRoleCode]],ROLES[StaffRoleCode],ROLES[AvailableToAllSchools],1,0,)=TRUE,0,IF(ISERROR(FIND(CONT_TEA[[#This Row],[SchoolCode]],_xlfn.TEXTJOIN(",",TRUE,_xlfn.UNIQUE(IF(ROLES[StaffRoleCode]=CONT_TEA[[#This Row],[StaffRoleCode]],ROLES[SchoolCodes],""))))),1,0))</f>
        <v>0</v>
      </c>
      <c r="E26" s="57" cm="1">
        <f t="array" ref="E2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6" s="57" cm="1">
        <f t="array" ref="F26">IF(_xlfn.XLOOKUP(CONT_TEA[[#This Row],[PayScaleCode]],PAYSCALES[PayScaleCode],PAYSCALES[AvailableToAllSchools],1,0,)=TRUE,0,IF(ISERROR(FIND(CONT_TEA[[#This Row],[SchoolCode]],_xlfn.TEXTJOIN(",",TRUE,_xlfn.UNIQUE(IF(PAYSCALES[PayScaleCode]=CONT_TEA[[#This Row],[PayScaleCode]],PAYSCALES[SchoolCodes],""))))),1,0))</f>
        <v>0</v>
      </c>
      <c r="G26" s="57">
        <f>IF(_xlfn.XLOOKUP(CONT_TEA[[#This Row],[PayScaleGradeCode]],GRADES[PayScaleGradeCode],GRADES[AvailableToAllSchools])=TRUE,0,IFERROR(IF(FIND(CONT_TEA[[#This Row],[SchoolCode]],_xlfn.XLOOKUP(CONT_TEA[[#This Row],[PayScaleGradeCode]],GRADES[PayScaleGradeCode],GRADES[SchoolCodes]))&gt;=1,0,1),1))</f>
        <v>0</v>
      </c>
      <c r="H26" s="57">
        <f>IF(ISERROR(IF((_xlfn.XLOOKUP(CONT_TEA[[#This Row],[PayScaleGradeCode]],GRADES[PayScaleGradeCode],GRADES[PayScaleCode])=CONT_TEA[[#This Row],[PayScaleCode]]),0,1)),1,0)</f>
        <v>0</v>
      </c>
      <c r="I26" s="57" cm="1">
        <f t="array" ref="I26">IF(ISERROR(FIND(CONT_TEA[[#This Row],[PayScalePointCode]],_xlfn.TEXTJOIN(",",TRUE,IF(PSPOINTS[PayScaleCode]=CONT_TEA[[#This Row],[PayScaleCode]],PSPOINTS[PayScalePointCode])))),1,0)</f>
        <v>0</v>
      </c>
      <c r="J26" s="57" cm="1">
        <f t="array" ref="J2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6" s="57">
        <f>IF(_xlfn.XLOOKUP(CONT_TEA[[#This Row],[PayScalePointCode]],PSPOINTS[PayScalePointCode],PSPOINTS[PayScalePointEnabled])=TRUE,0,1)</f>
        <v>0</v>
      </c>
      <c r="L26" s="57" cm="1">
        <f t="array" ref="L26">IF(_xlfn.XLOOKUP(CONT_TEA[[#This Row],[DepartmentCode]],DEPTS[DepartmentCode],DEPTS[AvailableToAllSchools],1,0,)=TRUE,0,IF(ISERROR(FIND(CONT_TEA[[#This Row],[SchoolCode]],_xlfn.TEXTJOIN(",",TRUE,_xlfn.UNIQUE(IF(DEPTS[DepartmentCode]=CONT_TEA[[#This Row],[DepartmentCode]],DEPTS[SchoolCodes],""))))),1,0))</f>
        <v>0</v>
      </c>
      <c r="M26" s="57">
        <f>IFERROR(IF(_xlfn.XLOOKUP(CONT_TEA[[#This Row],[SRG Gross]],FinanceCodesBudget[FinanceCode],FinanceCodesBudget[LedgerCode])=_xlfn.XLOOKUP(CONT_TEA[[#This Row],[DepartmentCode]],DEPTS[DepartmentCode],DEPTS[LedgerCode]),0,1),1)</f>
        <v>1</v>
      </c>
      <c r="N26" s="57" cm="1">
        <f t="array" ref="N26">IF(_xlfn.XLOOKUP(CONT_TEA[[#This Row],[PensionCode]],PENS[PensionCode],PENS[AvailableToAllSchools],1,0,)=TRUE,0,IF(ISERROR(FIND(CONT_TEA[[#This Row],[SchoolCode]],_xlfn.TEXTJOIN(",",TRUE,_xlfn.UNIQUE(IF(PENS[PensionCode]=CONT_TEA[[#This Row],[PensionCode]],PENS[SchoolCodes],""))))),1,0))</f>
        <v>0</v>
      </c>
      <c r="O26" s="57" cm="1">
        <f t="array" ref="O26">IF(_xlfn.XLOOKUP(CONT_TEA[[#This Row],[EquatedWeekPatternCode]],EQW[EquatedWeekPatternCode],EQW[AvailableToAllSchools],1,0,)=TRUE,0,IF(ISERROR(FIND(CONT_TEA[[#This Row],[SchoolCode]],_xlfn.TEXTJOIN(",",TRUE,_xlfn.UNIQUE(IF(EQW[EquatedWeekPatternCode]=CONT_TEA[[#This Row],[EquatedWeekPatternCode]],EQW[SchoolCodes],""))))),1,0))</f>
        <v>0</v>
      </c>
      <c r="P26" s="57">
        <f>1-COUNTIF(ContractTypes[Code],CONT_TEA[[#This Row],[ContractTypeCode]])</f>
        <v>0</v>
      </c>
      <c r="Q26" s="57">
        <f>IF(VLOOKUP(CONT_TEA[[#This Row],[StaffMemberCode]],MEMBERS[[StaffMemberCode]:[ServiceStartDate]],5,0)&gt;CONT_TEA[[#This Row],[DateFrom]],1,0)</f>
        <v>0</v>
      </c>
      <c r="R26" s="57">
        <f>IF(_xlfn.XLOOKUP(CONT_TEA[[#This Row],[StaffMemberCode]],MEMBERS[StaffMemberCode],MEMBERS[ServiceEndDate])="",0,IF(CONT_TEA[[#This Row],[DateTo]]="",1,IF(_xlfn.XLOOKUP(CONT_TEA[[#This Row],[StaffMemberCode]],MEMBERS[StaffMemberCode],MEMBERS[ServiceEndDate])&lt;CONT_TEA[[#This Row],[DateTo]],1,0)))</f>
        <v>0</v>
      </c>
      <c r="S26" s="57">
        <f>IF(ISBLANK(CONT_TEA[[#This Row],[DateTo]]),0,IF(CONT_TEA[[#This Row],[DateFrom]]=CONT_TEA[[#This Row],[DateTo]],0,IF(CONT_TEA[[#This Row],[DateFrom]]&lt;CONT_TEA[[#This Row],[DateTo]],0,1)))</f>
        <v>0</v>
      </c>
      <c r="T26" s="57" cm="1">
        <f t="array" aca="1" ref="T26" ca="1">IF(CELL("format",CONT_TEA[[#This Row],[DateFrom]])="D1",0,1)+IF(CELL("format",CONT_TEA[[#This Row],[DateTo]])="D1",0,1)</f>
        <v>0</v>
      </c>
      <c r="U26" s="57">
        <f>IF(OR(CONT_TEA[[#This Row],[MatEditOnly]]=TRUE,CONT_TEA[[#This Row],[MatEditOnly]]=FALSE),IF(OR(CONT_TEA[[#This Row],[NoIncrement]]=TRUE,CONT_TEA[[#This Row],[NoIncrement]]=FALSE),0,1),1)</f>
        <v>0</v>
      </c>
      <c r="V26" s="57">
        <f>IF(ISBLANK(CONT_TEA[[#This Row],[FundCode]])=TRUE,0,IF(COUNTIF(FUNDS[FundCode],CONT_TEA[[#This Row],[FundCode]])=1,0,1))</f>
        <v>0</v>
      </c>
      <c r="W26" s="57">
        <f>IF(LEN(CONT_TEA[[#This Row],[Notes]])&lt;4000,0,1)</f>
        <v>0</v>
      </c>
      <c r="X26" s="57">
        <f>IF(SUBSTITUTE(TEXT(CONT_TEA[[#This Row],[Reference]],10)," ","")=TEXT(CONT_TEA[[#This Row],[Reference]],10),0,1)</f>
        <v>0</v>
      </c>
      <c r="Y26" s="57">
        <f ca="1">SUM(CONT_TEA[[#This Row],[Duplicate Contract]:[Space in Code]])</f>
        <v>1</v>
      </c>
      <c r="AA26" s="12" t="s">
        <v>2094</v>
      </c>
      <c r="AB26" s="15">
        <v>91073472</v>
      </c>
      <c r="AC26" s="12" t="s">
        <v>4375</v>
      </c>
      <c r="AD26" s="57" t="str">
        <f>_xlfn.XLOOKUP(CONT_TEA[[#This Row],[StaffMemberCode]],StaffMembers!O:O,StaffMembers!R:R)</f>
        <v>Melissa Allen-Gurr</v>
      </c>
      <c r="AE26" s="12" t="s">
        <v>1178</v>
      </c>
      <c r="AF26" s="57">
        <f>_xlfn.XLOOKUP(CONT_TEA[[#This Row],[SRG]],SRG[StaffRoleGroupCode],SRG[GrossSalaryFinanceCode])</f>
        <v>612100</v>
      </c>
      <c r="AG26" s="57" t="str">
        <f>_xlfn.XLOOKUP(CONT_TEA[[#This Row],[StaffRoleCode]],ROLES[StaffRoleCode],ROLES[StaffRoleGroupCode])</f>
        <v>TEA</v>
      </c>
      <c r="AH26" s="57" t="str">
        <f>_xlfn.XLOOKUP(CONT_TEA[[#This Row],[StaffRoleCode]],ROLES[StaffRoleCode],ROLES[PayScaleCode])</f>
        <v>MAIN</v>
      </c>
      <c r="AI26" s="12" t="s">
        <v>1126</v>
      </c>
      <c r="AJ26" s="12" t="s">
        <v>1745</v>
      </c>
      <c r="AK26" s="12" t="s">
        <v>2499</v>
      </c>
      <c r="AM26" s="68" t="s">
        <v>1147</v>
      </c>
      <c r="AN26" s="13" t="s">
        <v>1702</v>
      </c>
      <c r="AO26" s="21">
        <v>45901</v>
      </c>
      <c r="AQ26" s="12">
        <v>1</v>
      </c>
      <c r="AR26" t="b">
        <v>0</v>
      </c>
      <c r="AS26" t="b">
        <v>0</v>
      </c>
      <c r="AT26" s="12" t="s">
        <v>1574</v>
      </c>
    </row>
    <row r="27" spans="1:46" x14ac:dyDescent="0.3">
      <c r="A27" s="57" t="str">
        <f t="shared" si="1"/>
        <v>BLS9107346691073466ATEASTCH45901</v>
      </c>
      <c r="B27" s="57">
        <f>COUNTIF(CONT_TEA[Unique Contract],CONT_TEA[[#This Row],[Unique Contract]])-1</f>
        <v>0</v>
      </c>
      <c r="C27" s="57">
        <f>IFERROR(IF(FIND(CONT_TEA[[#This Row],[SchoolCode]],_xlfn.XLOOKUP(CONT_TEA[[#This Row],[StaffMemberCode]],MEMBERS[StaffMemberCode],MEMBERS[SchoolCodes]))&gt;0,0,1),1)</f>
        <v>0</v>
      </c>
      <c r="D27" s="57" cm="1">
        <f t="array" ref="D27">IF(_xlfn.XLOOKUP(CONT_TEA[[#This Row],[StaffRoleCode]],ROLES[StaffRoleCode],ROLES[AvailableToAllSchools],1,0,)=TRUE,0,IF(ISERROR(FIND(CONT_TEA[[#This Row],[SchoolCode]],_xlfn.TEXTJOIN(",",TRUE,_xlfn.UNIQUE(IF(ROLES[StaffRoleCode]=CONT_TEA[[#This Row],[StaffRoleCode]],ROLES[SchoolCodes],""))))),1,0))</f>
        <v>0</v>
      </c>
      <c r="E27" s="57" cm="1">
        <f t="array" ref="E2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7" s="57" cm="1">
        <f t="array" ref="F27">IF(_xlfn.XLOOKUP(CONT_TEA[[#This Row],[PayScaleCode]],PAYSCALES[PayScaleCode],PAYSCALES[AvailableToAllSchools],1,0,)=TRUE,0,IF(ISERROR(FIND(CONT_TEA[[#This Row],[SchoolCode]],_xlfn.TEXTJOIN(",",TRUE,_xlfn.UNIQUE(IF(PAYSCALES[PayScaleCode]=CONT_TEA[[#This Row],[PayScaleCode]],PAYSCALES[SchoolCodes],""))))),1,0))</f>
        <v>0</v>
      </c>
      <c r="G27" s="57">
        <f>IF(_xlfn.XLOOKUP(CONT_TEA[[#This Row],[PayScaleGradeCode]],GRADES[PayScaleGradeCode],GRADES[AvailableToAllSchools])=TRUE,0,IFERROR(IF(FIND(CONT_TEA[[#This Row],[SchoolCode]],_xlfn.XLOOKUP(CONT_TEA[[#This Row],[PayScaleGradeCode]],GRADES[PayScaleGradeCode],GRADES[SchoolCodes]))&gt;=1,0,1),1))</f>
        <v>0</v>
      </c>
      <c r="H27" s="57">
        <f>IF(ISERROR(IF((_xlfn.XLOOKUP(CONT_TEA[[#This Row],[PayScaleGradeCode]],GRADES[PayScaleGradeCode],GRADES[PayScaleCode])=CONT_TEA[[#This Row],[PayScaleCode]]),0,1)),1,0)</f>
        <v>0</v>
      </c>
      <c r="I27" s="57" cm="1">
        <f t="array" ref="I27">IF(ISERROR(FIND(CONT_TEA[[#This Row],[PayScalePointCode]],_xlfn.TEXTJOIN(",",TRUE,IF(PSPOINTS[PayScaleCode]=CONT_TEA[[#This Row],[PayScaleCode]],PSPOINTS[PayScalePointCode])))),1,0)</f>
        <v>0</v>
      </c>
      <c r="J27" s="57" cm="1">
        <f t="array" ref="J2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7" s="57">
        <f>IF(_xlfn.XLOOKUP(CONT_TEA[[#This Row],[PayScalePointCode]],PSPOINTS[PayScalePointCode],PSPOINTS[PayScalePointEnabled])=TRUE,0,1)</f>
        <v>0</v>
      </c>
      <c r="L27" s="57" cm="1">
        <f t="array" ref="L27">IF(_xlfn.XLOOKUP(CONT_TEA[[#This Row],[DepartmentCode]],DEPTS[DepartmentCode],DEPTS[AvailableToAllSchools],1,0,)=TRUE,0,IF(ISERROR(FIND(CONT_TEA[[#This Row],[SchoolCode]],_xlfn.TEXTJOIN(",",TRUE,_xlfn.UNIQUE(IF(DEPTS[DepartmentCode]=CONT_TEA[[#This Row],[DepartmentCode]],DEPTS[SchoolCodes],""))))),1,0))</f>
        <v>0</v>
      </c>
      <c r="M27" s="57">
        <f>IFERROR(IF(_xlfn.XLOOKUP(CONT_TEA[[#This Row],[SRG Gross]],FinanceCodesBudget[FinanceCode],FinanceCodesBudget[LedgerCode])=_xlfn.XLOOKUP(CONT_TEA[[#This Row],[DepartmentCode]],DEPTS[DepartmentCode],DEPTS[LedgerCode]),0,1),1)</f>
        <v>1</v>
      </c>
      <c r="N27" s="57" cm="1">
        <f t="array" ref="N27">IF(_xlfn.XLOOKUP(CONT_TEA[[#This Row],[PensionCode]],PENS[PensionCode],PENS[AvailableToAllSchools],1,0,)=TRUE,0,IF(ISERROR(FIND(CONT_TEA[[#This Row],[SchoolCode]],_xlfn.TEXTJOIN(",",TRUE,_xlfn.UNIQUE(IF(PENS[PensionCode]=CONT_TEA[[#This Row],[PensionCode]],PENS[SchoolCodes],""))))),1,0))</f>
        <v>0</v>
      </c>
      <c r="O27" s="57" cm="1">
        <f t="array" ref="O27">IF(_xlfn.XLOOKUP(CONT_TEA[[#This Row],[EquatedWeekPatternCode]],EQW[EquatedWeekPatternCode],EQW[AvailableToAllSchools],1,0,)=TRUE,0,IF(ISERROR(FIND(CONT_TEA[[#This Row],[SchoolCode]],_xlfn.TEXTJOIN(",",TRUE,_xlfn.UNIQUE(IF(EQW[EquatedWeekPatternCode]=CONT_TEA[[#This Row],[EquatedWeekPatternCode]],EQW[SchoolCodes],""))))),1,0))</f>
        <v>0</v>
      </c>
      <c r="P27" s="57">
        <f>1-COUNTIF(ContractTypes[Code],CONT_TEA[[#This Row],[ContractTypeCode]])</f>
        <v>0</v>
      </c>
      <c r="Q27" s="57">
        <f>IF(VLOOKUP(CONT_TEA[[#This Row],[StaffMemberCode]],MEMBERS[[StaffMemberCode]:[ServiceStartDate]],5,0)&gt;CONT_TEA[[#This Row],[DateFrom]],1,0)</f>
        <v>0</v>
      </c>
      <c r="R27" s="57">
        <f>IF(_xlfn.XLOOKUP(CONT_TEA[[#This Row],[StaffMemberCode]],MEMBERS[StaffMemberCode],MEMBERS[ServiceEndDate])="",0,IF(CONT_TEA[[#This Row],[DateTo]]="",1,IF(_xlfn.XLOOKUP(CONT_TEA[[#This Row],[StaffMemberCode]],MEMBERS[StaffMemberCode],MEMBERS[ServiceEndDate])&lt;CONT_TEA[[#This Row],[DateTo]],1,0)))</f>
        <v>0</v>
      </c>
      <c r="S27" s="57">
        <f>IF(ISBLANK(CONT_TEA[[#This Row],[DateTo]]),0,IF(CONT_TEA[[#This Row],[DateFrom]]=CONT_TEA[[#This Row],[DateTo]],0,IF(CONT_TEA[[#This Row],[DateFrom]]&lt;CONT_TEA[[#This Row],[DateTo]],0,1)))</f>
        <v>0</v>
      </c>
      <c r="T27" s="57" cm="1">
        <f t="array" aca="1" ref="T27" ca="1">IF(CELL("format",CONT_TEA[[#This Row],[DateFrom]])="D1",0,1)+IF(CELL("format",CONT_TEA[[#This Row],[DateTo]])="D1",0,1)</f>
        <v>0</v>
      </c>
      <c r="U27" s="57">
        <f>IF(OR(CONT_TEA[[#This Row],[MatEditOnly]]=TRUE,CONT_TEA[[#This Row],[MatEditOnly]]=FALSE),IF(OR(CONT_TEA[[#This Row],[NoIncrement]]=TRUE,CONT_TEA[[#This Row],[NoIncrement]]=FALSE),0,1),1)</f>
        <v>0</v>
      </c>
      <c r="V27" s="57">
        <f>IF(ISBLANK(CONT_TEA[[#This Row],[FundCode]])=TRUE,0,IF(COUNTIF(FUNDS[FundCode],CONT_TEA[[#This Row],[FundCode]])=1,0,1))</f>
        <v>0</v>
      </c>
      <c r="W27" s="57">
        <f>IF(LEN(CONT_TEA[[#This Row],[Notes]])&lt;4000,0,1)</f>
        <v>0</v>
      </c>
      <c r="X27" s="57">
        <f>IF(SUBSTITUTE(TEXT(CONT_TEA[[#This Row],[Reference]],10)," ","")=TEXT(CONT_TEA[[#This Row],[Reference]],10),0,1)</f>
        <v>0</v>
      </c>
      <c r="Y27" s="57">
        <f ca="1">SUM(CONT_TEA[[#This Row],[Duplicate Contract]:[Space in Code]])</f>
        <v>1</v>
      </c>
      <c r="AA27" s="12" t="s">
        <v>2094</v>
      </c>
      <c r="AB27" s="15">
        <v>91073466</v>
      </c>
      <c r="AC27" s="12" t="s">
        <v>4376</v>
      </c>
      <c r="AD27" s="57" t="str">
        <f>_xlfn.XLOOKUP(CONT_TEA[[#This Row],[StaffMemberCode]],StaffMembers!O:O,StaffMembers!R:R)</f>
        <v>Kate Malkin</v>
      </c>
      <c r="AE27" s="12" t="s">
        <v>1178</v>
      </c>
      <c r="AF27" s="57">
        <f>_xlfn.XLOOKUP(CONT_TEA[[#This Row],[SRG]],SRG[StaffRoleGroupCode],SRG[GrossSalaryFinanceCode])</f>
        <v>612100</v>
      </c>
      <c r="AG27" s="57" t="str">
        <f>_xlfn.XLOOKUP(CONT_TEA[[#This Row],[StaffRoleCode]],ROLES[StaffRoleCode],ROLES[StaffRoleGroupCode])</f>
        <v>TEA</v>
      </c>
      <c r="AH27" s="57" t="str">
        <f>_xlfn.XLOOKUP(CONT_TEA[[#This Row],[StaffRoleCode]],ROLES[StaffRoleCode],ROLES[PayScaleCode])</f>
        <v>MAIN</v>
      </c>
      <c r="AI27" s="12" t="s">
        <v>1126</v>
      </c>
      <c r="AJ27" s="12" t="s">
        <v>1745</v>
      </c>
      <c r="AK27" s="12" t="s">
        <v>2499</v>
      </c>
      <c r="AM27" s="68" t="s">
        <v>1147</v>
      </c>
      <c r="AN27" s="13" t="s">
        <v>1702</v>
      </c>
      <c r="AO27" s="21">
        <v>45901</v>
      </c>
      <c r="AQ27" s="12">
        <v>0.9</v>
      </c>
      <c r="AR27" t="b">
        <v>0</v>
      </c>
      <c r="AS27" t="b">
        <v>0</v>
      </c>
      <c r="AT27" s="12" t="s">
        <v>1574</v>
      </c>
    </row>
    <row r="28" spans="1:46" x14ac:dyDescent="0.3">
      <c r="A28" s="57" t="str">
        <f t="shared" si="1"/>
        <v>BLS9107350391073503ATEASTCH45901</v>
      </c>
      <c r="B28" s="57">
        <f>COUNTIF(CONT_TEA[Unique Contract],CONT_TEA[[#This Row],[Unique Contract]])-1</f>
        <v>0</v>
      </c>
      <c r="C28" s="57">
        <f>IFERROR(IF(FIND(CONT_TEA[[#This Row],[SchoolCode]],_xlfn.XLOOKUP(CONT_TEA[[#This Row],[StaffMemberCode]],MEMBERS[StaffMemberCode],MEMBERS[SchoolCodes]))&gt;0,0,1),1)</f>
        <v>0</v>
      </c>
      <c r="D28" s="57" cm="1">
        <f t="array" ref="D28">IF(_xlfn.XLOOKUP(CONT_TEA[[#This Row],[StaffRoleCode]],ROLES[StaffRoleCode],ROLES[AvailableToAllSchools],1,0,)=TRUE,0,IF(ISERROR(FIND(CONT_TEA[[#This Row],[SchoolCode]],_xlfn.TEXTJOIN(",",TRUE,_xlfn.UNIQUE(IF(ROLES[StaffRoleCode]=CONT_TEA[[#This Row],[StaffRoleCode]],ROLES[SchoolCodes],""))))),1,0))</f>
        <v>0</v>
      </c>
      <c r="E28" s="57" cm="1">
        <f t="array" ref="E2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8" s="57" cm="1">
        <f t="array" ref="F28">IF(_xlfn.XLOOKUP(CONT_TEA[[#This Row],[PayScaleCode]],PAYSCALES[PayScaleCode],PAYSCALES[AvailableToAllSchools],1,0,)=TRUE,0,IF(ISERROR(FIND(CONT_TEA[[#This Row],[SchoolCode]],_xlfn.TEXTJOIN(",",TRUE,_xlfn.UNIQUE(IF(PAYSCALES[PayScaleCode]=CONT_TEA[[#This Row],[PayScaleCode]],PAYSCALES[SchoolCodes],""))))),1,0))</f>
        <v>0</v>
      </c>
      <c r="G28" s="57">
        <f>IF(_xlfn.XLOOKUP(CONT_TEA[[#This Row],[PayScaleGradeCode]],GRADES[PayScaleGradeCode],GRADES[AvailableToAllSchools])=TRUE,0,IFERROR(IF(FIND(CONT_TEA[[#This Row],[SchoolCode]],_xlfn.XLOOKUP(CONT_TEA[[#This Row],[PayScaleGradeCode]],GRADES[PayScaleGradeCode],GRADES[SchoolCodes]))&gt;=1,0,1),1))</f>
        <v>0</v>
      </c>
      <c r="H28" s="57">
        <f>IF(ISERROR(IF((_xlfn.XLOOKUP(CONT_TEA[[#This Row],[PayScaleGradeCode]],GRADES[PayScaleGradeCode],GRADES[PayScaleCode])=CONT_TEA[[#This Row],[PayScaleCode]]),0,1)),1,0)</f>
        <v>0</v>
      </c>
      <c r="I28" s="57" cm="1">
        <f t="array" ref="I28">IF(ISERROR(FIND(CONT_TEA[[#This Row],[PayScalePointCode]],_xlfn.TEXTJOIN(",",TRUE,IF(PSPOINTS[PayScaleCode]=CONT_TEA[[#This Row],[PayScaleCode]],PSPOINTS[PayScalePointCode])))),1,0)</f>
        <v>0</v>
      </c>
      <c r="J28" s="57" cm="1">
        <f t="array" ref="J2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8" s="57">
        <f>IF(_xlfn.XLOOKUP(CONT_TEA[[#This Row],[PayScalePointCode]],PSPOINTS[PayScalePointCode],PSPOINTS[PayScalePointEnabled])=TRUE,0,1)</f>
        <v>0</v>
      </c>
      <c r="L28" s="57" cm="1">
        <f t="array" ref="L28">IF(_xlfn.XLOOKUP(CONT_TEA[[#This Row],[DepartmentCode]],DEPTS[DepartmentCode],DEPTS[AvailableToAllSchools],1,0,)=TRUE,0,IF(ISERROR(FIND(CONT_TEA[[#This Row],[SchoolCode]],_xlfn.TEXTJOIN(",",TRUE,_xlfn.UNIQUE(IF(DEPTS[DepartmentCode]=CONT_TEA[[#This Row],[DepartmentCode]],DEPTS[SchoolCodes],""))))),1,0))</f>
        <v>0</v>
      </c>
      <c r="M28" s="57">
        <f>IFERROR(IF(_xlfn.XLOOKUP(CONT_TEA[[#This Row],[SRG Gross]],FinanceCodesBudget[FinanceCode],FinanceCodesBudget[LedgerCode])=_xlfn.XLOOKUP(CONT_TEA[[#This Row],[DepartmentCode]],DEPTS[DepartmentCode],DEPTS[LedgerCode]),0,1),1)</f>
        <v>1</v>
      </c>
      <c r="N28" s="57" cm="1">
        <f t="array" ref="N28">IF(_xlfn.XLOOKUP(CONT_TEA[[#This Row],[PensionCode]],PENS[PensionCode],PENS[AvailableToAllSchools],1,0,)=TRUE,0,IF(ISERROR(FIND(CONT_TEA[[#This Row],[SchoolCode]],_xlfn.TEXTJOIN(",",TRUE,_xlfn.UNIQUE(IF(PENS[PensionCode]=CONT_TEA[[#This Row],[PensionCode]],PENS[SchoolCodes],""))))),1,0))</f>
        <v>0</v>
      </c>
      <c r="O28" s="57" cm="1">
        <f t="array" ref="O28">IF(_xlfn.XLOOKUP(CONT_TEA[[#This Row],[EquatedWeekPatternCode]],EQW[EquatedWeekPatternCode],EQW[AvailableToAllSchools],1,0,)=TRUE,0,IF(ISERROR(FIND(CONT_TEA[[#This Row],[SchoolCode]],_xlfn.TEXTJOIN(",",TRUE,_xlfn.UNIQUE(IF(EQW[EquatedWeekPatternCode]=CONT_TEA[[#This Row],[EquatedWeekPatternCode]],EQW[SchoolCodes],""))))),1,0))</f>
        <v>0</v>
      </c>
      <c r="P28" s="57">
        <f>1-COUNTIF(ContractTypes[Code],CONT_TEA[[#This Row],[ContractTypeCode]])</f>
        <v>0</v>
      </c>
      <c r="Q28" s="57">
        <f>IF(VLOOKUP(CONT_TEA[[#This Row],[StaffMemberCode]],MEMBERS[[StaffMemberCode]:[ServiceStartDate]],5,0)&gt;CONT_TEA[[#This Row],[DateFrom]],1,0)</f>
        <v>0</v>
      </c>
      <c r="R28" s="57">
        <f>IF(_xlfn.XLOOKUP(CONT_TEA[[#This Row],[StaffMemberCode]],MEMBERS[StaffMemberCode],MEMBERS[ServiceEndDate])="",0,IF(CONT_TEA[[#This Row],[DateTo]]="",1,IF(_xlfn.XLOOKUP(CONT_TEA[[#This Row],[StaffMemberCode]],MEMBERS[StaffMemberCode],MEMBERS[ServiceEndDate])&lt;CONT_TEA[[#This Row],[DateTo]],1,0)))</f>
        <v>0</v>
      </c>
      <c r="S28" s="57">
        <f>IF(ISBLANK(CONT_TEA[[#This Row],[DateTo]]),0,IF(CONT_TEA[[#This Row],[DateFrom]]=CONT_TEA[[#This Row],[DateTo]],0,IF(CONT_TEA[[#This Row],[DateFrom]]&lt;CONT_TEA[[#This Row],[DateTo]],0,1)))</f>
        <v>0</v>
      </c>
      <c r="T28" s="57" cm="1">
        <f t="array" aca="1" ref="T28" ca="1">IF(CELL("format",CONT_TEA[[#This Row],[DateFrom]])="D1",0,1)+IF(CELL("format",CONT_TEA[[#This Row],[DateTo]])="D1",0,1)</f>
        <v>0</v>
      </c>
      <c r="U28" s="57">
        <f>IF(OR(CONT_TEA[[#This Row],[MatEditOnly]]=TRUE,CONT_TEA[[#This Row],[MatEditOnly]]=FALSE),IF(OR(CONT_TEA[[#This Row],[NoIncrement]]=TRUE,CONT_TEA[[#This Row],[NoIncrement]]=FALSE),0,1),1)</f>
        <v>0</v>
      </c>
      <c r="V28" s="57">
        <f>IF(ISBLANK(CONT_TEA[[#This Row],[FundCode]])=TRUE,0,IF(COUNTIF(FUNDS[FundCode],CONT_TEA[[#This Row],[FundCode]])=1,0,1))</f>
        <v>0</v>
      </c>
      <c r="W28" s="57">
        <f>IF(LEN(CONT_TEA[[#This Row],[Notes]])&lt;4000,0,1)</f>
        <v>0</v>
      </c>
      <c r="X28" s="57">
        <f>IF(SUBSTITUTE(TEXT(CONT_TEA[[#This Row],[Reference]],10)," ","")=TEXT(CONT_TEA[[#This Row],[Reference]],10),0,1)</f>
        <v>0</v>
      </c>
      <c r="Y28" s="57">
        <f ca="1">SUM(CONT_TEA[[#This Row],[Duplicate Contract]:[Space in Code]])</f>
        <v>1</v>
      </c>
      <c r="AA28" s="12" t="s">
        <v>2094</v>
      </c>
      <c r="AB28" s="15">
        <v>91073503</v>
      </c>
      <c r="AC28" s="12" t="s">
        <v>4377</v>
      </c>
      <c r="AD28" s="57" t="str">
        <f>_xlfn.XLOOKUP(CONT_TEA[[#This Row],[StaffMemberCode]],StaffMembers!O:O,StaffMembers!R:R)</f>
        <v>Laura Linde</v>
      </c>
      <c r="AE28" s="12" t="s">
        <v>1178</v>
      </c>
      <c r="AF28" s="57">
        <f>_xlfn.XLOOKUP(CONT_TEA[[#This Row],[SRG]],SRG[StaffRoleGroupCode],SRG[GrossSalaryFinanceCode])</f>
        <v>612100</v>
      </c>
      <c r="AG28" s="57" t="str">
        <f>_xlfn.XLOOKUP(CONT_TEA[[#This Row],[StaffRoleCode]],ROLES[StaffRoleCode],ROLES[StaffRoleGroupCode])</f>
        <v>TEA</v>
      </c>
      <c r="AH28" s="57" t="str">
        <f>_xlfn.XLOOKUP(CONT_TEA[[#This Row],[StaffRoleCode]],ROLES[StaffRoleCode],ROLES[PayScaleCode])</f>
        <v>MAIN</v>
      </c>
      <c r="AI28" s="12" t="s">
        <v>1126</v>
      </c>
      <c r="AJ28" s="12" t="s">
        <v>1745</v>
      </c>
      <c r="AK28" s="12" t="s">
        <v>2499</v>
      </c>
      <c r="AM28" s="68" t="s">
        <v>1147</v>
      </c>
      <c r="AN28" s="13" t="s">
        <v>1702</v>
      </c>
      <c r="AO28" s="21">
        <v>45901</v>
      </c>
      <c r="AQ28" s="12">
        <v>0.84</v>
      </c>
      <c r="AR28" t="b">
        <v>0</v>
      </c>
      <c r="AS28" t="b">
        <v>0</v>
      </c>
      <c r="AT28" s="12" t="s">
        <v>1574</v>
      </c>
    </row>
    <row r="29" spans="1:46" x14ac:dyDescent="0.3">
      <c r="A29" s="57" t="str">
        <f t="shared" si="1"/>
        <v>BLS9107347891073478ATEASTCH45901</v>
      </c>
      <c r="B29" s="57">
        <f>COUNTIF(CONT_TEA[Unique Contract],CONT_TEA[[#This Row],[Unique Contract]])-1</f>
        <v>0</v>
      </c>
      <c r="C29" s="57">
        <f>IFERROR(IF(FIND(CONT_TEA[[#This Row],[SchoolCode]],_xlfn.XLOOKUP(CONT_TEA[[#This Row],[StaffMemberCode]],MEMBERS[StaffMemberCode],MEMBERS[SchoolCodes]))&gt;0,0,1),1)</f>
        <v>0</v>
      </c>
      <c r="D29" s="57" cm="1">
        <f t="array" ref="D29">IF(_xlfn.XLOOKUP(CONT_TEA[[#This Row],[StaffRoleCode]],ROLES[StaffRoleCode],ROLES[AvailableToAllSchools],1,0,)=TRUE,0,IF(ISERROR(FIND(CONT_TEA[[#This Row],[SchoolCode]],_xlfn.TEXTJOIN(",",TRUE,_xlfn.UNIQUE(IF(ROLES[StaffRoleCode]=CONT_TEA[[#This Row],[StaffRoleCode]],ROLES[SchoolCodes],""))))),1,0))</f>
        <v>0</v>
      </c>
      <c r="E29" s="57" cm="1">
        <f t="array" ref="E2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9" s="57" cm="1">
        <f t="array" ref="F29">IF(_xlfn.XLOOKUP(CONT_TEA[[#This Row],[PayScaleCode]],PAYSCALES[PayScaleCode],PAYSCALES[AvailableToAllSchools],1,0,)=TRUE,0,IF(ISERROR(FIND(CONT_TEA[[#This Row],[SchoolCode]],_xlfn.TEXTJOIN(",",TRUE,_xlfn.UNIQUE(IF(PAYSCALES[PayScaleCode]=CONT_TEA[[#This Row],[PayScaleCode]],PAYSCALES[SchoolCodes],""))))),1,0))</f>
        <v>0</v>
      </c>
      <c r="G29" s="57">
        <f>IF(_xlfn.XLOOKUP(CONT_TEA[[#This Row],[PayScaleGradeCode]],GRADES[PayScaleGradeCode],GRADES[AvailableToAllSchools])=TRUE,0,IFERROR(IF(FIND(CONT_TEA[[#This Row],[SchoolCode]],_xlfn.XLOOKUP(CONT_TEA[[#This Row],[PayScaleGradeCode]],GRADES[PayScaleGradeCode],GRADES[SchoolCodes]))&gt;=1,0,1),1))</f>
        <v>0</v>
      </c>
      <c r="H29" s="57">
        <f>IF(ISERROR(IF((_xlfn.XLOOKUP(CONT_TEA[[#This Row],[PayScaleGradeCode]],GRADES[PayScaleGradeCode],GRADES[PayScaleCode])=CONT_TEA[[#This Row],[PayScaleCode]]),0,1)),1,0)</f>
        <v>0</v>
      </c>
      <c r="I29" s="57" cm="1">
        <f t="array" ref="I29">IF(ISERROR(FIND(CONT_TEA[[#This Row],[PayScalePointCode]],_xlfn.TEXTJOIN(",",TRUE,IF(PSPOINTS[PayScaleCode]=CONT_TEA[[#This Row],[PayScaleCode]],PSPOINTS[PayScalePointCode])))),1,0)</f>
        <v>0</v>
      </c>
      <c r="J29" s="57" cm="1">
        <f t="array" ref="J2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9" s="57">
        <f>IF(_xlfn.XLOOKUP(CONT_TEA[[#This Row],[PayScalePointCode]],PSPOINTS[PayScalePointCode],PSPOINTS[PayScalePointEnabled])=TRUE,0,1)</f>
        <v>0</v>
      </c>
      <c r="L29" s="57" cm="1">
        <f t="array" ref="L29">IF(_xlfn.XLOOKUP(CONT_TEA[[#This Row],[DepartmentCode]],DEPTS[DepartmentCode],DEPTS[AvailableToAllSchools],1,0,)=TRUE,0,IF(ISERROR(FIND(CONT_TEA[[#This Row],[SchoolCode]],_xlfn.TEXTJOIN(",",TRUE,_xlfn.UNIQUE(IF(DEPTS[DepartmentCode]=CONT_TEA[[#This Row],[DepartmentCode]],DEPTS[SchoolCodes],""))))),1,0))</f>
        <v>0</v>
      </c>
      <c r="M29" s="57">
        <f>IFERROR(IF(_xlfn.XLOOKUP(CONT_TEA[[#This Row],[SRG Gross]],FinanceCodesBudget[FinanceCode],FinanceCodesBudget[LedgerCode])=_xlfn.XLOOKUP(CONT_TEA[[#This Row],[DepartmentCode]],DEPTS[DepartmentCode],DEPTS[LedgerCode]),0,1),1)</f>
        <v>1</v>
      </c>
      <c r="N29" s="57" cm="1">
        <f t="array" ref="N29">IF(_xlfn.XLOOKUP(CONT_TEA[[#This Row],[PensionCode]],PENS[PensionCode],PENS[AvailableToAllSchools],1,0,)=TRUE,0,IF(ISERROR(FIND(CONT_TEA[[#This Row],[SchoolCode]],_xlfn.TEXTJOIN(",",TRUE,_xlfn.UNIQUE(IF(PENS[PensionCode]=CONT_TEA[[#This Row],[PensionCode]],PENS[SchoolCodes],""))))),1,0))</f>
        <v>0</v>
      </c>
      <c r="O29" s="57" cm="1">
        <f t="array" ref="O29">IF(_xlfn.XLOOKUP(CONT_TEA[[#This Row],[EquatedWeekPatternCode]],EQW[EquatedWeekPatternCode],EQW[AvailableToAllSchools],1,0,)=TRUE,0,IF(ISERROR(FIND(CONT_TEA[[#This Row],[SchoolCode]],_xlfn.TEXTJOIN(",",TRUE,_xlfn.UNIQUE(IF(EQW[EquatedWeekPatternCode]=CONT_TEA[[#This Row],[EquatedWeekPatternCode]],EQW[SchoolCodes],""))))),1,0))</f>
        <v>0</v>
      </c>
      <c r="P29" s="57">
        <f>1-COUNTIF(ContractTypes[Code],CONT_TEA[[#This Row],[ContractTypeCode]])</f>
        <v>0</v>
      </c>
      <c r="Q29" s="57">
        <f>IF(VLOOKUP(CONT_TEA[[#This Row],[StaffMemberCode]],MEMBERS[[StaffMemberCode]:[ServiceStartDate]],5,0)&gt;CONT_TEA[[#This Row],[DateFrom]],1,0)</f>
        <v>0</v>
      </c>
      <c r="R29" s="57">
        <f>IF(_xlfn.XLOOKUP(CONT_TEA[[#This Row],[StaffMemberCode]],MEMBERS[StaffMemberCode],MEMBERS[ServiceEndDate])="",0,IF(CONT_TEA[[#This Row],[DateTo]]="",1,IF(_xlfn.XLOOKUP(CONT_TEA[[#This Row],[StaffMemberCode]],MEMBERS[StaffMemberCode],MEMBERS[ServiceEndDate])&lt;CONT_TEA[[#This Row],[DateTo]],1,0)))</f>
        <v>0</v>
      </c>
      <c r="S29" s="57">
        <f>IF(ISBLANK(CONT_TEA[[#This Row],[DateTo]]),0,IF(CONT_TEA[[#This Row],[DateFrom]]=CONT_TEA[[#This Row],[DateTo]],0,IF(CONT_TEA[[#This Row],[DateFrom]]&lt;CONT_TEA[[#This Row],[DateTo]],0,1)))</f>
        <v>0</v>
      </c>
      <c r="T29" s="57" cm="1">
        <f t="array" aca="1" ref="T29" ca="1">IF(CELL("format",CONT_TEA[[#This Row],[DateFrom]])="D1",0,1)+IF(CELL("format",CONT_TEA[[#This Row],[DateTo]])="D1",0,1)</f>
        <v>0</v>
      </c>
      <c r="U29" s="57">
        <f>IF(OR(CONT_TEA[[#This Row],[MatEditOnly]]=TRUE,CONT_TEA[[#This Row],[MatEditOnly]]=FALSE),IF(OR(CONT_TEA[[#This Row],[NoIncrement]]=TRUE,CONT_TEA[[#This Row],[NoIncrement]]=FALSE),0,1),1)</f>
        <v>0</v>
      </c>
      <c r="V29" s="57">
        <f>IF(ISBLANK(CONT_TEA[[#This Row],[FundCode]])=TRUE,0,IF(COUNTIF(FUNDS[FundCode],CONT_TEA[[#This Row],[FundCode]])=1,0,1))</f>
        <v>0</v>
      </c>
      <c r="W29" s="57">
        <f>IF(LEN(CONT_TEA[[#This Row],[Notes]])&lt;4000,0,1)</f>
        <v>0</v>
      </c>
      <c r="X29" s="57">
        <f>IF(SUBSTITUTE(TEXT(CONT_TEA[[#This Row],[Reference]],10)," ","")=TEXT(CONT_TEA[[#This Row],[Reference]],10),0,1)</f>
        <v>0</v>
      </c>
      <c r="Y29" s="57">
        <f ca="1">SUM(CONT_TEA[[#This Row],[Duplicate Contract]:[Space in Code]])</f>
        <v>1</v>
      </c>
      <c r="AA29" s="12" t="s">
        <v>2094</v>
      </c>
      <c r="AB29" s="15">
        <v>91073478</v>
      </c>
      <c r="AC29" s="12" t="s">
        <v>4378</v>
      </c>
      <c r="AD29" s="57" t="str">
        <f>_xlfn.XLOOKUP(CONT_TEA[[#This Row],[StaffMemberCode]],StaffMembers!O:O,StaffMembers!R:R)</f>
        <v>Jessica Cooper</v>
      </c>
      <c r="AE29" s="12" t="s">
        <v>1178</v>
      </c>
      <c r="AF29" s="57">
        <f>_xlfn.XLOOKUP(CONT_TEA[[#This Row],[SRG]],SRG[StaffRoleGroupCode],SRG[GrossSalaryFinanceCode])</f>
        <v>612100</v>
      </c>
      <c r="AG29" s="57" t="str">
        <f>_xlfn.XLOOKUP(CONT_TEA[[#This Row],[StaffRoleCode]],ROLES[StaffRoleCode],ROLES[StaffRoleGroupCode])</f>
        <v>TEA</v>
      </c>
      <c r="AH29" s="57" t="str">
        <f>_xlfn.XLOOKUP(CONT_TEA[[#This Row],[StaffRoleCode]],ROLES[StaffRoleCode],ROLES[PayScaleCode])</f>
        <v>MAIN</v>
      </c>
      <c r="AI29" s="12" t="s">
        <v>1126</v>
      </c>
      <c r="AJ29" s="12" t="s">
        <v>1745</v>
      </c>
      <c r="AK29" s="12" t="s">
        <v>2499</v>
      </c>
      <c r="AM29" s="68" t="s">
        <v>1147</v>
      </c>
      <c r="AN29" s="13" t="s">
        <v>1702</v>
      </c>
      <c r="AO29" s="21">
        <v>45901</v>
      </c>
      <c r="AQ29" s="12">
        <v>0.8</v>
      </c>
      <c r="AR29" t="b">
        <v>0</v>
      </c>
      <c r="AS29" t="b">
        <v>0</v>
      </c>
      <c r="AT29" s="12" t="s">
        <v>1574</v>
      </c>
    </row>
    <row r="30" spans="1:46" x14ac:dyDescent="0.3">
      <c r="A30" s="57" t="str">
        <f t="shared" si="1"/>
        <v>BLS9107348691073486ATEASTCH45901</v>
      </c>
      <c r="B30" s="57">
        <f>COUNTIF(CONT_TEA[Unique Contract],CONT_TEA[[#This Row],[Unique Contract]])-1</f>
        <v>0</v>
      </c>
      <c r="C30" s="57">
        <f>IFERROR(IF(FIND(CONT_TEA[[#This Row],[SchoolCode]],_xlfn.XLOOKUP(CONT_TEA[[#This Row],[StaffMemberCode]],MEMBERS[StaffMemberCode],MEMBERS[SchoolCodes]))&gt;0,0,1),1)</f>
        <v>0</v>
      </c>
      <c r="D30" s="57" cm="1">
        <f t="array" ref="D30">IF(_xlfn.XLOOKUP(CONT_TEA[[#This Row],[StaffRoleCode]],ROLES[StaffRoleCode],ROLES[AvailableToAllSchools],1,0,)=TRUE,0,IF(ISERROR(FIND(CONT_TEA[[#This Row],[SchoolCode]],_xlfn.TEXTJOIN(",",TRUE,_xlfn.UNIQUE(IF(ROLES[StaffRoleCode]=CONT_TEA[[#This Row],[StaffRoleCode]],ROLES[SchoolCodes],""))))),1,0))</f>
        <v>0</v>
      </c>
      <c r="E30" s="57" cm="1">
        <f t="array" ref="E3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0" s="57" cm="1">
        <f t="array" ref="F30">IF(_xlfn.XLOOKUP(CONT_TEA[[#This Row],[PayScaleCode]],PAYSCALES[PayScaleCode],PAYSCALES[AvailableToAllSchools],1,0,)=TRUE,0,IF(ISERROR(FIND(CONT_TEA[[#This Row],[SchoolCode]],_xlfn.TEXTJOIN(",",TRUE,_xlfn.UNIQUE(IF(PAYSCALES[PayScaleCode]=CONT_TEA[[#This Row],[PayScaleCode]],PAYSCALES[SchoolCodes],""))))),1,0))</f>
        <v>0</v>
      </c>
      <c r="G30" s="57">
        <f>IF(_xlfn.XLOOKUP(CONT_TEA[[#This Row],[PayScaleGradeCode]],GRADES[PayScaleGradeCode],GRADES[AvailableToAllSchools])=TRUE,0,IFERROR(IF(FIND(CONT_TEA[[#This Row],[SchoolCode]],_xlfn.XLOOKUP(CONT_TEA[[#This Row],[PayScaleGradeCode]],GRADES[PayScaleGradeCode],GRADES[SchoolCodes]))&gt;=1,0,1),1))</f>
        <v>0</v>
      </c>
      <c r="H30" s="57">
        <f>IF(ISERROR(IF((_xlfn.XLOOKUP(CONT_TEA[[#This Row],[PayScaleGradeCode]],GRADES[PayScaleGradeCode],GRADES[PayScaleCode])=CONT_TEA[[#This Row],[PayScaleCode]]),0,1)),1,0)</f>
        <v>0</v>
      </c>
      <c r="I30" s="57" cm="1">
        <f t="array" ref="I30">IF(ISERROR(FIND(CONT_TEA[[#This Row],[PayScalePointCode]],_xlfn.TEXTJOIN(",",TRUE,IF(PSPOINTS[PayScaleCode]=CONT_TEA[[#This Row],[PayScaleCode]],PSPOINTS[PayScalePointCode])))),1,0)</f>
        <v>0</v>
      </c>
      <c r="J30" s="57" cm="1">
        <f t="array" ref="J3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0" s="57">
        <f>IF(_xlfn.XLOOKUP(CONT_TEA[[#This Row],[PayScalePointCode]],PSPOINTS[PayScalePointCode],PSPOINTS[PayScalePointEnabled])=TRUE,0,1)</f>
        <v>0</v>
      </c>
      <c r="L30" s="57" cm="1">
        <f t="array" ref="L30">IF(_xlfn.XLOOKUP(CONT_TEA[[#This Row],[DepartmentCode]],DEPTS[DepartmentCode],DEPTS[AvailableToAllSchools],1,0,)=TRUE,0,IF(ISERROR(FIND(CONT_TEA[[#This Row],[SchoolCode]],_xlfn.TEXTJOIN(",",TRUE,_xlfn.UNIQUE(IF(DEPTS[DepartmentCode]=CONT_TEA[[#This Row],[DepartmentCode]],DEPTS[SchoolCodes],""))))),1,0))</f>
        <v>0</v>
      </c>
      <c r="M30" s="57">
        <f>IFERROR(IF(_xlfn.XLOOKUP(CONT_TEA[[#This Row],[SRG Gross]],FinanceCodesBudget[FinanceCode],FinanceCodesBudget[LedgerCode])=_xlfn.XLOOKUP(CONT_TEA[[#This Row],[DepartmentCode]],DEPTS[DepartmentCode],DEPTS[LedgerCode]),0,1),1)</f>
        <v>1</v>
      </c>
      <c r="N30" s="57" cm="1">
        <f t="array" ref="N30">IF(_xlfn.XLOOKUP(CONT_TEA[[#This Row],[PensionCode]],PENS[PensionCode],PENS[AvailableToAllSchools],1,0,)=TRUE,0,IF(ISERROR(FIND(CONT_TEA[[#This Row],[SchoolCode]],_xlfn.TEXTJOIN(",",TRUE,_xlfn.UNIQUE(IF(PENS[PensionCode]=CONT_TEA[[#This Row],[PensionCode]],PENS[SchoolCodes],""))))),1,0))</f>
        <v>0</v>
      </c>
      <c r="O30" s="57" cm="1">
        <f t="array" ref="O30">IF(_xlfn.XLOOKUP(CONT_TEA[[#This Row],[EquatedWeekPatternCode]],EQW[EquatedWeekPatternCode],EQW[AvailableToAllSchools],1,0,)=TRUE,0,IF(ISERROR(FIND(CONT_TEA[[#This Row],[SchoolCode]],_xlfn.TEXTJOIN(",",TRUE,_xlfn.UNIQUE(IF(EQW[EquatedWeekPatternCode]=CONT_TEA[[#This Row],[EquatedWeekPatternCode]],EQW[SchoolCodes],""))))),1,0))</f>
        <v>0</v>
      </c>
      <c r="P30" s="57">
        <f>1-COUNTIF(ContractTypes[Code],CONT_TEA[[#This Row],[ContractTypeCode]])</f>
        <v>0</v>
      </c>
      <c r="Q30" s="57">
        <f>IF(VLOOKUP(CONT_TEA[[#This Row],[StaffMemberCode]],MEMBERS[[StaffMemberCode]:[ServiceStartDate]],5,0)&gt;CONT_TEA[[#This Row],[DateFrom]],1,0)</f>
        <v>0</v>
      </c>
      <c r="R30" s="57">
        <f>IF(_xlfn.XLOOKUP(CONT_TEA[[#This Row],[StaffMemberCode]],MEMBERS[StaffMemberCode],MEMBERS[ServiceEndDate])="",0,IF(CONT_TEA[[#This Row],[DateTo]]="",1,IF(_xlfn.XLOOKUP(CONT_TEA[[#This Row],[StaffMemberCode]],MEMBERS[StaffMemberCode],MEMBERS[ServiceEndDate])&lt;CONT_TEA[[#This Row],[DateTo]],1,0)))</f>
        <v>0</v>
      </c>
      <c r="S30" s="57">
        <f>IF(ISBLANK(CONT_TEA[[#This Row],[DateTo]]),0,IF(CONT_TEA[[#This Row],[DateFrom]]=CONT_TEA[[#This Row],[DateTo]],0,IF(CONT_TEA[[#This Row],[DateFrom]]&lt;CONT_TEA[[#This Row],[DateTo]],0,1)))</f>
        <v>0</v>
      </c>
      <c r="T30" s="57" cm="1">
        <f t="array" aca="1" ref="T30" ca="1">IF(CELL("format",CONT_TEA[[#This Row],[DateFrom]])="D1",0,1)+IF(CELL("format",CONT_TEA[[#This Row],[DateTo]])="D1",0,1)</f>
        <v>0</v>
      </c>
      <c r="U30" s="57">
        <f>IF(OR(CONT_TEA[[#This Row],[MatEditOnly]]=TRUE,CONT_TEA[[#This Row],[MatEditOnly]]=FALSE),IF(OR(CONT_TEA[[#This Row],[NoIncrement]]=TRUE,CONT_TEA[[#This Row],[NoIncrement]]=FALSE),0,1),1)</f>
        <v>0</v>
      </c>
      <c r="V30" s="57">
        <f>IF(ISBLANK(CONT_TEA[[#This Row],[FundCode]])=TRUE,0,IF(COUNTIF(FUNDS[FundCode],CONT_TEA[[#This Row],[FundCode]])=1,0,1))</f>
        <v>0</v>
      </c>
      <c r="W30" s="57">
        <f>IF(LEN(CONT_TEA[[#This Row],[Notes]])&lt;4000,0,1)</f>
        <v>0</v>
      </c>
      <c r="X30" s="57">
        <f>IF(SUBSTITUTE(TEXT(CONT_TEA[[#This Row],[Reference]],10)," ","")=TEXT(CONT_TEA[[#This Row],[Reference]],10),0,1)</f>
        <v>0</v>
      </c>
      <c r="Y30" s="57">
        <f ca="1">SUM(CONT_TEA[[#This Row],[Duplicate Contract]:[Space in Code]])</f>
        <v>1</v>
      </c>
      <c r="AA30" s="12" t="s">
        <v>2094</v>
      </c>
      <c r="AB30" s="15">
        <v>91073486</v>
      </c>
      <c r="AC30" s="12" t="s">
        <v>4379</v>
      </c>
      <c r="AD30" s="57" t="str">
        <f>_xlfn.XLOOKUP(CONT_TEA[[#This Row],[StaffMemberCode]],StaffMembers!O:O,StaffMembers!R:R)</f>
        <v>Rhiannon Bentley</v>
      </c>
      <c r="AE30" s="12" t="s">
        <v>1178</v>
      </c>
      <c r="AF30" s="57">
        <f>_xlfn.XLOOKUP(CONT_TEA[[#This Row],[SRG]],SRG[StaffRoleGroupCode],SRG[GrossSalaryFinanceCode])</f>
        <v>612100</v>
      </c>
      <c r="AG30" s="57" t="str">
        <f>_xlfn.XLOOKUP(CONT_TEA[[#This Row],[StaffRoleCode]],ROLES[StaffRoleCode],ROLES[StaffRoleGroupCode])</f>
        <v>TEA</v>
      </c>
      <c r="AH30" s="57" t="str">
        <f>_xlfn.XLOOKUP(CONT_TEA[[#This Row],[StaffRoleCode]],ROLES[StaffRoleCode],ROLES[PayScaleCode])</f>
        <v>MAIN</v>
      </c>
      <c r="AI30" s="12" t="s">
        <v>1126</v>
      </c>
      <c r="AJ30" s="12" t="s">
        <v>1745</v>
      </c>
      <c r="AK30" s="12" t="s">
        <v>2499</v>
      </c>
      <c r="AM30" s="68" t="s">
        <v>1147</v>
      </c>
      <c r="AN30" s="13" t="s">
        <v>1702</v>
      </c>
      <c r="AO30" s="21">
        <v>45901</v>
      </c>
      <c r="AQ30" s="12">
        <v>0.8</v>
      </c>
      <c r="AR30" t="b">
        <v>0</v>
      </c>
      <c r="AS30" t="b">
        <v>0</v>
      </c>
      <c r="AT30" s="12" t="s">
        <v>1574</v>
      </c>
    </row>
    <row r="31" spans="1:46" x14ac:dyDescent="0.3">
      <c r="A31" s="57" t="str">
        <f t="shared" si="1"/>
        <v>BLS9107352591073525ATEASTCH45901</v>
      </c>
      <c r="B31" s="57">
        <f>COUNTIF(CONT_TEA[Unique Contract],CONT_TEA[[#This Row],[Unique Contract]])-1</f>
        <v>0</v>
      </c>
      <c r="C31" s="57">
        <f>IFERROR(IF(FIND(CONT_TEA[[#This Row],[SchoolCode]],_xlfn.XLOOKUP(CONT_TEA[[#This Row],[StaffMemberCode]],MEMBERS[StaffMemberCode],MEMBERS[SchoolCodes]))&gt;0,0,1),1)</f>
        <v>0</v>
      </c>
      <c r="D31" s="57" cm="1">
        <f t="array" ref="D31">IF(_xlfn.XLOOKUP(CONT_TEA[[#This Row],[StaffRoleCode]],ROLES[StaffRoleCode],ROLES[AvailableToAllSchools],1,0,)=TRUE,0,IF(ISERROR(FIND(CONT_TEA[[#This Row],[SchoolCode]],_xlfn.TEXTJOIN(",",TRUE,_xlfn.UNIQUE(IF(ROLES[StaffRoleCode]=CONT_TEA[[#This Row],[StaffRoleCode]],ROLES[SchoolCodes],""))))),1,0))</f>
        <v>0</v>
      </c>
      <c r="E31" s="57" cm="1">
        <f t="array" ref="E3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1" s="57" cm="1">
        <f t="array" ref="F31">IF(_xlfn.XLOOKUP(CONT_TEA[[#This Row],[PayScaleCode]],PAYSCALES[PayScaleCode],PAYSCALES[AvailableToAllSchools],1,0,)=TRUE,0,IF(ISERROR(FIND(CONT_TEA[[#This Row],[SchoolCode]],_xlfn.TEXTJOIN(",",TRUE,_xlfn.UNIQUE(IF(PAYSCALES[PayScaleCode]=CONT_TEA[[#This Row],[PayScaleCode]],PAYSCALES[SchoolCodes],""))))),1,0))</f>
        <v>0</v>
      </c>
      <c r="G31" s="57">
        <f>IF(_xlfn.XLOOKUP(CONT_TEA[[#This Row],[PayScaleGradeCode]],GRADES[PayScaleGradeCode],GRADES[AvailableToAllSchools])=TRUE,0,IFERROR(IF(FIND(CONT_TEA[[#This Row],[SchoolCode]],_xlfn.XLOOKUP(CONT_TEA[[#This Row],[PayScaleGradeCode]],GRADES[PayScaleGradeCode],GRADES[SchoolCodes]))&gt;=1,0,1),1))</f>
        <v>0</v>
      </c>
      <c r="H31" s="57">
        <f>IF(ISERROR(IF((_xlfn.XLOOKUP(CONT_TEA[[#This Row],[PayScaleGradeCode]],GRADES[PayScaleGradeCode],GRADES[PayScaleCode])=CONT_TEA[[#This Row],[PayScaleCode]]),0,1)),1,0)</f>
        <v>0</v>
      </c>
      <c r="I31" s="57" cm="1">
        <f t="array" ref="I31">IF(ISERROR(FIND(CONT_TEA[[#This Row],[PayScalePointCode]],_xlfn.TEXTJOIN(",",TRUE,IF(PSPOINTS[PayScaleCode]=CONT_TEA[[#This Row],[PayScaleCode]],PSPOINTS[PayScalePointCode])))),1,0)</f>
        <v>0</v>
      </c>
      <c r="J31" s="57" cm="1">
        <f t="array" ref="J3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1" s="57">
        <f>IF(_xlfn.XLOOKUP(CONT_TEA[[#This Row],[PayScalePointCode]],PSPOINTS[PayScalePointCode],PSPOINTS[PayScalePointEnabled])=TRUE,0,1)</f>
        <v>0</v>
      </c>
      <c r="L31" s="57" cm="1">
        <f t="array" ref="L31">IF(_xlfn.XLOOKUP(CONT_TEA[[#This Row],[DepartmentCode]],DEPTS[DepartmentCode],DEPTS[AvailableToAllSchools],1,0,)=TRUE,0,IF(ISERROR(FIND(CONT_TEA[[#This Row],[SchoolCode]],_xlfn.TEXTJOIN(",",TRUE,_xlfn.UNIQUE(IF(DEPTS[DepartmentCode]=CONT_TEA[[#This Row],[DepartmentCode]],DEPTS[SchoolCodes],""))))),1,0))</f>
        <v>0</v>
      </c>
      <c r="M31" s="57">
        <f>IFERROR(IF(_xlfn.XLOOKUP(CONT_TEA[[#This Row],[SRG Gross]],FinanceCodesBudget[FinanceCode],FinanceCodesBudget[LedgerCode])=_xlfn.XLOOKUP(CONT_TEA[[#This Row],[DepartmentCode]],DEPTS[DepartmentCode],DEPTS[LedgerCode]),0,1),1)</f>
        <v>1</v>
      </c>
      <c r="N31" s="57" cm="1">
        <f t="array" ref="N31">IF(_xlfn.XLOOKUP(CONT_TEA[[#This Row],[PensionCode]],PENS[PensionCode],PENS[AvailableToAllSchools],1,0,)=TRUE,0,IF(ISERROR(FIND(CONT_TEA[[#This Row],[SchoolCode]],_xlfn.TEXTJOIN(",",TRUE,_xlfn.UNIQUE(IF(PENS[PensionCode]=CONT_TEA[[#This Row],[PensionCode]],PENS[SchoolCodes],""))))),1,0))</f>
        <v>0</v>
      </c>
      <c r="O31" s="57" cm="1">
        <f t="array" ref="O31">IF(_xlfn.XLOOKUP(CONT_TEA[[#This Row],[EquatedWeekPatternCode]],EQW[EquatedWeekPatternCode],EQW[AvailableToAllSchools],1,0,)=TRUE,0,IF(ISERROR(FIND(CONT_TEA[[#This Row],[SchoolCode]],_xlfn.TEXTJOIN(",",TRUE,_xlfn.UNIQUE(IF(EQW[EquatedWeekPatternCode]=CONT_TEA[[#This Row],[EquatedWeekPatternCode]],EQW[SchoolCodes],""))))),1,0))</f>
        <v>0</v>
      </c>
      <c r="P31" s="57">
        <f>1-COUNTIF(ContractTypes[Code],CONT_TEA[[#This Row],[ContractTypeCode]])</f>
        <v>0</v>
      </c>
      <c r="Q31" s="57">
        <f>IF(VLOOKUP(CONT_TEA[[#This Row],[StaffMemberCode]],MEMBERS[[StaffMemberCode]:[ServiceStartDate]],5,0)&gt;CONT_TEA[[#This Row],[DateFrom]],1,0)</f>
        <v>0</v>
      </c>
      <c r="R31" s="57">
        <f>IF(_xlfn.XLOOKUP(CONT_TEA[[#This Row],[StaffMemberCode]],MEMBERS[StaffMemberCode],MEMBERS[ServiceEndDate])="",0,IF(CONT_TEA[[#This Row],[DateTo]]="",1,IF(_xlfn.XLOOKUP(CONT_TEA[[#This Row],[StaffMemberCode]],MEMBERS[StaffMemberCode],MEMBERS[ServiceEndDate])&lt;CONT_TEA[[#This Row],[DateTo]],1,0)))</f>
        <v>0</v>
      </c>
      <c r="S31" s="57">
        <f>IF(ISBLANK(CONT_TEA[[#This Row],[DateTo]]),0,IF(CONT_TEA[[#This Row],[DateFrom]]=CONT_TEA[[#This Row],[DateTo]],0,IF(CONT_TEA[[#This Row],[DateFrom]]&lt;CONT_TEA[[#This Row],[DateTo]],0,1)))</f>
        <v>0</v>
      </c>
      <c r="T31" s="57" cm="1">
        <f t="array" aca="1" ref="T31" ca="1">IF(CELL("format",CONT_TEA[[#This Row],[DateFrom]])="D1",0,1)+IF(CELL("format",CONT_TEA[[#This Row],[DateTo]])="D1",0,1)</f>
        <v>0</v>
      </c>
      <c r="U31" s="57">
        <f>IF(OR(CONT_TEA[[#This Row],[MatEditOnly]]=TRUE,CONT_TEA[[#This Row],[MatEditOnly]]=FALSE),IF(OR(CONT_TEA[[#This Row],[NoIncrement]]=TRUE,CONT_TEA[[#This Row],[NoIncrement]]=FALSE),0,1),1)</f>
        <v>0</v>
      </c>
      <c r="V31" s="57">
        <f>IF(ISBLANK(CONT_TEA[[#This Row],[FundCode]])=TRUE,0,IF(COUNTIF(FUNDS[FundCode],CONT_TEA[[#This Row],[FundCode]])=1,0,1))</f>
        <v>0</v>
      </c>
      <c r="W31" s="57">
        <f>IF(LEN(CONT_TEA[[#This Row],[Notes]])&lt;4000,0,1)</f>
        <v>0</v>
      </c>
      <c r="X31" s="57">
        <f>IF(SUBSTITUTE(TEXT(CONT_TEA[[#This Row],[Reference]],10)," ","")=TEXT(CONT_TEA[[#This Row],[Reference]],10),0,1)</f>
        <v>0</v>
      </c>
      <c r="Y31" s="57">
        <f ca="1">SUM(CONT_TEA[[#This Row],[Duplicate Contract]:[Space in Code]])</f>
        <v>1</v>
      </c>
      <c r="AA31" s="12" t="s">
        <v>2094</v>
      </c>
      <c r="AB31" s="15">
        <v>91073525</v>
      </c>
      <c r="AC31" s="12" t="s">
        <v>4380</v>
      </c>
      <c r="AD31" s="57" t="str">
        <f>_xlfn.XLOOKUP(CONT_TEA[[#This Row],[StaffMemberCode]],StaffMembers!O:O,StaffMembers!R:R)</f>
        <v>Sarah Mottram</v>
      </c>
      <c r="AE31" s="12" t="s">
        <v>1178</v>
      </c>
      <c r="AF31" s="57">
        <f>_xlfn.XLOOKUP(CONT_TEA[[#This Row],[SRG]],SRG[StaffRoleGroupCode],SRG[GrossSalaryFinanceCode])</f>
        <v>612100</v>
      </c>
      <c r="AG31" s="57" t="str">
        <f>_xlfn.XLOOKUP(CONT_TEA[[#This Row],[StaffRoleCode]],ROLES[StaffRoleCode],ROLES[StaffRoleGroupCode])</f>
        <v>TEA</v>
      </c>
      <c r="AH31" s="57" t="str">
        <f>_xlfn.XLOOKUP(CONT_TEA[[#This Row],[StaffRoleCode]],ROLES[StaffRoleCode],ROLES[PayScaleCode])</f>
        <v>MAIN</v>
      </c>
      <c r="AI31" s="12" t="s">
        <v>1126</v>
      </c>
      <c r="AJ31" s="12" t="s">
        <v>1745</v>
      </c>
      <c r="AK31" s="12" t="s">
        <v>2499</v>
      </c>
      <c r="AM31" s="68" t="s">
        <v>1147</v>
      </c>
      <c r="AN31" s="13" t="s">
        <v>1702</v>
      </c>
      <c r="AO31" s="21">
        <v>45901</v>
      </c>
      <c r="AQ31" s="12">
        <v>0.6</v>
      </c>
      <c r="AR31" t="b">
        <v>0</v>
      </c>
      <c r="AS31" t="b">
        <v>0</v>
      </c>
      <c r="AT31" s="12" t="s">
        <v>1574</v>
      </c>
    </row>
    <row r="32" spans="1:46" x14ac:dyDescent="0.3">
      <c r="A32" s="57" t="str">
        <f t="shared" si="1"/>
        <v>BLS9107354091073540ATEASTCH45901</v>
      </c>
      <c r="B32" s="57">
        <f>COUNTIF(CONT_TEA[Unique Contract],CONT_TEA[[#This Row],[Unique Contract]])-1</f>
        <v>0</v>
      </c>
      <c r="C32" s="57">
        <f>IFERROR(IF(FIND(CONT_TEA[[#This Row],[SchoolCode]],_xlfn.XLOOKUP(CONT_TEA[[#This Row],[StaffMemberCode]],MEMBERS[StaffMemberCode],MEMBERS[SchoolCodes]))&gt;0,0,1),1)</f>
        <v>0</v>
      </c>
      <c r="D32" s="57" cm="1">
        <f t="array" ref="D32">IF(_xlfn.XLOOKUP(CONT_TEA[[#This Row],[StaffRoleCode]],ROLES[StaffRoleCode],ROLES[AvailableToAllSchools],1,0,)=TRUE,0,IF(ISERROR(FIND(CONT_TEA[[#This Row],[SchoolCode]],_xlfn.TEXTJOIN(",",TRUE,_xlfn.UNIQUE(IF(ROLES[StaffRoleCode]=CONT_TEA[[#This Row],[StaffRoleCode]],ROLES[SchoolCodes],""))))),1,0))</f>
        <v>0</v>
      </c>
      <c r="E32" s="57" cm="1">
        <f t="array" ref="E3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2" s="57" cm="1">
        <f t="array" ref="F32">IF(_xlfn.XLOOKUP(CONT_TEA[[#This Row],[PayScaleCode]],PAYSCALES[PayScaleCode],PAYSCALES[AvailableToAllSchools],1,0,)=TRUE,0,IF(ISERROR(FIND(CONT_TEA[[#This Row],[SchoolCode]],_xlfn.TEXTJOIN(",",TRUE,_xlfn.UNIQUE(IF(PAYSCALES[PayScaleCode]=CONT_TEA[[#This Row],[PayScaleCode]],PAYSCALES[SchoolCodes],""))))),1,0))</f>
        <v>0</v>
      </c>
      <c r="G32" s="57">
        <f>IF(_xlfn.XLOOKUP(CONT_TEA[[#This Row],[PayScaleGradeCode]],GRADES[PayScaleGradeCode],GRADES[AvailableToAllSchools])=TRUE,0,IFERROR(IF(FIND(CONT_TEA[[#This Row],[SchoolCode]],_xlfn.XLOOKUP(CONT_TEA[[#This Row],[PayScaleGradeCode]],GRADES[PayScaleGradeCode],GRADES[SchoolCodes]))&gt;=1,0,1),1))</f>
        <v>0</v>
      </c>
      <c r="H32" s="57">
        <f>IF(ISERROR(IF((_xlfn.XLOOKUP(CONT_TEA[[#This Row],[PayScaleGradeCode]],GRADES[PayScaleGradeCode],GRADES[PayScaleCode])=CONT_TEA[[#This Row],[PayScaleCode]]),0,1)),1,0)</f>
        <v>0</v>
      </c>
      <c r="I32" s="57" cm="1">
        <f t="array" ref="I32">IF(ISERROR(FIND(CONT_TEA[[#This Row],[PayScalePointCode]],_xlfn.TEXTJOIN(",",TRUE,IF(PSPOINTS[PayScaleCode]=CONT_TEA[[#This Row],[PayScaleCode]],PSPOINTS[PayScalePointCode])))),1,0)</f>
        <v>0</v>
      </c>
      <c r="J32" s="57" cm="1">
        <f t="array" ref="J3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2" s="57">
        <f>IF(_xlfn.XLOOKUP(CONT_TEA[[#This Row],[PayScalePointCode]],PSPOINTS[PayScalePointCode],PSPOINTS[PayScalePointEnabled])=TRUE,0,1)</f>
        <v>0</v>
      </c>
      <c r="L32" s="57" cm="1">
        <f t="array" ref="L32">IF(_xlfn.XLOOKUP(CONT_TEA[[#This Row],[DepartmentCode]],DEPTS[DepartmentCode],DEPTS[AvailableToAllSchools],1,0,)=TRUE,0,IF(ISERROR(FIND(CONT_TEA[[#This Row],[SchoolCode]],_xlfn.TEXTJOIN(",",TRUE,_xlfn.UNIQUE(IF(DEPTS[DepartmentCode]=CONT_TEA[[#This Row],[DepartmentCode]],DEPTS[SchoolCodes],""))))),1,0))</f>
        <v>0</v>
      </c>
      <c r="M32" s="57">
        <f>IFERROR(IF(_xlfn.XLOOKUP(CONT_TEA[[#This Row],[SRG Gross]],FinanceCodesBudget[FinanceCode],FinanceCodesBudget[LedgerCode])=_xlfn.XLOOKUP(CONT_TEA[[#This Row],[DepartmentCode]],DEPTS[DepartmentCode],DEPTS[LedgerCode]),0,1),1)</f>
        <v>1</v>
      </c>
      <c r="N32" s="57" cm="1">
        <f t="array" ref="N32">IF(_xlfn.XLOOKUP(CONT_TEA[[#This Row],[PensionCode]],PENS[PensionCode],PENS[AvailableToAllSchools],1,0,)=TRUE,0,IF(ISERROR(FIND(CONT_TEA[[#This Row],[SchoolCode]],_xlfn.TEXTJOIN(",",TRUE,_xlfn.UNIQUE(IF(PENS[PensionCode]=CONT_TEA[[#This Row],[PensionCode]],PENS[SchoolCodes],""))))),1,0))</f>
        <v>0</v>
      </c>
      <c r="O32" s="57" cm="1">
        <f t="array" ref="O32">IF(_xlfn.XLOOKUP(CONT_TEA[[#This Row],[EquatedWeekPatternCode]],EQW[EquatedWeekPatternCode],EQW[AvailableToAllSchools],1,0,)=TRUE,0,IF(ISERROR(FIND(CONT_TEA[[#This Row],[SchoolCode]],_xlfn.TEXTJOIN(",",TRUE,_xlfn.UNIQUE(IF(EQW[EquatedWeekPatternCode]=CONT_TEA[[#This Row],[EquatedWeekPatternCode]],EQW[SchoolCodes],""))))),1,0))</f>
        <v>0</v>
      </c>
      <c r="P32" s="57">
        <f>1-COUNTIF(ContractTypes[Code],CONT_TEA[[#This Row],[ContractTypeCode]])</f>
        <v>0</v>
      </c>
      <c r="Q32" s="57">
        <f>IF(VLOOKUP(CONT_TEA[[#This Row],[StaffMemberCode]],MEMBERS[[StaffMemberCode]:[ServiceStartDate]],5,0)&gt;CONT_TEA[[#This Row],[DateFrom]],1,0)</f>
        <v>0</v>
      </c>
      <c r="R32" s="57">
        <f>IF(_xlfn.XLOOKUP(CONT_TEA[[#This Row],[StaffMemberCode]],MEMBERS[StaffMemberCode],MEMBERS[ServiceEndDate])="",0,IF(CONT_TEA[[#This Row],[DateTo]]="",1,IF(_xlfn.XLOOKUP(CONT_TEA[[#This Row],[StaffMemberCode]],MEMBERS[StaffMemberCode],MEMBERS[ServiceEndDate])&lt;CONT_TEA[[#This Row],[DateTo]],1,0)))</f>
        <v>0</v>
      </c>
      <c r="S32" s="57">
        <f>IF(ISBLANK(CONT_TEA[[#This Row],[DateTo]]),0,IF(CONT_TEA[[#This Row],[DateFrom]]=CONT_TEA[[#This Row],[DateTo]],0,IF(CONT_TEA[[#This Row],[DateFrom]]&lt;CONT_TEA[[#This Row],[DateTo]],0,1)))</f>
        <v>0</v>
      </c>
      <c r="T32" s="57" cm="1">
        <f t="array" aca="1" ref="T32" ca="1">IF(CELL("format",CONT_TEA[[#This Row],[DateFrom]])="D1",0,1)+IF(CELL("format",CONT_TEA[[#This Row],[DateTo]])="D1",0,1)</f>
        <v>0</v>
      </c>
      <c r="U32" s="57">
        <f>IF(OR(CONT_TEA[[#This Row],[MatEditOnly]]=TRUE,CONT_TEA[[#This Row],[MatEditOnly]]=FALSE),IF(OR(CONT_TEA[[#This Row],[NoIncrement]]=TRUE,CONT_TEA[[#This Row],[NoIncrement]]=FALSE),0,1),1)</f>
        <v>0</v>
      </c>
      <c r="V32" s="57">
        <f>IF(ISBLANK(CONT_TEA[[#This Row],[FundCode]])=TRUE,0,IF(COUNTIF(FUNDS[FundCode],CONT_TEA[[#This Row],[FundCode]])=1,0,1))</f>
        <v>0</v>
      </c>
      <c r="W32" s="57">
        <f>IF(LEN(CONT_TEA[[#This Row],[Notes]])&lt;4000,0,1)</f>
        <v>0</v>
      </c>
      <c r="X32" s="57">
        <f>IF(SUBSTITUTE(TEXT(CONT_TEA[[#This Row],[Reference]],10)," ","")=TEXT(CONT_TEA[[#This Row],[Reference]],10),0,1)</f>
        <v>0</v>
      </c>
      <c r="Y32" s="57">
        <f ca="1">SUM(CONT_TEA[[#This Row],[Duplicate Contract]:[Space in Code]])</f>
        <v>1</v>
      </c>
      <c r="AA32" s="12" t="s">
        <v>2094</v>
      </c>
      <c r="AB32" s="15">
        <v>91073540</v>
      </c>
      <c r="AC32" s="12" t="s">
        <v>4381</v>
      </c>
      <c r="AD32" s="57" t="str">
        <f>_xlfn.XLOOKUP(CONT_TEA[[#This Row],[StaffMemberCode]],StaffMembers!O:O,StaffMembers!R:R)</f>
        <v>Emma Dunning</v>
      </c>
      <c r="AE32" s="12" t="s">
        <v>1178</v>
      </c>
      <c r="AF32" s="57">
        <f>_xlfn.XLOOKUP(CONT_TEA[[#This Row],[SRG]],SRG[StaffRoleGroupCode],SRG[GrossSalaryFinanceCode])</f>
        <v>612100</v>
      </c>
      <c r="AG32" s="57" t="str">
        <f>_xlfn.XLOOKUP(CONT_TEA[[#This Row],[StaffRoleCode]],ROLES[StaffRoleCode],ROLES[StaffRoleGroupCode])</f>
        <v>TEA</v>
      </c>
      <c r="AH32" s="57" t="str">
        <f>_xlfn.XLOOKUP(CONT_TEA[[#This Row],[StaffRoleCode]],ROLES[StaffRoleCode],ROLES[PayScaleCode])</f>
        <v>MAIN</v>
      </c>
      <c r="AI32" s="12" t="s">
        <v>1126</v>
      </c>
      <c r="AJ32" s="12" t="s">
        <v>1745</v>
      </c>
      <c r="AK32" s="12" t="s">
        <v>2499</v>
      </c>
      <c r="AM32" s="68" t="s">
        <v>1147</v>
      </c>
      <c r="AN32" s="13" t="s">
        <v>1702</v>
      </c>
      <c r="AO32" s="21">
        <v>45901</v>
      </c>
      <c r="AQ32" s="12">
        <v>0.6</v>
      </c>
      <c r="AR32" t="b">
        <v>0</v>
      </c>
      <c r="AS32" t="b">
        <v>0</v>
      </c>
      <c r="AT32" s="12" t="s">
        <v>1574</v>
      </c>
    </row>
    <row r="33" spans="1:46" x14ac:dyDescent="0.3">
      <c r="A33" s="57" t="str">
        <f t="shared" si="1"/>
        <v>BLS9107356591073565ATEASTCH45901</v>
      </c>
      <c r="B33" s="57">
        <f>COUNTIF(CONT_TEA[Unique Contract],CONT_TEA[[#This Row],[Unique Contract]])-1</f>
        <v>0</v>
      </c>
      <c r="C33" s="57">
        <f>IFERROR(IF(FIND(CONT_TEA[[#This Row],[SchoolCode]],_xlfn.XLOOKUP(CONT_TEA[[#This Row],[StaffMemberCode]],MEMBERS[StaffMemberCode],MEMBERS[SchoolCodes]))&gt;0,0,1),1)</f>
        <v>0</v>
      </c>
      <c r="D33" s="57" cm="1">
        <f t="array" ref="D33">IF(_xlfn.XLOOKUP(CONT_TEA[[#This Row],[StaffRoleCode]],ROLES[StaffRoleCode],ROLES[AvailableToAllSchools],1,0,)=TRUE,0,IF(ISERROR(FIND(CONT_TEA[[#This Row],[SchoolCode]],_xlfn.TEXTJOIN(",",TRUE,_xlfn.UNIQUE(IF(ROLES[StaffRoleCode]=CONT_TEA[[#This Row],[StaffRoleCode]],ROLES[SchoolCodes],""))))),1,0))</f>
        <v>0</v>
      </c>
      <c r="E33" s="57" cm="1">
        <f t="array" ref="E3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3" s="57" cm="1">
        <f t="array" ref="F33">IF(_xlfn.XLOOKUP(CONT_TEA[[#This Row],[PayScaleCode]],PAYSCALES[PayScaleCode],PAYSCALES[AvailableToAllSchools],1,0,)=TRUE,0,IF(ISERROR(FIND(CONT_TEA[[#This Row],[SchoolCode]],_xlfn.TEXTJOIN(",",TRUE,_xlfn.UNIQUE(IF(PAYSCALES[PayScaleCode]=CONT_TEA[[#This Row],[PayScaleCode]],PAYSCALES[SchoolCodes],""))))),1,0))</f>
        <v>0</v>
      </c>
      <c r="G33" s="57">
        <f>IF(_xlfn.XLOOKUP(CONT_TEA[[#This Row],[PayScaleGradeCode]],GRADES[PayScaleGradeCode],GRADES[AvailableToAllSchools])=TRUE,0,IFERROR(IF(FIND(CONT_TEA[[#This Row],[SchoolCode]],_xlfn.XLOOKUP(CONT_TEA[[#This Row],[PayScaleGradeCode]],GRADES[PayScaleGradeCode],GRADES[SchoolCodes]))&gt;=1,0,1),1))</f>
        <v>0</v>
      </c>
      <c r="H33" s="57">
        <f>IF(ISERROR(IF((_xlfn.XLOOKUP(CONT_TEA[[#This Row],[PayScaleGradeCode]],GRADES[PayScaleGradeCode],GRADES[PayScaleCode])=CONT_TEA[[#This Row],[PayScaleCode]]),0,1)),1,0)</f>
        <v>0</v>
      </c>
      <c r="I33" s="57" cm="1">
        <f t="array" ref="I33">IF(ISERROR(FIND(CONT_TEA[[#This Row],[PayScalePointCode]],_xlfn.TEXTJOIN(",",TRUE,IF(PSPOINTS[PayScaleCode]=CONT_TEA[[#This Row],[PayScaleCode]],PSPOINTS[PayScalePointCode])))),1,0)</f>
        <v>0</v>
      </c>
      <c r="J33" s="57" cm="1">
        <f t="array" ref="J3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3" s="57">
        <f>IF(_xlfn.XLOOKUP(CONT_TEA[[#This Row],[PayScalePointCode]],PSPOINTS[PayScalePointCode],PSPOINTS[PayScalePointEnabled])=TRUE,0,1)</f>
        <v>0</v>
      </c>
      <c r="L33" s="57" cm="1">
        <f t="array" ref="L33">IF(_xlfn.XLOOKUP(CONT_TEA[[#This Row],[DepartmentCode]],DEPTS[DepartmentCode],DEPTS[AvailableToAllSchools],1,0,)=TRUE,0,IF(ISERROR(FIND(CONT_TEA[[#This Row],[SchoolCode]],_xlfn.TEXTJOIN(",",TRUE,_xlfn.UNIQUE(IF(DEPTS[DepartmentCode]=CONT_TEA[[#This Row],[DepartmentCode]],DEPTS[SchoolCodes],""))))),1,0))</f>
        <v>0</v>
      </c>
      <c r="M33" s="57">
        <f>IFERROR(IF(_xlfn.XLOOKUP(CONT_TEA[[#This Row],[SRG Gross]],FinanceCodesBudget[FinanceCode],FinanceCodesBudget[LedgerCode])=_xlfn.XLOOKUP(CONT_TEA[[#This Row],[DepartmentCode]],DEPTS[DepartmentCode],DEPTS[LedgerCode]),0,1),1)</f>
        <v>1</v>
      </c>
      <c r="N33" s="57" cm="1">
        <f t="array" ref="N33">IF(_xlfn.XLOOKUP(CONT_TEA[[#This Row],[PensionCode]],PENS[PensionCode],PENS[AvailableToAllSchools],1,0,)=TRUE,0,IF(ISERROR(FIND(CONT_TEA[[#This Row],[SchoolCode]],_xlfn.TEXTJOIN(",",TRUE,_xlfn.UNIQUE(IF(PENS[PensionCode]=CONT_TEA[[#This Row],[PensionCode]],PENS[SchoolCodes],""))))),1,0))</f>
        <v>0</v>
      </c>
      <c r="O33" s="57" cm="1">
        <f t="array" ref="O33">IF(_xlfn.XLOOKUP(CONT_TEA[[#This Row],[EquatedWeekPatternCode]],EQW[EquatedWeekPatternCode],EQW[AvailableToAllSchools],1,0,)=TRUE,0,IF(ISERROR(FIND(CONT_TEA[[#This Row],[SchoolCode]],_xlfn.TEXTJOIN(",",TRUE,_xlfn.UNIQUE(IF(EQW[EquatedWeekPatternCode]=CONT_TEA[[#This Row],[EquatedWeekPatternCode]],EQW[SchoolCodes],""))))),1,0))</f>
        <v>0</v>
      </c>
      <c r="P33" s="57">
        <f>1-COUNTIF(ContractTypes[Code],CONT_TEA[[#This Row],[ContractTypeCode]])</f>
        <v>0</v>
      </c>
      <c r="Q33" s="57">
        <f>IF(VLOOKUP(CONT_TEA[[#This Row],[StaffMemberCode]],MEMBERS[[StaffMemberCode]:[ServiceStartDate]],5,0)&gt;CONT_TEA[[#This Row],[DateFrom]],1,0)</f>
        <v>0</v>
      </c>
      <c r="R33" s="57">
        <f>IF(_xlfn.XLOOKUP(CONT_TEA[[#This Row],[StaffMemberCode]],MEMBERS[StaffMemberCode],MEMBERS[ServiceEndDate])="",0,IF(CONT_TEA[[#This Row],[DateTo]]="",1,IF(_xlfn.XLOOKUP(CONT_TEA[[#This Row],[StaffMemberCode]],MEMBERS[StaffMemberCode],MEMBERS[ServiceEndDate])&lt;CONT_TEA[[#This Row],[DateTo]],1,0)))</f>
        <v>0</v>
      </c>
      <c r="S33" s="57">
        <f>IF(ISBLANK(CONT_TEA[[#This Row],[DateTo]]),0,IF(CONT_TEA[[#This Row],[DateFrom]]=CONT_TEA[[#This Row],[DateTo]],0,IF(CONT_TEA[[#This Row],[DateFrom]]&lt;CONT_TEA[[#This Row],[DateTo]],0,1)))</f>
        <v>0</v>
      </c>
      <c r="T33" s="57" cm="1">
        <f t="array" aca="1" ref="T33" ca="1">IF(CELL("format",CONT_TEA[[#This Row],[DateFrom]])="D1",0,1)+IF(CELL("format",CONT_TEA[[#This Row],[DateTo]])="D1",0,1)</f>
        <v>0</v>
      </c>
      <c r="U33" s="57">
        <f>IF(OR(CONT_TEA[[#This Row],[MatEditOnly]]=TRUE,CONT_TEA[[#This Row],[MatEditOnly]]=FALSE),IF(OR(CONT_TEA[[#This Row],[NoIncrement]]=TRUE,CONT_TEA[[#This Row],[NoIncrement]]=FALSE),0,1),1)</f>
        <v>0</v>
      </c>
      <c r="V33" s="57">
        <f>IF(ISBLANK(CONT_TEA[[#This Row],[FundCode]])=TRUE,0,IF(COUNTIF(FUNDS[FundCode],CONT_TEA[[#This Row],[FundCode]])=1,0,1))</f>
        <v>0</v>
      </c>
      <c r="W33" s="57">
        <f>IF(LEN(CONT_TEA[[#This Row],[Notes]])&lt;4000,0,1)</f>
        <v>0</v>
      </c>
      <c r="X33" s="57">
        <f>IF(SUBSTITUTE(TEXT(CONT_TEA[[#This Row],[Reference]],10)," ","")=TEXT(CONT_TEA[[#This Row],[Reference]],10),0,1)</f>
        <v>0</v>
      </c>
      <c r="Y33" s="57">
        <f ca="1">SUM(CONT_TEA[[#This Row],[Duplicate Contract]:[Space in Code]])</f>
        <v>1</v>
      </c>
      <c r="AA33" s="12" t="s">
        <v>2094</v>
      </c>
      <c r="AB33" s="15">
        <v>91073565</v>
      </c>
      <c r="AC33" s="12" t="s">
        <v>4382</v>
      </c>
      <c r="AD33" s="57" t="str">
        <f>_xlfn.XLOOKUP(CONT_TEA[[#This Row],[StaffMemberCode]],StaffMembers!O:O,StaffMembers!R:R)</f>
        <v>Sophie Davies</v>
      </c>
      <c r="AE33" s="12" t="s">
        <v>1178</v>
      </c>
      <c r="AF33" s="57">
        <f>_xlfn.XLOOKUP(CONT_TEA[[#This Row],[SRG]],SRG[StaffRoleGroupCode],SRG[GrossSalaryFinanceCode])</f>
        <v>612100</v>
      </c>
      <c r="AG33" s="57" t="str">
        <f>_xlfn.XLOOKUP(CONT_TEA[[#This Row],[StaffRoleCode]],ROLES[StaffRoleCode],ROLES[StaffRoleGroupCode])</f>
        <v>TEA</v>
      </c>
      <c r="AH33" s="57" t="str">
        <f>_xlfn.XLOOKUP(CONT_TEA[[#This Row],[StaffRoleCode]],ROLES[StaffRoleCode],ROLES[PayScaleCode])</f>
        <v>MAIN</v>
      </c>
      <c r="AI33" s="12" t="s">
        <v>1126</v>
      </c>
      <c r="AJ33" s="12" t="s">
        <v>1745</v>
      </c>
      <c r="AK33" s="12" t="s">
        <v>2499</v>
      </c>
      <c r="AM33" s="68" t="s">
        <v>1147</v>
      </c>
      <c r="AN33" s="13" t="s">
        <v>1702</v>
      </c>
      <c r="AO33" s="21">
        <v>45901</v>
      </c>
      <c r="AQ33" s="12">
        <v>0.6</v>
      </c>
      <c r="AR33" t="b">
        <v>0</v>
      </c>
      <c r="AS33" t="b">
        <v>0</v>
      </c>
      <c r="AT33" s="12" t="s">
        <v>1574</v>
      </c>
    </row>
    <row r="34" spans="1:46" x14ac:dyDescent="0.3">
      <c r="A34" s="57" t="str">
        <f t="shared" si="1"/>
        <v>BLS9107345491073454ATEASTCH45901</v>
      </c>
      <c r="B34" s="57">
        <f>COUNTIF(CONT_TEA[Unique Contract],CONT_TEA[[#This Row],[Unique Contract]])-1</f>
        <v>0</v>
      </c>
      <c r="C34" s="57">
        <f>IFERROR(IF(FIND(CONT_TEA[[#This Row],[SchoolCode]],_xlfn.XLOOKUP(CONT_TEA[[#This Row],[StaffMemberCode]],MEMBERS[StaffMemberCode],MEMBERS[SchoolCodes]))&gt;0,0,1),1)</f>
        <v>0</v>
      </c>
      <c r="D34" s="57" cm="1">
        <f t="array" ref="D34">IF(_xlfn.XLOOKUP(CONT_TEA[[#This Row],[StaffRoleCode]],ROLES[StaffRoleCode],ROLES[AvailableToAllSchools],1,0,)=TRUE,0,IF(ISERROR(FIND(CONT_TEA[[#This Row],[SchoolCode]],_xlfn.TEXTJOIN(",",TRUE,_xlfn.UNIQUE(IF(ROLES[StaffRoleCode]=CONT_TEA[[#This Row],[StaffRoleCode]],ROLES[SchoolCodes],""))))),1,0))</f>
        <v>0</v>
      </c>
      <c r="E34" s="57" cm="1">
        <f t="array" ref="E3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4" s="57" cm="1">
        <f t="array" ref="F34">IF(_xlfn.XLOOKUP(CONT_TEA[[#This Row],[PayScaleCode]],PAYSCALES[PayScaleCode],PAYSCALES[AvailableToAllSchools],1,0,)=TRUE,0,IF(ISERROR(FIND(CONT_TEA[[#This Row],[SchoolCode]],_xlfn.TEXTJOIN(",",TRUE,_xlfn.UNIQUE(IF(PAYSCALES[PayScaleCode]=CONT_TEA[[#This Row],[PayScaleCode]],PAYSCALES[SchoolCodes],""))))),1,0))</f>
        <v>0</v>
      </c>
      <c r="G34" s="57">
        <f>IF(_xlfn.XLOOKUP(CONT_TEA[[#This Row],[PayScaleGradeCode]],GRADES[PayScaleGradeCode],GRADES[AvailableToAllSchools])=TRUE,0,IFERROR(IF(FIND(CONT_TEA[[#This Row],[SchoolCode]],_xlfn.XLOOKUP(CONT_TEA[[#This Row],[PayScaleGradeCode]],GRADES[PayScaleGradeCode],GRADES[SchoolCodes]))&gt;=1,0,1),1))</f>
        <v>0</v>
      </c>
      <c r="H34" s="57">
        <f>IF(ISERROR(IF((_xlfn.XLOOKUP(CONT_TEA[[#This Row],[PayScaleGradeCode]],GRADES[PayScaleGradeCode],GRADES[PayScaleCode])=CONT_TEA[[#This Row],[PayScaleCode]]),0,1)),1,0)</f>
        <v>0</v>
      </c>
      <c r="I34" s="57" cm="1">
        <f t="array" ref="I34">IF(ISERROR(FIND(CONT_TEA[[#This Row],[PayScalePointCode]],_xlfn.TEXTJOIN(",",TRUE,IF(PSPOINTS[PayScaleCode]=CONT_TEA[[#This Row],[PayScaleCode]],PSPOINTS[PayScalePointCode])))),1,0)</f>
        <v>0</v>
      </c>
      <c r="J34" s="57" cm="1">
        <f t="array" ref="J3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4" s="57">
        <f>IF(_xlfn.XLOOKUP(CONT_TEA[[#This Row],[PayScalePointCode]],PSPOINTS[PayScalePointCode],PSPOINTS[PayScalePointEnabled])=TRUE,0,1)</f>
        <v>0</v>
      </c>
      <c r="L34" s="57" cm="1">
        <f t="array" ref="L34">IF(_xlfn.XLOOKUP(CONT_TEA[[#This Row],[DepartmentCode]],DEPTS[DepartmentCode],DEPTS[AvailableToAllSchools],1,0,)=TRUE,0,IF(ISERROR(FIND(CONT_TEA[[#This Row],[SchoolCode]],_xlfn.TEXTJOIN(",",TRUE,_xlfn.UNIQUE(IF(DEPTS[DepartmentCode]=CONT_TEA[[#This Row],[DepartmentCode]],DEPTS[SchoolCodes],""))))),1,0))</f>
        <v>0</v>
      </c>
      <c r="M34" s="57">
        <f>IFERROR(IF(_xlfn.XLOOKUP(CONT_TEA[[#This Row],[SRG Gross]],FinanceCodesBudget[FinanceCode],FinanceCodesBudget[LedgerCode])=_xlfn.XLOOKUP(CONT_TEA[[#This Row],[DepartmentCode]],DEPTS[DepartmentCode],DEPTS[LedgerCode]),0,1),1)</f>
        <v>1</v>
      </c>
      <c r="N34" s="57" cm="1">
        <f t="array" ref="N34">IF(_xlfn.XLOOKUP(CONT_TEA[[#This Row],[PensionCode]],PENS[PensionCode],PENS[AvailableToAllSchools],1,0,)=TRUE,0,IF(ISERROR(FIND(CONT_TEA[[#This Row],[SchoolCode]],_xlfn.TEXTJOIN(",",TRUE,_xlfn.UNIQUE(IF(PENS[PensionCode]=CONT_TEA[[#This Row],[PensionCode]],PENS[SchoolCodes],""))))),1,0))</f>
        <v>0</v>
      </c>
      <c r="O34" s="57" cm="1">
        <f t="array" ref="O34">IF(_xlfn.XLOOKUP(CONT_TEA[[#This Row],[EquatedWeekPatternCode]],EQW[EquatedWeekPatternCode],EQW[AvailableToAllSchools],1,0,)=TRUE,0,IF(ISERROR(FIND(CONT_TEA[[#This Row],[SchoolCode]],_xlfn.TEXTJOIN(",",TRUE,_xlfn.UNIQUE(IF(EQW[EquatedWeekPatternCode]=CONT_TEA[[#This Row],[EquatedWeekPatternCode]],EQW[SchoolCodes],""))))),1,0))</f>
        <v>0</v>
      </c>
      <c r="P34" s="57">
        <f>1-COUNTIF(ContractTypes[Code],CONT_TEA[[#This Row],[ContractTypeCode]])</f>
        <v>0</v>
      </c>
      <c r="Q34" s="57">
        <f>IF(VLOOKUP(CONT_TEA[[#This Row],[StaffMemberCode]],MEMBERS[[StaffMemberCode]:[ServiceStartDate]],5,0)&gt;CONT_TEA[[#This Row],[DateFrom]],1,0)</f>
        <v>0</v>
      </c>
      <c r="R34" s="57">
        <f>IF(_xlfn.XLOOKUP(CONT_TEA[[#This Row],[StaffMemberCode]],MEMBERS[StaffMemberCode],MEMBERS[ServiceEndDate])="",0,IF(CONT_TEA[[#This Row],[DateTo]]="",1,IF(_xlfn.XLOOKUP(CONT_TEA[[#This Row],[StaffMemberCode]],MEMBERS[StaffMemberCode],MEMBERS[ServiceEndDate])&lt;CONT_TEA[[#This Row],[DateTo]],1,0)))</f>
        <v>0</v>
      </c>
      <c r="S34" s="57">
        <f>IF(ISBLANK(CONT_TEA[[#This Row],[DateTo]]),0,IF(CONT_TEA[[#This Row],[DateFrom]]=CONT_TEA[[#This Row],[DateTo]],0,IF(CONT_TEA[[#This Row],[DateFrom]]&lt;CONT_TEA[[#This Row],[DateTo]],0,1)))</f>
        <v>0</v>
      </c>
      <c r="T34" s="57" cm="1">
        <f t="array" aca="1" ref="T34" ca="1">IF(CELL("format",CONT_TEA[[#This Row],[DateFrom]])="D1",0,1)+IF(CELL("format",CONT_TEA[[#This Row],[DateTo]])="D1",0,1)</f>
        <v>0</v>
      </c>
      <c r="U34" s="57">
        <f>IF(OR(CONT_TEA[[#This Row],[MatEditOnly]]=TRUE,CONT_TEA[[#This Row],[MatEditOnly]]=FALSE),IF(OR(CONT_TEA[[#This Row],[NoIncrement]]=TRUE,CONT_TEA[[#This Row],[NoIncrement]]=FALSE),0,1),1)</f>
        <v>0</v>
      </c>
      <c r="V34" s="57">
        <f>IF(ISBLANK(CONT_TEA[[#This Row],[FundCode]])=TRUE,0,IF(COUNTIF(FUNDS[FundCode],CONT_TEA[[#This Row],[FundCode]])=1,0,1))</f>
        <v>0</v>
      </c>
      <c r="W34" s="57">
        <f>IF(LEN(CONT_TEA[[#This Row],[Notes]])&lt;4000,0,1)</f>
        <v>0</v>
      </c>
      <c r="X34" s="57">
        <f>IF(SUBSTITUTE(TEXT(CONT_TEA[[#This Row],[Reference]],10)," ","")=TEXT(CONT_TEA[[#This Row],[Reference]],10),0,1)</f>
        <v>0</v>
      </c>
      <c r="Y34" s="57">
        <f ca="1">SUM(CONT_TEA[[#This Row],[Duplicate Contract]:[Space in Code]])</f>
        <v>1</v>
      </c>
      <c r="AA34" s="12" t="s">
        <v>2094</v>
      </c>
      <c r="AB34" s="15">
        <v>91073454</v>
      </c>
      <c r="AC34" s="12" t="s">
        <v>4383</v>
      </c>
      <c r="AD34" s="57" t="str">
        <f>_xlfn.XLOOKUP(CONT_TEA[[#This Row],[StaffMemberCode]],StaffMembers!O:O,StaffMembers!R:R)</f>
        <v>Pamela Hughes</v>
      </c>
      <c r="AE34" s="12" t="s">
        <v>1178</v>
      </c>
      <c r="AF34" s="57">
        <f>_xlfn.XLOOKUP(CONT_TEA[[#This Row],[SRG]],SRG[StaffRoleGroupCode],SRG[GrossSalaryFinanceCode])</f>
        <v>612100</v>
      </c>
      <c r="AG34" s="57" t="str">
        <f>_xlfn.XLOOKUP(CONT_TEA[[#This Row],[StaffRoleCode]],ROLES[StaffRoleCode],ROLES[StaffRoleGroupCode])</f>
        <v>TEA</v>
      </c>
      <c r="AH34" s="57" t="str">
        <f>_xlfn.XLOOKUP(CONT_TEA[[#This Row],[StaffRoleCode]],ROLES[StaffRoleCode],ROLES[PayScaleCode])</f>
        <v>MAIN</v>
      </c>
      <c r="AI34" s="12" t="s">
        <v>1126</v>
      </c>
      <c r="AJ34" s="12" t="s">
        <v>1745</v>
      </c>
      <c r="AK34" s="12" t="s">
        <v>2499</v>
      </c>
      <c r="AM34" s="68" t="s">
        <v>1147</v>
      </c>
      <c r="AN34" s="13" t="s">
        <v>1702</v>
      </c>
      <c r="AO34" s="21">
        <v>45901</v>
      </c>
      <c r="AQ34" s="12">
        <v>0.9</v>
      </c>
      <c r="AR34" t="b">
        <v>0</v>
      </c>
      <c r="AS34" t="b">
        <v>0</v>
      </c>
      <c r="AT34" s="12" t="s">
        <v>1574</v>
      </c>
    </row>
    <row r="35" spans="1:46" x14ac:dyDescent="0.3">
      <c r="A35" s="57" t="str">
        <f t="shared" si="1"/>
        <v>BLS9107349091073490ATEASTCH45901</v>
      </c>
      <c r="B35" s="57">
        <f>COUNTIF(CONT_TEA[Unique Contract],CONT_TEA[[#This Row],[Unique Contract]])-1</f>
        <v>0</v>
      </c>
      <c r="C35" s="57">
        <f>IFERROR(IF(FIND(CONT_TEA[[#This Row],[SchoolCode]],_xlfn.XLOOKUP(CONT_TEA[[#This Row],[StaffMemberCode]],MEMBERS[StaffMemberCode],MEMBERS[SchoolCodes]))&gt;0,0,1),1)</f>
        <v>0</v>
      </c>
      <c r="D35" s="57" cm="1">
        <f t="array" ref="D35">IF(_xlfn.XLOOKUP(CONT_TEA[[#This Row],[StaffRoleCode]],ROLES[StaffRoleCode],ROLES[AvailableToAllSchools],1,0,)=TRUE,0,IF(ISERROR(FIND(CONT_TEA[[#This Row],[SchoolCode]],_xlfn.TEXTJOIN(",",TRUE,_xlfn.UNIQUE(IF(ROLES[StaffRoleCode]=CONT_TEA[[#This Row],[StaffRoleCode]],ROLES[SchoolCodes],""))))),1,0))</f>
        <v>0</v>
      </c>
      <c r="E35" s="57" cm="1">
        <f t="array" ref="E3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5" s="57" cm="1">
        <f t="array" ref="F35">IF(_xlfn.XLOOKUP(CONT_TEA[[#This Row],[PayScaleCode]],PAYSCALES[PayScaleCode],PAYSCALES[AvailableToAllSchools],1,0,)=TRUE,0,IF(ISERROR(FIND(CONT_TEA[[#This Row],[SchoolCode]],_xlfn.TEXTJOIN(",",TRUE,_xlfn.UNIQUE(IF(PAYSCALES[PayScaleCode]=CONT_TEA[[#This Row],[PayScaleCode]],PAYSCALES[SchoolCodes],""))))),1,0))</f>
        <v>0</v>
      </c>
      <c r="G35" s="57">
        <f>IF(_xlfn.XLOOKUP(CONT_TEA[[#This Row],[PayScaleGradeCode]],GRADES[PayScaleGradeCode],GRADES[AvailableToAllSchools])=TRUE,0,IFERROR(IF(FIND(CONT_TEA[[#This Row],[SchoolCode]],_xlfn.XLOOKUP(CONT_TEA[[#This Row],[PayScaleGradeCode]],GRADES[PayScaleGradeCode],GRADES[SchoolCodes]))&gt;=1,0,1),1))</f>
        <v>0</v>
      </c>
      <c r="H35" s="57">
        <f>IF(ISERROR(IF((_xlfn.XLOOKUP(CONT_TEA[[#This Row],[PayScaleGradeCode]],GRADES[PayScaleGradeCode],GRADES[PayScaleCode])=CONT_TEA[[#This Row],[PayScaleCode]]),0,1)),1,0)</f>
        <v>0</v>
      </c>
      <c r="I35" s="57" cm="1">
        <f t="array" ref="I35">IF(ISERROR(FIND(CONT_TEA[[#This Row],[PayScalePointCode]],_xlfn.TEXTJOIN(",",TRUE,IF(PSPOINTS[PayScaleCode]=CONT_TEA[[#This Row],[PayScaleCode]],PSPOINTS[PayScalePointCode])))),1,0)</f>
        <v>0</v>
      </c>
      <c r="J35" s="57" cm="1">
        <f t="array" ref="J3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5" s="57">
        <f>IF(_xlfn.XLOOKUP(CONT_TEA[[#This Row],[PayScalePointCode]],PSPOINTS[PayScalePointCode],PSPOINTS[PayScalePointEnabled])=TRUE,0,1)</f>
        <v>0</v>
      </c>
      <c r="L35" s="57" cm="1">
        <f t="array" ref="L35">IF(_xlfn.XLOOKUP(CONT_TEA[[#This Row],[DepartmentCode]],DEPTS[DepartmentCode],DEPTS[AvailableToAllSchools],1,0,)=TRUE,0,IF(ISERROR(FIND(CONT_TEA[[#This Row],[SchoolCode]],_xlfn.TEXTJOIN(",",TRUE,_xlfn.UNIQUE(IF(DEPTS[DepartmentCode]=CONT_TEA[[#This Row],[DepartmentCode]],DEPTS[SchoolCodes],""))))),1,0))</f>
        <v>0</v>
      </c>
      <c r="M35" s="57">
        <f>IFERROR(IF(_xlfn.XLOOKUP(CONT_TEA[[#This Row],[SRG Gross]],FinanceCodesBudget[FinanceCode],FinanceCodesBudget[LedgerCode])=_xlfn.XLOOKUP(CONT_TEA[[#This Row],[DepartmentCode]],DEPTS[DepartmentCode],DEPTS[LedgerCode]),0,1),1)</f>
        <v>1</v>
      </c>
      <c r="N35" s="57" cm="1">
        <f t="array" ref="N35">IF(_xlfn.XLOOKUP(CONT_TEA[[#This Row],[PensionCode]],PENS[PensionCode],PENS[AvailableToAllSchools],1,0,)=TRUE,0,IF(ISERROR(FIND(CONT_TEA[[#This Row],[SchoolCode]],_xlfn.TEXTJOIN(",",TRUE,_xlfn.UNIQUE(IF(PENS[PensionCode]=CONT_TEA[[#This Row],[PensionCode]],PENS[SchoolCodes],""))))),1,0))</f>
        <v>0</v>
      </c>
      <c r="O35" s="57" cm="1">
        <f t="array" ref="O35">IF(_xlfn.XLOOKUP(CONT_TEA[[#This Row],[EquatedWeekPatternCode]],EQW[EquatedWeekPatternCode],EQW[AvailableToAllSchools],1,0,)=TRUE,0,IF(ISERROR(FIND(CONT_TEA[[#This Row],[SchoolCode]],_xlfn.TEXTJOIN(",",TRUE,_xlfn.UNIQUE(IF(EQW[EquatedWeekPatternCode]=CONT_TEA[[#This Row],[EquatedWeekPatternCode]],EQW[SchoolCodes],""))))),1,0))</f>
        <v>0</v>
      </c>
      <c r="P35" s="57">
        <f>1-COUNTIF(ContractTypes[Code],CONT_TEA[[#This Row],[ContractTypeCode]])</f>
        <v>0</v>
      </c>
      <c r="Q35" s="57">
        <f>IF(VLOOKUP(CONT_TEA[[#This Row],[StaffMemberCode]],MEMBERS[[StaffMemberCode]:[ServiceStartDate]],5,0)&gt;CONT_TEA[[#This Row],[DateFrom]],1,0)</f>
        <v>0</v>
      </c>
      <c r="R35" s="57">
        <f>IF(_xlfn.XLOOKUP(CONT_TEA[[#This Row],[StaffMemberCode]],MEMBERS[StaffMemberCode],MEMBERS[ServiceEndDate])="",0,IF(CONT_TEA[[#This Row],[DateTo]]="",1,IF(_xlfn.XLOOKUP(CONT_TEA[[#This Row],[StaffMemberCode]],MEMBERS[StaffMemberCode],MEMBERS[ServiceEndDate])&lt;CONT_TEA[[#This Row],[DateTo]],1,0)))</f>
        <v>0</v>
      </c>
      <c r="S35" s="57">
        <f>IF(ISBLANK(CONT_TEA[[#This Row],[DateTo]]),0,IF(CONT_TEA[[#This Row],[DateFrom]]=CONT_TEA[[#This Row],[DateTo]],0,IF(CONT_TEA[[#This Row],[DateFrom]]&lt;CONT_TEA[[#This Row],[DateTo]],0,1)))</f>
        <v>0</v>
      </c>
      <c r="T35" s="57" cm="1">
        <f t="array" aca="1" ref="T35" ca="1">IF(CELL("format",CONT_TEA[[#This Row],[DateFrom]])="D1",0,1)+IF(CELL("format",CONT_TEA[[#This Row],[DateTo]])="D1",0,1)</f>
        <v>0</v>
      </c>
      <c r="U35" s="57">
        <f>IF(OR(CONT_TEA[[#This Row],[MatEditOnly]]=TRUE,CONT_TEA[[#This Row],[MatEditOnly]]=FALSE),IF(OR(CONT_TEA[[#This Row],[NoIncrement]]=TRUE,CONT_TEA[[#This Row],[NoIncrement]]=FALSE),0,1),1)</f>
        <v>0</v>
      </c>
      <c r="V35" s="57">
        <f>IF(ISBLANK(CONT_TEA[[#This Row],[FundCode]])=TRUE,0,IF(COUNTIF(FUNDS[FundCode],CONT_TEA[[#This Row],[FundCode]])=1,0,1))</f>
        <v>0</v>
      </c>
      <c r="W35" s="57">
        <f>IF(LEN(CONT_TEA[[#This Row],[Notes]])&lt;4000,0,1)</f>
        <v>0</v>
      </c>
      <c r="X35" s="57">
        <f>IF(SUBSTITUTE(TEXT(CONT_TEA[[#This Row],[Reference]],10)," ","")=TEXT(CONT_TEA[[#This Row],[Reference]],10),0,1)</f>
        <v>0</v>
      </c>
      <c r="Y35" s="57">
        <f ca="1">SUM(CONT_TEA[[#This Row],[Duplicate Contract]:[Space in Code]])</f>
        <v>1</v>
      </c>
      <c r="AA35" s="12" t="s">
        <v>2094</v>
      </c>
      <c r="AB35" s="15">
        <v>91073490</v>
      </c>
      <c r="AC35" s="12" t="s">
        <v>4384</v>
      </c>
      <c r="AD35" s="57" t="str">
        <f>_xlfn.XLOOKUP(CONT_TEA[[#This Row],[StaffMemberCode]],StaffMembers!O:O,StaffMembers!R:R)</f>
        <v>Christopher Cooney</v>
      </c>
      <c r="AE35" s="12" t="s">
        <v>1178</v>
      </c>
      <c r="AF35" s="57">
        <f>_xlfn.XLOOKUP(CONT_TEA[[#This Row],[SRG]],SRG[StaffRoleGroupCode],SRG[GrossSalaryFinanceCode])</f>
        <v>612100</v>
      </c>
      <c r="AG35" s="57" t="str">
        <f>_xlfn.XLOOKUP(CONT_TEA[[#This Row],[StaffRoleCode]],ROLES[StaffRoleCode],ROLES[StaffRoleGroupCode])</f>
        <v>TEA</v>
      </c>
      <c r="AH35" s="57" t="str">
        <f>_xlfn.XLOOKUP(CONT_TEA[[#This Row],[StaffRoleCode]],ROLES[StaffRoleCode],ROLES[PayScaleCode])</f>
        <v>MAIN</v>
      </c>
      <c r="AI35" s="12" t="s">
        <v>1126</v>
      </c>
      <c r="AJ35" s="12" t="s">
        <v>1745</v>
      </c>
      <c r="AK35" s="12" t="s">
        <v>2499</v>
      </c>
      <c r="AM35" s="68" t="s">
        <v>1147</v>
      </c>
      <c r="AN35" s="13" t="s">
        <v>1702</v>
      </c>
      <c r="AO35" s="21">
        <v>45901</v>
      </c>
      <c r="AQ35" s="12">
        <v>1</v>
      </c>
      <c r="AR35" t="b">
        <v>0</v>
      </c>
      <c r="AS35" t="b">
        <v>0</v>
      </c>
      <c r="AT35" s="12" t="s">
        <v>1574</v>
      </c>
    </row>
    <row r="36" spans="1:46" x14ac:dyDescent="0.3">
      <c r="A36" s="57" t="str">
        <f t="shared" si="1"/>
        <v>BLS9107353691073536ATEASTCH45901</v>
      </c>
      <c r="B36" s="57">
        <f>COUNTIF(CONT_TEA[Unique Contract],CONT_TEA[[#This Row],[Unique Contract]])-1</f>
        <v>0</v>
      </c>
      <c r="C36" s="57">
        <f>IFERROR(IF(FIND(CONT_TEA[[#This Row],[SchoolCode]],_xlfn.XLOOKUP(CONT_TEA[[#This Row],[StaffMemberCode]],MEMBERS[StaffMemberCode],MEMBERS[SchoolCodes]))&gt;0,0,1),1)</f>
        <v>0</v>
      </c>
      <c r="D36" s="57" cm="1">
        <f t="array" ref="D36">IF(_xlfn.XLOOKUP(CONT_TEA[[#This Row],[StaffRoleCode]],ROLES[StaffRoleCode],ROLES[AvailableToAllSchools],1,0,)=TRUE,0,IF(ISERROR(FIND(CONT_TEA[[#This Row],[SchoolCode]],_xlfn.TEXTJOIN(",",TRUE,_xlfn.UNIQUE(IF(ROLES[StaffRoleCode]=CONT_TEA[[#This Row],[StaffRoleCode]],ROLES[SchoolCodes],""))))),1,0))</f>
        <v>0</v>
      </c>
      <c r="E36" s="57" cm="1">
        <f t="array" ref="E3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6" s="57" cm="1">
        <f t="array" ref="F36">IF(_xlfn.XLOOKUP(CONT_TEA[[#This Row],[PayScaleCode]],PAYSCALES[PayScaleCode],PAYSCALES[AvailableToAllSchools],1,0,)=TRUE,0,IF(ISERROR(FIND(CONT_TEA[[#This Row],[SchoolCode]],_xlfn.TEXTJOIN(",",TRUE,_xlfn.UNIQUE(IF(PAYSCALES[PayScaleCode]=CONT_TEA[[#This Row],[PayScaleCode]],PAYSCALES[SchoolCodes],""))))),1,0))</f>
        <v>0</v>
      </c>
      <c r="G36" s="57">
        <f>IF(_xlfn.XLOOKUP(CONT_TEA[[#This Row],[PayScaleGradeCode]],GRADES[PayScaleGradeCode],GRADES[AvailableToAllSchools])=TRUE,0,IFERROR(IF(FIND(CONT_TEA[[#This Row],[SchoolCode]],_xlfn.XLOOKUP(CONT_TEA[[#This Row],[PayScaleGradeCode]],GRADES[PayScaleGradeCode],GRADES[SchoolCodes]))&gt;=1,0,1),1))</f>
        <v>0</v>
      </c>
      <c r="H36" s="57">
        <f>IF(ISERROR(IF((_xlfn.XLOOKUP(CONT_TEA[[#This Row],[PayScaleGradeCode]],GRADES[PayScaleGradeCode],GRADES[PayScaleCode])=CONT_TEA[[#This Row],[PayScaleCode]]),0,1)),1,0)</f>
        <v>0</v>
      </c>
      <c r="I36" s="57" cm="1">
        <f t="array" ref="I36">IF(ISERROR(FIND(CONT_TEA[[#This Row],[PayScalePointCode]],_xlfn.TEXTJOIN(",",TRUE,IF(PSPOINTS[PayScaleCode]=CONT_TEA[[#This Row],[PayScaleCode]],PSPOINTS[PayScalePointCode])))),1,0)</f>
        <v>0</v>
      </c>
      <c r="J36" s="57" cm="1">
        <f t="array" ref="J3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6" s="57">
        <f>IF(_xlfn.XLOOKUP(CONT_TEA[[#This Row],[PayScalePointCode]],PSPOINTS[PayScalePointCode],PSPOINTS[PayScalePointEnabled])=TRUE,0,1)</f>
        <v>0</v>
      </c>
      <c r="L36" s="57" cm="1">
        <f t="array" ref="L36">IF(_xlfn.XLOOKUP(CONT_TEA[[#This Row],[DepartmentCode]],DEPTS[DepartmentCode],DEPTS[AvailableToAllSchools],1,0,)=TRUE,0,IF(ISERROR(FIND(CONT_TEA[[#This Row],[SchoolCode]],_xlfn.TEXTJOIN(",",TRUE,_xlfn.UNIQUE(IF(DEPTS[DepartmentCode]=CONT_TEA[[#This Row],[DepartmentCode]],DEPTS[SchoolCodes],""))))),1,0))</f>
        <v>0</v>
      </c>
      <c r="M36" s="57">
        <f>IFERROR(IF(_xlfn.XLOOKUP(CONT_TEA[[#This Row],[SRG Gross]],FinanceCodesBudget[FinanceCode],FinanceCodesBudget[LedgerCode])=_xlfn.XLOOKUP(CONT_TEA[[#This Row],[DepartmentCode]],DEPTS[DepartmentCode],DEPTS[LedgerCode]),0,1),1)</f>
        <v>1</v>
      </c>
      <c r="N36" s="57" cm="1">
        <f t="array" ref="N36">IF(_xlfn.XLOOKUP(CONT_TEA[[#This Row],[PensionCode]],PENS[PensionCode],PENS[AvailableToAllSchools],1,0,)=TRUE,0,IF(ISERROR(FIND(CONT_TEA[[#This Row],[SchoolCode]],_xlfn.TEXTJOIN(",",TRUE,_xlfn.UNIQUE(IF(PENS[PensionCode]=CONT_TEA[[#This Row],[PensionCode]],PENS[SchoolCodes],""))))),1,0))</f>
        <v>0</v>
      </c>
      <c r="O36" s="57" cm="1">
        <f t="array" ref="O36">IF(_xlfn.XLOOKUP(CONT_TEA[[#This Row],[EquatedWeekPatternCode]],EQW[EquatedWeekPatternCode],EQW[AvailableToAllSchools],1,0,)=TRUE,0,IF(ISERROR(FIND(CONT_TEA[[#This Row],[SchoolCode]],_xlfn.TEXTJOIN(",",TRUE,_xlfn.UNIQUE(IF(EQW[EquatedWeekPatternCode]=CONT_TEA[[#This Row],[EquatedWeekPatternCode]],EQW[SchoolCodes],""))))),1,0))</f>
        <v>0</v>
      </c>
      <c r="P36" s="57">
        <f>1-COUNTIF(ContractTypes[Code],CONT_TEA[[#This Row],[ContractTypeCode]])</f>
        <v>0</v>
      </c>
      <c r="Q36" s="57">
        <f>IF(VLOOKUP(CONT_TEA[[#This Row],[StaffMemberCode]],MEMBERS[[StaffMemberCode]:[ServiceStartDate]],5,0)&gt;CONT_TEA[[#This Row],[DateFrom]],1,0)</f>
        <v>0</v>
      </c>
      <c r="R36" s="57">
        <f>IF(_xlfn.XLOOKUP(CONT_TEA[[#This Row],[StaffMemberCode]],MEMBERS[StaffMemberCode],MEMBERS[ServiceEndDate])="",0,IF(CONT_TEA[[#This Row],[DateTo]]="",1,IF(_xlfn.XLOOKUP(CONT_TEA[[#This Row],[StaffMemberCode]],MEMBERS[StaffMemberCode],MEMBERS[ServiceEndDate])&lt;CONT_TEA[[#This Row],[DateTo]],1,0)))</f>
        <v>0</v>
      </c>
      <c r="S36" s="57">
        <f>IF(ISBLANK(CONT_TEA[[#This Row],[DateTo]]),0,IF(CONT_TEA[[#This Row],[DateFrom]]=CONT_TEA[[#This Row],[DateTo]],0,IF(CONT_TEA[[#This Row],[DateFrom]]&lt;CONT_TEA[[#This Row],[DateTo]],0,1)))</f>
        <v>0</v>
      </c>
      <c r="T36" s="57" cm="1">
        <f t="array" aca="1" ref="T36" ca="1">IF(CELL("format",CONT_TEA[[#This Row],[DateFrom]])="D1",0,1)+IF(CELL("format",CONT_TEA[[#This Row],[DateTo]])="D1",0,1)</f>
        <v>0</v>
      </c>
      <c r="U36" s="57">
        <f>IF(OR(CONT_TEA[[#This Row],[MatEditOnly]]=TRUE,CONT_TEA[[#This Row],[MatEditOnly]]=FALSE),IF(OR(CONT_TEA[[#This Row],[NoIncrement]]=TRUE,CONT_TEA[[#This Row],[NoIncrement]]=FALSE),0,1),1)</f>
        <v>0</v>
      </c>
      <c r="V36" s="57">
        <f>IF(ISBLANK(CONT_TEA[[#This Row],[FundCode]])=TRUE,0,IF(COUNTIF(FUNDS[FundCode],CONT_TEA[[#This Row],[FundCode]])=1,0,1))</f>
        <v>0</v>
      </c>
      <c r="W36" s="57">
        <f>IF(LEN(CONT_TEA[[#This Row],[Notes]])&lt;4000,0,1)</f>
        <v>0</v>
      </c>
      <c r="X36" s="57">
        <f>IF(SUBSTITUTE(TEXT(CONT_TEA[[#This Row],[Reference]],10)," ","")=TEXT(CONT_TEA[[#This Row],[Reference]],10),0,1)</f>
        <v>0</v>
      </c>
      <c r="Y36" s="57">
        <f ca="1">SUM(CONT_TEA[[#This Row],[Duplicate Contract]:[Space in Code]])</f>
        <v>1</v>
      </c>
      <c r="AA36" s="12" t="s">
        <v>2094</v>
      </c>
      <c r="AB36" s="15">
        <v>91073536</v>
      </c>
      <c r="AC36" s="12" t="s">
        <v>4385</v>
      </c>
      <c r="AD36" s="57" t="str">
        <f>_xlfn.XLOOKUP(CONT_TEA[[#This Row],[StaffMemberCode]],StaffMembers!O:O,StaffMembers!R:R)</f>
        <v>Simon Gresty</v>
      </c>
      <c r="AE36" s="12" t="s">
        <v>1178</v>
      </c>
      <c r="AF36" s="57">
        <f>_xlfn.XLOOKUP(CONT_TEA[[#This Row],[SRG]],SRG[StaffRoleGroupCode],SRG[GrossSalaryFinanceCode])</f>
        <v>612100</v>
      </c>
      <c r="AG36" s="57" t="str">
        <f>_xlfn.XLOOKUP(CONT_TEA[[#This Row],[StaffRoleCode]],ROLES[StaffRoleCode],ROLES[StaffRoleGroupCode])</f>
        <v>TEA</v>
      </c>
      <c r="AH36" s="57" t="str">
        <f>_xlfn.XLOOKUP(CONT_TEA[[#This Row],[StaffRoleCode]],ROLES[StaffRoleCode],ROLES[PayScaleCode])</f>
        <v>MAIN</v>
      </c>
      <c r="AI36" s="12" t="s">
        <v>1126</v>
      </c>
      <c r="AJ36" s="12" t="s">
        <v>1745</v>
      </c>
      <c r="AK36" s="12" t="s">
        <v>2499</v>
      </c>
      <c r="AM36" s="68" t="s">
        <v>1147</v>
      </c>
      <c r="AN36" s="13" t="s">
        <v>1702</v>
      </c>
      <c r="AO36" s="21">
        <v>45901</v>
      </c>
      <c r="AQ36" s="12">
        <v>0.8</v>
      </c>
      <c r="AR36" t="b">
        <v>0</v>
      </c>
      <c r="AS36" t="b">
        <v>0</v>
      </c>
      <c r="AT36" s="12" t="s">
        <v>1574</v>
      </c>
    </row>
    <row r="37" spans="1:46" x14ac:dyDescent="0.3">
      <c r="A37" s="57" t="str">
        <f t="shared" si="1"/>
        <v>BLS9107346591073465ATEASTCH45901</v>
      </c>
      <c r="B37" s="57">
        <f>COUNTIF(CONT_TEA[Unique Contract],CONT_TEA[[#This Row],[Unique Contract]])-1</f>
        <v>0</v>
      </c>
      <c r="C37" s="57">
        <f>IFERROR(IF(FIND(CONT_TEA[[#This Row],[SchoolCode]],_xlfn.XLOOKUP(CONT_TEA[[#This Row],[StaffMemberCode]],MEMBERS[StaffMemberCode],MEMBERS[SchoolCodes]))&gt;0,0,1),1)</f>
        <v>0</v>
      </c>
      <c r="D37" s="57" cm="1">
        <f t="array" ref="D37">IF(_xlfn.XLOOKUP(CONT_TEA[[#This Row],[StaffRoleCode]],ROLES[StaffRoleCode],ROLES[AvailableToAllSchools],1,0,)=TRUE,0,IF(ISERROR(FIND(CONT_TEA[[#This Row],[SchoolCode]],_xlfn.TEXTJOIN(",",TRUE,_xlfn.UNIQUE(IF(ROLES[StaffRoleCode]=CONT_TEA[[#This Row],[StaffRoleCode]],ROLES[SchoolCodes],""))))),1,0))</f>
        <v>0</v>
      </c>
      <c r="E37" s="57" cm="1">
        <f t="array" ref="E3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7" s="57" cm="1">
        <f t="array" ref="F37">IF(_xlfn.XLOOKUP(CONT_TEA[[#This Row],[PayScaleCode]],PAYSCALES[PayScaleCode],PAYSCALES[AvailableToAllSchools],1,0,)=TRUE,0,IF(ISERROR(FIND(CONT_TEA[[#This Row],[SchoolCode]],_xlfn.TEXTJOIN(",",TRUE,_xlfn.UNIQUE(IF(PAYSCALES[PayScaleCode]=CONT_TEA[[#This Row],[PayScaleCode]],PAYSCALES[SchoolCodes],""))))),1,0))</f>
        <v>0</v>
      </c>
      <c r="G37" s="57">
        <f>IF(_xlfn.XLOOKUP(CONT_TEA[[#This Row],[PayScaleGradeCode]],GRADES[PayScaleGradeCode],GRADES[AvailableToAllSchools])=TRUE,0,IFERROR(IF(FIND(CONT_TEA[[#This Row],[SchoolCode]],_xlfn.XLOOKUP(CONT_TEA[[#This Row],[PayScaleGradeCode]],GRADES[PayScaleGradeCode],GRADES[SchoolCodes]))&gt;=1,0,1),1))</f>
        <v>0</v>
      </c>
      <c r="H37" s="57">
        <f>IF(ISERROR(IF((_xlfn.XLOOKUP(CONT_TEA[[#This Row],[PayScaleGradeCode]],GRADES[PayScaleGradeCode],GRADES[PayScaleCode])=CONT_TEA[[#This Row],[PayScaleCode]]),0,1)),1,0)</f>
        <v>0</v>
      </c>
      <c r="I37" s="57" cm="1">
        <f t="array" ref="I37">IF(ISERROR(FIND(CONT_TEA[[#This Row],[PayScalePointCode]],_xlfn.TEXTJOIN(",",TRUE,IF(PSPOINTS[PayScaleCode]=CONT_TEA[[#This Row],[PayScaleCode]],PSPOINTS[PayScalePointCode])))),1,0)</f>
        <v>0</v>
      </c>
      <c r="J37" s="57" cm="1">
        <f t="array" ref="J3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7" s="57">
        <f>IF(_xlfn.XLOOKUP(CONT_TEA[[#This Row],[PayScalePointCode]],PSPOINTS[PayScalePointCode],PSPOINTS[PayScalePointEnabled])=TRUE,0,1)</f>
        <v>0</v>
      </c>
      <c r="L37" s="57" cm="1">
        <f t="array" ref="L37">IF(_xlfn.XLOOKUP(CONT_TEA[[#This Row],[DepartmentCode]],DEPTS[DepartmentCode],DEPTS[AvailableToAllSchools],1,0,)=TRUE,0,IF(ISERROR(FIND(CONT_TEA[[#This Row],[SchoolCode]],_xlfn.TEXTJOIN(",",TRUE,_xlfn.UNIQUE(IF(DEPTS[DepartmentCode]=CONT_TEA[[#This Row],[DepartmentCode]],DEPTS[SchoolCodes],""))))),1,0))</f>
        <v>0</v>
      </c>
      <c r="M37" s="57">
        <f>IFERROR(IF(_xlfn.XLOOKUP(CONT_TEA[[#This Row],[SRG Gross]],FinanceCodesBudget[FinanceCode],FinanceCodesBudget[LedgerCode])=_xlfn.XLOOKUP(CONT_TEA[[#This Row],[DepartmentCode]],DEPTS[DepartmentCode],DEPTS[LedgerCode]),0,1),1)</f>
        <v>1</v>
      </c>
      <c r="N37" s="57" cm="1">
        <f t="array" ref="N37">IF(_xlfn.XLOOKUP(CONT_TEA[[#This Row],[PensionCode]],PENS[PensionCode],PENS[AvailableToAllSchools],1,0,)=TRUE,0,IF(ISERROR(FIND(CONT_TEA[[#This Row],[SchoolCode]],_xlfn.TEXTJOIN(",",TRUE,_xlfn.UNIQUE(IF(PENS[PensionCode]=CONT_TEA[[#This Row],[PensionCode]],PENS[SchoolCodes],""))))),1,0))</f>
        <v>0</v>
      </c>
      <c r="O37" s="57" cm="1">
        <f t="array" ref="O37">IF(_xlfn.XLOOKUP(CONT_TEA[[#This Row],[EquatedWeekPatternCode]],EQW[EquatedWeekPatternCode],EQW[AvailableToAllSchools],1,0,)=TRUE,0,IF(ISERROR(FIND(CONT_TEA[[#This Row],[SchoolCode]],_xlfn.TEXTJOIN(",",TRUE,_xlfn.UNIQUE(IF(EQW[EquatedWeekPatternCode]=CONT_TEA[[#This Row],[EquatedWeekPatternCode]],EQW[SchoolCodes],""))))),1,0))</f>
        <v>0</v>
      </c>
      <c r="P37" s="57">
        <f>1-COUNTIF(ContractTypes[Code],CONT_TEA[[#This Row],[ContractTypeCode]])</f>
        <v>0</v>
      </c>
      <c r="Q37" s="57">
        <f>IF(VLOOKUP(CONT_TEA[[#This Row],[StaffMemberCode]],MEMBERS[[StaffMemberCode]:[ServiceStartDate]],5,0)&gt;CONT_TEA[[#This Row],[DateFrom]],1,0)</f>
        <v>0</v>
      </c>
      <c r="R37" s="57">
        <f>IF(_xlfn.XLOOKUP(CONT_TEA[[#This Row],[StaffMemberCode]],MEMBERS[StaffMemberCode],MEMBERS[ServiceEndDate])="",0,IF(CONT_TEA[[#This Row],[DateTo]]="",1,IF(_xlfn.XLOOKUP(CONT_TEA[[#This Row],[StaffMemberCode]],MEMBERS[StaffMemberCode],MEMBERS[ServiceEndDate])&lt;CONT_TEA[[#This Row],[DateTo]],1,0)))</f>
        <v>0</v>
      </c>
      <c r="S37" s="57">
        <f>IF(ISBLANK(CONT_TEA[[#This Row],[DateTo]]),0,IF(CONT_TEA[[#This Row],[DateFrom]]=CONT_TEA[[#This Row],[DateTo]],0,IF(CONT_TEA[[#This Row],[DateFrom]]&lt;CONT_TEA[[#This Row],[DateTo]],0,1)))</f>
        <v>0</v>
      </c>
      <c r="T37" s="57" cm="1">
        <f t="array" aca="1" ref="T37" ca="1">IF(CELL("format",CONT_TEA[[#This Row],[DateFrom]])="D1",0,1)+IF(CELL("format",CONT_TEA[[#This Row],[DateTo]])="D1",0,1)</f>
        <v>0</v>
      </c>
      <c r="U37" s="57">
        <f>IF(OR(CONT_TEA[[#This Row],[MatEditOnly]]=TRUE,CONT_TEA[[#This Row],[MatEditOnly]]=FALSE),IF(OR(CONT_TEA[[#This Row],[NoIncrement]]=TRUE,CONT_TEA[[#This Row],[NoIncrement]]=FALSE),0,1),1)</f>
        <v>0</v>
      </c>
      <c r="V37" s="57">
        <f>IF(ISBLANK(CONT_TEA[[#This Row],[FundCode]])=TRUE,0,IF(COUNTIF(FUNDS[FundCode],CONT_TEA[[#This Row],[FundCode]])=1,0,1))</f>
        <v>0</v>
      </c>
      <c r="W37" s="57">
        <f>IF(LEN(CONT_TEA[[#This Row],[Notes]])&lt;4000,0,1)</f>
        <v>0</v>
      </c>
      <c r="X37" s="57">
        <f>IF(SUBSTITUTE(TEXT(CONT_TEA[[#This Row],[Reference]],10)," ","")=TEXT(CONT_TEA[[#This Row],[Reference]],10),0,1)</f>
        <v>0</v>
      </c>
      <c r="Y37" s="57">
        <f ca="1">SUM(CONT_TEA[[#This Row],[Duplicate Contract]:[Space in Code]])</f>
        <v>1</v>
      </c>
      <c r="AA37" s="12" t="s">
        <v>2094</v>
      </c>
      <c r="AB37" s="15">
        <v>91073465</v>
      </c>
      <c r="AC37" s="12" t="s">
        <v>4386</v>
      </c>
      <c r="AD37" s="57" t="str">
        <f>_xlfn.XLOOKUP(CONT_TEA[[#This Row],[StaffMemberCode]],StaffMembers!O:O,StaffMembers!R:R)</f>
        <v>Andrea Sanders</v>
      </c>
      <c r="AE37" s="12" t="s">
        <v>1178</v>
      </c>
      <c r="AF37" s="57">
        <f>_xlfn.XLOOKUP(CONT_TEA[[#This Row],[SRG]],SRG[StaffRoleGroupCode],SRG[GrossSalaryFinanceCode])</f>
        <v>612100</v>
      </c>
      <c r="AG37" s="57" t="str">
        <f>_xlfn.XLOOKUP(CONT_TEA[[#This Row],[StaffRoleCode]],ROLES[StaffRoleCode],ROLES[StaffRoleGroupCode])</f>
        <v>TEA</v>
      </c>
      <c r="AH37" s="57" t="str">
        <f>_xlfn.XLOOKUP(CONT_TEA[[#This Row],[StaffRoleCode]],ROLES[StaffRoleCode],ROLES[PayScaleCode])</f>
        <v>MAIN</v>
      </c>
      <c r="AI37" s="12" t="s">
        <v>1126</v>
      </c>
      <c r="AJ37" s="12" t="s">
        <v>1745</v>
      </c>
      <c r="AK37" s="12" t="s">
        <v>2499</v>
      </c>
      <c r="AM37" s="68" t="s">
        <v>1147</v>
      </c>
      <c r="AN37" s="13" t="s">
        <v>1702</v>
      </c>
      <c r="AO37" s="21">
        <v>45901</v>
      </c>
      <c r="AQ37" s="12">
        <v>1</v>
      </c>
      <c r="AR37" t="b">
        <v>0</v>
      </c>
      <c r="AS37" t="b">
        <v>0</v>
      </c>
      <c r="AT37" s="12" t="s">
        <v>1574</v>
      </c>
    </row>
    <row r="38" spans="1:46" x14ac:dyDescent="0.3">
      <c r="A38" s="57" t="str">
        <f t="shared" si="1"/>
        <v>BLS9107345791073457ATEASTCH45901</v>
      </c>
      <c r="B38" s="57">
        <f>COUNTIF(CONT_TEA[Unique Contract],CONT_TEA[[#This Row],[Unique Contract]])-1</f>
        <v>0</v>
      </c>
      <c r="C38" s="57">
        <f>IFERROR(IF(FIND(CONT_TEA[[#This Row],[SchoolCode]],_xlfn.XLOOKUP(CONT_TEA[[#This Row],[StaffMemberCode]],MEMBERS[StaffMemberCode],MEMBERS[SchoolCodes]))&gt;0,0,1),1)</f>
        <v>0</v>
      </c>
      <c r="D38" s="57" cm="1">
        <f t="array" ref="D38">IF(_xlfn.XLOOKUP(CONT_TEA[[#This Row],[StaffRoleCode]],ROLES[StaffRoleCode],ROLES[AvailableToAllSchools],1,0,)=TRUE,0,IF(ISERROR(FIND(CONT_TEA[[#This Row],[SchoolCode]],_xlfn.TEXTJOIN(",",TRUE,_xlfn.UNIQUE(IF(ROLES[StaffRoleCode]=CONT_TEA[[#This Row],[StaffRoleCode]],ROLES[SchoolCodes],""))))),1,0))</f>
        <v>0</v>
      </c>
      <c r="E38" s="57" cm="1">
        <f t="array" ref="E3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8" s="57" cm="1">
        <f t="array" ref="F38">IF(_xlfn.XLOOKUP(CONT_TEA[[#This Row],[PayScaleCode]],PAYSCALES[PayScaleCode],PAYSCALES[AvailableToAllSchools],1,0,)=TRUE,0,IF(ISERROR(FIND(CONT_TEA[[#This Row],[SchoolCode]],_xlfn.TEXTJOIN(",",TRUE,_xlfn.UNIQUE(IF(PAYSCALES[PayScaleCode]=CONT_TEA[[#This Row],[PayScaleCode]],PAYSCALES[SchoolCodes],""))))),1,0))</f>
        <v>0</v>
      </c>
      <c r="G38" s="57">
        <f>IF(_xlfn.XLOOKUP(CONT_TEA[[#This Row],[PayScaleGradeCode]],GRADES[PayScaleGradeCode],GRADES[AvailableToAllSchools])=TRUE,0,IFERROR(IF(FIND(CONT_TEA[[#This Row],[SchoolCode]],_xlfn.XLOOKUP(CONT_TEA[[#This Row],[PayScaleGradeCode]],GRADES[PayScaleGradeCode],GRADES[SchoolCodes]))&gt;=1,0,1),1))</f>
        <v>0</v>
      </c>
      <c r="H38" s="57">
        <f>IF(ISERROR(IF((_xlfn.XLOOKUP(CONT_TEA[[#This Row],[PayScaleGradeCode]],GRADES[PayScaleGradeCode],GRADES[PayScaleCode])=CONT_TEA[[#This Row],[PayScaleCode]]),0,1)),1,0)</f>
        <v>0</v>
      </c>
      <c r="I38" s="57" cm="1">
        <f t="array" ref="I38">IF(ISERROR(FIND(CONT_TEA[[#This Row],[PayScalePointCode]],_xlfn.TEXTJOIN(",",TRUE,IF(PSPOINTS[PayScaleCode]=CONT_TEA[[#This Row],[PayScaleCode]],PSPOINTS[PayScalePointCode])))),1,0)</f>
        <v>0</v>
      </c>
      <c r="J38" s="57" cm="1">
        <f t="array" ref="J3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8" s="57">
        <f>IF(_xlfn.XLOOKUP(CONT_TEA[[#This Row],[PayScalePointCode]],PSPOINTS[PayScalePointCode],PSPOINTS[PayScalePointEnabled])=TRUE,0,1)</f>
        <v>0</v>
      </c>
      <c r="L38" s="57" cm="1">
        <f t="array" ref="L38">IF(_xlfn.XLOOKUP(CONT_TEA[[#This Row],[DepartmentCode]],DEPTS[DepartmentCode],DEPTS[AvailableToAllSchools],1,0,)=TRUE,0,IF(ISERROR(FIND(CONT_TEA[[#This Row],[SchoolCode]],_xlfn.TEXTJOIN(",",TRUE,_xlfn.UNIQUE(IF(DEPTS[DepartmentCode]=CONT_TEA[[#This Row],[DepartmentCode]],DEPTS[SchoolCodes],""))))),1,0))</f>
        <v>0</v>
      </c>
      <c r="M38" s="57">
        <f>IFERROR(IF(_xlfn.XLOOKUP(CONT_TEA[[#This Row],[SRG Gross]],FinanceCodesBudget[FinanceCode],FinanceCodesBudget[LedgerCode])=_xlfn.XLOOKUP(CONT_TEA[[#This Row],[DepartmentCode]],DEPTS[DepartmentCode],DEPTS[LedgerCode]),0,1),1)</f>
        <v>1</v>
      </c>
      <c r="N38" s="57" cm="1">
        <f t="array" ref="N38">IF(_xlfn.XLOOKUP(CONT_TEA[[#This Row],[PensionCode]],PENS[PensionCode],PENS[AvailableToAllSchools],1,0,)=TRUE,0,IF(ISERROR(FIND(CONT_TEA[[#This Row],[SchoolCode]],_xlfn.TEXTJOIN(",",TRUE,_xlfn.UNIQUE(IF(PENS[PensionCode]=CONT_TEA[[#This Row],[PensionCode]],PENS[SchoolCodes],""))))),1,0))</f>
        <v>0</v>
      </c>
      <c r="O38" s="57" cm="1">
        <f t="array" ref="O38">IF(_xlfn.XLOOKUP(CONT_TEA[[#This Row],[EquatedWeekPatternCode]],EQW[EquatedWeekPatternCode],EQW[AvailableToAllSchools],1,0,)=TRUE,0,IF(ISERROR(FIND(CONT_TEA[[#This Row],[SchoolCode]],_xlfn.TEXTJOIN(",",TRUE,_xlfn.UNIQUE(IF(EQW[EquatedWeekPatternCode]=CONT_TEA[[#This Row],[EquatedWeekPatternCode]],EQW[SchoolCodes],""))))),1,0))</f>
        <v>0</v>
      </c>
      <c r="P38" s="57">
        <f>1-COUNTIF(ContractTypes[Code],CONT_TEA[[#This Row],[ContractTypeCode]])</f>
        <v>0</v>
      </c>
      <c r="Q38" s="57">
        <f>IF(VLOOKUP(CONT_TEA[[#This Row],[StaffMemberCode]],MEMBERS[[StaffMemberCode]:[ServiceStartDate]],5,0)&gt;CONT_TEA[[#This Row],[DateFrom]],1,0)</f>
        <v>0</v>
      </c>
      <c r="R38" s="57">
        <f>IF(_xlfn.XLOOKUP(CONT_TEA[[#This Row],[StaffMemberCode]],MEMBERS[StaffMemberCode],MEMBERS[ServiceEndDate])="",0,IF(CONT_TEA[[#This Row],[DateTo]]="",1,IF(_xlfn.XLOOKUP(CONT_TEA[[#This Row],[StaffMemberCode]],MEMBERS[StaffMemberCode],MEMBERS[ServiceEndDate])&lt;CONT_TEA[[#This Row],[DateTo]],1,0)))</f>
        <v>0</v>
      </c>
      <c r="S38" s="57">
        <f>IF(ISBLANK(CONT_TEA[[#This Row],[DateTo]]),0,IF(CONT_TEA[[#This Row],[DateFrom]]=CONT_TEA[[#This Row],[DateTo]],0,IF(CONT_TEA[[#This Row],[DateFrom]]&lt;CONT_TEA[[#This Row],[DateTo]],0,1)))</f>
        <v>0</v>
      </c>
      <c r="T38" s="57" cm="1">
        <f t="array" aca="1" ref="T38" ca="1">IF(CELL("format",CONT_TEA[[#This Row],[DateFrom]])="D1",0,1)+IF(CELL("format",CONT_TEA[[#This Row],[DateTo]])="D1",0,1)</f>
        <v>0</v>
      </c>
      <c r="U38" s="57">
        <f>IF(OR(CONT_TEA[[#This Row],[MatEditOnly]]=TRUE,CONT_TEA[[#This Row],[MatEditOnly]]=FALSE),IF(OR(CONT_TEA[[#This Row],[NoIncrement]]=TRUE,CONT_TEA[[#This Row],[NoIncrement]]=FALSE),0,1),1)</f>
        <v>0</v>
      </c>
      <c r="V38" s="57">
        <f>IF(ISBLANK(CONT_TEA[[#This Row],[FundCode]])=TRUE,0,IF(COUNTIF(FUNDS[FundCode],CONT_TEA[[#This Row],[FundCode]])=1,0,1))</f>
        <v>0</v>
      </c>
      <c r="W38" s="57">
        <f>IF(LEN(CONT_TEA[[#This Row],[Notes]])&lt;4000,0,1)</f>
        <v>0</v>
      </c>
      <c r="X38" s="57">
        <f>IF(SUBSTITUTE(TEXT(CONT_TEA[[#This Row],[Reference]],10)," ","")=TEXT(CONT_TEA[[#This Row],[Reference]],10),0,1)</f>
        <v>0</v>
      </c>
      <c r="Y38" s="57">
        <f ca="1">SUM(CONT_TEA[[#This Row],[Duplicate Contract]:[Space in Code]])</f>
        <v>1</v>
      </c>
      <c r="AA38" s="12" t="s">
        <v>2094</v>
      </c>
      <c r="AB38" s="15">
        <v>91073457</v>
      </c>
      <c r="AC38" s="12" t="s">
        <v>4387</v>
      </c>
      <c r="AD38" s="57" t="str">
        <f>_xlfn.XLOOKUP(CONT_TEA[[#This Row],[StaffMemberCode]],StaffMembers!O:O,StaffMembers!R:R)</f>
        <v>Elaine Fenech</v>
      </c>
      <c r="AE38" s="12" t="s">
        <v>1178</v>
      </c>
      <c r="AF38" s="57">
        <f>_xlfn.XLOOKUP(CONT_TEA[[#This Row],[SRG]],SRG[StaffRoleGroupCode],SRG[GrossSalaryFinanceCode])</f>
        <v>612100</v>
      </c>
      <c r="AG38" s="57" t="str">
        <f>_xlfn.XLOOKUP(CONT_TEA[[#This Row],[StaffRoleCode]],ROLES[StaffRoleCode],ROLES[StaffRoleGroupCode])</f>
        <v>TEA</v>
      </c>
      <c r="AH38" s="57" t="str">
        <f>_xlfn.XLOOKUP(CONT_TEA[[#This Row],[StaffRoleCode]],ROLES[StaffRoleCode],ROLES[PayScaleCode])</f>
        <v>MAIN</v>
      </c>
      <c r="AI38" s="12" t="s">
        <v>1126</v>
      </c>
      <c r="AJ38" s="12" t="s">
        <v>1745</v>
      </c>
      <c r="AK38" s="12" t="s">
        <v>2499</v>
      </c>
      <c r="AM38" s="68" t="s">
        <v>1147</v>
      </c>
      <c r="AN38" s="13" t="s">
        <v>1702</v>
      </c>
      <c r="AO38" s="21">
        <v>45901</v>
      </c>
      <c r="AQ38" s="12">
        <v>1</v>
      </c>
      <c r="AR38" t="b">
        <v>0</v>
      </c>
      <c r="AS38" t="b">
        <v>0</v>
      </c>
      <c r="AT38" s="12" t="s">
        <v>1574</v>
      </c>
    </row>
    <row r="39" spans="1:46" x14ac:dyDescent="0.3">
      <c r="A39" s="57" t="str">
        <f t="shared" si="1"/>
        <v>HIG9107389791073897ATEASTCH45901</v>
      </c>
      <c r="B39" s="57">
        <f>COUNTIF(CONT_TEA[Unique Contract],CONT_TEA[[#This Row],[Unique Contract]])-1</f>
        <v>0</v>
      </c>
      <c r="C39" s="57">
        <f>IFERROR(IF(FIND(CONT_TEA[[#This Row],[SchoolCode]],_xlfn.XLOOKUP(CONT_TEA[[#This Row],[StaffMemberCode]],MEMBERS[StaffMemberCode],MEMBERS[SchoolCodes]))&gt;0,0,1),1)</f>
        <v>0</v>
      </c>
      <c r="D39" s="57" cm="1">
        <f t="array" ref="D39">IF(_xlfn.XLOOKUP(CONT_TEA[[#This Row],[StaffRoleCode]],ROLES[StaffRoleCode],ROLES[AvailableToAllSchools],1,0,)=TRUE,0,IF(ISERROR(FIND(CONT_TEA[[#This Row],[SchoolCode]],_xlfn.TEXTJOIN(",",TRUE,_xlfn.UNIQUE(IF(ROLES[StaffRoleCode]=CONT_TEA[[#This Row],[StaffRoleCode]],ROLES[SchoolCodes],""))))),1,0))</f>
        <v>0</v>
      </c>
      <c r="E39" s="57" cm="1">
        <f t="array" ref="E3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9" s="57" cm="1">
        <f t="array" ref="F39">IF(_xlfn.XLOOKUP(CONT_TEA[[#This Row],[PayScaleCode]],PAYSCALES[PayScaleCode],PAYSCALES[AvailableToAllSchools],1,0,)=TRUE,0,IF(ISERROR(FIND(CONT_TEA[[#This Row],[SchoolCode]],_xlfn.TEXTJOIN(",",TRUE,_xlfn.UNIQUE(IF(PAYSCALES[PayScaleCode]=CONT_TEA[[#This Row],[PayScaleCode]],PAYSCALES[SchoolCodes],""))))),1,0))</f>
        <v>0</v>
      </c>
      <c r="G39" s="57">
        <f>IF(_xlfn.XLOOKUP(CONT_TEA[[#This Row],[PayScaleGradeCode]],GRADES[PayScaleGradeCode],GRADES[AvailableToAllSchools])=TRUE,0,IFERROR(IF(FIND(CONT_TEA[[#This Row],[SchoolCode]],_xlfn.XLOOKUP(CONT_TEA[[#This Row],[PayScaleGradeCode]],GRADES[PayScaleGradeCode],GRADES[SchoolCodes]))&gt;=1,0,1),1))</f>
        <v>0</v>
      </c>
      <c r="H39" s="57">
        <f>IF(ISERROR(IF((_xlfn.XLOOKUP(CONT_TEA[[#This Row],[PayScaleGradeCode]],GRADES[PayScaleGradeCode],GRADES[PayScaleCode])=CONT_TEA[[#This Row],[PayScaleCode]]),0,1)),1,0)</f>
        <v>0</v>
      </c>
      <c r="I39" s="57" cm="1">
        <f t="array" ref="I39">IF(ISERROR(FIND(CONT_TEA[[#This Row],[PayScalePointCode]],_xlfn.TEXTJOIN(",",TRUE,IF(PSPOINTS[PayScaleCode]=CONT_TEA[[#This Row],[PayScaleCode]],PSPOINTS[PayScalePointCode])))),1,0)</f>
        <v>0</v>
      </c>
      <c r="J39" s="57" cm="1">
        <f t="array" ref="J3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9" s="57">
        <f>IF(_xlfn.XLOOKUP(CONT_TEA[[#This Row],[PayScalePointCode]],PSPOINTS[PayScalePointCode],PSPOINTS[PayScalePointEnabled])=TRUE,0,1)</f>
        <v>0</v>
      </c>
      <c r="L39" s="57" cm="1">
        <f t="array" ref="L39">IF(_xlfn.XLOOKUP(CONT_TEA[[#This Row],[DepartmentCode]],DEPTS[DepartmentCode],DEPTS[AvailableToAllSchools],1,0,)=TRUE,0,IF(ISERROR(FIND(CONT_TEA[[#This Row],[SchoolCode]],_xlfn.TEXTJOIN(",",TRUE,_xlfn.UNIQUE(IF(DEPTS[DepartmentCode]=CONT_TEA[[#This Row],[DepartmentCode]],DEPTS[SchoolCodes],""))))),1,0))</f>
        <v>0</v>
      </c>
      <c r="M39" s="57">
        <f>IFERROR(IF(_xlfn.XLOOKUP(CONT_TEA[[#This Row],[SRG Gross]],FinanceCodesBudget[FinanceCode],FinanceCodesBudget[LedgerCode])=_xlfn.XLOOKUP(CONT_TEA[[#This Row],[DepartmentCode]],DEPTS[DepartmentCode],DEPTS[LedgerCode]),0,1),1)</f>
        <v>1</v>
      </c>
      <c r="N39" s="57" cm="1">
        <f t="array" ref="N39">IF(_xlfn.XLOOKUP(CONT_TEA[[#This Row],[PensionCode]],PENS[PensionCode],PENS[AvailableToAllSchools],1,0,)=TRUE,0,IF(ISERROR(FIND(CONT_TEA[[#This Row],[SchoolCode]],_xlfn.TEXTJOIN(",",TRUE,_xlfn.UNIQUE(IF(PENS[PensionCode]=CONT_TEA[[#This Row],[PensionCode]],PENS[SchoolCodes],""))))),1,0))</f>
        <v>0</v>
      </c>
      <c r="O39" s="57" cm="1">
        <f t="array" ref="O39">IF(_xlfn.XLOOKUP(CONT_TEA[[#This Row],[EquatedWeekPatternCode]],EQW[EquatedWeekPatternCode],EQW[AvailableToAllSchools],1,0,)=TRUE,0,IF(ISERROR(FIND(CONT_TEA[[#This Row],[SchoolCode]],_xlfn.TEXTJOIN(",",TRUE,_xlfn.UNIQUE(IF(EQW[EquatedWeekPatternCode]=CONT_TEA[[#This Row],[EquatedWeekPatternCode]],EQW[SchoolCodes],""))))),1,0))</f>
        <v>0</v>
      </c>
      <c r="P39" s="57">
        <f>1-COUNTIF(ContractTypes[Code],CONT_TEA[[#This Row],[ContractTypeCode]])</f>
        <v>0</v>
      </c>
      <c r="Q39" s="57">
        <f>IF(VLOOKUP(CONT_TEA[[#This Row],[StaffMemberCode]],MEMBERS[[StaffMemberCode]:[ServiceStartDate]],5,0)&gt;CONT_TEA[[#This Row],[DateFrom]],1,0)</f>
        <v>0</v>
      </c>
      <c r="R39" s="57">
        <f>IF(_xlfn.XLOOKUP(CONT_TEA[[#This Row],[StaffMemberCode]],MEMBERS[StaffMemberCode],MEMBERS[ServiceEndDate])="",0,IF(CONT_TEA[[#This Row],[DateTo]]="",1,IF(_xlfn.XLOOKUP(CONT_TEA[[#This Row],[StaffMemberCode]],MEMBERS[StaffMemberCode],MEMBERS[ServiceEndDate])&lt;CONT_TEA[[#This Row],[DateTo]],1,0)))</f>
        <v>0</v>
      </c>
      <c r="S39" s="57">
        <f>IF(ISBLANK(CONT_TEA[[#This Row],[DateTo]]),0,IF(CONT_TEA[[#This Row],[DateFrom]]=CONT_TEA[[#This Row],[DateTo]],0,IF(CONT_TEA[[#This Row],[DateFrom]]&lt;CONT_TEA[[#This Row],[DateTo]],0,1)))</f>
        <v>0</v>
      </c>
      <c r="T39" s="57" cm="1">
        <f t="array" aca="1" ref="T39" ca="1">IF(CELL("format",CONT_TEA[[#This Row],[DateFrom]])="D1",0,1)+IF(CELL("format",CONT_TEA[[#This Row],[DateTo]])="D1",0,1)</f>
        <v>0</v>
      </c>
      <c r="U39" s="57">
        <f>IF(OR(CONT_TEA[[#This Row],[MatEditOnly]]=TRUE,CONT_TEA[[#This Row],[MatEditOnly]]=FALSE),IF(OR(CONT_TEA[[#This Row],[NoIncrement]]=TRUE,CONT_TEA[[#This Row],[NoIncrement]]=FALSE),0,1),1)</f>
        <v>0</v>
      </c>
      <c r="V39" s="57">
        <f>IF(ISBLANK(CONT_TEA[[#This Row],[FundCode]])=TRUE,0,IF(COUNTIF(FUNDS[FundCode],CONT_TEA[[#This Row],[FundCode]])=1,0,1))</f>
        <v>0</v>
      </c>
      <c r="W39" s="57">
        <f>IF(LEN(CONT_TEA[[#This Row],[Notes]])&lt;4000,0,1)</f>
        <v>0</v>
      </c>
      <c r="X39" s="57">
        <f>IF(SUBSTITUTE(TEXT(CONT_TEA[[#This Row],[Reference]],10)," ","")=TEXT(CONT_TEA[[#This Row],[Reference]],10),0,1)</f>
        <v>0</v>
      </c>
      <c r="Y39" s="57">
        <f ca="1">SUM(CONT_TEA[[#This Row],[Duplicate Contract]:[Space in Code]])</f>
        <v>1</v>
      </c>
      <c r="AA39" s="12" t="s">
        <v>2266</v>
      </c>
      <c r="AB39" s="15">
        <v>91073897</v>
      </c>
      <c r="AC39" s="12" t="s">
        <v>4388</v>
      </c>
      <c r="AD39" s="57" t="str">
        <f>_xlfn.XLOOKUP(CONT_TEA[[#This Row],[StaffMemberCode]],StaffMembers!O:O,StaffMembers!R:R)</f>
        <v>Jessica Baggaley</v>
      </c>
      <c r="AE39" s="12" t="s">
        <v>1178</v>
      </c>
      <c r="AF39" s="57">
        <f>_xlfn.XLOOKUP(CONT_TEA[[#This Row],[SRG]],SRG[StaffRoleGroupCode],SRG[GrossSalaryFinanceCode])</f>
        <v>612100</v>
      </c>
      <c r="AG39" s="57" t="str">
        <f>_xlfn.XLOOKUP(CONT_TEA[[#This Row],[StaffRoleCode]],ROLES[StaffRoleCode],ROLES[StaffRoleGroupCode])</f>
        <v>TEA</v>
      </c>
      <c r="AH39" s="57" t="str">
        <f>_xlfn.XLOOKUP(CONT_TEA[[#This Row],[StaffRoleCode]],ROLES[StaffRoleCode],ROLES[PayScaleCode])</f>
        <v>MAIN</v>
      </c>
      <c r="AI39" s="12" t="s">
        <v>1126</v>
      </c>
      <c r="AJ39" s="12" t="s">
        <v>1067</v>
      </c>
      <c r="AK39" s="12" t="s">
        <v>2499</v>
      </c>
      <c r="AM39" s="68" t="s">
        <v>1147</v>
      </c>
      <c r="AN39" s="13" t="s">
        <v>1702</v>
      </c>
      <c r="AO39" s="21">
        <v>45901</v>
      </c>
      <c r="AQ39" s="12">
        <v>1</v>
      </c>
      <c r="AR39" t="b">
        <v>0</v>
      </c>
      <c r="AS39" t="b">
        <v>0</v>
      </c>
      <c r="AT39" s="12" t="s">
        <v>1574</v>
      </c>
    </row>
    <row r="40" spans="1:46" x14ac:dyDescent="0.3">
      <c r="A40" s="57" t="str">
        <f t="shared" si="1"/>
        <v>BLS9107361291073612ATEASTCH45901</v>
      </c>
      <c r="B40" s="57">
        <f>COUNTIF(CONT_TEA[Unique Contract],CONT_TEA[[#This Row],[Unique Contract]])-1</f>
        <v>0</v>
      </c>
      <c r="C40" s="57">
        <f>IFERROR(IF(FIND(CONT_TEA[[#This Row],[SchoolCode]],_xlfn.XLOOKUP(CONT_TEA[[#This Row],[StaffMemberCode]],MEMBERS[StaffMemberCode],MEMBERS[SchoolCodes]))&gt;0,0,1),1)</f>
        <v>0</v>
      </c>
      <c r="D40" s="57" cm="1">
        <f t="array" ref="D40">IF(_xlfn.XLOOKUP(CONT_TEA[[#This Row],[StaffRoleCode]],ROLES[StaffRoleCode],ROLES[AvailableToAllSchools],1,0,)=TRUE,0,IF(ISERROR(FIND(CONT_TEA[[#This Row],[SchoolCode]],_xlfn.TEXTJOIN(",",TRUE,_xlfn.UNIQUE(IF(ROLES[StaffRoleCode]=CONT_TEA[[#This Row],[StaffRoleCode]],ROLES[SchoolCodes],""))))),1,0))</f>
        <v>0</v>
      </c>
      <c r="E40" s="57" cm="1">
        <f t="array" ref="E4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40" s="57" cm="1">
        <f t="array" ref="F40">IF(_xlfn.XLOOKUP(CONT_TEA[[#This Row],[PayScaleCode]],PAYSCALES[PayScaleCode],PAYSCALES[AvailableToAllSchools],1,0,)=TRUE,0,IF(ISERROR(FIND(CONT_TEA[[#This Row],[SchoolCode]],_xlfn.TEXTJOIN(",",TRUE,_xlfn.UNIQUE(IF(PAYSCALES[PayScaleCode]=CONT_TEA[[#This Row],[PayScaleCode]],PAYSCALES[SchoolCodes],""))))),1,0))</f>
        <v>0</v>
      </c>
      <c r="G40" s="57">
        <f>IF(_xlfn.XLOOKUP(CONT_TEA[[#This Row],[PayScaleGradeCode]],GRADES[PayScaleGradeCode],GRADES[AvailableToAllSchools])=TRUE,0,IFERROR(IF(FIND(CONT_TEA[[#This Row],[SchoolCode]],_xlfn.XLOOKUP(CONT_TEA[[#This Row],[PayScaleGradeCode]],GRADES[PayScaleGradeCode],GRADES[SchoolCodes]))&gt;=1,0,1),1))</f>
        <v>0</v>
      </c>
      <c r="H40" s="57">
        <f>IF(ISERROR(IF((_xlfn.XLOOKUP(CONT_TEA[[#This Row],[PayScaleGradeCode]],GRADES[PayScaleGradeCode],GRADES[PayScaleCode])=CONT_TEA[[#This Row],[PayScaleCode]]),0,1)),1,0)</f>
        <v>0</v>
      </c>
      <c r="I40" s="57" cm="1">
        <f t="array" ref="I40">IF(ISERROR(FIND(CONT_TEA[[#This Row],[PayScalePointCode]],_xlfn.TEXTJOIN(",",TRUE,IF(PSPOINTS[PayScaleCode]=CONT_TEA[[#This Row],[PayScaleCode]],PSPOINTS[PayScalePointCode])))),1,0)</f>
        <v>0</v>
      </c>
      <c r="J40" s="57" cm="1">
        <f t="array" ref="J4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40" s="57">
        <f>IF(_xlfn.XLOOKUP(CONT_TEA[[#This Row],[PayScalePointCode]],PSPOINTS[PayScalePointCode],PSPOINTS[PayScalePointEnabled])=TRUE,0,1)</f>
        <v>0</v>
      </c>
      <c r="L40" s="57" cm="1">
        <f t="array" ref="L40">IF(_xlfn.XLOOKUP(CONT_TEA[[#This Row],[DepartmentCode]],DEPTS[DepartmentCode],DEPTS[AvailableToAllSchools],1,0,)=TRUE,0,IF(ISERROR(FIND(CONT_TEA[[#This Row],[SchoolCode]],_xlfn.TEXTJOIN(",",TRUE,_xlfn.UNIQUE(IF(DEPTS[DepartmentCode]=CONT_TEA[[#This Row],[DepartmentCode]],DEPTS[SchoolCodes],""))))),1,0))</f>
        <v>0</v>
      </c>
      <c r="M40" s="57">
        <f>IFERROR(IF(_xlfn.XLOOKUP(CONT_TEA[[#This Row],[SRG Gross]],FinanceCodesBudget[FinanceCode],FinanceCodesBudget[LedgerCode])=_xlfn.XLOOKUP(CONT_TEA[[#This Row],[DepartmentCode]],DEPTS[DepartmentCode],DEPTS[LedgerCode]),0,1),1)</f>
        <v>1</v>
      </c>
      <c r="N40" s="57" cm="1">
        <f t="array" ref="N40">IF(_xlfn.XLOOKUP(CONT_TEA[[#This Row],[PensionCode]],PENS[PensionCode],PENS[AvailableToAllSchools],1,0,)=TRUE,0,IF(ISERROR(FIND(CONT_TEA[[#This Row],[SchoolCode]],_xlfn.TEXTJOIN(",",TRUE,_xlfn.UNIQUE(IF(PENS[PensionCode]=CONT_TEA[[#This Row],[PensionCode]],PENS[SchoolCodes],""))))),1,0))</f>
        <v>0</v>
      </c>
      <c r="O40" s="57" cm="1">
        <f t="array" ref="O40">IF(_xlfn.XLOOKUP(CONT_TEA[[#This Row],[EquatedWeekPatternCode]],EQW[EquatedWeekPatternCode],EQW[AvailableToAllSchools],1,0,)=TRUE,0,IF(ISERROR(FIND(CONT_TEA[[#This Row],[SchoolCode]],_xlfn.TEXTJOIN(",",TRUE,_xlfn.UNIQUE(IF(EQW[EquatedWeekPatternCode]=CONT_TEA[[#This Row],[EquatedWeekPatternCode]],EQW[SchoolCodes],""))))),1,0))</f>
        <v>0</v>
      </c>
      <c r="P40" s="57">
        <f>1-COUNTIF(ContractTypes[Code],CONT_TEA[[#This Row],[ContractTypeCode]])</f>
        <v>0</v>
      </c>
      <c r="Q40" s="57">
        <f>IF(VLOOKUP(CONT_TEA[[#This Row],[StaffMemberCode]],MEMBERS[[StaffMemberCode]:[ServiceStartDate]],5,0)&gt;CONT_TEA[[#This Row],[DateFrom]],1,0)</f>
        <v>0</v>
      </c>
      <c r="R40" s="57">
        <f>IF(_xlfn.XLOOKUP(CONT_TEA[[#This Row],[StaffMemberCode]],MEMBERS[StaffMemberCode],MEMBERS[ServiceEndDate])="",0,IF(CONT_TEA[[#This Row],[DateTo]]="",1,IF(_xlfn.XLOOKUP(CONT_TEA[[#This Row],[StaffMemberCode]],MEMBERS[StaffMemberCode],MEMBERS[ServiceEndDate])&lt;CONT_TEA[[#This Row],[DateTo]],1,0)))</f>
        <v>0</v>
      </c>
      <c r="S40" s="57">
        <f>IF(ISBLANK(CONT_TEA[[#This Row],[DateTo]]),0,IF(CONT_TEA[[#This Row],[DateFrom]]=CONT_TEA[[#This Row],[DateTo]],0,IF(CONT_TEA[[#This Row],[DateFrom]]&lt;CONT_TEA[[#This Row],[DateTo]],0,1)))</f>
        <v>0</v>
      </c>
      <c r="T40" s="57" cm="1">
        <f t="array" aca="1" ref="T40" ca="1">IF(CELL("format",CONT_TEA[[#This Row],[DateFrom]])="D1",0,1)+IF(CELL("format",CONT_TEA[[#This Row],[DateTo]])="D1",0,1)</f>
        <v>0</v>
      </c>
      <c r="U40" s="57">
        <f>IF(OR(CONT_TEA[[#This Row],[MatEditOnly]]=TRUE,CONT_TEA[[#This Row],[MatEditOnly]]=FALSE),IF(OR(CONT_TEA[[#This Row],[NoIncrement]]=TRUE,CONT_TEA[[#This Row],[NoIncrement]]=FALSE),0,1),1)</f>
        <v>0</v>
      </c>
      <c r="V40" s="57">
        <f>IF(ISBLANK(CONT_TEA[[#This Row],[FundCode]])=TRUE,0,IF(COUNTIF(FUNDS[FundCode],CONT_TEA[[#This Row],[FundCode]])=1,0,1))</f>
        <v>0</v>
      </c>
      <c r="W40" s="57">
        <f>IF(LEN(CONT_TEA[[#This Row],[Notes]])&lt;4000,0,1)</f>
        <v>0</v>
      </c>
      <c r="X40" s="57">
        <f>IF(SUBSTITUTE(TEXT(CONT_TEA[[#This Row],[Reference]],10)," ","")=TEXT(CONT_TEA[[#This Row],[Reference]],10),0,1)</f>
        <v>0</v>
      </c>
      <c r="Y40" s="57">
        <f ca="1">SUM(CONT_TEA[[#This Row],[Duplicate Contract]:[Space in Code]])</f>
        <v>1</v>
      </c>
      <c r="AA40" s="12" t="s">
        <v>2094</v>
      </c>
      <c r="AB40" s="15">
        <v>91073612</v>
      </c>
      <c r="AC40" s="12" t="s">
        <v>4389</v>
      </c>
      <c r="AD40" s="57" t="str">
        <f>_xlfn.XLOOKUP(CONT_TEA[[#This Row],[StaffMemberCode]],StaffMembers!O:O,StaffMembers!R:R)</f>
        <v>Raymond Butcher</v>
      </c>
      <c r="AE40" s="12" t="s">
        <v>1178</v>
      </c>
      <c r="AF40" s="57">
        <f>_xlfn.XLOOKUP(CONT_TEA[[#This Row],[SRG]],SRG[StaffRoleGroupCode],SRG[GrossSalaryFinanceCode])</f>
        <v>612100</v>
      </c>
      <c r="AG40" s="57" t="str">
        <f>_xlfn.XLOOKUP(CONT_TEA[[#This Row],[StaffRoleCode]],ROLES[StaffRoleCode],ROLES[StaffRoleGroupCode])</f>
        <v>TEA</v>
      </c>
      <c r="AH40" s="57" t="str">
        <f>_xlfn.XLOOKUP(CONT_TEA[[#This Row],[StaffRoleCode]],ROLES[StaffRoleCode],ROLES[PayScaleCode])</f>
        <v>MAIN</v>
      </c>
      <c r="AI40" s="12" t="s">
        <v>1126</v>
      </c>
      <c r="AJ40" s="12" t="s">
        <v>1546</v>
      </c>
      <c r="AK40" s="12" t="s">
        <v>2499</v>
      </c>
      <c r="AM40" s="68" t="s">
        <v>1147</v>
      </c>
      <c r="AN40" s="13" t="s">
        <v>1702</v>
      </c>
      <c r="AO40" s="21">
        <v>45901</v>
      </c>
      <c r="AQ40" s="12">
        <v>1</v>
      </c>
      <c r="AR40" t="b">
        <v>0</v>
      </c>
      <c r="AS40" t="b">
        <v>0</v>
      </c>
      <c r="AT40" s="12" t="s">
        <v>1574</v>
      </c>
    </row>
    <row r="41" spans="1:46" x14ac:dyDescent="0.3">
      <c r="A41" s="57" t="str">
        <f t="shared" si="1"/>
        <v>BLS9132368791323687ATEASTCH45901</v>
      </c>
      <c r="B41" s="57">
        <f>COUNTIF(CONT_TEA[Unique Contract],CONT_TEA[[#This Row],[Unique Contract]])-1</f>
        <v>0</v>
      </c>
      <c r="C41" s="57">
        <f>IFERROR(IF(FIND(CONT_TEA[[#This Row],[SchoolCode]],_xlfn.XLOOKUP(CONT_TEA[[#This Row],[StaffMemberCode]],MEMBERS[StaffMemberCode],MEMBERS[SchoolCodes]))&gt;0,0,1),1)</f>
        <v>0</v>
      </c>
      <c r="D41" s="57" cm="1">
        <f t="array" ref="D41">IF(_xlfn.XLOOKUP(CONT_TEA[[#This Row],[StaffRoleCode]],ROLES[StaffRoleCode],ROLES[AvailableToAllSchools],1,0,)=TRUE,0,IF(ISERROR(FIND(CONT_TEA[[#This Row],[SchoolCode]],_xlfn.TEXTJOIN(",",TRUE,_xlfn.UNIQUE(IF(ROLES[StaffRoleCode]=CONT_TEA[[#This Row],[StaffRoleCode]],ROLES[SchoolCodes],""))))),1,0))</f>
        <v>0</v>
      </c>
      <c r="E41" s="57" cm="1">
        <f t="array" ref="E4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41" s="57" cm="1">
        <f t="array" ref="F41">IF(_xlfn.XLOOKUP(CONT_TEA[[#This Row],[PayScaleCode]],PAYSCALES[PayScaleCode],PAYSCALES[AvailableToAllSchools],1,0,)=TRUE,0,IF(ISERROR(FIND(CONT_TEA[[#This Row],[SchoolCode]],_xlfn.TEXTJOIN(",",TRUE,_xlfn.UNIQUE(IF(PAYSCALES[PayScaleCode]=CONT_TEA[[#This Row],[PayScaleCode]],PAYSCALES[SchoolCodes],""))))),1,0))</f>
        <v>0</v>
      </c>
      <c r="G41" s="57">
        <f>IF(_xlfn.XLOOKUP(CONT_TEA[[#This Row],[PayScaleGradeCode]],GRADES[PayScaleGradeCode],GRADES[AvailableToAllSchools])=TRUE,0,IFERROR(IF(FIND(CONT_TEA[[#This Row],[SchoolCode]],_xlfn.XLOOKUP(CONT_TEA[[#This Row],[PayScaleGradeCode]],GRADES[PayScaleGradeCode],GRADES[SchoolCodes]))&gt;=1,0,1),1))</f>
        <v>0</v>
      </c>
      <c r="H41" s="57">
        <f>IF(ISERROR(IF((_xlfn.XLOOKUP(CONT_TEA[[#This Row],[PayScaleGradeCode]],GRADES[PayScaleGradeCode],GRADES[PayScaleCode])=CONT_TEA[[#This Row],[PayScaleCode]]),0,1)),1,0)</f>
        <v>0</v>
      </c>
      <c r="I41" s="57" cm="1">
        <f t="array" ref="I41">IF(ISERROR(FIND(CONT_TEA[[#This Row],[PayScalePointCode]],_xlfn.TEXTJOIN(",",TRUE,IF(PSPOINTS[PayScaleCode]=CONT_TEA[[#This Row],[PayScaleCode]],PSPOINTS[PayScalePointCode])))),1,0)</f>
        <v>0</v>
      </c>
      <c r="J41" s="57" cm="1">
        <f t="array" ref="J4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41" s="57">
        <f>IF(_xlfn.XLOOKUP(CONT_TEA[[#This Row],[PayScalePointCode]],PSPOINTS[PayScalePointCode],PSPOINTS[PayScalePointEnabled])=TRUE,0,1)</f>
        <v>0</v>
      </c>
      <c r="L41" s="57" cm="1">
        <f t="array" ref="L41">IF(_xlfn.XLOOKUP(CONT_TEA[[#This Row],[DepartmentCode]],DEPTS[DepartmentCode],DEPTS[AvailableToAllSchools],1,0,)=TRUE,0,IF(ISERROR(FIND(CONT_TEA[[#This Row],[SchoolCode]],_xlfn.TEXTJOIN(",",TRUE,_xlfn.UNIQUE(IF(DEPTS[DepartmentCode]=CONT_TEA[[#This Row],[DepartmentCode]],DEPTS[SchoolCodes],""))))),1,0))</f>
        <v>0</v>
      </c>
      <c r="M41" s="57">
        <f>IFERROR(IF(_xlfn.XLOOKUP(CONT_TEA[[#This Row],[SRG Gross]],FinanceCodesBudget[FinanceCode],FinanceCodesBudget[LedgerCode])=_xlfn.XLOOKUP(CONT_TEA[[#This Row],[DepartmentCode]],DEPTS[DepartmentCode],DEPTS[LedgerCode]),0,1),1)</f>
        <v>1</v>
      </c>
      <c r="N41" s="57" cm="1">
        <f t="array" ref="N41">IF(_xlfn.XLOOKUP(CONT_TEA[[#This Row],[PensionCode]],PENS[PensionCode],PENS[AvailableToAllSchools],1,0,)=TRUE,0,IF(ISERROR(FIND(CONT_TEA[[#This Row],[SchoolCode]],_xlfn.TEXTJOIN(",",TRUE,_xlfn.UNIQUE(IF(PENS[PensionCode]=CONT_TEA[[#This Row],[PensionCode]],PENS[SchoolCodes],""))))),1,0))</f>
        <v>0</v>
      </c>
      <c r="O41" s="57" cm="1">
        <f t="array" ref="O41">IF(_xlfn.XLOOKUP(CONT_TEA[[#This Row],[EquatedWeekPatternCode]],EQW[EquatedWeekPatternCode],EQW[AvailableToAllSchools],1,0,)=TRUE,0,IF(ISERROR(FIND(CONT_TEA[[#This Row],[SchoolCode]],_xlfn.TEXTJOIN(",",TRUE,_xlfn.UNIQUE(IF(EQW[EquatedWeekPatternCode]=CONT_TEA[[#This Row],[EquatedWeekPatternCode]],EQW[SchoolCodes],""))))),1,0))</f>
        <v>0</v>
      </c>
      <c r="P41" s="57">
        <f>1-COUNTIF(ContractTypes[Code],CONT_TEA[[#This Row],[ContractTypeCode]])</f>
        <v>0</v>
      </c>
      <c r="Q41" s="57">
        <f>IF(VLOOKUP(CONT_TEA[[#This Row],[StaffMemberCode]],MEMBERS[[StaffMemberCode]:[ServiceStartDate]],5,0)&gt;CONT_TEA[[#This Row],[DateFrom]],1,0)</f>
        <v>0</v>
      </c>
      <c r="R41" s="57">
        <f>IF(_xlfn.XLOOKUP(CONT_TEA[[#This Row],[StaffMemberCode]],MEMBERS[StaffMemberCode],MEMBERS[ServiceEndDate])="",0,IF(CONT_TEA[[#This Row],[DateTo]]="",1,IF(_xlfn.XLOOKUP(CONT_TEA[[#This Row],[StaffMemberCode]],MEMBERS[StaffMemberCode],MEMBERS[ServiceEndDate])&lt;CONT_TEA[[#This Row],[DateTo]],1,0)))</f>
        <v>0</v>
      </c>
      <c r="S41" s="57">
        <f>IF(ISBLANK(CONT_TEA[[#This Row],[DateTo]]),0,IF(CONT_TEA[[#This Row],[DateFrom]]=CONT_TEA[[#This Row],[DateTo]],0,IF(CONT_TEA[[#This Row],[DateFrom]]&lt;CONT_TEA[[#This Row],[DateTo]],0,1)))</f>
        <v>0</v>
      </c>
      <c r="T41" s="57" cm="1">
        <f t="array" aca="1" ref="T41" ca="1">IF(CELL("format",CONT_TEA[[#This Row],[DateFrom]])="D1",0,1)+IF(CELL("format",CONT_TEA[[#This Row],[DateTo]])="D1",0,1)</f>
        <v>0</v>
      </c>
      <c r="U41" s="57">
        <f>IF(OR(CONT_TEA[[#This Row],[MatEditOnly]]=TRUE,CONT_TEA[[#This Row],[MatEditOnly]]=FALSE),IF(OR(CONT_TEA[[#This Row],[NoIncrement]]=TRUE,CONT_TEA[[#This Row],[NoIncrement]]=FALSE),0,1),1)</f>
        <v>0</v>
      </c>
      <c r="V41" s="57">
        <f>IF(ISBLANK(CONT_TEA[[#This Row],[FundCode]])=TRUE,0,IF(COUNTIF(FUNDS[FundCode],CONT_TEA[[#This Row],[FundCode]])=1,0,1))</f>
        <v>0</v>
      </c>
      <c r="W41" s="57">
        <f>IF(LEN(CONT_TEA[[#This Row],[Notes]])&lt;4000,0,1)</f>
        <v>0</v>
      </c>
      <c r="X41" s="57">
        <f>IF(SUBSTITUTE(TEXT(CONT_TEA[[#This Row],[Reference]],10)," ","")=TEXT(CONT_TEA[[#This Row],[Reference]],10),0,1)</f>
        <v>0</v>
      </c>
      <c r="Y41" s="57">
        <f ca="1">SUM(CONT_TEA[[#This Row],[Duplicate Contract]:[Space in Code]])</f>
        <v>1</v>
      </c>
      <c r="AA41" s="12" t="s">
        <v>2094</v>
      </c>
      <c r="AB41" s="15">
        <v>91323687</v>
      </c>
      <c r="AC41" s="12" t="s">
        <v>4390</v>
      </c>
      <c r="AD41" s="57" t="str">
        <f>_xlfn.XLOOKUP(CONT_TEA[[#This Row],[StaffMemberCode]],StaffMembers!O:O,StaffMembers!R:R)</f>
        <v>Siobhan McKnight</v>
      </c>
      <c r="AE41" s="12" t="s">
        <v>1178</v>
      </c>
      <c r="AF41" s="57">
        <f>_xlfn.XLOOKUP(CONT_TEA[[#This Row],[SRG]],SRG[StaffRoleGroupCode],SRG[GrossSalaryFinanceCode])</f>
        <v>612100</v>
      </c>
      <c r="AG41" s="57" t="str">
        <f>_xlfn.XLOOKUP(CONT_TEA[[#This Row],[StaffRoleCode]],ROLES[StaffRoleCode],ROLES[StaffRoleGroupCode])</f>
        <v>TEA</v>
      </c>
      <c r="AH41" s="57" t="str">
        <f>_xlfn.XLOOKUP(CONT_TEA[[#This Row],[StaffRoleCode]],ROLES[StaffRoleCode],ROLES[PayScaleCode])</f>
        <v>MAIN</v>
      </c>
      <c r="AI41" s="12" t="s">
        <v>1126</v>
      </c>
      <c r="AJ41" s="12" t="s">
        <v>1745</v>
      </c>
      <c r="AK41" s="12" t="s">
        <v>2499</v>
      </c>
      <c r="AM41" s="68" t="s">
        <v>1147</v>
      </c>
      <c r="AN41" s="13" t="s">
        <v>1702</v>
      </c>
      <c r="AO41" s="21">
        <v>45901</v>
      </c>
      <c r="AQ41" s="12">
        <v>0.7</v>
      </c>
      <c r="AR41" t="b">
        <v>0</v>
      </c>
      <c r="AS41" t="b">
        <v>0</v>
      </c>
      <c r="AT41" s="12" t="s">
        <v>1574</v>
      </c>
    </row>
    <row r="42" spans="1:46" x14ac:dyDescent="0.3">
      <c r="A42" s="57" t="str">
        <f t="shared" si="1"/>
        <v>ALS9107384491073844ATEASTCH45901</v>
      </c>
      <c r="B42" s="57">
        <f>COUNTIF(CONT_TEA[Unique Contract],CONT_TEA[[#This Row],[Unique Contract]])-1</f>
        <v>0</v>
      </c>
      <c r="C42" s="57">
        <f>IFERROR(IF(FIND(CONT_TEA[[#This Row],[SchoolCode]],_xlfn.XLOOKUP(CONT_TEA[[#This Row],[StaffMemberCode]],MEMBERS[StaffMemberCode],MEMBERS[SchoolCodes]))&gt;0,0,1),1)</f>
        <v>0</v>
      </c>
      <c r="D42" s="57" cm="1">
        <f t="array" ref="D42">IF(_xlfn.XLOOKUP(CONT_TEA[[#This Row],[StaffRoleCode]],ROLES[StaffRoleCode],ROLES[AvailableToAllSchools],1,0,)=TRUE,0,IF(ISERROR(FIND(CONT_TEA[[#This Row],[SchoolCode]],_xlfn.TEXTJOIN(",",TRUE,_xlfn.UNIQUE(IF(ROLES[StaffRoleCode]=CONT_TEA[[#This Row],[StaffRoleCode]],ROLES[SchoolCodes],""))))),1,0))</f>
        <v>0</v>
      </c>
      <c r="E42" s="57" cm="1">
        <f t="array" ref="E4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42" s="57" cm="1">
        <f t="array" ref="F42">IF(_xlfn.XLOOKUP(CONT_TEA[[#This Row],[PayScaleCode]],PAYSCALES[PayScaleCode],PAYSCALES[AvailableToAllSchools],1,0,)=TRUE,0,IF(ISERROR(FIND(CONT_TEA[[#This Row],[SchoolCode]],_xlfn.TEXTJOIN(",",TRUE,_xlfn.UNIQUE(IF(PAYSCALES[PayScaleCode]=CONT_TEA[[#This Row],[PayScaleCode]],PAYSCALES[SchoolCodes],""))))),1,0))</f>
        <v>0</v>
      </c>
      <c r="G42" s="57">
        <f>IF(_xlfn.XLOOKUP(CONT_TEA[[#This Row],[PayScaleGradeCode]],GRADES[PayScaleGradeCode],GRADES[AvailableToAllSchools])=TRUE,0,IFERROR(IF(FIND(CONT_TEA[[#This Row],[SchoolCode]],_xlfn.XLOOKUP(CONT_TEA[[#This Row],[PayScaleGradeCode]],GRADES[PayScaleGradeCode],GRADES[SchoolCodes]))&gt;=1,0,1),1))</f>
        <v>0</v>
      </c>
      <c r="H42" s="57">
        <f>IF(ISERROR(IF((_xlfn.XLOOKUP(CONT_TEA[[#This Row],[PayScaleGradeCode]],GRADES[PayScaleGradeCode],GRADES[PayScaleCode])=CONT_TEA[[#This Row],[PayScaleCode]]),0,1)),1,0)</f>
        <v>0</v>
      </c>
      <c r="I42" s="57" cm="1">
        <f t="array" ref="I42">IF(ISERROR(FIND(CONT_TEA[[#This Row],[PayScalePointCode]],_xlfn.TEXTJOIN(",",TRUE,IF(PSPOINTS[PayScaleCode]=CONT_TEA[[#This Row],[PayScaleCode]],PSPOINTS[PayScalePointCode])))),1,0)</f>
        <v>0</v>
      </c>
      <c r="J42" s="57" cm="1">
        <f t="array" ref="J4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42" s="57">
        <f>IF(_xlfn.XLOOKUP(CONT_TEA[[#This Row],[PayScalePointCode]],PSPOINTS[PayScalePointCode],PSPOINTS[PayScalePointEnabled])=TRUE,0,1)</f>
        <v>0</v>
      </c>
      <c r="L42" s="57" cm="1">
        <f t="array" ref="L42">IF(_xlfn.XLOOKUP(CONT_TEA[[#This Row],[DepartmentCode]],DEPTS[DepartmentCode],DEPTS[AvailableToAllSchools],1,0,)=TRUE,0,IF(ISERROR(FIND(CONT_TEA[[#This Row],[SchoolCode]],_xlfn.TEXTJOIN(",",TRUE,_xlfn.UNIQUE(IF(DEPTS[DepartmentCode]=CONT_TEA[[#This Row],[DepartmentCode]],DEPTS[SchoolCodes],""))))),1,0))</f>
        <v>0</v>
      </c>
      <c r="M42" s="57">
        <f>IFERROR(IF(_xlfn.XLOOKUP(CONT_TEA[[#This Row],[SRG Gross]],FinanceCodesBudget[FinanceCode],FinanceCodesBudget[LedgerCode])=_xlfn.XLOOKUP(CONT_TEA[[#This Row],[DepartmentCode]],DEPTS[DepartmentCode],DEPTS[LedgerCode]),0,1),1)</f>
        <v>1</v>
      </c>
      <c r="N42" s="57" cm="1">
        <f t="array" ref="N42">IF(_xlfn.XLOOKUP(CONT_TEA[[#This Row],[PensionCode]],PENS[PensionCode],PENS[AvailableToAllSchools],1,0,)=TRUE,0,IF(ISERROR(FIND(CONT_TEA[[#This Row],[SchoolCode]],_xlfn.TEXTJOIN(",",TRUE,_xlfn.UNIQUE(IF(PENS[PensionCode]=CONT_TEA[[#This Row],[PensionCode]],PENS[SchoolCodes],""))))),1,0))</f>
        <v>0</v>
      </c>
      <c r="O42" s="57" cm="1">
        <f t="array" ref="O42">IF(_xlfn.XLOOKUP(CONT_TEA[[#This Row],[EquatedWeekPatternCode]],EQW[EquatedWeekPatternCode],EQW[AvailableToAllSchools],1,0,)=TRUE,0,IF(ISERROR(FIND(CONT_TEA[[#This Row],[SchoolCode]],_xlfn.TEXTJOIN(",",TRUE,_xlfn.UNIQUE(IF(EQW[EquatedWeekPatternCode]=CONT_TEA[[#This Row],[EquatedWeekPatternCode]],EQW[SchoolCodes],""))))),1,0))</f>
        <v>0</v>
      </c>
      <c r="P42" s="57">
        <f>1-COUNTIF(ContractTypes[Code],CONT_TEA[[#This Row],[ContractTypeCode]])</f>
        <v>0</v>
      </c>
      <c r="Q42" s="57">
        <f>IF(VLOOKUP(CONT_TEA[[#This Row],[StaffMemberCode]],MEMBERS[[StaffMemberCode]:[ServiceStartDate]],5,0)&gt;CONT_TEA[[#This Row],[DateFrom]],1,0)</f>
        <v>0</v>
      </c>
      <c r="R42" s="57">
        <f>IF(_xlfn.XLOOKUP(CONT_TEA[[#This Row],[StaffMemberCode]],MEMBERS[StaffMemberCode],MEMBERS[ServiceEndDate])="",0,IF(CONT_TEA[[#This Row],[DateTo]]="",1,IF(_xlfn.XLOOKUP(CONT_TEA[[#This Row],[StaffMemberCode]],MEMBERS[StaffMemberCode],MEMBERS[ServiceEndDate])&lt;CONT_TEA[[#This Row],[DateTo]],1,0)))</f>
        <v>0</v>
      </c>
      <c r="S42" s="57">
        <f>IF(ISBLANK(CONT_TEA[[#This Row],[DateTo]]),0,IF(CONT_TEA[[#This Row],[DateFrom]]=CONT_TEA[[#This Row],[DateTo]],0,IF(CONT_TEA[[#This Row],[DateFrom]]&lt;CONT_TEA[[#This Row],[DateTo]],0,1)))</f>
        <v>0</v>
      </c>
      <c r="T42" s="57" cm="1">
        <f t="array" aca="1" ref="T42" ca="1">IF(CELL("format",CONT_TEA[[#This Row],[DateFrom]])="D1",0,1)+IF(CELL("format",CONT_TEA[[#This Row],[DateTo]])="D1",0,1)</f>
        <v>0</v>
      </c>
      <c r="U42" s="57">
        <f>IF(OR(CONT_TEA[[#This Row],[MatEditOnly]]=TRUE,CONT_TEA[[#This Row],[MatEditOnly]]=FALSE),IF(OR(CONT_TEA[[#This Row],[NoIncrement]]=TRUE,CONT_TEA[[#This Row],[NoIncrement]]=FALSE),0,1),1)</f>
        <v>0</v>
      </c>
      <c r="V42" s="57">
        <f>IF(ISBLANK(CONT_TEA[[#This Row],[FundCode]])=TRUE,0,IF(COUNTIF(FUNDS[FundCode],CONT_TEA[[#This Row],[FundCode]])=1,0,1))</f>
        <v>0</v>
      </c>
      <c r="W42" s="57">
        <f>IF(LEN(CONT_TEA[[#This Row],[Notes]])&lt;4000,0,1)</f>
        <v>0</v>
      </c>
      <c r="X42" s="57">
        <f>IF(SUBSTITUTE(TEXT(CONT_TEA[[#This Row],[Reference]],10)," ","")=TEXT(CONT_TEA[[#This Row],[Reference]],10),0,1)</f>
        <v>0</v>
      </c>
      <c r="Y42" s="57">
        <f ca="1">SUM(CONT_TEA[[#This Row],[Duplicate Contract]:[Space in Code]])</f>
        <v>1</v>
      </c>
      <c r="AA42" s="12" t="s">
        <v>2082</v>
      </c>
      <c r="AB42" s="15">
        <v>91073844</v>
      </c>
      <c r="AC42" s="12" t="s">
        <v>4391</v>
      </c>
      <c r="AD42" s="57" t="str">
        <f>_xlfn.XLOOKUP(CONT_TEA[[#This Row],[StaffMemberCode]],StaffMembers!O:O,StaffMembers!R:R)</f>
        <v>Andrew Rayner</v>
      </c>
      <c r="AE42" s="12" t="s">
        <v>1178</v>
      </c>
      <c r="AF42" s="57">
        <f>_xlfn.XLOOKUP(CONT_TEA[[#This Row],[SRG]],SRG[StaffRoleGroupCode],SRG[GrossSalaryFinanceCode])</f>
        <v>612100</v>
      </c>
      <c r="AG42" s="57" t="str">
        <f>_xlfn.XLOOKUP(CONT_TEA[[#This Row],[StaffRoleCode]],ROLES[StaffRoleCode],ROLES[StaffRoleGroupCode])</f>
        <v>TEA</v>
      </c>
      <c r="AH42" s="57" t="str">
        <f>_xlfn.XLOOKUP(CONT_TEA[[#This Row],[StaffRoleCode]],ROLES[StaffRoleCode],ROLES[PayScaleCode])</f>
        <v>MAIN</v>
      </c>
      <c r="AI42" s="12" t="s">
        <v>1126</v>
      </c>
      <c r="AJ42" s="12" t="s">
        <v>1745</v>
      </c>
      <c r="AK42" s="12" t="s">
        <v>2499</v>
      </c>
      <c r="AM42" s="68" t="s">
        <v>1147</v>
      </c>
      <c r="AN42" s="13" t="s">
        <v>1702</v>
      </c>
      <c r="AO42" s="21">
        <v>45901</v>
      </c>
      <c r="AQ42" s="12">
        <v>1</v>
      </c>
      <c r="AR42" t="b">
        <v>0</v>
      </c>
      <c r="AS42" t="b">
        <v>0</v>
      </c>
      <c r="AT42" s="12" t="s">
        <v>1574</v>
      </c>
    </row>
    <row r="43" spans="1:46" x14ac:dyDescent="0.3">
      <c r="A43" s="57" t="str">
        <f t="shared" si="1"/>
        <v>ALS9107372991073729ATEASTCH45901</v>
      </c>
      <c r="B43" s="57">
        <f>COUNTIF(CONT_TEA[Unique Contract],CONT_TEA[[#This Row],[Unique Contract]])-1</f>
        <v>0</v>
      </c>
      <c r="C43" s="57">
        <f>IFERROR(IF(FIND(CONT_TEA[[#This Row],[SchoolCode]],_xlfn.XLOOKUP(CONT_TEA[[#This Row],[StaffMemberCode]],MEMBERS[StaffMemberCode],MEMBERS[SchoolCodes]))&gt;0,0,1),1)</f>
        <v>0</v>
      </c>
      <c r="D43" s="57" cm="1">
        <f t="array" ref="D43">IF(_xlfn.XLOOKUP(CONT_TEA[[#This Row],[StaffRoleCode]],ROLES[StaffRoleCode],ROLES[AvailableToAllSchools],1,0,)=TRUE,0,IF(ISERROR(FIND(CONT_TEA[[#This Row],[SchoolCode]],_xlfn.TEXTJOIN(",",TRUE,_xlfn.UNIQUE(IF(ROLES[StaffRoleCode]=CONT_TEA[[#This Row],[StaffRoleCode]],ROLES[SchoolCodes],""))))),1,0))</f>
        <v>0</v>
      </c>
      <c r="E43" s="57" cm="1">
        <f t="array" ref="E4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43" s="57" cm="1">
        <f t="array" ref="F43">IF(_xlfn.XLOOKUP(CONT_TEA[[#This Row],[PayScaleCode]],PAYSCALES[PayScaleCode],PAYSCALES[AvailableToAllSchools],1,0,)=TRUE,0,IF(ISERROR(FIND(CONT_TEA[[#This Row],[SchoolCode]],_xlfn.TEXTJOIN(",",TRUE,_xlfn.UNIQUE(IF(PAYSCALES[PayScaleCode]=CONT_TEA[[#This Row],[PayScaleCode]],PAYSCALES[SchoolCodes],""))))),1,0))</f>
        <v>0</v>
      </c>
      <c r="G43" s="57">
        <f>IF(_xlfn.XLOOKUP(CONT_TEA[[#This Row],[PayScaleGradeCode]],GRADES[PayScaleGradeCode],GRADES[AvailableToAllSchools])=TRUE,0,IFERROR(IF(FIND(CONT_TEA[[#This Row],[SchoolCode]],_xlfn.XLOOKUP(CONT_TEA[[#This Row],[PayScaleGradeCode]],GRADES[PayScaleGradeCode],GRADES[SchoolCodes]))&gt;=1,0,1),1))</f>
        <v>0</v>
      </c>
      <c r="H43" s="57">
        <f>IF(ISERROR(IF((_xlfn.XLOOKUP(CONT_TEA[[#This Row],[PayScaleGradeCode]],GRADES[PayScaleGradeCode],GRADES[PayScaleCode])=CONT_TEA[[#This Row],[PayScaleCode]]),0,1)),1,0)</f>
        <v>0</v>
      </c>
      <c r="I43" s="57" cm="1">
        <f t="array" ref="I43">IF(ISERROR(FIND(CONT_TEA[[#This Row],[PayScalePointCode]],_xlfn.TEXTJOIN(",",TRUE,IF(PSPOINTS[PayScaleCode]=CONT_TEA[[#This Row],[PayScaleCode]],PSPOINTS[PayScalePointCode])))),1,0)</f>
        <v>0</v>
      </c>
      <c r="J43" s="57" cm="1">
        <f t="array" ref="J4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43" s="57">
        <f>IF(_xlfn.XLOOKUP(CONT_TEA[[#This Row],[PayScalePointCode]],PSPOINTS[PayScalePointCode],PSPOINTS[PayScalePointEnabled])=TRUE,0,1)</f>
        <v>0</v>
      </c>
      <c r="L43" s="57" cm="1">
        <f t="array" ref="L43">IF(_xlfn.XLOOKUP(CONT_TEA[[#This Row],[DepartmentCode]],DEPTS[DepartmentCode],DEPTS[AvailableToAllSchools],1,0,)=TRUE,0,IF(ISERROR(FIND(CONT_TEA[[#This Row],[SchoolCode]],_xlfn.TEXTJOIN(",",TRUE,_xlfn.UNIQUE(IF(DEPTS[DepartmentCode]=CONT_TEA[[#This Row],[DepartmentCode]],DEPTS[SchoolCodes],""))))),1,0))</f>
        <v>0</v>
      </c>
      <c r="M43" s="57">
        <f>IFERROR(IF(_xlfn.XLOOKUP(CONT_TEA[[#This Row],[SRG Gross]],FinanceCodesBudget[FinanceCode],FinanceCodesBudget[LedgerCode])=_xlfn.XLOOKUP(CONT_TEA[[#This Row],[DepartmentCode]],DEPTS[DepartmentCode],DEPTS[LedgerCode]),0,1),1)</f>
        <v>1</v>
      </c>
      <c r="N43" s="57" cm="1">
        <f t="array" ref="N43">IF(_xlfn.XLOOKUP(CONT_TEA[[#This Row],[PensionCode]],PENS[PensionCode],PENS[AvailableToAllSchools],1,0,)=TRUE,0,IF(ISERROR(FIND(CONT_TEA[[#This Row],[SchoolCode]],_xlfn.TEXTJOIN(",",TRUE,_xlfn.UNIQUE(IF(PENS[PensionCode]=CONT_TEA[[#This Row],[PensionCode]],PENS[SchoolCodes],""))))),1,0))</f>
        <v>0</v>
      </c>
      <c r="O43" s="57" cm="1">
        <f t="array" ref="O43">IF(_xlfn.XLOOKUP(CONT_TEA[[#This Row],[EquatedWeekPatternCode]],EQW[EquatedWeekPatternCode],EQW[AvailableToAllSchools],1,0,)=TRUE,0,IF(ISERROR(FIND(CONT_TEA[[#This Row],[SchoolCode]],_xlfn.TEXTJOIN(",",TRUE,_xlfn.UNIQUE(IF(EQW[EquatedWeekPatternCode]=CONT_TEA[[#This Row],[EquatedWeekPatternCode]],EQW[SchoolCodes],""))))),1,0))</f>
        <v>0</v>
      </c>
      <c r="P43" s="57">
        <f>1-COUNTIF(ContractTypes[Code],CONT_TEA[[#This Row],[ContractTypeCode]])</f>
        <v>0</v>
      </c>
      <c r="Q43" s="57">
        <f>IF(VLOOKUP(CONT_TEA[[#This Row],[StaffMemberCode]],MEMBERS[[StaffMemberCode]:[ServiceStartDate]],5,0)&gt;CONT_TEA[[#This Row],[DateFrom]],1,0)</f>
        <v>0</v>
      </c>
      <c r="R43" s="57">
        <f>IF(_xlfn.XLOOKUP(CONT_TEA[[#This Row],[StaffMemberCode]],MEMBERS[StaffMemberCode],MEMBERS[ServiceEndDate])="",0,IF(CONT_TEA[[#This Row],[DateTo]]="",1,IF(_xlfn.XLOOKUP(CONT_TEA[[#This Row],[StaffMemberCode]],MEMBERS[StaffMemberCode],MEMBERS[ServiceEndDate])&lt;CONT_TEA[[#This Row],[DateTo]],1,0)))</f>
        <v>0</v>
      </c>
      <c r="S43" s="57">
        <f>IF(ISBLANK(CONT_TEA[[#This Row],[DateTo]]),0,IF(CONT_TEA[[#This Row],[DateFrom]]=CONT_TEA[[#This Row],[DateTo]],0,IF(CONT_TEA[[#This Row],[DateFrom]]&lt;CONT_TEA[[#This Row],[DateTo]],0,1)))</f>
        <v>0</v>
      </c>
      <c r="T43" s="57" cm="1">
        <f t="array" aca="1" ref="T43" ca="1">IF(CELL("format",CONT_TEA[[#This Row],[DateFrom]])="D1",0,1)+IF(CELL("format",CONT_TEA[[#This Row],[DateTo]])="D1",0,1)</f>
        <v>0</v>
      </c>
      <c r="U43" s="57">
        <f>IF(OR(CONT_TEA[[#This Row],[MatEditOnly]]=TRUE,CONT_TEA[[#This Row],[MatEditOnly]]=FALSE),IF(OR(CONT_TEA[[#This Row],[NoIncrement]]=TRUE,CONT_TEA[[#This Row],[NoIncrement]]=FALSE),0,1),1)</f>
        <v>0</v>
      </c>
      <c r="V43" s="57">
        <f>IF(ISBLANK(CONT_TEA[[#This Row],[FundCode]])=TRUE,0,IF(COUNTIF(FUNDS[FundCode],CONT_TEA[[#This Row],[FundCode]])=1,0,1))</f>
        <v>0</v>
      </c>
      <c r="W43" s="57">
        <f>IF(LEN(CONT_TEA[[#This Row],[Notes]])&lt;4000,0,1)</f>
        <v>0</v>
      </c>
      <c r="X43" s="57">
        <f>IF(SUBSTITUTE(TEXT(CONT_TEA[[#This Row],[Reference]],10)," ","")=TEXT(CONT_TEA[[#This Row],[Reference]],10),0,1)</f>
        <v>0</v>
      </c>
      <c r="Y43" s="57">
        <f ca="1">SUM(CONT_TEA[[#This Row],[Duplicate Contract]:[Space in Code]])</f>
        <v>1</v>
      </c>
      <c r="AA43" s="12" t="s">
        <v>2082</v>
      </c>
      <c r="AB43" s="15">
        <v>91073729</v>
      </c>
      <c r="AC43" s="12" t="s">
        <v>4392</v>
      </c>
      <c r="AD43" s="57" t="str">
        <f>_xlfn.XLOOKUP(CONT_TEA[[#This Row],[StaffMemberCode]],StaffMembers!O:O,StaffMembers!R:R)</f>
        <v>Debora Coxon</v>
      </c>
      <c r="AE43" s="12" t="s">
        <v>1178</v>
      </c>
      <c r="AF43" s="57">
        <f>_xlfn.XLOOKUP(CONT_TEA[[#This Row],[SRG]],SRG[StaffRoleGroupCode],SRG[GrossSalaryFinanceCode])</f>
        <v>612100</v>
      </c>
      <c r="AG43" s="57" t="str">
        <f>_xlfn.XLOOKUP(CONT_TEA[[#This Row],[StaffRoleCode]],ROLES[StaffRoleCode],ROLES[StaffRoleGroupCode])</f>
        <v>TEA</v>
      </c>
      <c r="AH43" s="57" t="str">
        <f>_xlfn.XLOOKUP(CONT_TEA[[#This Row],[StaffRoleCode]],ROLES[StaffRoleCode],ROLES[PayScaleCode])</f>
        <v>MAIN</v>
      </c>
      <c r="AI43" s="12" t="s">
        <v>1126</v>
      </c>
      <c r="AJ43" s="12" t="s">
        <v>1745</v>
      </c>
      <c r="AK43" s="12" t="s">
        <v>2499</v>
      </c>
      <c r="AM43" s="68" t="s">
        <v>1147</v>
      </c>
      <c r="AN43" s="13" t="s">
        <v>1702</v>
      </c>
      <c r="AO43" s="21">
        <v>45901</v>
      </c>
      <c r="AQ43" s="12">
        <v>1</v>
      </c>
      <c r="AR43" t="b">
        <v>0</v>
      </c>
      <c r="AS43" t="b">
        <v>0</v>
      </c>
      <c r="AT43" s="12" t="s">
        <v>1574</v>
      </c>
    </row>
    <row r="44" spans="1:46" x14ac:dyDescent="0.3">
      <c r="A44" s="57" t="str">
        <f t="shared" si="1"/>
        <v>ALS9107370291073702ATEASTCH45901</v>
      </c>
      <c r="B44" s="57">
        <f>COUNTIF(CONT_TEA[Unique Contract],CONT_TEA[[#This Row],[Unique Contract]])-1</f>
        <v>0</v>
      </c>
      <c r="C44" s="57">
        <f>IFERROR(IF(FIND(CONT_TEA[[#This Row],[SchoolCode]],_xlfn.XLOOKUP(CONT_TEA[[#This Row],[StaffMemberCode]],MEMBERS[StaffMemberCode],MEMBERS[SchoolCodes]))&gt;0,0,1),1)</f>
        <v>0</v>
      </c>
      <c r="D44" s="57" cm="1">
        <f t="array" ref="D44">IF(_xlfn.XLOOKUP(CONT_TEA[[#This Row],[StaffRoleCode]],ROLES[StaffRoleCode],ROLES[AvailableToAllSchools],1,0,)=TRUE,0,IF(ISERROR(FIND(CONT_TEA[[#This Row],[SchoolCode]],_xlfn.TEXTJOIN(",",TRUE,_xlfn.UNIQUE(IF(ROLES[StaffRoleCode]=CONT_TEA[[#This Row],[StaffRoleCode]],ROLES[SchoolCodes],""))))),1,0))</f>
        <v>0</v>
      </c>
      <c r="E44" s="57" cm="1">
        <f t="array" ref="E4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44" s="57" cm="1">
        <f t="array" ref="F44">IF(_xlfn.XLOOKUP(CONT_TEA[[#This Row],[PayScaleCode]],PAYSCALES[PayScaleCode],PAYSCALES[AvailableToAllSchools],1,0,)=TRUE,0,IF(ISERROR(FIND(CONT_TEA[[#This Row],[SchoolCode]],_xlfn.TEXTJOIN(",",TRUE,_xlfn.UNIQUE(IF(PAYSCALES[PayScaleCode]=CONT_TEA[[#This Row],[PayScaleCode]],PAYSCALES[SchoolCodes],""))))),1,0))</f>
        <v>0</v>
      </c>
      <c r="G44" s="57">
        <f>IF(_xlfn.XLOOKUP(CONT_TEA[[#This Row],[PayScaleGradeCode]],GRADES[PayScaleGradeCode],GRADES[AvailableToAllSchools])=TRUE,0,IFERROR(IF(FIND(CONT_TEA[[#This Row],[SchoolCode]],_xlfn.XLOOKUP(CONT_TEA[[#This Row],[PayScaleGradeCode]],GRADES[PayScaleGradeCode],GRADES[SchoolCodes]))&gt;=1,0,1),1))</f>
        <v>0</v>
      </c>
      <c r="H44" s="57">
        <f>IF(ISERROR(IF((_xlfn.XLOOKUP(CONT_TEA[[#This Row],[PayScaleGradeCode]],GRADES[PayScaleGradeCode],GRADES[PayScaleCode])=CONT_TEA[[#This Row],[PayScaleCode]]),0,1)),1,0)</f>
        <v>0</v>
      </c>
      <c r="I44" s="57" cm="1">
        <f t="array" ref="I44">IF(ISERROR(FIND(CONT_TEA[[#This Row],[PayScalePointCode]],_xlfn.TEXTJOIN(",",TRUE,IF(PSPOINTS[PayScaleCode]=CONT_TEA[[#This Row],[PayScaleCode]],PSPOINTS[PayScalePointCode])))),1,0)</f>
        <v>0</v>
      </c>
      <c r="J44" s="57" cm="1">
        <f t="array" ref="J4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44" s="57">
        <f>IF(_xlfn.XLOOKUP(CONT_TEA[[#This Row],[PayScalePointCode]],PSPOINTS[PayScalePointCode],PSPOINTS[PayScalePointEnabled])=TRUE,0,1)</f>
        <v>0</v>
      </c>
      <c r="L44" s="57" cm="1">
        <f t="array" ref="L44">IF(_xlfn.XLOOKUP(CONT_TEA[[#This Row],[DepartmentCode]],DEPTS[DepartmentCode],DEPTS[AvailableToAllSchools],1,0,)=TRUE,0,IF(ISERROR(FIND(CONT_TEA[[#This Row],[SchoolCode]],_xlfn.TEXTJOIN(",",TRUE,_xlfn.UNIQUE(IF(DEPTS[DepartmentCode]=CONT_TEA[[#This Row],[DepartmentCode]],DEPTS[SchoolCodes],""))))),1,0))</f>
        <v>0</v>
      </c>
      <c r="M44" s="57">
        <f>IFERROR(IF(_xlfn.XLOOKUP(CONT_TEA[[#This Row],[SRG Gross]],FinanceCodesBudget[FinanceCode],FinanceCodesBudget[LedgerCode])=_xlfn.XLOOKUP(CONT_TEA[[#This Row],[DepartmentCode]],DEPTS[DepartmentCode],DEPTS[LedgerCode]),0,1),1)</f>
        <v>1</v>
      </c>
      <c r="N44" s="57" cm="1">
        <f t="array" ref="N44">IF(_xlfn.XLOOKUP(CONT_TEA[[#This Row],[PensionCode]],PENS[PensionCode],PENS[AvailableToAllSchools],1,0,)=TRUE,0,IF(ISERROR(FIND(CONT_TEA[[#This Row],[SchoolCode]],_xlfn.TEXTJOIN(",",TRUE,_xlfn.UNIQUE(IF(PENS[PensionCode]=CONT_TEA[[#This Row],[PensionCode]],PENS[SchoolCodes],""))))),1,0))</f>
        <v>0</v>
      </c>
      <c r="O44" s="57" cm="1">
        <f t="array" ref="O44">IF(_xlfn.XLOOKUP(CONT_TEA[[#This Row],[EquatedWeekPatternCode]],EQW[EquatedWeekPatternCode],EQW[AvailableToAllSchools],1,0,)=TRUE,0,IF(ISERROR(FIND(CONT_TEA[[#This Row],[SchoolCode]],_xlfn.TEXTJOIN(",",TRUE,_xlfn.UNIQUE(IF(EQW[EquatedWeekPatternCode]=CONT_TEA[[#This Row],[EquatedWeekPatternCode]],EQW[SchoolCodes],""))))),1,0))</f>
        <v>0</v>
      </c>
      <c r="P44" s="57">
        <f>1-COUNTIF(ContractTypes[Code],CONT_TEA[[#This Row],[ContractTypeCode]])</f>
        <v>0</v>
      </c>
      <c r="Q44" s="57">
        <f>IF(VLOOKUP(CONT_TEA[[#This Row],[StaffMemberCode]],MEMBERS[[StaffMemberCode]:[ServiceStartDate]],5,0)&gt;CONT_TEA[[#This Row],[DateFrom]],1,0)</f>
        <v>0</v>
      </c>
      <c r="R44" s="57">
        <f>IF(_xlfn.XLOOKUP(CONT_TEA[[#This Row],[StaffMemberCode]],MEMBERS[StaffMemberCode],MEMBERS[ServiceEndDate])="",0,IF(CONT_TEA[[#This Row],[DateTo]]="",1,IF(_xlfn.XLOOKUP(CONT_TEA[[#This Row],[StaffMemberCode]],MEMBERS[StaffMemberCode],MEMBERS[ServiceEndDate])&lt;CONT_TEA[[#This Row],[DateTo]],1,0)))</f>
        <v>0</v>
      </c>
      <c r="S44" s="57">
        <f>IF(ISBLANK(CONT_TEA[[#This Row],[DateTo]]),0,IF(CONT_TEA[[#This Row],[DateFrom]]=CONT_TEA[[#This Row],[DateTo]],0,IF(CONT_TEA[[#This Row],[DateFrom]]&lt;CONT_TEA[[#This Row],[DateTo]],0,1)))</f>
        <v>0</v>
      </c>
      <c r="T44" s="57" cm="1">
        <f t="array" aca="1" ref="T44" ca="1">IF(CELL("format",CONT_TEA[[#This Row],[DateFrom]])="D1",0,1)+IF(CELL("format",CONT_TEA[[#This Row],[DateTo]])="D1",0,1)</f>
        <v>0</v>
      </c>
      <c r="U44" s="57">
        <f>IF(OR(CONT_TEA[[#This Row],[MatEditOnly]]=TRUE,CONT_TEA[[#This Row],[MatEditOnly]]=FALSE),IF(OR(CONT_TEA[[#This Row],[NoIncrement]]=TRUE,CONT_TEA[[#This Row],[NoIncrement]]=FALSE),0,1),1)</f>
        <v>0</v>
      </c>
      <c r="V44" s="57">
        <f>IF(ISBLANK(CONT_TEA[[#This Row],[FundCode]])=TRUE,0,IF(COUNTIF(FUNDS[FundCode],CONT_TEA[[#This Row],[FundCode]])=1,0,1))</f>
        <v>0</v>
      </c>
      <c r="W44" s="57">
        <f>IF(LEN(CONT_TEA[[#This Row],[Notes]])&lt;4000,0,1)</f>
        <v>0</v>
      </c>
      <c r="X44" s="57">
        <f>IF(SUBSTITUTE(TEXT(CONT_TEA[[#This Row],[Reference]],10)," ","")=TEXT(CONT_TEA[[#This Row],[Reference]],10),0,1)</f>
        <v>0</v>
      </c>
      <c r="Y44" s="57">
        <f ca="1">SUM(CONT_TEA[[#This Row],[Duplicate Contract]:[Space in Code]])</f>
        <v>1</v>
      </c>
      <c r="AA44" s="12" t="s">
        <v>2082</v>
      </c>
      <c r="AB44" s="15">
        <v>91073702</v>
      </c>
      <c r="AC44" s="12" t="s">
        <v>4393</v>
      </c>
      <c r="AD44" s="57" t="str">
        <f>_xlfn.XLOOKUP(CONT_TEA[[#This Row],[StaffMemberCode]],StaffMembers!O:O,StaffMembers!R:R)</f>
        <v>Jayne Watts</v>
      </c>
      <c r="AE44" s="12" t="s">
        <v>1178</v>
      </c>
      <c r="AF44" s="57">
        <f>_xlfn.XLOOKUP(CONT_TEA[[#This Row],[SRG]],SRG[StaffRoleGroupCode],SRG[GrossSalaryFinanceCode])</f>
        <v>612100</v>
      </c>
      <c r="AG44" s="57" t="str">
        <f>_xlfn.XLOOKUP(CONT_TEA[[#This Row],[StaffRoleCode]],ROLES[StaffRoleCode],ROLES[StaffRoleGroupCode])</f>
        <v>TEA</v>
      </c>
      <c r="AH44" s="57" t="str">
        <f>_xlfn.XLOOKUP(CONT_TEA[[#This Row],[StaffRoleCode]],ROLES[StaffRoleCode],ROLES[PayScaleCode])</f>
        <v>MAIN</v>
      </c>
      <c r="AI44" s="12" t="s">
        <v>1126</v>
      </c>
      <c r="AJ44" s="12" t="s">
        <v>1745</v>
      </c>
      <c r="AK44" s="12" t="s">
        <v>2499</v>
      </c>
      <c r="AM44" s="68" t="s">
        <v>1147</v>
      </c>
      <c r="AN44" s="13" t="s">
        <v>1702</v>
      </c>
      <c r="AO44" s="21">
        <v>45901</v>
      </c>
      <c r="AQ44" s="12">
        <v>1</v>
      </c>
      <c r="AR44" t="b">
        <v>0</v>
      </c>
      <c r="AS44" t="b">
        <v>0</v>
      </c>
      <c r="AT44" s="12" t="s">
        <v>1574</v>
      </c>
    </row>
    <row r="45" spans="1:46" x14ac:dyDescent="0.3">
      <c r="A45" s="57" t="str">
        <f t="shared" si="1"/>
        <v>ALS9107368491073684ATEASTCH45901</v>
      </c>
      <c r="B45" s="57">
        <f>COUNTIF(CONT_TEA[Unique Contract],CONT_TEA[[#This Row],[Unique Contract]])-1</f>
        <v>0</v>
      </c>
      <c r="C45" s="57">
        <f>IFERROR(IF(FIND(CONT_TEA[[#This Row],[SchoolCode]],_xlfn.XLOOKUP(CONT_TEA[[#This Row],[StaffMemberCode]],MEMBERS[StaffMemberCode],MEMBERS[SchoolCodes]))&gt;0,0,1),1)</f>
        <v>0</v>
      </c>
      <c r="D45" s="57" cm="1">
        <f t="array" ref="D45">IF(_xlfn.XLOOKUP(CONT_TEA[[#This Row],[StaffRoleCode]],ROLES[StaffRoleCode],ROLES[AvailableToAllSchools],1,0,)=TRUE,0,IF(ISERROR(FIND(CONT_TEA[[#This Row],[SchoolCode]],_xlfn.TEXTJOIN(",",TRUE,_xlfn.UNIQUE(IF(ROLES[StaffRoleCode]=CONT_TEA[[#This Row],[StaffRoleCode]],ROLES[SchoolCodes],""))))),1,0))</f>
        <v>0</v>
      </c>
      <c r="E45" s="57" cm="1">
        <f t="array" ref="E4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45" s="57" cm="1">
        <f t="array" ref="F45">IF(_xlfn.XLOOKUP(CONT_TEA[[#This Row],[PayScaleCode]],PAYSCALES[PayScaleCode],PAYSCALES[AvailableToAllSchools],1,0,)=TRUE,0,IF(ISERROR(FIND(CONT_TEA[[#This Row],[SchoolCode]],_xlfn.TEXTJOIN(",",TRUE,_xlfn.UNIQUE(IF(PAYSCALES[PayScaleCode]=CONT_TEA[[#This Row],[PayScaleCode]],PAYSCALES[SchoolCodes],""))))),1,0))</f>
        <v>0</v>
      </c>
      <c r="G45" s="57">
        <f>IF(_xlfn.XLOOKUP(CONT_TEA[[#This Row],[PayScaleGradeCode]],GRADES[PayScaleGradeCode],GRADES[AvailableToAllSchools])=TRUE,0,IFERROR(IF(FIND(CONT_TEA[[#This Row],[SchoolCode]],_xlfn.XLOOKUP(CONT_TEA[[#This Row],[PayScaleGradeCode]],GRADES[PayScaleGradeCode],GRADES[SchoolCodes]))&gt;=1,0,1),1))</f>
        <v>0</v>
      </c>
      <c r="H45" s="57">
        <f>IF(ISERROR(IF((_xlfn.XLOOKUP(CONT_TEA[[#This Row],[PayScaleGradeCode]],GRADES[PayScaleGradeCode],GRADES[PayScaleCode])=CONT_TEA[[#This Row],[PayScaleCode]]),0,1)),1,0)</f>
        <v>0</v>
      </c>
      <c r="I45" s="57" cm="1">
        <f t="array" ref="I45">IF(ISERROR(FIND(CONT_TEA[[#This Row],[PayScalePointCode]],_xlfn.TEXTJOIN(",",TRUE,IF(PSPOINTS[PayScaleCode]=CONT_TEA[[#This Row],[PayScaleCode]],PSPOINTS[PayScalePointCode])))),1,0)</f>
        <v>0</v>
      </c>
      <c r="J45" s="57" cm="1">
        <f t="array" ref="J4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45" s="57">
        <f>IF(_xlfn.XLOOKUP(CONT_TEA[[#This Row],[PayScalePointCode]],PSPOINTS[PayScalePointCode],PSPOINTS[PayScalePointEnabled])=TRUE,0,1)</f>
        <v>0</v>
      </c>
      <c r="L45" s="57" cm="1">
        <f t="array" ref="L45">IF(_xlfn.XLOOKUP(CONT_TEA[[#This Row],[DepartmentCode]],DEPTS[DepartmentCode],DEPTS[AvailableToAllSchools],1,0,)=TRUE,0,IF(ISERROR(FIND(CONT_TEA[[#This Row],[SchoolCode]],_xlfn.TEXTJOIN(",",TRUE,_xlfn.UNIQUE(IF(DEPTS[DepartmentCode]=CONT_TEA[[#This Row],[DepartmentCode]],DEPTS[SchoolCodes],""))))),1,0))</f>
        <v>0</v>
      </c>
      <c r="M45" s="57">
        <f>IFERROR(IF(_xlfn.XLOOKUP(CONT_TEA[[#This Row],[SRG Gross]],FinanceCodesBudget[FinanceCode],FinanceCodesBudget[LedgerCode])=_xlfn.XLOOKUP(CONT_TEA[[#This Row],[DepartmentCode]],DEPTS[DepartmentCode],DEPTS[LedgerCode]),0,1),1)</f>
        <v>1</v>
      </c>
      <c r="N45" s="57" cm="1">
        <f t="array" ref="N45">IF(_xlfn.XLOOKUP(CONT_TEA[[#This Row],[PensionCode]],PENS[PensionCode],PENS[AvailableToAllSchools],1,0,)=TRUE,0,IF(ISERROR(FIND(CONT_TEA[[#This Row],[SchoolCode]],_xlfn.TEXTJOIN(",",TRUE,_xlfn.UNIQUE(IF(PENS[PensionCode]=CONT_TEA[[#This Row],[PensionCode]],PENS[SchoolCodes],""))))),1,0))</f>
        <v>0</v>
      </c>
      <c r="O45" s="57" cm="1">
        <f t="array" ref="O45">IF(_xlfn.XLOOKUP(CONT_TEA[[#This Row],[EquatedWeekPatternCode]],EQW[EquatedWeekPatternCode],EQW[AvailableToAllSchools],1,0,)=TRUE,0,IF(ISERROR(FIND(CONT_TEA[[#This Row],[SchoolCode]],_xlfn.TEXTJOIN(",",TRUE,_xlfn.UNIQUE(IF(EQW[EquatedWeekPatternCode]=CONT_TEA[[#This Row],[EquatedWeekPatternCode]],EQW[SchoolCodes],""))))),1,0))</f>
        <v>0</v>
      </c>
      <c r="P45" s="57">
        <f>1-COUNTIF(ContractTypes[Code],CONT_TEA[[#This Row],[ContractTypeCode]])</f>
        <v>0</v>
      </c>
      <c r="Q45" s="57">
        <f>IF(VLOOKUP(CONT_TEA[[#This Row],[StaffMemberCode]],MEMBERS[[StaffMemberCode]:[ServiceStartDate]],5,0)&gt;CONT_TEA[[#This Row],[DateFrom]],1,0)</f>
        <v>0</v>
      </c>
      <c r="R45" s="57">
        <f>IF(_xlfn.XLOOKUP(CONT_TEA[[#This Row],[StaffMemberCode]],MEMBERS[StaffMemberCode],MEMBERS[ServiceEndDate])="",0,IF(CONT_TEA[[#This Row],[DateTo]]="",1,IF(_xlfn.XLOOKUP(CONT_TEA[[#This Row],[StaffMemberCode]],MEMBERS[StaffMemberCode],MEMBERS[ServiceEndDate])&lt;CONT_TEA[[#This Row],[DateTo]],1,0)))</f>
        <v>0</v>
      </c>
      <c r="S45" s="57">
        <f>IF(ISBLANK(CONT_TEA[[#This Row],[DateTo]]),0,IF(CONT_TEA[[#This Row],[DateFrom]]=CONT_TEA[[#This Row],[DateTo]],0,IF(CONT_TEA[[#This Row],[DateFrom]]&lt;CONT_TEA[[#This Row],[DateTo]],0,1)))</f>
        <v>0</v>
      </c>
      <c r="T45" s="57" cm="1">
        <f t="array" aca="1" ref="T45" ca="1">IF(CELL("format",CONT_TEA[[#This Row],[DateFrom]])="D1",0,1)+IF(CELL("format",CONT_TEA[[#This Row],[DateTo]])="D1",0,1)</f>
        <v>0</v>
      </c>
      <c r="U45" s="57">
        <f>IF(OR(CONT_TEA[[#This Row],[MatEditOnly]]=TRUE,CONT_TEA[[#This Row],[MatEditOnly]]=FALSE),IF(OR(CONT_TEA[[#This Row],[NoIncrement]]=TRUE,CONT_TEA[[#This Row],[NoIncrement]]=FALSE),0,1),1)</f>
        <v>0</v>
      </c>
      <c r="V45" s="57">
        <f>IF(ISBLANK(CONT_TEA[[#This Row],[FundCode]])=TRUE,0,IF(COUNTIF(FUNDS[FundCode],CONT_TEA[[#This Row],[FundCode]])=1,0,1))</f>
        <v>0</v>
      </c>
      <c r="W45" s="57">
        <f>IF(LEN(CONT_TEA[[#This Row],[Notes]])&lt;4000,0,1)</f>
        <v>0</v>
      </c>
      <c r="X45" s="57">
        <f>IF(SUBSTITUTE(TEXT(CONT_TEA[[#This Row],[Reference]],10)," ","")=TEXT(CONT_TEA[[#This Row],[Reference]],10),0,1)</f>
        <v>0</v>
      </c>
      <c r="Y45" s="57">
        <f ca="1">SUM(CONT_TEA[[#This Row],[Duplicate Contract]:[Space in Code]])</f>
        <v>1</v>
      </c>
      <c r="AA45" s="12" t="s">
        <v>2082</v>
      </c>
      <c r="AB45" s="15">
        <v>91073684</v>
      </c>
      <c r="AC45" s="12" t="s">
        <v>4394</v>
      </c>
      <c r="AD45" s="57" t="str">
        <f>_xlfn.XLOOKUP(CONT_TEA[[#This Row],[StaffMemberCode]],StaffMembers!O:O,StaffMembers!R:R)</f>
        <v>Laura Howard</v>
      </c>
      <c r="AE45" s="12" t="s">
        <v>1178</v>
      </c>
      <c r="AF45" s="57">
        <f>_xlfn.XLOOKUP(CONT_TEA[[#This Row],[SRG]],SRG[StaffRoleGroupCode],SRG[GrossSalaryFinanceCode])</f>
        <v>612100</v>
      </c>
      <c r="AG45" s="57" t="str">
        <f>_xlfn.XLOOKUP(CONT_TEA[[#This Row],[StaffRoleCode]],ROLES[StaffRoleCode],ROLES[StaffRoleGroupCode])</f>
        <v>TEA</v>
      </c>
      <c r="AH45" s="57" t="str">
        <f>_xlfn.XLOOKUP(CONT_TEA[[#This Row],[StaffRoleCode]],ROLES[StaffRoleCode],ROLES[PayScaleCode])</f>
        <v>MAIN</v>
      </c>
      <c r="AI45" s="12" t="s">
        <v>1126</v>
      </c>
      <c r="AJ45" s="12" t="s">
        <v>1745</v>
      </c>
      <c r="AK45" s="12" t="s">
        <v>2499</v>
      </c>
      <c r="AM45" s="68" t="s">
        <v>1147</v>
      </c>
      <c r="AN45" s="13" t="s">
        <v>1702</v>
      </c>
      <c r="AO45" s="21">
        <v>45901</v>
      </c>
      <c r="AQ45" s="12">
        <v>1</v>
      </c>
      <c r="AR45" t="b">
        <v>0</v>
      </c>
      <c r="AS45" t="b">
        <v>0</v>
      </c>
      <c r="AT45" s="12" t="s">
        <v>1574</v>
      </c>
    </row>
    <row r="46" spans="1:46" x14ac:dyDescent="0.3">
      <c r="A46" s="57" t="str">
        <f t="shared" si="1"/>
        <v>ALS9107381091073810ATEASTCH45901</v>
      </c>
      <c r="B46" s="57">
        <f>COUNTIF(CONT_TEA[Unique Contract],CONT_TEA[[#This Row],[Unique Contract]])-1</f>
        <v>0</v>
      </c>
      <c r="C46" s="57">
        <f>IFERROR(IF(FIND(CONT_TEA[[#This Row],[SchoolCode]],_xlfn.XLOOKUP(CONT_TEA[[#This Row],[StaffMemberCode]],MEMBERS[StaffMemberCode],MEMBERS[SchoolCodes]))&gt;0,0,1),1)</f>
        <v>0</v>
      </c>
      <c r="D46" s="57" cm="1">
        <f t="array" ref="D46">IF(_xlfn.XLOOKUP(CONT_TEA[[#This Row],[StaffRoleCode]],ROLES[StaffRoleCode],ROLES[AvailableToAllSchools],1,0,)=TRUE,0,IF(ISERROR(FIND(CONT_TEA[[#This Row],[SchoolCode]],_xlfn.TEXTJOIN(",",TRUE,_xlfn.UNIQUE(IF(ROLES[StaffRoleCode]=CONT_TEA[[#This Row],[StaffRoleCode]],ROLES[SchoolCodes],""))))),1,0))</f>
        <v>0</v>
      </c>
      <c r="E46" s="57" cm="1">
        <f t="array" ref="E4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46" s="57" cm="1">
        <f t="array" ref="F46">IF(_xlfn.XLOOKUP(CONT_TEA[[#This Row],[PayScaleCode]],PAYSCALES[PayScaleCode],PAYSCALES[AvailableToAllSchools],1,0,)=TRUE,0,IF(ISERROR(FIND(CONT_TEA[[#This Row],[SchoolCode]],_xlfn.TEXTJOIN(",",TRUE,_xlfn.UNIQUE(IF(PAYSCALES[PayScaleCode]=CONT_TEA[[#This Row],[PayScaleCode]],PAYSCALES[SchoolCodes],""))))),1,0))</f>
        <v>0</v>
      </c>
      <c r="G46" s="57">
        <f>IF(_xlfn.XLOOKUP(CONT_TEA[[#This Row],[PayScaleGradeCode]],GRADES[PayScaleGradeCode],GRADES[AvailableToAllSchools])=TRUE,0,IFERROR(IF(FIND(CONT_TEA[[#This Row],[SchoolCode]],_xlfn.XLOOKUP(CONT_TEA[[#This Row],[PayScaleGradeCode]],GRADES[PayScaleGradeCode],GRADES[SchoolCodes]))&gt;=1,0,1),1))</f>
        <v>0</v>
      </c>
      <c r="H46" s="57">
        <f>IF(ISERROR(IF((_xlfn.XLOOKUP(CONT_TEA[[#This Row],[PayScaleGradeCode]],GRADES[PayScaleGradeCode],GRADES[PayScaleCode])=CONT_TEA[[#This Row],[PayScaleCode]]),0,1)),1,0)</f>
        <v>0</v>
      </c>
      <c r="I46" s="57" cm="1">
        <f t="array" ref="I46">IF(ISERROR(FIND(CONT_TEA[[#This Row],[PayScalePointCode]],_xlfn.TEXTJOIN(",",TRUE,IF(PSPOINTS[PayScaleCode]=CONT_TEA[[#This Row],[PayScaleCode]],PSPOINTS[PayScalePointCode])))),1,0)</f>
        <v>0</v>
      </c>
      <c r="J46" s="57" cm="1">
        <f t="array" ref="J4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46" s="57">
        <f>IF(_xlfn.XLOOKUP(CONT_TEA[[#This Row],[PayScalePointCode]],PSPOINTS[PayScalePointCode],PSPOINTS[PayScalePointEnabled])=TRUE,0,1)</f>
        <v>0</v>
      </c>
      <c r="L46" s="57" cm="1">
        <f t="array" ref="L46">IF(_xlfn.XLOOKUP(CONT_TEA[[#This Row],[DepartmentCode]],DEPTS[DepartmentCode],DEPTS[AvailableToAllSchools],1,0,)=TRUE,0,IF(ISERROR(FIND(CONT_TEA[[#This Row],[SchoolCode]],_xlfn.TEXTJOIN(",",TRUE,_xlfn.UNIQUE(IF(DEPTS[DepartmentCode]=CONT_TEA[[#This Row],[DepartmentCode]],DEPTS[SchoolCodes],""))))),1,0))</f>
        <v>0</v>
      </c>
      <c r="M46" s="57">
        <f>IFERROR(IF(_xlfn.XLOOKUP(CONT_TEA[[#This Row],[SRG Gross]],FinanceCodesBudget[FinanceCode],FinanceCodesBudget[LedgerCode])=_xlfn.XLOOKUP(CONT_TEA[[#This Row],[DepartmentCode]],DEPTS[DepartmentCode],DEPTS[LedgerCode]),0,1),1)</f>
        <v>1</v>
      </c>
      <c r="N46" s="57" cm="1">
        <f t="array" ref="N46">IF(_xlfn.XLOOKUP(CONT_TEA[[#This Row],[PensionCode]],PENS[PensionCode],PENS[AvailableToAllSchools],1,0,)=TRUE,0,IF(ISERROR(FIND(CONT_TEA[[#This Row],[SchoolCode]],_xlfn.TEXTJOIN(",",TRUE,_xlfn.UNIQUE(IF(PENS[PensionCode]=CONT_TEA[[#This Row],[PensionCode]],PENS[SchoolCodes],""))))),1,0))</f>
        <v>0</v>
      </c>
      <c r="O46" s="57" cm="1">
        <f t="array" ref="O46">IF(_xlfn.XLOOKUP(CONT_TEA[[#This Row],[EquatedWeekPatternCode]],EQW[EquatedWeekPatternCode],EQW[AvailableToAllSchools],1,0,)=TRUE,0,IF(ISERROR(FIND(CONT_TEA[[#This Row],[SchoolCode]],_xlfn.TEXTJOIN(",",TRUE,_xlfn.UNIQUE(IF(EQW[EquatedWeekPatternCode]=CONT_TEA[[#This Row],[EquatedWeekPatternCode]],EQW[SchoolCodes],""))))),1,0))</f>
        <v>0</v>
      </c>
      <c r="P46" s="57">
        <f>1-COUNTIF(ContractTypes[Code],CONT_TEA[[#This Row],[ContractTypeCode]])</f>
        <v>0</v>
      </c>
      <c r="Q46" s="57">
        <f>IF(VLOOKUP(CONT_TEA[[#This Row],[StaffMemberCode]],MEMBERS[[StaffMemberCode]:[ServiceStartDate]],5,0)&gt;CONT_TEA[[#This Row],[DateFrom]],1,0)</f>
        <v>0</v>
      </c>
      <c r="R46" s="57">
        <f>IF(_xlfn.XLOOKUP(CONT_TEA[[#This Row],[StaffMemberCode]],MEMBERS[StaffMemberCode],MEMBERS[ServiceEndDate])="",0,IF(CONT_TEA[[#This Row],[DateTo]]="",1,IF(_xlfn.XLOOKUP(CONT_TEA[[#This Row],[StaffMemberCode]],MEMBERS[StaffMemberCode],MEMBERS[ServiceEndDate])&lt;CONT_TEA[[#This Row],[DateTo]],1,0)))</f>
        <v>0</v>
      </c>
      <c r="S46" s="57">
        <f>IF(ISBLANK(CONT_TEA[[#This Row],[DateTo]]),0,IF(CONT_TEA[[#This Row],[DateFrom]]=CONT_TEA[[#This Row],[DateTo]],0,IF(CONT_TEA[[#This Row],[DateFrom]]&lt;CONT_TEA[[#This Row],[DateTo]],0,1)))</f>
        <v>0</v>
      </c>
      <c r="T46" s="57" cm="1">
        <f t="array" aca="1" ref="T46" ca="1">IF(CELL("format",CONT_TEA[[#This Row],[DateFrom]])="D1",0,1)+IF(CELL("format",CONT_TEA[[#This Row],[DateTo]])="D1",0,1)</f>
        <v>0</v>
      </c>
      <c r="U46" s="57">
        <f>IF(OR(CONT_TEA[[#This Row],[MatEditOnly]]=TRUE,CONT_TEA[[#This Row],[MatEditOnly]]=FALSE),IF(OR(CONT_TEA[[#This Row],[NoIncrement]]=TRUE,CONT_TEA[[#This Row],[NoIncrement]]=FALSE),0,1),1)</f>
        <v>0</v>
      </c>
      <c r="V46" s="57">
        <f>IF(ISBLANK(CONT_TEA[[#This Row],[FundCode]])=TRUE,0,IF(COUNTIF(FUNDS[FundCode],CONT_TEA[[#This Row],[FundCode]])=1,0,1))</f>
        <v>0</v>
      </c>
      <c r="W46" s="57">
        <f>IF(LEN(CONT_TEA[[#This Row],[Notes]])&lt;4000,0,1)</f>
        <v>0</v>
      </c>
      <c r="X46" s="57">
        <f>IF(SUBSTITUTE(TEXT(CONT_TEA[[#This Row],[Reference]],10)," ","")=TEXT(CONT_TEA[[#This Row],[Reference]],10),0,1)</f>
        <v>0</v>
      </c>
      <c r="Y46" s="57">
        <f ca="1">SUM(CONT_TEA[[#This Row],[Duplicate Contract]:[Space in Code]])</f>
        <v>1</v>
      </c>
      <c r="AA46" s="12" t="s">
        <v>2082</v>
      </c>
      <c r="AB46" s="15">
        <v>91073810</v>
      </c>
      <c r="AC46" s="12" t="s">
        <v>4395</v>
      </c>
      <c r="AD46" s="57" t="str">
        <f>_xlfn.XLOOKUP(CONT_TEA[[#This Row],[StaffMemberCode]],StaffMembers!O:O,StaffMembers!R:R)</f>
        <v>Martin Blythe</v>
      </c>
      <c r="AE46" s="12" t="s">
        <v>1178</v>
      </c>
      <c r="AF46" s="57">
        <f>_xlfn.XLOOKUP(CONT_TEA[[#This Row],[SRG]],SRG[StaffRoleGroupCode],SRG[GrossSalaryFinanceCode])</f>
        <v>612100</v>
      </c>
      <c r="AG46" s="57" t="str">
        <f>_xlfn.XLOOKUP(CONT_TEA[[#This Row],[StaffRoleCode]],ROLES[StaffRoleCode],ROLES[StaffRoleGroupCode])</f>
        <v>TEA</v>
      </c>
      <c r="AH46" s="57" t="str">
        <f>_xlfn.XLOOKUP(CONT_TEA[[#This Row],[StaffRoleCode]],ROLES[StaffRoleCode],ROLES[PayScaleCode])</f>
        <v>MAIN</v>
      </c>
      <c r="AI46" s="12" t="s">
        <v>1126</v>
      </c>
      <c r="AJ46" s="12" t="s">
        <v>1745</v>
      </c>
      <c r="AK46" s="12" t="s">
        <v>2499</v>
      </c>
      <c r="AM46" s="68" t="s">
        <v>1147</v>
      </c>
      <c r="AN46" s="13" t="s">
        <v>1702</v>
      </c>
      <c r="AO46" s="21">
        <v>45901</v>
      </c>
      <c r="AQ46" s="12">
        <v>1</v>
      </c>
      <c r="AR46" t="b">
        <v>0</v>
      </c>
      <c r="AS46" t="b">
        <v>0</v>
      </c>
      <c r="AT46" s="12" t="s">
        <v>1574</v>
      </c>
    </row>
    <row r="47" spans="1:46" x14ac:dyDescent="0.3">
      <c r="A47" s="57" t="str">
        <f t="shared" si="1"/>
        <v>ALS9107374191073741ATEASTCH45901</v>
      </c>
      <c r="B47" s="57">
        <f>COUNTIF(CONT_TEA[Unique Contract],CONT_TEA[[#This Row],[Unique Contract]])-1</f>
        <v>0</v>
      </c>
      <c r="C47" s="57">
        <f>IFERROR(IF(FIND(CONT_TEA[[#This Row],[SchoolCode]],_xlfn.XLOOKUP(CONT_TEA[[#This Row],[StaffMemberCode]],MEMBERS[StaffMemberCode],MEMBERS[SchoolCodes]))&gt;0,0,1),1)</f>
        <v>0</v>
      </c>
      <c r="D47" s="57" cm="1">
        <f t="array" ref="D47">IF(_xlfn.XLOOKUP(CONT_TEA[[#This Row],[StaffRoleCode]],ROLES[StaffRoleCode],ROLES[AvailableToAllSchools],1,0,)=TRUE,0,IF(ISERROR(FIND(CONT_TEA[[#This Row],[SchoolCode]],_xlfn.TEXTJOIN(",",TRUE,_xlfn.UNIQUE(IF(ROLES[StaffRoleCode]=CONT_TEA[[#This Row],[StaffRoleCode]],ROLES[SchoolCodes],""))))),1,0))</f>
        <v>0</v>
      </c>
      <c r="E47" s="57" cm="1">
        <f t="array" ref="E4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47" s="57" cm="1">
        <f t="array" ref="F47">IF(_xlfn.XLOOKUP(CONT_TEA[[#This Row],[PayScaleCode]],PAYSCALES[PayScaleCode],PAYSCALES[AvailableToAllSchools],1,0,)=TRUE,0,IF(ISERROR(FIND(CONT_TEA[[#This Row],[SchoolCode]],_xlfn.TEXTJOIN(",",TRUE,_xlfn.UNIQUE(IF(PAYSCALES[PayScaleCode]=CONT_TEA[[#This Row],[PayScaleCode]],PAYSCALES[SchoolCodes],""))))),1,0))</f>
        <v>0</v>
      </c>
      <c r="G47" s="57">
        <f>IF(_xlfn.XLOOKUP(CONT_TEA[[#This Row],[PayScaleGradeCode]],GRADES[PayScaleGradeCode],GRADES[AvailableToAllSchools])=TRUE,0,IFERROR(IF(FIND(CONT_TEA[[#This Row],[SchoolCode]],_xlfn.XLOOKUP(CONT_TEA[[#This Row],[PayScaleGradeCode]],GRADES[PayScaleGradeCode],GRADES[SchoolCodes]))&gt;=1,0,1),1))</f>
        <v>0</v>
      </c>
      <c r="H47" s="57">
        <f>IF(ISERROR(IF((_xlfn.XLOOKUP(CONT_TEA[[#This Row],[PayScaleGradeCode]],GRADES[PayScaleGradeCode],GRADES[PayScaleCode])=CONT_TEA[[#This Row],[PayScaleCode]]),0,1)),1,0)</f>
        <v>0</v>
      </c>
      <c r="I47" s="57" cm="1">
        <f t="array" ref="I47">IF(ISERROR(FIND(CONT_TEA[[#This Row],[PayScalePointCode]],_xlfn.TEXTJOIN(",",TRUE,IF(PSPOINTS[PayScaleCode]=CONT_TEA[[#This Row],[PayScaleCode]],PSPOINTS[PayScalePointCode])))),1,0)</f>
        <v>0</v>
      </c>
      <c r="J47" s="57" cm="1">
        <f t="array" ref="J4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47" s="57">
        <f>IF(_xlfn.XLOOKUP(CONT_TEA[[#This Row],[PayScalePointCode]],PSPOINTS[PayScalePointCode],PSPOINTS[PayScalePointEnabled])=TRUE,0,1)</f>
        <v>0</v>
      </c>
      <c r="L47" s="57" cm="1">
        <f t="array" ref="L47">IF(_xlfn.XLOOKUP(CONT_TEA[[#This Row],[DepartmentCode]],DEPTS[DepartmentCode],DEPTS[AvailableToAllSchools],1,0,)=TRUE,0,IF(ISERROR(FIND(CONT_TEA[[#This Row],[SchoolCode]],_xlfn.TEXTJOIN(",",TRUE,_xlfn.UNIQUE(IF(DEPTS[DepartmentCode]=CONT_TEA[[#This Row],[DepartmentCode]],DEPTS[SchoolCodes],""))))),1,0))</f>
        <v>0</v>
      </c>
      <c r="M47" s="57">
        <f>IFERROR(IF(_xlfn.XLOOKUP(CONT_TEA[[#This Row],[SRG Gross]],FinanceCodesBudget[FinanceCode],FinanceCodesBudget[LedgerCode])=_xlfn.XLOOKUP(CONT_TEA[[#This Row],[DepartmentCode]],DEPTS[DepartmentCode],DEPTS[LedgerCode]),0,1),1)</f>
        <v>1</v>
      </c>
      <c r="N47" s="57" cm="1">
        <f t="array" ref="N47">IF(_xlfn.XLOOKUP(CONT_TEA[[#This Row],[PensionCode]],PENS[PensionCode],PENS[AvailableToAllSchools],1,0,)=TRUE,0,IF(ISERROR(FIND(CONT_TEA[[#This Row],[SchoolCode]],_xlfn.TEXTJOIN(",",TRUE,_xlfn.UNIQUE(IF(PENS[PensionCode]=CONT_TEA[[#This Row],[PensionCode]],PENS[SchoolCodes],""))))),1,0))</f>
        <v>0</v>
      </c>
      <c r="O47" s="57" cm="1">
        <f t="array" ref="O47">IF(_xlfn.XLOOKUP(CONT_TEA[[#This Row],[EquatedWeekPatternCode]],EQW[EquatedWeekPatternCode],EQW[AvailableToAllSchools],1,0,)=TRUE,0,IF(ISERROR(FIND(CONT_TEA[[#This Row],[SchoolCode]],_xlfn.TEXTJOIN(",",TRUE,_xlfn.UNIQUE(IF(EQW[EquatedWeekPatternCode]=CONT_TEA[[#This Row],[EquatedWeekPatternCode]],EQW[SchoolCodes],""))))),1,0))</f>
        <v>0</v>
      </c>
      <c r="P47" s="57">
        <f>1-COUNTIF(ContractTypes[Code],CONT_TEA[[#This Row],[ContractTypeCode]])</f>
        <v>0</v>
      </c>
      <c r="Q47" s="57">
        <f>IF(VLOOKUP(CONT_TEA[[#This Row],[StaffMemberCode]],MEMBERS[[StaffMemberCode]:[ServiceStartDate]],5,0)&gt;CONT_TEA[[#This Row],[DateFrom]],1,0)</f>
        <v>0</v>
      </c>
      <c r="R47" s="57">
        <f>IF(_xlfn.XLOOKUP(CONT_TEA[[#This Row],[StaffMemberCode]],MEMBERS[StaffMemberCode],MEMBERS[ServiceEndDate])="",0,IF(CONT_TEA[[#This Row],[DateTo]]="",1,IF(_xlfn.XLOOKUP(CONT_TEA[[#This Row],[StaffMemberCode]],MEMBERS[StaffMemberCode],MEMBERS[ServiceEndDate])&lt;CONT_TEA[[#This Row],[DateTo]],1,0)))</f>
        <v>0</v>
      </c>
      <c r="S47" s="57">
        <f>IF(ISBLANK(CONT_TEA[[#This Row],[DateTo]]),0,IF(CONT_TEA[[#This Row],[DateFrom]]=CONT_TEA[[#This Row],[DateTo]],0,IF(CONT_TEA[[#This Row],[DateFrom]]&lt;CONT_TEA[[#This Row],[DateTo]],0,1)))</f>
        <v>0</v>
      </c>
      <c r="T47" s="57" cm="1">
        <f t="array" aca="1" ref="T47" ca="1">IF(CELL("format",CONT_TEA[[#This Row],[DateFrom]])="D1",0,1)+IF(CELL("format",CONT_TEA[[#This Row],[DateTo]])="D1",0,1)</f>
        <v>0</v>
      </c>
      <c r="U47" s="57">
        <f>IF(OR(CONT_TEA[[#This Row],[MatEditOnly]]=TRUE,CONT_TEA[[#This Row],[MatEditOnly]]=FALSE),IF(OR(CONT_TEA[[#This Row],[NoIncrement]]=TRUE,CONT_TEA[[#This Row],[NoIncrement]]=FALSE),0,1),1)</f>
        <v>0</v>
      </c>
      <c r="V47" s="57">
        <f>IF(ISBLANK(CONT_TEA[[#This Row],[FundCode]])=TRUE,0,IF(COUNTIF(FUNDS[FundCode],CONT_TEA[[#This Row],[FundCode]])=1,0,1))</f>
        <v>0</v>
      </c>
      <c r="W47" s="57">
        <f>IF(LEN(CONT_TEA[[#This Row],[Notes]])&lt;4000,0,1)</f>
        <v>0</v>
      </c>
      <c r="X47" s="57">
        <f>IF(SUBSTITUTE(TEXT(CONT_TEA[[#This Row],[Reference]],10)," ","")=TEXT(CONT_TEA[[#This Row],[Reference]],10),0,1)</f>
        <v>0</v>
      </c>
      <c r="Y47" s="57">
        <f ca="1">SUM(CONT_TEA[[#This Row],[Duplicate Contract]:[Space in Code]])</f>
        <v>1</v>
      </c>
      <c r="AA47" s="12" t="s">
        <v>2082</v>
      </c>
      <c r="AB47" s="15">
        <v>91073741</v>
      </c>
      <c r="AC47" s="12" t="s">
        <v>4396</v>
      </c>
      <c r="AD47" s="57" t="str">
        <f>_xlfn.XLOOKUP(CONT_TEA[[#This Row],[StaffMemberCode]],StaffMembers!O:O,StaffMembers!R:R)</f>
        <v>Naomi Forman</v>
      </c>
      <c r="AE47" s="12" t="s">
        <v>1178</v>
      </c>
      <c r="AF47" s="57">
        <f>_xlfn.XLOOKUP(CONT_TEA[[#This Row],[SRG]],SRG[StaffRoleGroupCode],SRG[GrossSalaryFinanceCode])</f>
        <v>612100</v>
      </c>
      <c r="AG47" s="57" t="str">
        <f>_xlfn.XLOOKUP(CONT_TEA[[#This Row],[StaffRoleCode]],ROLES[StaffRoleCode],ROLES[StaffRoleGroupCode])</f>
        <v>TEA</v>
      </c>
      <c r="AH47" s="57" t="str">
        <f>_xlfn.XLOOKUP(CONT_TEA[[#This Row],[StaffRoleCode]],ROLES[StaffRoleCode],ROLES[PayScaleCode])</f>
        <v>MAIN</v>
      </c>
      <c r="AI47" s="12" t="s">
        <v>1126</v>
      </c>
      <c r="AJ47" s="12" t="s">
        <v>1745</v>
      </c>
      <c r="AK47" s="12" t="s">
        <v>2499</v>
      </c>
      <c r="AM47" s="68" t="s">
        <v>1147</v>
      </c>
      <c r="AN47" s="13" t="s">
        <v>1702</v>
      </c>
      <c r="AO47" s="21">
        <v>45901</v>
      </c>
      <c r="AQ47" s="12">
        <v>1</v>
      </c>
      <c r="AR47" t="b">
        <v>0</v>
      </c>
      <c r="AS47" t="b">
        <v>0</v>
      </c>
      <c r="AT47" s="12" t="s">
        <v>1574</v>
      </c>
    </row>
    <row r="48" spans="1:46" x14ac:dyDescent="0.3">
      <c r="A48" s="57" t="str">
        <f t="shared" si="1"/>
        <v>ALS9107374391073743ATEASTCH45901</v>
      </c>
      <c r="B48" s="57">
        <f>COUNTIF(CONT_TEA[Unique Contract],CONT_TEA[[#This Row],[Unique Contract]])-1</f>
        <v>0</v>
      </c>
      <c r="C48" s="57">
        <f>IFERROR(IF(FIND(CONT_TEA[[#This Row],[SchoolCode]],_xlfn.XLOOKUP(CONT_TEA[[#This Row],[StaffMemberCode]],MEMBERS[StaffMemberCode],MEMBERS[SchoolCodes]))&gt;0,0,1),1)</f>
        <v>0</v>
      </c>
      <c r="D48" s="57" cm="1">
        <f t="array" ref="D48">IF(_xlfn.XLOOKUP(CONT_TEA[[#This Row],[StaffRoleCode]],ROLES[StaffRoleCode],ROLES[AvailableToAllSchools],1,0,)=TRUE,0,IF(ISERROR(FIND(CONT_TEA[[#This Row],[SchoolCode]],_xlfn.TEXTJOIN(",",TRUE,_xlfn.UNIQUE(IF(ROLES[StaffRoleCode]=CONT_TEA[[#This Row],[StaffRoleCode]],ROLES[SchoolCodes],""))))),1,0))</f>
        <v>0</v>
      </c>
      <c r="E48" s="57" cm="1">
        <f t="array" ref="E4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48" s="57" cm="1">
        <f t="array" ref="F48">IF(_xlfn.XLOOKUP(CONT_TEA[[#This Row],[PayScaleCode]],PAYSCALES[PayScaleCode],PAYSCALES[AvailableToAllSchools],1,0,)=TRUE,0,IF(ISERROR(FIND(CONT_TEA[[#This Row],[SchoolCode]],_xlfn.TEXTJOIN(",",TRUE,_xlfn.UNIQUE(IF(PAYSCALES[PayScaleCode]=CONT_TEA[[#This Row],[PayScaleCode]],PAYSCALES[SchoolCodes],""))))),1,0))</f>
        <v>0</v>
      </c>
      <c r="G48" s="57">
        <f>IF(_xlfn.XLOOKUP(CONT_TEA[[#This Row],[PayScaleGradeCode]],GRADES[PayScaleGradeCode],GRADES[AvailableToAllSchools])=TRUE,0,IFERROR(IF(FIND(CONT_TEA[[#This Row],[SchoolCode]],_xlfn.XLOOKUP(CONT_TEA[[#This Row],[PayScaleGradeCode]],GRADES[PayScaleGradeCode],GRADES[SchoolCodes]))&gt;=1,0,1),1))</f>
        <v>0</v>
      </c>
      <c r="H48" s="57">
        <f>IF(ISERROR(IF((_xlfn.XLOOKUP(CONT_TEA[[#This Row],[PayScaleGradeCode]],GRADES[PayScaleGradeCode],GRADES[PayScaleCode])=CONT_TEA[[#This Row],[PayScaleCode]]),0,1)),1,0)</f>
        <v>0</v>
      </c>
      <c r="I48" s="57" cm="1">
        <f t="array" ref="I48">IF(ISERROR(FIND(CONT_TEA[[#This Row],[PayScalePointCode]],_xlfn.TEXTJOIN(",",TRUE,IF(PSPOINTS[PayScaleCode]=CONT_TEA[[#This Row],[PayScaleCode]],PSPOINTS[PayScalePointCode])))),1,0)</f>
        <v>0</v>
      </c>
      <c r="J48" s="57" cm="1">
        <f t="array" ref="J4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48" s="57">
        <f>IF(_xlfn.XLOOKUP(CONT_TEA[[#This Row],[PayScalePointCode]],PSPOINTS[PayScalePointCode],PSPOINTS[PayScalePointEnabled])=TRUE,0,1)</f>
        <v>0</v>
      </c>
      <c r="L48" s="57" cm="1">
        <f t="array" ref="L48">IF(_xlfn.XLOOKUP(CONT_TEA[[#This Row],[DepartmentCode]],DEPTS[DepartmentCode],DEPTS[AvailableToAllSchools],1,0,)=TRUE,0,IF(ISERROR(FIND(CONT_TEA[[#This Row],[SchoolCode]],_xlfn.TEXTJOIN(",",TRUE,_xlfn.UNIQUE(IF(DEPTS[DepartmentCode]=CONT_TEA[[#This Row],[DepartmentCode]],DEPTS[SchoolCodes],""))))),1,0))</f>
        <v>0</v>
      </c>
      <c r="M48" s="57">
        <f>IFERROR(IF(_xlfn.XLOOKUP(CONT_TEA[[#This Row],[SRG Gross]],FinanceCodesBudget[FinanceCode],FinanceCodesBudget[LedgerCode])=_xlfn.XLOOKUP(CONT_TEA[[#This Row],[DepartmentCode]],DEPTS[DepartmentCode],DEPTS[LedgerCode]),0,1),1)</f>
        <v>1</v>
      </c>
      <c r="N48" s="57" cm="1">
        <f t="array" ref="N48">IF(_xlfn.XLOOKUP(CONT_TEA[[#This Row],[PensionCode]],PENS[PensionCode],PENS[AvailableToAllSchools],1,0,)=TRUE,0,IF(ISERROR(FIND(CONT_TEA[[#This Row],[SchoolCode]],_xlfn.TEXTJOIN(",",TRUE,_xlfn.UNIQUE(IF(PENS[PensionCode]=CONT_TEA[[#This Row],[PensionCode]],PENS[SchoolCodes],""))))),1,0))</f>
        <v>0</v>
      </c>
      <c r="O48" s="57" cm="1">
        <f t="array" ref="O48">IF(_xlfn.XLOOKUP(CONT_TEA[[#This Row],[EquatedWeekPatternCode]],EQW[EquatedWeekPatternCode],EQW[AvailableToAllSchools],1,0,)=TRUE,0,IF(ISERROR(FIND(CONT_TEA[[#This Row],[SchoolCode]],_xlfn.TEXTJOIN(",",TRUE,_xlfn.UNIQUE(IF(EQW[EquatedWeekPatternCode]=CONT_TEA[[#This Row],[EquatedWeekPatternCode]],EQW[SchoolCodes],""))))),1,0))</f>
        <v>0</v>
      </c>
      <c r="P48" s="57">
        <f>1-COUNTIF(ContractTypes[Code],CONT_TEA[[#This Row],[ContractTypeCode]])</f>
        <v>0</v>
      </c>
      <c r="Q48" s="57">
        <f>IF(VLOOKUP(CONT_TEA[[#This Row],[StaffMemberCode]],MEMBERS[[StaffMemberCode]:[ServiceStartDate]],5,0)&gt;CONT_TEA[[#This Row],[DateFrom]],1,0)</f>
        <v>0</v>
      </c>
      <c r="R48" s="57">
        <f>IF(_xlfn.XLOOKUP(CONT_TEA[[#This Row],[StaffMemberCode]],MEMBERS[StaffMemberCode],MEMBERS[ServiceEndDate])="",0,IF(CONT_TEA[[#This Row],[DateTo]]="",1,IF(_xlfn.XLOOKUP(CONT_TEA[[#This Row],[StaffMemberCode]],MEMBERS[StaffMemberCode],MEMBERS[ServiceEndDate])&lt;CONT_TEA[[#This Row],[DateTo]],1,0)))</f>
        <v>0</v>
      </c>
      <c r="S48" s="57">
        <f>IF(ISBLANK(CONT_TEA[[#This Row],[DateTo]]),0,IF(CONT_TEA[[#This Row],[DateFrom]]=CONT_TEA[[#This Row],[DateTo]],0,IF(CONT_TEA[[#This Row],[DateFrom]]&lt;CONT_TEA[[#This Row],[DateTo]],0,1)))</f>
        <v>0</v>
      </c>
      <c r="T48" s="57" cm="1">
        <f t="array" aca="1" ref="T48" ca="1">IF(CELL("format",CONT_TEA[[#This Row],[DateFrom]])="D1",0,1)+IF(CELL("format",CONT_TEA[[#This Row],[DateTo]])="D1",0,1)</f>
        <v>0</v>
      </c>
      <c r="U48" s="57">
        <f>IF(OR(CONT_TEA[[#This Row],[MatEditOnly]]=TRUE,CONT_TEA[[#This Row],[MatEditOnly]]=FALSE),IF(OR(CONT_TEA[[#This Row],[NoIncrement]]=TRUE,CONT_TEA[[#This Row],[NoIncrement]]=FALSE),0,1),1)</f>
        <v>0</v>
      </c>
      <c r="V48" s="57">
        <f>IF(ISBLANK(CONT_TEA[[#This Row],[FundCode]])=TRUE,0,IF(COUNTIF(FUNDS[FundCode],CONT_TEA[[#This Row],[FundCode]])=1,0,1))</f>
        <v>0</v>
      </c>
      <c r="W48" s="57">
        <f>IF(LEN(CONT_TEA[[#This Row],[Notes]])&lt;4000,0,1)</f>
        <v>0</v>
      </c>
      <c r="X48" s="57">
        <f>IF(SUBSTITUTE(TEXT(CONT_TEA[[#This Row],[Reference]],10)," ","")=TEXT(CONT_TEA[[#This Row],[Reference]],10),0,1)</f>
        <v>0</v>
      </c>
      <c r="Y48" s="57">
        <f ca="1">SUM(CONT_TEA[[#This Row],[Duplicate Contract]:[Space in Code]])</f>
        <v>1</v>
      </c>
      <c r="AA48" s="12" t="s">
        <v>2082</v>
      </c>
      <c r="AB48" s="15">
        <v>91073743</v>
      </c>
      <c r="AC48" s="12" t="s">
        <v>4397</v>
      </c>
      <c r="AD48" s="57" t="str">
        <f>_xlfn.XLOOKUP(CONT_TEA[[#This Row],[StaffMemberCode]],StaffMembers!O:O,StaffMembers!R:R)</f>
        <v>Rebecca Howlett</v>
      </c>
      <c r="AE48" s="12" t="s">
        <v>1178</v>
      </c>
      <c r="AF48" s="57">
        <f>_xlfn.XLOOKUP(CONT_TEA[[#This Row],[SRG]],SRG[StaffRoleGroupCode],SRG[GrossSalaryFinanceCode])</f>
        <v>612100</v>
      </c>
      <c r="AG48" s="57" t="str">
        <f>_xlfn.XLOOKUP(CONT_TEA[[#This Row],[StaffRoleCode]],ROLES[StaffRoleCode],ROLES[StaffRoleGroupCode])</f>
        <v>TEA</v>
      </c>
      <c r="AH48" s="57" t="str">
        <f>_xlfn.XLOOKUP(CONT_TEA[[#This Row],[StaffRoleCode]],ROLES[StaffRoleCode],ROLES[PayScaleCode])</f>
        <v>MAIN</v>
      </c>
      <c r="AI48" s="12" t="s">
        <v>1126</v>
      </c>
      <c r="AJ48" s="12" t="s">
        <v>1745</v>
      </c>
      <c r="AK48" s="12" t="s">
        <v>2499</v>
      </c>
      <c r="AM48" s="68" t="s">
        <v>1147</v>
      </c>
      <c r="AN48" s="13" t="s">
        <v>1702</v>
      </c>
      <c r="AO48" s="21">
        <v>45901</v>
      </c>
      <c r="AQ48" s="12">
        <v>1</v>
      </c>
      <c r="AR48" t="b">
        <v>0</v>
      </c>
      <c r="AS48" t="b">
        <v>0</v>
      </c>
      <c r="AT48" s="12" t="s">
        <v>1574</v>
      </c>
    </row>
    <row r="49" spans="1:46" x14ac:dyDescent="0.3">
      <c r="A49" s="57" t="str">
        <f t="shared" si="1"/>
        <v>ALS9107371791073717ATEASTCH45901</v>
      </c>
      <c r="B49" s="57">
        <f>COUNTIF(CONT_TEA[Unique Contract],CONT_TEA[[#This Row],[Unique Contract]])-1</f>
        <v>0</v>
      </c>
      <c r="C49" s="57">
        <f>IFERROR(IF(FIND(CONT_TEA[[#This Row],[SchoolCode]],_xlfn.XLOOKUP(CONT_TEA[[#This Row],[StaffMemberCode]],MEMBERS[StaffMemberCode],MEMBERS[SchoolCodes]))&gt;0,0,1),1)</f>
        <v>0</v>
      </c>
      <c r="D49" s="57" cm="1">
        <f t="array" ref="D49">IF(_xlfn.XLOOKUP(CONT_TEA[[#This Row],[StaffRoleCode]],ROLES[StaffRoleCode],ROLES[AvailableToAllSchools],1,0,)=TRUE,0,IF(ISERROR(FIND(CONT_TEA[[#This Row],[SchoolCode]],_xlfn.TEXTJOIN(",",TRUE,_xlfn.UNIQUE(IF(ROLES[StaffRoleCode]=CONT_TEA[[#This Row],[StaffRoleCode]],ROLES[SchoolCodes],""))))),1,0))</f>
        <v>0</v>
      </c>
      <c r="E49" s="57" cm="1">
        <f t="array" ref="E4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49" s="57" cm="1">
        <f t="array" ref="F49">IF(_xlfn.XLOOKUP(CONT_TEA[[#This Row],[PayScaleCode]],PAYSCALES[PayScaleCode],PAYSCALES[AvailableToAllSchools],1,0,)=TRUE,0,IF(ISERROR(FIND(CONT_TEA[[#This Row],[SchoolCode]],_xlfn.TEXTJOIN(",",TRUE,_xlfn.UNIQUE(IF(PAYSCALES[PayScaleCode]=CONT_TEA[[#This Row],[PayScaleCode]],PAYSCALES[SchoolCodes],""))))),1,0))</f>
        <v>0</v>
      </c>
      <c r="G49" s="57">
        <f>IF(_xlfn.XLOOKUP(CONT_TEA[[#This Row],[PayScaleGradeCode]],GRADES[PayScaleGradeCode],GRADES[AvailableToAllSchools])=TRUE,0,IFERROR(IF(FIND(CONT_TEA[[#This Row],[SchoolCode]],_xlfn.XLOOKUP(CONT_TEA[[#This Row],[PayScaleGradeCode]],GRADES[PayScaleGradeCode],GRADES[SchoolCodes]))&gt;=1,0,1),1))</f>
        <v>0</v>
      </c>
      <c r="H49" s="57">
        <f>IF(ISERROR(IF((_xlfn.XLOOKUP(CONT_TEA[[#This Row],[PayScaleGradeCode]],GRADES[PayScaleGradeCode],GRADES[PayScaleCode])=CONT_TEA[[#This Row],[PayScaleCode]]),0,1)),1,0)</f>
        <v>0</v>
      </c>
      <c r="I49" s="57" cm="1">
        <f t="array" ref="I49">IF(ISERROR(FIND(CONT_TEA[[#This Row],[PayScalePointCode]],_xlfn.TEXTJOIN(",",TRUE,IF(PSPOINTS[PayScaleCode]=CONT_TEA[[#This Row],[PayScaleCode]],PSPOINTS[PayScalePointCode])))),1,0)</f>
        <v>0</v>
      </c>
      <c r="J49" s="57" cm="1">
        <f t="array" ref="J4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49" s="57">
        <f>IF(_xlfn.XLOOKUP(CONT_TEA[[#This Row],[PayScalePointCode]],PSPOINTS[PayScalePointCode],PSPOINTS[PayScalePointEnabled])=TRUE,0,1)</f>
        <v>0</v>
      </c>
      <c r="L49" s="57" cm="1">
        <f t="array" ref="L49">IF(_xlfn.XLOOKUP(CONT_TEA[[#This Row],[DepartmentCode]],DEPTS[DepartmentCode],DEPTS[AvailableToAllSchools],1,0,)=TRUE,0,IF(ISERROR(FIND(CONT_TEA[[#This Row],[SchoolCode]],_xlfn.TEXTJOIN(",",TRUE,_xlfn.UNIQUE(IF(DEPTS[DepartmentCode]=CONT_TEA[[#This Row],[DepartmentCode]],DEPTS[SchoolCodes],""))))),1,0))</f>
        <v>0</v>
      </c>
      <c r="M49" s="57">
        <f>IFERROR(IF(_xlfn.XLOOKUP(CONT_TEA[[#This Row],[SRG Gross]],FinanceCodesBudget[FinanceCode],FinanceCodesBudget[LedgerCode])=_xlfn.XLOOKUP(CONT_TEA[[#This Row],[DepartmentCode]],DEPTS[DepartmentCode],DEPTS[LedgerCode]),0,1),1)</f>
        <v>1</v>
      </c>
      <c r="N49" s="57" cm="1">
        <f t="array" ref="N49">IF(_xlfn.XLOOKUP(CONT_TEA[[#This Row],[PensionCode]],PENS[PensionCode],PENS[AvailableToAllSchools],1,0,)=TRUE,0,IF(ISERROR(FIND(CONT_TEA[[#This Row],[SchoolCode]],_xlfn.TEXTJOIN(",",TRUE,_xlfn.UNIQUE(IF(PENS[PensionCode]=CONT_TEA[[#This Row],[PensionCode]],PENS[SchoolCodes],""))))),1,0))</f>
        <v>0</v>
      </c>
      <c r="O49" s="57" cm="1">
        <f t="array" ref="O49">IF(_xlfn.XLOOKUP(CONT_TEA[[#This Row],[EquatedWeekPatternCode]],EQW[EquatedWeekPatternCode],EQW[AvailableToAllSchools],1,0,)=TRUE,0,IF(ISERROR(FIND(CONT_TEA[[#This Row],[SchoolCode]],_xlfn.TEXTJOIN(",",TRUE,_xlfn.UNIQUE(IF(EQW[EquatedWeekPatternCode]=CONT_TEA[[#This Row],[EquatedWeekPatternCode]],EQW[SchoolCodes],""))))),1,0))</f>
        <v>0</v>
      </c>
      <c r="P49" s="57">
        <f>1-COUNTIF(ContractTypes[Code],CONT_TEA[[#This Row],[ContractTypeCode]])</f>
        <v>0</v>
      </c>
      <c r="Q49" s="57">
        <f>IF(VLOOKUP(CONT_TEA[[#This Row],[StaffMemberCode]],MEMBERS[[StaffMemberCode]:[ServiceStartDate]],5,0)&gt;CONT_TEA[[#This Row],[DateFrom]],1,0)</f>
        <v>0</v>
      </c>
      <c r="R49" s="57">
        <f>IF(_xlfn.XLOOKUP(CONT_TEA[[#This Row],[StaffMemberCode]],MEMBERS[StaffMemberCode],MEMBERS[ServiceEndDate])="",0,IF(CONT_TEA[[#This Row],[DateTo]]="",1,IF(_xlfn.XLOOKUP(CONT_TEA[[#This Row],[StaffMemberCode]],MEMBERS[StaffMemberCode],MEMBERS[ServiceEndDate])&lt;CONT_TEA[[#This Row],[DateTo]],1,0)))</f>
        <v>0</v>
      </c>
      <c r="S49" s="57">
        <f>IF(ISBLANK(CONT_TEA[[#This Row],[DateTo]]),0,IF(CONT_TEA[[#This Row],[DateFrom]]=CONT_TEA[[#This Row],[DateTo]],0,IF(CONT_TEA[[#This Row],[DateFrom]]&lt;CONT_TEA[[#This Row],[DateTo]],0,1)))</f>
        <v>0</v>
      </c>
      <c r="T49" s="57" cm="1">
        <f t="array" aca="1" ref="T49" ca="1">IF(CELL("format",CONT_TEA[[#This Row],[DateFrom]])="D1",0,1)+IF(CELL("format",CONT_TEA[[#This Row],[DateTo]])="D1",0,1)</f>
        <v>0</v>
      </c>
      <c r="U49" s="57">
        <f>IF(OR(CONT_TEA[[#This Row],[MatEditOnly]]=TRUE,CONT_TEA[[#This Row],[MatEditOnly]]=FALSE),IF(OR(CONT_TEA[[#This Row],[NoIncrement]]=TRUE,CONT_TEA[[#This Row],[NoIncrement]]=FALSE),0,1),1)</f>
        <v>0</v>
      </c>
      <c r="V49" s="57">
        <f>IF(ISBLANK(CONT_TEA[[#This Row],[FundCode]])=TRUE,0,IF(COUNTIF(FUNDS[FundCode],CONT_TEA[[#This Row],[FundCode]])=1,0,1))</f>
        <v>0</v>
      </c>
      <c r="W49" s="57">
        <f>IF(LEN(CONT_TEA[[#This Row],[Notes]])&lt;4000,0,1)</f>
        <v>0</v>
      </c>
      <c r="X49" s="57">
        <f>IF(SUBSTITUTE(TEXT(CONT_TEA[[#This Row],[Reference]],10)," ","")=TEXT(CONT_TEA[[#This Row],[Reference]],10),0,1)</f>
        <v>0</v>
      </c>
      <c r="Y49" s="57">
        <f ca="1">SUM(CONT_TEA[[#This Row],[Duplicate Contract]:[Space in Code]])</f>
        <v>1</v>
      </c>
      <c r="AA49" s="12" t="s">
        <v>2082</v>
      </c>
      <c r="AB49" s="15">
        <v>91073717</v>
      </c>
      <c r="AC49" s="12" t="s">
        <v>4398</v>
      </c>
      <c r="AD49" s="57" t="str">
        <f>_xlfn.XLOOKUP(CONT_TEA[[#This Row],[StaffMemberCode]],StaffMembers!O:O,StaffMembers!R:R)</f>
        <v>Ruth Walker</v>
      </c>
      <c r="AE49" s="12" t="s">
        <v>1178</v>
      </c>
      <c r="AF49" s="57">
        <f>_xlfn.XLOOKUP(CONT_TEA[[#This Row],[SRG]],SRG[StaffRoleGroupCode],SRG[GrossSalaryFinanceCode])</f>
        <v>612100</v>
      </c>
      <c r="AG49" s="57" t="str">
        <f>_xlfn.XLOOKUP(CONT_TEA[[#This Row],[StaffRoleCode]],ROLES[StaffRoleCode],ROLES[StaffRoleGroupCode])</f>
        <v>TEA</v>
      </c>
      <c r="AH49" s="57" t="str">
        <f>_xlfn.XLOOKUP(CONT_TEA[[#This Row],[StaffRoleCode]],ROLES[StaffRoleCode],ROLES[PayScaleCode])</f>
        <v>MAIN</v>
      </c>
      <c r="AI49" s="12" t="s">
        <v>1126</v>
      </c>
      <c r="AJ49" s="12" t="s">
        <v>1745</v>
      </c>
      <c r="AK49" s="12" t="s">
        <v>2499</v>
      </c>
      <c r="AM49" s="68" t="s">
        <v>1147</v>
      </c>
      <c r="AN49" s="13" t="s">
        <v>1702</v>
      </c>
      <c r="AO49" s="21">
        <v>45901</v>
      </c>
      <c r="AQ49" s="12">
        <v>1</v>
      </c>
      <c r="AR49" t="b">
        <v>0</v>
      </c>
      <c r="AS49" t="b">
        <v>0</v>
      </c>
      <c r="AT49" s="12" t="s">
        <v>1574</v>
      </c>
    </row>
    <row r="50" spans="1:46" x14ac:dyDescent="0.3">
      <c r="A50" s="57" t="str">
        <f t="shared" si="1"/>
        <v>ALS9107381191073811ATEASTCH45901</v>
      </c>
      <c r="B50" s="57">
        <f>COUNTIF(CONT_TEA[Unique Contract],CONT_TEA[[#This Row],[Unique Contract]])-1</f>
        <v>0</v>
      </c>
      <c r="C50" s="57">
        <f>IFERROR(IF(FIND(CONT_TEA[[#This Row],[SchoolCode]],_xlfn.XLOOKUP(CONT_TEA[[#This Row],[StaffMemberCode]],MEMBERS[StaffMemberCode],MEMBERS[SchoolCodes]))&gt;0,0,1),1)</f>
        <v>0</v>
      </c>
      <c r="D50" s="57" cm="1">
        <f t="array" ref="D50">IF(_xlfn.XLOOKUP(CONT_TEA[[#This Row],[StaffRoleCode]],ROLES[StaffRoleCode],ROLES[AvailableToAllSchools],1,0,)=TRUE,0,IF(ISERROR(FIND(CONT_TEA[[#This Row],[SchoolCode]],_xlfn.TEXTJOIN(",",TRUE,_xlfn.UNIQUE(IF(ROLES[StaffRoleCode]=CONT_TEA[[#This Row],[StaffRoleCode]],ROLES[SchoolCodes],""))))),1,0))</f>
        <v>0</v>
      </c>
      <c r="E50" s="57" cm="1">
        <f t="array" ref="E5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50" s="57" cm="1">
        <f t="array" ref="F50">IF(_xlfn.XLOOKUP(CONT_TEA[[#This Row],[PayScaleCode]],PAYSCALES[PayScaleCode],PAYSCALES[AvailableToAllSchools],1,0,)=TRUE,0,IF(ISERROR(FIND(CONT_TEA[[#This Row],[SchoolCode]],_xlfn.TEXTJOIN(",",TRUE,_xlfn.UNIQUE(IF(PAYSCALES[PayScaleCode]=CONT_TEA[[#This Row],[PayScaleCode]],PAYSCALES[SchoolCodes],""))))),1,0))</f>
        <v>0</v>
      </c>
      <c r="G50" s="57">
        <f>IF(_xlfn.XLOOKUP(CONT_TEA[[#This Row],[PayScaleGradeCode]],GRADES[PayScaleGradeCode],GRADES[AvailableToAllSchools])=TRUE,0,IFERROR(IF(FIND(CONT_TEA[[#This Row],[SchoolCode]],_xlfn.XLOOKUP(CONT_TEA[[#This Row],[PayScaleGradeCode]],GRADES[PayScaleGradeCode],GRADES[SchoolCodes]))&gt;=1,0,1),1))</f>
        <v>0</v>
      </c>
      <c r="H50" s="57">
        <f>IF(ISERROR(IF((_xlfn.XLOOKUP(CONT_TEA[[#This Row],[PayScaleGradeCode]],GRADES[PayScaleGradeCode],GRADES[PayScaleCode])=CONT_TEA[[#This Row],[PayScaleCode]]),0,1)),1,0)</f>
        <v>0</v>
      </c>
      <c r="I50" s="57" cm="1">
        <f t="array" ref="I50">IF(ISERROR(FIND(CONT_TEA[[#This Row],[PayScalePointCode]],_xlfn.TEXTJOIN(",",TRUE,IF(PSPOINTS[PayScaleCode]=CONT_TEA[[#This Row],[PayScaleCode]],PSPOINTS[PayScalePointCode])))),1,0)</f>
        <v>0</v>
      </c>
      <c r="J50" s="57" cm="1">
        <f t="array" ref="J5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50" s="57">
        <f>IF(_xlfn.XLOOKUP(CONT_TEA[[#This Row],[PayScalePointCode]],PSPOINTS[PayScalePointCode],PSPOINTS[PayScalePointEnabled])=TRUE,0,1)</f>
        <v>0</v>
      </c>
      <c r="L50" s="57" cm="1">
        <f t="array" ref="L50">IF(_xlfn.XLOOKUP(CONT_TEA[[#This Row],[DepartmentCode]],DEPTS[DepartmentCode],DEPTS[AvailableToAllSchools],1,0,)=TRUE,0,IF(ISERROR(FIND(CONT_TEA[[#This Row],[SchoolCode]],_xlfn.TEXTJOIN(",",TRUE,_xlfn.UNIQUE(IF(DEPTS[DepartmentCode]=CONT_TEA[[#This Row],[DepartmentCode]],DEPTS[SchoolCodes],""))))),1,0))</f>
        <v>0</v>
      </c>
      <c r="M50" s="57">
        <f>IFERROR(IF(_xlfn.XLOOKUP(CONT_TEA[[#This Row],[SRG Gross]],FinanceCodesBudget[FinanceCode],FinanceCodesBudget[LedgerCode])=_xlfn.XLOOKUP(CONT_TEA[[#This Row],[DepartmentCode]],DEPTS[DepartmentCode],DEPTS[LedgerCode]),0,1),1)</f>
        <v>1</v>
      </c>
      <c r="N50" s="57" cm="1">
        <f t="array" ref="N50">IF(_xlfn.XLOOKUP(CONT_TEA[[#This Row],[PensionCode]],PENS[PensionCode],PENS[AvailableToAllSchools],1,0,)=TRUE,0,IF(ISERROR(FIND(CONT_TEA[[#This Row],[SchoolCode]],_xlfn.TEXTJOIN(",",TRUE,_xlfn.UNIQUE(IF(PENS[PensionCode]=CONT_TEA[[#This Row],[PensionCode]],PENS[SchoolCodes],""))))),1,0))</f>
        <v>0</v>
      </c>
      <c r="O50" s="57" cm="1">
        <f t="array" ref="O50">IF(_xlfn.XLOOKUP(CONT_TEA[[#This Row],[EquatedWeekPatternCode]],EQW[EquatedWeekPatternCode],EQW[AvailableToAllSchools],1,0,)=TRUE,0,IF(ISERROR(FIND(CONT_TEA[[#This Row],[SchoolCode]],_xlfn.TEXTJOIN(",",TRUE,_xlfn.UNIQUE(IF(EQW[EquatedWeekPatternCode]=CONT_TEA[[#This Row],[EquatedWeekPatternCode]],EQW[SchoolCodes],""))))),1,0))</f>
        <v>0</v>
      </c>
      <c r="P50" s="57">
        <f>1-COUNTIF(ContractTypes[Code],CONT_TEA[[#This Row],[ContractTypeCode]])</f>
        <v>0</v>
      </c>
      <c r="Q50" s="57">
        <f>IF(VLOOKUP(CONT_TEA[[#This Row],[StaffMemberCode]],MEMBERS[[StaffMemberCode]:[ServiceStartDate]],5,0)&gt;CONT_TEA[[#This Row],[DateFrom]],1,0)</f>
        <v>0</v>
      </c>
      <c r="R50" s="57">
        <f>IF(_xlfn.XLOOKUP(CONT_TEA[[#This Row],[StaffMemberCode]],MEMBERS[StaffMemberCode],MEMBERS[ServiceEndDate])="",0,IF(CONT_TEA[[#This Row],[DateTo]]="",1,IF(_xlfn.XLOOKUP(CONT_TEA[[#This Row],[StaffMemberCode]],MEMBERS[StaffMemberCode],MEMBERS[ServiceEndDate])&lt;CONT_TEA[[#This Row],[DateTo]],1,0)))</f>
        <v>0</v>
      </c>
      <c r="S50" s="57">
        <f>IF(ISBLANK(CONT_TEA[[#This Row],[DateTo]]),0,IF(CONT_TEA[[#This Row],[DateFrom]]=CONT_TEA[[#This Row],[DateTo]],0,IF(CONT_TEA[[#This Row],[DateFrom]]&lt;CONT_TEA[[#This Row],[DateTo]],0,1)))</f>
        <v>0</v>
      </c>
      <c r="T50" s="57" cm="1">
        <f t="array" aca="1" ref="T50" ca="1">IF(CELL("format",CONT_TEA[[#This Row],[DateFrom]])="D1",0,1)+IF(CELL("format",CONT_TEA[[#This Row],[DateTo]])="D1",0,1)</f>
        <v>0</v>
      </c>
      <c r="U50" s="57">
        <f>IF(OR(CONT_TEA[[#This Row],[MatEditOnly]]=TRUE,CONT_TEA[[#This Row],[MatEditOnly]]=FALSE),IF(OR(CONT_TEA[[#This Row],[NoIncrement]]=TRUE,CONT_TEA[[#This Row],[NoIncrement]]=FALSE),0,1),1)</f>
        <v>0</v>
      </c>
      <c r="V50" s="57">
        <f>IF(ISBLANK(CONT_TEA[[#This Row],[FundCode]])=TRUE,0,IF(COUNTIF(FUNDS[FundCode],CONT_TEA[[#This Row],[FundCode]])=1,0,1))</f>
        <v>0</v>
      </c>
      <c r="W50" s="57">
        <f>IF(LEN(CONT_TEA[[#This Row],[Notes]])&lt;4000,0,1)</f>
        <v>0</v>
      </c>
      <c r="X50" s="57">
        <f>IF(SUBSTITUTE(TEXT(CONT_TEA[[#This Row],[Reference]],10)," ","")=TEXT(CONT_TEA[[#This Row],[Reference]],10),0,1)</f>
        <v>0</v>
      </c>
      <c r="Y50" s="57">
        <f ca="1">SUM(CONT_TEA[[#This Row],[Duplicate Contract]:[Space in Code]])</f>
        <v>1</v>
      </c>
      <c r="AA50" s="12" t="s">
        <v>2082</v>
      </c>
      <c r="AB50" s="15">
        <v>91073811</v>
      </c>
      <c r="AC50" s="12" t="s">
        <v>4399</v>
      </c>
      <c r="AD50" s="57" t="str">
        <f>_xlfn.XLOOKUP(CONT_TEA[[#This Row],[StaffMemberCode]],StaffMembers!O:O,StaffMembers!R:R)</f>
        <v>Elaine Tatham</v>
      </c>
      <c r="AE50" s="12" t="s">
        <v>1178</v>
      </c>
      <c r="AF50" s="57">
        <f>_xlfn.XLOOKUP(CONT_TEA[[#This Row],[SRG]],SRG[StaffRoleGroupCode],SRG[GrossSalaryFinanceCode])</f>
        <v>612100</v>
      </c>
      <c r="AG50" s="57" t="str">
        <f>_xlfn.XLOOKUP(CONT_TEA[[#This Row],[StaffRoleCode]],ROLES[StaffRoleCode],ROLES[StaffRoleGroupCode])</f>
        <v>TEA</v>
      </c>
      <c r="AH50" s="57" t="str">
        <f>_xlfn.XLOOKUP(CONT_TEA[[#This Row],[StaffRoleCode]],ROLES[StaffRoleCode],ROLES[PayScaleCode])</f>
        <v>MAIN</v>
      </c>
      <c r="AI50" s="12" t="s">
        <v>1126</v>
      </c>
      <c r="AJ50" s="12" t="s">
        <v>1745</v>
      </c>
      <c r="AK50" s="12" t="s">
        <v>2499</v>
      </c>
      <c r="AM50" s="68" t="s">
        <v>1147</v>
      </c>
      <c r="AN50" s="13" t="s">
        <v>1702</v>
      </c>
      <c r="AO50" s="21">
        <v>45901</v>
      </c>
      <c r="AQ50" s="12">
        <v>1</v>
      </c>
      <c r="AR50" t="b">
        <v>0</v>
      </c>
      <c r="AS50" t="b">
        <v>0</v>
      </c>
      <c r="AT50" s="12" t="s">
        <v>1574</v>
      </c>
    </row>
    <row r="51" spans="1:46" x14ac:dyDescent="0.3">
      <c r="A51" s="57" t="str">
        <f t="shared" si="1"/>
        <v>ALS9107371391073713ATEASTCH45901</v>
      </c>
      <c r="B51" s="57">
        <f>COUNTIF(CONT_TEA[Unique Contract],CONT_TEA[[#This Row],[Unique Contract]])-1</f>
        <v>0</v>
      </c>
      <c r="C51" s="57">
        <f>IFERROR(IF(FIND(CONT_TEA[[#This Row],[SchoolCode]],_xlfn.XLOOKUP(CONT_TEA[[#This Row],[StaffMemberCode]],MEMBERS[StaffMemberCode],MEMBERS[SchoolCodes]))&gt;0,0,1),1)</f>
        <v>0</v>
      </c>
      <c r="D51" s="57" cm="1">
        <f t="array" ref="D51">IF(_xlfn.XLOOKUP(CONT_TEA[[#This Row],[StaffRoleCode]],ROLES[StaffRoleCode],ROLES[AvailableToAllSchools],1,0,)=TRUE,0,IF(ISERROR(FIND(CONT_TEA[[#This Row],[SchoolCode]],_xlfn.TEXTJOIN(",",TRUE,_xlfn.UNIQUE(IF(ROLES[StaffRoleCode]=CONT_TEA[[#This Row],[StaffRoleCode]],ROLES[SchoolCodes],""))))),1,0))</f>
        <v>0</v>
      </c>
      <c r="E51" s="57" cm="1">
        <f t="array" ref="E5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51" s="57" cm="1">
        <f t="array" ref="F51">IF(_xlfn.XLOOKUP(CONT_TEA[[#This Row],[PayScaleCode]],PAYSCALES[PayScaleCode],PAYSCALES[AvailableToAllSchools],1,0,)=TRUE,0,IF(ISERROR(FIND(CONT_TEA[[#This Row],[SchoolCode]],_xlfn.TEXTJOIN(",",TRUE,_xlfn.UNIQUE(IF(PAYSCALES[PayScaleCode]=CONT_TEA[[#This Row],[PayScaleCode]],PAYSCALES[SchoolCodes],""))))),1,0))</f>
        <v>0</v>
      </c>
      <c r="G51" s="57">
        <f>IF(_xlfn.XLOOKUP(CONT_TEA[[#This Row],[PayScaleGradeCode]],GRADES[PayScaleGradeCode],GRADES[AvailableToAllSchools])=TRUE,0,IFERROR(IF(FIND(CONT_TEA[[#This Row],[SchoolCode]],_xlfn.XLOOKUP(CONT_TEA[[#This Row],[PayScaleGradeCode]],GRADES[PayScaleGradeCode],GRADES[SchoolCodes]))&gt;=1,0,1),1))</f>
        <v>0</v>
      </c>
      <c r="H51" s="57">
        <f>IF(ISERROR(IF((_xlfn.XLOOKUP(CONT_TEA[[#This Row],[PayScaleGradeCode]],GRADES[PayScaleGradeCode],GRADES[PayScaleCode])=CONT_TEA[[#This Row],[PayScaleCode]]),0,1)),1,0)</f>
        <v>0</v>
      </c>
      <c r="I51" s="57" cm="1">
        <f t="array" ref="I51">IF(ISERROR(FIND(CONT_TEA[[#This Row],[PayScalePointCode]],_xlfn.TEXTJOIN(",",TRUE,IF(PSPOINTS[PayScaleCode]=CONT_TEA[[#This Row],[PayScaleCode]],PSPOINTS[PayScalePointCode])))),1,0)</f>
        <v>0</v>
      </c>
      <c r="J51" s="57" cm="1">
        <f t="array" ref="J5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51" s="57">
        <f>IF(_xlfn.XLOOKUP(CONT_TEA[[#This Row],[PayScalePointCode]],PSPOINTS[PayScalePointCode],PSPOINTS[PayScalePointEnabled])=TRUE,0,1)</f>
        <v>0</v>
      </c>
      <c r="L51" s="57" cm="1">
        <f t="array" ref="L51">IF(_xlfn.XLOOKUP(CONT_TEA[[#This Row],[DepartmentCode]],DEPTS[DepartmentCode],DEPTS[AvailableToAllSchools],1,0,)=TRUE,0,IF(ISERROR(FIND(CONT_TEA[[#This Row],[SchoolCode]],_xlfn.TEXTJOIN(",",TRUE,_xlfn.UNIQUE(IF(DEPTS[DepartmentCode]=CONT_TEA[[#This Row],[DepartmentCode]],DEPTS[SchoolCodes],""))))),1,0))</f>
        <v>0</v>
      </c>
      <c r="M51" s="57">
        <f>IFERROR(IF(_xlfn.XLOOKUP(CONT_TEA[[#This Row],[SRG Gross]],FinanceCodesBudget[FinanceCode],FinanceCodesBudget[LedgerCode])=_xlfn.XLOOKUP(CONT_TEA[[#This Row],[DepartmentCode]],DEPTS[DepartmentCode],DEPTS[LedgerCode]),0,1),1)</f>
        <v>1</v>
      </c>
      <c r="N51" s="57" cm="1">
        <f t="array" ref="N51">IF(_xlfn.XLOOKUP(CONT_TEA[[#This Row],[PensionCode]],PENS[PensionCode],PENS[AvailableToAllSchools],1,0,)=TRUE,0,IF(ISERROR(FIND(CONT_TEA[[#This Row],[SchoolCode]],_xlfn.TEXTJOIN(",",TRUE,_xlfn.UNIQUE(IF(PENS[PensionCode]=CONT_TEA[[#This Row],[PensionCode]],PENS[SchoolCodes],""))))),1,0))</f>
        <v>0</v>
      </c>
      <c r="O51" s="57" cm="1">
        <f t="array" ref="O51">IF(_xlfn.XLOOKUP(CONT_TEA[[#This Row],[EquatedWeekPatternCode]],EQW[EquatedWeekPatternCode],EQW[AvailableToAllSchools],1,0,)=TRUE,0,IF(ISERROR(FIND(CONT_TEA[[#This Row],[SchoolCode]],_xlfn.TEXTJOIN(",",TRUE,_xlfn.UNIQUE(IF(EQW[EquatedWeekPatternCode]=CONT_TEA[[#This Row],[EquatedWeekPatternCode]],EQW[SchoolCodes],""))))),1,0))</f>
        <v>0</v>
      </c>
      <c r="P51" s="57">
        <f>1-COUNTIF(ContractTypes[Code],CONT_TEA[[#This Row],[ContractTypeCode]])</f>
        <v>0</v>
      </c>
      <c r="Q51" s="57">
        <f>IF(VLOOKUP(CONT_TEA[[#This Row],[StaffMemberCode]],MEMBERS[[StaffMemberCode]:[ServiceStartDate]],5,0)&gt;CONT_TEA[[#This Row],[DateFrom]],1,0)</f>
        <v>0</v>
      </c>
      <c r="R51" s="57">
        <f>IF(_xlfn.XLOOKUP(CONT_TEA[[#This Row],[StaffMemberCode]],MEMBERS[StaffMemberCode],MEMBERS[ServiceEndDate])="",0,IF(CONT_TEA[[#This Row],[DateTo]]="",1,IF(_xlfn.XLOOKUP(CONT_TEA[[#This Row],[StaffMemberCode]],MEMBERS[StaffMemberCode],MEMBERS[ServiceEndDate])&lt;CONT_TEA[[#This Row],[DateTo]],1,0)))</f>
        <v>0</v>
      </c>
      <c r="S51" s="57">
        <f>IF(ISBLANK(CONT_TEA[[#This Row],[DateTo]]),0,IF(CONT_TEA[[#This Row],[DateFrom]]=CONT_TEA[[#This Row],[DateTo]],0,IF(CONT_TEA[[#This Row],[DateFrom]]&lt;CONT_TEA[[#This Row],[DateTo]],0,1)))</f>
        <v>0</v>
      </c>
      <c r="T51" s="57" cm="1">
        <f t="array" aca="1" ref="T51" ca="1">IF(CELL("format",CONT_TEA[[#This Row],[DateFrom]])="D1",0,1)+IF(CELL("format",CONT_TEA[[#This Row],[DateTo]])="D1",0,1)</f>
        <v>0</v>
      </c>
      <c r="U51" s="57">
        <f>IF(OR(CONT_TEA[[#This Row],[MatEditOnly]]=TRUE,CONT_TEA[[#This Row],[MatEditOnly]]=FALSE),IF(OR(CONT_TEA[[#This Row],[NoIncrement]]=TRUE,CONT_TEA[[#This Row],[NoIncrement]]=FALSE),0,1),1)</f>
        <v>0</v>
      </c>
      <c r="V51" s="57">
        <f>IF(ISBLANK(CONT_TEA[[#This Row],[FundCode]])=TRUE,0,IF(COUNTIF(FUNDS[FundCode],CONT_TEA[[#This Row],[FundCode]])=1,0,1))</f>
        <v>0</v>
      </c>
      <c r="W51" s="57">
        <f>IF(LEN(CONT_TEA[[#This Row],[Notes]])&lt;4000,0,1)</f>
        <v>0</v>
      </c>
      <c r="X51" s="57">
        <f>IF(SUBSTITUTE(TEXT(CONT_TEA[[#This Row],[Reference]],10)," ","")=TEXT(CONT_TEA[[#This Row],[Reference]],10),0,1)</f>
        <v>0</v>
      </c>
      <c r="Y51" s="57">
        <f ca="1">SUM(CONT_TEA[[#This Row],[Duplicate Contract]:[Space in Code]])</f>
        <v>1</v>
      </c>
      <c r="AA51" s="12" t="s">
        <v>2082</v>
      </c>
      <c r="AB51" s="15">
        <v>91073713</v>
      </c>
      <c r="AC51" s="12" t="s">
        <v>4400</v>
      </c>
      <c r="AD51" s="57" t="str">
        <f>_xlfn.XLOOKUP(CONT_TEA[[#This Row],[StaffMemberCode]],StaffMembers!O:O,StaffMembers!R:R)</f>
        <v>Nadine Darley</v>
      </c>
      <c r="AE51" s="12" t="s">
        <v>1178</v>
      </c>
      <c r="AF51" s="57">
        <f>_xlfn.XLOOKUP(CONT_TEA[[#This Row],[SRG]],SRG[StaffRoleGroupCode],SRG[GrossSalaryFinanceCode])</f>
        <v>612100</v>
      </c>
      <c r="AG51" s="57" t="str">
        <f>_xlfn.XLOOKUP(CONT_TEA[[#This Row],[StaffRoleCode]],ROLES[StaffRoleCode],ROLES[StaffRoleGroupCode])</f>
        <v>TEA</v>
      </c>
      <c r="AH51" s="57" t="str">
        <f>_xlfn.XLOOKUP(CONT_TEA[[#This Row],[StaffRoleCode]],ROLES[StaffRoleCode],ROLES[PayScaleCode])</f>
        <v>MAIN</v>
      </c>
      <c r="AI51" s="12" t="s">
        <v>1126</v>
      </c>
      <c r="AJ51" s="12" t="s">
        <v>1745</v>
      </c>
      <c r="AK51" s="12" t="s">
        <v>2499</v>
      </c>
      <c r="AM51" s="68" t="s">
        <v>1147</v>
      </c>
      <c r="AN51" s="13" t="s">
        <v>1702</v>
      </c>
      <c r="AO51" s="21">
        <v>45901</v>
      </c>
      <c r="AQ51" s="12">
        <v>1</v>
      </c>
      <c r="AR51" t="b">
        <v>0</v>
      </c>
      <c r="AS51" t="b">
        <v>0</v>
      </c>
      <c r="AT51" s="12" t="s">
        <v>1574</v>
      </c>
    </row>
    <row r="52" spans="1:46" x14ac:dyDescent="0.3">
      <c r="A52" s="57" t="str">
        <f t="shared" si="1"/>
        <v>BLS9107357591073575ATEASTCH45901</v>
      </c>
      <c r="B52" s="57">
        <f>COUNTIF(CONT_TEA[Unique Contract],CONT_TEA[[#This Row],[Unique Contract]])-1</f>
        <v>0</v>
      </c>
      <c r="C52" s="57">
        <f>IFERROR(IF(FIND(CONT_TEA[[#This Row],[SchoolCode]],_xlfn.XLOOKUP(CONT_TEA[[#This Row],[StaffMemberCode]],MEMBERS[StaffMemberCode],MEMBERS[SchoolCodes]))&gt;0,0,1),1)</f>
        <v>0</v>
      </c>
      <c r="D52" s="57" cm="1">
        <f t="array" ref="D52">IF(_xlfn.XLOOKUP(CONT_TEA[[#This Row],[StaffRoleCode]],ROLES[StaffRoleCode],ROLES[AvailableToAllSchools],1,0,)=TRUE,0,IF(ISERROR(FIND(CONT_TEA[[#This Row],[SchoolCode]],_xlfn.TEXTJOIN(",",TRUE,_xlfn.UNIQUE(IF(ROLES[StaffRoleCode]=CONT_TEA[[#This Row],[StaffRoleCode]],ROLES[SchoolCodes],""))))),1,0))</f>
        <v>0</v>
      </c>
      <c r="E52" s="57" cm="1">
        <f t="array" ref="E5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52" s="57" cm="1">
        <f t="array" ref="F52">IF(_xlfn.XLOOKUP(CONT_TEA[[#This Row],[PayScaleCode]],PAYSCALES[PayScaleCode],PAYSCALES[AvailableToAllSchools],1,0,)=TRUE,0,IF(ISERROR(FIND(CONT_TEA[[#This Row],[SchoolCode]],_xlfn.TEXTJOIN(",",TRUE,_xlfn.UNIQUE(IF(PAYSCALES[PayScaleCode]=CONT_TEA[[#This Row],[PayScaleCode]],PAYSCALES[SchoolCodes],""))))),1,0))</f>
        <v>0</v>
      </c>
      <c r="G52" s="57">
        <f>IF(_xlfn.XLOOKUP(CONT_TEA[[#This Row],[PayScaleGradeCode]],GRADES[PayScaleGradeCode],GRADES[AvailableToAllSchools])=TRUE,0,IFERROR(IF(FIND(CONT_TEA[[#This Row],[SchoolCode]],_xlfn.XLOOKUP(CONT_TEA[[#This Row],[PayScaleGradeCode]],GRADES[PayScaleGradeCode],GRADES[SchoolCodes]))&gt;=1,0,1),1))</f>
        <v>0</v>
      </c>
      <c r="H52" s="57">
        <f>IF(ISERROR(IF((_xlfn.XLOOKUP(CONT_TEA[[#This Row],[PayScaleGradeCode]],GRADES[PayScaleGradeCode],GRADES[PayScaleCode])=CONT_TEA[[#This Row],[PayScaleCode]]),0,1)),1,0)</f>
        <v>0</v>
      </c>
      <c r="I52" s="57" cm="1">
        <f t="array" ref="I52">IF(ISERROR(FIND(CONT_TEA[[#This Row],[PayScalePointCode]],_xlfn.TEXTJOIN(",",TRUE,IF(PSPOINTS[PayScaleCode]=CONT_TEA[[#This Row],[PayScaleCode]],PSPOINTS[PayScalePointCode])))),1,0)</f>
        <v>0</v>
      </c>
      <c r="J52" s="57" cm="1">
        <f t="array" ref="J5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52" s="57">
        <f>IF(_xlfn.XLOOKUP(CONT_TEA[[#This Row],[PayScalePointCode]],PSPOINTS[PayScalePointCode],PSPOINTS[PayScalePointEnabled])=TRUE,0,1)</f>
        <v>0</v>
      </c>
      <c r="L52" s="57" cm="1">
        <f t="array" ref="L52">IF(_xlfn.XLOOKUP(CONT_TEA[[#This Row],[DepartmentCode]],DEPTS[DepartmentCode],DEPTS[AvailableToAllSchools],1,0,)=TRUE,0,IF(ISERROR(FIND(CONT_TEA[[#This Row],[SchoolCode]],_xlfn.TEXTJOIN(",",TRUE,_xlfn.UNIQUE(IF(DEPTS[DepartmentCode]=CONT_TEA[[#This Row],[DepartmentCode]],DEPTS[SchoolCodes],""))))),1,0))</f>
        <v>0</v>
      </c>
      <c r="M52" s="57">
        <f>IFERROR(IF(_xlfn.XLOOKUP(CONT_TEA[[#This Row],[SRG Gross]],FinanceCodesBudget[FinanceCode],FinanceCodesBudget[LedgerCode])=_xlfn.XLOOKUP(CONT_TEA[[#This Row],[DepartmentCode]],DEPTS[DepartmentCode],DEPTS[LedgerCode]),0,1),1)</f>
        <v>1</v>
      </c>
      <c r="N52" s="57" cm="1">
        <f t="array" ref="N52">IF(_xlfn.XLOOKUP(CONT_TEA[[#This Row],[PensionCode]],PENS[PensionCode],PENS[AvailableToAllSchools],1,0,)=TRUE,0,IF(ISERROR(FIND(CONT_TEA[[#This Row],[SchoolCode]],_xlfn.TEXTJOIN(",",TRUE,_xlfn.UNIQUE(IF(PENS[PensionCode]=CONT_TEA[[#This Row],[PensionCode]],PENS[SchoolCodes],""))))),1,0))</f>
        <v>0</v>
      </c>
      <c r="O52" s="57" cm="1">
        <f t="array" ref="O52">IF(_xlfn.XLOOKUP(CONT_TEA[[#This Row],[EquatedWeekPatternCode]],EQW[EquatedWeekPatternCode],EQW[AvailableToAllSchools],1,0,)=TRUE,0,IF(ISERROR(FIND(CONT_TEA[[#This Row],[SchoolCode]],_xlfn.TEXTJOIN(",",TRUE,_xlfn.UNIQUE(IF(EQW[EquatedWeekPatternCode]=CONT_TEA[[#This Row],[EquatedWeekPatternCode]],EQW[SchoolCodes],""))))),1,0))</f>
        <v>0</v>
      </c>
      <c r="P52" s="57">
        <f>1-COUNTIF(ContractTypes[Code],CONT_TEA[[#This Row],[ContractTypeCode]])</f>
        <v>0</v>
      </c>
      <c r="Q52" s="57">
        <f>IF(VLOOKUP(CONT_TEA[[#This Row],[StaffMemberCode]],MEMBERS[[StaffMemberCode]:[ServiceStartDate]],5,0)&gt;CONT_TEA[[#This Row],[DateFrom]],1,0)</f>
        <v>0</v>
      </c>
      <c r="R52" s="57">
        <f>IF(_xlfn.XLOOKUP(CONT_TEA[[#This Row],[StaffMemberCode]],MEMBERS[StaffMemberCode],MEMBERS[ServiceEndDate])="",0,IF(CONT_TEA[[#This Row],[DateTo]]="",1,IF(_xlfn.XLOOKUP(CONT_TEA[[#This Row],[StaffMemberCode]],MEMBERS[StaffMemberCode],MEMBERS[ServiceEndDate])&lt;CONT_TEA[[#This Row],[DateTo]],1,0)))</f>
        <v>0</v>
      </c>
      <c r="S52" s="57">
        <f>IF(ISBLANK(CONT_TEA[[#This Row],[DateTo]]),0,IF(CONT_TEA[[#This Row],[DateFrom]]=CONT_TEA[[#This Row],[DateTo]],0,IF(CONT_TEA[[#This Row],[DateFrom]]&lt;CONT_TEA[[#This Row],[DateTo]],0,1)))</f>
        <v>0</v>
      </c>
      <c r="T52" s="57" cm="1">
        <f t="array" aca="1" ref="T52" ca="1">IF(CELL("format",CONT_TEA[[#This Row],[DateFrom]])="D1",0,1)+IF(CELL("format",CONT_TEA[[#This Row],[DateTo]])="D1",0,1)</f>
        <v>0</v>
      </c>
      <c r="U52" s="57">
        <f>IF(OR(CONT_TEA[[#This Row],[MatEditOnly]]=TRUE,CONT_TEA[[#This Row],[MatEditOnly]]=FALSE),IF(OR(CONT_TEA[[#This Row],[NoIncrement]]=TRUE,CONT_TEA[[#This Row],[NoIncrement]]=FALSE),0,1),1)</f>
        <v>0</v>
      </c>
      <c r="V52" s="57">
        <f>IF(ISBLANK(CONT_TEA[[#This Row],[FundCode]])=TRUE,0,IF(COUNTIF(FUNDS[FundCode],CONT_TEA[[#This Row],[FundCode]])=1,0,1))</f>
        <v>0</v>
      </c>
      <c r="W52" s="57">
        <f>IF(LEN(CONT_TEA[[#This Row],[Notes]])&lt;4000,0,1)</f>
        <v>0</v>
      </c>
      <c r="X52" s="57">
        <f>IF(SUBSTITUTE(TEXT(CONT_TEA[[#This Row],[Reference]],10)," ","")=TEXT(CONT_TEA[[#This Row],[Reference]],10),0,1)</f>
        <v>0</v>
      </c>
      <c r="Y52" s="57">
        <f ca="1">SUM(CONT_TEA[[#This Row],[Duplicate Contract]:[Space in Code]])</f>
        <v>1</v>
      </c>
      <c r="AA52" s="12" t="s">
        <v>2094</v>
      </c>
      <c r="AB52" s="15">
        <v>91073575</v>
      </c>
      <c r="AC52" s="12" t="s">
        <v>4401</v>
      </c>
      <c r="AD52" s="57" t="str">
        <f>_xlfn.XLOOKUP(CONT_TEA[[#This Row],[StaffMemberCode]],StaffMembers!O:O,StaffMembers!R:R)</f>
        <v>Sonia Pollard</v>
      </c>
      <c r="AE52" s="12" t="s">
        <v>1178</v>
      </c>
      <c r="AF52" s="57">
        <f>_xlfn.XLOOKUP(CONT_TEA[[#This Row],[SRG]],SRG[StaffRoleGroupCode],SRG[GrossSalaryFinanceCode])</f>
        <v>612100</v>
      </c>
      <c r="AG52" s="57" t="str">
        <f>_xlfn.XLOOKUP(CONT_TEA[[#This Row],[StaffRoleCode]],ROLES[StaffRoleCode],ROLES[StaffRoleGroupCode])</f>
        <v>TEA</v>
      </c>
      <c r="AH52" s="57" t="str">
        <f>_xlfn.XLOOKUP(CONT_TEA[[#This Row],[StaffRoleCode]],ROLES[StaffRoleCode],ROLES[PayScaleCode])</f>
        <v>MAIN</v>
      </c>
      <c r="AI52" s="12" t="s">
        <v>1126</v>
      </c>
      <c r="AJ52" s="12" t="s">
        <v>1745</v>
      </c>
      <c r="AK52" s="12" t="s">
        <v>2499</v>
      </c>
      <c r="AM52" s="68" t="s">
        <v>1147</v>
      </c>
      <c r="AN52" s="13" t="s">
        <v>1702</v>
      </c>
      <c r="AO52" s="21">
        <v>45901</v>
      </c>
      <c r="AQ52" s="12">
        <v>1</v>
      </c>
      <c r="AR52" t="b">
        <v>0</v>
      </c>
      <c r="AS52" t="b">
        <v>0</v>
      </c>
      <c r="AT52" s="12" t="s">
        <v>1574</v>
      </c>
    </row>
    <row r="53" spans="1:46" x14ac:dyDescent="0.3">
      <c r="A53" s="57" t="str">
        <f t="shared" si="1"/>
        <v>BLS9107352491073524ATEASTCH45901</v>
      </c>
      <c r="B53" s="57">
        <f>COUNTIF(CONT_TEA[Unique Contract],CONT_TEA[[#This Row],[Unique Contract]])-1</f>
        <v>0</v>
      </c>
      <c r="C53" s="57">
        <f>IFERROR(IF(FIND(CONT_TEA[[#This Row],[SchoolCode]],_xlfn.XLOOKUP(CONT_TEA[[#This Row],[StaffMemberCode]],MEMBERS[StaffMemberCode],MEMBERS[SchoolCodes]))&gt;0,0,1),1)</f>
        <v>0</v>
      </c>
      <c r="D53" s="57" cm="1">
        <f t="array" ref="D53">IF(_xlfn.XLOOKUP(CONT_TEA[[#This Row],[StaffRoleCode]],ROLES[StaffRoleCode],ROLES[AvailableToAllSchools],1,0,)=TRUE,0,IF(ISERROR(FIND(CONT_TEA[[#This Row],[SchoolCode]],_xlfn.TEXTJOIN(",",TRUE,_xlfn.UNIQUE(IF(ROLES[StaffRoleCode]=CONT_TEA[[#This Row],[StaffRoleCode]],ROLES[SchoolCodes],""))))),1,0))</f>
        <v>0</v>
      </c>
      <c r="E53" s="57" cm="1">
        <f t="array" ref="E5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53" s="57" cm="1">
        <f t="array" ref="F53">IF(_xlfn.XLOOKUP(CONT_TEA[[#This Row],[PayScaleCode]],PAYSCALES[PayScaleCode],PAYSCALES[AvailableToAllSchools],1,0,)=TRUE,0,IF(ISERROR(FIND(CONT_TEA[[#This Row],[SchoolCode]],_xlfn.TEXTJOIN(",",TRUE,_xlfn.UNIQUE(IF(PAYSCALES[PayScaleCode]=CONT_TEA[[#This Row],[PayScaleCode]],PAYSCALES[SchoolCodes],""))))),1,0))</f>
        <v>0</v>
      </c>
      <c r="G53" s="57">
        <f>IF(_xlfn.XLOOKUP(CONT_TEA[[#This Row],[PayScaleGradeCode]],GRADES[PayScaleGradeCode],GRADES[AvailableToAllSchools])=TRUE,0,IFERROR(IF(FIND(CONT_TEA[[#This Row],[SchoolCode]],_xlfn.XLOOKUP(CONT_TEA[[#This Row],[PayScaleGradeCode]],GRADES[PayScaleGradeCode],GRADES[SchoolCodes]))&gt;=1,0,1),1))</f>
        <v>0</v>
      </c>
      <c r="H53" s="57">
        <f>IF(ISERROR(IF((_xlfn.XLOOKUP(CONT_TEA[[#This Row],[PayScaleGradeCode]],GRADES[PayScaleGradeCode],GRADES[PayScaleCode])=CONT_TEA[[#This Row],[PayScaleCode]]),0,1)),1,0)</f>
        <v>0</v>
      </c>
      <c r="I53" s="57" cm="1">
        <f t="array" ref="I53">IF(ISERROR(FIND(CONT_TEA[[#This Row],[PayScalePointCode]],_xlfn.TEXTJOIN(",",TRUE,IF(PSPOINTS[PayScaleCode]=CONT_TEA[[#This Row],[PayScaleCode]],PSPOINTS[PayScalePointCode])))),1,0)</f>
        <v>0</v>
      </c>
      <c r="J53" s="57" cm="1">
        <f t="array" ref="J5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53" s="57">
        <f>IF(_xlfn.XLOOKUP(CONT_TEA[[#This Row],[PayScalePointCode]],PSPOINTS[PayScalePointCode],PSPOINTS[PayScalePointEnabled])=TRUE,0,1)</f>
        <v>0</v>
      </c>
      <c r="L53" s="57" cm="1">
        <f t="array" ref="L53">IF(_xlfn.XLOOKUP(CONT_TEA[[#This Row],[DepartmentCode]],DEPTS[DepartmentCode],DEPTS[AvailableToAllSchools],1,0,)=TRUE,0,IF(ISERROR(FIND(CONT_TEA[[#This Row],[SchoolCode]],_xlfn.TEXTJOIN(",",TRUE,_xlfn.UNIQUE(IF(DEPTS[DepartmentCode]=CONT_TEA[[#This Row],[DepartmentCode]],DEPTS[SchoolCodes],""))))),1,0))</f>
        <v>0</v>
      </c>
      <c r="M53" s="57">
        <f>IFERROR(IF(_xlfn.XLOOKUP(CONT_TEA[[#This Row],[SRG Gross]],FinanceCodesBudget[FinanceCode],FinanceCodesBudget[LedgerCode])=_xlfn.XLOOKUP(CONT_TEA[[#This Row],[DepartmentCode]],DEPTS[DepartmentCode],DEPTS[LedgerCode]),0,1),1)</f>
        <v>1</v>
      </c>
      <c r="N53" s="57" cm="1">
        <f t="array" ref="N53">IF(_xlfn.XLOOKUP(CONT_TEA[[#This Row],[PensionCode]],PENS[PensionCode],PENS[AvailableToAllSchools],1,0,)=TRUE,0,IF(ISERROR(FIND(CONT_TEA[[#This Row],[SchoolCode]],_xlfn.TEXTJOIN(",",TRUE,_xlfn.UNIQUE(IF(PENS[PensionCode]=CONT_TEA[[#This Row],[PensionCode]],PENS[SchoolCodes],""))))),1,0))</f>
        <v>0</v>
      </c>
      <c r="O53" s="57" cm="1">
        <f t="array" ref="O53">IF(_xlfn.XLOOKUP(CONT_TEA[[#This Row],[EquatedWeekPatternCode]],EQW[EquatedWeekPatternCode],EQW[AvailableToAllSchools],1,0,)=TRUE,0,IF(ISERROR(FIND(CONT_TEA[[#This Row],[SchoolCode]],_xlfn.TEXTJOIN(",",TRUE,_xlfn.UNIQUE(IF(EQW[EquatedWeekPatternCode]=CONT_TEA[[#This Row],[EquatedWeekPatternCode]],EQW[SchoolCodes],""))))),1,0))</f>
        <v>0</v>
      </c>
      <c r="P53" s="57">
        <f>1-COUNTIF(ContractTypes[Code],CONT_TEA[[#This Row],[ContractTypeCode]])</f>
        <v>0</v>
      </c>
      <c r="Q53" s="57">
        <f>IF(VLOOKUP(CONT_TEA[[#This Row],[StaffMemberCode]],MEMBERS[[StaffMemberCode]:[ServiceStartDate]],5,0)&gt;CONT_TEA[[#This Row],[DateFrom]],1,0)</f>
        <v>0</v>
      </c>
      <c r="R53" s="57">
        <f>IF(_xlfn.XLOOKUP(CONT_TEA[[#This Row],[StaffMemberCode]],MEMBERS[StaffMemberCode],MEMBERS[ServiceEndDate])="",0,IF(CONT_TEA[[#This Row],[DateTo]]="",1,IF(_xlfn.XLOOKUP(CONT_TEA[[#This Row],[StaffMemberCode]],MEMBERS[StaffMemberCode],MEMBERS[ServiceEndDate])&lt;CONT_TEA[[#This Row],[DateTo]],1,0)))</f>
        <v>0</v>
      </c>
      <c r="S53" s="57">
        <f>IF(ISBLANK(CONT_TEA[[#This Row],[DateTo]]),0,IF(CONT_TEA[[#This Row],[DateFrom]]=CONT_TEA[[#This Row],[DateTo]],0,IF(CONT_TEA[[#This Row],[DateFrom]]&lt;CONT_TEA[[#This Row],[DateTo]],0,1)))</f>
        <v>0</v>
      </c>
      <c r="T53" s="57" cm="1">
        <f t="array" aca="1" ref="T53" ca="1">IF(CELL("format",CONT_TEA[[#This Row],[DateFrom]])="D1",0,1)+IF(CELL("format",CONT_TEA[[#This Row],[DateTo]])="D1",0,1)</f>
        <v>0</v>
      </c>
      <c r="U53" s="57">
        <f>IF(OR(CONT_TEA[[#This Row],[MatEditOnly]]=TRUE,CONT_TEA[[#This Row],[MatEditOnly]]=FALSE),IF(OR(CONT_TEA[[#This Row],[NoIncrement]]=TRUE,CONT_TEA[[#This Row],[NoIncrement]]=FALSE),0,1),1)</f>
        <v>0</v>
      </c>
      <c r="V53" s="57">
        <f>IF(ISBLANK(CONT_TEA[[#This Row],[FundCode]])=TRUE,0,IF(COUNTIF(FUNDS[FundCode],CONT_TEA[[#This Row],[FundCode]])=1,0,1))</f>
        <v>0</v>
      </c>
      <c r="W53" s="57">
        <f>IF(LEN(CONT_TEA[[#This Row],[Notes]])&lt;4000,0,1)</f>
        <v>0</v>
      </c>
      <c r="X53" s="57">
        <f>IF(SUBSTITUTE(TEXT(CONT_TEA[[#This Row],[Reference]],10)," ","")=TEXT(CONT_TEA[[#This Row],[Reference]],10),0,1)</f>
        <v>0</v>
      </c>
      <c r="Y53" s="57">
        <f ca="1">SUM(CONT_TEA[[#This Row],[Duplicate Contract]:[Space in Code]])</f>
        <v>1</v>
      </c>
      <c r="AA53" s="12" t="s">
        <v>2094</v>
      </c>
      <c r="AB53" s="15">
        <v>91073524</v>
      </c>
      <c r="AC53" s="12" t="s">
        <v>4402</v>
      </c>
      <c r="AD53" s="57" t="str">
        <f>_xlfn.XLOOKUP(CONT_TEA[[#This Row],[StaffMemberCode]],StaffMembers!O:O,StaffMembers!R:R)</f>
        <v>Jessica Edwards</v>
      </c>
      <c r="AE53" s="12" t="s">
        <v>1178</v>
      </c>
      <c r="AF53" s="57">
        <f>_xlfn.XLOOKUP(CONT_TEA[[#This Row],[SRG]],SRG[StaffRoleGroupCode],SRG[GrossSalaryFinanceCode])</f>
        <v>612100</v>
      </c>
      <c r="AG53" s="57" t="str">
        <f>_xlfn.XLOOKUP(CONT_TEA[[#This Row],[StaffRoleCode]],ROLES[StaffRoleCode],ROLES[StaffRoleGroupCode])</f>
        <v>TEA</v>
      </c>
      <c r="AH53" s="57" t="str">
        <f>_xlfn.XLOOKUP(CONT_TEA[[#This Row],[StaffRoleCode]],ROLES[StaffRoleCode],ROLES[PayScaleCode])</f>
        <v>MAIN</v>
      </c>
      <c r="AI53" s="12" t="s">
        <v>1126</v>
      </c>
      <c r="AJ53" s="12" t="s">
        <v>3073</v>
      </c>
      <c r="AK53" s="12" t="s">
        <v>2499</v>
      </c>
      <c r="AM53" s="68" t="s">
        <v>1149</v>
      </c>
      <c r="AN53" s="13" t="s">
        <v>1702</v>
      </c>
      <c r="AO53" s="21">
        <v>45901</v>
      </c>
      <c r="AQ53" s="12">
        <v>0.8</v>
      </c>
      <c r="AR53" t="b">
        <v>0</v>
      </c>
      <c r="AS53" t="b">
        <v>0</v>
      </c>
      <c r="AT53" s="12" t="s">
        <v>1574</v>
      </c>
    </row>
    <row r="54" spans="1:46" x14ac:dyDescent="0.3">
      <c r="A54" s="57" t="str">
        <f t="shared" si="1"/>
        <v>BLS9107357291073572ATEASTCH45901</v>
      </c>
      <c r="B54" s="57">
        <f>COUNTIF(CONT_TEA[Unique Contract],CONT_TEA[[#This Row],[Unique Contract]])-1</f>
        <v>0</v>
      </c>
      <c r="C54" s="57">
        <f>IFERROR(IF(FIND(CONT_TEA[[#This Row],[SchoolCode]],_xlfn.XLOOKUP(CONT_TEA[[#This Row],[StaffMemberCode]],MEMBERS[StaffMemberCode],MEMBERS[SchoolCodes]))&gt;0,0,1),1)</f>
        <v>0</v>
      </c>
      <c r="D54" s="57" cm="1">
        <f t="array" ref="D54">IF(_xlfn.XLOOKUP(CONT_TEA[[#This Row],[StaffRoleCode]],ROLES[StaffRoleCode],ROLES[AvailableToAllSchools],1,0,)=TRUE,0,IF(ISERROR(FIND(CONT_TEA[[#This Row],[SchoolCode]],_xlfn.TEXTJOIN(",",TRUE,_xlfn.UNIQUE(IF(ROLES[StaffRoleCode]=CONT_TEA[[#This Row],[StaffRoleCode]],ROLES[SchoolCodes],""))))),1,0))</f>
        <v>0</v>
      </c>
      <c r="E54" s="57" cm="1">
        <f t="array" ref="E5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54" s="57" cm="1">
        <f t="array" ref="F54">IF(_xlfn.XLOOKUP(CONT_TEA[[#This Row],[PayScaleCode]],PAYSCALES[PayScaleCode],PAYSCALES[AvailableToAllSchools],1,0,)=TRUE,0,IF(ISERROR(FIND(CONT_TEA[[#This Row],[SchoolCode]],_xlfn.TEXTJOIN(",",TRUE,_xlfn.UNIQUE(IF(PAYSCALES[PayScaleCode]=CONT_TEA[[#This Row],[PayScaleCode]],PAYSCALES[SchoolCodes],""))))),1,0))</f>
        <v>0</v>
      </c>
      <c r="G54" s="57">
        <f>IF(_xlfn.XLOOKUP(CONT_TEA[[#This Row],[PayScaleGradeCode]],GRADES[PayScaleGradeCode],GRADES[AvailableToAllSchools])=TRUE,0,IFERROR(IF(FIND(CONT_TEA[[#This Row],[SchoolCode]],_xlfn.XLOOKUP(CONT_TEA[[#This Row],[PayScaleGradeCode]],GRADES[PayScaleGradeCode],GRADES[SchoolCodes]))&gt;=1,0,1),1))</f>
        <v>0</v>
      </c>
      <c r="H54" s="57">
        <f>IF(ISERROR(IF((_xlfn.XLOOKUP(CONT_TEA[[#This Row],[PayScaleGradeCode]],GRADES[PayScaleGradeCode],GRADES[PayScaleCode])=CONT_TEA[[#This Row],[PayScaleCode]]),0,1)),1,0)</f>
        <v>0</v>
      </c>
      <c r="I54" s="57" cm="1">
        <f t="array" ref="I54">IF(ISERROR(FIND(CONT_TEA[[#This Row],[PayScalePointCode]],_xlfn.TEXTJOIN(",",TRUE,IF(PSPOINTS[PayScaleCode]=CONT_TEA[[#This Row],[PayScaleCode]],PSPOINTS[PayScalePointCode])))),1,0)</f>
        <v>0</v>
      </c>
      <c r="J54" s="57" cm="1">
        <f t="array" ref="J5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54" s="57">
        <f>IF(_xlfn.XLOOKUP(CONT_TEA[[#This Row],[PayScalePointCode]],PSPOINTS[PayScalePointCode],PSPOINTS[PayScalePointEnabled])=TRUE,0,1)</f>
        <v>0</v>
      </c>
      <c r="L54" s="57" cm="1">
        <f t="array" ref="L54">IF(_xlfn.XLOOKUP(CONT_TEA[[#This Row],[DepartmentCode]],DEPTS[DepartmentCode],DEPTS[AvailableToAllSchools],1,0,)=TRUE,0,IF(ISERROR(FIND(CONT_TEA[[#This Row],[SchoolCode]],_xlfn.TEXTJOIN(",",TRUE,_xlfn.UNIQUE(IF(DEPTS[DepartmentCode]=CONT_TEA[[#This Row],[DepartmentCode]],DEPTS[SchoolCodes],""))))),1,0))</f>
        <v>0</v>
      </c>
      <c r="M54" s="57">
        <f>IFERROR(IF(_xlfn.XLOOKUP(CONT_TEA[[#This Row],[SRG Gross]],FinanceCodesBudget[FinanceCode],FinanceCodesBudget[LedgerCode])=_xlfn.XLOOKUP(CONT_TEA[[#This Row],[DepartmentCode]],DEPTS[DepartmentCode],DEPTS[LedgerCode]),0,1),1)</f>
        <v>1</v>
      </c>
      <c r="N54" s="57" cm="1">
        <f t="array" ref="N54">IF(_xlfn.XLOOKUP(CONT_TEA[[#This Row],[PensionCode]],PENS[PensionCode],PENS[AvailableToAllSchools],1,0,)=TRUE,0,IF(ISERROR(FIND(CONT_TEA[[#This Row],[SchoolCode]],_xlfn.TEXTJOIN(",",TRUE,_xlfn.UNIQUE(IF(PENS[PensionCode]=CONT_TEA[[#This Row],[PensionCode]],PENS[SchoolCodes],""))))),1,0))</f>
        <v>0</v>
      </c>
      <c r="O54" s="57" cm="1">
        <f t="array" ref="O54">IF(_xlfn.XLOOKUP(CONT_TEA[[#This Row],[EquatedWeekPatternCode]],EQW[EquatedWeekPatternCode],EQW[AvailableToAllSchools],1,0,)=TRUE,0,IF(ISERROR(FIND(CONT_TEA[[#This Row],[SchoolCode]],_xlfn.TEXTJOIN(",",TRUE,_xlfn.UNIQUE(IF(EQW[EquatedWeekPatternCode]=CONT_TEA[[#This Row],[EquatedWeekPatternCode]],EQW[SchoolCodes],""))))),1,0))</f>
        <v>0</v>
      </c>
      <c r="P54" s="57">
        <f>1-COUNTIF(ContractTypes[Code],CONT_TEA[[#This Row],[ContractTypeCode]])</f>
        <v>0</v>
      </c>
      <c r="Q54" s="57">
        <f>IF(VLOOKUP(CONT_TEA[[#This Row],[StaffMemberCode]],MEMBERS[[StaffMemberCode]:[ServiceStartDate]],5,0)&gt;CONT_TEA[[#This Row],[DateFrom]],1,0)</f>
        <v>0</v>
      </c>
      <c r="R54" s="57">
        <f>IF(_xlfn.XLOOKUP(CONT_TEA[[#This Row],[StaffMemberCode]],MEMBERS[StaffMemberCode],MEMBERS[ServiceEndDate])="",0,IF(CONT_TEA[[#This Row],[DateTo]]="",1,IF(_xlfn.XLOOKUP(CONT_TEA[[#This Row],[StaffMemberCode]],MEMBERS[StaffMemberCode],MEMBERS[ServiceEndDate])&lt;CONT_TEA[[#This Row],[DateTo]],1,0)))</f>
        <v>0</v>
      </c>
      <c r="S54" s="57">
        <f>IF(ISBLANK(CONT_TEA[[#This Row],[DateTo]]),0,IF(CONT_TEA[[#This Row],[DateFrom]]=CONT_TEA[[#This Row],[DateTo]],0,IF(CONT_TEA[[#This Row],[DateFrom]]&lt;CONT_TEA[[#This Row],[DateTo]],0,1)))</f>
        <v>0</v>
      </c>
      <c r="T54" s="57" cm="1">
        <f t="array" aca="1" ref="T54" ca="1">IF(CELL("format",CONT_TEA[[#This Row],[DateFrom]])="D1",0,1)+IF(CELL("format",CONT_TEA[[#This Row],[DateTo]])="D1",0,1)</f>
        <v>0</v>
      </c>
      <c r="U54" s="57">
        <f>IF(OR(CONT_TEA[[#This Row],[MatEditOnly]]=TRUE,CONT_TEA[[#This Row],[MatEditOnly]]=FALSE),IF(OR(CONT_TEA[[#This Row],[NoIncrement]]=TRUE,CONT_TEA[[#This Row],[NoIncrement]]=FALSE),0,1),1)</f>
        <v>0</v>
      </c>
      <c r="V54" s="57">
        <f>IF(ISBLANK(CONT_TEA[[#This Row],[FundCode]])=TRUE,0,IF(COUNTIF(FUNDS[FundCode],CONT_TEA[[#This Row],[FundCode]])=1,0,1))</f>
        <v>0</v>
      </c>
      <c r="W54" s="57">
        <f>IF(LEN(CONT_TEA[[#This Row],[Notes]])&lt;4000,0,1)</f>
        <v>0</v>
      </c>
      <c r="X54" s="57">
        <f>IF(SUBSTITUTE(TEXT(CONT_TEA[[#This Row],[Reference]],10)," ","")=TEXT(CONT_TEA[[#This Row],[Reference]],10),0,1)</f>
        <v>0</v>
      </c>
      <c r="Y54" s="57">
        <f ca="1">SUM(CONT_TEA[[#This Row],[Duplicate Contract]:[Space in Code]])</f>
        <v>1</v>
      </c>
      <c r="AA54" s="12" t="s">
        <v>2094</v>
      </c>
      <c r="AB54" s="15">
        <v>91073572</v>
      </c>
      <c r="AC54" s="12" t="s">
        <v>4403</v>
      </c>
      <c r="AD54" s="57" t="str">
        <f>_xlfn.XLOOKUP(CONT_TEA[[#This Row],[StaffMemberCode]],StaffMembers!O:O,StaffMembers!R:R)</f>
        <v>Matthew Hayhurst</v>
      </c>
      <c r="AE54" s="12" t="s">
        <v>1178</v>
      </c>
      <c r="AF54" s="57">
        <f>_xlfn.XLOOKUP(CONT_TEA[[#This Row],[SRG]],SRG[StaffRoleGroupCode],SRG[GrossSalaryFinanceCode])</f>
        <v>612100</v>
      </c>
      <c r="AG54" s="57" t="str">
        <f>_xlfn.XLOOKUP(CONT_TEA[[#This Row],[StaffRoleCode]],ROLES[StaffRoleCode],ROLES[StaffRoleGroupCode])</f>
        <v>TEA</v>
      </c>
      <c r="AH54" s="57" t="str">
        <f>_xlfn.XLOOKUP(CONT_TEA[[#This Row],[StaffRoleCode]],ROLES[StaffRoleCode],ROLES[PayScaleCode])</f>
        <v>MAIN</v>
      </c>
      <c r="AI54" s="12" t="s">
        <v>1126</v>
      </c>
      <c r="AJ54" s="12" t="s">
        <v>1745</v>
      </c>
      <c r="AK54" s="12" t="s">
        <v>2499</v>
      </c>
      <c r="AM54" s="68" t="s">
        <v>1147</v>
      </c>
      <c r="AN54" s="13" t="s">
        <v>1702</v>
      </c>
      <c r="AO54" s="21">
        <v>45901</v>
      </c>
      <c r="AQ54" s="12">
        <v>1</v>
      </c>
      <c r="AR54" t="b">
        <v>0</v>
      </c>
      <c r="AS54" t="b">
        <v>0</v>
      </c>
      <c r="AT54" s="12" t="s">
        <v>1574</v>
      </c>
    </row>
    <row r="55" spans="1:46" x14ac:dyDescent="0.3">
      <c r="A55" s="57" t="str">
        <f t="shared" si="1"/>
        <v>BLS9107345091073450ATEASTCH45901</v>
      </c>
      <c r="B55" s="57">
        <f>COUNTIF(CONT_TEA[Unique Contract],CONT_TEA[[#This Row],[Unique Contract]])-1</f>
        <v>0</v>
      </c>
      <c r="C55" s="57">
        <f>IFERROR(IF(FIND(CONT_TEA[[#This Row],[SchoolCode]],_xlfn.XLOOKUP(CONT_TEA[[#This Row],[StaffMemberCode]],MEMBERS[StaffMemberCode],MEMBERS[SchoolCodes]))&gt;0,0,1),1)</f>
        <v>0</v>
      </c>
      <c r="D55" s="57" cm="1">
        <f t="array" ref="D55">IF(_xlfn.XLOOKUP(CONT_TEA[[#This Row],[StaffRoleCode]],ROLES[StaffRoleCode],ROLES[AvailableToAllSchools],1,0,)=TRUE,0,IF(ISERROR(FIND(CONT_TEA[[#This Row],[SchoolCode]],_xlfn.TEXTJOIN(",",TRUE,_xlfn.UNIQUE(IF(ROLES[StaffRoleCode]=CONT_TEA[[#This Row],[StaffRoleCode]],ROLES[SchoolCodes],""))))),1,0))</f>
        <v>0</v>
      </c>
      <c r="E55" s="57" cm="1">
        <f t="array" ref="E5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55" s="57" cm="1">
        <f t="array" ref="F55">IF(_xlfn.XLOOKUP(CONT_TEA[[#This Row],[PayScaleCode]],PAYSCALES[PayScaleCode],PAYSCALES[AvailableToAllSchools],1,0,)=TRUE,0,IF(ISERROR(FIND(CONT_TEA[[#This Row],[SchoolCode]],_xlfn.TEXTJOIN(",",TRUE,_xlfn.UNIQUE(IF(PAYSCALES[PayScaleCode]=CONT_TEA[[#This Row],[PayScaleCode]],PAYSCALES[SchoolCodes],""))))),1,0))</f>
        <v>0</v>
      </c>
      <c r="G55" s="57">
        <f>IF(_xlfn.XLOOKUP(CONT_TEA[[#This Row],[PayScaleGradeCode]],GRADES[PayScaleGradeCode],GRADES[AvailableToAllSchools])=TRUE,0,IFERROR(IF(FIND(CONT_TEA[[#This Row],[SchoolCode]],_xlfn.XLOOKUP(CONT_TEA[[#This Row],[PayScaleGradeCode]],GRADES[PayScaleGradeCode],GRADES[SchoolCodes]))&gt;=1,0,1),1))</f>
        <v>0</v>
      </c>
      <c r="H55" s="57">
        <f>IF(ISERROR(IF((_xlfn.XLOOKUP(CONT_TEA[[#This Row],[PayScaleGradeCode]],GRADES[PayScaleGradeCode],GRADES[PayScaleCode])=CONT_TEA[[#This Row],[PayScaleCode]]),0,1)),1,0)</f>
        <v>0</v>
      </c>
      <c r="I55" s="57" cm="1">
        <f t="array" ref="I55">IF(ISERROR(FIND(CONT_TEA[[#This Row],[PayScalePointCode]],_xlfn.TEXTJOIN(",",TRUE,IF(PSPOINTS[PayScaleCode]=CONT_TEA[[#This Row],[PayScaleCode]],PSPOINTS[PayScalePointCode])))),1,0)</f>
        <v>0</v>
      </c>
      <c r="J55" s="57" cm="1">
        <f t="array" ref="J5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55" s="57">
        <f>IF(_xlfn.XLOOKUP(CONT_TEA[[#This Row],[PayScalePointCode]],PSPOINTS[PayScalePointCode],PSPOINTS[PayScalePointEnabled])=TRUE,0,1)</f>
        <v>0</v>
      </c>
      <c r="L55" s="57" cm="1">
        <f t="array" ref="L55">IF(_xlfn.XLOOKUP(CONT_TEA[[#This Row],[DepartmentCode]],DEPTS[DepartmentCode],DEPTS[AvailableToAllSchools],1,0,)=TRUE,0,IF(ISERROR(FIND(CONT_TEA[[#This Row],[SchoolCode]],_xlfn.TEXTJOIN(",",TRUE,_xlfn.UNIQUE(IF(DEPTS[DepartmentCode]=CONT_TEA[[#This Row],[DepartmentCode]],DEPTS[SchoolCodes],""))))),1,0))</f>
        <v>0</v>
      </c>
      <c r="M55" s="57">
        <f>IFERROR(IF(_xlfn.XLOOKUP(CONT_TEA[[#This Row],[SRG Gross]],FinanceCodesBudget[FinanceCode],FinanceCodesBudget[LedgerCode])=_xlfn.XLOOKUP(CONT_TEA[[#This Row],[DepartmentCode]],DEPTS[DepartmentCode],DEPTS[LedgerCode]),0,1),1)</f>
        <v>1</v>
      </c>
      <c r="N55" s="57" cm="1">
        <f t="array" ref="N55">IF(_xlfn.XLOOKUP(CONT_TEA[[#This Row],[PensionCode]],PENS[PensionCode],PENS[AvailableToAllSchools],1,0,)=TRUE,0,IF(ISERROR(FIND(CONT_TEA[[#This Row],[SchoolCode]],_xlfn.TEXTJOIN(",",TRUE,_xlfn.UNIQUE(IF(PENS[PensionCode]=CONT_TEA[[#This Row],[PensionCode]],PENS[SchoolCodes],""))))),1,0))</f>
        <v>0</v>
      </c>
      <c r="O55" s="57" cm="1">
        <f t="array" ref="O55">IF(_xlfn.XLOOKUP(CONT_TEA[[#This Row],[EquatedWeekPatternCode]],EQW[EquatedWeekPatternCode],EQW[AvailableToAllSchools],1,0,)=TRUE,0,IF(ISERROR(FIND(CONT_TEA[[#This Row],[SchoolCode]],_xlfn.TEXTJOIN(",",TRUE,_xlfn.UNIQUE(IF(EQW[EquatedWeekPatternCode]=CONT_TEA[[#This Row],[EquatedWeekPatternCode]],EQW[SchoolCodes],""))))),1,0))</f>
        <v>0</v>
      </c>
      <c r="P55" s="57">
        <f>1-COUNTIF(ContractTypes[Code],CONT_TEA[[#This Row],[ContractTypeCode]])</f>
        <v>0</v>
      </c>
      <c r="Q55" s="57">
        <f>IF(VLOOKUP(CONT_TEA[[#This Row],[StaffMemberCode]],MEMBERS[[StaffMemberCode]:[ServiceStartDate]],5,0)&gt;CONT_TEA[[#This Row],[DateFrom]],1,0)</f>
        <v>0</v>
      </c>
      <c r="R55" s="57">
        <f>IF(_xlfn.XLOOKUP(CONT_TEA[[#This Row],[StaffMemberCode]],MEMBERS[StaffMemberCode],MEMBERS[ServiceEndDate])="",0,IF(CONT_TEA[[#This Row],[DateTo]]="",1,IF(_xlfn.XLOOKUP(CONT_TEA[[#This Row],[StaffMemberCode]],MEMBERS[StaffMemberCode],MEMBERS[ServiceEndDate])&lt;CONT_TEA[[#This Row],[DateTo]],1,0)))</f>
        <v>0</v>
      </c>
      <c r="S55" s="57">
        <f>IF(ISBLANK(CONT_TEA[[#This Row],[DateTo]]),0,IF(CONT_TEA[[#This Row],[DateFrom]]=CONT_TEA[[#This Row],[DateTo]],0,IF(CONT_TEA[[#This Row],[DateFrom]]&lt;CONT_TEA[[#This Row],[DateTo]],0,1)))</f>
        <v>0</v>
      </c>
      <c r="T55" s="57" cm="1">
        <f t="array" aca="1" ref="T55" ca="1">IF(CELL("format",CONT_TEA[[#This Row],[DateFrom]])="D1",0,1)+IF(CELL("format",CONT_TEA[[#This Row],[DateTo]])="D1",0,1)</f>
        <v>0</v>
      </c>
      <c r="U55" s="57">
        <f>IF(OR(CONT_TEA[[#This Row],[MatEditOnly]]=TRUE,CONT_TEA[[#This Row],[MatEditOnly]]=FALSE),IF(OR(CONT_TEA[[#This Row],[NoIncrement]]=TRUE,CONT_TEA[[#This Row],[NoIncrement]]=FALSE),0,1),1)</f>
        <v>0</v>
      </c>
      <c r="V55" s="57">
        <f>IF(ISBLANK(CONT_TEA[[#This Row],[FundCode]])=TRUE,0,IF(COUNTIF(FUNDS[FundCode],CONT_TEA[[#This Row],[FundCode]])=1,0,1))</f>
        <v>0</v>
      </c>
      <c r="W55" s="57">
        <f>IF(LEN(CONT_TEA[[#This Row],[Notes]])&lt;4000,0,1)</f>
        <v>0</v>
      </c>
      <c r="X55" s="57">
        <f>IF(SUBSTITUTE(TEXT(CONT_TEA[[#This Row],[Reference]],10)," ","")=TEXT(CONT_TEA[[#This Row],[Reference]],10),0,1)</f>
        <v>0</v>
      </c>
      <c r="Y55" s="57">
        <f ca="1">SUM(CONT_TEA[[#This Row],[Duplicate Contract]:[Space in Code]])</f>
        <v>1</v>
      </c>
      <c r="AA55" s="12" t="s">
        <v>2094</v>
      </c>
      <c r="AB55" s="15">
        <v>91073450</v>
      </c>
      <c r="AC55" s="12" t="s">
        <v>4404</v>
      </c>
      <c r="AD55" s="57" t="str">
        <f>_xlfn.XLOOKUP(CONT_TEA[[#This Row],[StaffMemberCode]],StaffMembers!O:O,StaffMembers!R:R)</f>
        <v>Sarah Meredith</v>
      </c>
      <c r="AE55" s="12" t="s">
        <v>1178</v>
      </c>
      <c r="AF55" s="57">
        <f>_xlfn.XLOOKUP(CONT_TEA[[#This Row],[SRG]],SRG[StaffRoleGroupCode],SRG[GrossSalaryFinanceCode])</f>
        <v>612100</v>
      </c>
      <c r="AG55" s="57" t="str">
        <f>_xlfn.XLOOKUP(CONT_TEA[[#This Row],[StaffRoleCode]],ROLES[StaffRoleCode],ROLES[StaffRoleGroupCode])</f>
        <v>TEA</v>
      </c>
      <c r="AH55" s="57" t="str">
        <f>_xlfn.XLOOKUP(CONT_TEA[[#This Row],[StaffRoleCode]],ROLES[StaffRoleCode],ROLES[PayScaleCode])</f>
        <v>MAIN</v>
      </c>
      <c r="AI55" s="12" t="s">
        <v>1126</v>
      </c>
      <c r="AJ55" s="12" t="s">
        <v>1745</v>
      </c>
      <c r="AK55" s="12" t="s">
        <v>2499</v>
      </c>
      <c r="AM55" s="68" t="s">
        <v>1147</v>
      </c>
      <c r="AN55" s="13" t="s">
        <v>1702</v>
      </c>
      <c r="AO55" s="21">
        <v>45901</v>
      </c>
      <c r="AQ55" s="12">
        <v>0.9</v>
      </c>
      <c r="AR55" t="b">
        <v>0</v>
      </c>
      <c r="AS55" t="b">
        <v>0</v>
      </c>
      <c r="AT55" s="12" t="s">
        <v>1574</v>
      </c>
    </row>
    <row r="56" spans="1:46" x14ac:dyDescent="0.3">
      <c r="A56" s="57" t="str">
        <f t="shared" si="1"/>
        <v>BLS9107353091073530ATEASTCH45901</v>
      </c>
      <c r="B56" s="57">
        <f>COUNTIF(CONT_TEA[Unique Contract],CONT_TEA[[#This Row],[Unique Contract]])-1</f>
        <v>0</v>
      </c>
      <c r="C56" s="57">
        <f>IFERROR(IF(FIND(CONT_TEA[[#This Row],[SchoolCode]],_xlfn.XLOOKUP(CONT_TEA[[#This Row],[StaffMemberCode]],MEMBERS[StaffMemberCode],MEMBERS[SchoolCodes]))&gt;0,0,1),1)</f>
        <v>0</v>
      </c>
      <c r="D56" s="57" cm="1">
        <f t="array" ref="D56">IF(_xlfn.XLOOKUP(CONT_TEA[[#This Row],[StaffRoleCode]],ROLES[StaffRoleCode],ROLES[AvailableToAllSchools],1,0,)=TRUE,0,IF(ISERROR(FIND(CONT_TEA[[#This Row],[SchoolCode]],_xlfn.TEXTJOIN(",",TRUE,_xlfn.UNIQUE(IF(ROLES[StaffRoleCode]=CONT_TEA[[#This Row],[StaffRoleCode]],ROLES[SchoolCodes],""))))),1,0))</f>
        <v>0</v>
      </c>
      <c r="E56" s="57" cm="1">
        <f t="array" ref="E5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56" s="57" cm="1">
        <f t="array" ref="F56">IF(_xlfn.XLOOKUP(CONT_TEA[[#This Row],[PayScaleCode]],PAYSCALES[PayScaleCode],PAYSCALES[AvailableToAllSchools],1,0,)=TRUE,0,IF(ISERROR(FIND(CONT_TEA[[#This Row],[SchoolCode]],_xlfn.TEXTJOIN(",",TRUE,_xlfn.UNIQUE(IF(PAYSCALES[PayScaleCode]=CONT_TEA[[#This Row],[PayScaleCode]],PAYSCALES[SchoolCodes],""))))),1,0))</f>
        <v>0</v>
      </c>
      <c r="G56" s="57">
        <f>IF(_xlfn.XLOOKUP(CONT_TEA[[#This Row],[PayScaleGradeCode]],GRADES[PayScaleGradeCode],GRADES[AvailableToAllSchools])=TRUE,0,IFERROR(IF(FIND(CONT_TEA[[#This Row],[SchoolCode]],_xlfn.XLOOKUP(CONT_TEA[[#This Row],[PayScaleGradeCode]],GRADES[PayScaleGradeCode],GRADES[SchoolCodes]))&gt;=1,0,1),1))</f>
        <v>0</v>
      </c>
      <c r="H56" s="57">
        <f>IF(ISERROR(IF((_xlfn.XLOOKUP(CONT_TEA[[#This Row],[PayScaleGradeCode]],GRADES[PayScaleGradeCode],GRADES[PayScaleCode])=CONT_TEA[[#This Row],[PayScaleCode]]),0,1)),1,0)</f>
        <v>0</v>
      </c>
      <c r="I56" s="57" cm="1">
        <f t="array" ref="I56">IF(ISERROR(FIND(CONT_TEA[[#This Row],[PayScalePointCode]],_xlfn.TEXTJOIN(",",TRUE,IF(PSPOINTS[PayScaleCode]=CONT_TEA[[#This Row],[PayScaleCode]],PSPOINTS[PayScalePointCode])))),1,0)</f>
        <v>0</v>
      </c>
      <c r="J56" s="57" cm="1">
        <f t="array" ref="J5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56" s="57">
        <f>IF(_xlfn.XLOOKUP(CONT_TEA[[#This Row],[PayScalePointCode]],PSPOINTS[PayScalePointCode],PSPOINTS[PayScalePointEnabled])=TRUE,0,1)</f>
        <v>0</v>
      </c>
      <c r="L56" s="57" cm="1">
        <f t="array" ref="L56">IF(_xlfn.XLOOKUP(CONT_TEA[[#This Row],[DepartmentCode]],DEPTS[DepartmentCode],DEPTS[AvailableToAllSchools],1,0,)=TRUE,0,IF(ISERROR(FIND(CONT_TEA[[#This Row],[SchoolCode]],_xlfn.TEXTJOIN(",",TRUE,_xlfn.UNIQUE(IF(DEPTS[DepartmentCode]=CONT_TEA[[#This Row],[DepartmentCode]],DEPTS[SchoolCodes],""))))),1,0))</f>
        <v>0</v>
      </c>
      <c r="M56" s="57">
        <f>IFERROR(IF(_xlfn.XLOOKUP(CONT_TEA[[#This Row],[SRG Gross]],FinanceCodesBudget[FinanceCode],FinanceCodesBudget[LedgerCode])=_xlfn.XLOOKUP(CONT_TEA[[#This Row],[DepartmentCode]],DEPTS[DepartmentCode],DEPTS[LedgerCode]),0,1),1)</f>
        <v>1</v>
      </c>
      <c r="N56" s="57" cm="1">
        <f t="array" ref="N56">IF(_xlfn.XLOOKUP(CONT_TEA[[#This Row],[PensionCode]],PENS[PensionCode],PENS[AvailableToAllSchools],1,0,)=TRUE,0,IF(ISERROR(FIND(CONT_TEA[[#This Row],[SchoolCode]],_xlfn.TEXTJOIN(",",TRUE,_xlfn.UNIQUE(IF(PENS[PensionCode]=CONT_TEA[[#This Row],[PensionCode]],PENS[SchoolCodes],""))))),1,0))</f>
        <v>0</v>
      </c>
      <c r="O56" s="57" cm="1">
        <f t="array" ref="O56">IF(_xlfn.XLOOKUP(CONT_TEA[[#This Row],[EquatedWeekPatternCode]],EQW[EquatedWeekPatternCode],EQW[AvailableToAllSchools],1,0,)=TRUE,0,IF(ISERROR(FIND(CONT_TEA[[#This Row],[SchoolCode]],_xlfn.TEXTJOIN(",",TRUE,_xlfn.UNIQUE(IF(EQW[EquatedWeekPatternCode]=CONT_TEA[[#This Row],[EquatedWeekPatternCode]],EQW[SchoolCodes],""))))),1,0))</f>
        <v>0</v>
      </c>
      <c r="P56" s="57">
        <f>1-COUNTIF(ContractTypes[Code],CONT_TEA[[#This Row],[ContractTypeCode]])</f>
        <v>0</v>
      </c>
      <c r="Q56" s="57">
        <f>IF(VLOOKUP(CONT_TEA[[#This Row],[StaffMemberCode]],MEMBERS[[StaffMemberCode]:[ServiceStartDate]],5,0)&gt;CONT_TEA[[#This Row],[DateFrom]],1,0)</f>
        <v>0</v>
      </c>
      <c r="R56" s="57">
        <f>IF(_xlfn.XLOOKUP(CONT_TEA[[#This Row],[StaffMemberCode]],MEMBERS[StaffMemberCode],MEMBERS[ServiceEndDate])="",0,IF(CONT_TEA[[#This Row],[DateTo]]="",1,IF(_xlfn.XLOOKUP(CONT_TEA[[#This Row],[StaffMemberCode]],MEMBERS[StaffMemberCode],MEMBERS[ServiceEndDate])&lt;CONT_TEA[[#This Row],[DateTo]],1,0)))</f>
        <v>0</v>
      </c>
      <c r="S56" s="57">
        <f>IF(ISBLANK(CONT_TEA[[#This Row],[DateTo]]),0,IF(CONT_TEA[[#This Row],[DateFrom]]=CONT_TEA[[#This Row],[DateTo]],0,IF(CONT_TEA[[#This Row],[DateFrom]]&lt;CONT_TEA[[#This Row],[DateTo]],0,1)))</f>
        <v>0</v>
      </c>
      <c r="T56" s="57" cm="1">
        <f t="array" aca="1" ref="T56" ca="1">IF(CELL("format",CONT_TEA[[#This Row],[DateFrom]])="D1",0,1)+IF(CELL("format",CONT_TEA[[#This Row],[DateTo]])="D1",0,1)</f>
        <v>0</v>
      </c>
      <c r="U56" s="57">
        <f>IF(OR(CONT_TEA[[#This Row],[MatEditOnly]]=TRUE,CONT_TEA[[#This Row],[MatEditOnly]]=FALSE),IF(OR(CONT_TEA[[#This Row],[NoIncrement]]=TRUE,CONT_TEA[[#This Row],[NoIncrement]]=FALSE),0,1),1)</f>
        <v>0</v>
      </c>
      <c r="V56" s="57">
        <f>IF(ISBLANK(CONT_TEA[[#This Row],[FundCode]])=TRUE,0,IF(COUNTIF(FUNDS[FundCode],CONT_TEA[[#This Row],[FundCode]])=1,0,1))</f>
        <v>0</v>
      </c>
      <c r="W56" s="57">
        <f>IF(LEN(CONT_TEA[[#This Row],[Notes]])&lt;4000,0,1)</f>
        <v>0</v>
      </c>
      <c r="X56" s="57">
        <f>IF(SUBSTITUTE(TEXT(CONT_TEA[[#This Row],[Reference]],10)," ","")=TEXT(CONT_TEA[[#This Row],[Reference]],10),0,1)</f>
        <v>0</v>
      </c>
      <c r="Y56" s="57">
        <f ca="1">SUM(CONT_TEA[[#This Row],[Duplicate Contract]:[Space in Code]])</f>
        <v>1</v>
      </c>
      <c r="AA56" s="12" t="s">
        <v>2094</v>
      </c>
      <c r="AB56" s="15">
        <v>91073530</v>
      </c>
      <c r="AC56" s="12" t="s">
        <v>4405</v>
      </c>
      <c r="AD56" s="57" t="str">
        <f>_xlfn.XLOOKUP(CONT_TEA[[#This Row],[StaffMemberCode]],StaffMembers!O:O,StaffMembers!R:R)</f>
        <v>Jenny Sykes</v>
      </c>
      <c r="AE56" s="12" t="s">
        <v>1178</v>
      </c>
      <c r="AF56" s="57">
        <f>_xlfn.XLOOKUP(CONT_TEA[[#This Row],[SRG]],SRG[StaffRoleGroupCode],SRG[GrossSalaryFinanceCode])</f>
        <v>612100</v>
      </c>
      <c r="AG56" s="57" t="str">
        <f>_xlfn.XLOOKUP(CONT_TEA[[#This Row],[StaffRoleCode]],ROLES[StaffRoleCode],ROLES[StaffRoleGroupCode])</f>
        <v>TEA</v>
      </c>
      <c r="AH56" s="57" t="str">
        <f>_xlfn.XLOOKUP(CONT_TEA[[#This Row],[StaffRoleCode]],ROLES[StaffRoleCode],ROLES[PayScaleCode])</f>
        <v>MAIN</v>
      </c>
      <c r="AI56" s="12" t="s">
        <v>1126</v>
      </c>
      <c r="AJ56" s="12" t="s">
        <v>1745</v>
      </c>
      <c r="AK56" s="12" t="s">
        <v>2499</v>
      </c>
      <c r="AM56" s="68" t="s">
        <v>1147</v>
      </c>
      <c r="AN56" s="13" t="s">
        <v>1702</v>
      </c>
      <c r="AO56" s="21">
        <v>45901</v>
      </c>
      <c r="AQ56" s="12">
        <v>0.4</v>
      </c>
      <c r="AR56" t="b">
        <v>0</v>
      </c>
      <c r="AS56" t="b">
        <v>0</v>
      </c>
      <c r="AT56" s="12" t="s">
        <v>1574</v>
      </c>
    </row>
    <row r="57" spans="1:46" x14ac:dyDescent="0.3">
      <c r="A57" s="57" t="str">
        <f t="shared" si="1"/>
        <v>ALS9107378491073784ATEASTCH45901</v>
      </c>
      <c r="B57" s="57">
        <f>COUNTIF(CONT_TEA[Unique Contract],CONT_TEA[[#This Row],[Unique Contract]])-1</f>
        <v>0</v>
      </c>
      <c r="C57" s="57">
        <f>IFERROR(IF(FIND(CONT_TEA[[#This Row],[SchoolCode]],_xlfn.XLOOKUP(CONT_TEA[[#This Row],[StaffMemberCode]],MEMBERS[StaffMemberCode],MEMBERS[SchoolCodes]))&gt;0,0,1),1)</f>
        <v>0</v>
      </c>
      <c r="D57" s="57" cm="1">
        <f t="array" ref="D57">IF(_xlfn.XLOOKUP(CONT_TEA[[#This Row],[StaffRoleCode]],ROLES[StaffRoleCode],ROLES[AvailableToAllSchools],1,0,)=TRUE,0,IF(ISERROR(FIND(CONT_TEA[[#This Row],[SchoolCode]],_xlfn.TEXTJOIN(",",TRUE,_xlfn.UNIQUE(IF(ROLES[StaffRoleCode]=CONT_TEA[[#This Row],[StaffRoleCode]],ROLES[SchoolCodes],""))))),1,0))</f>
        <v>0</v>
      </c>
      <c r="E57" s="57" cm="1">
        <f t="array" ref="E5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57" s="57" cm="1">
        <f t="array" ref="F57">IF(_xlfn.XLOOKUP(CONT_TEA[[#This Row],[PayScaleCode]],PAYSCALES[PayScaleCode],PAYSCALES[AvailableToAllSchools],1,0,)=TRUE,0,IF(ISERROR(FIND(CONT_TEA[[#This Row],[SchoolCode]],_xlfn.TEXTJOIN(",",TRUE,_xlfn.UNIQUE(IF(PAYSCALES[PayScaleCode]=CONT_TEA[[#This Row],[PayScaleCode]],PAYSCALES[SchoolCodes],""))))),1,0))</f>
        <v>0</v>
      </c>
      <c r="G57" s="57">
        <f>IF(_xlfn.XLOOKUP(CONT_TEA[[#This Row],[PayScaleGradeCode]],GRADES[PayScaleGradeCode],GRADES[AvailableToAllSchools])=TRUE,0,IFERROR(IF(FIND(CONT_TEA[[#This Row],[SchoolCode]],_xlfn.XLOOKUP(CONT_TEA[[#This Row],[PayScaleGradeCode]],GRADES[PayScaleGradeCode],GRADES[SchoolCodes]))&gt;=1,0,1),1))</f>
        <v>0</v>
      </c>
      <c r="H57" s="57">
        <f>IF(ISERROR(IF((_xlfn.XLOOKUP(CONT_TEA[[#This Row],[PayScaleGradeCode]],GRADES[PayScaleGradeCode],GRADES[PayScaleCode])=CONT_TEA[[#This Row],[PayScaleCode]]),0,1)),1,0)</f>
        <v>0</v>
      </c>
      <c r="I57" s="57" cm="1">
        <f t="array" ref="I57">IF(ISERROR(FIND(CONT_TEA[[#This Row],[PayScalePointCode]],_xlfn.TEXTJOIN(",",TRUE,IF(PSPOINTS[PayScaleCode]=CONT_TEA[[#This Row],[PayScaleCode]],PSPOINTS[PayScalePointCode])))),1,0)</f>
        <v>0</v>
      </c>
      <c r="J57" s="57" cm="1">
        <f t="array" ref="J5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57" s="57">
        <f>IF(_xlfn.XLOOKUP(CONT_TEA[[#This Row],[PayScalePointCode]],PSPOINTS[PayScalePointCode],PSPOINTS[PayScalePointEnabled])=TRUE,0,1)</f>
        <v>0</v>
      </c>
      <c r="L57" s="57" cm="1">
        <f t="array" ref="L57">IF(_xlfn.XLOOKUP(CONT_TEA[[#This Row],[DepartmentCode]],DEPTS[DepartmentCode],DEPTS[AvailableToAllSchools],1,0,)=TRUE,0,IF(ISERROR(FIND(CONT_TEA[[#This Row],[SchoolCode]],_xlfn.TEXTJOIN(",",TRUE,_xlfn.UNIQUE(IF(DEPTS[DepartmentCode]=CONT_TEA[[#This Row],[DepartmentCode]],DEPTS[SchoolCodes],""))))),1,0))</f>
        <v>0</v>
      </c>
      <c r="M57" s="57">
        <f>IFERROR(IF(_xlfn.XLOOKUP(CONT_TEA[[#This Row],[SRG Gross]],FinanceCodesBudget[FinanceCode],FinanceCodesBudget[LedgerCode])=_xlfn.XLOOKUP(CONT_TEA[[#This Row],[DepartmentCode]],DEPTS[DepartmentCode],DEPTS[LedgerCode]),0,1),1)</f>
        <v>1</v>
      </c>
      <c r="N57" s="57" cm="1">
        <f t="array" ref="N57">IF(_xlfn.XLOOKUP(CONT_TEA[[#This Row],[PensionCode]],PENS[PensionCode],PENS[AvailableToAllSchools],1,0,)=TRUE,0,IF(ISERROR(FIND(CONT_TEA[[#This Row],[SchoolCode]],_xlfn.TEXTJOIN(",",TRUE,_xlfn.UNIQUE(IF(PENS[PensionCode]=CONT_TEA[[#This Row],[PensionCode]],PENS[SchoolCodes],""))))),1,0))</f>
        <v>0</v>
      </c>
      <c r="O57" s="57" cm="1">
        <f t="array" ref="O57">IF(_xlfn.XLOOKUP(CONT_TEA[[#This Row],[EquatedWeekPatternCode]],EQW[EquatedWeekPatternCode],EQW[AvailableToAllSchools],1,0,)=TRUE,0,IF(ISERROR(FIND(CONT_TEA[[#This Row],[SchoolCode]],_xlfn.TEXTJOIN(",",TRUE,_xlfn.UNIQUE(IF(EQW[EquatedWeekPatternCode]=CONT_TEA[[#This Row],[EquatedWeekPatternCode]],EQW[SchoolCodes],""))))),1,0))</f>
        <v>0</v>
      </c>
      <c r="P57" s="57">
        <f>1-COUNTIF(ContractTypes[Code],CONT_TEA[[#This Row],[ContractTypeCode]])</f>
        <v>0</v>
      </c>
      <c r="Q57" s="57">
        <f>IF(VLOOKUP(CONT_TEA[[#This Row],[StaffMemberCode]],MEMBERS[[StaffMemberCode]:[ServiceStartDate]],5,0)&gt;CONT_TEA[[#This Row],[DateFrom]],1,0)</f>
        <v>0</v>
      </c>
      <c r="R57" s="57">
        <f>IF(_xlfn.XLOOKUP(CONT_TEA[[#This Row],[StaffMemberCode]],MEMBERS[StaffMemberCode],MEMBERS[ServiceEndDate])="",0,IF(CONT_TEA[[#This Row],[DateTo]]="",1,IF(_xlfn.XLOOKUP(CONT_TEA[[#This Row],[StaffMemberCode]],MEMBERS[StaffMemberCode],MEMBERS[ServiceEndDate])&lt;CONT_TEA[[#This Row],[DateTo]],1,0)))</f>
        <v>0</v>
      </c>
      <c r="S57" s="57">
        <f>IF(ISBLANK(CONT_TEA[[#This Row],[DateTo]]),0,IF(CONT_TEA[[#This Row],[DateFrom]]=CONT_TEA[[#This Row],[DateTo]],0,IF(CONT_TEA[[#This Row],[DateFrom]]&lt;CONT_TEA[[#This Row],[DateTo]],0,1)))</f>
        <v>0</v>
      </c>
      <c r="T57" s="57" cm="1">
        <f t="array" aca="1" ref="T57" ca="1">IF(CELL("format",CONT_TEA[[#This Row],[DateFrom]])="D1",0,1)+IF(CELL("format",CONT_TEA[[#This Row],[DateTo]])="D1",0,1)</f>
        <v>0</v>
      </c>
      <c r="U57" s="57">
        <f>IF(OR(CONT_TEA[[#This Row],[MatEditOnly]]=TRUE,CONT_TEA[[#This Row],[MatEditOnly]]=FALSE),IF(OR(CONT_TEA[[#This Row],[NoIncrement]]=TRUE,CONT_TEA[[#This Row],[NoIncrement]]=FALSE),0,1),1)</f>
        <v>0</v>
      </c>
      <c r="V57" s="57">
        <f>IF(ISBLANK(CONT_TEA[[#This Row],[FundCode]])=TRUE,0,IF(COUNTIF(FUNDS[FundCode],CONT_TEA[[#This Row],[FundCode]])=1,0,1))</f>
        <v>0</v>
      </c>
      <c r="W57" s="57">
        <f>IF(LEN(CONT_TEA[[#This Row],[Notes]])&lt;4000,0,1)</f>
        <v>0</v>
      </c>
      <c r="X57" s="57">
        <f>IF(SUBSTITUTE(TEXT(CONT_TEA[[#This Row],[Reference]],10)," ","")=TEXT(CONT_TEA[[#This Row],[Reference]],10),0,1)</f>
        <v>0</v>
      </c>
      <c r="Y57" s="57">
        <f ca="1">SUM(CONT_TEA[[#This Row],[Duplicate Contract]:[Space in Code]])</f>
        <v>1</v>
      </c>
      <c r="AA57" s="12" t="s">
        <v>2082</v>
      </c>
      <c r="AB57" s="15">
        <v>91073784</v>
      </c>
      <c r="AC57" s="12" t="s">
        <v>4406</v>
      </c>
      <c r="AD57" s="57" t="str">
        <f>_xlfn.XLOOKUP(CONT_TEA[[#This Row],[StaffMemberCode]],StaffMembers!O:O,StaffMembers!R:R)</f>
        <v>Adam Bailey</v>
      </c>
      <c r="AE57" s="12" t="s">
        <v>1178</v>
      </c>
      <c r="AF57" s="57">
        <f>_xlfn.XLOOKUP(CONT_TEA[[#This Row],[SRG]],SRG[StaffRoleGroupCode],SRG[GrossSalaryFinanceCode])</f>
        <v>612100</v>
      </c>
      <c r="AG57" s="57" t="str">
        <f>_xlfn.XLOOKUP(CONT_TEA[[#This Row],[StaffRoleCode]],ROLES[StaffRoleCode],ROLES[StaffRoleGroupCode])</f>
        <v>TEA</v>
      </c>
      <c r="AH57" s="57" t="str">
        <f>_xlfn.XLOOKUP(CONT_TEA[[#This Row],[StaffRoleCode]],ROLES[StaffRoleCode],ROLES[PayScaleCode])</f>
        <v>MAIN</v>
      </c>
      <c r="AI57" s="12" t="s">
        <v>1126</v>
      </c>
      <c r="AJ57" s="12" t="s">
        <v>1067</v>
      </c>
      <c r="AK57" s="12" t="s">
        <v>2499</v>
      </c>
      <c r="AM57" s="68" t="s">
        <v>1147</v>
      </c>
      <c r="AN57" s="13" t="s">
        <v>1702</v>
      </c>
      <c r="AO57" s="21">
        <v>45901</v>
      </c>
      <c r="AQ57" s="12">
        <v>1</v>
      </c>
      <c r="AR57" t="b">
        <v>0</v>
      </c>
      <c r="AS57" t="b">
        <v>0</v>
      </c>
      <c r="AT57" s="12" t="s">
        <v>1574</v>
      </c>
    </row>
    <row r="58" spans="1:46" x14ac:dyDescent="0.3">
      <c r="A58" s="57" t="str">
        <f t="shared" si="1"/>
        <v>BLS9107354891073548ATEASTCH45901</v>
      </c>
      <c r="B58" s="57">
        <f>COUNTIF(CONT_TEA[Unique Contract],CONT_TEA[[#This Row],[Unique Contract]])-1</f>
        <v>0</v>
      </c>
      <c r="C58" s="57">
        <f>IFERROR(IF(FIND(CONT_TEA[[#This Row],[SchoolCode]],_xlfn.XLOOKUP(CONT_TEA[[#This Row],[StaffMemberCode]],MEMBERS[StaffMemberCode],MEMBERS[SchoolCodes]))&gt;0,0,1),1)</f>
        <v>0</v>
      </c>
      <c r="D58" s="57" cm="1">
        <f t="array" ref="D58">IF(_xlfn.XLOOKUP(CONT_TEA[[#This Row],[StaffRoleCode]],ROLES[StaffRoleCode],ROLES[AvailableToAllSchools],1,0,)=TRUE,0,IF(ISERROR(FIND(CONT_TEA[[#This Row],[SchoolCode]],_xlfn.TEXTJOIN(",",TRUE,_xlfn.UNIQUE(IF(ROLES[StaffRoleCode]=CONT_TEA[[#This Row],[StaffRoleCode]],ROLES[SchoolCodes],""))))),1,0))</f>
        <v>0</v>
      </c>
      <c r="E58" s="57" cm="1">
        <f t="array" ref="E5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58" s="57" cm="1">
        <f t="array" ref="F58">IF(_xlfn.XLOOKUP(CONT_TEA[[#This Row],[PayScaleCode]],PAYSCALES[PayScaleCode],PAYSCALES[AvailableToAllSchools],1,0,)=TRUE,0,IF(ISERROR(FIND(CONT_TEA[[#This Row],[SchoolCode]],_xlfn.TEXTJOIN(",",TRUE,_xlfn.UNIQUE(IF(PAYSCALES[PayScaleCode]=CONT_TEA[[#This Row],[PayScaleCode]],PAYSCALES[SchoolCodes],""))))),1,0))</f>
        <v>0</v>
      </c>
      <c r="G58" s="57">
        <f>IF(_xlfn.XLOOKUP(CONT_TEA[[#This Row],[PayScaleGradeCode]],GRADES[PayScaleGradeCode],GRADES[AvailableToAllSchools])=TRUE,0,IFERROR(IF(FIND(CONT_TEA[[#This Row],[SchoolCode]],_xlfn.XLOOKUP(CONT_TEA[[#This Row],[PayScaleGradeCode]],GRADES[PayScaleGradeCode],GRADES[SchoolCodes]))&gt;=1,0,1),1))</f>
        <v>0</v>
      </c>
      <c r="H58" s="57">
        <f>IF(ISERROR(IF((_xlfn.XLOOKUP(CONT_TEA[[#This Row],[PayScaleGradeCode]],GRADES[PayScaleGradeCode],GRADES[PayScaleCode])=CONT_TEA[[#This Row],[PayScaleCode]]),0,1)),1,0)</f>
        <v>0</v>
      </c>
      <c r="I58" s="57" cm="1">
        <f t="array" ref="I58">IF(ISERROR(FIND(CONT_TEA[[#This Row],[PayScalePointCode]],_xlfn.TEXTJOIN(",",TRUE,IF(PSPOINTS[PayScaleCode]=CONT_TEA[[#This Row],[PayScaleCode]],PSPOINTS[PayScalePointCode])))),1,0)</f>
        <v>0</v>
      </c>
      <c r="J58" s="57" cm="1">
        <f t="array" ref="J5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58" s="57">
        <f>IF(_xlfn.XLOOKUP(CONT_TEA[[#This Row],[PayScalePointCode]],PSPOINTS[PayScalePointCode],PSPOINTS[PayScalePointEnabled])=TRUE,0,1)</f>
        <v>0</v>
      </c>
      <c r="L58" s="57" cm="1">
        <f t="array" ref="L58">IF(_xlfn.XLOOKUP(CONT_TEA[[#This Row],[DepartmentCode]],DEPTS[DepartmentCode],DEPTS[AvailableToAllSchools],1,0,)=TRUE,0,IF(ISERROR(FIND(CONT_TEA[[#This Row],[SchoolCode]],_xlfn.TEXTJOIN(",",TRUE,_xlfn.UNIQUE(IF(DEPTS[DepartmentCode]=CONT_TEA[[#This Row],[DepartmentCode]],DEPTS[SchoolCodes],""))))),1,0))</f>
        <v>0</v>
      </c>
      <c r="M58" s="57">
        <f>IFERROR(IF(_xlfn.XLOOKUP(CONT_TEA[[#This Row],[SRG Gross]],FinanceCodesBudget[FinanceCode],FinanceCodesBudget[LedgerCode])=_xlfn.XLOOKUP(CONT_TEA[[#This Row],[DepartmentCode]],DEPTS[DepartmentCode],DEPTS[LedgerCode]),0,1),1)</f>
        <v>1</v>
      </c>
      <c r="N58" s="57" cm="1">
        <f t="array" ref="N58">IF(_xlfn.XLOOKUP(CONT_TEA[[#This Row],[PensionCode]],PENS[PensionCode],PENS[AvailableToAllSchools],1,0,)=TRUE,0,IF(ISERROR(FIND(CONT_TEA[[#This Row],[SchoolCode]],_xlfn.TEXTJOIN(",",TRUE,_xlfn.UNIQUE(IF(PENS[PensionCode]=CONT_TEA[[#This Row],[PensionCode]],PENS[SchoolCodes],""))))),1,0))</f>
        <v>0</v>
      </c>
      <c r="O58" s="57" cm="1">
        <f t="array" ref="O58">IF(_xlfn.XLOOKUP(CONT_TEA[[#This Row],[EquatedWeekPatternCode]],EQW[EquatedWeekPatternCode],EQW[AvailableToAllSchools],1,0,)=TRUE,0,IF(ISERROR(FIND(CONT_TEA[[#This Row],[SchoolCode]],_xlfn.TEXTJOIN(",",TRUE,_xlfn.UNIQUE(IF(EQW[EquatedWeekPatternCode]=CONT_TEA[[#This Row],[EquatedWeekPatternCode]],EQW[SchoolCodes],""))))),1,0))</f>
        <v>0</v>
      </c>
      <c r="P58" s="57">
        <f>1-COUNTIF(ContractTypes[Code],CONT_TEA[[#This Row],[ContractTypeCode]])</f>
        <v>0</v>
      </c>
      <c r="Q58" s="57">
        <f>IF(VLOOKUP(CONT_TEA[[#This Row],[StaffMemberCode]],MEMBERS[[StaffMemberCode]:[ServiceStartDate]],5,0)&gt;CONT_TEA[[#This Row],[DateFrom]],1,0)</f>
        <v>0</v>
      </c>
      <c r="R58" s="57">
        <f>IF(_xlfn.XLOOKUP(CONT_TEA[[#This Row],[StaffMemberCode]],MEMBERS[StaffMemberCode],MEMBERS[ServiceEndDate])="",0,IF(CONT_TEA[[#This Row],[DateTo]]="",1,IF(_xlfn.XLOOKUP(CONT_TEA[[#This Row],[StaffMemberCode]],MEMBERS[StaffMemberCode],MEMBERS[ServiceEndDate])&lt;CONT_TEA[[#This Row],[DateTo]],1,0)))</f>
        <v>0</v>
      </c>
      <c r="S58" s="57">
        <f>IF(ISBLANK(CONT_TEA[[#This Row],[DateTo]]),0,IF(CONT_TEA[[#This Row],[DateFrom]]=CONT_TEA[[#This Row],[DateTo]],0,IF(CONT_TEA[[#This Row],[DateFrom]]&lt;CONT_TEA[[#This Row],[DateTo]],0,1)))</f>
        <v>0</v>
      </c>
      <c r="T58" s="57" cm="1">
        <f t="array" aca="1" ref="T58" ca="1">IF(CELL("format",CONT_TEA[[#This Row],[DateFrom]])="D1",0,1)+IF(CELL("format",CONT_TEA[[#This Row],[DateTo]])="D1",0,1)</f>
        <v>0</v>
      </c>
      <c r="U58" s="57">
        <f>IF(OR(CONT_TEA[[#This Row],[MatEditOnly]]=TRUE,CONT_TEA[[#This Row],[MatEditOnly]]=FALSE),IF(OR(CONT_TEA[[#This Row],[NoIncrement]]=TRUE,CONT_TEA[[#This Row],[NoIncrement]]=FALSE),0,1),1)</f>
        <v>0</v>
      </c>
      <c r="V58" s="57">
        <f>IF(ISBLANK(CONT_TEA[[#This Row],[FundCode]])=TRUE,0,IF(COUNTIF(FUNDS[FundCode],CONT_TEA[[#This Row],[FundCode]])=1,0,1))</f>
        <v>0</v>
      </c>
      <c r="W58" s="57">
        <f>IF(LEN(CONT_TEA[[#This Row],[Notes]])&lt;4000,0,1)</f>
        <v>0</v>
      </c>
      <c r="X58" s="57">
        <f>IF(SUBSTITUTE(TEXT(CONT_TEA[[#This Row],[Reference]],10)," ","")=TEXT(CONT_TEA[[#This Row],[Reference]],10),0,1)</f>
        <v>0</v>
      </c>
      <c r="Y58" s="57">
        <f ca="1">SUM(CONT_TEA[[#This Row],[Duplicate Contract]:[Space in Code]])</f>
        <v>1</v>
      </c>
      <c r="AA58" s="12" t="s">
        <v>2094</v>
      </c>
      <c r="AB58" s="15">
        <v>91073548</v>
      </c>
      <c r="AC58" s="12" t="s">
        <v>4407</v>
      </c>
      <c r="AD58" s="57" t="str">
        <f>_xlfn.XLOOKUP(CONT_TEA[[#This Row],[StaffMemberCode]],StaffMembers!O:O,StaffMembers!R:R)</f>
        <v>Benjamin Elliot</v>
      </c>
      <c r="AE58" s="12" t="s">
        <v>1178</v>
      </c>
      <c r="AF58" s="57">
        <f>_xlfn.XLOOKUP(CONT_TEA[[#This Row],[SRG]],SRG[StaffRoleGroupCode],SRG[GrossSalaryFinanceCode])</f>
        <v>612100</v>
      </c>
      <c r="AG58" s="57" t="str">
        <f>_xlfn.XLOOKUP(CONT_TEA[[#This Row],[StaffRoleCode]],ROLES[StaffRoleCode],ROLES[StaffRoleGroupCode])</f>
        <v>TEA</v>
      </c>
      <c r="AH58" s="57" t="str">
        <f>_xlfn.XLOOKUP(CONT_TEA[[#This Row],[StaffRoleCode]],ROLES[StaffRoleCode],ROLES[PayScaleCode])</f>
        <v>MAIN</v>
      </c>
      <c r="AI58" s="12" t="s">
        <v>1126</v>
      </c>
      <c r="AJ58" s="12" t="s">
        <v>1745</v>
      </c>
      <c r="AK58" s="12" t="s">
        <v>2499</v>
      </c>
      <c r="AM58" s="68" t="s">
        <v>1147</v>
      </c>
      <c r="AN58" s="13" t="s">
        <v>1702</v>
      </c>
      <c r="AO58" s="21">
        <v>45901</v>
      </c>
      <c r="AQ58" s="12">
        <v>1</v>
      </c>
      <c r="AR58" t="b">
        <v>0</v>
      </c>
      <c r="AS58" t="b">
        <v>0</v>
      </c>
      <c r="AT58" s="12" t="s">
        <v>1574</v>
      </c>
    </row>
    <row r="59" spans="1:46" x14ac:dyDescent="0.3">
      <c r="A59" s="57" t="str">
        <f t="shared" si="1"/>
        <v>BLS9107344991073449ATEASTCH45901</v>
      </c>
      <c r="B59" s="57">
        <f>COUNTIF(CONT_TEA[Unique Contract],CONT_TEA[[#This Row],[Unique Contract]])-1</f>
        <v>0</v>
      </c>
      <c r="C59" s="57">
        <f>IFERROR(IF(FIND(CONT_TEA[[#This Row],[SchoolCode]],_xlfn.XLOOKUP(CONT_TEA[[#This Row],[StaffMemberCode]],MEMBERS[StaffMemberCode],MEMBERS[SchoolCodes]))&gt;0,0,1),1)</f>
        <v>0</v>
      </c>
      <c r="D59" s="57" cm="1">
        <f t="array" ref="D59">IF(_xlfn.XLOOKUP(CONT_TEA[[#This Row],[StaffRoleCode]],ROLES[StaffRoleCode],ROLES[AvailableToAllSchools],1,0,)=TRUE,0,IF(ISERROR(FIND(CONT_TEA[[#This Row],[SchoolCode]],_xlfn.TEXTJOIN(",",TRUE,_xlfn.UNIQUE(IF(ROLES[StaffRoleCode]=CONT_TEA[[#This Row],[StaffRoleCode]],ROLES[SchoolCodes],""))))),1,0))</f>
        <v>0</v>
      </c>
      <c r="E59" s="57" cm="1">
        <f t="array" ref="E5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59" s="57" cm="1">
        <f t="array" ref="F59">IF(_xlfn.XLOOKUP(CONT_TEA[[#This Row],[PayScaleCode]],PAYSCALES[PayScaleCode],PAYSCALES[AvailableToAllSchools],1,0,)=TRUE,0,IF(ISERROR(FIND(CONT_TEA[[#This Row],[SchoolCode]],_xlfn.TEXTJOIN(",",TRUE,_xlfn.UNIQUE(IF(PAYSCALES[PayScaleCode]=CONT_TEA[[#This Row],[PayScaleCode]],PAYSCALES[SchoolCodes],""))))),1,0))</f>
        <v>0</v>
      </c>
      <c r="G59" s="57">
        <f>IF(_xlfn.XLOOKUP(CONT_TEA[[#This Row],[PayScaleGradeCode]],GRADES[PayScaleGradeCode],GRADES[AvailableToAllSchools])=TRUE,0,IFERROR(IF(FIND(CONT_TEA[[#This Row],[SchoolCode]],_xlfn.XLOOKUP(CONT_TEA[[#This Row],[PayScaleGradeCode]],GRADES[PayScaleGradeCode],GRADES[SchoolCodes]))&gt;=1,0,1),1))</f>
        <v>0</v>
      </c>
      <c r="H59" s="57">
        <f>IF(ISERROR(IF((_xlfn.XLOOKUP(CONT_TEA[[#This Row],[PayScaleGradeCode]],GRADES[PayScaleGradeCode],GRADES[PayScaleCode])=CONT_TEA[[#This Row],[PayScaleCode]]),0,1)),1,0)</f>
        <v>0</v>
      </c>
      <c r="I59" s="57" cm="1">
        <f t="array" ref="I59">IF(ISERROR(FIND(CONT_TEA[[#This Row],[PayScalePointCode]],_xlfn.TEXTJOIN(",",TRUE,IF(PSPOINTS[PayScaleCode]=CONT_TEA[[#This Row],[PayScaleCode]],PSPOINTS[PayScalePointCode])))),1,0)</f>
        <v>0</v>
      </c>
      <c r="J59" s="57" cm="1">
        <f t="array" ref="J5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59" s="57">
        <f>IF(_xlfn.XLOOKUP(CONT_TEA[[#This Row],[PayScalePointCode]],PSPOINTS[PayScalePointCode],PSPOINTS[PayScalePointEnabled])=TRUE,0,1)</f>
        <v>0</v>
      </c>
      <c r="L59" s="57" cm="1">
        <f t="array" ref="L59">IF(_xlfn.XLOOKUP(CONT_TEA[[#This Row],[DepartmentCode]],DEPTS[DepartmentCode],DEPTS[AvailableToAllSchools],1,0,)=TRUE,0,IF(ISERROR(FIND(CONT_TEA[[#This Row],[SchoolCode]],_xlfn.TEXTJOIN(",",TRUE,_xlfn.UNIQUE(IF(DEPTS[DepartmentCode]=CONT_TEA[[#This Row],[DepartmentCode]],DEPTS[SchoolCodes],""))))),1,0))</f>
        <v>0</v>
      </c>
      <c r="M59" s="57">
        <f>IFERROR(IF(_xlfn.XLOOKUP(CONT_TEA[[#This Row],[SRG Gross]],FinanceCodesBudget[FinanceCode],FinanceCodesBudget[LedgerCode])=_xlfn.XLOOKUP(CONT_TEA[[#This Row],[DepartmentCode]],DEPTS[DepartmentCode],DEPTS[LedgerCode]),0,1),1)</f>
        <v>1</v>
      </c>
      <c r="N59" s="57" cm="1">
        <f t="array" ref="N59">IF(_xlfn.XLOOKUP(CONT_TEA[[#This Row],[PensionCode]],PENS[PensionCode],PENS[AvailableToAllSchools],1,0,)=TRUE,0,IF(ISERROR(FIND(CONT_TEA[[#This Row],[SchoolCode]],_xlfn.TEXTJOIN(",",TRUE,_xlfn.UNIQUE(IF(PENS[PensionCode]=CONT_TEA[[#This Row],[PensionCode]],PENS[SchoolCodes],""))))),1,0))</f>
        <v>0</v>
      </c>
      <c r="O59" s="57" cm="1">
        <f t="array" ref="O59">IF(_xlfn.XLOOKUP(CONT_TEA[[#This Row],[EquatedWeekPatternCode]],EQW[EquatedWeekPatternCode],EQW[AvailableToAllSchools],1,0,)=TRUE,0,IF(ISERROR(FIND(CONT_TEA[[#This Row],[SchoolCode]],_xlfn.TEXTJOIN(",",TRUE,_xlfn.UNIQUE(IF(EQW[EquatedWeekPatternCode]=CONT_TEA[[#This Row],[EquatedWeekPatternCode]],EQW[SchoolCodes],""))))),1,0))</f>
        <v>0</v>
      </c>
      <c r="P59" s="57">
        <f>1-COUNTIF(ContractTypes[Code],CONT_TEA[[#This Row],[ContractTypeCode]])</f>
        <v>0</v>
      </c>
      <c r="Q59" s="57">
        <f>IF(VLOOKUP(CONT_TEA[[#This Row],[StaffMemberCode]],MEMBERS[[StaffMemberCode]:[ServiceStartDate]],5,0)&gt;CONT_TEA[[#This Row],[DateFrom]],1,0)</f>
        <v>0</v>
      </c>
      <c r="R59" s="57">
        <f>IF(_xlfn.XLOOKUP(CONT_TEA[[#This Row],[StaffMemberCode]],MEMBERS[StaffMemberCode],MEMBERS[ServiceEndDate])="",0,IF(CONT_TEA[[#This Row],[DateTo]]="",1,IF(_xlfn.XLOOKUP(CONT_TEA[[#This Row],[StaffMemberCode]],MEMBERS[StaffMemberCode],MEMBERS[ServiceEndDate])&lt;CONT_TEA[[#This Row],[DateTo]],1,0)))</f>
        <v>0</v>
      </c>
      <c r="S59" s="57">
        <f>IF(ISBLANK(CONT_TEA[[#This Row],[DateTo]]),0,IF(CONT_TEA[[#This Row],[DateFrom]]=CONT_TEA[[#This Row],[DateTo]],0,IF(CONT_TEA[[#This Row],[DateFrom]]&lt;CONT_TEA[[#This Row],[DateTo]],0,1)))</f>
        <v>0</v>
      </c>
      <c r="T59" s="57" cm="1">
        <f t="array" aca="1" ref="T59" ca="1">IF(CELL("format",CONT_TEA[[#This Row],[DateFrom]])="D1",0,1)+IF(CELL("format",CONT_TEA[[#This Row],[DateTo]])="D1",0,1)</f>
        <v>0</v>
      </c>
      <c r="U59" s="57">
        <f>IF(OR(CONT_TEA[[#This Row],[MatEditOnly]]=TRUE,CONT_TEA[[#This Row],[MatEditOnly]]=FALSE),IF(OR(CONT_TEA[[#This Row],[NoIncrement]]=TRUE,CONT_TEA[[#This Row],[NoIncrement]]=FALSE),0,1),1)</f>
        <v>0</v>
      </c>
      <c r="V59" s="57">
        <f>IF(ISBLANK(CONT_TEA[[#This Row],[FundCode]])=TRUE,0,IF(COUNTIF(FUNDS[FundCode],CONT_TEA[[#This Row],[FundCode]])=1,0,1))</f>
        <v>0</v>
      </c>
      <c r="W59" s="57">
        <f>IF(LEN(CONT_TEA[[#This Row],[Notes]])&lt;4000,0,1)</f>
        <v>0</v>
      </c>
      <c r="X59" s="57">
        <f>IF(SUBSTITUTE(TEXT(CONT_TEA[[#This Row],[Reference]],10)," ","")=TEXT(CONT_TEA[[#This Row],[Reference]],10),0,1)</f>
        <v>0</v>
      </c>
      <c r="Y59" s="57">
        <f ca="1">SUM(CONT_TEA[[#This Row],[Duplicate Contract]:[Space in Code]])</f>
        <v>1</v>
      </c>
      <c r="AA59" s="12" t="s">
        <v>2094</v>
      </c>
      <c r="AB59" s="15">
        <v>91073449</v>
      </c>
      <c r="AC59" s="12" t="s">
        <v>4408</v>
      </c>
      <c r="AD59" s="57" t="str">
        <f>_xlfn.XLOOKUP(CONT_TEA[[#This Row],[StaffMemberCode]],StaffMembers!O:O,StaffMembers!R:R)</f>
        <v>Caroline Vernon</v>
      </c>
      <c r="AE59" s="12" t="s">
        <v>1178</v>
      </c>
      <c r="AF59" s="57">
        <f>_xlfn.XLOOKUP(CONT_TEA[[#This Row],[SRG]],SRG[StaffRoleGroupCode],SRG[GrossSalaryFinanceCode])</f>
        <v>612100</v>
      </c>
      <c r="AG59" s="57" t="str">
        <f>_xlfn.XLOOKUP(CONT_TEA[[#This Row],[StaffRoleCode]],ROLES[StaffRoleCode],ROLES[StaffRoleGroupCode])</f>
        <v>TEA</v>
      </c>
      <c r="AH59" s="57" t="str">
        <f>_xlfn.XLOOKUP(CONT_TEA[[#This Row],[StaffRoleCode]],ROLES[StaffRoleCode],ROLES[PayScaleCode])</f>
        <v>MAIN</v>
      </c>
      <c r="AI59" s="12" t="s">
        <v>1126</v>
      </c>
      <c r="AJ59" s="12" t="s">
        <v>1745</v>
      </c>
      <c r="AK59" s="12" t="s">
        <v>2499</v>
      </c>
      <c r="AM59" s="68" t="s">
        <v>1147</v>
      </c>
      <c r="AN59" s="13" t="s">
        <v>1702</v>
      </c>
      <c r="AO59" s="21">
        <v>45901</v>
      </c>
      <c r="AQ59" s="12">
        <v>1</v>
      </c>
      <c r="AR59" t="b">
        <v>0</v>
      </c>
      <c r="AS59" t="b">
        <v>0</v>
      </c>
      <c r="AT59" s="12" t="s">
        <v>1574</v>
      </c>
    </row>
    <row r="60" spans="1:46" x14ac:dyDescent="0.3">
      <c r="A60" s="57" t="str">
        <f t="shared" si="1"/>
        <v>BLS9107355991073559ATEASTCH45901</v>
      </c>
      <c r="B60" s="57">
        <f>COUNTIF(CONT_TEA[Unique Contract],CONT_TEA[[#This Row],[Unique Contract]])-1</f>
        <v>0</v>
      </c>
      <c r="C60" s="57">
        <f>IFERROR(IF(FIND(CONT_TEA[[#This Row],[SchoolCode]],_xlfn.XLOOKUP(CONT_TEA[[#This Row],[StaffMemberCode]],MEMBERS[StaffMemberCode],MEMBERS[SchoolCodes]))&gt;0,0,1),1)</f>
        <v>0</v>
      </c>
      <c r="D60" s="57" cm="1">
        <f t="array" ref="D60">IF(_xlfn.XLOOKUP(CONT_TEA[[#This Row],[StaffRoleCode]],ROLES[StaffRoleCode],ROLES[AvailableToAllSchools],1,0,)=TRUE,0,IF(ISERROR(FIND(CONT_TEA[[#This Row],[SchoolCode]],_xlfn.TEXTJOIN(",",TRUE,_xlfn.UNIQUE(IF(ROLES[StaffRoleCode]=CONT_TEA[[#This Row],[StaffRoleCode]],ROLES[SchoolCodes],""))))),1,0))</f>
        <v>0</v>
      </c>
      <c r="E60" s="57" cm="1">
        <f t="array" ref="E6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60" s="57" cm="1">
        <f t="array" ref="F60">IF(_xlfn.XLOOKUP(CONT_TEA[[#This Row],[PayScaleCode]],PAYSCALES[PayScaleCode],PAYSCALES[AvailableToAllSchools],1,0,)=TRUE,0,IF(ISERROR(FIND(CONT_TEA[[#This Row],[SchoolCode]],_xlfn.TEXTJOIN(",",TRUE,_xlfn.UNIQUE(IF(PAYSCALES[PayScaleCode]=CONT_TEA[[#This Row],[PayScaleCode]],PAYSCALES[SchoolCodes],""))))),1,0))</f>
        <v>0</v>
      </c>
      <c r="G60" s="57">
        <f>IF(_xlfn.XLOOKUP(CONT_TEA[[#This Row],[PayScaleGradeCode]],GRADES[PayScaleGradeCode],GRADES[AvailableToAllSchools])=TRUE,0,IFERROR(IF(FIND(CONT_TEA[[#This Row],[SchoolCode]],_xlfn.XLOOKUP(CONT_TEA[[#This Row],[PayScaleGradeCode]],GRADES[PayScaleGradeCode],GRADES[SchoolCodes]))&gt;=1,0,1),1))</f>
        <v>0</v>
      </c>
      <c r="H60" s="57">
        <f>IF(ISERROR(IF((_xlfn.XLOOKUP(CONT_TEA[[#This Row],[PayScaleGradeCode]],GRADES[PayScaleGradeCode],GRADES[PayScaleCode])=CONT_TEA[[#This Row],[PayScaleCode]]),0,1)),1,0)</f>
        <v>0</v>
      </c>
      <c r="I60" s="57" cm="1">
        <f t="array" ref="I60">IF(ISERROR(FIND(CONT_TEA[[#This Row],[PayScalePointCode]],_xlfn.TEXTJOIN(",",TRUE,IF(PSPOINTS[PayScaleCode]=CONT_TEA[[#This Row],[PayScaleCode]],PSPOINTS[PayScalePointCode])))),1,0)</f>
        <v>0</v>
      </c>
      <c r="J60" s="57" cm="1">
        <f t="array" ref="J6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60" s="57">
        <f>IF(_xlfn.XLOOKUP(CONT_TEA[[#This Row],[PayScalePointCode]],PSPOINTS[PayScalePointCode],PSPOINTS[PayScalePointEnabled])=TRUE,0,1)</f>
        <v>0</v>
      </c>
      <c r="L60" s="57" cm="1">
        <f t="array" ref="L60">IF(_xlfn.XLOOKUP(CONT_TEA[[#This Row],[DepartmentCode]],DEPTS[DepartmentCode],DEPTS[AvailableToAllSchools],1,0,)=TRUE,0,IF(ISERROR(FIND(CONT_TEA[[#This Row],[SchoolCode]],_xlfn.TEXTJOIN(",",TRUE,_xlfn.UNIQUE(IF(DEPTS[DepartmentCode]=CONT_TEA[[#This Row],[DepartmentCode]],DEPTS[SchoolCodes],""))))),1,0))</f>
        <v>0</v>
      </c>
      <c r="M60" s="57">
        <f>IFERROR(IF(_xlfn.XLOOKUP(CONT_TEA[[#This Row],[SRG Gross]],FinanceCodesBudget[FinanceCode],FinanceCodesBudget[LedgerCode])=_xlfn.XLOOKUP(CONT_TEA[[#This Row],[DepartmentCode]],DEPTS[DepartmentCode],DEPTS[LedgerCode]),0,1),1)</f>
        <v>1</v>
      </c>
      <c r="N60" s="57" cm="1">
        <f t="array" ref="N60">IF(_xlfn.XLOOKUP(CONT_TEA[[#This Row],[PensionCode]],PENS[PensionCode],PENS[AvailableToAllSchools],1,0,)=TRUE,0,IF(ISERROR(FIND(CONT_TEA[[#This Row],[SchoolCode]],_xlfn.TEXTJOIN(",",TRUE,_xlfn.UNIQUE(IF(PENS[PensionCode]=CONT_TEA[[#This Row],[PensionCode]],PENS[SchoolCodes],""))))),1,0))</f>
        <v>0</v>
      </c>
      <c r="O60" s="57" cm="1">
        <f t="array" ref="O60">IF(_xlfn.XLOOKUP(CONT_TEA[[#This Row],[EquatedWeekPatternCode]],EQW[EquatedWeekPatternCode],EQW[AvailableToAllSchools],1,0,)=TRUE,0,IF(ISERROR(FIND(CONT_TEA[[#This Row],[SchoolCode]],_xlfn.TEXTJOIN(",",TRUE,_xlfn.UNIQUE(IF(EQW[EquatedWeekPatternCode]=CONT_TEA[[#This Row],[EquatedWeekPatternCode]],EQW[SchoolCodes],""))))),1,0))</f>
        <v>0</v>
      </c>
      <c r="P60" s="57">
        <f>1-COUNTIF(ContractTypes[Code],CONT_TEA[[#This Row],[ContractTypeCode]])</f>
        <v>0</v>
      </c>
      <c r="Q60" s="57">
        <f>IF(VLOOKUP(CONT_TEA[[#This Row],[StaffMemberCode]],MEMBERS[[StaffMemberCode]:[ServiceStartDate]],5,0)&gt;CONT_TEA[[#This Row],[DateFrom]],1,0)</f>
        <v>0</v>
      </c>
      <c r="R60" s="57">
        <f>IF(_xlfn.XLOOKUP(CONT_TEA[[#This Row],[StaffMemberCode]],MEMBERS[StaffMemberCode],MEMBERS[ServiceEndDate])="",0,IF(CONT_TEA[[#This Row],[DateTo]]="",1,IF(_xlfn.XLOOKUP(CONT_TEA[[#This Row],[StaffMemberCode]],MEMBERS[StaffMemberCode],MEMBERS[ServiceEndDate])&lt;CONT_TEA[[#This Row],[DateTo]],1,0)))</f>
        <v>0</v>
      </c>
      <c r="S60" s="57">
        <f>IF(ISBLANK(CONT_TEA[[#This Row],[DateTo]]),0,IF(CONT_TEA[[#This Row],[DateFrom]]=CONT_TEA[[#This Row],[DateTo]],0,IF(CONT_TEA[[#This Row],[DateFrom]]&lt;CONT_TEA[[#This Row],[DateTo]],0,1)))</f>
        <v>0</v>
      </c>
      <c r="T60" s="57" cm="1">
        <f t="array" aca="1" ref="T60" ca="1">IF(CELL("format",CONT_TEA[[#This Row],[DateFrom]])="D1",0,1)+IF(CELL("format",CONT_TEA[[#This Row],[DateTo]])="D1",0,1)</f>
        <v>0</v>
      </c>
      <c r="U60" s="57">
        <f>IF(OR(CONT_TEA[[#This Row],[MatEditOnly]]=TRUE,CONT_TEA[[#This Row],[MatEditOnly]]=FALSE),IF(OR(CONT_TEA[[#This Row],[NoIncrement]]=TRUE,CONT_TEA[[#This Row],[NoIncrement]]=FALSE),0,1),1)</f>
        <v>0</v>
      </c>
      <c r="V60" s="57">
        <f>IF(ISBLANK(CONT_TEA[[#This Row],[FundCode]])=TRUE,0,IF(COUNTIF(FUNDS[FundCode],CONT_TEA[[#This Row],[FundCode]])=1,0,1))</f>
        <v>0</v>
      </c>
      <c r="W60" s="57">
        <f>IF(LEN(CONT_TEA[[#This Row],[Notes]])&lt;4000,0,1)</f>
        <v>0</v>
      </c>
      <c r="X60" s="57">
        <f>IF(SUBSTITUTE(TEXT(CONT_TEA[[#This Row],[Reference]],10)," ","")=TEXT(CONT_TEA[[#This Row],[Reference]],10),0,1)</f>
        <v>0</v>
      </c>
      <c r="Y60" s="57">
        <f ca="1">SUM(CONT_TEA[[#This Row],[Duplicate Contract]:[Space in Code]])</f>
        <v>1</v>
      </c>
      <c r="AA60" s="12" t="s">
        <v>2094</v>
      </c>
      <c r="AB60" s="15">
        <v>91073559</v>
      </c>
      <c r="AC60" s="12" t="s">
        <v>4409</v>
      </c>
      <c r="AD60" s="57" t="str">
        <f>_xlfn.XLOOKUP(CONT_TEA[[#This Row],[StaffMemberCode]],StaffMembers!O:O,StaffMembers!R:R)</f>
        <v>Christopher Pollard</v>
      </c>
      <c r="AE60" s="12" t="s">
        <v>1178</v>
      </c>
      <c r="AF60" s="57">
        <f>_xlfn.XLOOKUP(CONT_TEA[[#This Row],[SRG]],SRG[StaffRoleGroupCode],SRG[GrossSalaryFinanceCode])</f>
        <v>612100</v>
      </c>
      <c r="AG60" s="57" t="str">
        <f>_xlfn.XLOOKUP(CONT_TEA[[#This Row],[StaffRoleCode]],ROLES[StaffRoleCode],ROLES[StaffRoleGroupCode])</f>
        <v>TEA</v>
      </c>
      <c r="AH60" s="57" t="str">
        <f>_xlfn.XLOOKUP(CONT_TEA[[#This Row],[StaffRoleCode]],ROLES[StaffRoleCode],ROLES[PayScaleCode])</f>
        <v>MAIN</v>
      </c>
      <c r="AI60" s="12" t="s">
        <v>1126</v>
      </c>
      <c r="AJ60" s="12" t="s">
        <v>1745</v>
      </c>
      <c r="AK60" s="12" t="s">
        <v>2499</v>
      </c>
      <c r="AM60" s="68" t="s">
        <v>1147</v>
      </c>
      <c r="AN60" s="13" t="s">
        <v>1702</v>
      </c>
      <c r="AO60" s="21">
        <v>45901</v>
      </c>
      <c r="AQ60" s="12">
        <v>1</v>
      </c>
      <c r="AR60" t="b">
        <v>0</v>
      </c>
      <c r="AS60" t="b">
        <v>0</v>
      </c>
      <c r="AT60" s="12" t="s">
        <v>1574</v>
      </c>
    </row>
    <row r="61" spans="1:46" x14ac:dyDescent="0.3">
      <c r="A61" s="57" t="str">
        <f t="shared" si="1"/>
        <v>ALS9107377291073772ATEASTCH45901</v>
      </c>
      <c r="B61" s="57">
        <f>COUNTIF(CONT_TEA[Unique Contract],CONT_TEA[[#This Row],[Unique Contract]])-1</f>
        <v>0</v>
      </c>
      <c r="C61" s="57">
        <f>IFERROR(IF(FIND(CONT_TEA[[#This Row],[SchoolCode]],_xlfn.XLOOKUP(CONT_TEA[[#This Row],[StaffMemberCode]],MEMBERS[StaffMemberCode],MEMBERS[SchoolCodes]))&gt;0,0,1),1)</f>
        <v>0</v>
      </c>
      <c r="D61" s="57" cm="1">
        <f t="array" ref="D61">IF(_xlfn.XLOOKUP(CONT_TEA[[#This Row],[StaffRoleCode]],ROLES[StaffRoleCode],ROLES[AvailableToAllSchools],1,0,)=TRUE,0,IF(ISERROR(FIND(CONT_TEA[[#This Row],[SchoolCode]],_xlfn.TEXTJOIN(",",TRUE,_xlfn.UNIQUE(IF(ROLES[StaffRoleCode]=CONT_TEA[[#This Row],[StaffRoleCode]],ROLES[SchoolCodes],""))))),1,0))</f>
        <v>0</v>
      </c>
      <c r="E61" s="57" cm="1">
        <f t="array" ref="E6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61" s="57" cm="1">
        <f t="array" ref="F61">IF(_xlfn.XLOOKUP(CONT_TEA[[#This Row],[PayScaleCode]],PAYSCALES[PayScaleCode],PAYSCALES[AvailableToAllSchools],1,0,)=TRUE,0,IF(ISERROR(FIND(CONT_TEA[[#This Row],[SchoolCode]],_xlfn.TEXTJOIN(",",TRUE,_xlfn.UNIQUE(IF(PAYSCALES[PayScaleCode]=CONT_TEA[[#This Row],[PayScaleCode]],PAYSCALES[SchoolCodes],""))))),1,0))</f>
        <v>0</v>
      </c>
      <c r="G61" s="57">
        <f>IF(_xlfn.XLOOKUP(CONT_TEA[[#This Row],[PayScaleGradeCode]],GRADES[PayScaleGradeCode],GRADES[AvailableToAllSchools])=TRUE,0,IFERROR(IF(FIND(CONT_TEA[[#This Row],[SchoolCode]],_xlfn.XLOOKUP(CONT_TEA[[#This Row],[PayScaleGradeCode]],GRADES[PayScaleGradeCode],GRADES[SchoolCodes]))&gt;=1,0,1),1))</f>
        <v>0</v>
      </c>
      <c r="H61" s="57">
        <f>IF(ISERROR(IF((_xlfn.XLOOKUP(CONT_TEA[[#This Row],[PayScaleGradeCode]],GRADES[PayScaleGradeCode],GRADES[PayScaleCode])=CONT_TEA[[#This Row],[PayScaleCode]]),0,1)),1,0)</f>
        <v>0</v>
      </c>
      <c r="I61" s="57" cm="1">
        <f t="array" ref="I61">IF(ISERROR(FIND(CONT_TEA[[#This Row],[PayScalePointCode]],_xlfn.TEXTJOIN(",",TRUE,IF(PSPOINTS[PayScaleCode]=CONT_TEA[[#This Row],[PayScaleCode]],PSPOINTS[PayScalePointCode])))),1,0)</f>
        <v>0</v>
      </c>
      <c r="J61" s="57" cm="1">
        <f t="array" ref="J6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61" s="57">
        <f>IF(_xlfn.XLOOKUP(CONT_TEA[[#This Row],[PayScalePointCode]],PSPOINTS[PayScalePointCode],PSPOINTS[PayScalePointEnabled])=TRUE,0,1)</f>
        <v>0</v>
      </c>
      <c r="L61" s="57" cm="1">
        <f t="array" ref="L61">IF(_xlfn.XLOOKUP(CONT_TEA[[#This Row],[DepartmentCode]],DEPTS[DepartmentCode],DEPTS[AvailableToAllSchools],1,0,)=TRUE,0,IF(ISERROR(FIND(CONT_TEA[[#This Row],[SchoolCode]],_xlfn.TEXTJOIN(",",TRUE,_xlfn.UNIQUE(IF(DEPTS[DepartmentCode]=CONT_TEA[[#This Row],[DepartmentCode]],DEPTS[SchoolCodes],""))))),1,0))</f>
        <v>0</v>
      </c>
      <c r="M61" s="57">
        <f>IFERROR(IF(_xlfn.XLOOKUP(CONT_TEA[[#This Row],[SRG Gross]],FinanceCodesBudget[FinanceCode],FinanceCodesBudget[LedgerCode])=_xlfn.XLOOKUP(CONT_TEA[[#This Row],[DepartmentCode]],DEPTS[DepartmentCode],DEPTS[LedgerCode]),0,1),1)</f>
        <v>1</v>
      </c>
      <c r="N61" s="57" cm="1">
        <f t="array" ref="N61">IF(_xlfn.XLOOKUP(CONT_TEA[[#This Row],[PensionCode]],PENS[PensionCode],PENS[AvailableToAllSchools],1,0,)=TRUE,0,IF(ISERROR(FIND(CONT_TEA[[#This Row],[SchoolCode]],_xlfn.TEXTJOIN(",",TRUE,_xlfn.UNIQUE(IF(PENS[PensionCode]=CONT_TEA[[#This Row],[PensionCode]],PENS[SchoolCodes],""))))),1,0))</f>
        <v>0</v>
      </c>
      <c r="O61" s="57" cm="1">
        <f t="array" ref="O61">IF(_xlfn.XLOOKUP(CONT_TEA[[#This Row],[EquatedWeekPatternCode]],EQW[EquatedWeekPatternCode],EQW[AvailableToAllSchools],1,0,)=TRUE,0,IF(ISERROR(FIND(CONT_TEA[[#This Row],[SchoolCode]],_xlfn.TEXTJOIN(",",TRUE,_xlfn.UNIQUE(IF(EQW[EquatedWeekPatternCode]=CONT_TEA[[#This Row],[EquatedWeekPatternCode]],EQW[SchoolCodes],""))))),1,0))</f>
        <v>0</v>
      </c>
      <c r="P61" s="57">
        <f>1-COUNTIF(ContractTypes[Code],CONT_TEA[[#This Row],[ContractTypeCode]])</f>
        <v>0</v>
      </c>
      <c r="Q61" s="57">
        <f>IF(VLOOKUP(CONT_TEA[[#This Row],[StaffMemberCode]],MEMBERS[[StaffMemberCode]:[ServiceStartDate]],5,0)&gt;CONT_TEA[[#This Row],[DateFrom]],1,0)</f>
        <v>0</v>
      </c>
      <c r="R61" s="57">
        <f>IF(_xlfn.XLOOKUP(CONT_TEA[[#This Row],[StaffMemberCode]],MEMBERS[StaffMemberCode],MEMBERS[ServiceEndDate])="",0,IF(CONT_TEA[[#This Row],[DateTo]]="",1,IF(_xlfn.XLOOKUP(CONT_TEA[[#This Row],[StaffMemberCode]],MEMBERS[StaffMemberCode],MEMBERS[ServiceEndDate])&lt;CONT_TEA[[#This Row],[DateTo]],1,0)))</f>
        <v>0</v>
      </c>
      <c r="S61" s="57">
        <f>IF(ISBLANK(CONT_TEA[[#This Row],[DateTo]]),0,IF(CONT_TEA[[#This Row],[DateFrom]]=CONT_TEA[[#This Row],[DateTo]],0,IF(CONT_TEA[[#This Row],[DateFrom]]&lt;CONT_TEA[[#This Row],[DateTo]],0,1)))</f>
        <v>0</v>
      </c>
      <c r="T61" s="57" cm="1">
        <f t="array" aca="1" ref="T61" ca="1">IF(CELL("format",CONT_TEA[[#This Row],[DateFrom]])="D1",0,1)+IF(CELL("format",CONT_TEA[[#This Row],[DateTo]])="D1",0,1)</f>
        <v>0</v>
      </c>
      <c r="U61" s="57">
        <f>IF(OR(CONT_TEA[[#This Row],[MatEditOnly]]=TRUE,CONT_TEA[[#This Row],[MatEditOnly]]=FALSE),IF(OR(CONT_TEA[[#This Row],[NoIncrement]]=TRUE,CONT_TEA[[#This Row],[NoIncrement]]=FALSE),0,1),1)</f>
        <v>0</v>
      </c>
      <c r="V61" s="57">
        <f>IF(ISBLANK(CONT_TEA[[#This Row],[FundCode]])=TRUE,0,IF(COUNTIF(FUNDS[FundCode],CONT_TEA[[#This Row],[FundCode]])=1,0,1))</f>
        <v>0</v>
      </c>
      <c r="W61" s="57">
        <f>IF(LEN(CONT_TEA[[#This Row],[Notes]])&lt;4000,0,1)</f>
        <v>0</v>
      </c>
      <c r="X61" s="57">
        <f>IF(SUBSTITUTE(TEXT(CONT_TEA[[#This Row],[Reference]],10)," ","")=TEXT(CONT_TEA[[#This Row],[Reference]],10),0,1)</f>
        <v>0</v>
      </c>
      <c r="Y61" s="57">
        <f ca="1">SUM(CONT_TEA[[#This Row],[Duplicate Contract]:[Space in Code]])</f>
        <v>1</v>
      </c>
      <c r="AA61" s="12" t="s">
        <v>2082</v>
      </c>
      <c r="AB61" s="15">
        <v>91073772</v>
      </c>
      <c r="AC61" s="12" t="s">
        <v>4410</v>
      </c>
      <c r="AD61" s="57" t="str">
        <f>_xlfn.XLOOKUP(CONT_TEA[[#This Row],[StaffMemberCode]],StaffMembers!O:O,StaffMembers!R:R)</f>
        <v>Gillian Smith</v>
      </c>
      <c r="AE61" s="12" t="s">
        <v>1178</v>
      </c>
      <c r="AF61" s="57">
        <f>_xlfn.XLOOKUP(CONT_TEA[[#This Row],[SRG]],SRG[StaffRoleGroupCode],SRG[GrossSalaryFinanceCode])</f>
        <v>612100</v>
      </c>
      <c r="AG61" s="57" t="str">
        <f>_xlfn.XLOOKUP(CONT_TEA[[#This Row],[StaffRoleCode]],ROLES[StaffRoleCode],ROLES[StaffRoleGroupCode])</f>
        <v>TEA</v>
      </c>
      <c r="AH61" s="57" t="str">
        <f>_xlfn.XLOOKUP(CONT_TEA[[#This Row],[StaffRoleCode]],ROLES[StaffRoleCode],ROLES[PayScaleCode])</f>
        <v>MAIN</v>
      </c>
      <c r="AI61" s="12" t="s">
        <v>1126</v>
      </c>
      <c r="AJ61" s="12" t="s">
        <v>1745</v>
      </c>
      <c r="AK61" s="12" t="s">
        <v>2499</v>
      </c>
      <c r="AM61" s="68" t="s">
        <v>1147</v>
      </c>
      <c r="AN61" s="13" t="s">
        <v>1702</v>
      </c>
      <c r="AO61" s="21">
        <v>45901</v>
      </c>
      <c r="AQ61" s="12">
        <v>1</v>
      </c>
      <c r="AR61" t="b">
        <v>0</v>
      </c>
      <c r="AS61" t="b">
        <v>0</v>
      </c>
      <c r="AT61" s="12" t="s">
        <v>1574</v>
      </c>
    </row>
    <row r="62" spans="1:46" x14ac:dyDescent="0.3">
      <c r="A62" s="57" t="str">
        <f t="shared" si="1"/>
        <v>BLS9107348891073488ATEASTCH45901</v>
      </c>
      <c r="B62" s="57">
        <f>COUNTIF(CONT_TEA[Unique Contract],CONT_TEA[[#This Row],[Unique Contract]])-1</f>
        <v>0</v>
      </c>
      <c r="C62" s="57">
        <f>IFERROR(IF(FIND(CONT_TEA[[#This Row],[SchoolCode]],_xlfn.XLOOKUP(CONT_TEA[[#This Row],[StaffMemberCode]],MEMBERS[StaffMemberCode],MEMBERS[SchoolCodes]))&gt;0,0,1),1)</f>
        <v>0</v>
      </c>
      <c r="D62" s="57" cm="1">
        <f t="array" ref="D62">IF(_xlfn.XLOOKUP(CONT_TEA[[#This Row],[StaffRoleCode]],ROLES[StaffRoleCode],ROLES[AvailableToAllSchools],1,0,)=TRUE,0,IF(ISERROR(FIND(CONT_TEA[[#This Row],[SchoolCode]],_xlfn.TEXTJOIN(",",TRUE,_xlfn.UNIQUE(IF(ROLES[StaffRoleCode]=CONT_TEA[[#This Row],[StaffRoleCode]],ROLES[SchoolCodes],""))))),1,0))</f>
        <v>0</v>
      </c>
      <c r="E62" s="57" cm="1">
        <f t="array" ref="E6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62" s="57" cm="1">
        <f t="array" ref="F62">IF(_xlfn.XLOOKUP(CONT_TEA[[#This Row],[PayScaleCode]],PAYSCALES[PayScaleCode],PAYSCALES[AvailableToAllSchools],1,0,)=TRUE,0,IF(ISERROR(FIND(CONT_TEA[[#This Row],[SchoolCode]],_xlfn.TEXTJOIN(",",TRUE,_xlfn.UNIQUE(IF(PAYSCALES[PayScaleCode]=CONT_TEA[[#This Row],[PayScaleCode]],PAYSCALES[SchoolCodes],""))))),1,0))</f>
        <v>0</v>
      </c>
      <c r="G62" s="57">
        <f>IF(_xlfn.XLOOKUP(CONT_TEA[[#This Row],[PayScaleGradeCode]],GRADES[PayScaleGradeCode],GRADES[AvailableToAllSchools])=TRUE,0,IFERROR(IF(FIND(CONT_TEA[[#This Row],[SchoolCode]],_xlfn.XLOOKUP(CONT_TEA[[#This Row],[PayScaleGradeCode]],GRADES[PayScaleGradeCode],GRADES[SchoolCodes]))&gt;=1,0,1),1))</f>
        <v>0</v>
      </c>
      <c r="H62" s="57">
        <f>IF(ISERROR(IF((_xlfn.XLOOKUP(CONT_TEA[[#This Row],[PayScaleGradeCode]],GRADES[PayScaleGradeCode],GRADES[PayScaleCode])=CONT_TEA[[#This Row],[PayScaleCode]]),0,1)),1,0)</f>
        <v>0</v>
      </c>
      <c r="I62" s="57" cm="1">
        <f t="array" ref="I62">IF(ISERROR(FIND(CONT_TEA[[#This Row],[PayScalePointCode]],_xlfn.TEXTJOIN(",",TRUE,IF(PSPOINTS[PayScaleCode]=CONT_TEA[[#This Row],[PayScaleCode]],PSPOINTS[PayScalePointCode])))),1,0)</f>
        <v>0</v>
      </c>
      <c r="J62" s="57" cm="1">
        <f t="array" ref="J6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62" s="57">
        <f>IF(_xlfn.XLOOKUP(CONT_TEA[[#This Row],[PayScalePointCode]],PSPOINTS[PayScalePointCode],PSPOINTS[PayScalePointEnabled])=TRUE,0,1)</f>
        <v>0</v>
      </c>
      <c r="L62" s="57" cm="1">
        <f t="array" ref="L62">IF(_xlfn.XLOOKUP(CONT_TEA[[#This Row],[DepartmentCode]],DEPTS[DepartmentCode],DEPTS[AvailableToAllSchools],1,0,)=TRUE,0,IF(ISERROR(FIND(CONT_TEA[[#This Row],[SchoolCode]],_xlfn.TEXTJOIN(",",TRUE,_xlfn.UNIQUE(IF(DEPTS[DepartmentCode]=CONT_TEA[[#This Row],[DepartmentCode]],DEPTS[SchoolCodes],""))))),1,0))</f>
        <v>0</v>
      </c>
      <c r="M62" s="57">
        <f>IFERROR(IF(_xlfn.XLOOKUP(CONT_TEA[[#This Row],[SRG Gross]],FinanceCodesBudget[FinanceCode],FinanceCodesBudget[LedgerCode])=_xlfn.XLOOKUP(CONT_TEA[[#This Row],[DepartmentCode]],DEPTS[DepartmentCode],DEPTS[LedgerCode]),0,1),1)</f>
        <v>1</v>
      </c>
      <c r="N62" s="57" cm="1">
        <f t="array" ref="N62">IF(_xlfn.XLOOKUP(CONT_TEA[[#This Row],[PensionCode]],PENS[PensionCode],PENS[AvailableToAllSchools],1,0,)=TRUE,0,IF(ISERROR(FIND(CONT_TEA[[#This Row],[SchoolCode]],_xlfn.TEXTJOIN(",",TRUE,_xlfn.UNIQUE(IF(PENS[PensionCode]=CONT_TEA[[#This Row],[PensionCode]],PENS[SchoolCodes],""))))),1,0))</f>
        <v>0</v>
      </c>
      <c r="O62" s="57" cm="1">
        <f t="array" ref="O62">IF(_xlfn.XLOOKUP(CONT_TEA[[#This Row],[EquatedWeekPatternCode]],EQW[EquatedWeekPatternCode],EQW[AvailableToAllSchools],1,0,)=TRUE,0,IF(ISERROR(FIND(CONT_TEA[[#This Row],[SchoolCode]],_xlfn.TEXTJOIN(",",TRUE,_xlfn.UNIQUE(IF(EQW[EquatedWeekPatternCode]=CONT_TEA[[#This Row],[EquatedWeekPatternCode]],EQW[SchoolCodes],""))))),1,0))</f>
        <v>0</v>
      </c>
      <c r="P62" s="57">
        <f>1-COUNTIF(ContractTypes[Code],CONT_TEA[[#This Row],[ContractTypeCode]])</f>
        <v>0</v>
      </c>
      <c r="Q62" s="57">
        <f>IF(VLOOKUP(CONT_TEA[[#This Row],[StaffMemberCode]],MEMBERS[[StaffMemberCode]:[ServiceStartDate]],5,0)&gt;CONT_TEA[[#This Row],[DateFrom]],1,0)</f>
        <v>0</v>
      </c>
      <c r="R62" s="57">
        <f>IF(_xlfn.XLOOKUP(CONT_TEA[[#This Row],[StaffMemberCode]],MEMBERS[StaffMemberCode],MEMBERS[ServiceEndDate])="",0,IF(CONT_TEA[[#This Row],[DateTo]]="",1,IF(_xlfn.XLOOKUP(CONT_TEA[[#This Row],[StaffMemberCode]],MEMBERS[StaffMemberCode],MEMBERS[ServiceEndDate])&lt;CONT_TEA[[#This Row],[DateTo]],1,0)))</f>
        <v>0</v>
      </c>
      <c r="S62" s="57">
        <f>IF(ISBLANK(CONT_TEA[[#This Row],[DateTo]]),0,IF(CONT_TEA[[#This Row],[DateFrom]]=CONT_TEA[[#This Row],[DateTo]],0,IF(CONT_TEA[[#This Row],[DateFrom]]&lt;CONT_TEA[[#This Row],[DateTo]],0,1)))</f>
        <v>0</v>
      </c>
      <c r="T62" s="57" cm="1">
        <f t="array" aca="1" ref="T62" ca="1">IF(CELL("format",CONT_TEA[[#This Row],[DateFrom]])="D1",0,1)+IF(CELL("format",CONT_TEA[[#This Row],[DateTo]])="D1",0,1)</f>
        <v>0</v>
      </c>
      <c r="U62" s="57">
        <f>IF(OR(CONT_TEA[[#This Row],[MatEditOnly]]=TRUE,CONT_TEA[[#This Row],[MatEditOnly]]=FALSE),IF(OR(CONT_TEA[[#This Row],[NoIncrement]]=TRUE,CONT_TEA[[#This Row],[NoIncrement]]=FALSE),0,1),1)</f>
        <v>0</v>
      </c>
      <c r="V62" s="57">
        <f>IF(ISBLANK(CONT_TEA[[#This Row],[FundCode]])=TRUE,0,IF(COUNTIF(FUNDS[FundCode],CONT_TEA[[#This Row],[FundCode]])=1,0,1))</f>
        <v>0</v>
      </c>
      <c r="W62" s="57">
        <f>IF(LEN(CONT_TEA[[#This Row],[Notes]])&lt;4000,0,1)</f>
        <v>0</v>
      </c>
      <c r="X62" s="57">
        <f>IF(SUBSTITUTE(TEXT(CONT_TEA[[#This Row],[Reference]],10)," ","")=TEXT(CONT_TEA[[#This Row],[Reference]],10),0,1)</f>
        <v>0</v>
      </c>
      <c r="Y62" s="57">
        <f ca="1">SUM(CONT_TEA[[#This Row],[Duplicate Contract]:[Space in Code]])</f>
        <v>1</v>
      </c>
      <c r="AA62" s="12" t="s">
        <v>2094</v>
      </c>
      <c r="AB62" s="15">
        <v>91073488</v>
      </c>
      <c r="AC62" s="12" t="s">
        <v>4411</v>
      </c>
      <c r="AD62" s="57" t="str">
        <f>_xlfn.XLOOKUP(CONT_TEA[[#This Row],[StaffMemberCode]],StaffMembers!O:O,StaffMembers!R:R)</f>
        <v>Helen Nicholson</v>
      </c>
      <c r="AE62" s="12" t="s">
        <v>1178</v>
      </c>
      <c r="AF62" s="57">
        <f>_xlfn.XLOOKUP(CONT_TEA[[#This Row],[SRG]],SRG[StaffRoleGroupCode],SRG[GrossSalaryFinanceCode])</f>
        <v>612100</v>
      </c>
      <c r="AG62" s="57" t="str">
        <f>_xlfn.XLOOKUP(CONT_TEA[[#This Row],[StaffRoleCode]],ROLES[StaffRoleCode],ROLES[StaffRoleGroupCode])</f>
        <v>TEA</v>
      </c>
      <c r="AH62" s="57" t="str">
        <f>_xlfn.XLOOKUP(CONT_TEA[[#This Row],[StaffRoleCode]],ROLES[StaffRoleCode],ROLES[PayScaleCode])</f>
        <v>MAIN</v>
      </c>
      <c r="AI62" s="12" t="s">
        <v>1126</v>
      </c>
      <c r="AJ62" s="12" t="s">
        <v>1745</v>
      </c>
      <c r="AK62" s="12" t="s">
        <v>2499</v>
      </c>
      <c r="AM62" s="68" t="s">
        <v>1147</v>
      </c>
      <c r="AN62" s="13" t="s">
        <v>1702</v>
      </c>
      <c r="AO62" s="21">
        <v>45901</v>
      </c>
      <c r="AQ62" s="12">
        <v>1</v>
      </c>
      <c r="AR62" t="b">
        <v>0</v>
      </c>
      <c r="AS62" t="b">
        <v>0</v>
      </c>
      <c r="AT62" s="12" t="s">
        <v>1574</v>
      </c>
    </row>
    <row r="63" spans="1:46" x14ac:dyDescent="0.3">
      <c r="A63" s="57" t="str">
        <f t="shared" si="1"/>
        <v>BLS9107343691073436ATEASTCH45901</v>
      </c>
      <c r="B63" s="57">
        <f>COUNTIF(CONT_TEA[Unique Contract],CONT_TEA[[#This Row],[Unique Contract]])-1</f>
        <v>0</v>
      </c>
      <c r="C63" s="57">
        <f>IFERROR(IF(FIND(CONT_TEA[[#This Row],[SchoolCode]],_xlfn.XLOOKUP(CONT_TEA[[#This Row],[StaffMemberCode]],MEMBERS[StaffMemberCode],MEMBERS[SchoolCodes]))&gt;0,0,1),1)</f>
        <v>0</v>
      </c>
      <c r="D63" s="57" cm="1">
        <f t="array" ref="D63">IF(_xlfn.XLOOKUP(CONT_TEA[[#This Row],[StaffRoleCode]],ROLES[StaffRoleCode],ROLES[AvailableToAllSchools],1,0,)=TRUE,0,IF(ISERROR(FIND(CONT_TEA[[#This Row],[SchoolCode]],_xlfn.TEXTJOIN(",",TRUE,_xlfn.UNIQUE(IF(ROLES[StaffRoleCode]=CONT_TEA[[#This Row],[StaffRoleCode]],ROLES[SchoolCodes],""))))),1,0))</f>
        <v>0</v>
      </c>
      <c r="E63" s="57" cm="1">
        <f t="array" ref="E6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63" s="57" cm="1">
        <f t="array" ref="F63">IF(_xlfn.XLOOKUP(CONT_TEA[[#This Row],[PayScaleCode]],PAYSCALES[PayScaleCode],PAYSCALES[AvailableToAllSchools],1,0,)=TRUE,0,IF(ISERROR(FIND(CONT_TEA[[#This Row],[SchoolCode]],_xlfn.TEXTJOIN(",",TRUE,_xlfn.UNIQUE(IF(PAYSCALES[PayScaleCode]=CONT_TEA[[#This Row],[PayScaleCode]],PAYSCALES[SchoolCodes],""))))),1,0))</f>
        <v>0</v>
      </c>
      <c r="G63" s="57">
        <f>IF(_xlfn.XLOOKUP(CONT_TEA[[#This Row],[PayScaleGradeCode]],GRADES[PayScaleGradeCode],GRADES[AvailableToAllSchools])=TRUE,0,IFERROR(IF(FIND(CONT_TEA[[#This Row],[SchoolCode]],_xlfn.XLOOKUP(CONT_TEA[[#This Row],[PayScaleGradeCode]],GRADES[PayScaleGradeCode],GRADES[SchoolCodes]))&gt;=1,0,1),1))</f>
        <v>0</v>
      </c>
      <c r="H63" s="57">
        <f>IF(ISERROR(IF((_xlfn.XLOOKUP(CONT_TEA[[#This Row],[PayScaleGradeCode]],GRADES[PayScaleGradeCode],GRADES[PayScaleCode])=CONT_TEA[[#This Row],[PayScaleCode]]),0,1)),1,0)</f>
        <v>0</v>
      </c>
      <c r="I63" s="57" cm="1">
        <f t="array" ref="I63">IF(ISERROR(FIND(CONT_TEA[[#This Row],[PayScalePointCode]],_xlfn.TEXTJOIN(",",TRUE,IF(PSPOINTS[PayScaleCode]=CONT_TEA[[#This Row],[PayScaleCode]],PSPOINTS[PayScalePointCode])))),1,0)</f>
        <v>0</v>
      </c>
      <c r="J63" s="57" cm="1">
        <f t="array" ref="J6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63" s="57">
        <f>IF(_xlfn.XLOOKUP(CONT_TEA[[#This Row],[PayScalePointCode]],PSPOINTS[PayScalePointCode],PSPOINTS[PayScalePointEnabled])=TRUE,0,1)</f>
        <v>0</v>
      </c>
      <c r="L63" s="57" cm="1">
        <f t="array" ref="L63">IF(_xlfn.XLOOKUP(CONT_TEA[[#This Row],[DepartmentCode]],DEPTS[DepartmentCode],DEPTS[AvailableToAllSchools],1,0,)=TRUE,0,IF(ISERROR(FIND(CONT_TEA[[#This Row],[SchoolCode]],_xlfn.TEXTJOIN(",",TRUE,_xlfn.UNIQUE(IF(DEPTS[DepartmentCode]=CONT_TEA[[#This Row],[DepartmentCode]],DEPTS[SchoolCodes],""))))),1,0))</f>
        <v>0</v>
      </c>
      <c r="M63" s="57">
        <f>IFERROR(IF(_xlfn.XLOOKUP(CONT_TEA[[#This Row],[SRG Gross]],FinanceCodesBudget[FinanceCode],FinanceCodesBudget[LedgerCode])=_xlfn.XLOOKUP(CONT_TEA[[#This Row],[DepartmentCode]],DEPTS[DepartmentCode],DEPTS[LedgerCode]),0,1),1)</f>
        <v>1</v>
      </c>
      <c r="N63" s="57" cm="1">
        <f t="array" ref="N63">IF(_xlfn.XLOOKUP(CONT_TEA[[#This Row],[PensionCode]],PENS[PensionCode],PENS[AvailableToAllSchools],1,0,)=TRUE,0,IF(ISERROR(FIND(CONT_TEA[[#This Row],[SchoolCode]],_xlfn.TEXTJOIN(",",TRUE,_xlfn.UNIQUE(IF(PENS[PensionCode]=CONT_TEA[[#This Row],[PensionCode]],PENS[SchoolCodes],""))))),1,0))</f>
        <v>0</v>
      </c>
      <c r="O63" s="57" cm="1">
        <f t="array" ref="O63">IF(_xlfn.XLOOKUP(CONT_TEA[[#This Row],[EquatedWeekPatternCode]],EQW[EquatedWeekPatternCode],EQW[AvailableToAllSchools],1,0,)=TRUE,0,IF(ISERROR(FIND(CONT_TEA[[#This Row],[SchoolCode]],_xlfn.TEXTJOIN(",",TRUE,_xlfn.UNIQUE(IF(EQW[EquatedWeekPatternCode]=CONT_TEA[[#This Row],[EquatedWeekPatternCode]],EQW[SchoolCodes],""))))),1,0))</f>
        <v>0</v>
      </c>
      <c r="P63" s="57">
        <f>1-COUNTIF(ContractTypes[Code],CONT_TEA[[#This Row],[ContractTypeCode]])</f>
        <v>0</v>
      </c>
      <c r="Q63" s="57">
        <f>IF(VLOOKUP(CONT_TEA[[#This Row],[StaffMemberCode]],MEMBERS[[StaffMemberCode]:[ServiceStartDate]],5,0)&gt;CONT_TEA[[#This Row],[DateFrom]],1,0)</f>
        <v>0</v>
      </c>
      <c r="R63" s="57">
        <f>IF(_xlfn.XLOOKUP(CONT_TEA[[#This Row],[StaffMemberCode]],MEMBERS[StaffMemberCode],MEMBERS[ServiceEndDate])="",0,IF(CONT_TEA[[#This Row],[DateTo]]="",1,IF(_xlfn.XLOOKUP(CONT_TEA[[#This Row],[StaffMemberCode]],MEMBERS[StaffMemberCode],MEMBERS[ServiceEndDate])&lt;CONT_TEA[[#This Row],[DateTo]],1,0)))</f>
        <v>0</v>
      </c>
      <c r="S63" s="57">
        <f>IF(ISBLANK(CONT_TEA[[#This Row],[DateTo]]),0,IF(CONT_TEA[[#This Row],[DateFrom]]=CONT_TEA[[#This Row],[DateTo]],0,IF(CONT_TEA[[#This Row],[DateFrom]]&lt;CONT_TEA[[#This Row],[DateTo]],0,1)))</f>
        <v>0</v>
      </c>
      <c r="T63" s="57" cm="1">
        <f t="array" aca="1" ref="T63" ca="1">IF(CELL("format",CONT_TEA[[#This Row],[DateFrom]])="D1",0,1)+IF(CELL("format",CONT_TEA[[#This Row],[DateTo]])="D1",0,1)</f>
        <v>0</v>
      </c>
      <c r="U63" s="57">
        <f>IF(OR(CONT_TEA[[#This Row],[MatEditOnly]]=TRUE,CONT_TEA[[#This Row],[MatEditOnly]]=FALSE),IF(OR(CONT_TEA[[#This Row],[NoIncrement]]=TRUE,CONT_TEA[[#This Row],[NoIncrement]]=FALSE),0,1),1)</f>
        <v>0</v>
      </c>
      <c r="V63" s="57">
        <f>IF(ISBLANK(CONT_TEA[[#This Row],[FundCode]])=TRUE,0,IF(COUNTIF(FUNDS[FundCode],CONT_TEA[[#This Row],[FundCode]])=1,0,1))</f>
        <v>0</v>
      </c>
      <c r="W63" s="57">
        <f>IF(LEN(CONT_TEA[[#This Row],[Notes]])&lt;4000,0,1)</f>
        <v>0</v>
      </c>
      <c r="X63" s="57">
        <f>IF(SUBSTITUTE(TEXT(CONT_TEA[[#This Row],[Reference]],10)," ","")=TEXT(CONT_TEA[[#This Row],[Reference]],10),0,1)</f>
        <v>0</v>
      </c>
      <c r="Y63" s="57">
        <f ca="1">SUM(CONT_TEA[[#This Row],[Duplicate Contract]:[Space in Code]])</f>
        <v>1</v>
      </c>
      <c r="AA63" s="12" t="s">
        <v>2094</v>
      </c>
      <c r="AB63" s="15">
        <v>91073436</v>
      </c>
      <c r="AC63" s="12" t="s">
        <v>4412</v>
      </c>
      <c r="AD63" s="57" t="str">
        <f>_xlfn.XLOOKUP(CONT_TEA[[#This Row],[StaffMemberCode]],StaffMembers!O:O,StaffMembers!R:R)</f>
        <v>Imogen Astles</v>
      </c>
      <c r="AE63" s="12" t="s">
        <v>1178</v>
      </c>
      <c r="AF63" s="57">
        <f>_xlfn.XLOOKUP(CONT_TEA[[#This Row],[SRG]],SRG[StaffRoleGroupCode],SRG[GrossSalaryFinanceCode])</f>
        <v>612100</v>
      </c>
      <c r="AG63" s="57" t="str">
        <f>_xlfn.XLOOKUP(CONT_TEA[[#This Row],[StaffRoleCode]],ROLES[StaffRoleCode],ROLES[StaffRoleGroupCode])</f>
        <v>TEA</v>
      </c>
      <c r="AH63" s="57" t="str">
        <f>_xlfn.XLOOKUP(CONT_TEA[[#This Row],[StaffRoleCode]],ROLES[StaffRoleCode],ROLES[PayScaleCode])</f>
        <v>MAIN</v>
      </c>
      <c r="AI63" s="12" t="s">
        <v>1126</v>
      </c>
      <c r="AJ63" s="12" t="s">
        <v>1066</v>
      </c>
      <c r="AK63" s="12" t="s">
        <v>2499</v>
      </c>
      <c r="AM63" s="68" t="s">
        <v>1147</v>
      </c>
      <c r="AN63" s="13" t="s">
        <v>1702</v>
      </c>
      <c r="AO63" s="21">
        <v>45901</v>
      </c>
      <c r="AQ63" s="12">
        <v>1</v>
      </c>
      <c r="AR63" t="b">
        <v>0</v>
      </c>
      <c r="AS63" t="b">
        <v>0</v>
      </c>
      <c r="AT63" s="12" t="s">
        <v>1574</v>
      </c>
    </row>
    <row r="64" spans="1:46" x14ac:dyDescent="0.3">
      <c r="A64" s="57" t="str">
        <f t="shared" si="1"/>
        <v>ALS9107381791073817ATEASTCH45901</v>
      </c>
      <c r="B64" s="57">
        <f>COUNTIF(CONT_TEA[Unique Contract],CONT_TEA[[#This Row],[Unique Contract]])-1</f>
        <v>0</v>
      </c>
      <c r="C64" s="57">
        <f>IFERROR(IF(FIND(CONT_TEA[[#This Row],[SchoolCode]],_xlfn.XLOOKUP(CONT_TEA[[#This Row],[StaffMemberCode]],MEMBERS[StaffMemberCode],MEMBERS[SchoolCodes]))&gt;0,0,1),1)</f>
        <v>0</v>
      </c>
      <c r="D64" s="57" cm="1">
        <f t="array" ref="D64">IF(_xlfn.XLOOKUP(CONT_TEA[[#This Row],[StaffRoleCode]],ROLES[StaffRoleCode],ROLES[AvailableToAllSchools],1,0,)=TRUE,0,IF(ISERROR(FIND(CONT_TEA[[#This Row],[SchoolCode]],_xlfn.TEXTJOIN(",",TRUE,_xlfn.UNIQUE(IF(ROLES[StaffRoleCode]=CONT_TEA[[#This Row],[StaffRoleCode]],ROLES[SchoolCodes],""))))),1,0))</f>
        <v>0</v>
      </c>
      <c r="E64" s="57" cm="1">
        <f t="array" ref="E6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64" s="57" cm="1">
        <f t="array" ref="F64">IF(_xlfn.XLOOKUP(CONT_TEA[[#This Row],[PayScaleCode]],PAYSCALES[PayScaleCode],PAYSCALES[AvailableToAllSchools],1,0,)=TRUE,0,IF(ISERROR(FIND(CONT_TEA[[#This Row],[SchoolCode]],_xlfn.TEXTJOIN(",",TRUE,_xlfn.UNIQUE(IF(PAYSCALES[PayScaleCode]=CONT_TEA[[#This Row],[PayScaleCode]],PAYSCALES[SchoolCodes],""))))),1,0))</f>
        <v>0</v>
      </c>
      <c r="G64" s="57">
        <f>IF(_xlfn.XLOOKUP(CONT_TEA[[#This Row],[PayScaleGradeCode]],GRADES[PayScaleGradeCode],GRADES[AvailableToAllSchools])=TRUE,0,IFERROR(IF(FIND(CONT_TEA[[#This Row],[SchoolCode]],_xlfn.XLOOKUP(CONT_TEA[[#This Row],[PayScaleGradeCode]],GRADES[PayScaleGradeCode],GRADES[SchoolCodes]))&gt;=1,0,1),1))</f>
        <v>0</v>
      </c>
      <c r="H64" s="57">
        <f>IF(ISERROR(IF((_xlfn.XLOOKUP(CONT_TEA[[#This Row],[PayScaleGradeCode]],GRADES[PayScaleGradeCode],GRADES[PayScaleCode])=CONT_TEA[[#This Row],[PayScaleCode]]),0,1)),1,0)</f>
        <v>0</v>
      </c>
      <c r="I64" s="57" cm="1">
        <f t="array" ref="I64">IF(ISERROR(FIND(CONT_TEA[[#This Row],[PayScalePointCode]],_xlfn.TEXTJOIN(",",TRUE,IF(PSPOINTS[PayScaleCode]=CONT_TEA[[#This Row],[PayScaleCode]],PSPOINTS[PayScalePointCode])))),1,0)</f>
        <v>0</v>
      </c>
      <c r="J64" s="57" cm="1">
        <f t="array" ref="J6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64" s="57">
        <f>IF(_xlfn.XLOOKUP(CONT_TEA[[#This Row],[PayScalePointCode]],PSPOINTS[PayScalePointCode],PSPOINTS[PayScalePointEnabled])=TRUE,0,1)</f>
        <v>0</v>
      </c>
      <c r="L64" s="57" cm="1">
        <f t="array" ref="L64">IF(_xlfn.XLOOKUP(CONT_TEA[[#This Row],[DepartmentCode]],DEPTS[DepartmentCode],DEPTS[AvailableToAllSchools],1,0,)=TRUE,0,IF(ISERROR(FIND(CONT_TEA[[#This Row],[SchoolCode]],_xlfn.TEXTJOIN(",",TRUE,_xlfn.UNIQUE(IF(DEPTS[DepartmentCode]=CONT_TEA[[#This Row],[DepartmentCode]],DEPTS[SchoolCodes],""))))),1,0))</f>
        <v>0</v>
      </c>
      <c r="M64" s="57">
        <f>IFERROR(IF(_xlfn.XLOOKUP(CONT_TEA[[#This Row],[SRG Gross]],FinanceCodesBudget[FinanceCode],FinanceCodesBudget[LedgerCode])=_xlfn.XLOOKUP(CONT_TEA[[#This Row],[DepartmentCode]],DEPTS[DepartmentCode],DEPTS[LedgerCode]),0,1),1)</f>
        <v>1</v>
      </c>
      <c r="N64" s="57" cm="1">
        <f t="array" ref="N64">IF(_xlfn.XLOOKUP(CONT_TEA[[#This Row],[PensionCode]],PENS[PensionCode],PENS[AvailableToAllSchools],1,0,)=TRUE,0,IF(ISERROR(FIND(CONT_TEA[[#This Row],[SchoolCode]],_xlfn.TEXTJOIN(",",TRUE,_xlfn.UNIQUE(IF(PENS[PensionCode]=CONT_TEA[[#This Row],[PensionCode]],PENS[SchoolCodes],""))))),1,0))</f>
        <v>0</v>
      </c>
      <c r="O64" s="57" cm="1">
        <f t="array" ref="O64">IF(_xlfn.XLOOKUP(CONT_TEA[[#This Row],[EquatedWeekPatternCode]],EQW[EquatedWeekPatternCode],EQW[AvailableToAllSchools],1,0,)=TRUE,0,IF(ISERROR(FIND(CONT_TEA[[#This Row],[SchoolCode]],_xlfn.TEXTJOIN(",",TRUE,_xlfn.UNIQUE(IF(EQW[EquatedWeekPatternCode]=CONT_TEA[[#This Row],[EquatedWeekPatternCode]],EQW[SchoolCodes],""))))),1,0))</f>
        <v>0</v>
      </c>
      <c r="P64" s="57">
        <f>1-COUNTIF(ContractTypes[Code],CONT_TEA[[#This Row],[ContractTypeCode]])</f>
        <v>0</v>
      </c>
      <c r="Q64" s="57">
        <f>IF(VLOOKUP(CONT_TEA[[#This Row],[StaffMemberCode]],MEMBERS[[StaffMemberCode]:[ServiceStartDate]],5,0)&gt;CONT_TEA[[#This Row],[DateFrom]],1,0)</f>
        <v>0</v>
      </c>
      <c r="R64" s="57">
        <f>IF(_xlfn.XLOOKUP(CONT_TEA[[#This Row],[StaffMemberCode]],MEMBERS[StaffMemberCode],MEMBERS[ServiceEndDate])="",0,IF(CONT_TEA[[#This Row],[DateTo]]="",1,IF(_xlfn.XLOOKUP(CONT_TEA[[#This Row],[StaffMemberCode]],MEMBERS[StaffMemberCode],MEMBERS[ServiceEndDate])&lt;CONT_TEA[[#This Row],[DateTo]],1,0)))</f>
        <v>0</v>
      </c>
      <c r="S64" s="57">
        <f>IF(ISBLANK(CONT_TEA[[#This Row],[DateTo]]),0,IF(CONT_TEA[[#This Row],[DateFrom]]=CONT_TEA[[#This Row],[DateTo]],0,IF(CONT_TEA[[#This Row],[DateFrom]]&lt;CONT_TEA[[#This Row],[DateTo]],0,1)))</f>
        <v>0</v>
      </c>
      <c r="T64" s="57" cm="1">
        <f t="array" aca="1" ref="T64" ca="1">IF(CELL("format",CONT_TEA[[#This Row],[DateFrom]])="D1",0,1)+IF(CELL("format",CONT_TEA[[#This Row],[DateTo]])="D1",0,1)</f>
        <v>0</v>
      </c>
      <c r="U64" s="57">
        <f>IF(OR(CONT_TEA[[#This Row],[MatEditOnly]]=TRUE,CONT_TEA[[#This Row],[MatEditOnly]]=FALSE),IF(OR(CONT_TEA[[#This Row],[NoIncrement]]=TRUE,CONT_TEA[[#This Row],[NoIncrement]]=FALSE),0,1),1)</f>
        <v>0</v>
      </c>
      <c r="V64" s="57">
        <f>IF(ISBLANK(CONT_TEA[[#This Row],[FundCode]])=TRUE,0,IF(COUNTIF(FUNDS[FundCode],CONT_TEA[[#This Row],[FundCode]])=1,0,1))</f>
        <v>0</v>
      </c>
      <c r="W64" s="57">
        <f>IF(LEN(CONT_TEA[[#This Row],[Notes]])&lt;4000,0,1)</f>
        <v>0</v>
      </c>
      <c r="X64" s="57">
        <f>IF(SUBSTITUTE(TEXT(CONT_TEA[[#This Row],[Reference]],10)," ","")=TEXT(CONT_TEA[[#This Row],[Reference]],10),0,1)</f>
        <v>0</v>
      </c>
      <c r="Y64" s="57">
        <f ca="1">SUM(CONT_TEA[[#This Row],[Duplicate Contract]:[Space in Code]])</f>
        <v>1</v>
      </c>
      <c r="AA64" s="12" t="s">
        <v>2082</v>
      </c>
      <c r="AB64" s="15">
        <v>91073817</v>
      </c>
      <c r="AC64" s="12" t="s">
        <v>4413</v>
      </c>
      <c r="AD64" s="57" t="str">
        <f>_xlfn.XLOOKUP(CONT_TEA[[#This Row],[StaffMemberCode]],StaffMembers!O:O,StaffMembers!R:R)</f>
        <v>Jack Powell</v>
      </c>
      <c r="AE64" s="12" t="s">
        <v>1178</v>
      </c>
      <c r="AF64" s="57">
        <f>_xlfn.XLOOKUP(CONT_TEA[[#This Row],[SRG]],SRG[StaffRoleGroupCode],SRG[GrossSalaryFinanceCode])</f>
        <v>612100</v>
      </c>
      <c r="AG64" s="57" t="str">
        <f>_xlfn.XLOOKUP(CONT_TEA[[#This Row],[StaffRoleCode]],ROLES[StaffRoleCode],ROLES[StaffRoleGroupCode])</f>
        <v>TEA</v>
      </c>
      <c r="AH64" s="57" t="str">
        <f>_xlfn.XLOOKUP(CONT_TEA[[#This Row],[StaffRoleCode]],ROLES[StaffRoleCode],ROLES[PayScaleCode])</f>
        <v>MAIN</v>
      </c>
      <c r="AI64" s="12" t="s">
        <v>1126</v>
      </c>
      <c r="AJ64" s="12" t="s">
        <v>1067</v>
      </c>
      <c r="AK64" s="12" t="s">
        <v>2499</v>
      </c>
      <c r="AM64" s="68" t="s">
        <v>1149</v>
      </c>
      <c r="AN64" s="13" t="s">
        <v>1702</v>
      </c>
      <c r="AO64" s="21">
        <v>45901</v>
      </c>
      <c r="AQ64" s="12">
        <v>1</v>
      </c>
      <c r="AR64" t="b">
        <v>0</v>
      </c>
      <c r="AS64" t="b">
        <v>0</v>
      </c>
      <c r="AT64" s="12" t="s">
        <v>1574</v>
      </c>
    </row>
    <row r="65" spans="1:46" x14ac:dyDescent="0.3">
      <c r="A65" s="57" t="str">
        <f t="shared" si="1"/>
        <v>ALS9107384891073848ATEASTCH45901</v>
      </c>
      <c r="B65" s="57">
        <f>COUNTIF(CONT_TEA[Unique Contract],CONT_TEA[[#This Row],[Unique Contract]])-1</f>
        <v>0</v>
      </c>
      <c r="C65" s="57">
        <f>IFERROR(IF(FIND(CONT_TEA[[#This Row],[SchoolCode]],_xlfn.XLOOKUP(CONT_TEA[[#This Row],[StaffMemberCode]],MEMBERS[StaffMemberCode],MEMBERS[SchoolCodes]))&gt;0,0,1),1)</f>
        <v>0</v>
      </c>
      <c r="D65" s="57" cm="1">
        <f t="array" ref="D65">IF(_xlfn.XLOOKUP(CONT_TEA[[#This Row],[StaffRoleCode]],ROLES[StaffRoleCode],ROLES[AvailableToAllSchools],1,0,)=TRUE,0,IF(ISERROR(FIND(CONT_TEA[[#This Row],[SchoolCode]],_xlfn.TEXTJOIN(",",TRUE,_xlfn.UNIQUE(IF(ROLES[StaffRoleCode]=CONT_TEA[[#This Row],[StaffRoleCode]],ROLES[SchoolCodes],""))))),1,0))</f>
        <v>0</v>
      </c>
      <c r="E65" s="57" cm="1">
        <f t="array" ref="E6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65" s="57" cm="1">
        <f t="array" ref="F65">IF(_xlfn.XLOOKUP(CONT_TEA[[#This Row],[PayScaleCode]],PAYSCALES[PayScaleCode],PAYSCALES[AvailableToAllSchools],1,0,)=TRUE,0,IF(ISERROR(FIND(CONT_TEA[[#This Row],[SchoolCode]],_xlfn.TEXTJOIN(",",TRUE,_xlfn.UNIQUE(IF(PAYSCALES[PayScaleCode]=CONT_TEA[[#This Row],[PayScaleCode]],PAYSCALES[SchoolCodes],""))))),1,0))</f>
        <v>0</v>
      </c>
      <c r="G65" s="57">
        <f>IF(_xlfn.XLOOKUP(CONT_TEA[[#This Row],[PayScaleGradeCode]],GRADES[PayScaleGradeCode],GRADES[AvailableToAllSchools])=TRUE,0,IFERROR(IF(FIND(CONT_TEA[[#This Row],[SchoolCode]],_xlfn.XLOOKUP(CONT_TEA[[#This Row],[PayScaleGradeCode]],GRADES[PayScaleGradeCode],GRADES[SchoolCodes]))&gt;=1,0,1),1))</f>
        <v>0</v>
      </c>
      <c r="H65" s="57">
        <f>IF(ISERROR(IF((_xlfn.XLOOKUP(CONT_TEA[[#This Row],[PayScaleGradeCode]],GRADES[PayScaleGradeCode],GRADES[PayScaleCode])=CONT_TEA[[#This Row],[PayScaleCode]]),0,1)),1,0)</f>
        <v>0</v>
      </c>
      <c r="I65" s="57" cm="1">
        <f t="array" ref="I65">IF(ISERROR(FIND(CONT_TEA[[#This Row],[PayScalePointCode]],_xlfn.TEXTJOIN(",",TRUE,IF(PSPOINTS[PayScaleCode]=CONT_TEA[[#This Row],[PayScaleCode]],PSPOINTS[PayScalePointCode])))),1,0)</f>
        <v>0</v>
      </c>
      <c r="J65" s="57" cm="1">
        <f t="array" ref="J6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65" s="57">
        <f>IF(_xlfn.XLOOKUP(CONT_TEA[[#This Row],[PayScalePointCode]],PSPOINTS[PayScalePointCode],PSPOINTS[PayScalePointEnabled])=TRUE,0,1)</f>
        <v>0</v>
      </c>
      <c r="L65" s="57" cm="1">
        <f t="array" ref="L65">IF(_xlfn.XLOOKUP(CONT_TEA[[#This Row],[DepartmentCode]],DEPTS[DepartmentCode],DEPTS[AvailableToAllSchools],1,0,)=TRUE,0,IF(ISERROR(FIND(CONT_TEA[[#This Row],[SchoolCode]],_xlfn.TEXTJOIN(",",TRUE,_xlfn.UNIQUE(IF(DEPTS[DepartmentCode]=CONT_TEA[[#This Row],[DepartmentCode]],DEPTS[SchoolCodes],""))))),1,0))</f>
        <v>0</v>
      </c>
      <c r="M65" s="57">
        <f>IFERROR(IF(_xlfn.XLOOKUP(CONT_TEA[[#This Row],[SRG Gross]],FinanceCodesBudget[FinanceCode],FinanceCodesBudget[LedgerCode])=_xlfn.XLOOKUP(CONT_TEA[[#This Row],[DepartmentCode]],DEPTS[DepartmentCode],DEPTS[LedgerCode]),0,1),1)</f>
        <v>1</v>
      </c>
      <c r="N65" s="57" cm="1">
        <f t="array" ref="N65">IF(_xlfn.XLOOKUP(CONT_TEA[[#This Row],[PensionCode]],PENS[PensionCode],PENS[AvailableToAllSchools],1,0,)=TRUE,0,IF(ISERROR(FIND(CONT_TEA[[#This Row],[SchoolCode]],_xlfn.TEXTJOIN(",",TRUE,_xlfn.UNIQUE(IF(PENS[PensionCode]=CONT_TEA[[#This Row],[PensionCode]],PENS[SchoolCodes],""))))),1,0))</f>
        <v>0</v>
      </c>
      <c r="O65" s="57" cm="1">
        <f t="array" ref="O65">IF(_xlfn.XLOOKUP(CONT_TEA[[#This Row],[EquatedWeekPatternCode]],EQW[EquatedWeekPatternCode],EQW[AvailableToAllSchools],1,0,)=TRUE,0,IF(ISERROR(FIND(CONT_TEA[[#This Row],[SchoolCode]],_xlfn.TEXTJOIN(",",TRUE,_xlfn.UNIQUE(IF(EQW[EquatedWeekPatternCode]=CONT_TEA[[#This Row],[EquatedWeekPatternCode]],EQW[SchoolCodes],""))))),1,0))</f>
        <v>0</v>
      </c>
      <c r="P65" s="57">
        <f>1-COUNTIF(ContractTypes[Code],CONT_TEA[[#This Row],[ContractTypeCode]])</f>
        <v>0</v>
      </c>
      <c r="Q65" s="57">
        <f>IF(VLOOKUP(CONT_TEA[[#This Row],[StaffMemberCode]],MEMBERS[[StaffMemberCode]:[ServiceStartDate]],5,0)&gt;CONT_TEA[[#This Row],[DateFrom]],1,0)</f>
        <v>0</v>
      </c>
      <c r="R65" s="57">
        <f>IF(_xlfn.XLOOKUP(CONT_TEA[[#This Row],[StaffMemberCode]],MEMBERS[StaffMemberCode],MEMBERS[ServiceEndDate])="",0,IF(CONT_TEA[[#This Row],[DateTo]]="",1,IF(_xlfn.XLOOKUP(CONT_TEA[[#This Row],[StaffMemberCode]],MEMBERS[StaffMemberCode],MEMBERS[ServiceEndDate])&lt;CONT_TEA[[#This Row],[DateTo]],1,0)))</f>
        <v>0</v>
      </c>
      <c r="S65" s="57">
        <f>IF(ISBLANK(CONT_TEA[[#This Row],[DateTo]]),0,IF(CONT_TEA[[#This Row],[DateFrom]]=CONT_TEA[[#This Row],[DateTo]],0,IF(CONT_TEA[[#This Row],[DateFrom]]&lt;CONT_TEA[[#This Row],[DateTo]],0,1)))</f>
        <v>0</v>
      </c>
      <c r="T65" s="57" cm="1">
        <f t="array" aca="1" ref="T65" ca="1">IF(CELL("format",CONT_TEA[[#This Row],[DateFrom]])="D1",0,1)+IF(CELL("format",CONT_TEA[[#This Row],[DateTo]])="D1",0,1)</f>
        <v>0</v>
      </c>
      <c r="U65" s="57">
        <f>IF(OR(CONT_TEA[[#This Row],[MatEditOnly]]=TRUE,CONT_TEA[[#This Row],[MatEditOnly]]=FALSE),IF(OR(CONT_TEA[[#This Row],[NoIncrement]]=TRUE,CONT_TEA[[#This Row],[NoIncrement]]=FALSE),0,1),1)</f>
        <v>0</v>
      </c>
      <c r="V65" s="57">
        <f>IF(ISBLANK(CONT_TEA[[#This Row],[FundCode]])=TRUE,0,IF(COUNTIF(FUNDS[FundCode],CONT_TEA[[#This Row],[FundCode]])=1,0,1))</f>
        <v>0</v>
      </c>
      <c r="W65" s="57">
        <f>IF(LEN(CONT_TEA[[#This Row],[Notes]])&lt;4000,0,1)</f>
        <v>0</v>
      </c>
      <c r="X65" s="57">
        <f>IF(SUBSTITUTE(TEXT(CONT_TEA[[#This Row],[Reference]],10)," ","")=TEXT(CONT_TEA[[#This Row],[Reference]],10),0,1)</f>
        <v>0</v>
      </c>
      <c r="Y65" s="57">
        <f ca="1">SUM(CONT_TEA[[#This Row],[Duplicate Contract]:[Space in Code]])</f>
        <v>1</v>
      </c>
      <c r="AA65" s="12" t="s">
        <v>2082</v>
      </c>
      <c r="AB65" s="15">
        <v>91073848</v>
      </c>
      <c r="AC65" s="12" t="s">
        <v>4414</v>
      </c>
      <c r="AD65" s="57" t="str">
        <f>_xlfn.XLOOKUP(CONT_TEA[[#This Row],[StaffMemberCode]],StaffMembers!O:O,StaffMembers!R:R)</f>
        <v>Jennifer Getty</v>
      </c>
      <c r="AE65" s="12" t="s">
        <v>1178</v>
      </c>
      <c r="AF65" s="57">
        <f>_xlfn.XLOOKUP(CONT_TEA[[#This Row],[SRG]],SRG[StaffRoleGroupCode],SRG[GrossSalaryFinanceCode])</f>
        <v>612100</v>
      </c>
      <c r="AG65" s="57" t="str">
        <f>_xlfn.XLOOKUP(CONT_TEA[[#This Row],[StaffRoleCode]],ROLES[StaffRoleCode],ROLES[StaffRoleGroupCode])</f>
        <v>TEA</v>
      </c>
      <c r="AH65" s="57" t="str">
        <f>_xlfn.XLOOKUP(CONT_TEA[[#This Row],[StaffRoleCode]],ROLES[StaffRoleCode],ROLES[PayScaleCode])</f>
        <v>MAIN</v>
      </c>
      <c r="AI65" s="12" t="s">
        <v>1126</v>
      </c>
      <c r="AJ65" s="12" t="s">
        <v>3073</v>
      </c>
      <c r="AK65" s="12" t="s">
        <v>2499</v>
      </c>
      <c r="AM65" s="68" t="s">
        <v>1147</v>
      </c>
      <c r="AN65" s="13" t="s">
        <v>1702</v>
      </c>
      <c r="AO65" s="21">
        <v>45901</v>
      </c>
      <c r="AQ65" s="12">
        <v>1</v>
      </c>
      <c r="AR65" t="b">
        <v>0</v>
      </c>
      <c r="AS65" t="b">
        <v>0</v>
      </c>
      <c r="AT65" s="12" t="s">
        <v>1574</v>
      </c>
    </row>
    <row r="66" spans="1:46" x14ac:dyDescent="0.3">
      <c r="A66" s="57" t="str">
        <f t="shared" si="1"/>
        <v>ALS9107374091073740ATEASTCH45901</v>
      </c>
      <c r="B66" s="57">
        <f>COUNTIF(CONT_TEA[Unique Contract],CONT_TEA[[#This Row],[Unique Contract]])-1</f>
        <v>0</v>
      </c>
      <c r="C66" s="57">
        <f>IFERROR(IF(FIND(CONT_TEA[[#This Row],[SchoolCode]],_xlfn.XLOOKUP(CONT_TEA[[#This Row],[StaffMemberCode]],MEMBERS[StaffMemberCode],MEMBERS[SchoolCodes]))&gt;0,0,1),1)</f>
        <v>0</v>
      </c>
      <c r="D66" s="57" cm="1">
        <f t="array" ref="D66">IF(_xlfn.XLOOKUP(CONT_TEA[[#This Row],[StaffRoleCode]],ROLES[StaffRoleCode],ROLES[AvailableToAllSchools],1,0,)=TRUE,0,IF(ISERROR(FIND(CONT_TEA[[#This Row],[SchoolCode]],_xlfn.TEXTJOIN(",",TRUE,_xlfn.UNIQUE(IF(ROLES[StaffRoleCode]=CONT_TEA[[#This Row],[StaffRoleCode]],ROLES[SchoolCodes],""))))),1,0))</f>
        <v>0</v>
      </c>
      <c r="E66" s="57" cm="1">
        <f t="array" ref="E6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66" s="57" cm="1">
        <f t="array" ref="F66">IF(_xlfn.XLOOKUP(CONT_TEA[[#This Row],[PayScaleCode]],PAYSCALES[PayScaleCode],PAYSCALES[AvailableToAllSchools],1,0,)=TRUE,0,IF(ISERROR(FIND(CONT_TEA[[#This Row],[SchoolCode]],_xlfn.TEXTJOIN(",",TRUE,_xlfn.UNIQUE(IF(PAYSCALES[PayScaleCode]=CONT_TEA[[#This Row],[PayScaleCode]],PAYSCALES[SchoolCodes],""))))),1,0))</f>
        <v>0</v>
      </c>
      <c r="G66" s="57">
        <f>IF(_xlfn.XLOOKUP(CONT_TEA[[#This Row],[PayScaleGradeCode]],GRADES[PayScaleGradeCode],GRADES[AvailableToAllSchools])=TRUE,0,IFERROR(IF(FIND(CONT_TEA[[#This Row],[SchoolCode]],_xlfn.XLOOKUP(CONT_TEA[[#This Row],[PayScaleGradeCode]],GRADES[PayScaleGradeCode],GRADES[SchoolCodes]))&gt;=1,0,1),1))</f>
        <v>0</v>
      </c>
      <c r="H66" s="57">
        <f>IF(ISERROR(IF((_xlfn.XLOOKUP(CONT_TEA[[#This Row],[PayScaleGradeCode]],GRADES[PayScaleGradeCode],GRADES[PayScaleCode])=CONT_TEA[[#This Row],[PayScaleCode]]),0,1)),1,0)</f>
        <v>0</v>
      </c>
      <c r="I66" s="57" cm="1">
        <f t="array" ref="I66">IF(ISERROR(FIND(CONT_TEA[[#This Row],[PayScalePointCode]],_xlfn.TEXTJOIN(",",TRUE,IF(PSPOINTS[PayScaleCode]=CONT_TEA[[#This Row],[PayScaleCode]],PSPOINTS[PayScalePointCode])))),1,0)</f>
        <v>0</v>
      </c>
      <c r="J66" s="57" cm="1">
        <f t="array" ref="J6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66" s="57">
        <f>IF(_xlfn.XLOOKUP(CONT_TEA[[#This Row],[PayScalePointCode]],PSPOINTS[PayScalePointCode],PSPOINTS[PayScalePointEnabled])=TRUE,0,1)</f>
        <v>0</v>
      </c>
      <c r="L66" s="57" cm="1">
        <f t="array" ref="L66">IF(_xlfn.XLOOKUP(CONT_TEA[[#This Row],[DepartmentCode]],DEPTS[DepartmentCode],DEPTS[AvailableToAllSchools],1,0,)=TRUE,0,IF(ISERROR(FIND(CONT_TEA[[#This Row],[SchoolCode]],_xlfn.TEXTJOIN(",",TRUE,_xlfn.UNIQUE(IF(DEPTS[DepartmentCode]=CONT_TEA[[#This Row],[DepartmentCode]],DEPTS[SchoolCodes],""))))),1,0))</f>
        <v>0</v>
      </c>
      <c r="M66" s="57">
        <f>IFERROR(IF(_xlfn.XLOOKUP(CONT_TEA[[#This Row],[SRG Gross]],FinanceCodesBudget[FinanceCode],FinanceCodesBudget[LedgerCode])=_xlfn.XLOOKUP(CONT_TEA[[#This Row],[DepartmentCode]],DEPTS[DepartmentCode],DEPTS[LedgerCode]),0,1),1)</f>
        <v>1</v>
      </c>
      <c r="N66" s="57" cm="1">
        <f t="array" ref="N66">IF(_xlfn.XLOOKUP(CONT_TEA[[#This Row],[PensionCode]],PENS[PensionCode],PENS[AvailableToAllSchools],1,0,)=TRUE,0,IF(ISERROR(FIND(CONT_TEA[[#This Row],[SchoolCode]],_xlfn.TEXTJOIN(",",TRUE,_xlfn.UNIQUE(IF(PENS[PensionCode]=CONT_TEA[[#This Row],[PensionCode]],PENS[SchoolCodes],""))))),1,0))</f>
        <v>0</v>
      </c>
      <c r="O66" s="57" cm="1">
        <f t="array" ref="O66">IF(_xlfn.XLOOKUP(CONT_TEA[[#This Row],[EquatedWeekPatternCode]],EQW[EquatedWeekPatternCode],EQW[AvailableToAllSchools],1,0,)=TRUE,0,IF(ISERROR(FIND(CONT_TEA[[#This Row],[SchoolCode]],_xlfn.TEXTJOIN(",",TRUE,_xlfn.UNIQUE(IF(EQW[EquatedWeekPatternCode]=CONT_TEA[[#This Row],[EquatedWeekPatternCode]],EQW[SchoolCodes],""))))),1,0))</f>
        <v>0</v>
      </c>
      <c r="P66" s="57">
        <f>1-COUNTIF(ContractTypes[Code],CONT_TEA[[#This Row],[ContractTypeCode]])</f>
        <v>0</v>
      </c>
      <c r="Q66" s="57">
        <f>IF(VLOOKUP(CONT_TEA[[#This Row],[StaffMemberCode]],MEMBERS[[StaffMemberCode]:[ServiceStartDate]],5,0)&gt;CONT_TEA[[#This Row],[DateFrom]],1,0)</f>
        <v>0</v>
      </c>
      <c r="R66" s="57">
        <f>IF(_xlfn.XLOOKUP(CONT_TEA[[#This Row],[StaffMemberCode]],MEMBERS[StaffMemberCode],MEMBERS[ServiceEndDate])="",0,IF(CONT_TEA[[#This Row],[DateTo]]="",1,IF(_xlfn.XLOOKUP(CONT_TEA[[#This Row],[StaffMemberCode]],MEMBERS[StaffMemberCode],MEMBERS[ServiceEndDate])&lt;CONT_TEA[[#This Row],[DateTo]],1,0)))</f>
        <v>0</v>
      </c>
      <c r="S66" s="57">
        <f>IF(ISBLANK(CONT_TEA[[#This Row],[DateTo]]),0,IF(CONT_TEA[[#This Row],[DateFrom]]=CONT_TEA[[#This Row],[DateTo]],0,IF(CONT_TEA[[#This Row],[DateFrom]]&lt;CONT_TEA[[#This Row],[DateTo]],0,1)))</f>
        <v>0</v>
      </c>
      <c r="T66" s="57" cm="1">
        <f t="array" aca="1" ref="T66" ca="1">IF(CELL("format",CONT_TEA[[#This Row],[DateFrom]])="D1",0,1)+IF(CELL("format",CONT_TEA[[#This Row],[DateTo]])="D1",0,1)</f>
        <v>0</v>
      </c>
      <c r="U66" s="57">
        <f>IF(OR(CONT_TEA[[#This Row],[MatEditOnly]]=TRUE,CONT_TEA[[#This Row],[MatEditOnly]]=FALSE),IF(OR(CONT_TEA[[#This Row],[NoIncrement]]=TRUE,CONT_TEA[[#This Row],[NoIncrement]]=FALSE),0,1),1)</f>
        <v>0</v>
      </c>
      <c r="V66" s="57">
        <f>IF(ISBLANK(CONT_TEA[[#This Row],[FundCode]])=TRUE,0,IF(COUNTIF(FUNDS[FundCode],CONT_TEA[[#This Row],[FundCode]])=1,0,1))</f>
        <v>0</v>
      </c>
      <c r="W66" s="57">
        <f>IF(LEN(CONT_TEA[[#This Row],[Notes]])&lt;4000,0,1)</f>
        <v>0</v>
      </c>
      <c r="X66" s="57">
        <f>IF(SUBSTITUTE(TEXT(CONT_TEA[[#This Row],[Reference]],10)," ","")=TEXT(CONT_TEA[[#This Row],[Reference]],10),0,1)</f>
        <v>0</v>
      </c>
      <c r="Y66" s="57">
        <f ca="1">SUM(CONT_TEA[[#This Row],[Duplicate Contract]:[Space in Code]])</f>
        <v>1</v>
      </c>
      <c r="AA66" s="12" t="s">
        <v>2082</v>
      </c>
      <c r="AB66" s="15">
        <v>91073740</v>
      </c>
      <c r="AC66" s="12" t="s">
        <v>4415</v>
      </c>
      <c r="AD66" s="57" t="str">
        <f>_xlfn.XLOOKUP(CONT_TEA[[#This Row],[StaffMemberCode]],StaffMembers!O:O,StaffMembers!R:R)</f>
        <v>Jenny Doran</v>
      </c>
      <c r="AE66" s="12" t="s">
        <v>1178</v>
      </c>
      <c r="AF66" s="57">
        <f>_xlfn.XLOOKUP(CONT_TEA[[#This Row],[SRG]],SRG[StaffRoleGroupCode],SRG[GrossSalaryFinanceCode])</f>
        <v>612100</v>
      </c>
      <c r="AG66" s="57" t="str">
        <f>_xlfn.XLOOKUP(CONT_TEA[[#This Row],[StaffRoleCode]],ROLES[StaffRoleCode],ROLES[StaffRoleGroupCode])</f>
        <v>TEA</v>
      </c>
      <c r="AH66" s="57" t="str">
        <f>_xlfn.XLOOKUP(CONT_TEA[[#This Row],[StaffRoleCode]],ROLES[StaffRoleCode],ROLES[PayScaleCode])</f>
        <v>MAIN</v>
      </c>
      <c r="AI66" s="12" t="s">
        <v>1126</v>
      </c>
      <c r="AJ66" s="12" t="s">
        <v>1745</v>
      </c>
      <c r="AK66" s="12" t="s">
        <v>2499</v>
      </c>
      <c r="AM66" s="68" t="s">
        <v>1147</v>
      </c>
      <c r="AN66" s="13" t="s">
        <v>1702</v>
      </c>
      <c r="AO66" s="21">
        <v>45901</v>
      </c>
      <c r="AQ66" s="12">
        <v>1</v>
      </c>
      <c r="AR66" t="b">
        <v>0</v>
      </c>
      <c r="AS66" t="b">
        <v>0</v>
      </c>
      <c r="AT66" s="12" t="s">
        <v>1574</v>
      </c>
    </row>
    <row r="67" spans="1:46" x14ac:dyDescent="0.3">
      <c r="A67" s="57" t="str">
        <f t="shared" si="1"/>
        <v>BLS9107355591073555ATEASTCH45901</v>
      </c>
      <c r="B67" s="57">
        <f>COUNTIF(CONT_TEA[Unique Contract],CONT_TEA[[#This Row],[Unique Contract]])-1</f>
        <v>0</v>
      </c>
      <c r="C67" s="57">
        <f>IFERROR(IF(FIND(CONT_TEA[[#This Row],[SchoolCode]],_xlfn.XLOOKUP(CONT_TEA[[#This Row],[StaffMemberCode]],MEMBERS[StaffMemberCode],MEMBERS[SchoolCodes]))&gt;0,0,1),1)</f>
        <v>0</v>
      </c>
      <c r="D67" s="57" cm="1">
        <f t="array" ref="D67">IF(_xlfn.XLOOKUP(CONT_TEA[[#This Row],[StaffRoleCode]],ROLES[StaffRoleCode],ROLES[AvailableToAllSchools],1,0,)=TRUE,0,IF(ISERROR(FIND(CONT_TEA[[#This Row],[SchoolCode]],_xlfn.TEXTJOIN(",",TRUE,_xlfn.UNIQUE(IF(ROLES[StaffRoleCode]=CONT_TEA[[#This Row],[StaffRoleCode]],ROLES[SchoolCodes],""))))),1,0))</f>
        <v>0</v>
      </c>
      <c r="E67" s="57" cm="1">
        <f t="array" ref="E6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67" s="57" cm="1">
        <f t="array" ref="F67">IF(_xlfn.XLOOKUP(CONT_TEA[[#This Row],[PayScaleCode]],PAYSCALES[PayScaleCode],PAYSCALES[AvailableToAllSchools],1,0,)=TRUE,0,IF(ISERROR(FIND(CONT_TEA[[#This Row],[SchoolCode]],_xlfn.TEXTJOIN(",",TRUE,_xlfn.UNIQUE(IF(PAYSCALES[PayScaleCode]=CONT_TEA[[#This Row],[PayScaleCode]],PAYSCALES[SchoolCodes],""))))),1,0))</f>
        <v>0</v>
      </c>
      <c r="G67" s="57">
        <f>IF(_xlfn.XLOOKUP(CONT_TEA[[#This Row],[PayScaleGradeCode]],GRADES[PayScaleGradeCode],GRADES[AvailableToAllSchools])=TRUE,0,IFERROR(IF(FIND(CONT_TEA[[#This Row],[SchoolCode]],_xlfn.XLOOKUP(CONT_TEA[[#This Row],[PayScaleGradeCode]],GRADES[PayScaleGradeCode],GRADES[SchoolCodes]))&gt;=1,0,1),1))</f>
        <v>0</v>
      </c>
      <c r="H67" s="57">
        <f>IF(ISERROR(IF((_xlfn.XLOOKUP(CONT_TEA[[#This Row],[PayScaleGradeCode]],GRADES[PayScaleGradeCode],GRADES[PayScaleCode])=CONT_TEA[[#This Row],[PayScaleCode]]),0,1)),1,0)</f>
        <v>0</v>
      </c>
      <c r="I67" s="57" cm="1">
        <f t="array" ref="I67">IF(ISERROR(FIND(CONT_TEA[[#This Row],[PayScalePointCode]],_xlfn.TEXTJOIN(",",TRUE,IF(PSPOINTS[PayScaleCode]=CONT_TEA[[#This Row],[PayScaleCode]],PSPOINTS[PayScalePointCode])))),1,0)</f>
        <v>0</v>
      </c>
      <c r="J67" s="57" cm="1">
        <f t="array" ref="J6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67" s="57">
        <f>IF(_xlfn.XLOOKUP(CONT_TEA[[#This Row],[PayScalePointCode]],PSPOINTS[PayScalePointCode],PSPOINTS[PayScalePointEnabled])=TRUE,0,1)</f>
        <v>0</v>
      </c>
      <c r="L67" s="57" cm="1">
        <f t="array" ref="L67">IF(_xlfn.XLOOKUP(CONT_TEA[[#This Row],[DepartmentCode]],DEPTS[DepartmentCode],DEPTS[AvailableToAllSchools],1,0,)=TRUE,0,IF(ISERROR(FIND(CONT_TEA[[#This Row],[SchoolCode]],_xlfn.TEXTJOIN(",",TRUE,_xlfn.UNIQUE(IF(DEPTS[DepartmentCode]=CONT_TEA[[#This Row],[DepartmentCode]],DEPTS[SchoolCodes],""))))),1,0))</f>
        <v>0</v>
      </c>
      <c r="M67" s="57">
        <f>IFERROR(IF(_xlfn.XLOOKUP(CONT_TEA[[#This Row],[SRG Gross]],FinanceCodesBudget[FinanceCode],FinanceCodesBudget[LedgerCode])=_xlfn.XLOOKUP(CONT_TEA[[#This Row],[DepartmentCode]],DEPTS[DepartmentCode],DEPTS[LedgerCode]),0,1),1)</f>
        <v>1</v>
      </c>
      <c r="N67" s="57" cm="1">
        <f t="array" ref="N67">IF(_xlfn.XLOOKUP(CONT_TEA[[#This Row],[PensionCode]],PENS[PensionCode],PENS[AvailableToAllSchools],1,0,)=TRUE,0,IF(ISERROR(FIND(CONT_TEA[[#This Row],[SchoolCode]],_xlfn.TEXTJOIN(",",TRUE,_xlfn.UNIQUE(IF(PENS[PensionCode]=CONT_TEA[[#This Row],[PensionCode]],PENS[SchoolCodes],""))))),1,0))</f>
        <v>0</v>
      </c>
      <c r="O67" s="57" cm="1">
        <f t="array" ref="O67">IF(_xlfn.XLOOKUP(CONT_TEA[[#This Row],[EquatedWeekPatternCode]],EQW[EquatedWeekPatternCode],EQW[AvailableToAllSchools],1,0,)=TRUE,0,IF(ISERROR(FIND(CONT_TEA[[#This Row],[SchoolCode]],_xlfn.TEXTJOIN(",",TRUE,_xlfn.UNIQUE(IF(EQW[EquatedWeekPatternCode]=CONT_TEA[[#This Row],[EquatedWeekPatternCode]],EQW[SchoolCodes],""))))),1,0))</f>
        <v>0</v>
      </c>
      <c r="P67" s="57">
        <f>1-COUNTIF(ContractTypes[Code],CONT_TEA[[#This Row],[ContractTypeCode]])</f>
        <v>0</v>
      </c>
      <c r="Q67" s="57">
        <f>IF(VLOOKUP(CONT_TEA[[#This Row],[StaffMemberCode]],MEMBERS[[StaffMemberCode]:[ServiceStartDate]],5,0)&gt;CONT_TEA[[#This Row],[DateFrom]],1,0)</f>
        <v>0</v>
      </c>
      <c r="R67" s="57">
        <f>IF(_xlfn.XLOOKUP(CONT_TEA[[#This Row],[StaffMemberCode]],MEMBERS[StaffMemberCode],MEMBERS[ServiceEndDate])="",0,IF(CONT_TEA[[#This Row],[DateTo]]="",1,IF(_xlfn.XLOOKUP(CONT_TEA[[#This Row],[StaffMemberCode]],MEMBERS[StaffMemberCode],MEMBERS[ServiceEndDate])&lt;CONT_TEA[[#This Row],[DateTo]],1,0)))</f>
        <v>0</v>
      </c>
      <c r="S67" s="57">
        <f>IF(ISBLANK(CONT_TEA[[#This Row],[DateTo]]),0,IF(CONT_TEA[[#This Row],[DateFrom]]=CONT_TEA[[#This Row],[DateTo]],0,IF(CONT_TEA[[#This Row],[DateFrom]]&lt;CONT_TEA[[#This Row],[DateTo]],0,1)))</f>
        <v>0</v>
      </c>
      <c r="T67" s="57" cm="1">
        <f t="array" aca="1" ref="T67" ca="1">IF(CELL("format",CONT_TEA[[#This Row],[DateFrom]])="D1",0,1)+IF(CELL("format",CONT_TEA[[#This Row],[DateTo]])="D1",0,1)</f>
        <v>0</v>
      </c>
      <c r="U67" s="57">
        <f>IF(OR(CONT_TEA[[#This Row],[MatEditOnly]]=TRUE,CONT_TEA[[#This Row],[MatEditOnly]]=FALSE),IF(OR(CONT_TEA[[#This Row],[NoIncrement]]=TRUE,CONT_TEA[[#This Row],[NoIncrement]]=FALSE),0,1),1)</f>
        <v>0</v>
      </c>
      <c r="V67" s="57">
        <f>IF(ISBLANK(CONT_TEA[[#This Row],[FundCode]])=TRUE,0,IF(COUNTIF(FUNDS[FundCode],CONT_TEA[[#This Row],[FundCode]])=1,0,1))</f>
        <v>0</v>
      </c>
      <c r="W67" s="57">
        <f>IF(LEN(CONT_TEA[[#This Row],[Notes]])&lt;4000,0,1)</f>
        <v>0</v>
      </c>
      <c r="X67" s="57">
        <f>IF(SUBSTITUTE(TEXT(CONT_TEA[[#This Row],[Reference]],10)," ","")=TEXT(CONT_TEA[[#This Row],[Reference]],10),0,1)</f>
        <v>0</v>
      </c>
      <c r="Y67" s="57">
        <f ca="1">SUM(CONT_TEA[[#This Row],[Duplicate Contract]:[Space in Code]])</f>
        <v>1</v>
      </c>
      <c r="AA67" s="12" t="s">
        <v>2094</v>
      </c>
      <c r="AB67" s="15">
        <v>91073555</v>
      </c>
      <c r="AC67" s="12" t="s">
        <v>4416</v>
      </c>
      <c r="AD67" s="57" t="str">
        <f>_xlfn.XLOOKUP(CONT_TEA[[#This Row],[StaffMemberCode]],StaffMembers!O:O,StaffMembers!R:R)</f>
        <v>Jordan Morris</v>
      </c>
      <c r="AE67" s="12" t="s">
        <v>1178</v>
      </c>
      <c r="AF67" s="57">
        <f>_xlfn.XLOOKUP(CONT_TEA[[#This Row],[SRG]],SRG[StaffRoleGroupCode],SRG[GrossSalaryFinanceCode])</f>
        <v>612100</v>
      </c>
      <c r="AG67" s="57" t="str">
        <f>_xlfn.XLOOKUP(CONT_TEA[[#This Row],[StaffRoleCode]],ROLES[StaffRoleCode],ROLES[StaffRoleGroupCode])</f>
        <v>TEA</v>
      </c>
      <c r="AH67" s="57" t="str">
        <f>_xlfn.XLOOKUP(CONT_TEA[[#This Row],[StaffRoleCode]],ROLES[StaffRoleCode],ROLES[PayScaleCode])</f>
        <v>MAIN</v>
      </c>
      <c r="AI67" s="12" t="s">
        <v>1126</v>
      </c>
      <c r="AJ67" s="12" t="s">
        <v>1546</v>
      </c>
      <c r="AK67" s="12" t="s">
        <v>2499</v>
      </c>
      <c r="AM67" s="68" t="s">
        <v>1147</v>
      </c>
      <c r="AN67" s="13" t="s">
        <v>1702</v>
      </c>
      <c r="AO67" s="21">
        <v>45901</v>
      </c>
      <c r="AQ67" s="12">
        <v>1</v>
      </c>
      <c r="AR67" t="b">
        <v>0</v>
      </c>
      <c r="AS67" t="b">
        <v>0</v>
      </c>
      <c r="AT67" s="12" t="s">
        <v>1574</v>
      </c>
    </row>
    <row r="68" spans="1:46" x14ac:dyDescent="0.3">
      <c r="A68" s="57" t="str">
        <f t="shared" si="1"/>
        <v>BLS9107355191073551ATEASTCH45901</v>
      </c>
      <c r="B68" s="57">
        <f>COUNTIF(CONT_TEA[Unique Contract],CONT_TEA[[#This Row],[Unique Contract]])-1</f>
        <v>0</v>
      </c>
      <c r="C68" s="57">
        <f>IFERROR(IF(FIND(CONT_TEA[[#This Row],[SchoolCode]],_xlfn.XLOOKUP(CONT_TEA[[#This Row],[StaffMemberCode]],MEMBERS[StaffMemberCode],MEMBERS[SchoolCodes]))&gt;0,0,1),1)</f>
        <v>0</v>
      </c>
      <c r="D68" s="57" cm="1">
        <f t="array" ref="D68">IF(_xlfn.XLOOKUP(CONT_TEA[[#This Row],[StaffRoleCode]],ROLES[StaffRoleCode],ROLES[AvailableToAllSchools],1,0,)=TRUE,0,IF(ISERROR(FIND(CONT_TEA[[#This Row],[SchoolCode]],_xlfn.TEXTJOIN(",",TRUE,_xlfn.UNIQUE(IF(ROLES[StaffRoleCode]=CONT_TEA[[#This Row],[StaffRoleCode]],ROLES[SchoolCodes],""))))),1,0))</f>
        <v>0</v>
      </c>
      <c r="E68" s="57" cm="1">
        <f t="array" ref="E6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68" s="57" cm="1">
        <f t="array" ref="F68">IF(_xlfn.XLOOKUP(CONT_TEA[[#This Row],[PayScaleCode]],PAYSCALES[PayScaleCode],PAYSCALES[AvailableToAllSchools],1,0,)=TRUE,0,IF(ISERROR(FIND(CONT_TEA[[#This Row],[SchoolCode]],_xlfn.TEXTJOIN(",",TRUE,_xlfn.UNIQUE(IF(PAYSCALES[PayScaleCode]=CONT_TEA[[#This Row],[PayScaleCode]],PAYSCALES[SchoolCodes],""))))),1,0))</f>
        <v>0</v>
      </c>
      <c r="G68" s="57">
        <f>IF(_xlfn.XLOOKUP(CONT_TEA[[#This Row],[PayScaleGradeCode]],GRADES[PayScaleGradeCode],GRADES[AvailableToAllSchools])=TRUE,0,IFERROR(IF(FIND(CONT_TEA[[#This Row],[SchoolCode]],_xlfn.XLOOKUP(CONT_TEA[[#This Row],[PayScaleGradeCode]],GRADES[PayScaleGradeCode],GRADES[SchoolCodes]))&gt;=1,0,1),1))</f>
        <v>0</v>
      </c>
      <c r="H68" s="57">
        <f>IF(ISERROR(IF((_xlfn.XLOOKUP(CONT_TEA[[#This Row],[PayScaleGradeCode]],GRADES[PayScaleGradeCode],GRADES[PayScaleCode])=CONT_TEA[[#This Row],[PayScaleCode]]),0,1)),1,0)</f>
        <v>0</v>
      </c>
      <c r="I68" s="57" cm="1">
        <f t="array" ref="I68">IF(ISERROR(FIND(CONT_TEA[[#This Row],[PayScalePointCode]],_xlfn.TEXTJOIN(",",TRUE,IF(PSPOINTS[PayScaleCode]=CONT_TEA[[#This Row],[PayScaleCode]],PSPOINTS[PayScalePointCode])))),1,0)</f>
        <v>0</v>
      </c>
      <c r="J68" s="57" cm="1">
        <f t="array" ref="J6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68" s="57">
        <f>IF(_xlfn.XLOOKUP(CONT_TEA[[#This Row],[PayScalePointCode]],PSPOINTS[PayScalePointCode],PSPOINTS[PayScalePointEnabled])=TRUE,0,1)</f>
        <v>0</v>
      </c>
      <c r="L68" s="57" cm="1">
        <f t="array" ref="L68">IF(_xlfn.XLOOKUP(CONT_TEA[[#This Row],[DepartmentCode]],DEPTS[DepartmentCode],DEPTS[AvailableToAllSchools],1,0,)=TRUE,0,IF(ISERROR(FIND(CONT_TEA[[#This Row],[SchoolCode]],_xlfn.TEXTJOIN(",",TRUE,_xlfn.UNIQUE(IF(DEPTS[DepartmentCode]=CONT_TEA[[#This Row],[DepartmentCode]],DEPTS[SchoolCodes],""))))),1,0))</f>
        <v>0</v>
      </c>
      <c r="M68" s="57">
        <f>IFERROR(IF(_xlfn.XLOOKUP(CONT_TEA[[#This Row],[SRG Gross]],FinanceCodesBudget[FinanceCode],FinanceCodesBudget[LedgerCode])=_xlfn.XLOOKUP(CONT_TEA[[#This Row],[DepartmentCode]],DEPTS[DepartmentCode],DEPTS[LedgerCode]),0,1),1)</f>
        <v>1</v>
      </c>
      <c r="N68" s="57" cm="1">
        <f t="array" ref="N68">IF(_xlfn.XLOOKUP(CONT_TEA[[#This Row],[PensionCode]],PENS[PensionCode],PENS[AvailableToAllSchools],1,0,)=TRUE,0,IF(ISERROR(FIND(CONT_TEA[[#This Row],[SchoolCode]],_xlfn.TEXTJOIN(",",TRUE,_xlfn.UNIQUE(IF(PENS[PensionCode]=CONT_TEA[[#This Row],[PensionCode]],PENS[SchoolCodes],""))))),1,0))</f>
        <v>0</v>
      </c>
      <c r="O68" s="57" cm="1">
        <f t="array" ref="O68">IF(_xlfn.XLOOKUP(CONT_TEA[[#This Row],[EquatedWeekPatternCode]],EQW[EquatedWeekPatternCode],EQW[AvailableToAllSchools],1,0,)=TRUE,0,IF(ISERROR(FIND(CONT_TEA[[#This Row],[SchoolCode]],_xlfn.TEXTJOIN(",",TRUE,_xlfn.UNIQUE(IF(EQW[EquatedWeekPatternCode]=CONT_TEA[[#This Row],[EquatedWeekPatternCode]],EQW[SchoolCodes],""))))),1,0))</f>
        <v>0</v>
      </c>
      <c r="P68" s="57">
        <f>1-COUNTIF(ContractTypes[Code],CONT_TEA[[#This Row],[ContractTypeCode]])</f>
        <v>0</v>
      </c>
      <c r="Q68" s="57">
        <f>IF(VLOOKUP(CONT_TEA[[#This Row],[StaffMemberCode]],MEMBERS[[StaffMemberCode]:[ServiceStartDate]],5,0)&gt;CONT_TEA[[#This Row],[DateFrom]],1,0)</f>
        <v>0</v>
      </c>
      <c r="R68" s="57">
        <f>IF(_xlfn.XLOOKUP(CONT_TEA[[#This Row],[StaffMemberCode]],MEMBERS[StaffMemberCode],MEMBERS[ServiceEndDate])="",0,IF(CONT_TEA[[#This Row],[DateTo]]="",1,IF(_xlfn.XLOOKUP(CONT_TEA[[#This Row],[StaffMemberCode]],MEMBERS[StaffMemberCode],MEMBERS[ServiceEndDate])&lt;CONT_TEA[[#This Row],[DateTo]],1,0)))</f>
        <v>0</v>
      </c>
      <c r="S68" s="57">
        <f>IF(ISBLANK(CONT_TEA[[#This Row],[DateTo]]),0,IF(CONT_TEA[[#This Row],[DateFrom]]=CONT_TEA[[#This Row],[DateTo]],0,IF(CONT_TEA[[#This Row],[DateFrom]]&lt;CONT_TEA[[#This Row],[DateTo]],0,1)))</f>
        <v>0</v>
      </c>
      <c r="T68" s="57" cm="1">
        <f t="array" aca="1" ref="T68" ca="1">IF(CELL("format",CONT_TEA[[#This Row],[DateFrom]])="D1",0,1)+IF(CELL("format",CONT_TEA[[#This Row],[DateTo]])="D1",0,1)</f>
        <v>0</v>
      </c>
      <c r="U68" s="57">
        <f>IF(OR(CONT_TEA[[#This Row],[MatEditOnly]]=TRUE,CONT_TEA[[#This Row],[MatEditOnly]]=FALSE),IF(OR(CONT_TEA[[#This Row],[NoIncrement]]=TRUE,CONT_TEA[[#This Row],[NoIncrement]]=FALSE),0,1),1)</f>
        <v>0</v>
      </c>
      <c r="V68" s="57">
        <f>IF(ISBLANK(CONT_TEA[[#This Row],[FundCode]])=TRUE,0,IF(COUNTIF(FUNDS[FundCode],CONT_TEA[[#This Row],[FundCode]])=1,0,1))</f>
        <v>0</v>
      </c>
      <c r="W68" s="57">
        <f>IF(LEN(CONT_TEA[[#This Row],[Notes]])&lt;4000,0,1)</f>
        <v>0</v>
      </c>
      <c r="X68" s="57">
        <f>IF(SUBSTITUTE(TEXT(CONT_TEA[[#This Row],[Reference]],10)," ","")=TEXT(CONT_TEA[[#This Row],[Reference]],10),0,1)</f>
        <v>0</v>
      </c>
      <c r="Y68" s="57">
        <f ca="1">SUM(CONT_TEA[[#This Row],[Duplicate Contract]:[Space in Code]])</f>
        <v>1</v>
      </c>
      <c r="AA68" s="12" t="s">
        <v>2094</v>
      </c>
      <c r="AB68" s="15">
        <v>91073551</v>
      </c>
      <c r="AC68" s="12" t="s">
        <v>4417</v>
      </c>
      <c r="AD68" s="57" t="str">
        <f>_xlfn.XLOOKUP(CONT_TEA[[#This Row],[StaffMemberCode]],StaffMembers!O:O,StaffMembers!R:R)</f>
        <v>Karen Ingram</v>
      </c>
      <c r="AE68" s="12" t="s">
        <v>1178</v>
      </c>
      <c r="AF68" s="57">
        <f>_xlfn.XLOOKUP(CONT_TEA[[#This Row],[SRG]],SRG[StaffRoleGroupCode],SRG[GrossSalaryFinanceCode])</f>
        <v>612100</v>
      </c>
      <c r="AG68" s="57" t="str">
        <f>_xlfn.XLOOKUP(CONT_TEA[[#This Row],[StaffRoleCode]],ROLES[StaffRoleCode],ROLES[StaffRoleGroupCode])</f>
        <v>TEA</v>
      </c>
      <c r="AH68" s="57" t="str">
        <f>_xlfn.XLOOKUP(CONT_TEA[[#This Row],[StaffRoleCode]],ROLES[StaffRoleCode],ROLES[PayScaleCode])</f>
        <v>MAIN</v>
      </c>
      <c r="AI68" s="12" t="s">
        <v>1126</v>
      </c>
      <c r="AJ68" s="12" t="s">
        <v>3074</v>
      </c>
      <c r="AK68" s="12" t="s">
        <v>2499</v>
      </c>
      <c r="AM68" s="68" t="s">
        <v>1147</v>
      </c>
      <c r="AN68" s="13" t="s">
        <v>1702</v>
      </c>
      <c r="AO68" s="21">
        <v>45901</v>
      </c>
      <c r="AQ68" s="12">
        <v>1</v>
      </c>
      <c r="AR68" t="b">
        <v>0</v>
      </c>
      <c r="AS68" t="b">
        <v>0</v>
      </c>
      <c r="AT68" s="12" t="s">
        <v>1574</v>
      </c>
    </row>
    <row r="69" spans="1:46" x14ac:dyDescent="0.3">
      <c r="A69" s="57" t="str">
        <f t="shared" si="1"/>
        <v>BLS9107358491073584ATEASTCH45901</v>
      </c>
      <c r="B69" s="57">
        <f>COUNTIF(CONT_TEA[Unique Contract],CONT_TEA[[#This Row],[Unique Contract]])-1</f>
        <v>0</v>
      </c>
      <c r="C69" s="57">
        <f>IFERROR(IF(FIND(CONT_TEA[[#This Row],[SchoolCode]],_xlfn.XLOOKUP(CONT_TEA[[#This Row],[StaffMemberCode]],MEMBERS[StaffMemberCode],MEMBERS[SchoolCodes]))&gt;0,0,1),1)</f>
        <v>0</v>
      </c>
      <c r="D69" s="57" cm="1">
        <f t="array" ref="D69">IF(_xlfn.XLOOKUP(CONT_TEA[[#This Row],[StaffRoleCode]],ROLES[StaffRoleCode],ROLES[AvailableToAllSchools],1,0,)=TRUE,0,IF(ISERROR(FIND(CONT_TEA[[#This Row],[SchoolCode]],_xlfn.TEXTJOIN(",",TRUE,_xlfn.UNIQUE(IF(ROLES[StaffRoleCode]=CONT_TEA[[#This Row],[StaffRoleCode]],ROLES[SchoolCodes],""))))),1,0))</f>
        <v>0</v>
      </c>
      <c r="E69" s="57" cm="1">
        <f t="array" ref="E6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69" s="57" cm="1">
        <f t="array" ref="F69">IF(_xlfn.XLOOKUP(CONT_TEA[[#This Row],[PayScaleCode]],PAYSCALES[PayScaleCode],PAYSCALES[AvailableToAllSchools],1,0,)=TRUE,0,IF(ISERROR(FIND(CONT_TEA[[#This Row],[SchoolCode]],_xlfn.TEXTJOIN(",",TRUE,_xlfn.UNIQUE(IF(PAYSCALES[PayScaleCode]=CONT_TEA[[#This Row],[PayScaleCode]],PAYSCALES[SchoolCodes],""))))),1,0))</f>
        <v>0</v>
      </c>
      <c r="G69" s="57">
        <f>IF(_xlfn.XLOOKUP(CONT_TEA[[#This Row],[PayScaleGradeCode]],GRADES[PayScaleGradeCode],GRADES[AvailableToAllSchools])=TRUE,0,IFERROR(IF(FIND(CONT_TEA[[#This Row],[SchoolCode]],_xlfn.XLOOKUP(CONT_TEA[[#This Row],[PayScaleGradeCode]],GRADES[PayScaleGradeCode],GRADES[SchoolCodes]))&gt;=1,0,1),1))</f>
        <v>0</v>
      </c>
      <c r="H69" s="57">
        <f>IF(ISERROR(IF((_xlfn.XLOOKUP(CONT_TEA[[#This Row],[PayScaleGradeCode]],GRADES[PayScaleGradeCode],GRADES[PayScaleCode])=CONT_TEA[[#This Row],[PayScaleCode]]),0,1)),1,0)</f>
        <v>0</v>
      </c>
      <c r="I69" s="57" cm="1">
        <f t="array" ref="I69">IF(ISERROR(FIND(CONT_TEA[[#This Row],[PayScalePointCode]],_xlfn.TEXTJOIN(",",TRUE,IF(PSPOINTS[PayScaleCode]=CONT_TEA[[#This Row],[PayScaleCode]],PSPOINTS[PayScalePointCode])))),1,0)</f>
        <v>0</v>
      </c>
      <c r="J69" s="57" cm="1">
        <f t="array" ref="J6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69" s="57">
        <f>IF(_xlfn.XLOOKUP(CONT_TEA[[#This Row],[PayScalePointCode]],PSPOINTS[PayScalePointCode],PSPOINTS[PayScalePointEnabled])=TRUE,0,1)</f>
        <v>0</v>
      </c>
      <c r="L69" s="57" cm="1">
        <f t="array" ref="L69">IF(_xlfn.XLOOKUP(CONT_TEA[[#This Row],[DepartmentCode]],DEPTS[DepartmentCode],DEPTS[AvailableToAllSchools],1,0,)=TRUE,0,IF(ISERROR(FIND(CONT_TEA[[#This Row],[SchoolCode]],_xlfn.TEXTJOIN(",",TRUE,_xlfn.UNIQUE(IF(DEPTS[DepartmentCode]=CONT_TEA[[#This Row],[DepartmentCode]],DEPTS[SchoolCodes],""))))),1,0))</f>
        <v>0</v>
      </c>
      <c r="M69" s="57">
        <f>IFERROR(IF(_xlfn.XLOOKUP(CONT_TEA[[#This Row],[SRG Gross]],FinanceCodesBudget[FinanceCode],FinanceCodesBudget[LedgerCode])=_xlfn.XLOOKUP(CONT_TEA[[#This Row],[DepartmentCode]],DEPTS[DepartmentCode],DEPTS[LedgerCode]),0,1),1)</f>
        <v>1</v>
      </c>
      <c r="N69" s="57" cm="1">
        <f t="array" ref="N69">IF(_xlfn.XLOOKUP(CONT_TEA[[#This Row],[PensionCode]],PENS[PensionCode],PENS[AvailableToAllSchools],1,0,)=TRUE,0,IF(ISERROR(FIND(CONT_TEA[[#This Row],[SchoolCode]],_xlfn.TEXTJOIN(",",TRUE,_xlfn.UNIQUE(IF(PENS[PensionCode]=CONT_TEA[[#This Row],[PensionCode]],PENS[SchoolCodes],""))))),1,0))</f>
        <v>0</v>
      </c>
      <c r="O69" s="57" cm="1">
        <f t="array" ref="O69">IF(_xlfn.XLOOKUP(CONT_TEA[[#This Row],[EquatedWeekPatternCode]],EQW[EquatedWeekPatternCode],EQW[AvailableToAllSchools],1,0,)=TRUE,0,IF(ISERROR(FIND(CONT_TEA[[#This Row],[SchoolCode]],_xlfn.TEXTJOIN(",",TRUE,_xlfn.UNIQUE(IF(EQW[EquatedWeekPatternCode]=CONT_TEA[[#This Row],[EquatedWeekPatternCode]],EQW[SchoolCodes],""))))),1,0))</f>
        <v>0</v>
      </c>
      <c r="P69" s="57">
        <f>1-COUNTIF(ContractTypes[Code],CONT_TEA[[#This Row],[ContractTypeCode]])</f>
        <v>0</v>
      </c>
      <c r="Q69" s="57">
        <f>IF(VLOOKUP(CONT_TEA[[#This Row],[StaffMemberCode]],MEMBERS[[StaffMemberCode]:[ServiceStartDate]],5,0)&gt;CONT_TEA[[#This Row],[DateFrom]],1,0)</f>
        <v>0</v>
      </c>
      <c r="R69" s="57">
        <f>IF(_xlfn.XLOOKUP(CONT_TEA[[#This Row],[StaffMemberCode]],MEMBERS[StaffMemberCode],MEMBERS[ServiceEndDate])="",0,IF(CONT_TEA[[#This Row],[DateTo]]="",1,IF(_xlfn.XLOOKUP(CONT_TEA[[#This Row],[StaffMemberCode]],MEMBERS[StaffMemberCode],MEMBERS[ServiceEndDate])&lt;CONT_TEA[[#This Row],[DateTo]],1,0)))</f>
        <v>0</v>
      </c>
      <c r="S69" s="57">
        <f>IF(ISBLANK(CONT_TEA[[#This Row],[DateTo]]),0,IF(CONT_TEA[[#This Row],[DateFrom]]=CONT_TEA[[#This Row],[DateTo]],0,IF(CONT_TEA[[#This Row],[DateFrom]]&lt;CONT_TEA[[#This Row],[DateTo]],0,1)))</f>
        <v>0</v>
      </c>
      <c r="T69" s="57" cm="1">
        <f t="array" aca="1" ref="T69" ca="1">IF(CELL("format",CONT_TEA[[#This Row],[DateFrom]])="D1",0,1)+IF(CELL("format",CONT_TEA[[#This Row],[DateTo]])="D1",0,1)</f>
        <v>0</v>
      </c>
      <c r="U69" s="57">
        <f>IF(OR(CONT_TEA[[#This Row],[MatEditOnly]]=TRUE,CONT_TEA[[#This Row],[MatEditOnly]]=FALSE),IF(OR(CONT_TEA[[#This Row],[NoIncrement]]=TRUE,CONT_TEA[[#This Row],[NoIncrement]]=FALSE),0,1),1)</f>
        <v>0</v>
      </c>
      <c r="V69" s="57">
        <f>IF(ISBLANK(CONT_TEA[[#This Row],[FundCode]])=TRUE,0,IF(COUNTIF(FUNDS[FundCode],CONT_TEA[[#This Row],[FundCode]])=1,0,1))</f>
        <v>0</v>
      </c>
      <c r="W69" s="57">
        <f>IF(LEN(CONT_TEA[[#This Row],[Notes]])&lt;4000,0,1)</f>
        <v>0</v>
      </c>
      <c r="X69" s="57">
        <f>IF(SUBSTITUTE(TEXT(CONT_TEA[[#This Row],[Reference]],10)," ","")=TEXT(CONT_TEA[[#This Row],[Reference]],10),0,1)</f>
        <v>0</v>
      </c>
      <c r="Y69" s="57">
        <f ca="1">SUM(CONT_TEA[[#This Row],[Duplicate Contract]:[Space in Code]])</f>
        <v>1</v>
      </c>
      <c r="AA69" s="12" t="s">
        <v>2094</v>
      </c>
      <c r="AB69" s="15">
        <v>91073584</v>
      </c>
      <c r="AC69" s="12" t="s">
        <v>4418</v>
      </c>
      <c r="AD69" s="57" t="str">
        <f>_xlfn.XLOOKUP(CONT_TEA[[#This Row],[StaffMemberCode]],StaffMembers!O:O,StaffMembers!R:R)</f>
        <v>Kate Barber</v>
      </c>
      <c r="AE69" s="12" t="s">
        <v>1178</v>
      </c>
      <c r="AF69" s="57">
        <f>_xlfn.XLOOKUP(CONT_TEA[[#This Row],[SRG]],SRG[StaffRoleGroupCode],SRG[GrossSalaryFinanceCode])</f>
        <v>612100</v>
      </c>
      <c r="AG69" s="57" t="str">
        <f>_xlfn.XLOOKUP(CONT_TEA[[#This Row],[StaffRoleCode]],ROLES[StaffRoleCode],ROLES[StaffRoleGroupCode])</f>
        <v>TEA</v>
      </c>
      <c r="AH69" s="57" t="str">
        <f>_xlfn.XLOOKUP(CONT_TEA[[#This Row],[StaffRoleCode]],ROLES[StaffRoleCode],ROLES[PayScaleCode])</f>
        <v>MAIN</v>
      </c>
      <c r="AI69" s="12" t="s">
        <v>1126</v>
      </c>
      <c r="AJ69" s="12" t="s">
        <v>1745</v>
      </c>
      <c r="AK69" s="12" t="s">
        <v>2499</v>
      </c>
      <c r="AM69" s="68" t="s">
        <v>1147</v>
      </c>
      <c r="AN69" s="13" t="s">
        <v>1702</v>
      </c>
      <c r="AO69" s="21">
        <v>45901</v>
      </c>
      <c r="AQ69" s="12">
        <v>1</v>
      </c>
      <c r="AR69" t="b">
        <v>0</v>
      </c>
      <c r="AS69" t="b">
        <v>0</v>
      </c>
      <c r="AT69" s="12" t="s">
        <v>1574</v>
      </c>
    </row>
    <row r="70" spans="1:46" x14ac:dyDescent="0.3">
      <c r="A70" s="57" t="str">
        <f t="shared" si="1"/>
        <v>BLS9107344191073441ATEASTCH45901</v>
      </c>
      <c r="B70" s="57">
        <f>COUNTIF(CONT_TEA[Unique Contract],CONT_TEA[[#This Row],[Unique Contract]])-1</f>
        <v>0</v>
      </c>
      <c r="C70" s="57">
        <f>IFERROR(IF(FIND(CONT_TEA[[#This Row],[SchoolCode]],_xlfn.XLOOKUP(CONT_TEA[[#This Row],[StaffMemberCode]],MEMBERS[StaffMemberCode],MEMBERS[SchoolCodes]))&gt;0,0,1),1)</f>
        <v>0</v>
      </c>
      <c r="D70" s="57" cm="1">
        <f t="array" ref="D70">IF(_xlfn.XLOOKUP(CONT_TEA[[#This Row],[StaffRoleCode]],ROLES[StaffRoleCode],ROLES[AvailableToAllSchools],1,0,)=TRUE,0,IF(ISERROR(FIND(CONT_TEA[[#This Row],[SchoolCode]],_xlfn.TEXTJOIN(",",TRUE,_xlfn.UNIQUE(IF(ROLES[StaffRoleCode]=CONT_TEA[[#This Row],[StaffRoleCode]],ROLES[SchoolCodes],""))))),1,0))</f>
        <v>0</v>
      </c>
      <c r="E70" s="57" cm="1">
        <f t="array" ref="E7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70" s="57" cm="1">
        <f t="array" ref="F70">IF(_xlfn.XLOOKUP(CONT_TEA[[#This Row],[PayScaleCode]],PAYSCALES[PayScaleCode],PAYSCALES[AvailableToAllSchools],1,0,)=TRUE,0,IF(ISERROR(FIND(CONT_TEA[[#This Row],[SchoolCode]],_xlfn.TEXTJOIN(",",TRUE,_xlfn.UNIQUE(IF(PAYSCALES[PayScaleCode]=CONT_TEA[[#This Row],[PayScaleCode]],PAYSCALES[SchoolCodes],""))))),1,0))</f>
        <v>0</v>
      </c>
      <c r="G70" s="57">
        <f>IF(_xlfn.XLOOKUP(CONT_TEA[[#This Row],[PayScaleGradeCode]],GRADES[PayScaleGradeCode],GRADES[AvailableToAllSchools])=TRUE,0,IFERROR(IF(FIND(CONT_TEA[[#This Row],[SchoolCode]],_xlfn.XLOOKUP(CONT_TEA[[#This Row],[PayScaleGradeCode]],GRADES[PayScaleGradeCode],GRADES[SchoolCodes]))&gt;=1,0,1),1))</f>
        <v>0</v>
      </c>
      <c r="H70" s="57">
        <f>IF(ISERROR(IF((_xlfn.XLOOKUP(CONT_TEA[[#This Row],[PayScaleGradeCode]],GRADES[PayScaleGradeCode],GRADES[PayScaleCode])=CONT_TEA[[#This Row],[PayScaleCode]]),0,1)),1,0)</f>
        <v>0</v>
      </c>
      <c r="I70" s="57" cm="1">
        <f t="array" ref="I70">IF(ISERROR(FIND(CONT_TEA[[#This Row],[PayScalePointCode]],_xlfn.TEXTJOIN(",",TRUE,IF(PSPOINTS[PayScaleCode]=CONT_TEA[[#This Row],[PayScaleCode]],PSPOINTS[PayScalePointCode])))),1,0)</f>
        <v>0</v>
      </c>
      <c r="J70" s="57" cm="1">
        <f t="array" ref="J7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70" s="57">
        <f>IF(_xlfn.XLOOKUP(CONT_TEA[[#This Row],[PayScalePointCode]],PSPOINTS[PayScalePointCode],PSPOINTS[PayScalePointEnabled])=TRUE,0,1)</f>
        <v>0</v>
      </c>
      <c r="L70" s="57" cm="1">
        <f t="array" ref="L70">IF(_xlfn.XLOOKUP(CONT_TEA[[#This Row],[DepartmentCode]],DEPTS[DepartmentCode],DEPTS[AvailableToAllSchools],1,0,)=TRUE,0,IF(ISERROR(FIND(CONT_TEA[[#This Row],[SchoolCode]],_xlfn.TEXTJOIN(",",TRUE,_xlfn.UNIQUE(IF(DEPTS[DepartmentCode]=CONT_TEA[[#This Row],[DepartmentCode]],DEPTS[SchoolCodes],""))))),1,0))</f>
        <v>0</v>
      </c>
      <c r="M70" s="57">
        <f>IFERROR(IF(_xlfn.XLOOKUP(CONT_TEA[[#This Row],[SRG Gross]],FinanceCodesBudget[FinanceCode],FinanceCodesBudget[LedgerCode])=_xlfn.XLOOKUP(CONT_TEA[[#This Row],[DepartmentCode]],DEPTS[DepartmentCode],DEPTS[LedgerCode]),0,1),1)</f>
        <v>1</v>
      </c>
      <c r="N70" s="57" cm="1">
        <f t="array" ref="N70">IF(_xlfn.XLOOKUP(CONT_TEA[[#This Row],[PensionCode]],PENS[PensionCode],PENS[AvailableToAllSchools],1,0,)=TRUE,0,IF(ISERROR(FIND(CONT_TEA[[#This Row],[SchoolCode]],_xlfn.TEXTJOIN(",",TRUE,_xlfn.UNIQUE(IF(PENS[PensionCode]=CONT_TEA[[#This Row],[PensionCode]],PENS[SchoolCodes],""))))),1,0))</f>
        <v>0</v>
      </c>
      <c r="O70" s="57" cm="1">
        <f t="array" ref="O70">IF(_xlfn.XLOOKUP(CONT_TEA[[#This Row],[EquatedWeekPatternCode]],EQW[EquatedWeekPatternCode],EQW[AvailableToAllSchools],1,0,)=TRUE,0,IF(ISERROR(FIND(CONT_TEA[[#This Row],[SchoolCode]],_xlfn.TEXTJOIN(",",TRUE,_xlfn.UNIQUE(IF(EQW[EquatedWeekPatternCode]=CONT_TEA[[#This Row],[EquatedWeekPatternCode]],EQW[SchoolCodes],""))))),1,0))</f>
        <v>0</v>
      </c>
      <c r="P70" s="57">
        <f>1-COUNTIF(ContractTypes[Code],CONT_TEA[[#This Row],[ContractTypeCode]])</f>
        <v>0</v>
      </c>
      <c r="Q70" s="57">
        <f>IF(VLOOKUP(CONT_TEA[[#This Row],[StaffMemberCode]],MEMBERS[[StaffMemberCode]:[ServiceStartDate]],5,0)&gt;CONT_TEA[[#This Row],[DateFrom]],1,0)</f>
        <v>0</v>
      </c>
      <c r="R70" s="57">
        <f>IF(_xlfn.XLOOKUP(CONT_TEA[[#This Row],[StaffMemberCode]],MEMBERS[StaffMemberCode],MEMBERS[ServiceEndDate])="",0,IF(CONT_TEA[[#This Row],[DateTo]]="",1,IF(_xlfn.XLOOKUP(CONT_TEA[[#This Row],[StaffMemberCode]],MEMBERS[StaffMemberCode],MEMBERS[ServiceEndDate])&lt;CONT_TEA[[#This Row],[DateTo]],1,0)))</f>
        <v>0</v>
      </c>
      <c r="S70" s="57">
        <f>IF(ISBLANK(CONT_TEA[[#This Row],[DateTo]]),0,IF(CONT_TEA[[#This Row],[DateFrom]]=CONT_TEA[[#This Row],[DateTo]],0,IF(CONT_TEA[[#This Row],[DateFrom]]&lt;CONT_TEA[[#This Row],[DateTo]],0,1)))</f>
        <v>0</v>
      </c>
      <c r="T70" s="57" cm="1">
        <f t="array" aca="1" ref="T70" ca="1">IF(CELL("format",CONT_TEA[[#This Row],[DateFrom]])="D1",0,1)+IF(CELL("format",CONT_TEA[[#This Row],[DateTo]])="D1",0,1)</f>
        <v>0</v>
      </c>
      <c r="U70" s="57">
        <f>IF(OR(CONT_TEA[[#This Row],[MatEditOnly]]=TRUE,CONT_TEA[[#This Row],[MatEditOnly]]=FALSE),IF(OR(CONT_TEA[[#This Row],[NoIncrement]]=TRUE,CONT_TEA[[#This Row],[NoIncrement]]=FALSE),0,1),1)</f>
        <v>0</v>
      </c>
      <c r="V70" s="57">
        <f>IF(ISBLANK(CONT_TEA[[#This Row],[FundCode]])=TRUE,0,IF(COUNTIF(FUNDS[FundCode],CONT_TEA[[#This Row],[FundCode]])=1,0,1))</f>
        <v>0</v>
      </c>
      <c r="W70" s="57">
        <f>IF(LEN(CONT_TEA[[#This Row],[Notes]])&lt;4000,0,1)</f>
        <v>0</v>
      </c>
      <c r="X70" s="57">
        <f>IF(SUBSTITUTE(TEXT(CONT_TEA[[#This Row],[Reference]],10)," ","")=TEXT(CONT_TEA[[#This Row],[Reference]],10),0,1)</f>
        <v>0</v>
      </c>
      <c r="Y70" s="57">
        <f ca="1">SUM(CONT_TEA[[#This Row],[Duplicate Contract]:[Space in Code]])</f>
        <v>1</v>
      </c>
      <c r="AA70" s="12" t="s">
        <v>2094</v>
      </c>
      <c r="AB70" s="15">
        <v>91073441</v>
      </c>
      <c r="AC70" s="12" t="s">
        <v>4419</v>
      </c>
      <c r="AD70" s="57" t="str">
        <f>_xlfn.XLOOKUP(CONT_TEA[[#This Row],[StaffMemberCode]],StaffMembers!O:O,StaffMembers!R:R)</f>
        <v>Kirsty MacGregor</v>
      </c>
      <c r="AE70" s="12" t="s">
        <v>1178</v>
      </c>
      <c r="AF70" s="57">
        <f>_xlfn.XLOOKUP(CONT_TEA[[#This Row],[SRG]],SRG[StaffRoleGroupCode],SRG[GrossSalaryFinanceCode])</f>
        <v>612100</v>
      </c>
      <c r="AG70" s="57" t="str">
        <f>_xlfn.XLOOKUP(CONT_TEA[[#This Row],[StaffRoleCode]],ROLES[StaffRoleCode],ROLES[StaffRoleGroupCode])</f>
        <v>TEA</v>
      </c>
      <c r="AH70" s="57" t="str">
        <f>_xlfn.XLOOKUP(CONT_TEA[[#This Row],[StaffRoleCode]],ROLES[StaffRoleCode],ROLES[PayScaleCode])</f>
        <v>MAIN</v>
      </c>
      <c r="AI70" s="12" t="s">
        <v>1126</v>
      </c>
      <c r="AJ70" s="12" t="s">
        <v>1745</v>
      </c>
      <c r="AK70" s="12" t="s">
        <v>2499</v>
      </c>
      <c r="AM70" s="68" t="s">
        <v>1147</v>
      </c>
      <c r="AN70" s="13" t="s">
        <v>1702</v>
      </c>
      <c r="AO70" s="21">
        <v>45901</v>
      </c>
      <c r="AQ70" s="12">
        <v>1</v>
      </c>
      <c r="AR70" t="b">
        <v>0</v>
      </c>
      <c r="AS70" t="b">
        <v>0</v>
      </c>
      <c r="AT70" s="12" t="s">
        <v>1574</v>
      </c>
    </row>
    <row r="71" spans="1:46" x14ac:dyDescent="0.3">
      <c r="A71" s="57" t="str">
        <f t="shared" si="1"/>
        <v>BLS9107354691073546ATEASTCH45901</v>
      </c>
      <c r="B71" s="57">
        <f>COUNTIF(CONT_TEA[Unique Contract],CONT_TEA[[#This Row],[Unique Contract]])-1</f>
        <v>0</v>
      </c>
      <c r="C71" s="57">
        <f>IFERROR(IF(FIND(CONT_TEA[[#This Row],[SchoolCode]],_xlfn.XLOOKUP(CONT_TEA[[#This Row],[StaffMemberCode]],MEMBERS[StaffMemberCode],MEMBERS[SchoolCodes]))&gt;0,0,1),1)</f>
        <v>0</v>
      </c>
      <c r="D71" s="57" cm="1">
        <f t="array" ref="D71">IF(_xlfn.XLOOKUP(CONT_TEA[[#This Row],[StaffRoleCode]],ROLES[StaffRoleCode],ROLES[AvailableToAllSchools],1,0,)=TRUE,0,IF(ISERROR(FIND(CONT_TEA[[#This Row],[SchoolCode]],_xlfn.TEXTJOIN(",",TRUE,_xlfn.UNIQUE(IF(ROLES[StaffRoleCode]=CONT_TEA[[#This Row],[StaffRoleCode]],ROLES[SchoolCodes],""))))),1,0))</f>
        <v>0</v>
      </c>
      <c r="E71" s="57" cm="1">
        <f t="array" ref="E7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71" s="57" cm="1">
        <f t="array" ref="F71">IF(_xlfn.XLOOKUP(CONT_TEA[[#This Row],[PayScaleCode]],PAYSCALES[PayScaleCode],PAYSCALES[AvailableToAllSchools],1,0,)=TRUE,0,IF(ISERROR(FIND(CONT_TEA[[#This Row],[SchoolCode]],_xlfn.TEXTJOIN(",",TRUE,_xlfn.UNIQUE(IF(PAYSCALES[PayScaleCode]=CONT_TEA[[#This Row],[PayScaleCode]],PAYSCALES[SchoolCodes],""))))),1,0))</f>
        <v>0</v>
      </c>
      <c r="G71" s="57">
        <f>IF(_xlfn.XLOOKUP(CONT_TEA[[#This Row],[PayScaleGradeCode]],GRADES[PayScaleGradeCode],GRADES[AvailableToAllSchools])=TRUE,0,IFERROR(IF(FIND(CONT_TEA[[#This Row],[SchoolCode]],_xlfn.XLOOKUP(CONT_TEA[[#This Row],[PayScaleGradeCode]],GRADES[PayScaleGradeCode],GRADES[SchoolCodes]))&gt;=1,0,1),1))</f>
        <v>0</v>
      </c>
      <c r="H71" s="57">
        <f>IF(ISERROR(IF((_xlfn.XLOOKUP(CONT_TEA[[#This Row],[PayScaleGradeCode]],GRADES[PayScaleGradeCode],GRADES[PayScaleCode])=CONT_TEA[[#This Row],[PayScaleCode]]),0,1)),1,0)</f>
        <v>0</v>
      </c>
      <c r="I71" s="57" cm="1">
        <f t="array" ref="I71">IF(ISERROR(FIND(CONT_TEA[[#This Row],[PayScalePointCode]],_xlfn.TEXTJOIN(",",TRUE,IF(PSPOINTS[PayScaleCode]=CONT_TEA[[#This Row],[PayScaleCode]],PSPOINTS[PayScalePointCode])))),1,0)</f>
        <v>0</v>
      </c>
      <c r="J71" s="57" cm="1">
        <f t="array" ref="J7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71" s="57">
        <f>IF(_xlfn.XLOOKUP(CONT_TEA[[#This Row],[PayScalePointCode]],PSPOINTS[PayScalePointCode],PSPOINTS[PayScalePointEnabled])=TRUE,0,1)</f>
        <v>0</v>
      </c>
      <c r="L71" s="57" cm="1">
        <f t="array" ref="L71">IF(_xlfn.XLOOKUP(CONT_TEA[[#This Row],[DepartmentCode]],DEPTS[DepartmentCode],DEPTS[AvailableToAllSchools],1,0,)=TRUE,0,IF(ISERROR(FIND(CONT_TEA[[#This Row],[SchoolCode]],_xlfn.TEXTJOIN(",",TRUE,_xlfn.UNIQUE(IF(DEPTS[DepartmentCode]=CONT_TEA[[#This Row],[DepartmentCode]],DEPTS[SchoolCodes],""))))),1,0))</f>
        <v>0</v>
      </c>
      <c r="M71" s="57">
        <f>IFERROR(IF(_xlfn.XLOOKUP(CONT_TEA[[#This Row],[SRG Gross]],FinanceCodesBudget[FinanceCode],FinanceCodesBudget[LedgerCode])=_xlfn.XLOOKUP(CONT_TEA[[#This Row],[DepartmentCode]],DEPTS[DepartmentCode],DEPTS[LedgerCode]),0,1),1)</f>
        <v>1</v>
      </c>
      <c r="N71" s="57" cm="1">
        <f t="array" ref="N71">IF(_xlfn.XLOOKUP(CONT_TEA[[#This Row],[PensionCode]],PENS[PensionCode],PENS[AvailableToAllSchools],1,0,)=TRUE,0,IF(ISERROR(FIND(CONT_TEA[[#This Row],[SchoolCode]],_xlfn.TEXTJOIN(",",TRUE,_xlfn.UNIQUE(IF(PENS[PensionCode]=CONT_TEA[[#This Row],[PensionCode]],PENS[SchoolCodes],""))))),1,0))</f>
        <v>0</v>
      </c>
      <c r="O71" s="57" cm="1">
        <f t="array" ref="O71">IF(_xlfn.XLOOKUP(CONT_TEA[[#This Row],[EquatedWeekPatternCode]],EQW[EquatedWeekPatternCode],EQW[AvailableToAllSchools],1,0,)=TRUE,0,IF(ISERROR(FIND(CONT_TEA[[#This Row],[SchoolCode]],_xlfn.TEXTJOIN(",",TRUE,_xlfn.UNIQUE(IF(EQW[EquatedWeekPatternCode]=CONT_TEA[[#This Row],[EquatedWeekPatternCode]],EQW[SchoolCodes],""))))),1,0))</f>
        <v>0</v>
      </c>
      <c r="P71" s="57">
        <f>1-COUNTIF(ContractTypes[Code],CONT_TEA[[#This Row],[ContractTypeCode]])</f>
        <v>0</v>
      </c>
      <c r="Q71" s="57">
        <f>IF(VLOOKUP(CONT_TEA[[#This Row],[StaffMemberCode]],MEMBERS[[StaffMemberCode]:[ServiceStartDate]],5,0)&gt;CONT_TEA[[#This Row],[DateFrom]],1,0)</f>
        <v>0</v>
      </c>
      <c r="R71" s="57">
        <f>IF(_xlfn.XLOOKUP(CONT_TEA[[#This Row],[StaffMemberCode]],MEMBERS[StaffMemberCode],MEMBERS[ServiceEndDate])="",0,IF(CONT_TEA[[#This Row],[DateTo]]="",1,IF(_xlfn.XLOOKUP(CONT_TEA[[#This Row],[StaffMemberCode]],MEMBERS[StaffMemberCode],MEMBERS[ServiceEndDate])&lt;CONT_TEA[[#This Row],[DateTo]],1,0)))</f>
        <v>0</v>
      </c>
      <c r="S71" s="57">
        <f>IF(ISBLANK(CONT_TEA[[#This Row],[DateTo]]),0,IF(CONT_TEA[[#This Row],[DateFrom]]=CONT_TEA[[#This Row],[DateTo]],0,IF(CONT_TEA[[#This Row],[DateFrom]]&lt;CONT_TEA[[#This Row],[DateTo]],0,1)))</f>
        <v>0</v>
      </c>
      <c r="T71" s="57" cm="1">
        <f t="array" aca="1" ref="T71" ca="1">IF(CELL("format",CONT_TEA[[#This Row],[DateFrom]])="D1",0,1)+IF(CELL("format",CONT_TEA[[#This Row],[DateTo]])="D1",0,1)</f>
        <v>0</v>
      </c>
      <c r="U71" s="57">
        <f>IF(OR(CONT_TEA[[#This Row],[MatEditOnly]]=TRUE,CONT_TEA[[#This Row],[MatEditOnly]]=FALSE),IF(OR(CONT_TEA[[#This Row],[NoIncrement]]=TRUE,CONT_TEA[[#This Row],[NoIncrement]]=FALSE),0,1),1)</f>
        <v>0</v>
      </c>
      <c r="V71" s="57">
        <f>IF(ISBLANK(CONT_TEA[[#This Row],[FundCode]])=TRUE,0,IF(COUNTIF(FUNDS[FundCode],CONT_TEA[[#This Row],[FundCode]])=1,0,1))</f>
        <v>0</v>
      </c>
      <c r="W71" s="57">
        <f>IF(LEN(CONT_TEA[[#This Row],[Notes]])&lt;4000,0,1)</f>
        <v>0</v>
      </c>
      <c r="X71" s="57">
        <f>IF(SUBSTITUTE(TEXT(CONT_TEA[[#This Row],[Reference]],10)," ","")=TEXT(CONT_TEA[[#This Row],[Reference]],10),0,1)</f>
        <v>0</v>
      </c>
      <c r="Y71" s="57">
        <f ca="1">SUM(CONT_TEA[[#This Row],[Duplicate Contract]:[Space in Code]])</f>
        <v>1</v>
      </c>
      <c r="AA71" s="12" t="s">
        <v>2094</v>
      </c>
      <c r="AB71" s="15">
        <v>91073546</v>
      </c>
      <c r="AC71" s="12" t="s">
        <v>4420</v>
      </c>
      <c r="AD71" s="57" t="str">
        <f>_xlfn.XLOOKUP(CONT_TEA[[#This Row],[StaffMemberCode]],StaffMembers!O:O,StaffMembers!R:R)</f>
        <v>Liam Mulhern</v>
      </c>
      <c r="AE71" s="12" t="s">
        <v>1178</v>
      </c>
      <c r="AF71" s="57">
        <f>_xlfn.XLOOKUP(CONT_TEA[[#This Row],[SRG]],SRG[StaffRoleGroupCode],SRG[GrossSalaryFinanceCode])</f>
        <v>612100</v>
      </c>
      <c r="AG71" s="57" t="str">
        <f>_xlfn.XLOOKUP(CONT_TEA[[#This Row],[StaffRoleCode]],ROLES[StaffRoleCode],ROLES[StaffRoleGroupCode])</f>
        <v>TEA</v>
      </c>
      <c r="AH71" s="57" t="str">
        <f>_xlfn.XLOOKUP(CONT_TEA[[#This Row],[StaffRoleCode]],ROLES[StaffRoleCode],ROLES[PayScaleCode])</f>
        <v>MAIN</v>
      </c>
      <c r="AI71" s="12" t="s">
        <v>1126</v>
      </c>
      <c r="AJ71" s="12" t="s">
        <v>1745</v>
      </c>
      <c r="AK71" s="12" t="s">
        <v>2499</v>
      </c>
      <c r="AM71" s="68" t="s">
        <v>1147</v>
      </c>
      <c r="AN71" s="13" t="s">
        <v>1702</v>
      </c>
      <c r="AO71" s="21">
        <v>45901</v>
      </c>
      <c r="AQ71" s="12">
        <v>1</v>
      </c>
      <c r="AR71" t="b">
        <v>0</v>
      </c>
      <c r="AS71" t="b">
        <v>0</v>
      </c>
      <c r="AT71" s="12" t="s">
        <v>1574</v>
      </c>
    </row>
    <row r="72" spans="1:46" x14ac:dyDescent="0.3">
      <c r="A72" s="57" t="str">
        <f t="shared" si="1"/>
        <v>SBL9107575391075753ATEASTCH45901</v>
      </c>
      <c r="B72" s="57">
        <f>COUNTIF(CONT_TEA[Unique Contract],CONT_TEA[[#This Row],[Unique Contract]])-1</f>
        <v>0</v>
      </c>
      <c r="C72" s="57">
        <f>IFERROR(IF(FIND(CONT_TEA[[#This Row],[SchoolCode]],_xlfn.XLOOKUP(CONT_TEA[[#This Row],[StaffMemberCode]],MEMBERS[StaffMemberCode],MEMBERS[SchoolCodes]))&gt;0,0,1),1)</f>
        <v>0</v>
      </c>
      <c r="D72" s="57" cm="1">
        <f t="array" ref="D72">IF(_xlfn.XLOOKUP(CONT_TEA[[#This Row],[StaffRoleCode]],ROLES[StaffRoleCode],ROLES[AvailableToAllSchools],1,0,)=TRUE,0,IF(ISERROR(FIND(CONT_TEA[[#This Row],[SchoolCode]],_xlfn.TEXTJOIN(",",TRUE,_xlfn.UNIQUE(IF(ROLES[StaffRoleCode]=CONT_TEA[[#This Row],[StaffRoleCode]],ROLES[SchoolCodes],""))))),1,0))</f>
        <v>0</v>
      </c>
      <c r="E72" s="57" cm="1">
        <f t="array" ref="E7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72" s="57" cm="1">
        <f t="array" ref="F72">IF(_xlfn.XLOOKUP(CONT_TEA[[#This Row],[PayScaleCode]],PAYSCALES[PayScaleCode],PAYSCALES[AvailableToAllSchools],1,0,)=TRUE,0,IF(ISERROR(FIND(CONT_TEA[[#This Row],[SchoolCode]],_xlfn.TEXTJOIN(",",TRUE,_xlfn.UNIQUE(IF(PAYSCALES[PayScaleCode]=CONT_TEA[[#This Row],[PayScaleCode]],PAYSCALES[SchoolCodes],""))))),1,0))</f>
        <v>0</v>
      </c>
      <c r="G72" s="57">
        <f>IF(_xlfn.XLOOKUP(CONT_TEA[[#This Row],[PayScaleGradeCode]],GRADES[PayScaleGradeCode],GRADES[AvailableToAllSchools])=TRUE,0,IFERROR(IF(FIND(CONT_TEA[[#This Row],[SchoolCode]],_xlfn.XLOOKUP(CONT_TEA[[#This Row],[PayScaleGradeCode]],GRADES[PayScaleGradeCode],GRADES[SchoolCodes]))&gt;=1,0,1),1))</f>
        <v>0</v>
      </c>
      <c r="H72" s="57">
        <f>IF(ISERROR(IF((_xlfn.XLOOKUP(CONT_TEA[[#This Row],[PayScaleGradeCode]],GRADES[PayScaleGradeCode],GRADES[PayScaleCode])=CONT_TEA[[#This Row],[PayScaleCode]]),0,1)),1,0)</f>
        <v>0</v>
      </c>
      <c r="I72" s="57" cm="1">
        <f t="array" ref="I72">IF(ISERROR(FIND(CONT_TEA[[#This Row],[PayScalePointCode]],_xlfn.TEXTJOIN(",",TRUE,IF(PSPOINTS[PayScaleCode]=CONT_TEA[[#This Row],[PayScaleCode]],PSPOINTS[PayScalePointCode])))),1,0)</f>
        <v>0</v>
      </c>
      <c r="J72" s="57" cm="1">
        <f t="array" ref="J7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72" s="57">
        <f>IF(_xlfn.XLOOKUP(CONT_TEA[[#This Row],[PayScalePointCode]],PSPOINTS[PayScalePointCode],PSPOINTS[PayScalePointEnabled])=TRUE,0,1)</f>
        <v>0</v>
      </c>
      <c r="L72" s="57" cm="1">
        <f t="array" ref="L72">IF(_xlfn.XLOOKUP(CONT_TEA[[#This Row],[DepartmentCode]],DEPTS[DepartmentCode],DEPTS[AvailableToAllSchools],1,0,)=TRUE,0,IF(ISERROR(FIND(CONT_TEA[[#This Row],[SchoolCode]],_xlfn.TEXTJOIN(",",TRUE,_xlfn.UNIQUE(IF(DEPTS[DepartmentCode]=CONT_TEA[[#This Row],[DepartmentCode]],DEPTS[SchoolCodes],""))))),1,0))</f>
        <v>0</v>
      </c>
      <c r="M72" s="57">
        <f>IFERROR(IF(_xlfn.XLOOKUP(CONT_TEA[[#This Row],[SRG Gross]],FinanceCodesBudget[FinanceCode],FinanceCodesBudget[LedgerCode])=_xlfn.XLOOKUP(CONT_TEA[[#This Row],[DepartmentCode]],DEPTS[DepartmentCode],DEPTS[LedgerCode]),0,1),1)</f>
        <v>1</v>
      </c>
      <c r="N72" s="57" cm="1">
        <f t="array" ref="N72">IF(_xlfn.XLOOKUP(CONT_TEA[[#This Row],[PensionCode]],PENS[PensionCode],PENS[AvailableToAllSchools],1,0,)=TRUE,0,IF(ISERROR(FIND(CONT_TEA[[#This Row],[SchoolCode]],_xlfn.TEXTJOIN(",",TRUE,_xlfn.UNIQUE(IF(PENS[PensionCode]=CONT_TEA[[#This Row],[PensionCode]],PENS[SchoolCodes],""))))),1,0))</f>
        <v>0</v>
      </c>
      <c r="O72" s="57" cm="1">
        <f t="array" ref="O72">IF(_xlfn.XLOOKUP(CONT_TEA[[#This Row],[EquatedWeekPatternCode]],EQW[EquatedWeekPatternCode],EQW[AvailableToAllSchools],1,0,)=TRUE,0,IF(ISERROR(FIND(CONT_TEA[[#This Row],[SchoolCode]],_xlfn.TEXTJOIN(",",TRUE,_xlfn.UNIQUE(IF(EQW[EquatedWeekPatternCode]=CONT_TEA[[#This Row],[EquatedWeekPatternCode]],EQW[SchoolCodes],""))))),1,0))</f>
        <v>0</v>
      </c>
      <c r="P72" s="57">
        <f>1-COUNTIF(ContractTypes[Code],CONT_TEA[[#This Row],[ContractTypeCode]])</f>
        <v>0</v>
      </c>
      <c r="Q72" s="57">
        <f>IF(VLOOKUP(CONT_TEA[[#This Row],[StaffMemberCode]],MEMBERS[[StaffMemberCode]:[ServiceStartDate]],5,0)&gt;CONT_TEA[[#This Row],[DateFrom]],1,0)</f>
        <v>0</v>
      </c>
      <c r="R72" s="57">
        <f>IF(_xlfn.XLOOKUP(CONT_TEA[[#This Row],[StaffMemberCode]],MEMBERS[StaffMemberCode],MEMBERS[ServiceEndDate])="",0,IF(CONT_TEA[[#This Row],[DateTo]]="",1,IF(_xlfn.XLOOKUP(CONT_TEA[[#This Row],[StaffMemberCode]],MEMBERS[StaffMemberCode],MEMBERS[ServiceEndDate])&lt;CONT_TEA[[#This Row],[DateTo]],1,0)))</f>
        <v>0</v>
      </c>
      <c r="S72" s="57">
        <f>IF(ISBLANK(CONT_TEA[[#This Row],[DateTo]]),0,IF(CONT_TEA[[#This Row],[DateFrom]]=CONT_TEA[[#This Row],[DateTo]],0,IF(CONT_TEA[[#This Row],[DateFrom]]&lt;CONT_TEA[[#This Row],[DateTo]],0,1)))</f>
        <v>0</v>
      </c>
      <c r="T72" s="57" cm="1">
        <f t="array" aca="1" ref="T72" ca="1">IF(CELL("format",CONT_TEA[[#This Row],[DateFrom]])="D1",0,1)+IF(CELL("format",CONT_TEA[[#This Row],[DateTo]])="D1",0,1)</f>
        <v>0</v>
      </c>
      <c r="U72" s="57">
        <f>IF(OR(CONT_TEA[[#This Row],[MatEditOnly]]=TRUE,CONT_TEA[[#This Row],[MatEditOnly]]=FALSE),IF(OR(CONT_TEA[[#This Row],[NoIncrement]]=TRUE,CONT_TEA[[#This Row],[NoIncrement]]=FALSE),0,1),1)</f>
        <v>0</v>
      </c>
      <c r="V72" s="57">
        <f>IF(ISBLANK(CONT_TEA[[#This Row],[FundCode]])=TRUE,0,IF(COUNTIF(FUNDS[FundCode],CONT_TEA[[#This Row],[FundCode]])=1,0,1))</f>
        <v>0</v>
      </c>
      <c r="W72" s="57">
        <f>IF(LEN(CONT_TEA[[#This Row],[Notes]])&lt;4000,0,1)</f>
        <v>0</v>
      </c>
      <c r="X72" s="57">
        <f>IF(SUBSTITUTE(TEXT(CONT_TEA[[#This Row],[Reference]],10)," ","")=TEXT(CONT_TEA[[#This Row],[Reference]],10),0,1)</f>
        <v>0</v>
      </c>
      <c r="Y72" s="57">
        <f ca="1">SUM(CONT_TEA[[#This Row],[Duplicate Contract]:[Space in Code]])</f>
        <v>1</v>
      </c>
      <c r="AA72" s="12" t="s">
        <v>2200</v>
      </c>
      <c r="AB72" s="15">
        <v>91075753</v>
      </c>
      <c r="AC72" s="12" t="s">
        <v>4421</v>
      </c>
      <c r="AD72" s="57" t="str">
        <f>_xlfn.XLOOKUP(CONT_TEA[[#This Row],[StaffMemberCode]],StaffMembers!O:O,StaffMembers!R:R)</f>
        <v>Matthew Beeston</v>
      </c>
      <c r="AE72" s="12" t="s">
        <v>1178</v>
      </c>
      <c r="AF72" s="57">
        <f>_xlfn.XLOOKUP(CONT_TEA[[#This Row],[SRG]],SRG[StaffRoleGroupCode],SRG[GrossSalaryFinanceCode])</f>
        <v>612100</v>
      </c>
      <c r="AG72" s="57" t="str">
        <f>_xlfn.XLOOKUP(CONT_TEA[[#This Row],[StaffRoleCode]],ROLES[StaffRoleCode],ROLES[StaffRoleGroupCode])</f>
        <v>TEA</v>
      </c>
      <c r="AH72" s="57" t="str">
        <f>_xlfn.XLOOKUP(CONT_TEA[[#This Row],[StaffRoleCode]],ROLES[StaffRoleCode],ROLES[PayScaleCode])</f>
        <v>MAIN</v>
      </c>
      <c r="AI72" s="12" t="s">
        <v>1126</v>
      </c>
      <c r="AJ72" s="12" t="s">
        <v>1745</v>
      </c>
      <c r="AK72" s="12" t="s">
        <v>2499</v>
      </c>
      <c r="AM72" s="68" t="s">
        <v>1147</v>
      </c>
      <c r="AN72" s="13" t="s">
        <v>1702</v>
      </c>
      <c r="AO72" s="21">
        <v>45901</v>
      </c>
      <c r="AQ72" s="12">
        <v>1</v>
      </c>
      <c r="AR72" t="b">
        <v>0</v>
      </c>
      <c r="AS72" t="b">
        <v>0</v>
      </c>
      <c r="AT72" s="12" t="s">
        <v>1574</v>
      </c>
    </row>
    <row r="73" spans="1:46" x14ac:dyDescent="0.3">
      <c r="A73" s="57" t="str">
        <f t="shared" si="1"/>
        <v>BLS9107357391073573ATEASTCH45901</v>
      </c>
      <c r="B73" s="57">
        <f>COUNTIF(CONT_TEA[Unique Contract],CONT_TEA[[#This Row],[Unique Contract]])-1</f>
        <v>0</v>
      </c>
      <c r="C73" s="57">
        <f>IFERROR(IF(FIND(CONT_TEA[[#This Row],[SchoolCode]],_xlfn.XLOOKUP(CONT_TEA[[#This Row],[StaffMemberCode]],MEMBERS[StaffMemberCode],MEMBERS[SchoolCodes]))&gt;0,0,1),1)</f>
        <v>0</v>
      </c>
      <c r="D73" s="57" cm="1">
        <f t="array" ref="D73">IF(_xlfn.XLOOKUP(CONT_TEA[[#This Row],[StaffRoleCode]],ROLES[StaffRoleCode],ROLES[AvailableToAllSchools],1,0,)=TRUE,0,IF(ISERROR(FIND(CONT_TEA[[#This Row],[SchoolCode]],_xlfn.TEXTJOIN(",",TRUE,_xlfn.UNIQUE(IF(ROLES[StaffRoleCode]=CONT_TEA[[#This Row],[StaffRoleCode]],ROLES[SchoolCodes],""))))),1,0))</f>
        <v>0</v>
      </c>
      <c r="E73" s="57" cm="1">
        <f t="array" ref="E7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73" s="57" cm="1">
        <f t="array" ref="F73">IF(_xlfn.XLOOKUP(CONT_TEA[[#This Row],[PayScaleCode]],PAYSCALES[PayScaleCode],PAYSCALES[AvailableToAllSchools],1,0,)=TRUE,0,IF(ISERROR(FIND(CONT_TEA[[#This Row],[SchoolCode]],_xlfn.TEXTJOIN(",",TRUE,_xlfn.UNIQUE(IF(PAYSCALES[PayScaleCode]=CONT_TEA[[#This Row],[PayScaleCode]],PAYSCALES[SchoolCodes],""))))),1,0))</f>
        <v>0</v>
      </c>
      <c r="G73" s="57">
        <f>IF(_xlfn.XLOOKUP(CONT_TEA[[#This Row],[PayScaleGradeCode]],GRADES[PayScaleGradeCode],GRADES[AvailableToAllSchools])=TRUE,0,IFERROR(IF(FIND(CONT_TEA[[#This Row],[SchoolCode]],_xlfn.XLOOKUP(CONT_TEA[[#This Row],[PayScaleGradeCode]],GRADES[PayScaleGradeCode],GRADES[SchoolCodes]))&gt;=1,0,1),1))</f>
        <v>0</v>
      </c>
      <c r="H73" s="57">
        <f>IF(ISERROR(IF((_xlfn.XLOOKUP(CONT_TEA[[#This Row],[PayScaleGradeCode]],GRADES[PayScaleGradeCode],GRADES[PayScaleCode])=CONT_TEA[[#This Row],[PayScaleCode]]),0,1)),1,0)</f>
        <v>0</v>
      </c>
      <c r="I73" s="57" cm="1">
        <f t="array" ref="I73">IF(ISERROR(FIND(CONT_TEA[[#This Row],[PayScalePointCode]],_xlfn.TEXTJOIN(",",TRUE,IF(PSPOINTS[PayScaleCode]=CONT_TEA[[#This Row],[PayScaleCode]],PSPOINTS[PayScalePointCode])))),1,0)</f>
        <v>0</v>
      </c>
      <c r="J73" s="57" cm="1">
        <f t="array" ref="J7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73" s="57">
        <f>IF(_xlfn.XLOOKUP(CONT_TEA[[#This Row],[PayScalePointCode]],PSPOINTS[PayScalePointCode],PSPOINTS[PayScalePointEnabled])=TRUE,0,1)</f>
        <v>0</v>
      </c>
      <c r="L73" s="57" cm="1">
        <f t="array" ref="L73">IF(_xlfn.XLOOKUP(CONT_TEA[[#This Row],[DepartmentCode]],DEPTS[DepartmentCode],DEPTS[AvailableToAllSchools],1,0,)=TRUE,0,IF(ISERROR(FIND(CONT_TEA[[#This Row],[SchoolCode]],_xlfn.TEXTJOIN(",",TRUE,_xlfn.UNIQUE(IF(DEPTS[DepartmentCode]=CONT_TEA[[#This Row],[DepartmentCode]],DEPTS[SchoolCodes],""))))),1,0))</f>
        <v>0</v>
      </c>
      <c r="M73" s="57">
        <f>IFERROR(IF(_xlfn.XLOOKUP(CONT_TEA[[#This Row],[SRG Gross]],FinanceCodesBudget[FinanceCode],FinanceCodesBudget[LedgerCode])=_xlfn.XLOOKUP(CONT_TEA[[#This Row],[DepartmentCode]],DEPTS[DepartmentCode],DEPTS[LedgerCode]),0,1),1)</f>
        <v>1</v>
      </c>
      <c r="N73" s="57" cm="1">
        <f t="array" ref="N73">IF(_xlfn.XLOOKUP(CONT_TEA[[#This Row],[PensionCode]],PENS[PensionCode],PENS[AvailableToAllSchools],1,0,)=TRUE,0,IF(ISERROR(FIND(CONT_TEA[[#This Row],[SchoolCode]],_xlfn.TEXTJOIN(",",TRUE,_xlfn.UNIQUE(IF(PENS[PensionCode]=CONT_TEA[[#This Row],[PensionCode]],PENS[SchoolCodes],""))))),1,0))</f>
        <v>0</v>
      </c>
      <c r="O73" s="57" cm="1">
        <f t="array" ref="O73">IF(_xlfn.XLOOKUP(CONT_TEA[[#This Row],[EquatedWeekPatternCode]],EQW[EquatedWeekPatternCode],EQW[AvailableToAllSchools],1,0,)=TRUE,0,IF(ISERROR(FIND(CONT_TEA[[#This Row],[SchoolCode]],_xlfn.TEXTJOIN(",",TRUE,_xlfn.UNIQUE(IF(EQW[EquatedWeekPatternCode]=CONT_TEA[[#This Row],[EquatedWeekPatternCode]],EQW[SchoolCodes],""))))),1,0))</f>
        <v>0</v>
      </c>
      <c r="P73" s="57">
        <f>1-COUNTIF(ContractTypes[Code],CONT_TEA[[#This Row],[ContractTypeCode]])</f>
        <v>0</v>
      </c>
      <c r="Q73" s="57">
        <f>IF(VLOOKUP(CONT_TEA[[#This Row],[StaffMemberCode]],MEMBERS[[StaffMemberCode]:[ServiceStartDate]],5,0)&gt;CONT_TEA[[#This Row],[DateFrom]],1,0)</f>
        <v>0</v>
      </c>
      <c r="R73" s="57">
        <f>IF(_xlfn.XLOOKUP(CONT_TEA[[#This Row],[StaffMemberCode]],MEMBERS[StaffMemberCode],MEMBERS[ServiceEndDate])="",0,IF(CONT_TEA[[#This Row],[DateTo]]="",1,IF(_xlfn.XLOOKUP(CONT_TEA[[#This Row],[StaffMemberCode]],MEMBERS[StaffMemberCode],MEMBERS[ServiceEndDate])&lt;CONT_TEA[[#This Row],[DateTo]],1,0)))</f>
        <v>0</v>
      </c>
      <c r="S73" s="57">
        <f>IF(ISBLANK(CONT_TEA[[#This Row],[DateTo]]),0,IF(CONT_TEA[[#This Row],[DateFrom]]=CONT_TEA[[#This Row],[DateTo]],0,IF(CONT_TEA[[#This Row],[DateFrom]]&lt;CONT_TEA[[#This Row],[DateTo]],0,1)))</f>
        <v>0</v>
      </c>
      <c r="T73" s="57" cm="1">
        <f t="array" aca="1" ref="T73" ca="1">IF(CELL("format",CONT_TEA[[#This Row],[DateFrom]])="D1",0,1)+IF(CELL("format",CONT_TEA[[#This Row],[DateTo]])="D1",0,1)</f>
        <v>0</v>
      </c>
      <c r="U73" s="57">
        <f>IF(OR(CONT_TEA[[#This Row],[MatEditOnly]]=TRUE,CONT_TEA[[#This Row],[MatEditOnly]]=FALSE),IF(OR(CONT_TEA[[#This Row],[NoIncrement]]=TRUE,CONT_TEA[[#This Row],[NoIncrement]]=FALSE),0,1),1)</f>
        <v>0</v>
      </c>
      <c r="V73" s="57">
        <f>IF(ISBLANK(CONT_TEA[[#This Row],[FundCode]])=TRUE,0,IF(COUNTIF(FUNDS[FundCode],CONT_TEA[[#This Row],[FundCode]])=1,0,1))</f>
        <v>0</v>
      </c>
      <c r="W73" s="57">
        <f>IF(LEN(CONT_TEA[[#This Row],[Notes]])&lt;4000,0,1)</f>
        <v>0</v>
      </c>
      <c r="X73" s="57">
        <f>IF(SUBSTITUTE(TEXT(CONT_TEA[[#This Row],[Reference]],10)," ","")=TEXT(CONT_TEA[[#This Row],[Reference]],10),0,1)</f>
        <v>0</v>
      </c>
      <c r="Y73" s="57">
        <f ca="1">SUM(CONT_TEA[[#This Row],[Duplicate Contract]:[Space in Code]])</f>
        <v>1</v>
      </c>
      <c r="AA73" s="12" t="s">
        <v>2094</v>
      </c>
      <c r="AB73" s="15">
        <v>91073573</v>
      </c>
      <c r="AC73" s="12" t="s">
        <v>4422</v>
      </c>
      <c r="AD73" s="57" t="str">
        <f>_xlfn.XLOOKUP(CONT_TEA[[#This Row],[StaffMemberCode]],StaffMembers!O:O,StaffMembers!R:R)</f>
        <v>Samantha Cooney</v>
      </c>
      <c r="AE73" s="12" t="s">
        <v>1178</v>
      </c>
      <c r="AF73" s="57">
        <f>_xlfn.XLOOKUP(CONT_TEA[[#This Row],[SRG]],SRG[StaffRoleGroupCode],SRG[GrossSalaryFinanceCode])</f>
        <v>612100</v>
      </c>
      <c r="AG73" s="57" t="str">
        <f>_xlfn.XLOOKUP(CONT_TEA[[#This Row],[StaffRoleCode]],ROLES[StaffRoleCode],ROLES[StaffRoleGroupCode])</f>
        <v>TEA</v>
      </c>
      <c r="AH73" s="57" t="str">
        <f>_xlfn.XLOOKUP(CONT_TEA[[#This Row],[StaffRoleCode]],ROLES[StaffRoleCode],ROLES[PayScaleCode])</f>
        <v>MAIN</v>
      </c>
      <c r="AI73" s="12" t="s">
        <v>1126</v>
      </c>
      <c r="AJ73" s="12" t="s">
        <v>1745</v>
      </c>
      <c r="AK73" s="12" t="s">
        <v>2499</v>
      </c>
      <c r="AM73" s="68" t="s">
        <v>1147</v>
      </c>
      <c r="AN73" s="13" t="s">
        <v>1702</v>
      </c>
      <c r="AO73" s="21">
        <v>45901</v>
      </c>
      <c r="AQ73" s="12">
        <v>1</v>
      </c>
      <c r="AR73" t="b">
        <v>0</v>
      </c>
      <c r="AS73" t="b">
        <v>0</v>
      </c>
      <c r="AT73" s="12" t="s">
        <v>1574</v>
      </c>
    </row>
    <row r="74" spans="1:46" x14ac:dyDescent="0.3">
      <c r="A74" s="57" t="str">
        <f t="shared" si="1"/>
        <v>BLS9107358091073580ATEASTCH45901</v>
      </c>
      <c r="B74" s="57">
        <f>COUNTIF(CONT_TEA[Unique Contract],CONT_TEA[[#This Row],[Unique Contract]])-1</f>
        <v>0</v>
      </c>
      <c r="C74" s="57">
        <f>IFERROR(IF(FIND(CONT_TEA[[#This Row],[SchoolCode]],_xlfn.XLOOKUP(CONT_TEA[[#This Row],[StaffMemberCode]],MEMBERS[StaffMemberCode],MEMBERS[SchoolCodes]))&gt;0,0,1),1)</f>
        <v>0</v>
      </c>
      <c r="D74" s="57" cm="1">
        <f t="array" ref="D74">IF(_xlfn.XLOOKUP(CONT_TEA[[#This Row],[StaffRoleCode]],ROLES[StaffRoleCode],ROLES[AvailableToAllSchools],1,0,)=TRUE,0,IF(ISERROR(FIND(CONT_TEA[[#This Row],[SchoolCode]],_xlfn.TEXTJOIN(",",TRUE,_xlfn.UNIQUE(IF(ROLES[StaffRoleCode]=CONT_TEA[[#This Row],[StaffRoleCode]],ROLES[SchoolCodes],""))))),1,0))</f>
        <v>0</v>
      </c>
      <c r="E74" s="57" cm="1">
        <f t="array" ref="E7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74" s="57" cm="1">
        <f t="array" ref="F74">IF(_xlfn.XLOOKUP(CONT_TEA[[#This Row],[PayScaleCode]],PAYSCALES[PayScaleCode],PAYSCALES[AvailableToAllSchools],1,0,)=TRUE,0,IF(ISERROR(FIND(CONT_TEA[[#This Row],[SchoolCode]],_xlfn.TEXTJOIN(",",TRUE,_xlfn.UNIQUE(IF(PAYSCALES[PayScaleCode]=CONT_TEA[[#This Row],[PayScaleCode]],PAYSCALES[SchoolCodes],""))))),1,0))</f>
        <v>0</v>
      </c>
      <c r="G74" s="57">
        <f>IF(_xlfn.XLOOKUP(CONT_TEA[[#This Row],[PayScaleGradeCode]],GRADES[PayScaleGradeCode],GRADES[AvailableToAllSchools])=TRUE,0,IFERROR(IF(FIND(CONT_TEA[[#This Row],[SchoolCode]],_xlfn.XLOOKUP(CONT_TEA[[#This Row],[PayScaleGradeCode]],GRADES[PayScaleGradeCode],GRADES[SchoolCodes]))&gt;=1,0,1),1))</f>
        <v>0</v>
      </c>
      <c r="H74" s="57">
        <f>IF(ISERROR(IF((_xlfn.XLOOKUP(CONT_TEA[[#This Row],[PayScaleGradeCode]],GRADES[PayScaleGradeCode],GRADES[PayScaleCode])=CONT_TEA[[#This Row],[PayScaleCode]]),0,1)),1,0)</f>
        <v>0</v>
      </c>
      <c r="I74" s="57" cm="1">
        <f t="array" ref="I74">IF(ISERROR(FIND(CONT_TEA[[#This Row],[PayScalePointCode]],_xlfn.TEXTJOIN(",",TRUE,IF(PSPOINTS[PayScaleCode]=CONT_TEA[[#This Row],[PayScaleCode]],PSPOINTS[PayScalePointCode])))),1,0)</f>
        <v>0</v>
      </c>
      <c r="J74" s="57" cm="1">
        <f t="array" ref="J7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74" s="57">
        <f>IF(_xlfn.XLOOKUP(CONT_TEA[[#This Row],[PayScalePointCode]],PSPOINTS[PayScalePointCode],PSPOINTS[PayScalePointEnabled])=TRUE,0,1)</f>
        <v>0</v>
      </c>
      <c r="L74" s="57" cm="1">
        <f t="array" ref="L74">IF(_xlfn.XLOOKUP(CONT_TEA[[#This Row],[DepartmentCode]],DEPTS[DepartmentCode],DEPTS[AvailableToAllSchools],1,0,)=TRUE,0,IF(ISERROR(FIND(CONT_TEA[[#This Row],[SchoolCode]],_xlfn.TEXTJOIN(",",TRUE,_xlfn.UNIQUE(IF(DEPTS[DepartmentCode]=CONT_TEA[[#This Row],[DepartmentCode]],DEPTS[SchoolCodes],""))))),1,0))</f>
        <v>0</v>
      </c>
      <c r="M74" s="57">
        <f>IFERROR(IF(_xlfn.XLOOKUP(CONT_TEA[[#This Row],[SRG Gross]],FinanceCodesBudget[FinanceCode],FinanceCodesBudget[LedgerCode])=_xlfn.XLOOKUP(CONT_TEA[[#This Row],[DepartmentCode]],DEPTS[DepartmentCode],DEPTS[LedgerCode]),0,1),1)</f>
        <v>1</v>
      </c>
      <c r="N74" s="57" cm="1">
        <f t="array" ref="N74">IF(_xlfn.XLOOKUP(CONT_TEA[[#This Row],[PensionCode]],PENS[PensionCode],PENS[AvailableToAllSchools],1,0,)=TRUE,0,IF(ISERROR(FIND(CONT_TEA[[#This Row],[SchoolCode]],_xlfn.TEXTJOIN(",",TRUE,_xlfn.UNIQUE(IF(PENS[PensionCode]=CONT_TEA[[#This Row],[PensionCode]],PENS[SchoolCodes],""))))),1,0))</f>
        <v>0</v>
      </c>
      <c r="O74" s="57" cm="1">
        <f t="array" ref="O74">IF(_xlfn.XLOOKUP(CONT_TEA[[#This Row],[EquatedWeekPatternCode]],EQW[EquatedWeekPatternCode],EQW[AvailableToAllSchools],1,0,)=TRUE,0,IF(ISERROR(FIND(CONT_TEA[[#This Row],[SchoolCode]],_xlfn.TEXTJOIN(",",TRUE,_xlfn.UNIQUE(IF(EQW[EquatedWeekPatternCode]=CONT_TEA[[#This Row],[EquatedWeekPatternCode]],EQW[SchoolCodes],""))))),1,0))</f>
        <v>0</v>
      </c>
      <c r="P74" s="57">
        <f>1-COUNTIF(ContractTypes[Code],CONT_TEA[[#This Row],[ContractTypeCode]])</f>
        <v>0</v>
      </c>
      <c r="Q74" s="57">
        <f>IF(VLOOKUP(CONT_TEA[[#This Row],[StaffMemberCode]],MEMBERS[[StaffMemberCode]:[ServiceStartDate]],5,0)&gt;CONT_TEA[[#This Row],[DateFrom]],1,0)</f>
        <v>0</v>
      </c>
      <c r="R74" s="57">
        <f>IF(_xlfn.XLOOKUP(CONT_TEA[[#This Row],[StaffMemberCode]],MEMBERS[StaffMemberCode],MEMBERS[ServiceEndDate])="",0,IF(CONT_TEA[[#This Row],[DateTo]]="",1,IF(_xlfn.XLOOKUP(CONT_TEA[[#This Row],[StaffMemberCode]],MEMBERS[StaffMemberCode],MEMBERS[ServiceEndDate])&lt;CONT_TEA[[#This Row],[DateTo]],1,0)))</f>
        <v>0</v>
      </c>
      <c r="S74" s="57">
        <f>IF(ISBLANK(CONT_TEA[[#This Row],[DateTo]]),0,IF(CONT_TEA[[#This Row],[DateFrom]]=CONT_TEA[[#This Row],[DateTo]],0,IF(CONT_TEA[[#This Row],[DateFrom]]&lt;CONT_TEA[[#This Row],[DateTo]],0,1)))</f>
        <v>0</v>
      </c>
      <c r="T74" s="57" cm="1">
        <f t="array" aca="1" ref="T74" ca="1">IF(CELL("format",CONT_TEA[[#This Row],[DateFrom]])="D1",0,1)+IF(CELL("format",CONT_TEA[[#This Row],[DateTo]])="D1",0,1)</f>
        <v>0</v>
      </c>
      <c r="U74" s="57">
        <f>IF(OR(CONT_TEA[[#This Row],[MatEditOnly]]=TRUE,CONT_TEA[[#This Row],[MatEditOnly]]=FALSE),IF(OR(CONT_TEA[[#This Row],[NoIncrement]]=TRUE,CONT_TEA[[#This Row],[NoIncrement]]=FALSE),0,1),1)</f>
        <v>0</v>
      </c>
      <c r="V74" s="57">
        <f>IF(ISBLANK(CONT_TEA[[#This Row],[FundCode]])=TRUE,0,IF(COUNTIF(FUNDS[FundCode],CONT_TEA[[#This Row],[FundCode]])=1,0,1))</f>
        <v>0</v>
      </c>
      <c r="W74" s="57">
        <f>IF(LEN(CONT_TEA[[#This Row],[Notes]])&lt;4000,0,1)</f>
        <v>0</v>
      </c>
      <c r="X74" s="57">
        <f>IF(SUBSTITUTE(TEXT(CONT_TEA[[#This Row],[Reference]],10)," ","")=TEXT(CONT_TEA[[#This Row],[Reference]],10),0,1)</f>
        <v>0</v>
      </c>
      <c r="Y74" s="57">
        <f ca="1">SUM(CONT_TEA[[#This Row],[Duplicate Contract]:[Space in Code]])</f>
        <v>1</v>
      </c>
      <c r="AA74" s="12" t="s">
        <v>2094</v>
      </c>
      <c r="AB74" s="15">
        <v>91073580</v>
      </c>
      <c r="AC74" s="12" t="s">
        <v>4423</v>
      </c>
      <c r="AD74" s="57" t="str">
        <f>_xlfn.XLOOKUP(CONT_TEA[[#This Row],[StaffMemberCode]],StaffMembers!O:O,StaffMembers!R:R)</f>
        <v>Sian Willington</v>
      </c>
      <c r="AE74" s="12" t="s">
        <v>1178</v>
      </c>
      <c r="AF74" s="57">
        <f>_xlfn.XLOOKUP(CONT_TEA[[#This Row],[SRG]],SRG[StaffRoleGroupCode],SRG[GrossSalaryFinanceCode])</f>
        <v>612100</v>
      </c>
      <c r="AG74" s="57" t="str">
        <f>_xlfn.XLOOKUP(CONT_TEA[[#This Row],[StaffRoleCode]],ROLES[StaffRoleCode],ROLES[StaffRoleGroupCode])</f>
        <v>TEA</v>
      </c>
      <c r="AH74" s="57" t="str">
        <f>_xlfn.XLOOKUP(CONT_TEA[[#This Row],[StaffRoleCode]],ROLES[StaffRoleCode],ROLES[PayScaleCode])</f>
        <v>MAIN</v>
      </c>
      <c r="AI74" s="12" t="s">
        <v>1126</v>
      </c>
      <c r="AJ74" s="12" t="s">
        <v>1745</v>
      </c>
      <c r="AK74" s="12" t="s">
        <v>2499</v>
      </c>
      <c r="AM74" s="68" t="s">
        <v>1147</v>
      </c>
      <c r="AN74" s="13" t="s">
        <v>1702</v>
      </c>
      <c r="AO74" s="21">
        <v>45901</v>
      </c>
      <c r="AQ74" s="12">
        <v>1</v>
      </c>
      <c r="AR74" t="b">
        <v>0</v>
      </c>
      <c r="AS74" t="b">
        <v>0</v>
      </c>
      <c r="AT74" s="12" t="s">
        <v>1574</v>
      </c>
    </row>
    <row r="75" spans="1:46" x14ac:dyDescent="0.3">
      <c r="A75" s="57" t="str">
        <f t="shared" si="1"/>
        <v>ALS9107368891073688ATEASTCH45901</v>
      </c>
      <c r="B75" s="57">
        <f>COUNTIF(CONT_TEA[Unique Contract],CONT_TEA[[#This Row],[Unique Contract]])-1</f>
        <v>0</v>
      </c>
      <c r="C75" s="57">
        <f>IFERROR(IF(FIND(CONT_TEA[[#This Row],[SchoolCode]],_xlfn.XLOOKUP(CONT_TEA[[#This Row],[StaffMemberCode]],MEMBERS[StaffMemberCode],MEMBERS[SchoolCodes]))&gt;0,0,1),1)</f>
        <v>0</v>
      </c>
      <c r="D75" s="57" cm="1">
        <f t="array" ref="D75">IF(_xlfn.XLOOKUP(CONT_TEA[[#This Row],[StaffRoleCode]],ROLES[StaffRoleCode],ROLES[AvailableToAllSchools],1,0,)=TRUE,0,IF(ISERROR(FIND(CONT_TEA[[#This Row],[SchoolCode]],_xlfn.TEXTJOIN(",",TRUE,_xlfn.UNIQUE(IF(ROLES[StaffRoleCode]=CONT_TEA[[#This Row],[StaffRoleCode]],ROLES[SchoolCodes],""))))),1,0))</f>
        <v>0</v>
      </c>
      <c r="E75" s="57" cm="1">
        <f t="array" ref="E7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75" s="57" cm="1">
        <f t="array" ref="F75">IF(_xlfn.XLOOKUP(CONT_TEA[[#This Row],[PayScaleCode]],PAYSCALES[PayScaleCode],PAYSCALES[AvailableToAllSchools],1,0,)=TRUE,0,IF(ISERROR(FIND(CONT_TEA[[#This Row],[SchoolCode]],_xlfn.TEXTJOIN(",",TRUE,_xlfn.UNIQUE(IF(PAYSCALES[PayScaleCode]=CONT_TEA[[#This Row],[PayScaleCode]],PAYSCALES[SchoolCodes],""))))),1,0))</f>
        <v>0</v>
      </c>
      <c r="G75" s="57">
        <f>IF(_xlfn.XLOOKUP(CONT_TEA[[#This Row],[PayScaleGradeCode]],GRADES[PayScaleGradeCode],GRADES[AvailableToAllSchools])=TRUE,0,IFERROR(IF(FIND(CONT_TEA[[#This Row],[SchoolCode]],_xlfn.XLOOKUP(CONT_TEA[[#This Row],[PayScaleGradeCode]],GRADES[PayScaleGradeCode],GRADES[SchoolCodes]))&gt;=1,0,1),1))</f>
        <v>0</v>
      </c>
      <c r="H75" s="57">
        <f>IF(ISERROR(IF((_xlfn.XLOOKUP(CONT_TEA[[#This Row],[PayScaleGradeCode]],GRADES[PayScaleGradeCode],GRADES[PayScaleCode])=CONT_TEA[[#This Row],[PayScaleCode]]),0,1)),1,0)</f>
        <v>0</v>
      </c>
      <c r="I75" s="57" cm="1">
        <f t="array" ref="I75">IF(ISERROR(FIND(CONT_TEA[[#This Row],[PayScalePointCode]],_xlfn.TEXTJOIN(",",TRUE,IF(PSPOINTS[PayScaleCode]=CONT_TEA[[#This Row],[PayScaleCode]],PSPOINTS[PayScalePointCode])))),1,0)</f>
        <v>0</v>
      </c>
      <c r="J75" s="57" cm="1">
        <f t="array" ref="J7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75" s="57">
        <f>IF(_xlfn.XLOOKUP(CONT_TEA[[#This Row],[PayScalePointCode]],PSPOINTS[PayScalePointCode],PSPOINTS[PayScalePointEnabled])=TRUE,0,1)</f>
        <v>0</v>
      </c>
      <c r="L75" s="57" cm="1">
        <f t="array" ref="L75">IF(_xlfn.XLOOKUP(CONT_TEA[[#This Row],[DepartmentCode]],DEPTS[DepartmentCode],DEPTS[AvailableToAllSchools],1,0,)=TRUE,0,IF(ISERROR(FIND(CONT_TEA[[#This Row],[SchoolCode]],_xlfn.TEXTJOIN(",",TRUE,_xlfn.UNIQUE(IF(DEPTS[DepartmentCode]=CONT_TEA[[#This Row],[DepartmentCode]],DEPTS[SchoolCodes],""))))),1,0))</f>
        <v>0</v>
      </c>
      <c r="M75" s="57">
        <f>IFERROR(IF(_xlfn.XLOOKUP(CONT_TEA[[#This Row],[SRG Gross]],FinanceCodesBudget[FinanceCode],FinanceCodesBudget[LedgerCode])=_xlfn.XLOOKUP(CONT_TEA[[#This Row],[DepartmentCode]],DEPTS[DepartmentCode],DEPTS[LedgerCode]),0,1),1)</f>
        <v>1</v>
      </c>
      <c r="N75" s="57" cm="1">
        <f t="array" ref="N75">IF(_xlfn.XLOOKUP(CONT_TEA[[#This Row],[PensionCode]],PENS[PensionCode],PENS[AvailableToAllSchools],1,0,)=TRUE,0,IF(ISERROR(FIND(CONT_TEA[[#This Row],[SchoolCode]],_xlfn.TEXTJOIN(",",TRUE,_xlfn.UNIQUE(IF(PENS[PensionCode]=CONT_TEA[[#This Row],[PensionCode]],PENS[SchoolCodes],""))))),1,0))</f>
        <v>0</v>
      </c>
      <c r="O75" s="57" cm="1">
        <f t="array" ref="O75">IF(_xlfn.XLOOKUP(CONT_TEA[[#This Row],[EquatedWeekPatternCode]],EQW[EquatedWeekPatternCode],EQW[AvailableToAllSchools],1,0,)=TRUE,0,IF(ISERROR(FIND(CONT_TEA[[#This Row],[SchoolCode]],_xlfn.TEXTJOIN(",",TRUE,_xlfn.UNIQUE(IF(EQW[EquatedWeekPatternCode]=CONT_TEA[[#This Row],[EquatedWeekPatternCode]],EQW[SchoolCodes],""))))),1,0))</f>
        <v>0</v>
      </c>
      <c r="P75" s="57">
        <f>1-COUNTIF(ContractTypes[Code],CONT_TEA[[#This Row],[ContractTypeCode]])</f>
        <v>0</v>
      </c>
      <c r="Q75" s="57">
        <f>IF(VLOOKUP(CONT_TEA[[#This Row],[StaffMemberCode]],MEMBERS[[StaffMemberCode]:[ServiceStartDate]],5,0)&gt;CONT_TEA[[#This Row],[DateFrom]],1,0)</f>
        <v>0</v>
      </c>
      <c r="R75" s="57">
        <f>IF(_xlfn.XLOOKUP(CONT_TEA[[#This Row],[StaffMemberCode]],MEMBERS[StaffMemberCode],MEMBERS[ServiceEndDate])="",0,IF(CONT_TEA[[#This Row],[DateTo]]="",1,IF(_xlfn.XLOOKUP(CONT_TEA[[#This Row],[StaffMemberCode]],MEMBERS[StaffMemberCode],MEMBERS[ServiceEndDate])&lt;CONT_TEA[[#This Row],[DateTo]],1,0)))</f>
        <v>0</v>
      </c>
      <c r="S75" s="57">
        <f>IF(ISBLANK(CONT_TEA[[#This Row],[DateTo]]),0,IF(CONT_TEA[[#This Row],[DateFrom]]=CONT_TEA[[#This Row],[DateTo]],0,IF(CONT_TEA[[#This Row],[DateFrom]]&lt;CONT_TEA[[#This Row],[DateTo]],0,1)))</f>
        <v>0</v>
      </c>
      <c r="T75" s="57" cm="1">
        <f t="array" aca="1" ref="T75" ca="1">IF(CELL("format",CONT_TEA[[#This Row],[DateFrom]])="D1",0,1)+IF(CELL("format",CONT_TEA[[#This Row],[DateTo]])="D1",0,1)</f>
        <v>0</v>
      </c>
      <c r="U75" s="57">
        <f>IF(OR(CONT_TEA[[#This Row],[MatEditOnly]]=TRUE,CONT_TEA[[#This Row],[MatEditOnly]]=FALSE),IF(OR(CONT_TEA[[#This Row],[NoIncrement]]=TRUE,CONT_TEA[[#This Row],[NoIncrement]]=FALSE),0,1),1)</f>
        <v>0</v>
      </c>
      <c r="V75" s="57">
        <f>IF(ISBLANK(CONT_TEA[[#This Row],[FundCode]])=TRUE,0,IF(COUNTIF(FUNDS[FundCode],CONT_TEA[[#This Row],[FundCode]])=1,0,1))</f>
        <v>0</v>
      </c>
      <c r="W75" s="57">
        <f>IF(LEN(CONT_TEA[[#This Row],[Notes]])&lt;4000,0,1)</f>
        <v>0</v>
      </c>
      <c r="X75" s="57">
        <f>IF(SUBSTITUTE(TEXT(CONT_TEA[[#This Row],[Reference]],10)," ","")=TEXT(CONT_TEA[[#This Row],[Reference]],10),0,1)</f>
        <v>0</v>
      </c>
      <c r="Y75" s="57">
        <f ca="1">SUM(CONT_TEA[[#This Row],[Duplicate Contract]:[Space in Code]])</f>
        <v>1</v>
      </c>
      <c r="AA75" s="12" t="s">
        <v>2082</v>
      </c>
      <c r="AB75" s="15">
        <v>91073688</v>
      </c>
      <c r="AC75" s="12" t="s">
        <v>4424</v>
      </c>
      <c r="AD75" s="57" t="str">
        <f>_xlfn.XLOOKUP(CONT_TEA[[#This Row],[StaffMemberCode]],StaffMembers!O:O,StaffMembers!R:R)</f>
        <v>Alexandra Heath</v>
      </c>
      <c r="AE75" s="12" t="s">
        <v>1178</v>
      </c>
      <c r="AF75" s="57">
        <f>_xlfn.XLOOKUP(CONT_TEA[[#This Row],[SRG]],SRG[StaffRoleGroupCode],SRG[GrossSalaryFinanceCode])</f>
        <v>612100</v>
      </c>
      <c r="AG75" s="57" t="str">
        <f>_xlfn.XLOOKUP(CONT_TEA[[#This Row],[StaffRoleCode]],ROLES[StaffRoleCode],ROLES[StaffRoleGroupCode])</f>
        <v>TEA</v>
      </c>
      <c r="AH75" s="57" t="str">
        <f>_xlfn.XLOOKUP(CONT_TEA[[#This Row],[StaffRoleCode]],ROLES[StaffRoleCode],ROLES[PayScaleCode])</f>
        <v>MAIN</v>
      </c>
      <c r="AI75" s="12" t="s">
        <v>1126</v>
      </c>
      <c r="AJ75" s="12" t="s">
        <v>1745</v>
      </c>
      <c r="AK75" s="12" t="s">
        <v>2499</v>
      </c>
      <c r="AM75" s="68" t="s">
        <v>1147</v>
      </c>
      <c r="AN75" s="13" t="s">
        <v>1702</v>
      </c>
      <c r="AO75" s="21">
        <v>45901</v>
      </c>
      <c r="AQ75" s="12">
        <v>1</v>
      </c>
      <c r="AR75" t="b">
        <v>0</v>
      </c>
      <c r="AS75" t="b">
        <v>0</v>
      </c>
      <c r="AT75" s="12" t="s">
        <v>1574</v>
      </c>
    </row>
    <row r="76" spans="1:46" x14ac:dyDescent="0.3">
      <c r="A76" s="57" t="str">
        <f t="shared" si="1"/>
        <v>ALS9107368991073689ATEASTCH45901</v>
      </c>
      <c r="B76" s="57">
        <f>COUNTIF(CONT_TEA[Unique Contract],CONT_TEA[[#This Row],[Unique Contract]])-1</f>
        <v>0</v>
      </c>
      <c r="C76" s="57">
        <f>IFERROR(IF(FIND(CONT_TEA[[#This Row],[SchoolCode]],_xlfn.XLOOKUP(CONT_TEA[[#This Row],[StaffMemberCode]],MEMBERS[StaffMemberCode],MEMBERS[SchoolCodes]))&gt;0,0,1),1)</f>
        <v>0</v>
      </c>
      <c r="D76" s="57" cm="1">
        <f t="array" ref="D76">IF(_xlfn.XLOOKUP(CONT_TEA[[#This Row],[StaffRoleCode]],ROLES[StaffRoleCode],ROLES[AvailableToAllSchools],1,0,)=TRUE,0,IF(ISERROR(FIND(CONT_TEA[[#This Row],[SchoolCode]],_xlfn.TEXTJOIN(",",TRUE,_xlfn.UNIQUE(IF(ROLES[StaffRoleCode]=CONT_TEA[[#This Row],[StaffRoleCode]],ROLES[SchoolCodes],""))))),1,0))</f>
        <v>0</v>
      </c>
      <c r="E76" s="57" cm="1">
        <f t="array" ref="E7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76" s="57" cm="1">
        <f t="array" ref="F76">IF(_xlfn.XLOOKUP(CONT_TEA[[#This Row],[PayScaleCode]],PAYSCALES[PayScaleCode],PAYSCALES[AvailableToAllSchools],1,0,)=TRUE,0,IF(ISERROR(FIND(CONT_TEA[[#This Row],[SchoolCode]],_xlfn.TEXTJOIN(",",TRUE,_xlfn.UNIQUE(IF(PAYSCALES[PayScaleCode]=CONT_TEA[[#This Row],[PayScaleCode]],PAYSCALES[SchoolCodes],""))))),1,0))</f>
        <v>0</v>
      </c>
      <c r="G76" s="57">
        <f>IF(_xlfn.XLOOKUP(CONT_TEA[[#This Row],[PayScaleGradeCode]],GRADES[PayScaleGradeCode],GRADES[AvailableToAllSchools])=TRUE,0,IFERROR(IF(FIND(CONT_TEA[[#This Row],[SchoolCode]],_xlfn.XLOOKUP(CONT_TEA[[#This Row],[PayScaleGradeCode]],GRADES[PayScaleGradeCode],GRADES[SchoolCodes]))&gt;=1,0,1),1))</f>
        <v>0</v>
      </c>
      <c r="H76" s="57">
        <f>IF(ISERROR(IF((_xlfn.XLOOKUP(CONT_TEA[[#This Row],[PayScaleGradeCode]],GRADES[PayScaleGradeCode],GRADES[PayScaleCode])=CONT_TEA[[#This Row],[PayScaleCode]]),0,1)),1,0)</f>
        <v>0</v>
      </c>
      <c r="I76" s="57" cm="1">
        <f t="array" ref="I76">IF(ISERROR(FIND(CONT_TEA[[#This Row],[PayScalePointCode]],_xlfn.TEXTJOIN(",",TRUE,IF(PSPOINTS[PayScaleCode]=CONT_TEA[[#This Row],[PayScaleCode]],PSPOINTS[PayScalePointCode])))),1,0)</f>
        <v>0</v>
      </c>
      <c r="J76" s="57" cm="1">
        <f t="array" ref="J7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76" s="57">
        <f>IF(_xlfn.XLOOKUP(CONT_TEA[[#This Row],[PayScalePointCode]],PSPOINTS[PayScalePointCode],PSPOINTS[PayScalePointEnabled])=TRUE,0,1)</f>
        <v>0</v>
      </c>
      <c r="L76" s="57" cm="1">
        <f t="array" ref="L76">IF(_xlfn.XLOOKUP(CONT_TEA[[#This Row],[DepartmentCode]],DEPTS[DepartmentCode],DEPTS[AvailableToAllSchools],1,0,)=TRUE,0,IF(ISERROR(FIND(CONT_TEA[[#This Row],[SchoolCode]],_xlfn.TEXTJOIN(",",TRUE,_xlfn.UNIQUE(IF(DEPTS[DepartmentCode]=CONT_TEA[[#This Row],[DepartmentCode]],DEPTS[SchoolCodes],""))))),1,0))</f>
        <v>0</v>
      </c>
      <c r="M76" s="57">
        <f>IFERROR(IF(_xlfn.XLOOKUP(CONT_TEA[[#This Row],[SRG Gross]],FinanceCodesBudget[FinanceCode],FinanceCodesBudget[LedgerCode])=_xlfn.XLOOKUP(CONT_TEA[[#This Row],[DepartmentCode]],DEPTS[DepartmentCode],DEPTS[LedgerCode]),0,1),1)</f>
        <v>1</v>
      </c>
      <c r="N76" s="57" cm="1">
        <f t="array" ref="N76">IF(_xlfn.XLOOKUP(CONT_TEA[[#This Row],[PensionCode]],PENS[PensionCode],PENS[AvailableToAllSchools],1,0,)=TRUE,0,IF(ISERROR(FIND(CONT_TEA[[#This Row],[SchoolCode]],_xlfn.TEXTJOIN(",",TRUE,_xlfn.UNIQUE(IF(PENS[PensionCode]=CONT_TEA[[#This Row],[PensionCode]],PENS[SchoolCodes],""))))),1,0))</f>
        <v>0</v>
      </c>
      <c r="O76" s="57" cm="1">
        <f t="array" ref="O76">IF(_xlfn.XLOOKUP(CONT_TEA[[#This Row],[EquatedWeekPatternCode]],EQW[EquatedWeekPatternCode],EQW[AvailableToAllSchools],1,0,)=TRUE,0,IF(ISERROR(FIND(CONT_TEA[[#This Row],[SchoolCode]],_xlfn.TEXTJOIN(",",TRUE,_xlfn.UNIQUE(IF(EQW[EquatedWeekPatternCode]=CONT_TEA[[#This Row],[EquatedWeekPatternCode]],EQW[SchoolCodes],""))))),1,0))</f>
        <v>0</v>
      </c>
      <c r="P76" s="57">
        <f>1-COUNTIF(ContractTypes[Code],CONT_TEA[[#This Row],[ContractTypeCode]])</f>
        <v>0</v>
      </c>
      <c r="Q76" s="57">
        <f>IF(VLOOKUP(CONT_TEA[[#This Row],[StaffMemberCode]],MEMBERS[[StaffMemberCode]:[ServiceStartDate]],5,0)&gt;CONT_TEA[[#This Row],[DateFrom]],1,0)</f>
        <v>0</v>
      </c>
      <c r="R76" s="57">
        <f>IF(_xlfn.XLOOKUP(CONT_TEA[[#This Row],[StaffMemberCode]],MEMBERS[StaffMemberCode],MEMBERS[ServiceEndDate])="",0,IF(CONT_TEA[[#This Row],[DateTo]]="",1,IF(_xlfn.XLOOKUP(CONT_TEA[[#This Row],[StaffMemberCode]],MEMBERS[StaffMemberCode],MEMBERS[ServiceEndDate])&lt;CONT_TEA[[#This Row],[DateTo]],1,0)))</f>
        <v>0</v>
      </c>
      <c r="S76" s="57">
        <f>IF(ISBLANK(CONT_TEA[[#This Row],[DateTo]]),0,IF(CONT_TEA[[#This Row],[DateFrom]]=CONT_TEA[[#This Row],[DateTo]],0,IF(CONT_TEA[[#This Row],[DateFrom]]&lt;CONT_TEA[[#This Row],[DateTo]],0,1)))</f>
        <v>0</v>
      </c>
      <c r="T76" s="57" cm="1">
        <f t="array" aca="1" ref="T76" ca="1">IF(CELL("format",CONT_TEA[[#This Row],[DateFrom]])="D1",0,1)+IF(CELL("format",CONT_TEA[[#This Row],[DateTo]])="D1",0,1)</f>
        <v>0</v>
      </c>
      <c r="U76" s="57">
        <f>IF(OR(CONT_TEA[[#This Row],[MatEditOnly]]=TRUE,CONT_TEA[[#This Row],[MatEditOnly]]=FALSE),IF(OR(CONT_TEA[[#This Row],[NoIncrement]]=TRUE,CONT_TEA[[#This Row],[NoIncrement]]=FALSE),0,1),1)</f>
        <v>0</v>
      </c>
      <c r="V76" s="57">
        <f>IF(ISBLANK(CONT_TEA[[#This Row],[FundCode]])=TRUE,0,IF(COUNTIF(FUNDS[FundCode],CONT_TEA[[#This Row],[FundCode]])=1,0,1))</f>
        <v>0</v>
      </c>
      <c r="W76" s="57">
        <f>IF(LEN(CONT_TEA[[#This Row],[Notes]])&lt;4000,0,1)</f>
        <v>0</v>
      </c>
      <c r="X76" s="57">
        <f>IF(SUBSTITUTE(TEXT(CONT_TEA[[#This Row],[Reference]],10)," ","")=TEXT(CONT_TEA[[#This Row],[Reference]],10),0,1)</f>
        <v>0</v>
      </c>
      <c r="Y76" s="57">
        <f ca="1">SUM(CONT_TEA[[#This Row],[Duplicate Contract]:[Space in Code]])</f>
        <v>1</v>
      </c>
      <c r="AA76" s="12" t="s">
        <v>2082</v>
      </c>
      <c r="AB76" s="15">
        <v>91073689</v>
      </c>
      <c r="AC76" s="12" t="s">
        <v>4425</v>
      </c>
      <c r="AD76" s="57" t="str">
        <f>_xlfn.XLOOKUP(CONT_TEA[[#This Row],[StaffMemberCode]],StaffMembers!O:O,StaffMembers!R:R)</f>
        <v>Alison Sutch</v>
      </c>
      <c r="AE76" s="12" t="s">
        <v>1178</v>
      </c>
      <c r="AF76" s="57">
        <f>_xlfn.XLOOKUP(CONT_TEA[[#This Row],[SRG]],SRG[StaffRoleGroupCode],SRG[GrossSalaryFinanceCode])</f>
        <v>612100</v>
      </c>
      <c r="AG76" s="57" t="str">
        <f>_xlfn.XLOOKUP(CONT_TEA[[#This Row],[StaffRoleCode]],ROLES[StaffRoleCode],ROLES[StaffRoleGroupCode])</f>
        <v>TEA</v>
      </c>
      <c r="AH76" s="57" t="str">
        <f>_xlfn.XLOOKUP(CONT_TEA[[#This Row],[StaffRoleCode]],ROLES[StaffRoleCode],ROLES[PayScaleCode])</f>
        <v>MAIN</v>
      </c>
      <c r="AI76" s="12" t="s">
        <v>1126</v>
      </c>
      <c r="AJ76" s="12" t="s">
        <v>1745</v>
      </c>
      <c r="AK76" s="12" t="s">
        <v>2499</v>
      </c>
      <c r="AM76" s="68" t="s">
        <v>1147</v>
      </c>
      <c r="AN76" s="13" t="s">
        <v>1702</v>
      </c>
      <c r="AO76" s="21">
        <v>45901</v>
      </c>
      <c r="AQ76" s="12">
        <v>0.9</v>
      </c>
      <c r="AR76" t="b">
        <v>0</v>
      </c>
      <c r="AS76" t="b">
        <v>0</v>
      </c>
      <c r="AT76" s="12" t="s">
        <v>1574</v>
      </c>
    </row>
    <row r="77" spans="1:46" x14ac:dyDescent="0.3">
      <c r="A77" s="57" t="str">
        <f t="shared" si="1"/>
        <v>ALS9107370091073700ATEASTCH45901</v>
      </c>
      <c r="B77" s="57">
        <f>COUNTIF(CONT_TEA[Unique Contract],CONT_TEA[[#This Row],[Unique Contract]])-1</f>
        <v>0</v>
      </c>
      <c r="C77" s="57">
        <f>IFERROR(IF(FIND(CONT_TEA[[#This Row],[SchoolCode]],_xlfn.XLOOKUP(CONT_TEA[[#This Row],[StaffMemberCode]],MEMBERS[StaffMemberCode],MEMBERS[SchoolCodes]))&gt;0,0,1),1)</f>
        <v>0</v>
      </c>
      <c r="D77" s="57" cm="1">
        <f t="array" ref="D77">IF(_xlfn.XLOOKUP(CONT_TEA[[#This Row],[StaffRoleCode]],ROLES[StaffRoleCode],ROLES[AvailableToAllSchools],1,0,)=TRUE,0,IF(ISERROR(FIND(CONT_TEA[[#This Row],[SchoolCode]],_xlfn.TEXTJOIN(",",TRUE,_xlfn.UNIQUE(IF(ROLES[StaffRoleCode]=CONT_TEA[[#This Row],[StaffRoleCode]],ROLES[SchoolCodes],""))))),1,0))</f>
        <v>0</v>
      </c>
      <c r="E77" s="57" cm="1">
        <f t="array" ref="E7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77" s="57" cm="1">
        <f t="array" ref="F77">IF(_xlfn.XLOOKUP(CONT_TEA[[#This Row],[PayScaleCode]],PAYSCALES[PayScaleCode],PAYSCALES[AvailableToAllSchools],1,0,)=TRUE,0,IF(ISERROR(FIND(CONT_TEA[[#This Row],[SchoolCode]],_xlfn.TEXTJOIN(",",TRUE,_xlfn.UNIQUE(IF(PAYSCALES[PayScaleCode]=CONT_TEA[[#This Row],[PayScaleCode]],PAYSCALES[SchoolCodes],""))))),1,0))</f>
        <v>0</v>
      </c>
      <c r="G77" s="57">
        <f>IF(_xlfn.XLOOKUP(CONT_TEA[[#This Row],[PayScaleGradeCode]],GRADES[PayScaleGradeCode],GRADES[AvailableToAllSchools])=TRUE,0,IFERROR(IF(FIND(CONT_TEA[[#This Row],[SchoolCode]],_xlfn.XLOOKUP(CONT_TEA[[#This Row],[PayScaleGradeCode]],GRADES[PayScaleGradeCode],GRADES[SchoolCodes]))&gt;=1,0,1),1))</f>
        <v>0</v>
      </c>
      <c r="H77" s="57">
        <f>IF(ISERROR(IF((_xlfn.XLOOKUP(CONT_TEA[[#This Row],[PayScaleGradeCode]],GRADES[PayScaleGradeCode],GRADES[PayScaleCode])=CONT_TEA[[#This Row],[PayScaleCode]]),0,1)),1,0)</f>
        <v>0</v>
      </c>
      <c r="I77" s="57" cm="1">
        <f t="array" ref="I77">IF(ISERROR(FIND(CONT_TEA[[#This Row],[PayScalePointCode]],_xlfn.TEXTJOIN(",",TRUE,IF(PSPOINTS[PayScaleCode]=CONT_TEA[[#This Row],[PayScaleCode]],PSPOINTS[PayScalePointCode])))),1,0)</f>
        <v>0</v>
      </c>
      <c r="J77" s="57" cm="1">
        <f t="array" ref="J7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77" s="57">
        <f>IF(_xlfn.XLOOKUP(CONT_TEA[[#This Row],[PayScalePointCode]],PSPOINTS[PayScalePointCode],PSPOINTS[PayScalePointEnabled])=TRUE,0,1)</f>
        <v>0</v>
      </c>
      <c r="L77" s="57" cm="1">
        <f t="array" ref="L77">IF(_xlfn.XLOOKUP(CONT_TEA[[#This Row],[DepartmentCode]],DEPTS[DepartmentCode],DEPTS[AvailableToAllSchools],1,0,)=TRUE,0,IF(ISERROR(FIND(CONT_TEA[[#This Row],[SchoolCode]],_xlfn.TEXTJOIN(",",TRUE,_xlfn.UNIQUE(IF(DEPTS[DepartmentCode]=CONT_TEA[[#This Row],[DepartmentCode]],DEPTS[SchoolCodes],""))))),1,0))</f>
        <v>0</v>
      </c>
      <c r="M77" s="57">
        <f>IFERROR(IF(_xlfn.XLOOKUP(CONT_TEA[[#This Row],[SRG Gross]],FinanceCodesBudget[FinanceCode],FinanceCodesBudget[LedgerCode])=_xlfn.XLOOKUP(CONT_TEA[[#This Row],[DepartmentCode]],DEPTS[DepartmentCode],DEPTS[LedgerCode]),0,1),1)</f>
        <v>1</v>
      </c>
      <c r="N77" s="57" cm="1">
        <f t="array" ref="N77">IF(_xlfn.XLOOKUP(CONT_TEA[[#This Row],[PensionCode]],PENS[PensionCode],PENS[AvailableToAllSchools],1,0,)=TRUE,0,IF(ISERROR(FIND(CONT_TEA[[#This Row],[SchoolCode]],_xlfn.TEXTJOIN(",",TRUE,_xlfn.UNIQUE(IF(PENS[PensionCode]=CONT_TEA[[#This Row],[PensionCode]],PENS[SchoolCodes],""))))),1,0))</f>
        <v>0</v>
      </c>
      <c r="O77" s="57" cm="1">
        <f t="array" ref="O77">IF(_xlfn.XLOOKUP(CONT_TEA[[#This Row],[EquatedWeekPatternCode]],EQW[EquatedWeekPatternCode],EQW[AvailableToAllSchools],1,0,)=TRUE,0,IF(ISERROR(FIND(CONT_TEA[[#This Row],[SchoolCode]],_xlfn.TEXTJOIN(",",TRUE,_xlfn.UNIQUE(IF(EQW[EquatedWeekPatternCode]=CONT_TEA[[#This Row],[EquatedWeekPatternCode]],EQW[SchoolCodes],""))))),1,0))</f>
        <v>0</v>
      </c>
      <c r="P77" s="57">
        <f>1-COUNTIF(ContractTypes[Code],CONT_TEA[[#This Row],[ContractTypeCode]])</f>
        <v>0</v>
      </c>
      <c r="Q77" s="57">
        <f>IF(VLOOKUP(CONT_TEA[[#This Row],[StaffMemberCode]],MEMBERS[[StaffMemberCode]:[ServiceStartDate]],5,0)&gt;CONT_TEA[[#This Row],[DateFrom]],1,0)</f>
        <v>0</v>
      </c>
      <c r="R77" s="57">
        <f>IF(_xlfn.XLOOKUP(CONT_TEA[[#This Row],[StaffMemberCode]],MEMBERS[StaffMemberCode],MEMBERS[ServiceEndDate])="",0,IF(CONT_TEA[[#This Row],[DateTo]]="",1,IF(_xlfn.XLOOKUP(CONT_TEA[[#This Row],[StaffMemberCode]],MEMBERS[StaffMemberCode],MEMBERS[ServiceEndDate])&lt;CONT_TEA[[#This Row],[DateTo]],1,0)))</f>
        <v>0</v>
      </c>
      <c r="S77" s="57">
        <f>IF(ISBLANK(CONT_TEA[[#This Row],[DateTo]]),0,IF(CONT_TEA[[#This Row],[DateFrom]]=CONT_TEA[[#This Row],[DateTo]],0,IF(CONT_TEA[[#This Row],[DateFrom]]&lt;CONT_TEA[[#This Row],[DateTo]],0,1)))</f>
        <v>0</v>
      </c>
      <c r="T77" s="57" cm="1">
        <f t="array" aca="1" ref="T77" ca="1">IF(CELL("format",CONT_TEA[[#This Row],[DateFrom]])="D1",0,1)+IF(CELL("format",CONT_TEA[[#This Row],[DateTo]])="D1",0,1)</f>
        <v>0</v>
      </c>
      <c r="U77" s="57">
        <f>IF(OR(CONT_TEA[[#This Row],[MatEditOnly]]=TRUE,CONT_TEA[[#This Row],[MatEditOnly]]=FALSE),IF(OR(CONT_TEA[[#This Row],[NoIncrement]]=TRUE,CONT_TEA[[#This Row],[NoIncrement]]=FALSE),0,1),1)</f>
        <v>0</v>
      </c>
      <c r="V77" s="57">
        <f>IF(ISBLANK(CONT_TEA[[#This Row],[FundCode]])=TRUE,0,IF(COUNTIF(FUNDS[FundCode],CONT_TEA[[#This Row],[FundCode]])=1,0,1))</f>
        <v>0</v>
      </c>
      <c r="W77" s="57">
        <f>IF(LEN(CONT_TEA[[#This Row],[Notes]])&lt;4000,0,1)</f>
        <v>0</v>
      </c>
      <c r="X77" s="57">
        <f>IF(SUBSTITUTE(TEXT(CONT_TEA[[#This Row],[Reference]],10)," ","")=TEXT(CONT_TEA[[#This Row],[Reference]],10),0,1)</f>
        <v>0</v>
      </c>
      <c r="Y77" s="57">
        <f ca="1">SUM(CONT_TEA[[#This Row],[Duplicate Contract]:[Space in Code]])</f>
        <v>1</v>
      </c>
      <c r="AA77" s="12" t="s">
        <v>2082</v>
      </c>
      <c r="AB77" s="15">
        <v>91073700</v>
      </c>
      <c r="AC77" s="12" t="s">
        <v>4426</v>
      </c>
      <c r="AD77" s="57" t="str">
        <f>_xlfn.XLOOKUP(CONT_TEA[[#This Row],[StaffMemberCode]],StaffMembers!O:O,StaffMembers!R:R)</f>
        <v>Cathy Hewitson</v>
      </c>
      <c r="AE77" s="12" t="s">
        <v>1178</v>
      </c>
      <c r="AF77" s="57">
        <f>_xlfn.XLOOKUP(CONT_TEA[[#This Row],[SRG]],SRG[StaffRoleGroupCode],SRG[GrossSalaryFinanceCode])</f>
        <v>612100</v>
      </c>
      <c r="AG77" s="57" t="str">
        <f>_xlfn.XLOOKUP(CONT_TEA[[#This Row],[StaffRoleCode]],ROLES[StaffRoleCode],ROLES[StaffRoleGroupCode])</f>
        <v>TEA</v>
      </c>
      <c r="AH77" s="57" t="str">
        <f>_xlfn.XLOOKUP(CONT_TEA[[#This Row],[StaffRoleCode]],ROLES[StaffRoleCode],ROLES[PayScaleCode])</f>
        <v>MAIN</v>
      </c>
      <c r="AI77" s="12" t="s">
        <v>1126</v>
      </c>
      <c r="AJ77" s="12" t="s">
        <v>1745</v>
      </c>
      <c r="AK77" s="12" t="s">
        <v>2499</v>
      </c>
      <c r="AM77" s="68" t="s">
        <v>1147</v>
      </c>
      <c r="AN77" s="13" t="s">
        <v>1702</v>
      </c>
      <c r="AO77" s="21">
        <v>45901</v>
      </c>
      <c r="AQ77" s="12">
        <v>0.9</v>
      </c>
      <c r="AR77" t="b">
        <v>0</v>
      </c>
      <c r="AS77" t="b">
        <v>0</v>
      </c>
      <c r="AT77" s="12" t="s">
        <v>1574</v>
      </c>
    </row>
    <row r="78" spans="1:46" x14ac:dyDescent="0.3">
      <c r="A78" s="57" t="str">
        <f t="shared" si="1"/>
        <v>ALS9107368791073687ATEASTCH45901</v>
      </c>
      <c r="B78" s="57">
        <f>COUNTIF(CONT_TEA[Unique Contract],CONT_TEA[[#This Row],[Unique Contract]])-1</f>
        <v>0</v>
      </c>
      <c r="C78" s="57">
        <f>IFERROR(IF(FIND(CONT_TEA[[#This Row],[SchoolCode]],_xlfn.XLOOKUP(CONT_TEA[[#This Row],[StaffMemberCode]],MEMBERS[StaffMemberCode],MEMBERS[SchoolCodes]))&gt;0,0,1),1)</f>
        <v>0</v>
      </c>
      <c r="D78" s="57" cm="1">
        <f t="array" ref="D78">IF(_xlfn.XLOOKUP(CONT_TEA[[#This Row],[StaffRoleCode]],ROLES[StaffRoleCode],ROLES[AvailableToAllSchools],1,0,)=TRUE,0,IF(ISERROR(FIND(CONT_TEA[[#This Row],[SchoolCode]],_xlfn.TEXTJOIN(",",TRUE,_xlfn.UNIQUE(IF(ROLES[StaffRoleCode]=CONT_TEA[[#This Row],[StaffRoleCode]],ROLES[SchoolCodes],""))))),1,0))</f>
        <v>0</v>
      </c>
      <c r="E78" s="57" cm="1">
        <f t="array" ref="E7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78" s="57" cm="1">
        <f t="array" ref="F78">IF(_xlfn.XLOOKUP(CONT_TEA[[#This Row],[PayScaleCode]],PAYSCALES[PayScaleCode],PAYSCALES[AvailableToAllSchools],1,0,)=TRUE,0,IF(ISERROR(FIND(CONT_TEA[[#This Row],[SchoolCode]],_xlfn.TEXTJOIN(",",TRUE,_xlfn.UNIQUE(IF(PAYSCALES[PayScaleCode]=CONT_TEA[[#This Row],[PayScaleCode]],PAYSCALES[SchoolCodes],""))))),1,0))</f>
        <v>0</v>
      </c>
      <c r="G78" s="57">
        <f>IF(_xlfn.XLOOKUP(CONT_TEA[[#This Row],[PayScaleGradeCode]],GRADES[PayScaleGradeCode],GRADES[AvailableToAllSchools])=TRUE,0,IFERROR(IF(FIND(CONT_TEA[[#This Row],[SchoolCode]],_xlfn.XLOOKUP(CONT_TEA[[#This Row],[PayScaleGradeCode]],GRADES[PayScaleGradeCode],GRADES[SchoolCodes]))&gt;=1,0,1),1))</f>
        <v>0</v>
      </c>
      <c r="H78" s="57">
        <f>IF(ISERROR(IF((_xlfn.XLOOKUP(CONT_TEA[[#This Row],[PayScaleGradeCode]],GRADES[PayScaleGradeCode],GRADES[PayScaleCode])=CONT_TEA[[#This Row],[PayScaleCode]]),0,1)),1,0)</f>
        <v>0</v>
      </c>
      <c r="I78" s="57" cm="1">
        <f t="array" ref="I78">IF(ISERROR(FIND(CONT_TEA[[#This Row],[PayScalePointCode]],_xlfn.TEXTJOIN(",",TRUE,IF(PSPOINTS[PayScaleCode]=CONT_TEA[[#This Row],[PayScaleCode]],PSPOINTS[PayScalePointCode])))),1,0)</f>
        <v>0</v>
      </c>
      <c r="J78" s="57" cm="1">
        <f t="array" ref="J7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78" s="57">
        <f>IF(_xlfn.XLOOKUP(CONT_TEA[[#This Row],[PayScalePointCode]],PSPOINTS[PayScalePointCode],PSPOINTS[PayScalePointEnabled])=TRUE,0,1)</f>
        <v>0</v>
      </c>
      <c r="L78" s="57" cm="1">
        <f t="array" ref="L78">IF(_xlfn.XLOOKUP(CONT_TEA[[#This Row],[DepartmentCode]],DEPTS[DepartmentCode],DEPTS[AvailableToAllSchools],1,0,)=TRUE,0,IF(ISERROR(FIND(CONT_TEA[[#This Row],[SchoolCode]],_xlfn.TEXTJOIN(",",TRUE,_xlfn.UNIQUE(IF(DEPTS[DepartmentCode]=CONT_TEA[[#This Row],[DepartmentCode]],DEPTS[SchoolCodes],""))))),1,0))</f>
        <v>0</v>
      </c>
      <c r="M78" s="57">
        <f>IFERROR(IF(_xlfn.XLOOKUP(CONT_TEA[[#This Row],[SRG Gross]],FinanceCodesBudget[FinanceCode],FinanceCodesBudget[LedgerCode])=_xlfn.XLOOKUP(CONT_TEA[[#This Row],[DepartmentCode]],DEPTS[DepartmentCode],DEPTS[LedgerCode]),0,1),1)</f>
        <v>1</v>
      </c>
      <c r="N78" s="57" cm="1">
        <f t="array" ref="N78">IF(_xlfn.XLOOKUP(CONT_TEA[[#This Row],[PensionCode]],PENS[PensionCode],PENS[AvailableToAllSchools],1,0,)=TRUE,0,IF(ISERROR(FIND(CONT_TEA[[#This Row],[SchoolCode]],_xlfn.TEXTJOIN(",",TRUE,_xlfn.UNIQUE(IF(PENS[PensionCode]=CONT_TEA[[#This Row],[PensionCode]],PENS[SchoolCodes],""))))),1,0))</f>
        <v>0</v>
      </c>
      <c r="O78" s="57" cm="1">
        <f t="array" ref="O78">IF(_xlfn.XLOOKUP(CONT_TEA[[#This Row],[EquatedWeekPatternCode]],EQW[EquatedWeekPatternCode],EQW[AvailableToAllSchools],1,0,)=TRUE,0,IF(ISERROR(FIND(CONT_TEA[[#This Row],[SchoolCode]],_xlfn.TEXTJOIN(",",TRUE,_xlfn.UNIQUE(IF(EQW[EquatedWeekPatternCode]=CONT_TEA[[#This Row],[EquatedWeekPatternCode]],EQW[SchoolCodes],""))))),1,0))</f>
        <v>0</v>
      </c>
      <c r="P78" s="57">
        <f>1-COUNTIF(ContractTypes[Code],CONT_TEA[[#This Row],[ContractTypeCode]])</f>
        <v>0</v>
      </c>
      <c r="Q78" s="57">
        <f>IF(VLOOKUP(CONT_TEA[[#This Row],[StaffMemberCode]],MEMBERS[[StaffMemberCode]:[ServiceStartDate]],5,0)&gt;CONT_TEA[[#This Row],[DateFrom]],1,0)</f>
        <v>0</v>
      </c>
      <c r="R78" s="57">
        <f>IF(_xlfn.XLOOKUP(CONT_TEA[[#This Row],[StaffMemberCode]],MEMBERS[StaffMemberCode],MEMBERS[ServiceEndDate])="",0,IF(CONT_TEA[[#This Row],[DateTo]]="",1,IF(_xlfn.XLOOKUP(CONT_TEA[[#This Row],[StaffMemberCode]],MEMBERS[StaffMemberCode],MEMBERS[ServiceEndDate])&lt;CONT_TEA[[#This Row],[DateTo]],1,0)))</f>
        <v>0</v>
      </c>
      <c r="S78" s="57">
        <f>IF(ISBLANK(CONT_TEA[[#This Row],[DateTo]]),0,IF(CONT_TEA[[#This Row],[DateFrom]]=CONT_TEA[[#This Row],[DateTo]],0,IF(CONT_TEA[[#This Row],[DateFrom]]&lt;CONT_TEA[[#This Row],[DateTo]],0,1)))</f>
        <v>0</v>
      </c>
      <c r="T78" s="57" cm="1">
        <f t="array" aca="1" ref="T78" ca="1">IF(CELL("format",CONT_TEA[[#This Row],[DateFrom]])="D1",0,1)+IF(CELL("format",CONT_TEA[[#This Row],[DateTo]])="D1",0,1)</f>
        <v>0</v>
      </c>
      <c r="U78" s="57">
        <f>IF(OR(CONT_TEA[[#This Row],[MatEditOnly]]=TRUE,CONT_TEA[[#This Row],[MatEditOnly]]=FALSE),IF(OR(CONT_TEA[[#This Row],[NoIncrement]]=TRUE,CONT_TEA[[#This Row],[NoIncrement]]=FALSE),0,1),1)</f>
        <v>0</v>
      </c>
      <c r="V78" s="57">
        <f>IF(ISBLANK(CONT_TEA[[#This Row],[FundCode]])=TRUE,0,IF(COUNTIF(FUNDS[FundCode],CONT_TEA[[#This Row],[FundCode]])=1,0,1))</f>
        <v>0</v>
      </c>
      <c r="W78" s="57">
        <f>IF(LEN(CONT_TEA[[#This Row],[Notes]])&lt;4000,0,1)</f>
        <v>0</v>
      </c>
      <c r="X78" s="57">
        <f>IF(SUBSTITUTE(TEXT(CONT_TEA[[#This Row],[Reference]],10)," ","")=TEXT(CONT_TEA[[#This Row],[Reference]],10),0,1)</f>
        <v>0</v>
      </c>
      <c r="Y78" s="57">
        <f ca="1">SUM(CONT_TEA[[#This Row],[Duplicate Contract]:[Space in Code]])</f>
        <v>1</v>
      </c>
      <c r="AA78" s="12" t="s">
        <v>2082</v>
      </c>
      <c r="AB78" s="15">
        <v>91073687</v>
      </c>
      <c r="AC78" s="12" t="s">
        <v>4427</v>
      </c>
      <c r="AD78" s="57" t="str">
        <f>_xlfn.XLOOKUP(CONT_TEA[[#This Row],[StaffMemberCode]],StaffMembers!O:O,StaffMembers!R:R)</f>
        <v>Claire Terry</v>
      </c>
      <c r="AE78" s="12" t="s">
        <v>1178</v>
      </c>
      <c r="AF78" s="57">
        <f>_xlfn.XLOOKUP(CONT_TEA[[#This Row],[SRG]],SRG[StaffRoleGroupCode],SRG[GrossSalaryFinanceCode])</f>
        <v>612100</v>
      </c>
      <c r="AG78" s="57" t="str">
        <f>_xlfn.XLOOKUP(CONT_TEA[[#This Row],[StaffRoleCode]],ROLES[StaffRoleCode],ROLES[StaffRoleGroupCode])</f>
        <v>TEA</v>
      </c>
      <c r="AH78" s="57" t="str">
        <f>_xlfn.XLOOKUP(CONT_TEA[[#This Row],[StaffRoleCode]],ROLES[StaffRoleCode],ROLES[PayScaleCode])</f>
        <v>MAIN</v>
      </c>
      <c r="AI78" s="12" t="s">
        <v>1126</v>
      </c>
      <c r="AJ78" s="12" t="s">
        <v>1745</v>
      </c>
      <c r="AK78" s="12" t="s">
        <v>2499</v>
      </c>
      <c r="AM78" s="68" t="s">
        <v>1147</v>
      </c>
      <c r="AN78" s="13" t="s">
        <v>1702</v>
      </c>
      <c r="AO78" s="21">
        <v>45901</v>
      </c>
      <c r="AQ78" s="12">
        <v>1</v>
      </c>
      <c r="AR78" t="b">
        <v>0</v>
      </c>
      <c r="AS78" t="b">
        <v>0</v>
      </c>
      <c r="AT78" s="12" t="s">
        <v>1574</v>
      </c>
    </row>
    <row r="79" spans="1:46" x14ac:dyDescent="0.3">
      <c r="A79" s="57" t="str">
        <f t="shared" si="1"/>
        <v>ALS9107372691073726ATEASTCH45901</v>
      </c>
      <c r="B79" s="57">
        <f>COUNTIF(CONT_TEA[Unique Contract],CONT_TEA[[#This Row],[Unique Contract]])-1</f>
        <v>0</v>
      </c>
      <c r="C79" s="57">
        <f>IFERROR(IF(FIND(CONT_TEA[[#This Row],[SchoolCode]],_xlfn.XLOOKUP(CONT_TEA[[#This Row],[StaffMemberCode]],MEMBERS[StaffMemberCode],MEMBERS[SchoolCodes]))&gt;0,0,1),1)</f>
        <v>0</v>
      </c>
      <c r="D79" s="57" cm="1">
        <f t="array" ref="D79">IF(_xlfn.XLOOKUP(CONT_TEA[[#This Row],[StaffRoleCode]],ROLES[StaffRoleCode],ROLES[AvailableToAllSchools],1,0,)=TRUE,0,IF(ISERROR(FIND(CONT_TEA[[#This Row],[SchoolCode]],_xlfn.TEXTJOIN(",",TRUE,_xlfn.UNIQUE(IF(ROLES[StaffRoleCode]=CONT_TEA[[#This Row],[StaffRoleCode]],ROLES[SchoolCodes],""))))),1,0))</f>
        <v>0</v>
      </c>
      <c r="E79" s="57" cm="1">
        <f t="array" ref="E7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79" s="57" cm="1">
        <f t="array" ref="F79">IF(_xlfn.XLOOKUP(CONT_TEA[[#This Row],[PayScaleCode]],PAYSCALES[PayScaleCode],PAYSCALES[AvailableToAllSchools],1,0,)=TRUE,0,IF(ISERROR(FIND(CONT_TEA[[#This Row],[SchoolCode]],_xlfn.TEXTJOIN(",",TRUE,_xlfn.UNIQUE(IF(PAYSCALES[PayScaleCode]=CONT_TEA[[#This Row],[PayScaleCode]],PAYSCALES[SchoolCodes],""))))),1,0))</f>
        <v>0</v>
      </c>
      <c r="G79" s="57">
        <f>IF(_xlfn.XLOOKUP(CONT_TEA[[#This Row],[PayScaleGradeCode]],GRADES[PayScaleGradeCode],GRADES[AvailableToAllSchools])=TRUE,0,IFERROR(IF(FIND(CONT_TEA[[#This Row],[SchoolCode]],_xlfn.XLOOKUP(CONT_TEA[[#This Row],[PayScaleGradeCode]],GRADES[PayScaleGradeCode],GRADES[SchoolCodes]))&gt;=1,0,1),1))</f>
        <v>0</v>
      </c>
      <c r="H79" s="57">
        <f>IF(ISERROR(IF((_xlfn.XLOOKUP(CONT_TEA[[#This Row],[PayScaleGradeCode]],GRADES[PayScaleGradeCode],GRADES[PayScaleCode])=CONT_TEA[[#This Row],[PayScaleCode]]),0,1)),1,0)</f>
        <v>0</v>
      </c>
      <c r="I79" s="57" cm="1">
        <f t="array" ref="I79">IF(ISERROR(FIND(CONT_TEA[[#This Row],[PayScalePointCode]],_xlfn.TEXTJOIN(",",TRUE,IF(PSPOINTS[PayScaleCode]=CONT_TEA[[#This Row],[PayScaleCode]],PSPOINTS[PayScalePointCode])))),1,0)</f>
        <v>0</v>
      </c>
      <c r="J79" s="57" cm="1">
        <f t="array" ref="J7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79" s="57">
        <f>IF(_xlfn.XLOOKUP(CONT_TEA[[#This Row],[PayScalePointCode]],PSPOINTS[PayScalePointCode],PSPOINTS[PayScalePointEnabled])=TRUE,0,1)</f>
        <v>0</v>
      </c>
      <c r="L79" s="57" cm="1">
        <f t="array" ref="L79">IF(_xlfn.XLOOKUP(CONT_TEA[[#This Row],[DepartmentCode]],DEPTS[DepartmentCode],DEPTS[AvailableToAllSchools],1,0,)=TRUE,0,IF(ISERROR(FIND(CONT_TEA[[#This Row],[SchoolCode]],_xlfn.TEXTJOIN(",",TRUE,_xlfn.UNIQUE(IF(DEPTS[DepartmentCode]=CONT_TEA[[#This Row],[DepartmentCode]],DEPTS[SchoolCodes],""))))),1,0))</f>
        <v>0</v>
      </c>
      <c r="M79" s="57">
        <f>IFERROR(IF(_xlfn.XLOOKUP(CONT_TEA[[#This Row],[SRG Gross]],FinanceCodesBudget[FinanceCode],FinanceCodesBudget[LedgerCode])=_xlfn.XLOOKUP(CONT_TEA[[#This Row],[DepartmentCode]],DEPTS[DepartmentCode],DEPTS[LedgerCode]),0,1),1)</f>
        <v>1</v>
      </c>
      <c r="N79" s="57" cm="1">
        <f t="array" ref="N79">IF(_xlfn.XLOOKUP(CONT_TEA[[#This Row],[PensionCode]],PENS[PensionCode],PENS[AvailableToAllSchools],1,0,)=TRUE,0,IF(ISERROR(FIND(CONT_TEA[[#This Row],[SchoolCode]],_xlfn.TEXTJOIN(",",TRUE,_xlfn.UNIQUE(IF(PENS[PensionCode]=CONT_TEA[[#This Row],[PensionCode]],PENS[SchoolCodes],""))))),1,0))</f>
        <v>0</v>
      </c>
      <c r="O79" s="57" cm="1">
        <f t="array" ref="O79">IF(_xlfn.XLOOKUP(CONT_TEA[[#This Row],[EquatedWeekPatternCode]],EQW[EquatedWeekPatternCode],EQW[AvailableToAllSchools],1,0,)=TRUE,0,IF(ISERROR(FIND(CONT_TEA[[#This Row],[SchoolCode]],_xlfn.TEXTJOIN(",",TRUE,_xlfn.UNIQUE(IF(EQW[EquatedWeekPatternCode]=CONT_TEA[[#This Row],[EquatedWeekPatternCode]],EQW[SchoolCodes],""))))),1,0))</f>
        <v>0</v>
      </c>
      <c r="P79" s="57">
        <f>1-COUNTIF(ContractTypes[Code],CONT_TEA[[#This Row],[ContractTypeCode]])</f>
        <v>0</v>
      </c>
      <c r="Q79" s="57">
        <f>IF(VLOOKUP(CONT_TEA[[#This Row],[StaffMemberCode]],MEMBERS[[StaffMemberCode]:[ServiceStartDate]],5,0)&gt;CONT_TEA[[#This Row],[DateFrom]],1,0)</f>
        <v>0</v>
      </c>
      <c r="R79" s="57">
        <f>IF(_xlfn.XLOOKUP(CONT_TEA[[#This Row],[StaffMemberCode]],MEMBERS[StaffMemberCode],MEMBERS[ServiceEndDate])="",0,IF(CONT_TEA[[#This Row],[DateTo]]="",1,IF(_xlfn.XLOOKUP(CONT_TEA[[#This Row],[StaffMemberCode]],MEMBERS[StaffMemberCode],MEMBERS[ServiceEndDate])&lt;CONT_TEA[[#This Row],[DateTo]],1,0)))</f>
        <v>0</v>
      </c>
      <c r="S79" s="57">
        <f>IF(ISBLANK(CONT_TEA[[#This Row],[DateTo]]),0,IF(CONT_TEA[[#This Row],[DateFrom]]=CONT_TEA[[#This Row],[DateTo]],0,IF(CONT_TEA[[#This Row],[DateFrom]]&lt;CONT_TEA[[#This Row],[DateTo]],0,1)))</f>
        <v>0</v>
      </c>
      <c r="T79" s="57" cm="1">
        <f t="array" aca="1" ref="T79" ca="1">IF(CELL("format",CONT_TEA[[#This Row],[DateFrom]])="D1",0,1)+IF(CELL("format",CONT_TEA[[#This Row],[DateTo]])="D1",0,1)</f>
        <v>0</v>
      </c>
      <c r="U79" s="57">
        <f>IF(OR(CONT_TEA[[#This Row],[MatEditOnly]]=TRUE,CONT_TEA[[#This Row],[MatEditOnly]]=FALSE),IF(OR(CONT_TEA[[#This Row],[NoIncrement]]=TRUE,CONT_TEA[[#This Row],[NoIncrement]]=FALSE),0,1),1)</f>
        <v>0</v>
      </c>
      <c r="V79" s="57">
        <f>IF(ISBLANK(CONT_TEA[[#This Row],[FundCode]])=TRUE,0,IF(COUNTIF(FUNDS[FundCode],CONT_TEA[[#This Row],[FundCode]])=1,0,1))</f>
        <v>0</v>
      </c>
      <c r="W79" s="57">
        <f>IF(LEN(CONT_TEA[[#This Row],[Notes]])&lt;4000,0,1)</f>
        <v>0</v>
      </c>
      <c r="X79" s="57">
        <f>IF(SUBSTITUTE(TEXT(CONT_TEA[[#This Row],[Reference]],10)," ","")=TEXT(CONT_TEA[[#This Row],[Reference]],10),0,1)</f>
        <v>0</v>
      </c>
      <c r="Y79" s="57">
        <f ca="1">SUM(CONT_TEA[[#This Row],[Duplicate Contract]:[Space in Code]])</f>
        <v>1</v>
      </c>
      <c r="AA79" s="12" t="s">
        <v>2082</v>
      </c>
      <c r="AB79" s="15">
        <v>91073726</v>
      </c>
      <c r="AC79" s="12" t="s">
        <v>4428</v>
      </c>
      <c r="AD79" s="57" t="str">
        <f>_xlfn.XLOOKUP(CONT_TEA[[#This Row],[StaffMemberCode]],StaffMembers!O:O,StaffMembers!R:R)</f>
        <v>Danielle Baskerville</v>
      </c>
      <c r="AE79" s="12" t="s">
        <v>1178</v>
      </c>
      <c r="AF79" s="57">
        <f>_xlfn.XLOOKUP(CONT_TEA[[#This Row],[SRG]],SRG[StaffRoleGroupCode],SRG[GrossSalaryFinanceCode])</f>
        <v>612100</v>
      </c>
      <c r="AG79" s="57" t="str">
        <f>_xlfn.XLOOKUP(CONT_TEA[[#This Row],[StaffRoleCode]],ROLES[StaffRoleCode],ROLES[StaffRoleGroupCode])</f>
        <v>TEA</v>
      </c>
      <c r="AH79" s="57" t="str">
        <f>_xlfn.XLOOKUP(CONT_TEA[[#This Row],[StaffRoleCode]],ROLES[StaffRoleCode],ROLES[PayScaleCode])</f>
        <v>MAIN</v>
      </c>
      <c r="AI79" s="12" t="s">
        <v>1126</v>
      </c>
      <c r="AJ79" s="12" t="s">
        <v>1745</v>
      </c>
      <c r="AK79" s="12" t="s">
        <v>2499</v>
      </c>
      <c r="AM79" s="68" t="s">
        <v>1147</v>
      </c>
      <c r="AN79" s="13" t="s">
        <v>1702</v>
      </c>
      <c r="AO79" s="21">
        <v>45901</v>
      </c>
      <c r="AQ79" s="12">
        <v>1</v>
      </c>
      <c r="AR79" t="b">
        <v>0</v>
      </c>
      <c r="AS79" t="b">
        <v>0</v>
      </c>
      <c r="AT79" s="12" t="s">
        <v>1574</v>
      </c>
    </row>
    <row r="80" spans="1:46" x14ac:dyDescent="0.3">
      <c r="A80" s="57" t="str">
        <f t="shared" si="1"/>
        <v>ALS9107374891073748ATEASTCH45901</v>
      </c>
      <c r="B80" s="57">
        <f>COUNTIF(CONT_TEA[Unique Contract],CONT_TEA[[#This Row],[Unique Contract]])-1</f>
        <v>0</v>
      </c>
      <c r="C80" s="57">
        <f>IFERROR(IF(FIND(CONT_TEA[[#This Row],[SchoolCode]],_xlfn.XLOOKUP(CONT_TEA[[#This Row],[StaffMemberCode]],MEMBERS[StaffMemberCode],MEMBERS[SchoolCodes]))&gt;0,0,1),1)</f>
        <v>0</v>
      </c>
      <c r="D80" s="57" cm="1">
        <f t="array" ref="D80">IF(_xlfn.XLOOKUP(CONT_TEA[[#This Row],[StaffRoleCode]],ROLES[StaffRoleCode],ROLES[AvailableToAllSchools],1,0,)=TRUE,0,IF(ISERROR(FIND(CONT_TEA[[#This Row],[SchoolCode]],_xlfn.TEXTJOIN(",",TRUE,_xlfn.UNIQUE(IF(ROLES[StaffRoleCode]=CONT_TEA[[#This Row],[StaffRoleCode]],ROLES[SchoolCodes],""))))),1,0))</f>
        <v>0</v>
      </c>
      <c r="E80" s="57" cm="1">
        <f t="array" ref="E8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80" s="57" cm="1">
        <f t="array" ref="F80">IF(_xlfn.XLOOKUP(CONT_TEA[[#This Row],[PayScaleCode]],PAYSCALES[PayScaleCode],PAYSCALES[AvailableToAllSchools],1,0,)=TRUE,0,IF(ISERROR(FIND(CONT_TEA[[#This Row],[SchoolCode]],_xlfn.TEXTJOIN(",",TRUE,_xlfn.UNIQUE(IF(PAYSCALES[PayScaleCode]=CONT_TEA[[#This Row],[PayScaleCode]],PAYSCALES[SchoolCodes],""))))),1,0))</f>
        <v>0</v>
      </c>
      <c r="G80" s="57">
        <f>IF(_xlfn.XLOOKUP(CONT_TEA[[#This Row],[PayScaleGradeCode]],GRADES[PayScaleGradeCode],GRADES[AvailableToAllSchools])=TRUE,0,IFERROR(IF(FIND(CONT_TEA[[#This Row],[SchoolCode]],_xlfn.XLOOKUP(CONT_TEA[[#This Row],[PayScaleGradeCode]],GRADES[PayScaleGradeCode],GRADES[SchoolCodes]))&gt;=1,0,1),1))</f>
        <v>0</v>
      </c>
      <c r="H80" s="57">
        <f>IF(ISERROR(IF((_xlfn.XLOOKUP(CONT_TEA[[#This Row],[PayScaleGradeCode]],GRADES[PayScaleGradeCode],GRADES[PayScaleCode])=CONT_TEA[[#This Row],[PayScaleCode]]),0,1)),1,0)</f>
        <v>0</v>
      </c>
      <c r="I80" s="57" cm="1">
        <f t="array" ref="I80">IF(ISERROR(FIND(CONT_TEA[[#This Row],[PayScalePointCode]],_xlfn.TEXTJOIN(",",TRUE,IF(PSPOINTS[PayScaleCode]=CONT_TEA[[#This Row],[PayScaleCode]],PSPOINTS[PayScalePointCode])))),1,0)</f>
        <v>0</v>
      </c>
      <c r="J80" s="57" cm="1">
        <f t="array" ref="J8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80" s="57">
        <f>IF(_xlfn.XLOOKUP(CONT_TEA[[#This Row],[PayScalePointCode]],PSPOINTS[PayScalePointCode],PSPOINTS[PayScalePointEnabled])=TRUE,0,1)</f>
        <v>0</v>
      </c>
      <c r="L80" s="57" cm="1">
        <f t="array" ref="L80">IF(_xlfn.XLOOKUP(CONT_TEA[[#This Row],[DepartmentCode]],DEPTS[DepartmentCode],DEPTS[AvailableToAllSchools],1,0,)=TRUE,0,IF(ISERROR(FIND(CONT_TEA[[#This Row],[SchoolCode]],_xlfn.TEXTJOIN(",",TRUE,_xlfn.UNIQUE(IF(DEPTS[DepartmentCode]=CONT_TEA[[#This Row],[DepartmentCode]],DEPTS[SchoolCodes],""))))),1,0))</f>
        <v>0</v>
      </c>
      <c r="M80" s="57">
        <f>IFERROR(IF(_xlfn.XLOOKUP(CONT_TEA[[#This Row],[SRG Gross]],FinanceCodesBudget[FinanceCode],FinanceCodesBudget[LedgerCode])=_xlfn.XLOOKUP(CONT_TEA[[#This Row],[DepartmentCode]],DEPTS[DepartmentCode],DEPTS[LedgerCode]),0,1),1)</f>
        <v>1</v>
      </c>
      <c r="N80" s="57" cm="1">
        <f t="array" ref="N80">IF(_xlfn.XLOOKUP(CONT_TEA[[#This Row],[PensionCode]],PENS[PensionCode],PENS[AvailableToAllSchools],1,0,)=TRUE,0,IF(ISERROR(FIND(CONT_TEA[[#This Row],[SchoolCode]],_xlfn.TEXTJOIN(",",TRUE,_xlfn.UNIQUE(IF(PENS[PensionCode]=CONT_TEA[[#This Row],[PensionCode]],PENS[SchoolCodes],""))))),1,0))</f>
        <v>0</v>
      </c>
      <c r="O80" s="57" cm="1">
        <f t="array" ref="O80">IF(_xlfn.XLOOKUP(CONT_TEA[[#This Row],[EquatedWeekPatternCode]],EQW[EquatedWeekPatternCode],EQW[AvailableToAllSchools],1,0,)=TRUE,0,IF(ISERROR(FIND(CONT_TEA[[#This Row],[SchoolCode]],_xlfn.TEXTJOIN(",",TRUE,_xlfn.UNIQUE(IF(EQW[EquatedWeekPatternCode]=CONT_TEA[[#This Row],[EquatedWeekPatternCode]],EQW[SchoolCodes],""))))),1,0))</f>
        <v>0</v>
      </c>
      <c r="P80" s="57">
        <f>1-COUNTIF(ContractTypes[Code],CONT_TEA[[#This Row],[ContractTypeCode]])</f>
        <v>0</v>
      </c>
      <c r="Q80" s="57">
        <f>IF(VLOOKUP(CONT_TEA[[#This Row],[StaffMemberCode]],MEMBERS[[StaffMemberCode]:[ServiceStartDate]],5,0)&gt;CONT_TEA[[#This Row],[DateFrom]],1,0)</f>
        <v>0</v>
      </c>
      <c r="R80" s="57">
        <f>IF(_xlfn.XLOOKUP(CONT_TEA[[#This Row],[StaffMemberCode]],MEMBERS[StaffMemberCode],MEMBERS[ServiceEndDate])="",0,IF(CONT_TEA[[#This Row],[DateTo]]="",1,IF(_xlfn.XLOOKUP(CONT_TEA[[#This Row],[StaffMemberCode]],MEMBERS[StaffMemberCode],MEMBERS[ServiceEndDate])&lt;CONT_TEA[[#This Row],[DateTo]],1,0)))</f>
        <v>0</v>
      </c>
      <c r="S80" s="57">
        <f>IF(ISBLANK(CONT_TEA[[#This Row],[DateTo]]),0,IF(CONT_TEA[[#This Row],[DateFrom]]=CONT_TEA[[#This Row],[DateTo]],0,IF(CONT_TEA[[#This Row],[DateFrom]]&lt;CONT_TEA[[#This Row],[DateTo]],0,1)))</f>
        <v>0</v>
      </c>
      <c r="T80" s="57" cm="1">
        <f t="array" aca="1" ref="T80" ca="1">IF(CELL("format",CONT_TEA[[#This Row],[DateFrom]])="D1",0,1)+IF(CELL("format",CONT_TEA[[#This Row],[DateTo]])="D1",0,1)</f>
        <v>0</v>
      </c>
      <c r="U80" s="57">
        <f>IF(OR(CONT_TEA[[#This Row],[MatEditOnly]]=TRUE,CONT_TEA[[#This Row],[MatEditOnly]]=FALSE),IF(OR(CONT_TEA[[#This Row],[NoIncrement]]=TRUE,CONT_TEA[[#This Row],[NoIncrement]]=FALSE),0,1),1)</f>
        <v>0</v>
      </c>
      <c r="V80" s="57">
        <f>IF(ISBLANK(CONT_TEA[[#This Row],[FundCode]])=TRUE,0,IF(COUNTIF(FUNDS[FundCode],CONT_TEA[[#This Row],[FundCode]])=1,0,1))</f>
        <v>0</v>
      </c>
      <c r="W80" s="57">
        <f>IF(LEN(CONT_TEA[[#This Row],[Notes]])&lt;4000,0,1)</f>
        <v>0</v>
      </c>
      <c r="X80" s="57">
        <f>IF(SUBSTITUTE(TEXT(CONT_TEA[[#This Row],[Reference]],10)," ","")=TEXT(CONT_TEA[[#This Row],[Reference]],10),0,1)</f>
        <v>0</v>
      </c>
      <c r="Y80" s="57">
        <f ca="1">SUM(CONT_TEA[[#This Row],[Duplicate Contract]:[Space in Code]])</f>
        <v>1</v>
      </c>
      <c r="AA80" s="12" t="s">
        <v>2082</v>
      </c>
      <c r="AB80" s="15">
        <v>91073748</v>
      </c>
      <c r="AC80" s="12" t="s">
        <v>4429</v>
      </c>
      <c r="AD80" s="57" t="str">
        <f>_xlfn.XLOOKUP(CONT_TEA[[#This Row],[StaffMemberCode]],StaffMembers!O:O,StaffMembers!R:R)</f>
        <v>Darren Hodgkinson</v>
      </c>
      <c r="AE80" s="12" t="s">
        <v>1178</v>
      </c>
      <c r="AF80" s="57">
        <f>_xlfn.XLOOKUP(CONT_TEA[[#This Row],[SRG]],SRG[StaffRoleGroupCode],SRG[GrossSalaryFinanceCode])</f>
        <v>612100</v>
      </c>
      <c r="AG80" s="57" t="str">
        <f>_xlfn.XLOOKUP(CONT_TEA[[#This Row],[StaffRoleCode]],ROLES[StaffRoleCode],ROLES[StaffRoleGroupCode])</f>
        <v>TEA</v>
      </c>
      <c r="AH80" s="57" t="str">
        <f>_xlfn.XLOOKUP(CONT_TEA[[#This Row],[StaffRoleCode]],ROLES[StaffRoleCode],ROLES[PayScaleCode])</f>
        <v>MAIN</v>
      </c>
      <c r="AI80" s="12" t="s">
        <v>1126</v>
      </c>
      <c r="AJ80" s="12" t="s">
        <v>1745</v>
      </c>
      <c r="AK80" s="12" t="s">
        <v>2499</v>
      </c>
      <c r="AM80" s="68" t="s">
        <v>1147</v>
      </c>
      <c r="AN80" s="13" t="s">
        <v>1702</v>
      </c>
      <c r="AO80" s="21">
        <v>45901</v>
      </c>
      <c r="AQ80" s="12">
        <v>1</v>
      </c>
      <c r="AR80" t="b">
        <v>0</v>
      </c>
      <c r="AS80" t="b">
        <v>0</v>
      </c>
      <c r="AT80" s="12" t="s">
        <v>1574</v>
      </c>
    </row>
    <row r="81" spans="1:46" x14ac:dyDescent="0.3">
      <c r="A81" s="57" t="str">
        <f t="shared" si="1"/>
        <v>ALS9107366491073664ATEASTCH45901</v>
      </c>
      <c r="B81" s="57">
        <f>COUNTIF(CONT_TEA[Unique Contract],CONT_TEA[[#This Row],[Unique Contract]])-1</f>
        <v>0</v>
      </c>
      <c r="C81" s="57">
        <f>IFERROR(IF(FIND(CONT_TEA[[#This Row],[SchoolCode]],_xlfn.XLOOKUP(CONT_TEA[[#This Row],[StaffMemberCode]],MEMBERS[StaffMemberCode],MEMBERS[SchoolCodes]))&gt;0,0,1),1)</f>
        <v>0</v>
      </c>
      <c r="D81" s="57" cm="1">
        <f t="array" ref="D81">IF(_xlfn.XLOOKUP(CONT_TEA[[#This Row],[StaffRoleCode]],ROLES[StaffRoleCode],ROLES[AvailableToAllSchools],1,0,)=TRUE,0,IF(ISERROR(FIND(CONT_TEA[[#This Row],[SchoolCode]],_xlfn.TEXTJOIN(",",TRUE,_xlfn.UNIQUE(IF(ROLES[StaffRoleCode]=CONT_TEA[[#This Row],[StaffRoleCode]],ROLES[SchoolCodes],""))))),1,0))</f>
        <v>0</v>
      </c>
      <c r="E81" s="57" cm="1">
        <f t="array" ref="E8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81" s="57" cm="1">
        <f t="array" ref="F81">IF(_xlfn.XLOOKUP(CONT_TEA[[#This Row],[PayScaleCode]],PAYSCALES[PayScaleCode],PAYSCALES[AvailableToAllSchools],1,0,)=TRUE,0,IF(ISERROR(FIND(CONT_TEA[[#This Row],[SchoolCode]],_xlfn.TEXTJOIN(",",TRUE,_xlfn.UNIQUE(IF(PAYSCALES[PayScaleCode]=CONT_TEA[[#This Row],[PayScaleCode]],PAYSCALES[SchoolCodes],""))))),1,0))</f>
        <v>0</v>
      </c>
      <c r="G81" s="57">
        <f>IF(_xlfn.XLOOKUP(CONT_TEA[[#This Row],[PayScaleGradeCode]],GRADES[PayScaleGradeCode],GRADES[AvailableToAllSchools])=TRUE,0,IFERROR(IF(FIND(CONT_TEA[[#This Row],[SchoolCode]],_xlfn.XLOOKUP(CONT_TEA[[#This Row],[PayScaleGradeCode]],GRADES[PayScaleGradeCode],GRADES[SchoolCodes]))&gt;=1,0,1),1))</f>
        <v>0</v>
      </c>
      <c r="H81" s="57">
        <f>IF(ISERROR(IF((_xlfn.XLOOKUP(CONT_TEA[[#This Row],[PayScaleGradeCode]],GRADES[PayScaleGradeCode],GRADES[PayScaleCode])=CONT_TEA[[#This Row],[PayScaleCode]]),0,1)),1,0)</f>
        <v>0</v>
      </c>
      <c r="I81" s="57" cm="1">
        <f t="array" ref="I81">IF(ISERROR(FIND(CONT_TEA[[#This Row],[PayScalePointCode]],_xlfn.TEXTJOIN(",",TRUE,IF(PSPOINTS[PayScaleCode]=CONT_TEA[[#This Row],[PayScaleCode]],PSPOINTS[PayScalePointCode])))),1,0)</f>
        <v>0</v>
      </c>
      <c r="J81" s="57" cm="1">
        <f t="array" ref="J8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81" s="57">
        <f>IF(_xlfn.XLOOKUP(CONT_TEA[[#This Row],[PayScalePointCode]],PSPOINTS[PayScalePointCode],PSPOINTS[PayScalePointEnabled])=TRUE,0,1)</f>
        <v>0</v>
      </c>
      <c r="L81" s="57" cm="1">
        <f t="array" ref="L81">IF(_xlfn.XLOOKUP(CONT_TEA[[#This Row],[DepartmentCode]],DEPTS[DepartmentCode],DEPTS[AvailableToAllSchools],1,0,)=TRUE,0,IF(ISERROR(FIND(CONT_TEA[[#This Row],[SchoolCode]],_xlfn.TEXTJOIN(",",TRUE,_xlfn.UNIQUE(IF(DEPTS[DepartmentCode]=CONT_TEA[[#This Row],[DepartmentCode]],DEPTS[SchoolCodes],""))))),1,0))</f>
        <v>0</v>
      </c>
      <c r="M81" s="57">
        <f>IFERROR(IF(_xlfn.XLOOKUP(CONT_TEA[[#This Row],[SRG Gross]],FinanceCodesBudget[FinanceCode],FinanceCodesBudget[LedgerCode])=_xlfn.XLOOKUP(CONT_TEA[[#This Row],[DepartmentCode]],DEPTS[DepartmentCode],DEPTS[LedgerCode]),0,1),1)</f>
        <v>1</v>
      </c>
      <c r="N81" s="57" cm="1">
        <f t="array" ref="N81">IF(_xlfn.XLOOKUP(CONT_TEA[[#This Row],[PensionCode]],PENS[PensionCode],PENS[AvailableToAllSchools],1,0,)=TRUE,0,IF(ISERROR(FIND(CONT_TEA[[#This Row],[SchoolCode]],_xlfn.TEXTJOIN(",",TRUE,_xlfn.UNIQUE(IF(PENS[PensionCode]=CONT_TEA[[#This Row],[PensionCode]],PENS[SchoolCodes],""))))),1,0))</f>
        <v>0</v>
      </c>
      <c r="O81" s="57" cm="1">
        <f t="array" ref="O81">IF(_xlfn.XLOOKUP(CONT_TEA[[#This Row],[EquatedWeekPatternCode]],EQW[EquatedWeekPatternCode],EQW[AvailableToAllSchools],1,0,)=TRUE,0,IF(ISERROR(FIND(CONT_TEA[[#This Row],[SchoolCode]],_xlfn.TEXTJOIN(",",TRUE,_xlfn.UNIQUE(IF(EQW[EquatedWeekPatternCode]=CONT_TEA[[#This Row],[EquatedWeekPatternCode]],EQW[SchoolCodes],""))))),1,0))</f>
        <v>0</v>
      </c>
      <c r="P81" s="57">
        <f>1-COUNTIF(ContractTypes[Code],CONT_TEA[[#This Row],[ContractTypeCode]])</f>
        <v>0</v>
      </c>
      <c r="Q81" s="57">
        <f>IF(VLOOKUP(CONT_TEA[[#This Row],[StaffMemberCode]],MEMBERS[[StaffMemberCode]:[ServiceStartDate]],5,0)&gt;CONT_TEA[[#This Row],[DateFrom]],1,0)</f>
        <v>0</v>
      </c>
      <c r="R81" s="57">
        <f>IF(_xlfn.XLOOKUP(CONT_TEA[[#This Row],[StaffMemberCode]],MEMBERS[StaffMemberCode],MEMBERS[ServiceEndDate])="",0,IF(CONT_TEA[[#This Row],[DateTo]]="",1,IF(_xlfn.XLOOKUP(CONT_TEA[[#This Row],[StaffMemberCode]],MEMBERS[StaffMemberCode],MEMBERS[ServiceEndDate])&lt;CONT_TEA[[#This Row],[DateTo]],1,0)))</f>
        <v>0</v>
      </c>
      <c r="S81" s="57">
        <f>IF(ISBLANK(CONT_TEA[[#This Row],[DateTo]]),0,IF(CONT_TEA[[#This Row],[DateFrom]]=CONT_TEA[[#This Row],[DateTo]],0,IF(CONT_TEA[[#This Row],[DateFrom]]&lt;CONT_TEA[[#This Row],[DateTo]],0,1)))</f>
        <v>0</v>
      </c>
      <c r="T81" s="57" cm="1">
        <f t="array" aca="1" ref="T81" ca="1">IF(CELL("format",CONT_TEA[[#This Row],[DateFrom]])="D1",0,1)+IF(CELL("format",CONT_TEA[[#This Row],[DateTo]])="D1",0,1)</f>
        <v>0</v>
      </c>
      <c r="U81" s="57">
        <f>IF(OR(CONT_TEA[[#This Row],[MatEditOnly]]=TRUE,CONT_TEA[[#This Row],[MatEditOnly]]=FALSE),IF(OR(CONT_TEA[[#This Row],[NoIncrement]]=TRUE,CONT_TEA[[#This Row],[NoIncrement]]=FALSE),0,1),1)</f>
        <v>0</v>
      </c>
      <c r="V81" s="57">
        <f>IF(ISBLANK(CONT_TEA[[#This Row],[FundCode]])=TRUE,0,IF(COUNTIF(FUNDS[FundCode],CONT_TEA[[#This Row],[FundCode]])=1,0,1))</f>
        <v>0</v>
      </c>
      <c r="W81" s="57">
        <f>IF(LEN(CONT_TEA[[#This Row],[Notes]])&lt;4000,0,1)</f>
        <v>0</v>
      </c>
      <c r="X81" s="57">
        <f>IF(SUBSTITUTE(TEXT(CONT_TEA[[#This Row],[Reference]],10)," ","")=TEXT(CONT_TEA[[#This Row],[Reference]],10),0,1)</f>
        <v>0</v>
      </c>
      <c r="Y81" s="57">
        <f ca="1">SUM(CONT_TEA[[#This Row],[Duplicate Contract]:[Space in Code]])</f>
        <v>1</v>
      </c>
      <c r="AA81" s="12" t="s">
        <v>2082</v>
      </c>
      <c r="AB81" s="15">
        <v>91073664</v>
      </c>
      <c r="AC81" s="12" t="s">
        <v>4430</v>
      </c>
      <c r="AD81" s="57" t="str">
        <f>_xlfn.XLOOKUP(CONT_TEA[[#This Row],[StaffMemberCode]],StaffMembers!O:O,StaffMembers!R:R)</f>
        <v>Elizabeth Riding</v>
      </c>
      <c r="AE81" s="12" t="s">
        <v>1178</v>
      </c>
      <c r="AF81" s="57">
        <f>_xlfn.XLOOKUP(CONT_TEA[[#This Row],[SRG]],SRG[StaffRoleGroupCode],SRG[GrossSalaryFinanceCode])</f>
        <v>612100</v>
      </c>
      <c r="AG81" s="57" t="str">
        <f>_xlfn.XLOOKUP(CONT_TEA[[#This Row],[StaffRoleCode]],ROLES[StaffRoleCode],ROLES[StaffRoleGroupCode])</f>
        <v>TEA</v>
      </c>
      <c r="AH81" s="57" t="str">
        <f>_xlfn.XLOOKUP(CONT_TEA[[#This Row],[StaffRoleCode]],ROLES[StaffRoleCode],ROLES[PayScaleCode])</f>
        <v>MAIN</v>
      </c>
      <c r="AI81" s="12" t="s">
        <v>1126</v>
      </c>
      <c r="AJ81" s="12" t="s">
        <v>1745</v>
      </c>
      <c r="AK81" s="12" t="s">
        <v>2499</v>
      </c>
      <c r="AM81" s="68" t="s">
        <v>1147</v>
      </c>
      <c r="AN81" s="13" t="s">
        <v>1702</v>
      </c>
      <c r="AO81" s="21">
        <v>45901</v>
      </c>
      <c r="AQ81" s="12">
        <v>1</v>
      </c>
      <c r="AR81" t="b">
        <v>0</v>
      </c>
      <c r="AS81" t="b">
        <v>0</v>
      </c>
      <c r="AT81" s="12" t="s">
        <v>1574</v>
      </c>
    </row>
    <row r="82" spans="1:46" x14ac:dyDescent="0.3">
      <c r="A82" s="57" t="str">
        <f t="shared" si="1"/>
        <v>ALS9107373991073739ATEASTCH45901</v>
      </c>
      <c r="B82" s="57">
        <f>COUNTIF(CONT_TEA[Unique Contract],CONT_TEA[[#This Row],[Unique Contract]])-1</f>
        <v>0</v>
      </c>
      <c r="C82" s="57">
        <f>IFERROR(IF(FIND(CONT_TEA[[#This Row],[SchoolCode]],_xlfn.XLOOKUP(CONT_TEA[[#This Row],[StaffMemberCode]],MEMBERS[StaffMemberCode],MEMBERS[SchoolCodes]))&gt;0,0,1),1)</f>
        <v>0</v>
      </c>
      <c r="D82" s="57" cm="1">
        <f t="array" ref="D82">IF(_xlfn.XLOOKUP(CONT_TEA[[#This Row],[StaffRoleCode]],ROLES[StaffRoleCode],ROLES[AvailableToAllSchools],1,0,)=TRUE,0,IF(ISERROR(FIND(CONT_TEA[[#This Row],[SchoolCode]],_xlfn.TEXTJOIN(",",TRUE,_xlfn.UNIQUE(IF(ROLES[StaffRoleCode]=CONT_TEA[[#This Row],[StaffRoleCode]],ROLES[SchoolCodes],""))))),1,0))</f>
        <v>0</v>
      </c>
      <c r="E82" s="57" cm="1">
        <f t="array" ref="E8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82" s="57" cm="1">
        <f t="array" ref="F82">IF(_xlfn.XLOOKUP(CONT_TEA[[#This Row],[PayScaleCode]],PAYSCALES[PayScaleCode],PAYSCALES[AvailableToAllSchools],1,0,)=TRUE,0,IF(ISERROR(FIND(CONT_TEA[[#This Row],[SchoolCode]],_xlfn.TEXTJOIN(",",TRUE,_xlfn.UNIQUE(IF(PAYSCALES[PayScaleCode]=CONT_TEA[[#This Row],[PayScaleCode]],PAYSCALES[SchoolCodes],""))))),1,0))</f>
        <v>0</v>
      </c>
      <c r="G82" s="57">
        <f>IF(_xlfn.XLOOKUP(CONT_TEA[[#This Row],[PayScaleGradeCode]],GRADES[PayScaleGradeCode],GRADES[AvailableToAllSchools])=TRUE,0,IFERROR(IF(FIND(CONT_TEA[[#This Row],[SchoolCode]],_xlfn.XLOOKUP(CONT_TEA[[#This Row],[PayScaleGradeCode]],GRADES[PayScaleGradeCode],GRADES[SchoolCodes]))&gt;=1,0,1),1))</f>
        <v>0</v>
      </c>
      <c r="H82" s="57">
        <f>IF(ISERROR(IF((_xlfn.XLOOKUP(CONT_TEA[[#This Row],[PayScaleGradeCode]],GRADES[PayScaleGradeCode],GRADES[PayScaleCode])=CONT_TEA[[#This Row],[PayScaleCode]]),0,1)),1,0)</f>
        <v>0</v>
      </c>
      <c r="I82" s="57" cm="1">
        <f t="array" ref="I82">IF(ISERROR(FIND(CONT_TEA[[#This Row],[PayScalePointCode]],_xlfn.TEXTJOIN(",",TRUE,IF(PSPOINTS[PayScaleCode]=CONT_TEA[[#This Row],[PayScaleCode]],PSPOINTS[PayScalePointCode])))),1,0)</f>
        <v>0</v>
      </c>
      <c r="J82" s="57" cm="1">
        <f t="array" ref="J8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82" s="57">
        <f>IF(_xlfn.XLOOKUP(CONT_TEA[[#This Row],[PayScalePointCode]],PSPOINTS[PayScalePointCode],PSPOINTS[PayScalePointEnabled])=TRUE,0,1)</f>
        <v>0</v>
      </c>
      <c r="L82" s="57" cm="1">
        <f t="array" ref="L82">IF(_xlfn.XLOOKUP(CONT_TEA[[#This Row],[DepartmentCode]],DEPTS[DepartmentCode],DEPTS[AvailableToAllSchools],1,0,)=TRUE,0,IF(ISERROR(FIND(CONT_TEA[[#This Row],[SchoolCode]],_xlfn.TEXTJOIN(",",TRUE,_xlfn.UNIQUE(IF(DEPTS[DepartmentCode]=CONT_TEA[[#This Row],[DepartmentCode]],DEPTS[SchoolCodes],""))))),1,0))</f>
        <v>0</v>
      </c>
      <c r="M82" s="57">
        <f>IFERROR(IF(_xlfn.XLOOKUP(CONT_TEA[[#This Row],[SRG Gross]],FinanceCodesBudget[FinanceCode],FinanceCodesBudget[LedgerCode])=_xlfn.XLOOKUP(CONT_TEA[[#This Row],[DepartmentCode]],DEPTS[DepartmentCode],DEPTS[LedgerCode]),0,1),1)</f>
        <v>1</v>
      </c>
      <c r="N82" s="57" cm="1">
        <f t="array" ref="N82">IF(_xlfn.XLOOKUP(CONT_TEA[[#This Row],[PensionCode]],PENS[PensionCode],PENS[AvailableToAllSchools],1,0,)=TRUE,0,IF(ISERROR(FIND(CONT_TEA[[#This Row],[SchoolCode]],_xlfn.TEXTJOIN(",",TRUE,_xlfn.UNIQUE(IF(PENS[PensionCode]=CONT_TEA[[#This Row],[PensionCode]],PENS[SchoolCodes],""))))),1,0))</f>
        <v>0</v>
      </c>
      <c r="O82" s="57" cm="1">
        <f t="array" ref="O82">IF(_xlfn.XLOOKUP(CONT_TEA[[#This Row],[EquatedWeekPatternCode]],EQW[EquatedWeekPatternCode],EQW[AvailableToAllSchools],1,0,)=TRUE,0,IF(ISERROR(FIND(CONT_TEA[[#This Row],[SchoolCode]],_xlfn.TEXTJOIN(",",TRUE,_xlfn.UNIQUE(IF(EQW[EquatedWeekPatternCode]=CONT_TEA[[#This Row],[EquatedWeekPatternCode]],EQW[SchoolCodes],""))))),1,0))</f>
        <v>0</v>
      </c>
      <c r="P82" s="57">
        <f>1-COUNTIF(ContractTypes[Code],CONT_TEA[[#This Row],[ContractTypeCode]])</f>
        <v>0</v>
      </c>
      <c r="Q82" s="57">
        <f>IF(VLOOKUP(CONT_TEA[[#This Row],[StaffMemberCode]],MEMBERS[[StaffMemberCode]:[ServiceStartDate]],5,0)&gt;CONT_TEA[[#This Row],[DateFrom]],1,0)</f>
        <v>0</v>
      </c>
      <c r="R82" s="57">
        <f>IF(_xlfn.XLOOKUP(CONT_TEA[[#This Row],[StaffMemberCode]],MEMBERS[StaffMemberCode],MEMBERS[ServiceEndDate])="",0,IF(CONT_TEA[[#This Row],[DateTo]]="",1,IF(_xlfn.XLOOKUP(CONT_TEA[[#This Row],[StaffMemberCode]],MEMBERS[StaffMemberCode],MEMBERS[ServiceEndDate])&lt;CONT_TEA[[#This Row],[DateTo]],1,0)))</f>
        <v>0</v>
      </c>
      <c r="S82" s="57">
        <f>IF(ISBLANK(CONT_TEA[[#This Row],[DateTo]]),0,IF(CONT_TEA[[#This Row],[DateFrom]]=CONT_TEA[[#This Row],[DateTo]],0,IF(CONT_TEA[[#This Row],[DateFrom]]&lt;CONT_TEA[[#This Row],[DateTo]],0,1)))</f>
        <v>0</v>
      </c>
      <c r="T82" s="57" cm="1">
        <f t="array" aca="1" ref="T82" ca="1">IF(CELL("format",CONT_TEA[[#This Row],[DateFrom]])="D1",0,1)+IF(CELL("format",CONT_TEA[[#This Row],[DateTo]])="D1",0,1)</f>
        <v>0</v>
      </c>
      <c r="U82" s="57">
        <f>IF(OR(CONT_TEA[[#This Row],[MatEditOnly]]=TRUE,CONT_TEA[[#This Row],[MatEditOnly]]=FALSE),IF(OR(CONT_TEA[[#This Row],[NoIncrement]]=TRUE,CONT_TEA[[#This Row],[NoIncrement]]=FALSE),0,1),1)</f>
        <v>0</v>
      </c>
      <c r="V82" s="57">
        <f>IF(ISBLANK(CONT_TEA[[#This Row],[FundCode]])=TRUE,0,IF(COUNTIF(FUNDS[FundCode],CONT_TEA[[#This Row],[FundCode]])=1,0,1))</f>
        <v>0</v>
      </c>
      <c r="W82" s="57">
        <f>IF(LEN(CONT_TEA[[#This Row],[Notes]])&lt;4000,0,1)</f>
        <v>0</v>
      </c>
      <c r="X82" s="57">
        <f>IF(SUBSTITUTE(TEXT(CONT_TEA[[#This Row],[Reference]],10)," ","")=TEXT(CONT_TEA[[#This Row],[Reference]],10),0,1)</f>
        <v>0</v>
      </c>
      <c r="Y82" s="57">
        <f ca="1">SUM(CONT_TEA[[#This Row],[Duplicate Contract]:[Space in Code]])</f>
        <v>1</v>
      </c>
      <c r="AA82" s="12" t="s">
        <v>2082</v>
      </c>
      <c r="AB82" s="15">
        <v>91073739</v>
      </c>
      <c r="AC82" s="12" t="s">
        <v>4431</v>
      </c>
      <c r="AD82" s="57" t="str">
        <f>_xlfn.XLOOKUP(CONT_TEA[[#This Row],[StaffMemberCode]],StaffMembers!O:O,StaffMembers!R:R)</f>
        <v>Francis Askew</v>
      </c>
      <c r="AE82" s="12" t="s">
        <v>1178</v>
      </c>
      <c r="AF82" s="57">
        <f>_xlfn.XLOOKUP(CONT_TEA[[#This Row],[SRG]],SRG[StaffRoleGroupCode],SRG[GrossSalaryFinanceCode])</f>
        <v>612100</v>
      </c>
      <c r="AG82" s="57" t="str">
        <f>_xlfn.XLOOKUP(CONT_TEA[[#This Row],[StaffRoleCode]],ROLES[StaffRoleCode],ROLES[StaffRoleGroupCode])</f>
        <v>TEA</v>
      </c>
      <c r="AH82" s="57" t="str">
        <f>_xlfn.XLOOKUP(CONT_TEA[[#This Row],[StaffRoleCode]],ROLES[StaffRoleCode],ROLES[PayScaleCode])</f>
        <v>MAIN</v>
      </c>
      <c r="AI82" s="12" t="s">
        <v>1126</v>
      </c>
      <c r="AJ82" s="12" t="s">
        <v>1745</v>
      </c>
      <c r="AK82" s="12" t="s">
        <v>2499</v>
      </c>
      <c r="AM82" s="68" t="s">
        <v>1147</v>
      </c>
      <c r="AN82" s="13" t="s">
        <v>1702</v>
      </c>
      <c r="AO82" s="21">
        <v>45901</v>
      </c>
      <c r="AQ82" s="12">
        <v>1</v>
      </c>
      <c r="AR82" t="b">
        <v>0</v>
      </c>
      <c r="AS82" t="b">
        <v>0</v>
      </c>
      <c r="AT82" s="12" t="s">
        <v>1574</v>
      </c>
    </row>
    <row r="83" spans="1:46" x14ac:dyDescent="0.3">
      <c r="A83" s="57" t="str">
        <f t="shared" si="1"/>
        <v>ALS9107372091073720ATEASTCH45901</v>
      </c>
      <c r="B83" s="57">
        <f>COUNTIF(CONT_TEA[Unique Contract],CONT_TEA[[#This Row],[Unique Contract]])-1</f>
        <v>0</v>
      </c>
      <c r="C83" s="57">
        <f>IFERROR(IF(FIND(CONT_TEA[[#This Row],[SchoolCode]],_xlfn.XLOOKUP(CONT_TEA[[#This Row],[StaffMemberCode]],MEMBERS[StaffMemberCode],MEMBERS[SchoolCodes]))&gt;0,0,1),1)</f>
        <v>0</v>
      </c>
      <c r="D83" s="57" cm="1">
        <f t="array" ref="D83">IF(_xlfn.XLOOKUP(CONT_TEA[[#This Row],[StaffRoleCode]],ROLES[StaffRoleCode],ROLES[AvailableToAllSchools],1,0,)=TRUE,0,IF(ISERROR(FIND(CONT_TEA[[#This Row],[SchoolCode]],_xlfn.TEXTJOIN(",",TRUE,_xlfn.UNIQUE(IF(ROLES[StaffRoleCode]=CONT_TEA[[#This Row],[StaffRoleCode]],ROLES[SchoolCodes],""))))),1,0))</f>
        <v>0</v>
      </c>
      <c r="E83" s="57" cm="1">
        <f t="array" ref="E8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83" s="57" cm="1">
        <f t="array" ref="F83">IF(_xlfn.XLOOKUP(CONT_TEA[[#This Row],[PayScaleCode]],PAYSCALES[PayScaleCode],PAYSCALES[AvailableToAllSchools],1,0,)=TRUE,0,IF(ISERROR(FIND(CONT_TEA[[#This Row],[SchoolCode]],_xlfn.TEXTJOIN(",",TRUE,_xlfn.UNIQUE(IF(PAYSCALES[PayScaleCode]=CONT_TEA[[#This Row],[PayScaleCode]],PAYSCALES[SchoolCodes],""))))),1,0))</f>
        <v>0</v>
      </c>
      <c r="G83" s="57">
        <f>IF(_xlfn.XLOOKUP(CONT_TEA[[#This Row],[PayScaleGradeCode]],GRADES[PayScaleGradeCode],GRADES[AvailableToAllSchools])=TRUE,0,IFERROR(IF(FIND(CONT_TEA[[#This Row],[SchoolCode]],_xlfn.XLOOKUP(CONT_TEA[[#This Row],[PayScaleGradeCode]],GRADES[PayScaleGradeCode],GRADES[SchoolCodes]))&gt;=1,0,1),1))</f>
        <v>0</v>
      </c>
      <c r="H83" s="57">
        <f>IF(ISERROR(IF((_xlfn.XLOOKUP(CONT_TEA[[#This Row],[PayScaleGradeCode]],GRADES[PayScaleGradeCode],GRADES[PayScaleCode])=CONT_TEA[[#This Row],[PayScaleCode]]),0,1)),1,0)</f>
        <v>0</v>
      </c>
      <c r="I83" s="57" cm="1">
        <f t="array" ref="I83">IF(ISERROR(FIND(CONT_TEA[[#This Row],[PayScalePointCode]],_xlfn.TEXTJOIN(",",TRUE,IF(PSPOINTS[PayScaleCode]=CONT_TEA[[#This Row],[PayScaleCode]],PSPOINTS[PayScalePointCode])))),1,0)</f>
        <v>0</v>
      </c>
      <c r="J83" s="57" cm="1">
        <f t="array" ref="J8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83" s="57">
        <f>IF(_xlfn.XLOOKUP(CONT_TEA[[#This Row],[PayScalePointCode]],PSPOINTS[PayScalePointCode],PSPOINTS[PayScalePointEnabled])=TRUE,0,1)</f>
        <v>0</v>
      </c>
      <c r="L83" s="57" cm="1">
        <f t="array" ref="L83">IF(_xlfn.XLOOKUP(CONT_TEA[[#This Row],[DepartmentCode]],DEPTS[DepartmentCode],DEPTS[AvailableToAllSchools],1,0,)=TRUE,0,IF(ISERROR(FIND(CONT_TEA[[#This Row],[SchoolCode]],_xlfn.TEXTJOIN(",",TRUE,_xlfn.UNIQUE(IF(DEPTS[DepartmentCode]=CONT_TEA[[#This Row],[DepartmentCode]],DEPTS[SchoolCodes],""))))),1,0))</f>
        <v>0</v>
      </c>
      <c r="M83" s="57">
        <f>IFERROR(IF(_xlfn.XLOOKUP(CONT_TEA[[#This Row],[SRG Gross]],FinanceCodesBudget[FinanceCode],FinanceCodesBudget[LedgerCode])=_xlfn.XLOOKUP(CONT_TEA[[#This Row],[DepartmentCode]],DEPTS[DepartmentCode],DEPTS[LedgerCode]),0,1),1)</f>
        <v>1</v>
      </c>
      <c r="N83" s="57" cm="1">
        <f t="array" ref="N83">IF(_xlfn.XLOOKUP(CONT_TEA[[#This Row],[PensionCode]],PENS[PensionCode],PENS[AvailableToAllSchools],1,0,)=TRUE,0,IF(ISERROR(FIND(CONT_TEA[[#This Row],[SchoolCode]],_xlfn.TEXTJOIN(",",TRUE,_xlfn.UNIQUE(IF(PENS[PensionCode]=CONT_TEA[[#This Row],[PensionCode]],PENS[SchoolCodes],""))))),1,0))</f>
        <v>0</v>
      </c>
      <c r="O83" s="57" cm="1">
        <f t="array" ref="O83">IF(_xlfn.XLOOKUP(CONT_TEA[[#This Row],[EquatedWeekPatternCode]],EQW[EquatedWeekPatternCode],EQW[AvailableToAllSchools],1,0,)=TRUE,0,IF(ISERROR(FIND(CONT_TEA[[#This Row],[SchoolCode]],_xlfn.TEXTJOIN(",",TRUE,_xlfn.UNIQUE(IF(EQW[EquatedWeekPatternCode]=CONT_TEA[[#This Row],[EquatedWeekPatternCode]],EQW[SchoolCodes],""))))),1,0))</f>
        <v>0</v>
      </c>
      <c r="P83" s="57">
        <f>1-COUNTIF(ContractTypes[Code],CONT_TEA[[#This Row],[ContractTypeCode]])</f>
        <v>0</v>
      </c>
      <c r="Q83" s="57">
        <f>IF(VLOOKUP(CONT_TEA[[#This Row],[StaffMemberCode]],MEMBERS[[StaffMemberCode]:[ServiceStartDate]],5,0)&gt;CONT_TEA[[#This Row],[DateFrom]],1,0)</f>
        <v>0</v>
      </c>
      <c r="R83" s="57">
        <f>IF(_xlfn.XLOOKUP(CONT_TEA[[#This Row],[StaffMemberCode]],MEMBERS[StaffMemberCode],MEMBERS[ServiceEndDate])="",0,IF(CONT_TEA[[#This Row],[DateTo]]="",1,IF(_xlfn.XLOOKUP(CONT_TEA[[#This Row],[StaffMemberCode]],MEMBERS[StaffMemberCode],MEMBERS[ServiceEndDate])&lt;CONT_TEA[[#This Row],[DateTo]],1,0)))</f>
        <v>0</v>
      </c>
      <c r="S83" s="57">
        <f>IF(ISBLANK(CONT_TEA[[#This Row],[DateTo]]),0,IF(CONT_TEA[[#This Row],[DateFrom]]=CONT_TEA[[#This Row],[DateTo]],0,IF(CONT_TEA[[#This Row],[DateFrom]]&lt;CONT_TEA[[#This Row],[DateTo]],0,1)))</f>
        <v>0</v>
      </c>
      <c r="T83" s="57" cm="1">
        <f t="array" aca="1" ref="T83" ca="1">IF(CELL("format",CONT_TEA[[#This Row],[DateFrom]])="D1",0,1)+IF(CELL("format",CONT_TEA[[#This Row],[DateTo]])="D1",0,1)</f>
        <v>0</v>
      </c>
      <c r="U83" s="57">
        <f>IF(OR(CONT_TEA[[#This Row],[MatEditOnly]]=TRUE,CONT_TEA[[#This Row],[MatEditOnly]]=FALSE),IF(OR(CONT_TEA[[#This Row],[NoIncrement]]=TRUE,CONT_TEA[[#This Row],[NoIncrement]]=FALSE),0,1),1)</f>
        <v>0</v>
      </c>
      <c r="V83" s="57">
        <f>IF(ISBLANK(CONT_TEA[[#This Row],[FundCode]])=TRUE,0,IF(COUNTIF(FUNDS[FundCode],CONT_TEA[[#This Row],[FundCode]])=1,0,1))</f>
        <v>0</v>
      </c>
      <c r="W83" s="57">
        <f>IF(LEN(CONT_TEA[[#This Row],[Notes]])&lt;4000,0,1)</f>
        <v>0</v>
      </c>
      <c r="X83" s="57">
        <f>IF(SUBSTITUTE(TEXT(CONT_TEA[[#This Row],[Reference]],10)," ","")=TEXT(CONT_TEA[[#This Row],[Reference]],10),0,1)</f>
        <v>0</v>
      </c>
      <c r="Y83" s="57">
        <f ca="1">SUM(CONT_TEA[[#This Row],[Duplicate Contract]:[Space in Code]])</f>
        <v>1</v>
      </c>
      <c r="AA83" s="12" t="s">
        <v>2082</v>
      </c>
      <c r="AB83" s="15">
        <v>91073720</v>
      </c>
      <c r="AC83" s="12" t="s">
        <v>4432</v>
      </c>
      <c r="AD83" s="57" t="str">
        <f>_xlfn.XLOOKUP(CONT_TEA[[#This Row],[StaffMemberCode]],StaffMembers!O:O,StaffMembers!R:R)</f>
        <v>Gemma Wilson</v>
      </c>
      <c r="AE83" s="12" t="s">
        <v>1178</v>
      </c>
      <c r="AF83" s="57">
        <f>_xlfn.XLOOKUP(CONT_TEA[[#This Row],[SRG]],SRG[StaffRoleGroupCode],SRG[GrossSalaryFinanceCode])</f>
        <v>612100</v>
      </c>
      <c r="AG83" s="57" t="str">
        <f>_xlfn.XLOOKUP(CONT_TEA[[#This Row],[StaffRoleCode]],ROLES[StaffRoleCode],ROLES[StaffRoleGroupCode])</f>
        <v>TEA</v>
      </c>
      <c r="AH83" s="57" t="str">
        <f>_xlfn.XLOOKUP(CONT_TEA[[#This Row],[StaffRoleCode]],ROLES[StaffRoleCode],ROLES[PayScaleCode])</f>
        <v>MAIN</v>
      </c>
      <c r="AI83" s="12" t="s">
        <v>1126</v>
      </c>
      <c r="AJ83" s="12" t="s">
        <v>1745</v>
      </c>
      <c r="AK83" s="12" t="s">
        <v>2499</v>
      </c>
      <c r="AM83" s="68" t="s">
        <v>1147</v>
      </c>
      <c r="AN83" s="13" t="s">
        <v>1702</v>
      </c>
      <c r="AO83" s="21">
        <v>45901</v>
      </c>
      <c r="AQ83" s="12">
        <v>0.8</v>
      </c>
      <c r="AR83" t="b">
        <v>0</v>
      </c>
      <c r="AS83" t="b">
        <v>0</v>
      </c>
      <c r="AT83" s="12" t="s">
        <v>1574</v>
      </c>
    </row>
    <row r="84" spans="1:46" x14ac:dyDescent="0.3">
      <c r="A84" s="57" t="str">
        <f t="shared" si="1"/>
        <v>ALS9107369291073692ATEASTCH45901</v>
      </c>
      <c r="B84" s="57">
        <f>COUNTIF(CONT_TEA[Unique Contract],CONT_TEA[[#This Row],[Unique Contract]])-1</f>
        <v>0</v>
      </c>
      <c r="C84" s="57">
        <f>IFERROR(IF(FIND(CONT_TEA[[#This Row],[SchoolCode]],_xlfn.XLOOKUP(CONT_TEA[[#This Row],[StaffMemberCode]],MEMBERS[StaffMemberCode],MEMBERS[SchoolCodes]))&gt;0,0,1),1)</f>
        <v>0</v>
      </c>
      <c r="D84" s="57" cm="1">
        <f t="array" ref="D84">IF(_xlfn.XLOOKUP(CONT_TEA[[#This Row],[StaffRoleCode]],ROLES[StaffRoleCode],ROLES[AvailableToAllSchools],1,0,)=TRUE,0,IF(ISERROR(FIND(CONT_TEA[[#This Row],[SchoolCode]],_xlfn.TEXTJOIN(",",TRUE,_xlfn.UNIQUE(IF(ROLES[StaffRoleCode]=CONT_TEA[[#This Row],[StaffRoleCode]],ROLES[SchoolCodes],""))))),1,0))</f>
        <v>0</v>
      </c>
      <c r="E84" s="57" cm="1">
        <f t="array" ref="E8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84" s="57" cm="1">
        <f t="array" ref="F84">IF(_xlfn.XLOOKUP(CONT_TEA[[#This Row],[PayScaleCode]],PAYSCALES[PayScaleCode],PAYSCALES[AvailableToAllSchools],1,0,)=TRUE,0,IF(ISERROR(FIND(CONT_TEA[[#This Row],[SchoolCode]],_xlfn.TEXTJOIN(",",TRUE,_xlfn.UNIQUE(IF(PAYSCALES[PayScaleCode]=CONT_TEA[[#This Row],[PayScaleCode]],PAYSCALES[SchoolCodes],""))))),1,0))</f>
        <v>0</v>
      </c>
      <c r="G84" s="57">
        <f>IF(_xlfn.XLOOKUP(CONT_TEA[[#This Row],[PayScaleGradeCode]],GRADES[PayScaleGradeCode],GRADES[AvailableToAllSchools])=TRUE,0,IFERROR(IF(FIND(CONT_TEA[[#This Row],[SchoolCode]],_xlfn.XLOOKUP(CONT_TEA[[#This Row],[PayScaleGradeCode]],GRADES[PayScaleGradeCode],GRADES[SchoolCodes]))&gt;=1,0,1),1))</f>
        <v>0</v>
      </c>
      <c r="H84" s="57">
        <f>IF(ISERROR(IF((_xlfn.XLOOKUP(CONT_TEA[[#This Row],[PayScaleGradeCode]],GRADES[PayScaleGradeCode],GRADES[PayScaleCode])=CONT_TEA[[#This Row],[PayScaleCode]]),0,1)),1,0)</f>
        <v>0</v>
      </c>
      <c r="I84" s="57" cm="1">
        <f t="array" ref="I84">IF(ISERROR(FIND(CONT_TEA[[#This Row],[PayScalePointCode]],_xlfn.TEXTJOIN(",",TRUE,IF(PSPOINTS[PayScaleCode]=CONT_TEA[[#This Row],[PayScaleCode]],PSPOINTS[PayScalePointCode])))),1,0)</f>
        <v>0</v>
      </c>
      <c r="J84" s="57" cm="1">
        <f t="array" ref="J8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84" s="57">
        <f>IF(_xlfn.XLOOKUP(CONT_TEA[[#This Row],[PayScalePointCode]],PSPOINTS[PayScalePointCode],PSPOINTS[PayScalePointEnabled])=TRUE,0,1)</f>
        <v>0</v>
      </c>
      <c r="L84" s="57" cm="1">
        <f t="array" ref="L84">IF(_xlfn.XLOOKUP(CONT_TEA[[#This Row],[DepartmentCode]],DEPTS[DepartmentCode],DEPTS[AvailableToAllSchools],1,0,)=TRUE,0,IF(ISERROR(FIND(CONT_TEA[[#This Row],[SchoolCode]],_xlfn.TEXTJOIN(",",TRUE,_xlfn.UNIQUE(IF(DEPTS[DepartmentCode]=CONT_TEA[[#This Row],[DepartmentCode]],DEPTS[SchoolCodes],""))))),1,0))</f>
        <v>0</v>
      </c>
      <c r="M84" s="57">
        <f>IFERROR(IF(_xlfn.XLOOKUP(CONT_TEA[[#This Row],[SRG Gross]],FinanceCodesBudget[FinanceCode],FinanceCodesBudget[LedgerCode])=_xlfn.XLOOKUP(CONT_TEA[[#This Row],[DepartmentCode]],DEPTS[DepartmentCode],DEPTS[LedgerCode]),0,1),1)</f>
        <v>1</v>
      </c>
      <c r="N84" s="57" cm="1">
        <f t="array" ref="N84">IF(_xlfn.XLOOKUP(CONT_TEA[[#This Row],[PensionCode]],PENS[PensionCode],PENS[AvailableToAllSchools],1,0,)=TRUE,0,IF(ISERROR(FIND(CONT_TEA[[#This Row],[SchoolCode]],_xlfn.TEXTJOIN(",",TRUE,_xlfn.UNIQUE(IF(PENS[PensionCode]=CONT_TEA[[#This Row],[PensionCode]],PENS[SchoolCodes],""))))),1,0))</f>
        <v>0</v>
      </c>
      <c r="O84" s="57" cm="1">
        <f t="array" ref="O84">IF(_xlfn.XLOOKUP(CONT_TEA[[#This Row],[EquatedWeekPatternCode]],EQW[EquatedWeekPatternCode],EQW[AvailableToAllSchools],1,0,)=TRUE,0,IF(ISERROR(FIND(CONT_TEA[[#This Row],[SchoolCode]],_xlfn.TEXTJOIN(",",TRUE,_xlfn.UNIQUE(IF(EQW[EquatedWeekPatternCode]=CONT_TEA[[#This Row],[EquatedWeekPatternCode]],EQW[SchoolCodes],""))))),1,0))</f>
        <v>0</v>
      </c>
      <c r="P84" s="57">
        <f>1-COUNTIF(ContractTypes[Code],CONT_TEA[[#This Row],[ContractTypeCode]])</f>
        <v>0</v>
      </c>
      <c r="Q84" s="57">
        <f>IF(VLOOKUP(CONT_TEA[[#This Row],[StaffMemberCode]],MEMBERS[[StaffMemberCode]:[ServiceStartDate]],5,0)&gt;CONT_TEA[[#This Row],[DateFrom]],1,0)</f>
        <v>0</v>
      </c>
      <c r="R84" s="57">
        <f>IF(_xlfn.XLOOKUP(CONT_TEA[[#This Row],[StaffMemberCode]],MEMBERS[StaffMemberCode],MEMBERS[ServiceEndDate])="",0,IF(CONT_TEA[[#This Row],[DateTo]]="",1,IF(_xlfn.XLOOKUP(CONT_TEA[[#This Row],[StaffMemberCode]],MEMBERS[StaffMemberCode],MEMBERS[ServiceEndDate])&lt;CONT_TEA[[#This Row],[DateTo]],1,0)))</f>
        <v>0</v>
      </c>
      <c r="S84" s="57">
        <f>IF(ISBLANK(CONT_TEA[[#This Row],[DateTo]]),0,IF(CONT_TEA[[#This Row],[DateFrom]]=CONT_TEA[[#This Row],[DateTo]],0,IF(CONT_TEA[[#This Row],[DateFrom]]&lt;CONT_TEA[[#This Row],[DateTo]],0,1)))</f>
        <v>0</v>
      </c>
      <c r="T84" s="57" cm="1">
        <f t="array" aca="1" ref="T84" ca="1">IF(CELL("format",CONT_TEA[[#This Row],[DateFrom]])="D1",0,1)+IF(CELL("format",CONT_TEA[[#This Row],[DateTo]])="D1",0,1)</f>
        <v>0</v>
      </c>
      <c r="U84" s="57">
        <f>IF(OR(CONT_TEA[[#This Row],[MatEditOnly]]=TRUE,CONT_TEA[[#This Row],[MatEditOnly]]=FALSE),IF(OR(CONT_TEA[[#This Row],[NoIncrement]]=TRUE,CONT_TEA[[#This Row],[NoIncrement]]=FALSE),0,1),1)</f>
        <v>0</v>
      </c>
      <c r="V84" s="57">
        <f>IF(ISBLANK(CONT_TEA[[#This Row],[FundCode]])=TRUE,0,IF(COUNTIF(FUNDS[FundCode],CONT_TEA[[#This Row],[FundCode]])=1,0,1))</f>
        <v>0</v>
      </c>
      <c r="W84" s="57">
        <f>IF(LEN(CONT_TEA[[#This Row],[Notes]])&lt;4000,0,1)</f>
        <v>0</v>
      </c>
      <c r="X84" s="57">
        <f>IF(SUBSTITUTE(TEXT(CONT_TEA[[#This Row],[Reference]],10)," ","")=TEXT(CONT_TEA[[#This Row],[Reference]],10),0,1)</f>
        <v>0</v>
      </c>
      <c r="Y84" s="57">
        <f ca="1">SUM(CONT_TEA[[#This Row],[Duplicate Contract]:[Space in Code]])</f>
        <v>1</v>
      </c>
      <c r="AA84" s="12" t="s">
        <v>2082</v>
      </c>
      <c r="AB84" s="15">
        <v>91073692</v>
      </c>
      <c r="AC84" s="12" t="s">
        <v>4433</v>
      </c>
      <c r="AD84" s="57" t="str">
        <f>_xlfn.XLOOKUP(CONT_TEA[[#This Row],[StaffMemberCode]],StaffMembers!O:O,StaffMembers!R:R)</f>
        <v>Jane Tucker</v>
      </c>
      <c r="AE84" s="12" t="s">
        <v>1178</v>
      </c>
      <c r="AF84" s="57">
        <f>_xlfn.XLOOKUP(CONT_TEA[[#This Row],[SRG]],SRG[StaffRoleGroupCode],SRG[GrossSalaryFinanceCode])</f>
        <v>612100</v>
      </c>
      <c r="AG84" s="57" t="str">
        <f>_xlfn.XLOOKUP(CONT_TEA[[#This Row],[StaffRoleCode]],ROLES[StaffRoleCode],ROLES[StaffRoleGroupCode])</f>
        <v>TEA</v>
      </c>
      <c r="AH84" s="57" t="str">
        <f>_xlfn.XLOOKUP(CONT_TEA[[#This Row],[StaffRoleCode]],ROLES[StaffRoleCode],ROLES[PayScaleCode])</f>
        <v>MAIN</v>
      </c>
      <c r="AI84" s="12" t="s">
        <v>1126</v>
      </c>
      <c r="AJ84" s="12" t="s">
        <v>1745</v>
      </c>
      <c r="AK84" s="12" t="s">
        <v>2499</v>
      </c>
      <c r="AM84" s="68" t="s">
        <v>1147</v>
      </c>
      <c r="AN84" s="13" t="s">
        <v>1702</v>
      </c>
      <c r="AO84" s="21">
        <v>45901</v>
      </c>
      <c r="AQ84" s="12">
        <v>1</v>
      </c>
      <c r="AR84" t="b">
        <v>0</v>
      </c>
      <c r="AS84" t="b">
        <v>0</v>
      </c>
      <c r="AT84" s="12" t="s">
        <v>1574</v>
      </c>
    </row>
    <row r="85" spans="1:46" x14ac:dyDescent="0.3">
      <c r="A85" s="57" t="str">
        <f t="shared" si="1"/>
        <v>BLS9107344391073443ATEASTCH45901</v>
      </c>
      <c r="B85" s="57">
        <f>COUNTIF(CONT_TEA[Unique Contract],CONT_TEA[[#This Row],[Unique Contract]])-1</f>
        <v>0</v>
      </c>
      <c r="C85" s="57">
        <f>IFERROR(IF(FIND(CONT_TEA[[#This Row],[SchoolCode]],_xlfn.XLOOKUP(CONT_TEA[[#This Row],[StaffMemberCode]],MEMBERS[StaffMemberCode],MEMBERS[SchoolCodes]))&gt;0,0,1),1)</f>
        <v>0</v>
      </c>
      <c r="D85" s="57" cm="1">
        <f t="array" ref="D85">IF(_xlfn.XLOOKUP(CONT_TEA[[#This Row],[StaffRoleCode]],ROLES[StaffRoleCode],ROLES[AvailableToAllSchools],1,0,)=TRUE,0,IF(ISERROR(FIND(CONT_TEA[[#This Row],[SchoolCode]],_xlfn.TEXTJOIN(",",TRUE,_xlfn.UNIQUE(IF(ROLES[StaffRoleCode]=CONT_TEA[[#This Row],[StaffRoleCode]],ROLES[SchoolCodes],""))))),1,0))</f>
        <v>0</v>
      </c>
      <c r="E85" s="57" cm="1">
        <f t="array" ref="E8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85" s="57" cm="1">
        <f t="array" ref="F85">IF(_xlfn.XLOOKUP(CONT_TEA[[#This Row],[PayScaleCode]],PAYSCALES[PayScaleCode],PAYSCALES[AvailableToAllSchools],1,0,)=TRUE,0,IF(ISERROR(FIND(CONT_TEA[[#This Row],[SchoolCode]],_xlfn.TEXTJOIN(",",TRUE,_xlfn.UNIQUE(IF(PAYSCALES[PayScaleCode]=CONT_TEA[[#This Row],[PayScaleCode]],PAYSCALES[SchoolCodes],""))))),1,0))</f>
        <v>0</v>
      </c>
      <c r="G85" s="57">
        <f>IF(_xlfn.XLOOKUP(CONT_TEA[[#This Row],[PayScaleGradeCode]],GRADES[PayScaleGradeCode],GRADES[AvailableToAllSchools])=TRUE,0,IFERROR(IF(FIND(CONT_TEA[[#This Row],[SchoolCode]],_xlfn.XLOOKUP(CONT_TEA[[#This Row],[PayScaleGradeCode]],GRADES[PayScaleGradeCode],GRADES[SchoolCodes]))&gt;=1,0,1),1))</f>
        <v>0</v>
      </c>
      <c r="H85" s="57">
        <f>IF(ISERROR(IF((_xlfn.XLOOKUP(CONT_TEA[[#This Row],[PayScaleGradeCode]],GRADES[PayScaleGradeCode],GRADES[PayScaleCode])=CONT_TEA[[#This Row],[PayScaleCode]]),0,1)),1,0)</f>
        <v>0</v>
      </c>
      <c r="I85" s="57" cm="1">
        <f t="array" ref="I85">IF(ISERROR(FIND(CONT_TEA[[#This Row],[PayScalePointCode]],_xlfn.TEXTJOIN(",",TRUE,IF(PSPOINTS[PayScaleCode]=CONT_TEA[[#This Row],[PayScaleCode]],PSPOINTS[PayScalePointCode])))),1,0)</f>
        <v>0</v>
      </c>
      <c r="J85" s="57" cm="1">
        <f t="array" ref="J8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85" s="57">
        <f>IF(_xlfn.XLOOKUP(CONT_TEA[[#This Row],[PayScalePointCode]],PSPOINTS[PayScalePointCode],PSPOINTS[PayScalePointEnabled])=TRUE,0,1)</f>
        <v>0</v>
      </c>
      <c r="L85" s="57" cm="1">
        <f t="array" ref="L85">IF(_xlfn.XLOOKUP(CONT_TEA[[#This Row],[DepartmentCode]],DEPTS[DepartmentCode],DEPTS[AvailableToAllSchools],1,0,)=TRUE,0,IF(ISERROR(FIND(CONT_TEA[[#This Row],[SchoolCode]],_xlfn.TEXTJOIN(",",TRUE,_xlfn.UNIQUE(IF(DEPTS[DepartmentCode]=CONT_TEA[[#This Row],[DepartmentCode]],DEPTS[SchoolCodes],""))))),1,0))</f>
        <v>0</v>
      </c>
      <c r="M85" s="57">
        <f>IFERROR(IF(_xlfn.XLOOKUP(CONT_TEA[[#This Row],[SRG Gross]],FinanceCodesBudget[FinanceCode],FinanceCodesBudget[LedgerCode])=_xlfn.XLOOKUP(CONT_TEA[[#This Row],[DepartmentCode]],DEPTS[DepartmentCode],DEPTS[LedgerCode]),0,1),1)</f>
        <v>1</v>
      </c>
      <c r="N85" s="57" cm="1">
        <f t="array" ref="N85">IF(_xlfn.XLOOKUP(CONT_TEA[[#This Row],[PensionCode]],PENS[PensionCode],PENS[AvailableToAllSchools],1,0,)=TRUE,0,IF(ISERROR(FIND(CONT_TEA[[#This Row],[SchoolCode]],_xlfn.TEXTJOIN(",",TRUE,_xlfn.UNIQUE(IF(PENS[PensionCode]=CONT_TEA[[#This Row],[PensionCode]],PENS[SchoolCodes],""))))),1,0))</f>
        <v>0</v>
      </c>
      <c r="O85" s="57" cm="1">
        <f t="array" ref="O85">IF(_xlfn.XLOOKUP(CONT_TEA[[#This Row],[EquatedWeekPatternCode]],EQW[EquatedWeekPatternCode],EQW[AvailableToAllSchools],1,0,)=TRUE,0,IF(ISERROR(FIND(CONT_TEA[[#This Row],[SchoolCode]],_xlfn.TEXTJOIN(",",TRUE,_xlfn.UNIQUE(IF(EQW[EquatedWeekPatternCode]=CONT_TEA[[#This Row],[EquatedWeekPatternCode]],EQW[SchoolCodes],""))))),1,0))</f>
        <v>0</v>
      </c>
      <c r="P85" s="57">
        <f>1-COUNTIF(ContractTypes[Code],CONT_TEA[[#This Row],[ContractTypeCode]])</f>
        <v>0</v>
      </c>
      <c r="Q85" s="57">
        <f>IF(VLOOKUP(CONT_TEA[[#This Row],[StaffMemberCode]],MEMBERS[[StaffMemberCode]:[ServiceStartDate]],5,0)&gt;CONT_TEA[[#This Row],[DateFrom]],1,0)</f>
        <v>0</v>
      </c>
      <c r="R85" s="57">
        <f>IF(_xlfn.XLOOKUP(CONT_TEA[[#This Row],[StaffMemberCode]],MEMBERS[StaffMemberCode],MEMBERS[ServiceEndDate])="",0,IF(CONT_TEA[[#This Row],[DateTo]]="",1,IF(_xlfn.XLOOKUP(CONT_TEA[[#This Row],[StaffMemberCode]],MEMBERS[StaffMemberCode],MEMBERS[ServiceEndDate])&lt;CONT_TEA[[#This Row],[DateTo]],1,0)))</f>
        <v>0</v>
      </c>
      <c r="S85" s="57">
        <f>IF(ISBLANK(CONT_TEA[[#This Row],[DateTo]]),0,IF(CONT_TEA[[#This Row],[DateFrom]]=CONT_TEA[[#This Row],[DateTo]],0,IF(CONT_TEA[[#This Row],[DateFrom]]&lt;CONT_TEA[[#This Row],[DateTo]],0,1)))</f>
        <v>0</v>
      </c>
      <c r="T85" s="57" cm="1">
        <f t="array" aca="1" ref="T85" ca="1">IF(CELL("format",CONT_TEA[[#This Row],[DateFrom]])="D1",0,1)+IF(CELL("format",CONT_TEA[[#This Row],[DateTo]])="D1",0,1)</f>
        <v>0</v>
      </c>
      <c r="U85" s="57">
        <f>IF(OR(CONT_TEA[[#This Row],[MatEditOnly]]=TRUE,CONT_TEA[[#This Row],[MatEditOnly]]=FALSE),IF(OR(CONT_TEA[[#This Row],[NoIncrement]]=TRUE,CONT_TEA[[#This Row],[NoIncrement]]=FALSE),0,1),1)</f>
        <v>0</v>
      </c>
      <c r="V85" s="57">
        <f>IF(ISBLANK(CONT_TEA[[#This Row],[FundCode]])=TRUE,0,IF(COUNTIF(FUNDS[FundCode],CONT_TEA[[#This Row],[FundCode]])=1,0,1))</f>
        <v>0</v>
      </c>
      <c r="W85" s="57">
        <f>IF(LEN(CONT_TEA[[#This Row],[Notes]])&lt;4000,0,1)</f>
        <v>0</v>
      </c>
      <c r="X85" s="57">
        <f>IF(SUBSTITUTE(TEXT(CONT_TEA[[#This Row],[Reference]],10)," ","")=TEXT(CONT_TEA[[#This Row],[Reference]],10),0,1)</f>
        <v>0</v>
      </c>
      <c r="Y85" s="57">
        <f ca="1">SUM(CONT_TEA[[#This Row],[Duplicate Contract]:[Space in Code]])</f>
        <v>1</v>
      </c>
      <c r="AA85" s="12" t="s">
        <v>2094</v>
      </c>
      <c r="AB85" s="15">
        <v>91073443</v>
      </c>
      <c r="AC85" s="12" t="s">
        <v>4434</v>
      </c>
      <c r="AD85" s="57" t="str">
        <f>_xlfn.XLOOKUP(CONT_TEA[[#This Row],[StaffMemberCode]],StaffMembers!O:O,StaffMembers!R:R)</f>
        <v>Jay Greaves</v>
      </c>
      <c r="AE85" s="12" t="s">
        <v>1178</v>
      </c>
      <c r="AF85" s="57">
        <f>_xlfn.XLOOKUP(CONT_TEA[[#This Row],[SRG]],SRG[StaffRoleGroupCode],SRG[GrossSalaryFinanceCode])</f>
        <v>612100</v>
      </c>
      <c r="AG85" s="57" t="str">
        <f>_xlfn.XLOOKUP(CONT_TEA[[#This Row],[StaffRoleCode]],ROLES[StaffRoleCode],ROLES[StaffRoleGroupCode])</f>
        <v>TEA</v>
      </c>
      <c r="AH85" s="57" t="str">
        <f>_xlfn.XLOOKUP(CONT_TEA[[#This Row],[StaffRoleCode]],ROLES[StaffRoleCode],ROLES[PayScaleCode])</f>
        <v>MAIN</v>
      </c>
      <c r="AI85" s="12" t="s">
        <v>1126</v>
      </c>
      <c r="AJ85" s="12" t="s">
        <v>1066</v>
      </c>
      <c r="AK85" s="12" t="s">
        <v>2499</v>
      </c>
      <c r="AM85" s="68" t="s">
        <v>1147</v>
      </c>
      <c r="AN85" s="13" t="s">
        <v>1702</v>
      </c>
      <c r="AO85" s="21">
        <v>45901</v>
      </c>
      <c r="AQ85" s="12">
        <v>1</v>
      </c>
      <c r="AR85" t="b">
        <v>0</v>
      </c>
      <c r="AS85" t="b">
        <v>0</v>
      </c>
      <c r="AT85" s="12" t="s">
        <v>1574</v>
      </c>
    </row>
    <row r="86" spans="1:46" x14ac:dyDescent="0.3">
      <c r="A86" s="57" t="str">
        <f t="shared" si="1"/>
        <v>ALS9132408191324081ATEASTCH45901</v>
      </c>
      <c r="B86" s="57">
        <f>COUNTIF(CONT_TEA[Unique Contract],CONT_TEA[[#This Row],[Unique Contract]])-1</f>
        <v>0</v>
      </c>
      <c r="C86" s="57">
        <f>IFERROR(IF(FIND(CONT_TEA[[#This Row],[SchoolCode]],_xlfn.XLOOKUP(CONT_TEA[[#This Row],[StaffMemberCode]],MEMBERS[StaffMemberCode],MEMBERS[SchoolCodes]))&gt;0,0,1),1)</f>
        <v>0</v>
      </c>
      <c r="D86" s="57" cm="1">
        <f t="array" ref="D86">IF(_xlfn.XLOOKUP(CONT_TEA[[#This Row],[StaffRoleCode]],ROLES[StaffRoleCode],ROLES[AvailableToAllSchools],1,0,)=TRUE,0,IF(ISERROR(FIND(CONT_TEA[[#This Row],[SchoolCode]],_xlfn.TEXTJOIN(",",TRUE,_xlfn.UNIQUE(IF(ROLES[StaffRoleCode]=CONT_TEA[[#This Row],[StaffRoleCode]],ROLES[SchoolCodes],""))))),1,0))</f>
        <v>0</v>
      </c>
      <c r="E86" s="57" cm="1">
        <f t="array" ref="E8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86" s="57" cm="1">
        <f t="array" ref="F86">IF(_xlfn.XLOOKUP(CONT_TEA[[#This Row],[PayScaleCode]],PAYSCALES[PayScaleCode],PAYSCALES[AvailableToAllSchools],1,0,)=TRUE,0,IF(ISERROR(FIND(CONT_TEA[[#This Row],[SchoolCode]],_xlfn.TEXTJOIN(",",TRUE,_xlfn.UNIQUE(IF(PAYSCALES[PayScaleCode]=CONT_TEA[[#This Row],[PayScaleCode]],PAYSCALES[SchoolCodes],""))))),1,0))</f>
        <v>0</v>
      </c>
      <c r="G86" s="57">
        <f>IF(_xlfn.XLOOKUP(CONT_TEA[[#This Row],[PayScaleGradeCode]],GRADES[PayScaleGradeCode],GRADES[AvailableToAllSchools])=TRUE,0,IFERROR(IF(FIND(CONT_TEA[[#This Row],[SchoolCode]],_xlfn.XLOOKUP(CONT_TEA[[#This Row],[PayScaleGradeCode]],GRADES[PayScaleGradeCode],GRADES[SchoolCodes]))&gt;=1,0,1),1))</f>
        <v>0</v>
      </c>
      <c r="H86" s="57">
        <f>IF(ISERROR(IF((_xlfn.XLOOKUP(CONT_TEA[[#This Row],[PayScaleGradeCode]],GRADES[PayScaleGradeCode],GRADES[PayScaleCode])=CONT_TEA[[#This Row],[PayScaleCode]]),0,1)),1,0)</f>
        <v>0</v>
      </c>
      <c r="I86" s="57" cm="1">
        <f t="array" ref="I86">IF(ISERROR(FIND(CONT_TEA[[#This Row],[PayScalePointCode]],_xlfn.TEXTJOIN(",",TRUE,IF(PSPOINTS[PayScaleCode]=CONT_TEA[[#This Row],[PayScaleCode]],PSPOINTS[PayScalePointCode])))),1,0)</f>
        <v>0</v>
      </c>
      <c r="J86" s="57" cm="1">
        <f t="array" ref="J8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86" s="57">
        <f>IF(_xlfn.XLOOKUP(CONT_TEA[[#This Row],[PayScalePointCode]],PSPOINTS[PayScalePointCode],PSPOINTS[PayScalePointEnabled])=TRUE,0,1)</f>
        <v>0</v>
      </c>
      <c r="L86" s="57" cm="1">
        <f t="array" ref="L86">IF(_xlfn.XLOOKUP(CONT_TEA[[#This Row],[DepartmentCode]],DEPTS[DepartmentCode],DEPTS[AvailableToAllSchools],1,0,)=TRUE,0,IF(ISERROR(FIND(CONT_TEA[[#This Row],[SchoolCode]],_xlfn.TEXTJOIN(",",TRUE,_xlfn.UNIQUE(IF(DEPTS[DepartmentCode]=CONT_TEA[[#This Row],[DepartmentCode]],DEPTS[SchoolCodes],""))))),1,0))</f>
        <v>0</v>
      </c>
      <c r="M86" s="57">
        <f>IFERROR(IF(_xlfn.XLOOKUP(CONT_TEA[[#This Row],[SRG Gross]],FinanceCodesBudget[FinanceCode],FinanceCodesBudget[LedgerCode])=_xlfn.XLOOKUP(CONT_TEA[[#This Row],[DepartmentCode]],DEPTS[DepartmentCode],DEPTS[LedgerCode]),0,1),1)</f>
        <v>1</v>
      </c>
      <c r="N86" s="57" cm="1">
        <f t="array" ref="N86">IF(_xlfn.XLOOKUP(CONT_TEA[[#This Row],[PensionCode]],PENS[PensionCode],PENS[AvailableToAllSchools],1,0,)=TRUE,0,IF(ISERROR(FIND(CONT_TEA[[#This Row],[SchoolCode]],_xlfn.TEXTJOIN(",",TRUE,_xlfn.UNIQUE(IF(PENS[PensionCode]=CONT_TEA[[#This Row],[PensionCode]],PENS[SchoolCodes],""))))),1,0))</f>
        <v>0</v>
      </c>
      <c r="O86" s="57" cm="1">
        <f t="array" ref="O86">IF(_xlfn.XLOOKUP(CONT_TEA[[#This Row],[EquatedWeekPatternCode]],EQW[EquatedWeekPatternCode],EQW[AvailableToAllSchools],1,0,)=TRUE,0,IF(ISERROR(FIND(CONT_TEA[[#This Row],[SchoolCode]],_xlfn.TEXTJOIN(",",TRUE,_xlfn.UNIQUE(IF(EQW[EquatedWeekPatternCode]=CONT_TEA[[#This Row],[EquatedWeekPatternCode]],EQW[SchoolCodes],""))))),1,0))</f>
        <v>0</v>
      </c>
      <c r="P86" s="57">
        <f>1-COUNTIF(ContractTypes[Code],CONT_TEA[[#This Row],[ContractTypeCode]])</f>
        <v>0</v>
      </c>
      <c r="Q86" s="57">
        <f>IF(VLOOKUP(CONT_TEA[[#This Row],[StaffMemberCode]],MEMBERS[[StaffMemberCode]:[ServiceStartDate]],5,0)&gt;CONT_TEA[[#This Row],[DateFrom]],1,0)</f>
        <v>0</v>
      </c>
      <c r="R86" s="57">
        <f>IF(_xlfn.XLOOKUP(CONT_TEA[[#This Row],[StaffMemberCode]],MEMBERS[StaffMemberCode],MEMBERS[ServiceEndDate])="",0,IF(CONT_TEA[[#This Row],[DateTo]]="",1,IF(_xlfn.XLOOKUP(CONT_TEA[[#This Row],[StaffMemberCode]],MEMBERS[StaffMemberCode],MEMBERS[ServiceEndDate])&lt;CONT_TEA[[#This Row],[DateTo]],1,0)))</f>
        <v>0</v>
      </c>
      <c r="S86" s="57">
        <f>IF(ISBLANK(CONT_TEA[[#This Row],[DateTo]]),0,IF(CONT_TEA[[#This Row],[DateFrom]]=CONT_TEA[[#This Row],[DateTo]],0,IF(CONT_TEA[[#This Row],[DateFrom]]&lt;CONT_TEA[[#This Row],[DateTo]],0,1)))</f>
        <v>0</v>
      </c>
      <c r="T86" s="57" cm="1">
        <f t="array" aca="1" ref="T86" ca="1">IF(CELL("format",CONT_TEA[[#This Row],[DateFrom]])="D1",0,1)+IF(CELL("format",CONT_TEA[[#This Row],[DateTo]])="D1",0,1)</f>
        <v>0</v>
      </c>
      <c r="U86" s="57">
        <f>IF(OR(CONT_TEA[[#This Row],[MatEditOnly]]=TRUE,CONT_TEA[[#This Row],[MatEditOnly]]=FALSE),IF(OR(CONT_TEA[[#This Row],[NoIncrement]]=TRUE,CONT_TEA[[#This Row],[NoIncrement]]=FALSE),0,1),1)</f>
        <v>0</v>
      </c>
      <c r="V86" s="57">
        <f>IF(ISBLANK(CONT_TEA[[#This Row],[FundCode]])=TRUE,0,IF(COUNTIF(FUNDS[FundCode],CONT_TEA[[#This Row],[FundCode]])=1,0,1))</f>
        <v>0</v>
      </c>
      <c r="W86" s="57">
        <f>IF(LEN(CONT_TEA[[#This Row],[Notes]])&lt;4000,0,1)</f>
        <v>0</v>
      </c>
      <c r="X86" s="57">
        <f>IF(SUBSTITUTE(TEXT(CONT_TEA[[#This Row],[Reference]],10)," ","")=TEXT(CONT_TEA[[#This Row],[Reference]],10),0,1)</f>
        <v>0</v>
      </c>
      <c r="Y86" s="57">
        <f ca="1">SUM(CONT_TEA[[#This Row],[Duplicate Contract]:[Space in Code]])</f>
        <v>1</v>
      </c>
      <c r="AA86" s="12" t="s">
        <v>2082</v>
      </c>
      <c r="AB86" s="15">
        <v>91324081</v>
      </c>
      <c r="AC86" s="12" t="s">
        <v>4435</v>
      </c>
      <c r="AD86" s="57" t="str">
        <f>_xlfn.XLOOKUP(CONT_TEA[[#This Row],[StaffMemberCode]],StaffMembers!O:O,StaffMembers!R:R)</f>
        <v>Jayde Holland</v>
      </c>
      <c r="AE86" s="12" t="s">
        <v>1178</v>
      </c>
      <c r="AF86" s="57">
        <f>_xlfn.XLOOKUP(CONT_TEA[[#This Row],[SRG]],SRG[StaffRoleGroupCode],SRG[GrossSalaryFinanceCode])</f>
        <v>612100</v>
      </c>
      <c r="AG86" s="57" t="str">
        <f>_xlfn.XLOOKUP(CONT_TEA[[#This Row],[StaffRoleCode]],ROLES[StaffRoleCode],ROLES[StaffRoleGroupCode])</f>
        <v>TEA</v>
      </c>
      <c r="AH86" s="57" t="str">
        <f>_xlfn.XLOOKUP(CONT_TEA[[#This Row],[StaffRoleCode]],ROLES[StaffRoleCode],ROLES[PayScaleCode])</f>
        <v>MAIN</v>
      </c>
      <c r="AI86" s="12" t="s">
        <v>1126</v>
      </c>
      <c r="AJ86" s="12" t="s">
        <v>1745</v>
      </c>
      <c r="AK86" s="12" t="s">
        <v>2499</v>
      </c>
      <c r="AM86" s="68" t="s">
        <v>1147</v>
      </c>
      <c r="AN86" s="13" t="s">
        <v>1702</v>
      </c>
      <c r="AO86" s="21">
        <v>45901</v>
      </c>
      <c r="AQ86" s="12">
        <v>1</v>
      </c>
      <c r="AR86" t="b">
        <v>0</v>
      </c>
      <c r="AS86" t="b">
        <v>0</v>
      </c>
      <c r="AT86" s="12" t="s">
        <v>1574</v>
      </c>
    </row>
    <row r="87" spans="1:46" x14ac:dyDescent="0.3">
      <c r="A87" s="57" t="str">
        <f t="shared" si="1"/>
        <v>ALS9107375991073759ATEASTCH45901</v>
      </c>
      <c r="B87" s="57">
        <f>COUNTIF(CONT_TEA[Unique Contract],CONT_TEA[[#This Row],[Unique Contract]])-1</f>
        <v>0</v>
      </c>
      <c r="C87" s="57">
        <f>IFERROR(IF(FIND(CONT_TEA[[#This Row],[SchoolCode]],_xlfn.XLOOKUP(CONT_TEA[[#This Row],[StaffMemberCode]],MEMBERS[StaffMemberCode],MEMBERS[SchoolCodes]))&gt;0,0,1),1)</f>
        <v>0</v>
      </c>
      <c r="D87" s="57" cm="1">
        <f t="array" ref="D87">IF(_xlfn.XLOOKUP(CONT_TEA[[#This Row],[StaffRoleCode]],ROLES[StaffRoleCode],ROLES[AvailableToAllSchools],1,0,)=TRUE,0,IF(ISERROR(FIND(CONT_TEA[[#This Row],[SchoolCode]],_xlfn.TEXTJOIN(",",TRUE,_xlfn.UNIQUE(IF(ROLES[StaffRoleCode]=CONT_TEA[[#This Row],[StaffRoleCode]],ROLES[SchoolCodes],""))))),1,0))</f>
        <v>0</v>
      </c>
      <c r="E87" s="57" cm="1">
        <f t="array" ref="E8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87" s="57" cm="1">
        <f t="array" ref="F87">IF(_xlfn.XLOOKUP(CONT_TEA[[#This Row],[PayScaleCode]],PAYSCALES[PayScaleCode],PAYSCALES[AvailableToAllSchools],1,0,)=TRUE,0,IF(ISERROR(FIND(CONT_TEA[[#This Row],[SchoolCode]],_xlfn.TEXTJOIN(",",TRUE,_xlfn.UNIQUE(IF(PAYSCALES[PayScaleCode]=CONT_TEA[[#This Row],[PayScaleCode]],PAYSCALES[SchoolCodes],""))))),1,0))</f>
        <v>0</v>
      </c>
      <c r="G87" s="57">
        <f>IF(_xlfn.XLOOKUP(CONT_TEA[[#This Row],[PayScaleGradeCode]],GRADES[PayScaleGradeCode],GRADES[AvailableToAllSchools])=TRUE,0,IFERROR(IF(FIND(CONT_TEA[[#This Row],[SchoolCode]],_xlfn.XLOOKUP(CONT_TEA[[#This Row],[PayScaleGradeCode]],GRADES[PayScaleGradeCode],GRADES[SchoolCodes]))&gt;=1,0,1),1))</f>
        <v>0</v>
      </c>
      <c r="H87" s="57">
        <f>IF(ISERROR(IF((_xlfn.XLOOKUP(CONT_TEA[[#This Row],[PayScaleGradeCode]],GRADES[PayScaleGradeCode],GRADES[PayScaleCode])=CONT_TEA[[#This Row],[PayScaleCode]]),0,1)),1,0)</f>
        <v>0</v>
      </c>
      <c r="I87" s="57" cm="1">
        <f t="array" ref="I87">IF(ISERROR(FIND(CONT_TEA[[#This Row],[PayScalePointCode]],_xlfn.TEXTJOIN(",",TRUE,IF(PSPOINTS[PayScaleCode]=CONT_TEA[[#This Row],[PayScaleCode]],PSPOINTS[PayScalePointCode])))),1,0)</f>
        <v>0</v>
      </c>
      <c r="J87" s="57" cm="1">
        <f t="array" ref="J8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87" s="57">
        <f>IF(_xlfn.XLOOKUP(CONT_TEA[[#This Row],[PayScalePointCode]],PSPOINTS[PayScalePointCode],PSPOINTS[PayScalePointEnabled])=TRUE,0,1)</f>
        <v>0</v>
      </c>
      <c r="L87" s="57" cm="1">
        <f t="array" ref="L87">IF(_xlfn.XLOOKUP(CONT_TEA[[#This Row],[DepartmentCode]],DEPTS[DepartmentCode],DEPTS[AvailableToAllSchools],1,0,)=TRUE,0,IF(ISERROR(FIND(CONT_TEA[[#This Row],[SchoolCode]],_xlfn.TEXTJOIN(",",TRUE,_xlfn.UNIQUE(IF(DEPTS[DepartmentCode]=CONT_TEA[[#This Row],[DepartmentCode]],DEPTS[SchoolCodes],""))))),1,0))</f>
        <v>0</v>
      </c>
      <c r="M87" s="57">
        <f>IFERROR(IF(_xlfn.XLOOKUP(CONT_TEA[[#This Row],[SRG Gross]],FinanceCodesBudget[FinanceCode],FinanceCodesBudget[LedgerCode])=_xlfn.XLOOKUP(CONT_TEA[[#This Row],[DepartmentCode]],DEPTS[DepartmentCode],DEPTS[LedgerCode]),0,1),1)</f>
        <v>1</v>
      </c>
      <c r="N87" s="57" cm="1">
        <f t="array" ref="N87">IF(_xlfn.XLOOKUP(CONT_TEA[[#This Row],[PensionCode]],PENS[PensionCode],PENS[AvailableToAllSchools],1,0,)=TRUE,0,IF(ISERROR(FIND(CONT_TEA[[#This Row],[SchoolCode]],_xlfn.TEXTJOIN(",",TRUE,_xlfn.UNIQUE(IF(PENS[PensionCode]=CONT_TEA[[#This Row],[PensionCode]],PENS[SchoolCodes],""))))),1,0))</f>
        <v>0</v>
      </c>
      <c r="O87" s="57" cm="1">
        <f t="array" ref="O87">IF(_xlfn.XLOOKUP(CONT_TEA[[#This Row],[EquatedWeekPatternCode]],EQW[EquatedWeekPatternCode],EQW[AvailableToAllSchools],1,0,)=TRUE,0,IF(ISERROR(FIND(CONT_TEA[[#This Row],[SchoolCode]],_xlfn.TEXTJOIN(",",TRUE,_xlfn.UNIQUE(IF(EQW[EquatedWeekPatternCode]=CONT_TEA[[#This Row],[EquatedWeekPatternCode]],EQW[SchoolCodes],""))))),1,0))</f>
        <v>0</v>
      </c>
      <c r="P87" s="57">
        <f>1-COUNTIF(ContractTypes[Code],CONT_TEA[[#This Row],[ContractTypeCode]])</f>
        <v>0</v>
      </c>
      <c r="Q87" s="57">
        <f>IF(VLOOKUP(CONT_TEA[[#This Row],[StaffMemberCode]],MEMBERS[[StaffMemberCode]:[ServiceStartDate]],5,0)&gt;CONT_TEA[[#This Row],[DateFrom]],1,0)</f>
        <v>0</v>
      </c>
      <c r="R87" s="57">
        <f>IF(_xlfn.XLOOKUP(CONT_TEA[[#This Row],[StaffMemberCode]],MEMBERS[StaffMemberCode],MEMBERS[ServiceEndDate])="",0,IF(CONT_TEA[[#This Row],[DateTo]]="",1,IF(_xlfn.XLOOKUP(CONT_TEA[[#This Row],[StaffMemberCode]],MEMBERS[StaffMemberCode],MEMBERS[ServiceEndDate])&lt;CONT_TEA[[#This Row],[DateTo]],1,0)))</f>
        <v>0</v>
      </c>
      <c r="S87" s="57">
        <f>IF(ISBLANK(CONT_TEA[[#This Row],[DateTo]]),0,IF(CONT_TEA[[#This Row],[DateFrom]]=CONT_TEA[[#This Row],[DateTo]],0,IF(CONT_TEA[[#This Row],[DateFrom]]&lt;CONT_TEA[[#This Row],[DateTo]],0,1)))</f>
        <v>0</v>
      </c>
      <c r="T87" s="57" cm="1">
        <f t="array" aca="1" ref="T87" ca="1">IF(CELL("format",CONT_TEA[[#This Row],[DateFrom]])="D1",0,1)+IF(CELL("format",CONT_TEA[[#This Row],[DateTo]])="D1",0,1)</f>
        <v>0</v>
      </c>
      <c r="U87" s="57">
        <f>IF(OR(CONT_TEA[[#This Row],[MatEditOnly]]=TRUE,CONT_TEA[[#This Row],[MatEditOnly]]=FALSE),IF(OR(CONT_TEA[[#This Row],[NoIncrement]]=TRUE,CONT_TEA[[#This Row],[NoIncrement]]=FALSE),0,1),1)</f>
        <v>0</v>
      </c>
      <c r="V87" s="57">
        <f>IF(ISBLANK(CONT_TEA[[#This Row],[FundCode]])=TRUE,0,IF(COUNTIF(FUNDS[FundCode],CONT_TEA[[#This Row],[FundCode]])=1,0,1))</f>
        <v>0</v>
      </c>
      <c r="W87" s="57">
        <f>IF(LEN(CONT_TEA[[#This Row],[Notes]])&lt;4000,0,1)</f>
        <v>0</v>
      </c>
      <c r="X87" s="57">
        <f>IF(SUBSTITUTE(TEXT(CONT_TEA[[#This Row],[Reference]],10)," ","")=TEXT(CONT_TEA[[#This Row],[Reference]],10),0,1)</f>
        <v>0</v>
      </c>
      <c r="Y87" s="57">
        <f ca="1">SUM(CONT_TEA[[#This Row],[Duplicate Contract]:[Space in Code]])</f>
        <v>1</v>
      </c>
      <c r="AA87" s="12" t="s">
        <v>2082</v>
      </c>
      <c r="AB87" s="15">
        <v>91073759</v>
      </c>
      <c r="AC87" s="12" t="s">
        <v>4436</v>
      </c>
      <c r="AD87" s="57" t="str">
        <f>_xlfn.XLOOKUP(CONT_TEA[[#This Row],[StaffMemberCode]],StaffMembers!O:O,StaffMembers!R:R)</f>
        <v>Jemma Smith</v>
      </c>
      <c r="AE87" s="12" t="s">
        <v>1178</v>
      </c>
      <c r="AF87" s="57">
        <f>_xlfn.XLOOKUP(CONT_TEA[[#This Row],[SRG]],SRG[StaffRoleGroupCode],SRG[GrossSalaryFinanceCode])</f>
        <v>612100</v>
      </c>
      <c r="AG87" s="57" t="str">
        <f>_xlfn.XLOOKUP(CONT_TEA[[#This Row],[StaffRoleCode]],ROLES[StaffRoleCode],ROLES[StaffRoleGroupCode])</f>
        <v>TEA</v>
      </c>
      <c r="AH87" s="57" t="str">
        <f>_xlfn.XLOOKUP(CONT_TEA[[#This Row],[StaffRoleCode]],ROLES[StaffRoleCode],ROLES[PayScaleCode])</f>
        <v>MAIN</v>
      </c>
      <c r="AI87" s="12" t="s">
        <v>1126</v>
      </c>
      <c r="AJ87" s="12" t="s">
        <v>1546</v>
      </c>
      <c r="AK87" s="12" t="s">
        <v>2499</v>
      </c>
      <c r="AM87" s="68" t="s">
        <v>1147</v>
      </c>
      <c r="AN87" s="13" t="s">
        <v>1702</v>
      </c>
      <c r="AO87" s="21">
        <v>45901</v>
      </c>
      <c r="AQ87" s="12">
        <v>1</v>
      </c>
      <c r="AR87" t="b">
        <v>0</v>
      </c>
      <c r="AS87" t="b">
        <v>0</v>
      </c>
      <c r="AT87" s="12" t="s">
        <v>1574</v>
      </c>
    </row>
    <row r="88" spans="1:46" x14ac:dyDescent="0.3">
      <c r="A88" s="57" t="str">
        <f t="shared" si="1"/>
        <v>BLS9107347491073474ATEASTCH45901</v>
      </c>
      <c r="B88" s="57">
        <f>COUNTIF(CONT_TEA[Unique Contract],CONT_TEA[[#This Row],[Unique Contract]])-1</f>
        <v>0</v>
      </c>
      <c r="C88" s="57">
        <f>IFERROR(IF(FIND(CONT_TEA[[#This Row],[SchoolCode]],_xlfn.XLOOKUP(CONT_TEA[[#This Row],[StaffMemberCode]],MEMBERS[StaffMemberCode],MEMBERS[SchoolCodes]))&gt;0,0,1),1)</f>
        <v>0</v>
      </c>
      <c r="D88" s="57" cm="1">
        <f t="array" ref="D88">IF(_xlfn.XLOOKUP(CONT_TEA[[#This Row],[StaffRoleCode]],ROLES[StaffRoleCode],ROLES[AvailableToAllSchools],1,0,)=TRUE,0,IF(ISERROR(FIND(CONT_TEA[[#This Row],[SchoolCode]],_xlfn.TEXTJOIN(",",TRUE,_xlfn.UNIQUE(IF(ROLES[StaffRoleCode]=CONT_TEA[[#This Row],[StaffRoleCode]],ROLES[SchoolCodes],""))))),1,0))</f>
        <v>0</v>
      </c>
      <c r="E88" s="57" cm="1">
        <f t="array" ref="E8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88" s="57" cm="1">
        <f t="array" ref="F88">IF(_xlfn.XLOOKUP(CONT_TEA[[#This Row],[PayScaleCode]],PAYSCALES[PayScaleCode],PAYSCALES[AvailableToAllSchools],1,0,)=TRUE,0,IF(ISERROR(FIND(CONT_TEA[[#This Row],[SchoolCode]],_xlfn.TEXTJOIN(",",TRUE,_xlfn.UNIQUE(IF(PAYSCALES[PayScaleCode]=CONT_TEA[[#This Row],[PayScaleCode]],PAYSCALES[SchoolCodes],""))))),1,0))</f>
        <v>0</v>
      </c>
      <c r="G88" s="57">
        <f>IF(_xlfn.XLOOKUP(CONT_TEA[[#This Row],[PayScaleGradeCode]],GRADES[PayScaleGradeCode],GRADES[AvailableToAllSchools])=TRUE,0,IFERROR(IF(FIND(CONT_TEA[[#This Row],[SchoolCode]],_xlfn.XLOOKUP(CONT_TEA[[#This Row],[PayScaleGradeCode]],GRADES[PayScaleGradeCode],GRADES[SchoolCodes]))&gt;=1,0,1),1))</f>
        <v>0</v>
      </c>
      <c r="H88" s="57">
        <f>IF(ISERROR(IF((_xlfn.XLOOKUP(CONT_TEA[[#This Row],[PayScaleGradeCode]],GRADES[PayScaleGradeCode],GRADES[PayScaleCode])=CONT_TEA[[#This Row],[PayScaleCode]]),0,1)),1,0)</f>
        <v>0</v>
      </c>
      <c r="I88" s="57" cm="1">
        <f t="array" ref="I88">IF(ISERROR(FIND(CONT_TEA[[#This Row],[PayScalePointCode]],_xlfn.TEXTJOIN(",",TRUE,IF(PSPOINTS[PayScaleCode]=CONT_TEA[[#This Row],[PayScaleCode]],PSPOINTS[PayScalePointCode])))),1,0)</f>
        <v>0</v>
      </c>
      <c r="J88" s="57" cm="1">
        <f t="array" ref="J8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88" s="57">
        <f>IF(_xlfn.XLOOKUP(CONT_TEA[[#This Row],[PayScalePointCode]],PSPOINTS[PayScalePointCode],PSPOINTS[PayScalePointEnabled])=TRUE,0,1)</f>
        <v>0</v>
      </c>
      <c r="L88" s="57" cm="1">
        <f t="array" ref="L88">IF(_xlfn.XLOOKUP(CONT_TEA[[#This Row],[DepartmentCode]],DEPTS[DepartmentCode],DEPTS[AvailableToAllSchools],1,0,)=TRUE,0,IF(ISERROR(FIND(CONT_TEA[[#This Row],[SchoolCode]],_xlfn.TEXTJOIN(",",TRUE,_xlfn.UNIQUE(IF(DEPTS[DepartmentCode]=CONT_TEA[[#This Row],[DepartmentCode]],DEPTS[SchoolCodes],""))))),1,0))</f>
        <v>0</v>
      </c>
      <c r="M88" s="57">
        <f>IFERROR(IF(_xlfn.XLOOKUP(CONT_TEA[[#This Row],[SRG Gross]],FinanceCodesBudget[FinanceCode],FinanceCodesBudget[LedgerCode])=_xlfn.XLOOKUP(CONT_TEA[[#This Row],[DepartmentCode]],DEPTS[DepartmentCode],DEPTS[LedgerCode]),0,1),1)</f>
        <v>1</v>
      </c>
      <c r="N88" s="57" cm="1">
        <f t="array" ref="N88">IF(_xlfn.XLOOKUP(CONT_TEA[[#This Row],[PensionCode]],PENS[PensionCode],PENS[AvailableToAllSchools],1,0,)=TRUE,0,IF(ISERROR(FIND(CONT_TEA[[#This Row],[SchoolCode]],_xlfn.TEXTJOIN(",",TRUE,_xlfn.UNIQUE(IF(PENS[PensionCode]=CONT_TEA[[#This Row],[PensionCode]],PENS[SchoolCodes],""))))),1,0))</f>
        <v>0</v>
      </c>
      <c r="O88" s="57" cm="1">
        <f t="array" ref="O88">IF(_xlfn.XLOOKUP(CONT_TEA[[#This Row],[EquatedWeekPatternCode]],EQW[EquatedWeekPatternCode],EQW[AvailableToAllSchools],1,0,)=TRUE,0,IF(ISERROR(FIND(CONT_TEA[[#This Row],[SchoolCode]],_xlfn.TEXTJOIN(",",TRUE,_xlfn.UNIQUE(IF(EQW[EquatedWeekPatternCode]=CONT_TEA[[#This Row],[EquatedWeekPatternCode]],EQW[SchoolCodes],""))))),1,0))</f>
        <v>0</v>
      </c>
      <c r="P88" s="57">
        <f>1-COUNTIF(ContractTypes[Code],CONT_TEA[[#This Row],[ContractTypeCode]])</f>
        <v>0</v>
      </c>
      <c r="Q88" s="57">
        <f>IF(VLOOKUP(CONT_TEA[[#This Row],[StaffMemberCode]],MEMBERS[[StaffMemberCode]:[ServiceStartDate]],5,0)&gt;CONT_TEA[[#This Row],[DateFrom]],1,0)</f>
        <v>0</v>
      </c>
      <c r="R88" s="57">
        <f>IF(_xlfn.XLOOKUP(CONT_TEA[[#This Row],[StaffMemberCode]],MEMBERS[StaffMemberCode],MEMBERS[ServiceEndDate])="",0,IF(CONT_TEA[[#This Row],[DateTo]]="",1,IF(_xlfn.XLOOKUP(CONT_TEA[[#This Row],[StaffMemberCode]],MEMBERS[StaffMemberCode],MEMBERS[ServiceEndDate])&lt;CONT_TEA[[#This Row],[DateTo]],1,0)))</f>
        <v>0</v>
      </c>
      <c r="S88" s="57">
        <f>IF(ISBLANK(CONT_TEA[[#This Row],[DateTo]]),0,IF(CONT_TEA[[#This Row],[DateFrom]]=CONT_TEA[[#This Row],[DateTo]],0,IF(CONT_TEA[[#This Row],[DateFrom]]&lt;CONT_TEA[[#This Row],[DateTo]],0,1)))</f>
        <v>0</v>
      </c>
      <c r="T88" s="57" cm="1">
        <f t="array" aca="1" ref="T88" ca="1">IF(CELL("format",CONT_TEA[[#This Row],[DateFrom]])="D1",0,1)+IF(CELL("format",CONT_TEA[[#This Row],[DateTo]])="D1",0,1)</f>
        <v>0</v>
      </c>
      <c r="U88" s="57">
        <f>IF(OR(CONT_TEA[[#This Row],[MatEditOnly]]=TRUE,CONT_TEA[[#This Row],[MatEditOnly]]=FALSE),IF(OR(CONT_TEA[[#This Row],[NoIncrement]]=TRUE,CONT_TEA[[#This Row],[NoIncrement]]=FALSE),0,1),1)</f>
        <v>0</v>
      </c>
      <c r="V88" s="57">
        <f>IF(ISBLANK(CONT_TEA[[#This Row],[FundCode]])=TRUE,0,IF(COUNTIF(FUNDS[FundCode],CONT_TEA[[#This Row],[FundCode]])=1,0,1))</f>
        <v>0</v>
      </c>
      <c r="W88" s="57">
        <f>IF(LEN(CONT_TEA[[#This Row],[Notes]])&lt;4000,0,1)</f>
        <v>0</v>
      </c>
      <c r="X88" s="57">
        <f>IF(SUBSTITUTE(TEXT(CONT_TEA[[#This Row],[Reference]],10)," ","")=TEXT(CONT_TEA[[#This Row],[Reference]],10),0,1)</f>
        <v>0</v>
      </c>
      <c r="Y88" s="57">
        <f ca="1">SUM(CONT_TEA[[#This Row],[Duplicate Contract]:[Space in Code]])</f>
        <v>1</v>
      </c>
      <c r="AA88" s="12" t="s">
        <v>2094</v>
      </c>
      <c r="AB88" s="15">
        <v>91073474</v>
      </c>
      <c r="AC88" s="12" t="s">
        <v>4437</v>
      </c>
      <c r="AD88" s="57" t="str">
        <f>_xlfn.XLOOKUP(CONT_TEA[[#This Row],[StaffMemberCode]],StaffMembers!O:O,StaffMembers!R:R)</f>
        <v>Jennifer Mooney</v>
      </c>
      <c r="AE88" s="12" t="s">
        <v>1178</v>
      </c>
      <c r="AF88" s="57">
        <f>_xlfn.XLOOKUP(CONT_TEA[[#This Row],[SRG]],SRG[StaffRoleGroupCode],SRG[GrossSalaryFinanceCode])</f>
        <v>612100</v>
      </c>
      <c r="AG88" s="57" t="str">
        <f>_xlfn.XLOOKUP(CONT_TEA[[#This Row],[StaffRoleCode]],ROLES[StaffRoleCode],ROLES[StaffRoleGroupCode])</f>
        <v>TEA</v>
      </c>
      <c r="AH88" s="57" t="str">
        <f>_xlfn.XLOOKUP(CONT_TEA[[#This Row],[StaffRoleCode]],ROLES[StaffRoleCode],ROLES[PayScaleCode])</f>
        <v>MAIN</v>
      </c>
      <c r="AI88" s="12" t="s">
        <v>1126</v>
      </c>
      <c r="AJ88" s="12" t="s">
        <v>1745</v>
      </c>
      <c r="AK88" s="12" t="s">
        <v>2499</v>
      </c>
      <c r="AM88" s="68" t="s">
        <v>1147</v>
      </c>
      <c r="AN88" s="13" t="s">
        <v>1702</v>
      </c>
      <c r="AO88" s="21">
        <v>45901</v>
      </c>
      <c r="AQ88" s="12">
        <v>0.8</v>
      </c>
      <c r="AR88" t="b">
        <v>0</v>
      </c>
      <c r="AS88" t="b">
        <v>0</v>
      </c>
      <c r="AT88" s="12" t="s">
        <v>1574</v>
      </c>
    </row>
    <row r="89" spans="1:46" x14ac:dyDescent="0.3">
      <c r="A89" s="57" t="str">
        <f t="shared" si="1"/>
        <v>ALS9107366691073666ATEASTCH45901</v>
      </c>
      <c r="B89" s="57">
        <f>COUNTIF(CONT_TEA[Unique Contract],CONT_TEA[[#This Row],[Unique Contract]])-1</f>
        <v>0</v>
      </c>
      <c r="C89" s="57">
        <f>IFERROR(IF(FIND(CONT_TEA[[#This Row],[SchoolCode]],_xlfn.XLOOKUP(CONT_TEA[[#This Row],[StaffMemberCode]],MEMBERS[StaffMemberCode],MEMBERS[SchoolCodes]))&gt;0,0,1),1)</f>
        <v>0</v>
      </c>
      <c r="D89" s="57" cm="1">
        <f t="array" ref="D89">IF(_xlfn.XLOOKUP(CONT_TEA[[#This Row],[StaffRoleCode]],ROLES[StaffRoleCode],ROLES[AvailableToAllSchools],1,0,)=TRUE,0,IF(ISERROR(FIND(CONT_TEA[[#This Row],[SchoolCode]],_xlfn.TEXTJOIN(",",TRUE,_xlfn.UNIQUE(IF(ROLES[StaffRoleCode]=CONT_TEA[[#This Row],[StaffRoleCode]],ROLES[SchoolCodes],""))))),1,0))</f>
        <v>0</v>
      </c>
      <c r="E89" s="57" cm="1">
        <f t="array" ref="E8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89" s="57" cm="1">
        <f t="array" ref="F89">IF(_xlfn.XLOOKUP(CONT_TEA[[#This Row],[PayScaleCode]],PAYSCALES[PayScaleCode],PAYSCALES[AvailableToAllSchools],1,0,)=TRUE,0,IF(ISERROR(FIND(CONT_TEA[[#This Row],[SchoolCode]],_xlfn.TEXTJOIN(",",TRUE,_xlfn.UNIQUE(IF(PAYSCALES[PayScaleCode]=CONT_TEA[[#This Row],[PayScaleCode]],PAYSCALES[SchoolCodes],""))))),1,0))</f>
        <v>0</v>
      </c>
      <c r="G89" s="57">
        <f>IF(_xlfn.XLOOKUP(CONT_TEA[[#This Row],[PayScaleGradeCode]],GRADES[PayScaleGradeCode],GRADES[AvailableToAllSchools])=TRUE,0,IFERROR(IF(FIND(CONT_TEA[[#This Row],[SchoolCode]],_xlfn.XLOOKUP(CONT_TEA[[#This Row],[PayScaleGradeCode]],GRADES[PayScaleGradeCode],GRADES[SchoolCodes]))&gt;=1,0,1),1))</f>
        <v>0</v>
      </c>
      <c r="H89" s="57">
        <f>IF(ISERROR(IF((_xlfn.XLOOKUP(CONT_TEA[[#This Row],[PayScaleGradeCode]],GRADES[PayScaleGradeCode],GRADES[PayScaleCode])=CONT_TEA[[#This Row],[PayScaleCode]]),0,1)),1,0)</f>
        <v>0</v>
      </c>
      <c r="I89" s="57" cm="1">
        <f t="array" ref="I89">IF(ISERROR(FIND(CONT_TEA[[#This Row],[PayScalePointCode]],_xlfn.TEXTJOIN(",",TRUE,IF(PSPOINTS[PayScaleCode]=CONT_TEA[[#This Row],[PayScaleCode]],PSPOINTS[PayScalePointCode])))),1,0)</f>
        <v>0</v>
      </c>
      <c r="J89" s="57" cm="1">
        <f t="array" ref="J8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89" s="57">
        <f>IF(_xlfn.XLOOKUP(CONT_TEA[[#This Row],[PayScalePointCode]],PSPOINTS[PayScalePointCode],PSPOINTS[PayScalePointEnabled])=TRUE,0,1)</f>
        <v>0</v>
      </c>
      <c r="L89" s="57" cm="1">
        <f t="array" ref="L89">IF(_xlfn.XLOOKUP(CONT_TEA[[#This Row],[DepartmentCode]],DEPTS[DepartmentCode],DEPTS[AvailableToAllSchools],1,0,)=TRUE,0,IF(ISERROR(FIND(CONT_TEA[[#This Row],[SchoolCode]],_xlfn.TEXTJOIN(",",TRUE,_xlfn.UNIQUE(IF(DEPTS[DepartmentCode]=CONT_TEA[[#This Row],[DepartmentCode]],DEPTS[SchoolCodes],""))))),1,0))</f>
        <v>0</v>
      </c>
      <c r="M89" s="57">
        <f>IFERROR(IF(_xlfn.XLOOKUP(CONT_TEA[[#This Row],[SRG Gross]],FinanceCodesBudget[FinanceCode],FinanceCodesBudget[LedgerCode])=_xlfn.XLOOKUP(CONT_TEA[[#This Row],[DepartmentCode]],DEPTS[DepartmentCode],DEPTS[LedgerCode]),0,1),1)</f>
        <v>1</v>
      </c>
      <c r="N89" s="57" cm="1">
        <f t="array" ref="N89">IF(_xlfn.XLOOKUP(CONT_TEA[[#This Row],[PensionCode]],PENS[PensionCode],PENS[AvailableToAllSchools],1,0,)=TRUE,0,IF(ISERROR(FIND(CONT_TEA[[#This Row],[SchoolCode]],_xlfn.TEXTJOIN(",",TRUE,_xlfn.UNIQUE(IF(PENS[PensionCode]=CONT_TEA[[#This Row],[PensionCode]],PENS[SchoolCodes],""))))),1,0))</f>
        <v>0</v>
      </c>
      <c r="O89" s="57" cm="1">
        <f t="array" ref="O89">IF(_xlfn.XLOOKUP(CONT_TEA[[#This Row],[EquatedWeekPatternCode]],EQW[EquatedWeekPatternCode],EQW[AvailableToAllSchools],1,0,)=TRUE,0,IF(ISERROR(FIND(CONT_TEA[[#This Row],[SchoolCode]],_xlfn.TEXTJOIN(",",TRUE,_xlfn.UNIQUE(IF(EQW[EquatedWeekPatternCode]=CONT_TEA[[#This Row],[EquatedWeekPatternCode]],EQW[SchoolCodes],""))))),1,0))</f>
        <v>0</v>
      </c>
      <c r="P89" s="57">
        <f>1-COUNTIF(ContractTypes[Code],CONT_TEA[[#This Row],[ContractTypeCode]])</f>
        <v>0</v>
      </c>
      <c r="Q89" s="57">
        <f>IF(VLOOKUP(CONT_TEA[[#This Row],[StaffMemberCode]],MEMBERS[[StaffMemberCode]:[ServiceStartDate]],5,0)&gt;CONT_TEA[[#This Row],[DateFrom]],1,0)</f>
        <v>0</v>
      </c>
      <c r="R89" s="57">
        <f>IF(_xlfn.XLOOKUP(CONT_TEA[[#This Row],[StaffMemberCode]],MEMBERS[StaffMemberCode],MEMBERS[ServiceEndDate])="",0,IF(CONT_TEA[[#This Row],[DateTo]]="",1,IF(_xlfn.XLOOKUP(CONT_TEA[[#This Row],[StaffMemberCode]],MEMBERS[StaffMemberCode],MEMBERS[ServiceEndDate])&lt;CONT_TEA[[#This Row],[DateTo]],1,0)))</f>
        <v>0</v>
      </c>
      <c r="S89" s="57">
        <f>IF(ISBLANK(CONT_TEA[[#This Row],[DateTo]]),0,IF(CONT_TEA[[#This Row],[DateFrom]]=CONT_TEA[[#This Row],[DateTo]],0,IF(CONT_TEA[[#This Row],[DateFrom]]&lt;CONT_TEA[[#This Row],[DateTo]],0,1)))</f>
        <v>0</v>
      </c>
      <c r="T89" s="57" cm="1">
        <f t="array" aca="1" ref="T89" ca="1">IF(CELL("format",CONT_TEA[[#This Row],[DateFrom]])="D1",0,1)+IF(CELL("format",CONT_TEA[[#This Row],[DateTo]])="D1",0,1)</f>
        <v>0</v>
      </c>
      <c r="U89" s="57">
        <f>IF(OR(CONT_TEA[[#This Row],[MatEditOnly]]=TRUE,CONT_TEA[[#This Row],[MatEditOnly]]=FALSE),IF(OR(CONT_TEA[[#This Row],[NoIncrement]]=TRUE,CONT_TEA[[#This Row],[NoIncrement]]=FALSE),0,1),1)</f>
        <v>0</v>
      </c>
      <c r="V89" s="57">
        <f>IF(ISBLANK(CONT_TEA[[#This Row],[FundCode]])=TRUE,0,IF(COUNTIF(FUNDS[FundCode],CONT_TEA[[#This Row],[FundCode]])=1,0,1))</f>
        <v>0</v>
      </c>
      <c r="W89" s="57">
        <f>IF(LEN(CONT_TEA[[#This Row],[Notes]])&lt;4000,0,1)</f>
        <v>0</v>
      </c>
      <c r="X89" s="57">
        <f>IF(SUBSTITUTE(TEXT(CONT_TEA[[#This Row],[Reference]],10)," ","")=TEXT(CONT_TEA[[#This Row],[Reference]],10),0,1)</f>
        <v>0</v>
      </c>
      <c r="Y89" s="57">
        <f ca="1">SUM(CONT_TEA[[#This Row],[Duplicate Contract]:[Space in Code]])</f>
        <v>1</v>
      </c>
      <c r="AA89" s="12" t="s">
        <v>2082</v>
      </c>
      <c r="AB89" s="15">
        <v>91073666</v>
      </c>
      <c r="AC89" s="12" t="s">
        <v>4438</v>
      </c>
      <c r="AD89" s="57" t="str">
        <f>_xlfn.XLOOKUP(CONT_TEA[[#This Row],[StaffMemberCode]],StaffMembers!O:O,StaffMembers!R:R)</f>
        <v>Kathryn Hey</v>
      </c>
      <c r="AE89" s="12" t="s">
        <v>1178</v>
      </c>
      <c r="AF89" s="57">
        <f>_xlfn.XLOOKUP(CONT_TEA[[#This Row],[SRG]],SRG[StaffRoleGroupCode],SRG[GrossSalaryFinanceCode])</f>
        <v>612100</v>
      </c>
      <c r="AG89" s="57" t="str">
        <f>_xlfn.XLOOKUP(CONT_TEA[[#This Row],[StaffRoleCode]],ROLES[StaffRoleCode],ROLES[StaffRoleGroupCode])</f>
        <v>TEA</v>
      </c>
      <c r="AH89" s="57" t="str">
        <f>_xlfn.XLOOKUP(CONT_TEA[[#This Row],[StaffRoleCode]],ROLES[StaffRoleCode],ROLES[PayScaleCode])</f>
        <v>MAIN</v>
      </c>
      <c r="AI89" s="12" t="s">
        <v>1126</v>
      </c>
      <c r="AJ89" s="12" t="s">
        <v>1745</v>
      </c>
      <c r="AK89" s="12" t="s">
        <v>2499</v>
      </c>
      <c r="AM89" s="68" t="s">
        <v>1147</v>
      </c>
      <c r="AN89" s="13" t="s">
        <v>1702</v>
      </c>
      <c r="AO89" s="21">
        <v>45901</v>
      </c>
      <c r="AQ89" s="12">
        <v>0.8</v>
      </c>
      <c r="AR89" t="b">
        <v>0</v>
      </c>
      <c r="AS89" t="b">
        <v>0</v>
      </c>
      <c r="AT89" s="12" t="s">
        <v>1574</v>
      </c>
    </row>
    <row r="90" spans="1:46" x14ac:dyDescent="0.3">
      <c r="A90" s="57" t="str">
        <f t="shared" ref="A90:A153" si="2">AA90&amp;AB90&amp;AC90&amp;AE90&amp;AK90&amp;AO90</f>
        <v>ALS9107375191073751ATEASTCH45901</v>
      </c>
      <c r="B90" s="57">
        <f>COUNTIF(CONT_TEA[Unique Contract],CONT_TEA[[#This Row],[Unique Contract]])-1</f>
        <v>0</v>
      </c>
      <c r="C90" s="57">
        <f>IFERROR(IF(FIND(CONT_TEA[[#This Row],[SchoolCode]],_xlfn.XLOOKUP(CONT_TEA[[#This Row],[StaffMemberCode]],MEMBERS[StaffMemberCode],MEMBERS[SchoolCodes]))&gt;0,0,1),1)</f>
        <v>0</v>
      </c>
      <c r="D90" s="57" cm="1">
        <f t="array" ref="D90">IF(_xlfn.XLOOKUP(CONT_TEA[[#This Row],[StaffRoleCode]],ROLES[StaffRoleCode],ROLES[AvailableToAllSchools],1,0,)=TRUE,0,IF(ISERROR(FIND(CONT_TEA[[#This Row],[SchoolCode]],_xlfn.TEXTJOIN(",",TRUE,_xlfn.UNIQUE(IF(ROLES[StaffRoleCode]=CONT_TEA[[#This Row],[StaffRoleCode]],ROLES[SchoolCodes],""))))),1,0))</f>
        <v>0</v>
      </c>
      <c r="E90" s="57" cm="1">
        <f t="array" ref="E9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90" s="57" cm="1">
        <f t="array" ref="F90">IF(_xlfn.XLOOKUP(CONT_TEA[[#This Row],[PayScaleCode]],PAYSCALES[PayScaleCode],PAYSCALES[AvailableToAllSchools],1,0,)=TRUE,0,IF(ISERROR(FIND(CONT_TEA[[#This Row],[SchoolCode]],_xlfn.TEXTJOIN(",",TRUE,_xlfn.UNIQUE(IF(PAYSCALES[PayScaleCode]=CONT_TEA[[#This Row],[PayScaleCode]],PAYSCALES[SchoolCodes],""))))),1,0))</f>
        <v>0</v>
      </c>
      <c r="G90" s="57">
        <f>IF(_xlfn.XLOOKUP(CONT_TEA[[#This Row],[PayScaleGradeCode]],GRADES[PayScaleGradeCode],GRADES[AvailableToAllSchools])=TRUE,0,IFERROR(IF(FIND(CONT_TEA[[#This Row],[SchoolCode]],_xlfn.XLOOKUP(CONT_TEA[[#This Row],[PayScaleGradeCode]],GRADES[PayScaleGradeCode],GRADES[SchoolCodes]))&gt;=1,0,1),1))</f>
        <v>0</v>
      </c>
      <c r="H90" s="57">
        <f>IF(ISERROR(IF((_xlfn.XLOOKUP(CONT_TEA[[#This Row],[PayScaleGradeCode]],GRADES[PayScaleGradeCode],GRADES[PayScaleCode])=CONT_TEA[[#This Row],[PayScaleCode]]),0,1)),1,0)</f>
        <v>0</v>
      </c>
      <c r="I90" s="57" cm="1">
        <f t="array" ref="I90">IF(ISERROR(FIND(CONT_TEA[[#This Row],[PayScalePointCode]],_xlfn.TEXTJOIN(",",TRUE,IF(PSPOINTS[PayScaleCode]=CONT_TEA[[#This Row],[PayScaleCode]],PSPOINTS[PayScalePointCode])))),1,0)</f>
        <v>0</v>
      </c>
      <c r="J90" s="57" cm="1">
        <f t="array" ref="J9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90" s="57">
        <f>IF(_xlfn.XLOOKUP(CONT_TEA[[#This Row],[PayScalePointCode]],PSPOINTS[PayScalePointCode],PSPOINTS[PayScalePointEnabled])=TRUE,0,1)</f>
        <v>0</v>
      </c>
      <c r="L90" s="57" cm="1">
        <f t="array" ref="L90">IF(_xlfn.XLOOKUP(CONT_TEA[[#This Row],[DepartmentCode]],DEPTS[DepartmentCode],DEPTS[AvailableToAllSchools],1,0,)=TRUE,0,IF(ISERROR(FIND(CONT_TEA[[#This Row],[SchoolCode]],_xlfn.TEXTJOIN(",",TRUE,_xlfn.UNIQUE(IF(DEPTS[DepartmentCode]=CONT_TEA[[#This Row],[DepartmentCode]],DEPTS[SchoolCodes],""))))),1,0))</f>
        <v>0</v>
      </c>
      <c r="M90" s="57">
        <f>IFERROR(IF(_xlfn.XLOOKUP(CONT_TEA[[#This Row],[SRG Gross]],FinanceCodesBudget[FinanceCode],FinanceCodesBudget[LedgerCode])=_xlfn.XLOOKUP(CONT_TEA[[#This Row],[DepartmentCode]],DEPTS[DepartmentCode],DEPTS[LedgerCode]),0,1),1)</f>
        <v>1</v>
      </c>
      <c r="N90" s="57" cm="1">
        <f t="array" ref="N90">IF(_xlfn.XLOOKUP(CONT_TEA[[#This Row],[PensionCode]],PENS[PensionCode],PENS[AvailableToAllSchools],1,0,)=TRUE,0,IF(ISERROR(FIND(CONT_TEA[[#This Row],[SchoolCode]],_xlfn.TEXTJOIN(",",TRUE,_xlfn.UNIQUE(IF(PENS[PensionCode]=CONT_TEA[[#This Row],[PensionCode]],PENS[SchoolCodes],""))))),1,0))</f>
        <v>0</v>
      </c>
      <c r="O90" s="57" cm="1">
        <f t="array" ref="O90">IF(_xlfn.XLOOKUP(CONT_TEA[[#This Row],[EquatedWeekPatternCode]],EQW[EquatedWeekPatternCode],EQW[AvailableToAllSchools],1,0,)=TRUE,0,IF(ISERROR(FIND(CONT_TEA[[#This Row],[SchoolCode]],_xlfn.TEXTJOIN(",",TRUE,_xlfn.UNIQUE(IF(EQW[EquatedWeekPatternCode]=CONT_TEA[[#This Row],[EquatedWeekPatternCode]],EQW[SchoolCodes],""))))),1,0))</f>
        <v>0</v>
      </c>
      <c r="P90" s="57">
        <f>1-COUNTIF(ContractTypes[Code],CONT_TEA[[#This Row],[ContractTypeCode]])</f>
        <v>0</v>
      </c>
      <c r="Q90" s="57">
        <f>IF(VLOOKUP(CONT_TEA[[#This Row],[StaffMemberCode]],MEMBERS[[StaffMemberCode]:[ServiceStartDate]],5,0)&gt;CONT_TEA[[#This Row],[DateFrom]],1,0)</f>
        <v>0</v>
      </c>
      <c r="R90" s="57">
        <f>IF(_xlfn.XLOOKUP(CONT_TEA[[#This Row],[StaffMemberCode]],MEMBERS[StaffMemberCode],MEMBERS[ServiceEndDate])="",0,IF(CONT_TEA[[#This Row],[DateTo]]="",1,IF(_xlfn.XLOOKUP(CONT_TEA[[#This Row],[StaffMemberCode]],MEMBERS[StaffMemberCode],MEMBERS[ServiceEndDate])&lt;CONT_TEA[[#This Row],[DateTo]],1,0)))</f>
        <v>0</v>
      </c>
      <c r="S90" s="57">
        <f>IF(ISBLANK(CONT_TEA[[#This Row],[DateTo]]),0,IF(CONT_TEA[[#This Row],[DateFrom]]=CONT_TEA[[#This Row],[DateTo]],0,IF(CONT_TEA[[#This Row],[DateFrom]]&lt;CONT_TEA[[#This Row],[DateTo]],0,1)))</f>
        <v>0</v>
      </c>
      <c r="T90" s="57" cm="1">
        <f t="array" aca="1" ref="T90" ca="1">IF(CELL("format",CONT_TEA[[#This Row],[DateFrom]])="D1",0,1)+IF(CELL("format",CONT_TEA[[#This Row],[DateTo]])="D1",0,1)</f>
        <v>0</v>
      </c>
      <c r="U90" s="57">
        <f>IF(OR(CONT_TEA[[#This Row],[MatEditOnly]]=TRUE,CONT_TEA[[#This Row],[MatEditOnly]]=FALSE),IF(OR(CONT_TEA[[#This Row],[NoIncrement]]=TRUE,CONT_TEA[[#This Row],[NoIncrement]]=FALSE),0,1),1)</f>
        <v>0</v>
      </c>
      <c r="V90" s="57">
        <f>IF(ISBLANK(CONT_TEA[[#This Row],[FundCode]])=TRUE,0,IF(COUNTIF(FUNDS[FundCode],CONT_TEA[[#This Row],[FundCode]])=1,0,1))</f>
        <v>0</v>
      </c>
      <c r="W90" s="57">
        <f>IF(LEN(CONT_TEA[[#This Row],[Notes]])&lt;4000,0,1)</f>
        <v>0</v>
      </c>
      <c r="X90" s="57">
        <f>IF(SUBSTITUTE(TEXT(CONT_TEA[[#This Row],[Reference]],10)," ","")=TEXT(CONT_TEA[[#This Row],[Reference]],10),0,1)</f>
        <v>0</v>
      </c>
      <c r="Y90" s="57">
        <f ca="1">SUM(CONT_TEA[[#This Row],[Duplicate Contract]:[Space in Code]])</f>
        <v>1</v>
      </c>
      <c r="AA90" s="12" t="s">
        <v>2082</v>
      </c>
      <c r="AB90" s="15">
        <v>91073751</v>
      </c>
      <c r="AC90" s="12" t="s">
        <v>4439</v>
      </c>
      <c r="AD90" s="57" t="str">
        <f>_xlfn.XLOOKUP(CONT_TEA[[#This Row],[StaffMemberCode]],StaffMembers!O:O,StaffMembers!R:R)</f>
        <v>Laura Carrigg</v>
      </c>
      <c r="AE90" s="12" t="s">
        <v>1178</v>
      </c>
      <c r="AF90" s="57">
        <f>_xlfn.XLOOKUP(CONT_TEA[[#This Row],[SRG]],SRG[StaffRoleGroupCode],SRG[GrossSalaryFinanceCode])</f>
        <v>612100</v>
      </c>
      <c r="AG90" s="57" t="str">
        <f>_xlfn.XLOOKUP(CONT_TEA[[#This Row],[StaffRoleCode]],ROLES[StaffRoleCode],ROLES[StaffRoleGroupCode])</f>
        <v>TEA</v>
      </c>
      <c r="AH90" s="57" t="str">
        <f>_xlfn.XLOOKUP(CONT_TEA[[#This Row],[StaffRoleCode]],ROLES[StaffRoleCode],ROLES[PayScaleCode])</f>
        <v>MAIN</v>
      </c>
      <c r="AI90" s="12" t="s">
        <v>1126</v>
      </c>
      <c r="AJ90" s="12" t="s">
        <v>3073</v>
      </c>
      <c r="AK90" s="12" t="s">
        <v>2499</v>
      </c>
      <c r="AM90" s="68" t="s">
        <v>1147</v>
      </c>
      <c r="AN90" s="13" t="s">
        <v>1702</v>
      </c>
      <c r="AO90" s="21">
        <v>45901</v>
      </c>
      <c r="AQ90" s="12">
        <v>0.8</v>
      </c>
      <c r="AR90" t="b">
        <v>0</v>
      </c>
      <c r="AS90" t="b">
        <v>0</v>
      </c>
      <c r="AT90" s="12" t="s">
        <v>1574</v>
      </c>
    </row>
    <row r="91" spans="1:46" x14ac:dyDescent="0.3">
      <c r="A91" s="57" t="str">
        <f t="shared" si="2"/>
        <v>ALS9107369391073693ATEASTCH45901</v>
      </c>
      <c r="B91" s="57">
        <f>COUNTIF(CONT_TEA[Unique Contract],CONT_TEA[[#This Row],[Unique Contract]])-1</f>
        <v>0</v>
      </c>
      <c r="C91" s="57">
        <f>IFERROR(IF(FIND(CONT_TEA[[#This Row],[SchoolCode]],_xlfn.XLOOKUP(CONT_TEA[[#This Row],[StaffMemberCode]],MEMBERS[StaffMemberCode],MEMBERS[SchoolCodes]))&gt;0,0,1),1)</f>
        <v>0</v>
      </c>
      <c r="D91" s="57" cm="1">
        <f t="array" ref="D91">IF(_xlfn.XLOOKUP(CONT_TEA[[#This Row],[StaffRoleCode]],ROLES[StaffRoleCode],ROLES[AvailableToAllSchools],1,0,)=TRUE,0,IF(ISERROR(FIND(CONT_TEA[[#This Row],[SchoolCode]],_xlfn.TEXTJOIN(",",TRUE,_xlfn.UNIQUE(IF(ROLES[StaffRoleCode]=CONT_TEA[[#This Row],[StaffRoleCode]],ROLES[SchoolCodes],""))))),1,0))</f>
        <v>0</v>
      </c>
      <c r="E91" s="57" cm="1">
        <f t="array" ref="E9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91" s="57" cm="1">
        <f t="array" ref="F91">IF(_xlfn.XLOOKUP(CONT_TEA[[#This Row],[PayScaleCode]],PAYSCALES[PayScaleCode],PAYSCALES[AvailableToAllSchools],1,0,)=TRUE,0,IF(ISERROR(FIND(CONT_TEA[[#This Row],[SchoolCode]],_xlfn.TEXTJOIN(",",TRUE,_xlfn.UNIQUE(IF(PAYSCALES[PayScaleCode]=CONT_TEA[[#This Row],[PayScaleCode]],PAYSCALES[SchoolCodes],""))))),1,0))</f>
        <v>0</v>
      </c>
      <c r="G91" s="57">
        <f>IF(_xlfn.XLOOKUP(CONT_TEA[[#This Row],[PayScaleGradeCode]],GRADES[PayScaleGradeCode],GRADES[AvailableToAllSchools])=TRUE,0,IFERROR(IF(FIND(CONT_TEA[[#This Row],[SchoolCode]],_xlfn.XLOOKUP(CONT_TEA[[#This Row],[PayScaleGradeCode]],GRADES[PayScaleGradeCode],GRADES[SchoolCodes]))&gt;=1,0,1),1))</f>
        <v>0</v>
      </c>
      <c r="H91" s="57">
        <f>IF(ISERROR(IF((_xlfn.XLOOKUP(CONT_TEA[[#This Row],[PayScaleGradeCode]],GRADES[PayScaleGradeCode],GRADES[PayScaleCode])=CONT_TEA[[#This Row],[PayScaleCode]]),0,1)),1,0)</f>
        <v>0</v>
      </c>
      <c r="I91" s="57" cm="1">
        <f t="array" ref="I91">IF(ISERROR(FIND(CONT_TEA[[#This Row],[PayScalePointCode]],_xlfn.TEXTJOIN(",",TRUE,IF(PSPOINTS[PayScaleCode]=CONT_TEA[[#This Row],[PayScaleCode]],PSPOINTS[PayScalePointCode])))),1,0)</f>
        <v>0</v>
      </c>
      <c r="J91" s="57" cm="1">
        <f t="array" ref="J9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91" s="57">
        <f>IF(_xlfn.XLOOKUP(CONT_TEA[[#This Row],[PayScalePointCode]],PSPOINTS[PayScalePointCode],PSPOINTS[PayScalePointEnabled])=TRUE,0,1)</f>
        <v>0</v>
      </c>
      <c r="L91" s="57" cm="1">
        <f t="array" ref="L91">IF(_xlfn.XLOOKUP(CONT_TEA[[#This Row],[DepartmentCode]],DEPTS[DepartmentCode],DEPTS[AvailableToAllSchools],1,0,)=TRUE,0,IF(ISERROR(FIND(CONT_TEA[[#This Row],[SchoolCode]],_xlfn.TEXTJOIN(",",TRUE,_xlfn.UNIQUE(IF(DEPTS[DepartmentCode]=CONT_TEA[[#This Row],[DepartmentCode]],DEPTS[SchoolCodes],""))))),1,0))</f>
        <v>0</v>
      </c>
      <c r="M91" s="57">
        <f>IFERROR(IF(_xlfn.XLOOKUP(CONT_TEA[[#This Row],[SRG Gross]],FinanceCodesBudget[FinanceCode],FinanceCodesBudget[LedgerCode])=_xlfn.XLOOKUP(CONT_TEA[[#This Row],[DepartmentCode]],DEPTS[DepartmentCode],DEPTS[LedgerCode]),0,1),1)</f>
        <v>1</v>
      </c>
      <c r="N91" s="57" cm="1">
        <f t="array" ref="N91">IF(_xlfn.XLOOKUP(CONT_TEA[[#This Row],[PensionCode]],PENS[PensionCode],PENS[AvailableToAllSchools],1,0,)=TRUE,0,IF(ISERROR(FIND(CONT_TEA[[#This Row],[SchoolCode]],_xlfn.TEXTJOIN(",",TRUE,_xlfn.UNIQUE(IF(PENS[PensionCode]=CONT_TEA[[#This Row],[PensionCode]],PENS[SchoolCodes],""))))),1,0))</f>
        <v>0</v>
      </c>
      <c r="O91" s="57" cm="1">
        <f t="array" ref="O91">IF(_xlfn.XLOOKUP(CONT_TEA[[#This Row],[EquatedWeekPatternCode]],EQW[EquatedWeekPatternCode],EQW[AvailableToAllSchools],1,0,)=TRUE,0,IF(ISERROR(FIND(CONT_TEA[[#This Row],[SchoolCode]],_xlfn.TEXTJOIN(",",TRUE,_xlfn.UNIQUE(IF(EQW[EquatedWeekPatternCode]=CONT_TEA[[#This Row],[EquatedWeekPatternCode]],EQW[SchoolCodes],""))))),1,0))</f>
        <v>0</v>
      </c>
      <c r="P91" s="57">
        <f>1-COUNTIF(ContractTypes[Code],CONT_TEA[[#This Row],[ContractTypeCode]])</f>
        <v>0</v>
      </c>
      <c r="Q91" s="57">
        <f>IF(VLOOKUP(CONT_TEA[[#This Row],[StaffMemberCode]],MEMBERS[[StaffMemberCode]:[ServiceStartDate]],5,0)&gt;CONT_TEA[[#This Row],[DateFrom]],1,0)</f>
        <v>0</v>
      </c>
      <c r="R91" s="57">
        <f>IF(_xlfn.XLOOKUP(CONT_TEA[[#This Row],[StaffMemberCode]],MEMBERS[StaffMemberCode],MEMBERS[ServiceEndDate])="",0,IF(CONT_TEA[[#This Row],[DateTo]]="",1,IF(_xlfn.XLOOKUP(CONT_TEA[[#This Row],[StaffMemberCode]],MEMBERS[StaffMemberCode],MEMBERS[ServiceEndDate])&lt;CONT_TEA[[#This Row],[DateTo]],1,0)))</f>
        <v>0</v>
      </c>
      <c r="S91" s="57">
        <f>IF(ISBLANK(CONT_TEA[[#This Row],[DateTo]]),0,IF(CONT_TEA[[#This Row],[DateFrom]]=CONT_TEA[[#This Row],[DateTo]],0,IF(CONT_TEA[[#This Row],[DateFrom]]&lt;CONT_TEA[[#This Row],[DateTo]],0,1)))</f>
        <v>0</v>
      </c>
      <c r="T91" s="57" cm="1">
        <f t="array" aca="1" ref="T91" ca="1">IF(CELL("format",CONT_TEA[[#This Row],[DateFrom]])="D1",0,1)+IF(CELL("format",CONT_TEA[[#This Row],[DateTo]])="D1",0,1)</f>
        <v>0</v>
      </c>
      <c r="U91" s="57">
        <f>IF(OR(CONT_TEA[[#This Row],[MatEditOnly]]=TRUE,CONT_TEA[[#This Row],[MatEditOnly]]=FALSE),IF(OR(CONT_TEA[[#This Row],[NoIncrement]]=TRUE,CONT_TEA[[#This Row],[NoIncrement]]=FALSE),0,1),1)</f>
        <v>0</v>
      </c>
      <c r="V91" s="57">
        <f>IF(ISBLANK(CONT_TEA[[#This Row],[FundCode]])=TRUE,0,IF(COUNTIF(FUNDS[FundCode],CONT_TEA[[#This Row],[FundCode]])=1,0,1))</f>
        <v>0</v>
      </c>
      <c r="W91" s="57">
        <f>IF(LEN(CONT_TEA[[#This Row],[Notes]])&lt;4000,0,1)</f>
        <v>0</v>
      </c>
      <c r="X91" s="57">
        <f>IF(SUBSTITUTE(TEXT(CONT_TEA[[#This Row],[Reference]],10)," ","")=TEXT(CONT_TEA[[#This Row],[Reference]],10),0,1)</f>
        <v>0</v>
      </c>
      <c r="Y91" s="57">
        <f ca="1">SUM(CONT_TEA[[#This Row],[Duplicate Contract]:[Space in Code]])</f>
        <v>1</v>
      </c>
      <c r="AA91" s="12" t="s">
        <v>2082</v>
      </c>
      <c r="AB91" s="15">
        <v>91073693</v>
      </c>
      <c r="AC91" s="12" t="s">
        <v>4440</v>
      </c>
      <c r="AD91" s="57" t="str">
        <f>_xlfn.XLOOKUP(CONT_TEA[[#This Row],[StaffMemberCode]],StaffMembers!O:O,StaffMembers!R:R)</f>
        <v>Lisa Donathy</v>
      </c>
      <c r="AE91" s="12" t="s">
        <v>1178</v>
      </c>
      <c r="AF91" s="57">
        <f>_xlfn.XLOOKUP(CONT_TEA[[#This Row],[SRG]],SRG[StaffRoleGroupCode],SRG[GrossSalaryFinanceCode])</f>
        <v>612100</v>
      </c>
      <c r="AG91" s="57" t="str">
        <f>_xlfn.XLOOKUP(CONT_TEA[[#This Row],[StaffRoleCode]],ROLES[StaffRoleCode],ROLES[StaffRoleGroupCode])</f>
        <v>TEA</v>
      </c>
      <c r="AH91" s="57" t="str">
        <f>_xlfn.XLOOKUP(CONT_TEA[[#This Row],[StaffRoleCode]],ROLES[StaffRoleCode],ROLES[PayScaleCode])</f>
        <v>MAIN</v>
      </c>
      <c r="AI91" s="12" t="s">
        <v>1126</v>
      </c>
      <c r="AJ91" s="12" t="s">
        <v>1745</v>
      </c>
      <c r="AK91" s="12" t="s">
        <v>2499</v>
      </c>
      <c r="AM91" s="68" t="s">
        <v>1147</v>
      </c>
      <c r="AN91" s="13" t="s">
        <v>1702</v>
      </c>
      <c r="AO91" s="21">
        <v>45901</v>
      </c>
      <c r="AQ91" s="12">
        <v>0.9</v>
      </c>
      <c r="AR91" t="b">
        <v>0</v>
      </c>
      <c r="AS91" t="b">
        <v>0</v>
      </c>
      <c r="AT91" s="12" t="s">
        <v>1574</v>
      </c>
    </row>
    <row r="92" spans="1:46" x14ac:dyDescent="0.3">
      <c r="A92" s="57" t="str">
        <f t="shared" si="2"/>
        <v>ALS9107376391073763ATEASTCH45901</v>
      </c>
      <c r="B92" s="57">
        <f>COUNTIF(CONT_TEA[Unique Contract],CONT_TEA[[#This Row],[Unique Contract]])-1</f>
        <v>0</v>
      </c>
      <c r="C92" s="57">
        <f>IFERROR(IF(FIND(CONT_TEA[[#This Row],[SchoolCode]],_xlfn.XLOOKUP(CONT_TEA[[#This Row],[StaffMemberCode]],MEMBERS[StaffMemberCode],MEMBERS[SchoolCodes]))&gt;0,0,1),1)</f>
        <v>0</v>
      </c>
      <c r="D92" s="57" cm="1">
        <f t="array" ref="D92">IF(_xlfn.XLOOKUP(CONT_TEA[[#This Row],[StaffRoleCode]],ROLES[StaffRoleCode],ROLES[AvailableToAllSchools],1,0,)=TRUE,0,IF(ISERROR(FIND(CONT_TEA[[#This Row],[SchoolCode]],_xlfn.TEXTJOIN(",",TRUE,_xlfn.UNIQUE(IF(ROLES[StaffRoleCode]=CONT_TEA[[#This Row],[StaffRoleCode]],ROLES[SchoolCodes],""))))),1,0))</f>
        <v>0</v>
      </c>
      <c r="E92" s="57" cm="1">
        <f t="array" ref="E9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92" s="57" cm="1">
        <f t="array" ref="F92">IF(_xlfn.XLOOKUP(CONT_TEA[[#This Row],[PayScaleCode]],PAYSCALES[PayScaleCode],PAYSCALES[AvailableToAllSchools],1,0,)=TRUE,0,IF(ISERROR(FIND(CONT_TEA[[#This Row],[SchoolCode]],_xlfn.TEXTJOIN(",",TRUE,_xlfn.UNIQUE(IF(PAYSCALES[PayScaleCode]=CONT_TEA[[#This Row],[PayScaleCode]],PAYSCALES[SchoolCodes],""))))),1,0))</f>
        <v>0</v>
      </c>
      <c r="G92" s="57">
        <f>IF(_xlfn.XLOOKUP(CONT_TEA[[#This Row],[PayScaleGradeCode]],GRADES[PayScaleGradeCode],GRADES[AvailableToAllSchools])=TRUE,0,IFERROR(IF(FIND(CONT_TEA[[#This Row],[SchoolCode]],_xlfn.XLOOKUP(CONT_TEA[[#This Row],[PayScaleGradeCode]],GRADES[PayScaleGradeCode],GRADES[SchoolCodes]))&gt;=1,0,1),1))</f>
        <v>0</v>
      </c>
      <c r="H92" s="57">
        <f>IF(ISERROR(IF((_xlfn.XLOOKUP(CONT_TEA[[#This Row],[PayScaleGradeCode]],GRADES[PayScaleGradeCode],GRADES[PayScaleCode])=CONT_TEA[[#This Row],[PayScaleCode]]),0,1)),1,0)</f>
        <v>0</v>
      </c>
      <c r="I92" s="57" cm="1">
        <f t="array" ref="I92">IF(ISERROR(FIND(CONT_TEA[[#This Row],[PayScalePointCode]],_xlfn.TEXTJOIN(",",TRUE,IF(PSPOINTS[PayScaleCode]=CONT_TEA[[#This Row],[PayScaleCode]],PSPOINTS[PayScalePointCode])))),1,0)</f>
        <v>0</v>
      </c>
      <c r="J92" s="57" cm="1">
        <f t="array" ref="J9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92" s="57">
        <f>IF(_xlfn.XLOOKUP(CONT_TEA[[#This Row],[PayScalePointCode]],PSPOINTS[PayScalePointCode],PSPOINTS[PayScalePointEnabled])=TRUE,0,1)</f>
        <v>0</v>
      </c>
      <c r="L92" s="57" cm="1">
        <f t="array" ref="L92">IF(_xlfn.XLOOKUP(CONT_TEA[[#This Row],[DepartmentCode]],DEPTS[DepartmentCode],DEPTS[AvailableToAllSchools],1,0,)=TRUE,0,IF(ISERROR(FIND(CONT_TEA[[#This Row],[SchoolCode]],_xlfn.TEXTJOIN(",",TRUE,_xlfn.UNIQUE(IF(DEPTS[DepartmentCode]=CONT_TEA[[#This Row],[DepartmentCode]],DEPTS[SchoolCodes],""))))),1,0))</f>
        <v>0</v>
      </c>
      <c r="M92" s="57">
        <f>IFERROR(IF(_xlfn.XLOOKUP(CONT_TEA[[#This Row],[SRG Gross]],FinanceCodesBudget[FinanceCode],FinanceCodesBudget[LedgerCode])=_xlfn.XLOOKUP(CONT_TEA[[#This Row],[DepartmentCode]],DEPTS[DepartmentCode],DEPTS[LedgerCode]),0,1),1)</f>
        <v>1</v>
      </c>
      <c r="N92" s="57" cm="1">
        <f t="array" ref="N92">IF(_xlfn.XLOOKUP(CONT_TEA[[#This Row],[PensionCode]],PENS[PensionCode],PENS[AvailableToAllSchools],1,0,)=TRUE,0,IF(ISERROR(FIND(CONT_TEA[[#This Row],[SchoolCode]],_xlfn.TEXTJOIN(",",TRUE,_xlfn.UNIQUE(IF(PENS[PensionCode]=CONT_TEA[[#This Row],[PensionCode]],PENS[SchoolCodes],""))))),1,0))</f>
        <v>0</v>
      </c>
      <c r="O92" s="57" cm="1">
        <f t="array" ref="O92">IF(_xlfn.XLOOKUP(CONT_TEA[[#This Row],[EquatedWeekPatternCode]],EQW[EquatedWeekPatternCode],EQW[AvailableToAllSchools],1,0,)=TRUE,0,IF(ISERROR(FIND(CONT_TEA[[#This Row],[SchoolCode]],_xlfn.TEXTJOIN(",",TRUE,_xlfn.UNIQUE(IF(EQW[EquatedWeekPatternCode]=CONT_TEA[[#This Row],[EquatedWeekPatternCode]],EQW[SchoolCodes],""))))),1,0))</f>
        <v>0</v>
      </c>
      <c r="P92" s="57">
        <f>1-COUNTIF(ContractTypes[Code],CONT_TEA[[#This Row],[ContractTypeCode]])</f>
        <v>0</v>
      </c>
      <c r="Q92" s="57">
        <f>IF(VLOOKUP(CONT_TEA[[#This Row],[StaffMemberCode]],MEMBERS[[StaffMemberCode]:[ServiceStartDate]],5,0)&gt;CONT_TEA[[#This Row],[DateFrom]],1,0)</f>
        <v>0</v>
      </c>
      <c r="R92" s="57">
        <f>IF(_xlfn.XLOOKUP(CONT_TEA[[#This Row],[StaffMemberCode]],MEMBERS[StaffMemberCode],MEMBERS[ServiceEndDate])="",0,IF(CONT_TEA[[#This Row],[DateTo]]="",1,IF(_xlfn.XLOOKUP(CONT_TEA[[#This Row],[StaffMemberCode]],MEMBERS[StaffMemberCode],MEMBERS[ServiceEndDate])&lt;CONT_TEA[[#This Row],[DateTo]],1,0)))</f>
        <v>0</v>
      </c>
      <c r="S92" s="57">
        <f>IF(ISBLANK(CONT_TEA[[#This Row],[DateTo]]),0,IF(CONT_TEA[[#This Row],[DateFrom]]=CONT_TEA[[#This Row],[DateTo]],0,IF(CONT_TEA[[#This Row],[DateFrom]]&lt;CONT_TEA[[#This Row],[DateTo]],0,1)))</f>
        <v>0</v>
      </c>
      <c r="T92" s="57" cm="1">
        <f t="array" aca="1" ref="T92" ca="1">IF(CELL("format",CONT_TEA[[#This Row],[DateFrom]])="D1",0,1)+IF(CELL("format",CONT_TEA[[#This Row],[DateTo]])="D1",0,1)</f>
        <v>0</v>
      </c>
      <c r="U92" s="57">
        <f>IF(OR(CONT_TEA[[#This Row],[MatEditOnly]]=TRUE,CONT_TEA[[#This Row],[MatEditOnly]]=FALSE),IF(OR(CONT_TEA[[#This Row],[NoIncrement]]=TRUE,CONT_TEA[[#This Row],[NoIncrement]]=FALSE),0,1),1)</f>
        <v>0</v>
      </c>
      <c r="V92" s="57">
        <f>IF(ISBLANK(CONT_TEA[[#This Row],[FundCode]])=TRUE,0,IF(COUNTIF(FUNDS[FundCode],CONT_TEA[[#This Row],[FundCode]])=1,0,1))</f>
        <v>0</v>
      </c>
      <c r="W92" s="57">
        <f>IF(LEN(CONT_TEA[[#This Row],[Notes]])&lt;4000,0,1)</f>
        <v>0</v>
      </c>
      <c r="X92" s="57">
        <f>IF(SUBSTITUTE(TEXT(CONT_TEA[[#This Row],[Reference]],10)," ","")=TEXT(CONT_TEA[[#This Row],[Reference]],10),0,1)</f>
        <v>0</v>
      </c>
      <c r="Y92" s="57">
        <f ca="1">SUM(CONT_TEA[[#This Row],[Duplicate Contract]:[Space in Code]])</f>
        <v>1</v>
      </c>
      <c r="AA92" s="12" t="s">
        <v>2082</v>
      </c>
      <c r="AB92" s="15">
        <v>91073763</v>
      </c>
      <c r="AC92" s="12" t="s">
        <v>4441</v>
      </c>
      <c r="AD92" s="57" t="str">
        <f>_xlfn.XLOOKUP(CONT_TEA[[#This Row],[StaffMemberCode]],StaffMembers!O:O,StaffMembers!R:R)</f>
        <v>Sarah Skingle</v>
      </c>
      <c r="AE92" s="12" t="s">
        <v>1178</v>
      </c>
      <c r="AF92" s="57">
        <f>_xlfn.XLOOKUP(CONT_TEA[[#This Row],[SRG]],SRG[StaffRoleGroupCode],SRG[GrossSalaryFinanceCode])</f>
        <v>612100</v>
      </c>
      <c r="AG92" s="57" t="str">
        <f>_xlfn.XLOOKUP(CONT_TEA[[#This Row],[StaffRoleCode]],ROLES[StaffRoleCode],ROLES[StaffRoleGroupCode])</f>
        <v>TEA</v>
      </c>
      <c r="AH92" s="57" t="str">
        <f>_xlfn.XLOOKUP(CONT_TEA[[#This Row],[StaffRoleCode]],ROLES[StaffRoleCode],ROLES[PayScaleCode])</f>
        <v>MAIN</v>
      </c>
      <c r="AI92" s="12" t="s">
        <v>1126</v>
      </c>
      <c r="AJ92" s="12" t="s">
        <v>1745</v>
      </c>
      <c r="AK92" s="12" t="s">
        <v>2499</v>
      </c>
      <c r="AM92" s="68" t="s">
        <v>1147</v>
      </c>
      <c r="AN92" s="13" t="s">
        <v>1702</v>
      </c>
      <c r="AO92" s="21">
        <v>45901</v>
      </c>
      <c r="AQ92" s="12">
        <v>1</v>
      </c>
      <c r="AR92" t="b">
        <v>0</v>
      </c>
      <c r="AS92" t="b">
        <v>0</v>
      </c>
      <c r="AT92" s="12" t="s">
        <v>1574</v>
      </c>
    </row>
    <row r="93" spans="1:46" x14ac:dyDescent="0.3">
      <c r="A93" s="57" t="str">
        <f t="shared" si="2"/>
        <v>ALS9107367291073672ATEASTCH45901</v>
      </c>
      <c r="B93" s="57">
        <f>COUNTIF(CONT_TEA[Unique Contract],CONT_TEA[[#This Row],[Unique Contract]])-1</f>
        <v>0</v>
      </c>
      <c r="C93" s="57">
        <f>IFERROR(IF(FIND(CONT_TEA[[#This Row],[SchoolCode]],_xlfn.XLOOKUP(CONT_TEA[[#This Row],[StaffMemberCode]],MEMBERS[StaffMemberCode],MEMBERS[SchoolCodes]))&gt;0,0,1),1)</f>
        <v>0</v>
      </c>
      <c r="D93" s="57" cm="1">
        <f t="array" ref="D93">IF(_xlfn.XLOOKUP(CONT_TEA[[#This Row],[StaffRoleCode]],ROLES[StaffRoleCode],ROLES[AvailableToAllSchools],1,0,)=TRUE,0,IF(ISERROR(FIND(CONT_TEA[[#This Row],[SchoolCode]],_xlfn.TEXTJOIN(",",TRUE,_xlfn.UNIQUE(IF(ROLES[StaffRoleCode]=CONT_TEA[[#This Row],[StaffRoleCode]],ROLES[SchoolCodes],""))))),1,0))</f>
        <v>0</v>
      </c>
      <c r="E93" s="57" cm="1">
        <f t="array" ref="E9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93" s="57" cm="1">
        <f t="array" ref="F93">IF(_xlfn.XLOOKUP(CONT_TEA[[#This Row],[PayScaleCode]],PAYSCALES[PayScaleCode],PAYSCALES[AvailableToAllSchools],1,0,)=TRUE,0,IF(ISERROR(FIND(CONT_TEA[[#This Row],[SchoolCode]],_xlfn.TEXTJOIN(",",TRUE,_xlfn.UNIQUE(IF(PAYSCALES[PayScaleCode]=CONT_TEA[[#This Row],[PayScaleCode]],PAYSCALES[SchoolCodes],""))))),1,0))</f>
        <v>0</v>
      </c>
      <c r="G93" s="57">
        <f>IF(_xlfn.XLOOKUP(CONT_TEA[[#This Row],[PayScaleGradeCode]],GRADES[PayScaleGradeCode],GRADES[AvailableToAllSchools])=TRUE,0,IFERROR(IF(FIND(CONT_TEA[[#This Row],[SchoolCode]],_xlfn.XLOOKUP(CONT_TEA[[#This Row],[PayScaleGradeCode]],GRADES[PayScaleGradeCode],GRADES[SchoolCodes]))&gt;=1,0,1),1))</f>
        <v>0</v>
      </c>
      <c r="H93" s="57">
        <f>IF(ISERROR(IF((_xlfn.XLOOKUP(CONT_TEA[[#This Row],[PayScaleGradeCode]],GRADES[PayScaleGradeCode],GRADES[PayScaleCode])=CONT_TEA[[#This Row],[PayScaleCode]]),0,1)),1,0)</f>
        <v>0</v>
      </c>
      <c r="I93" s="57" cm="1">
        <f t="array" ref="I93">IF(ISERROR(FIND(CONT_TEA[[#This Row],[PayScalePointCode]],_xlfn.TEXTJOIN(",",TRUE,IF(PSPOINTS[PayScaleCode]=CONT_TEA[[#This Row],[PayScaleCode]],PSPOINTS[PayScalePointCode])))),1,0)</f>
        <v>0</v>
      </c>
      <c r="J93" s="57" cm="1">
        <f t="array" ref="J9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93" s="57">
        <f>IF(_xlfn.XLOOKUP(CONT_TEA[[#This Row],[PayScalePointCode]],PSPOINTS[PayScalePointCode],PSPOINTS[PayScalePointEnabled])=TRUE,0,1)</f>
        <v>0</v>
      </c>
      <c r="L93" s="57" cm="1">
        <f t="array" ref="L93">IF(_xlfn.XLOOKUP(CONT_TEA[[#This Row],[DepartmentCode]],DEPTS[DepartmentCode],DEPTS[AvailableToAllSchools],1,0,)=TRUE,0,IF(ISERROR(FIND(CONT_TEA[[#This Row],[SchoolCode]],_xlfn.TEXTJOIN(",",TRUE,_xlfn.UNIQUE(IF(DEPTS[DepartmentCode]=CONT_TEA[[#This Row],[DepartmentCode]],DEPTS[SchoolCodes],""))))),1,0))</f>
        <v>0</v>
      </c>
      <c r="M93" s="57">
        <f>IFERROR(IF(_xlfn.XLOOKUP(CONT_TEA[[#This Row],[SRG Gross]],FinanceCodesBudget[FinanceCode],FinanceCodesBudget[LedgerCode])=_xlfn.XLOOKUP(CONT_TEA[[#This Row],[DepartmentCode]],DEPTS[DepartmentCode],DEPTS[LedgerCode]),0,1),1)</f>
        <v>1</v>
      </c>
      <c r="N93" s="57" cm="1">
        <f t="array" ref="N93">IF(_xlfn.XLOOKUP(CONT_TEA[[#This Row],[PensionCode]],PENS[PensionCode],PENS[AvailableToAllSchools],1,0,)=TRUE,0,IF(ISERROR(FIND(CONT_TEA[[#This Row],[SchoolCode]],_xlfn.TEXTJOIN(",",TRUE,_xlfn.UNIQUE(IF(PENS[PensionCode]=CONT_TEA[[#This Row],[PensionCode]],PENS[SchoolCodes],""))))),1,0))</f>
        <v>0</v>
      </c>
      <c r="O93" s="57" cm="1">
        <f t="array" ref="O93">IF(_xlfn.XLOOKUP(CONT_TEA[[#This Row],[EquatedWeekPatternCode]],EQW[EquatedWeekPatternCode],EQW[AvailableToAllSchools],1,0,)=TRUE,0,IF(ISERROR(FIND(CONT_TEA[[#This Row],[SchoolCode]],_xlfn.TEXTJOIN(",",TRUE,_xlfn.UNIQUE(IF(EQW[EquatedWeekPatternCode]=CONT_TEA[[#This Row],[EquatedWeekPatternCode]],EQW[SchoolCodes],""))))),1,0))</f>
        <v>0</v>
      </c>
      <c r="P93" s="57">
        <f>1-COUNTIF(ContractTypes[Code],CONT_TEA[[#This Row],[ContractTypeCode]])</f>
        <v>0</v>
      </c>
      <c r="Q93" s="57">
        <f>IF(VLOOKUP(CONT_TEA[[#This Row],[StaffMemberCode]],MEMBERS[[StaffMemberCode]:[ServiceStartDate]],5,0)&gt;CONT_TEA[[#This Row],[DateFrom]],1,0)</f>
        <v>0</v>
      </c>
      <c r="R93" s="57">
        <f>IF(_xlfn.XLOOKUP(CONT_TEA[[#This Row],[StaffMemberCode]],MEMBERS[StaffMemberCode],MEMBERS[ServiceEndDate])="",0,IF(CONT_TEA[[#This Row],[DateTo]]="",1,IF(_xlfn.XLOOKUP(CONT_TEA[[#This Row],[StaffMemberCode]],MEMBERS[StaffMemberCode],MEMBERS[ServiceEndDate])&lt;CONT_TEA[[#This Row],[DateTo]],1,0)))</f>
        <v>0</v>
      </c>
      <c r="S93" s="57">
        <f>IF(ISBLANK(CONT_TEA[[#This Row],[DateTo]]),0,IF(CONT_TEA[[#This Row],[DateFrom]]=CONT_TEA[[#This Row],[DateTo]],0,IF(CONT_TEA[[#This Row],[DateFrom]]&lt;CONT_TEA[[#This Row],[DateTo]],0,1)))</f>
        <v>0</v>
      </c>
      <c r="T93" s="57" cm="1">
        <f t="array" aca="1" ref="T93" ca="1">IF(CELL("format",CONT_TEA[[#This Row],[DateFrom]])="D1",0,1)+IF(CELL("format",CONT_TEA[[#This Row],[DateTo]])="D1",0,1)</f>
        <v>0</v>
      </c>
      <c r="U93" s="57">
        <f>IF(OR(CONT_TEA[[#This Row],[MatEditOnly]]=TRUE,CONT_TEA[[#This Row],[MatEditOnly]]=FALSE),IF(OR(CONT_TEA[[#This Row],[NoIncrement]]=TRUE,CONT_TEA[[#This Row],[NoIncrement]]=FALSE),0,1),1)</f>
        <v>0</v>
      </c>
      <c r="V93" s="57">
        <f>IF(ISBLANK(CONT_TEA[[#This Row],[FundCode]])=TRUE,0,IF(COUNTIF(FUNDS[FundCode],CONT_TEA[[#This Row],[FundCode]])=1,0,1))</f>
        <v>0</v>
      </c>
      <c r="W93" s="57">
        <f>IF(LEN(CONT_TEA[[#This Row],[Notes]])&lt;4000,0,1)</f>
        <v>0</v>
      </c>
      <c r="X93" s="57">
        <f>IF(SUBSTITUTE(TEXT(CONT_TEA[[#This Row],[Reference]],10)," ","")=TEXT(CONT_TEA[[#This Row],[Reference]],10),0,1)</f>
        <v>0</v>
      </c>
      <c r="Y93" s="57">
        <f ca="1">SUM(CONT_TEA[[#This Row],[Duplicate Contract]:[Space in Code]])</f>
        <v>1</v>
      </c>
      <c r="AA93" s="12" t="s">
        <v>2082</v>
      </c>
      <c r="AB93" s="15">
        <v>91073672</v>
      </c>
      <c r="AC93" s="12" t="s">
        <v>4442</v>
      </c>
      <c r="AD93" s="57" t="str">
        <f>_xlfn.XLOOKUP(CONT_TEA[[#This Row],[StaffMemberCode]],StaffMembers!O:O,StaffMembers!R:R)</f>
        <v>Sonja Hollins-Wright</v>
      </c>
      <c r="AE93" s="12" t="s">
        <v>1178</v>
      </c>
      <c r="AF93" s="57">
        <f>_xlfn.XLOOKUP(CONT_TEA[[#This Row],[SRG]],SRG[StaffRoleGroupCode],SRG[GrossSalaryFinanceCode])</f>
        <v>612100</v>
      </c>
      <c r="AG93" s="57" t="str">
        <f>_xlfn.XLOOKUP(CONT_TEA[[#This Row],[StaffRoleCode]],ROLES[StaffRoleCode],ROLES[StaffRoleGroupCode])</f>
        <v>TEA</v>
      </c>
      <c r="AH93" s="57" t="str">
        <f>_xlfn.XLOOKUP(CONT_TEA[[#This Row],[StaffRoleCode]],ROLES[StaffRoleCode],ROLES[PayScaleCode])</f>
        <v>MAIN</v>
      </c>
      <c r="AI93" s="12" t="s">
        <v>1126</v>
      </c>
      <c r="AJ93" s="12" t="s">
        <v>1745</v>
      </c>
      <c r="AK93" s="12" t="s">
        <v>2499</v>
      </c>
      <c r="AM93" s="68" t="s">
        <v>1147</v>
      </c>
      <c r="AN93" s="13" t="s">
        <v>1702</v>
      </c>
      <c r="AO93" s="21">
        <v>45901</v>
      </c>
      <c r="AQ93" s="12">
        <v>1</v>
      </c>
      <c r="AR93" t="b">
        <v>0</v>
      </c>
      <c r="AS93" t="b">
        <v>0</v>
      </c>
      <c r="AT93" s="12" t="s">
        <v>1574</v>
      </c>
    </row>
    <row r="94" spans="1:46" x14ac:dyDescent="0.3">
      <c r="A94" s="57" t="str">
        <f t="shared" si="2"/>
        <v>ALS9107368691073686ATEASTCH45901</v>
      </c>
      <c r="B94" s="57">
        <f>COUNTIF(CONT_TEA[Unique Contract],CONT_TEA[[#This Row],[Unique Contract]])-1</f>
        <v>0</v>
      </c>
      <c r="C94" s="57">
        <f>IFERROR(IF(FIND(CONT_TEA[[#This Row],[SchoolCode]],_xlfn.XLOOKUP(CONT_TEA[[#This Row],[StaffMemberCode]],MEMBERS[StaffMemberCode],MEMBERS[SchoolCodes]))&gt;0,0,1),1)</f>
        <v>0</v>
      </c>
      <c r="D94" s="57" cm="1">
        <f t="array" ref="D94">IF(_xlfn.XLOOKUP(CONT_TEA[[#This Row],[StaffRoleCode]],ROLES[StaffRoleCode],ROLES[AvailableToAllSchools],1,0,)=TRUE,0,IF(ISERROR(FIND(CONT_TEA[[#This Row],[SchoolCode]],_xlfn.TEXTJOIN(",",TRUE,_xlfn.UNIQUE(IF(ROLES[StaffRoleCode]=CONT_TEA[[#This Row],[StaffRoleCode]],ROLES[SchoolCodes],""))))),1,0))</f>
        <v>0</v>
      </c>
      <c r="E94" s="57" cm="1">
        <f t="array" ref="E9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94" s="57" cm="1">
        <f t="array" ref="F94">IF(_xlfn.XLOOKUP(CONT_TEA[[#This Row],[PayScaleCode]],PAYSCALES[PayScaleCode],PAYSCALES[AvailableToAllSchools],1,0,)=TRUE,0,IF(ISERROR(FIND(CONT_TEA[[#This Row],[SchoolCode]],_xlfn.TEXTJOIN(",",TRUE,_xlfn.UNIQUE(IF(PAYSCALES[PayScaleCode]=CONT_TEA[[#This Row],[PayScaleCode]],PAYSCALES[SchoolCodes],""))))),1,0))</f>
        <v>0</v>
      </c>
      <c r="G94" s="57">
        <f>IF(_xlfn.XLOOKUP(CONT_TEA[[#This Row],[PayScaleGradeCode]],GRADES[PayScaleGradeCode],GRADES[AvailableToAllSchools])=TRUE,0,IFERROR(IF(FIND(CONT_TEA[[#This Row],[SchoolCode]],_xlfn.XLOOKUP(CONT_TEA[[#This Row],[PayScaleGradeCode]],GRADES[PayScaleGradeCode],GRADES[SchoolCodes]))&gt;=1,0,1),1))</f>
        <v>0</v>
      </c>
      <c r="H94" s="57">
        <f>IF(ISERROR(IF((_xlfn.XLOOKUP(CONT_TEA[[#This Row],[PayScaleGradeCode]],GRADES[PayScaleGradeCode],GRADES[PayScaleCode])=CONT_TEA[[#This Row],[PayScaleCode]]),0,1)),1,0)</f>
        <v>0</v>
      </c>
      <c r="I94" s="57" cm="1">
        <f t="array" ref="I94">IF(ISERROR(FIND(CONT_TEA[[#This Row],[PayScalePointCode]],_xlfn.TEXTJOIN(",",TRUE,IF(PSPOINTS[PayScaleCode]=CONT_TEA[[#This Row],[PayScaleCode]],PSPOINTS[PayScalePointCode])))),1,0)</f>
        <v>0</v>
      </c>
      <c r="J94" s="57" cm="1">
        <f t="array" ref="J9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94" s="57">
        <f>IF(_xlfn.XLOOKUP(CONT_TEA[[#This Row],[PayScalePointCode]],PSPOINTS[PayScalePointCode],PSPOINTS[PayScalePointEnabled])=TRUE,0,1)</f>
        <v>0</v>
      </c>
      <c r="L94" s="57" cm="1">
        <f t="array" ref="L94">IF(_xlfn.XLOOKUP(CONT_TEA[[#This Row],[DepartmentCode]],DEPTS[DepartmentCode],DEPTS[AvailableToAllSchools],1,0,)=TRUE,0,IF(ISERROR(FIND(CONT_TEA[[#This Row],[SchoolCode]],_xlfn.TEXTJOIN(",",TRUE,_xlfn.UNIQUE(IF(DEPTS[DepartmentCode]=CONT_TEA[[#This Row],[DepartmentCode]],DEPTS[SchoolCodes],""))))),1,0))</f>
        <v>0</v>
      </c>
      <c r="M94" s="57">
        <f>IFERROR(IF(_xlfn.XLOOKUP(CONT_TEA[[#This Row],[SRG Gross]],FinanceCodesBudget[FinanceCode],FinanceCodesBudget[LedgerCode])=_xlfn.XLOOKUP(CONT_TEA[[#This Row],[DepartmentCode]],DEPTS[DepartmentCode],DEPTS[LedgerCode]),0,1),1)</f>
        <v>1</v>
      </c>
      <c r="N94" s="57" cm="1">
        <f t="array" ref="N94">IF(_xlfn.XLOOKUP(CONT_TEA[[#This Row],[PensionCode]],PENS[PensionCode],PENS[AvailableToAllSchools],1,0,)=TRUE,0,IF(ISERROR(FIND(CONT_TEA[[#This Row],[SchoolCode]],_xlfn.TEXTJOIN(",",TRUE,_xlfn.UNIQUE(IF(PENS[PensionCode]=CONT_TEA[[#This Row],[PensionCode]],PENS[SchoolCodes],""))))),1,0))</f>
        <v>0</v>
      </c>
      <c r="O94" s="57" cm="1">
        <f t="array" ref="O94">IF(_xlfn.XLOOKUP(CONT_TEA[[#This Row],[EquatedWeekPatternCode]],EQW[EquatedWeekPatternCode],EQW[AvailableToAllSchools],1,0,)=TRUE,0,IF(ISERROR(FIND(CONT_TEA[[#This Row],[SchoolCode]],_xlfn.TEXTJOIN(",",TRUE,_xlfn.UNIQUE(IF(EQW[EquatedWeekPatternCode]=CONT_TEA[[#This Row],[EquatedWeekPatternCode]],EQW[SchoolCodes],""))))),1,0))</f>
        <v>0</v>
      </c>
      <c r="P94" s="57">
        <f>1-COUNTIF(ContractTypes[Code],CONT_TEA[[#This Row],[ContractTypeCode]])</f>
        <v>0</v>
      </c>
      <c r="Q94" s="57">
        <f>IF(VLOOKUP(CONT_TEA[[#This Row],[StaffMemberCode]],MEMBERS[[StaffMemberCode]:[ServiceStartDate]],5,0)&gt;CONT_TEA[[#This Row],[DateFrom]],1,0)</f>
        <v>0</v>
      </c>
      <c r="R94" s="57">
        <f>IF(_xlfn.XLOOKUP(CONT_TEA[[#This Row],[StaffMemberCode]],MEMBERS[StaffMemberCode],MEMBERS[ServiceEndDate])="",0,IF(CONT_TEA[[#This Row],[DateTo]]="",1,IF(_xlfn.XLOOKUP(CONT_TEA[[#This Row],[StaffMemberCode]],MEMBERS[StaffMemberCode],MEMBERS[ServiceEndDate])&lt;CONT_TEA[[#This Row],[DateTo]],1,0)))</f>
        <v>0</v>
      </c>
      <c r="S94" s="57">
        <f>IF(ISBLANK(CONT_TEA[[#This Row],[DateTo]]),0,IF(CONT_TEA[[#This Row],[DateFrom]]=CONT_TEA[[#This Row],[DateTo]],0,IF(CONT_TEA[[#This Row],[DateFrom]]&lt;CONT_TEA[[#This Row],[DateTo]],0,1)))</f>
        <v>0</v>
      </c>
      <c r="T94" s="57" cm="1">
        <f t="array" aca="1" ref="T94" ca="1">IF(CELL("format",CONT_TEA[[#This Row],[DateFrom]])="D1",0,1)+IF(CELL("format",CONT_TEA[[#This Row],[DateTo]])="D1",0,1)</f>
        <v>0</v>
      </c>
      <c r="U94" s="57">
        <f>IF(OR(CONT_TEA[[#This Row],[MatEditOnly]]=TRUE,CONT_TEA[[#This Row],[MatEditOnly]]=FALSE),IF(OR(CONT_TEA[[#This Row],[NoIncrement]]=TRUE,CONT_TEA[[#This Row],[NoIncrement]]=FALSE),0,1),1)</f>
        <v>0</v>
      </c>
      <c r="V94" s="57">
        <f>IF(ISBLANK(CONT_TEA[[#This Row],[FundCode]])=TRUE,0,IF(COUNTIF(FUNDS[FundCode],CONT_TEA[[#This Row],[FundCode]])=1,0,1))</f>
        <v>0</v>
      </c>
      <c r="W94" s="57">
        <f>IF(LEN(CONT_TEA[[#This Row],[Notes]])&lt;4000,0,1)</f>
        <v>0</v>
      </c>
      <c r="X94" s="57">
        <f>IF(SUBSTITUTE(TEXT(CONT_TEA[[#This Row],[Reference]],10)," ","")=TEXT(CONT_TEA[[#This Row],[Reference]],10),0,1)</f>
        <v>0</v>
      </c>
      <c r="Y94" s="57">
        <f ca="1">SUM(CONT_TEA[[#This Row],[Duplicate Contract]:[Space in Code]])</f>
        <v>1</v>
      </c>
      <c r="AA94" s="12" t="s">
        <v>2082</v>
      </c>
      <c r="AB94" s="15">
        <v>91073686</v>
      </c>
      <c r="AC94" s="12" t="s">
        <v>4443</v>
      </c>
      <c r="AD94" s="57" t="str">
        <f>_xlfn.XLOOKUP(CONT_TEA[[#This Row],[StaffMemberCode]],StaffMembers!O:O,StaffMembers!R:R)</f>
        <v>Toni Brookshaw</v>
      </c>
      <c r="AE94" s="12" t="s">
        <v>1178</v>
      </c>
      <c r="AF94" s="57">
        <f>_xlfn.XLOOKUP(CONT_TEA[[#This Row],[SRG]],SRG[StaffRoleGroupCode],SRG[GrossSalaryFinanceCode])</f>
        <v>612100</v>
      </c>
      <c r="AG94" s="57" t="str">
        <f>_xlfn.XLOOKUP(CONT_TEA[[#This Row],[StaffRoleCode]],ROLES[StaffRoleCode],ROLES[StaffRoleGroupCode])</f>
        <v>TEA</v>
      </c>
      <c r="AH94" s="57" t="str">
        <f>_xlfn.XLOOKUP(CONT_TEA[[#This Row],[StaffRoleCode]],ROLES[StaffRoleCode],ROLES[PayScaleCode])</f>
        <v>MAIN</v>
      </c>
      <c r="AI94" s="12" t="s">
        <v>1126</v>
      </c>
      <c r="AJ94" s="12" t="s">
        <v>1745</v>
      </c>
      <c r="AK94" s="12" t="s">
        <v>2499</v>
      </c>
      <c r="AM94" s="68" t="s">
        <v>1147</v>
      </c>
      <c r="AN94" s="13" t="s">
        <v>1702</v>
      </c>
      <c r="AO94" s="21">
        <v>45901</v>
      </c>
      <c r="AQ94" s="12">
        <v>0.8</v>
      </c>
      <c r="AR94" t="b">
        <v>0</v>
      </c>
      <c r="AS94" t="b">
        <v>0</v>
      </c>
      <c r="AT94" s="12" t="s">
        <v>1574</v>
      </c>
    </row>
    <row r="95" spans="1:46" x14ac:dyDescent="0.3">
      <c r="A95" s="57" t="str">
        <f t="shared" si="2"/>
        <v>ALS9107375891073758ATEASTCH45901</v>
      </c>
      <c r="B95" s="57">
        <f>COUNTIF(CONT_TEA[Unique Contract],CONT_TEA[[#This Row],[Unique Contract]])-1</f>
        <v>0</v>
      </c>
      <c r="C95" s="57">
        <f>IFERROR(IF(FIND(CONT_TEA[[#This Row],[SchoolCode]],_xlfn.XLOOKUP(CONT_TEA[[#This Row],[StaffMemberCode]],MEMBERS[StaffMemberCode],MEMBERS[SchoolCodes]))&gt;0,0,1),1)</f>
        <v>0</v>
      </c>
      <c r="D95" s="57" cm="1">
        <f t="array" ref="D95">IF(_xlfn.XLOOKUP(CONT_TEA[[#This Row],[StaffRoleCode]],ROLES[StaffRoleCode],ROLES[AvailableToAllSchools],1,0,)=TRUE,0,IF(ISERROR(FIND(CONT_TEA[[#This Row],[SchoolCode]],_xlfn.TEXTJOIN(",",TRUE,_xlfn.UNIQUE(IF(ROLES[StaffRoleCode]=CONT_TEA[[#This Row],[StaffRoleCode]],ROLES[SchoolCodes],""))))),1,0))</f>
        <v>0</v>
      </c>
      <c r="E95" s="57" cm="1">
        <f t="array" ref="E9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95" s="57" cm="1">
        <f t="array" ref="F95">IF(_xlfn.XLOOKUP(CONT_TEA[[#This Row],[PayScaleCode]],PAYSCALES[PayScaleCode],PAYSCALES[AvailableToAllSchools],1,0,)=TRUE,0,IF(ISERROR(FIND(CONT_TEA[[#This Row],[SchoolCode]],_xlfn.TEXTJOIN(",",TRUE,_xlfn.UNIQUE(IF(PAYSCALES[PayScaleCode]=CONT_TEA[[#This Row],[PayScaleCode]],PAYSCALES[SchoolCodes],""))))),1,0))</f>
        <v>0</v>
      </c>
      <c r="G95" s="57">
        <f>IF(_xlfn.XLOOKUP(CONT_TEA[[#This Row],[PayScaleGradeCode]],GRADES[PayScaleGradeCode],GRADES[AvailableToAllSchools])=TRUE,0,IFERROR(IF(FIND(CONT_TEA[[#This Row],[SchoolCode]],_xlfn.XLOOKUP(CONT_TEA[[#This Row],[PayScaleGradeCode]],GRADES[PayScaleGradeCode],GRADES[SchoolCodes]))&gt;=1,0,1),1))</f>
        <v>0</v>
      </c>
      <c r="H95" s="57">
        <f>IF(ISERROR(IF((_xlfn.XLOOKUP(CONT_TEA[[#This Row],[PayScaleGradeCode]],GRADES[PayScaleGradeCode],GRADES[PayScaleCode])=CONT_TEA[[#This Row],[PayScaleCode]]),0,1)),1,0)</f>
        <v>0</v>
      </c>
      <c r="I95" s="57" cm="1">
        <f t="array" ref="I95">IF(ISERROR(FIND(CONT_TEA[[#This Row],[PayScalePointCode]],_xlfn.TEXTJOIN(",",TRUE,IF(PSPOINTS[PayScaleCode]=CONT_TEA[[#This Row],[PayScaleCode]],PSPOINTS[PayScalePointCode])))),1,0)</f>
        <v>0</v>
      </c>
      <c r="J95" s="57" cm="1">
        <f t="array" ref="J9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95" s="57">
        <f>IF(_xlfn.XLOOKUP(CONT_TEA[[#This Row],[PayScalePointCode]],PSPOINTS[PayScalePointCode],PSPOINTS[PayScalePointEnabled])=TRUE,0,1)</f>
        <v>0</v>
      </c>
      <c r="L95" s="57" cm="1">
        <f t="array" ref="L95">IF(_xlfn.XLOOKUP(CONT_TEA[[#This Row],[DepartmentCode]],DEPTS[DepartmentCode],DEPTS[AvailableToAllSchools],1,0,)=TRUE,0,IF(ISERROR(FIND(CONT_TEA[[#This Row],[SchoolCode]],_xlfn.TEXTJOIN(",",TRUE,_xlfn.UNIQUE(IF(DEPTS[DepartmentCode]=CONT_TEA[[#This Row],[DepartmentCode]],DEPTS[SchoolCodes],""))))),1,0))</f>
        <v>0</v>
      </c>
      <c r="M95" s="57">
        <f>IFERROR(IF(_xlfn.XLOOKUP(CONT_TEA[[#This Row],[SRG Gross]],FinanceCodesBudget[FinanceCode],FinanceCodesBudget[LedgerCode])=_xlfn.XLOOKUP(CONT_TEA[[#This Row],[DepartmentCode]],DEPTS[DepartmentCode],DEPTS[LedgerCode]),0,1),1)</f>
        <v>1</v>
      </c>
      <c r="N95" s="57" cm="1">
        <f t="array" ref="N95">IF(_xlfn.XLOOKUP(CONT_TEA[[#This Row],[PensionCode]],PENS[PensionCode],PENS[AvailableToAllSchools],1,0,)=TRUE,0,IF(ISERROR(FIND(CONT_TEA[[#This Row],[SchoolCode]],_xlfn.TEXTJOIN(",",TRUE,_xlfn.UNIQUE(IF(PENS[PensionCode]=CONT_TEA[[#This Row],[PensionCode]],PENS[SchoolCodes],""))))),1,0))</f>
        <v>0</v>
      </c>
      <c r="O95" s="57" cm="1">
        <f t="array" ref="O95">IF(_xlfn.XLOOKUP(CONT_TEA[[#This Row],[EquatedWeekPatternCode]],EQW[EquatedWeekPatternCode],EQW[AvailableToAllSchools],1,0,)=TRUE,0,IF(ISERROR(FIND(CONT_TEA[[#This Row],[SchoolCode]],_xlfn.TEXTJOIN(",",TRUE,_xlfn.UNIQUE(IF(EQW[EquatedWeekPatternCode]=CONT_TEA[[#This Row],[EquatedWeekPatternCode]],EQW[SchoolCodes],""))))),1,0))</f>
        <v>0</v>
      </c>
      <c r="P95" s="57">
        <f>1-COUNTIF(ContractTypes[Code],CONT_TEA[[#This Row],[ContractTypeCode]])</f>
        <v>0</v>
      </c>
      <c r="Q95" s="57">
        <f>IF(VLOOKUP(CONT_TEA[[#This Row],[StaffMemberCode]],MEMBERS[[StaffMemberCode]:[ServiceStartDate]],5,0)&gt;CONT_TEA[[#This Row],[DateFrom]],1,0)</f>
        <v>0</v>
      </c>
      <c r="R95" s="57">
        <f>IF(_xlfn.XLOOKUP(CONT_TEA[[#This Row],[StaffMemberCode]],MEMBERS[StaffMemberCode],MEMBERS[ServiceEndDate])="",0,IF(CONT_TEA[[#This Row],[DateTo]]="",1,IF(_xlfn.XLOOKUP(CONT_TEA[[#This Row],[StaffMemberCode]],MEMBERS[StaffMemberCode],MEMBERS[ServiceEndDate])&lt;CONT_TEA[[#This Row],[DateTo]],1,0)))</f>
        <v>0</v>
      </c>
      <c r="S95" s="57">
        <f>IF(ISBLANK(CONT_TEA[[#This Row],[DateTo]]),0,IF(CONT_TEA[[#This Row],[DateFrom]]=CONT_TEA[[#This Row],[DateTo]],0,IF(CONT_TEA[[#This Row],[DateFrom]]&lt;CONT_TEA[[#This Row],[DateTo]],0,1)))</f>
        <v>0</v>
      </c>
      <c r="T95" s="57" cm="1">
        <f t="array" aca="1" ref="T95" ca="1">IF(CELL("format",CONT_TEA[[#This Row],[DateFrom]])="D1",0,1)+IF(CELL("format",CONT_TEA[[#This Row],[DateTo]])="D1",0,1)</f>
        <v>0</v>
      </c>
      <c r="U95" s="57">
        <f>IF(OR(CONT_TEA[[#This Row],[MatEditOnly]]=TRUE,CONT_TEA[[#This Row],[MatEditOnly]]=FALSE),IF(OR(CONT_TEA[[#This Row],[NoIncrement]]=TRUE,CONT_TEA[[#This Row],[NoIncrement]]=FALSE),0,1),1)</f>
        <v>0</v>
      </c>
      <c r="V95" s="57">
        <f>IF(ISBLANK(CONT_TEA[[#This Row],[FundCode]])=TRUE,0,IF(COUNTIF(FUNDS[FundCode],CONT_TEA[[#This Row],[FundCode]])=1,0,1))</f>
        <v>0</v>
      </c>
      <c r="W95" s="57">
        <f>IF(LEN(CONT_TEA[[#This Row],[Notes]])&lt;4000,0,1)</f>
        <v>0</v>
      </c>
      <c r="X95" s="57">
        <f>IF(SUBSTITUTE(TEXT(CONT_TEA[[#This Row],[Reference]],10)," ","")=TEXT(CONT_TEA[[#This Row],[Reference]],10),0,1)</f>
        <v>0</v>
      </c>
      <c r="Y95" s="57">
        <f ca="1">SUM(CONT_TEA[[#This Row],[Duplicate Contract]:[Space in Code]])</f>
        <v>1</v>
      </c>
      <c r="AA95" s="12" t="s">
        <v>2082</v>
      </c>
      <c r="AB95" s="15">
        <v>91073758</v>
      </c>
      <c r="AC95" s="12" t="s">
        <v>4444</v>
      </c>
      <c r="AD95" s="57" t="str">
        <f>_xlfn.XLOOKUP(CONT_TEA[[#This Row],[StaffMemberCode]],StaffMembers!O:O,StaffMembers!R:R)</f>
        <v>William Potts</v>
      </c>
      <c r="AE95" s="12" t="s">
        <v>1178</v>
      </c>
      <c r="AF95" s="57">
        <f>_xlfn.XLOOKUP(CONT_TEA[[#This Row],[SRG]],SRG[StaffRoleGroupCode],SRG[GrossSalaryFinanceCode])</f>
        <v>612100</v>
      </c>
      <c r="AG95" s="57" t="str">
        <f>_xlfn.XLOOKUP(CONT_TEA[[#This Row],[StaffRoleCode]],ROLES[StaffRoleCode],ROLES[StaffRoleGroupCode])</f>
        <v>TEA</v>
      </c>
      <c r="AH95" s="57" t="str">
        <f>_xlfn.XLOOKUP(CONT_TEA[[#This Row],[StaffRoleCode]],ROLES[StaffRoleCode],ROLES[PayScaleCode])</f>
        <v>MAIN</v>
      </c>
      <c r="AI95" s="12" t="s">
        <v>1126</v>
      </c>
      <c r="AJ95" s="12" t="s">
        <v>1745</v>
      </c>
      <c r="AK95" s="12" t="s">
        <v>2499</v>
      </c>
      <c r="AM95" s="68" t="s">
        <v>1147</v>
      </c>
      <c r="AN95" s="13" t="s">
        <v>1702</v>
      </c>
      <c r="AO95" s="21">
        <v>45901</v>
      </c>
      <c r="AQ95" s="12">
        <v>1</v>
      </c>
      <c r="AR95" t="b">
        <v>0</v>
      </c>
      <c r="AS95" t="b">
        <v>0</v>
      </c>
      <c r="AT95" s="12" t="s">
        <v>1574</v>
      </c>
    </row>
    <row r="96" spans="1:46" x14ac:dyDescent="0.3">
      <c r="A96" s="57" t="str">
        <f t="shared" si="2"/>
        <v>ALS9132460991324609AAHT_MAINSTCH45901</v>
      </c>
      <c r="B96" s="57">
        <f>COUNTIF(CONT_TEA[Unique Contract],CONT_TEA[[#This Row],[Unique Contract]])-1</f>
        <v>0</v>
      </c>
      <c r="C96" s="57">
        <f>IFERROR(IF(FIND(CONT_TEA[[#This Row],[SchoolCode]],_xlfn.XLOOKUP(CONT_TEA[[#This Row],[StaffMemberCode]],MEMBERS[StaffMemberCode],MEMBERS[SchoolCodes]))&gt;0,0,1),1)</f>
        <v>0</v>
      </c>
      <c r="D96" s="57" cm="1">
        <f t="array" ref="D96">IF(_xlfn.XLOOKUP(CONT_TEA[[#This Row],[StaffRoleCode]],ROLES[StaffRoleCode],ROLES[AvailableToAllSchools],1,0,)=TRUE,0,IF(ISERROR(FIND(CONT_TEA[[#This Row],[SchoolCode]],_xlfn.TEXTJOIN(",",TRUE,_xlfn.UNIQUE(IF(ROLES[StaffRoleCode]=CONT_TEA[[#This Row],[StaffRoleCode]],ROLES[SchoolCodes],""))))),1,0))</f>
        <v>0</v>
      </c>
      <c r="E96" s="57" cm="1">
        <f t="array" ref="E9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96" s="57" cm="1">
        <f t="array" ref="F96">IF(_xlfn.XLOOKUP(CONT_TEA[[#This Row],[PayScaleCode]],PAYSCALES[PayScaleCode],PAYSCALES[AvailableToAllSchools],1,0,)=TRUE,0,IF(ISERROR(FIND(CONT_TEA[[#This Row],[SchoolCode]],_xlfn.TEXTJOIN(",",TRUE,_xlfn.UNIQUE(IF(PAYSCALES[PayScaleCode]=CONT_TEA[[#This Row],[PayScaleCode]],PAYSCALES[SchoolCodes],""))))),1,0))</f>
        <v>0</v>
      </c>
      <c r="G96" s="57">
        <f>IF(_xlfn.XLOOKUP(CONT_TEA[[#This Row],[PayScaleGradeCode]],GRADES[PayScaleGradeCode],GRADES[AvailableToAllSchools])=TRUE,0,IFERROR(IF(FIND(CONT_TEA[[#This Row],[SchoolCode]],_xlfn.XLOOKUP(CONT_TEA[[#This Row],[PayScaleGradeCode]],GRADES[PayScaleGradeCode],GRADES[SchoolCodes]))&gt;=1,0,1),1))</f>
        <v>0</v>
      </c>
      <c r="H96" s="57">
        <f>IF(ISERROR(IF((_xlfn.XLOOKUP(CONT_TEA[[#This Row],[PayScaleGradeCode]],GRADES[PayScaleGradeCode],GRADES[PayScaleCode])=CONT_TEA[[#This Row],[PayScaleCode]]),0,1)),1,0)</f>
        <v>0</v>
      </c>
      <c r="I96" s="57" cm="1">
        <f t="array" ref="I96">IF(ISERROR(FIND(CONT_TEA[[#This Row],[PayScalePointCode]],_xlfn.TEXTJOIN(",",TRUE,IF(PSPOINTS[PayScaleCode]=CONT_TEA[[#This Row],[PayScaleCode]],PSPOINTS[PayScalePointCode])))),1,0)</f>
        <v>0</v>
      </c>
      <c r="J96" s="57" cm="1">
        <f t="array" ref="J9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96" s="57">
        <f>IF(_xlfn.XLOOKUP(CONT_TEA[[#This Row],[PayScalePointCode]],PSPOINTS[PayScalePointCode],PSPOINTS[PayScalePointEnabled])=TRUE,0,1)</f>
        <v>0</v>
      </c>
      <c r="L96" s="57" cm="1">
        <f t="array" ref="L96">IF(_xlfn.XLOOKUP(CONT_TEA[[#This Row],[DepartmentCode]],DEPTS[DepartmentCode],DEPTS[AvailableToAllSchools],1,0,)=TRUE,0,IF(ISERROR(FIND(CONT_TEA[[#This Row],[SchoolCode]],_xlfn.TEXTJOIN(",",TRUE,_xlfn.UNIQUE(IF(DEPTS[DepartmentCode]=CONT_TEA[[#This Row],[DepartmentCode]],DEPTS[SchoolCodes],""))))),1,0))</f>
        <v>0</v>
      </c>
      <c r="M96" s="57">
        <f>IFERROR(IF(_xlfn.XLOOKUP(CONT_TEA[[#This Row],[SRG Gross]],FinanceCodesBudget[FinanceCode],FinanceCodesBudget[LedgerCode])=_xlfn.XLOOKUP(CONT_TEA[[#This Row],[DepartmentCode]],DEPTS[DepartmentCode],DEPTS[LedgerCode]),0,1),1)</f>
        <v>1</v>
      </c>
      <c r="N96" s="57" cm="1">
        <f t="array" ref="N96">IF(_xlfn.XLOOKUP(CONT_TEA[[#This Row],[PensionCode]],PENS[PensionCode],PENS[AvailableToAllSchools],1,0,)=TRUE,0,IF(ISERROR(FIND(CONT_TEA[[#This Row],[SchoolCode]],_xlfn.TEXTJOIN(",",TRUE,_xlfn.UNIQUE(IF(PENS[PensionCode]=CONT_TEA[[#This Row],[PensionCode]],PENS[SchoolCodes],""))))),1,0))</f>
        <v>0</v>
      </c>
      <c r="O96" s="57" cm="1">
        <f t="array" ref="O96">IF(_xlfn.XLOOKUP(CONT_TEA[[#This Row],[EquatedWeekPatternCode]],EQW[EquatedWeekPatternCode],EQW[AvailableToAllSchools],1,0,)=TRUE,0,IF(ISERROR(FIND(CONT_TEA[[#This Row],[SchoolCode]],_xlfn.TEXTJOIN(",",TRUE,_xlfn.UNIQUE(IF(EQW[EquatedWeekPatternCode]=CONT_TEA[[#This Row],[EquatedWeekPatternCode]],EQW[SchoolCodes],""))))),1,0))</f>
        <v>0</v>
      </c>
      <c r="P96" s="57">
        <f>1-COUNTIF(ContractTypes[Code],CONT_TEA[[#This Row],[ContractTypeCode]])</f>
        <v>0</v>
      </c>
      <c r="Q96" s="57">
        <f>IF(VLOOKUP(CONT_TEA[[#This Row],[StaffMemberCode]],MEMBERS[[StaffMemberCode]:[ServiceStartDate]],5,0)&gt;CONT_TEA[[#This Row],[DateFrom]],1,0)</f>
        <v>0</v>
      </c>
      <c r="R96" s="57">
        <f>IF(_xlfn.XLOOKUP(CONT_TEA[[#This Row],[StaffMemberCode]],MEMBERS[StaffMemberCode],MEMBERS[ServiceEndDate])="",0,IF(CONT_TEA[[#This Row],[DateTo]]="",1,IF(_xlfn.XLOOKUP(CONT_TEA[[#This Row],[StaffMemberCode]],MEMBERS[StaffMemberCode],MEMBERS[ServiceEndDate])&lt;CONT_TEA[[#This Row],[DateTo]],1,0)))</f>
        <v>0</v>
      </c>
      <c r="S96" s="57">
        <f>IF(ISBLANK(CONT_TEA[[#This Row],[DateTo]]),0,IF(CONT_TEA[[#This Row],[DateFrom]]=CONT_TEA[[#This Row],[DateTo]],0,IF(CONT_TEA[[#This Row],[DateFrom]]&lt;CONT_TEA[[#This Row],[DateTo]],0,1)))</f>
        <v>0</v>
      </c>
      <c r="T96" s="57" cm="1">
        <f t="array" aca="1" ref="T96" ca="1">IF(CELL("format",CONT_TEA[[#This Row],[DateFrom]])="D1",0,1)+IF(CELL("format",CONT_TEA[[#This Row],[DateTo]])="D1",0,1)</f>
        <v>0</v>
      </c>
      <c r="U96" s="57">
        <f>IF(OR(CONT_TEA[[#This Row],[MatEditOnly]]=TRUE,CONT_TEA[[#This Row],[MatEditOnly]]=FALSE),IF(OR(CONT_TEA[[#This Row],[NoIncrement]]=TRUE,CONT_TEA[[#This Row],[NoIncrement]]=FALSE),0,1),1)</f>
        <v>0</v>
      </c>
      <c r="V96" s="57">
        <f>IF(ISBLANK(CONT_TEA[[#This Row],[FundCode]])=TRUE,0,IF(COUNTIF(FUNDS[FundCode],CONT_TEA[[#This Row],[FundCode]])=1,0,1))</f>
        <v>0</v>
      </c>
      <c r="W96" s="57">
        <f>IF(LEN(CONT_TEA[[#This Row],[Notes]])&lt;4000,0,1)</f>
        <v>0</v>
      </c>
      <c r="X96" s="57">
        <f>IF(SUBSTITUTE(TEXT(CONT_TEA[[#This Row],[Reference]],10)," ","")=TEXT(CONT_TEA[[#This Row],[Reference]],10),0,1)</f>
        <v>0</v>
      </c>
      <c r="Y96" s="57">
        <f ca="1">SUM(CONT_TEA[[#This Row],[Duplicate Contract]:[Space in Code]])</f>
        <v>1</v>
      </c>
      <c r="AA96" s="12" t="s">
        <v>2082</v>
      </c>
      <c r="AB96" s="15">
        <v>91324609</v>
      </c>
      <c r="AC96" s="12" t="s">
        <v>4445</v>
      </c>
      <c r="AD96" s="57" t="str">
        <f>_xlfn.XLOOKUP(CONT_TEA[[#This Row],[StaffMemberCode]],StaffMembers!O:O,StaffMembers!R:R)</f>
        <v>Margaret Woods</v>
      </c>
      <c r="AE96" s="12" t="s">
        <v>4167</v>
      </c>
      <c r="AF96" s="57">
        <f>_xlfn.XLOOKUP(CONT_TEA[[#This Row],[SRG]],SRG[StaffRoleGroupCode],SRG[GrossSalaryFinanceCode])</f>
        <v>612100</v>
      </c>
      <c r="AG96" s="57" t="str">
        <f>_xlfn.XLOOKUP(CONT_TEA[[#This Row],[StaffRoleCode]],ROLES[StaffRoleCode],ROLES[StaffRoleGroupCode])</f>
        <v>TEA</v>
      </c>
      <c r="AH96" s="57" t="str">
        <f>_xlfn.XLOOKUP(CONT_TEA[[#This Row],[StaffRoleCode]],ROLES[StaffRoleCode],ROLES[PayScaleCode])</f>
        <v>MAIN</v>
      </c>
      <c r="AI96" s="12" t="s">
        <v>1126</v>
      </c>
      <c r="AJ96" s="12" t="s">
        <v>1745</v>
      </c>
      <c r="AK96" s="12" t="s">
        <v>2499</v>
      </c>
      <c r="AM96" s="68" t="s">
        <v>1147</v>
      </c>
      <c r="AN96" s="13" t="s">
        <v>1702</v>
      </c>
      <c r="AO96" s="21">
        <v>45901</v>
      </c>
      <c r="AQ96" s="12">
        <v>0.8</v>
      </c>
      <c r="AR96" t="b">
        <v>0</v>
      </c>
      <c r="AS96" t="b">
        <v>0</v>
      </c>
      <c r="AT96" s="12" t="s">
        <v>1574</v>
      </c>
    </row>
    <row r="97" spans="1:46" x14ac:dyDescent="0.3">
      <c r="A97" s="57" t="str">
        <f t="shared" si="2"/>
        <v>ALS9107377391073773ATEASTCH45901</v>
      </c>
      <c r="B97" s="57">
        <f>COUNTIF(CONT_TEA[Unique Contract],CONT_TEA[[#This Row],[Unique Contract]])-1</f>
        <v>0</v>
      </c>
      <c r="C97" s="57">
        <f>IFERROR(IF(FIND(CONT_TEA[[#This Row],[SchoolCode]],_xlfn.XLOOKUP(CONT_TEA[[#This Row],[StaffMemberCode]],MEMBERS[StaffMemberCode],MEMBERS[SchoolCodes]))&gt;0,0,1),1)</f>
        <v>0</v>
      </c>
      <c r="D97" s="57" cm="1">
        <f t="array" ref="D97">IF(_xlfn.XLOOKUP(CONT_TEA[[#This Row],[StaffRoleCode]],ROLES[StaffRoleCode],ROLES[AvailableToAllSchools],1,0,)=TRUE,0,IF(ISERROR(FIND(CONT_TEA[[#This Row],[SchoolCode]],_xlfn.TEXTJOIN(",",TRUE,_xlfn.UNIQUE(IF(ROLES[StaffRoleCode]=CONT_TEA[[#This Row],[StaffRoleCode]],ROLES[SchoolCodes],""))))),1,0))</f>
        <v>0</v>
      </c>
      <c r="E97" s="57" cm="1">
        <f t="array" ref="E9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97" s="57" cm="1">
        <f t="array" ref="F97">IF(_xlfn.XLOOKUP(CONT_TEA[[#This Row],[PayScaleCode]],PAYSCALES[PayScaleCode],PAYSCALES[AvailableToAllSchools],1,0,)=TRUE,0,IF(ISERROR(FIND(CONT_TEA[[#This Row],[SchoolCode]],_xlfn.TEXTJOIN(",",TRUE,_xlfn.UNIQUE(IF(PAYSCALES[PayScaleCode]=CONT_TEA[[#This Row],[PayScaleCode]],PAYSCALES[SchoolCodes],""))))),1,0))</f>
        <v>0</v>
      </c>
      <c r="G97" s="57">
        <f>IF(_xlfn.XLOOKUP(CONT_TEA[[#This Row],[PayScaleGradeCode]],GRADES[PayScaleGradeCode],GRADES[AvailableToAllSchools])=TRUE,0,IFERROR(IF(FIND(CONT_TEA[[#This Row],[SchoolCode]],_xlfn.XLOOKUP(CONT_TEA[[#This Row],[PayScaleGradeCode]],GRADES[PayScaleGradeCode],GRADES[SchoolCodes]))&gt;=1,0,1),1))</f>
        <v>0</v>
      </c>
      <c r="H97" s="57">
        <f>IF(ISERROR(IF((_xlfn.XLOOKUP(CONT_TEA[[#This Row],[PayScaleGradeCode]],GRADES[PayScaleGradeCode],GRADES[PayScaleCode])=CONT_TEA[[#This Row],[PayScaleCode]]),0,1)),1,0)</f>
        <v>0</v>
      </c>
      <c r="I97" s="57" cm="1">
        <f t="array" ref="I97">IF(ISERROR(FIND(CONT_TEA[[#This Row],[PayScalePointCode]],_xlfn.TEXTJOIN(",",TRUE,IF(PSPOINTS[PayScaleCode]=CONT_TEA[[#This Row],[PayScaleCode]],PSPOINTS[PayScalePointCode])))),1,0)</f>
        <v>0</v>
      </c>
      <c r="J97" s="57" cm="1">
        <f t="array" ref="J9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97" s="57">
        <f>IF(_xlfn.XLOOKUP(CONT_TEA[[#This Row],[PayScalePointCode]],PSPOINTS[PayScalePointCode],PSPOINTS[PayScalePointEnabled])=TRUE,0,1)</f>
        <v>0</v>
      </c>
      <c r="L97" s="57" cm="1">
        <f t="array" ref="L97">IF(_xlfn.XLOOKUP(CONT_TEA[[#This Row],[DepartmentCode]],DEPTS[DepartmentCode],DEPTS[AvailableToAllSchools],1,0,)=TRUE,0,IF(ISERROR(FIND(CONT_TEA[[#This Row],[SchoolCode]],_xlfn.TEXTJOIN(",",TRUE,_xlfn.UNIQUE(IF(DEPTS[DepartmentCode]=CONT_TEA[[#This Row],[DepartmentCode]],DEPTS[SchoolCodes],""))))),1,0))</f>
        <v>0</v>
      </c>
      <c r="M97" s="57">
        <f>IFERROR(IF(_xlfn.XLOOKUP(CONT_TEA[[#This Row],[SRG Gross]],FinanceCodesBudget[FinanceCode],FinanceCodesBudget[LedgerCode])=_xlfn.XLOOKUP(CONT_TEA[[#This Row],[DepartmentCode]],DEPTS[DepartmentCode],DEPTS[LedgerCode]),0,1),1)</f>
        <v>1</v>
      </c>
      <c r="N97" s="57" cm="1">
        <f t="array" ref="N97">IF(_xlfn.XLOOKUP(CONT_TEA[[#This Row],[PensionCode]],PENS[PensionCode],PENS[AvailableToAllSchools],1,0,)=TRUE,0,IF(ISERROR(FIND(CONT_TEA[[#This Row],[SchoolCode]],_xlfn.TEXTJOIN(",",TRUE,_xlfn.UNIQUE(IF(PENS[PensionCode]=CONT_TEA[[#This Row],[PensionCode]],PENS[SchoolCodes],""))))),1,0))</f>
        <v>0</v>
      </c>
      <c r="O97" s="57" cm="1">
        <f t="array" ref="O97">IF(_xlfn.XLOOKUP(CONT_TEA[[#This Row],[EquatedWeekPatternCode]],EQW[EquatedWeekPatternCode],EQW[AvailableToAllSchools],1,0,)=TRUE,0,IF(ISERROR(FIND(CONT_TEA[[#This Row],[SchoolCode]],_xlfn.TEXTJOIN(",",TRUE,_xlfn.UNIQUE(IF(EQW[EquatedWeekPatternCode]=CONT_TEA[[#This Row],[EquatedWeekPatternCode]],EQW[SchoolCodes],""))))),1,0))</f>
        <v>0</v>
      </c>
      <c r="P97" s="57">
        <f>1-COUNTIF(ContractTypes[Code],CONT_TEA[[#This Row],[ContractTypeCode]])</f>
        <v>0</v>
      </c>
      <c r="Q97" s="57">
        <f>IF(VLOOKUP(CONT_TEA[[#This Row],[StaffMemberCode]],MEMBERS[[StaffMemberCode]:[ServiceStartDate]],5,0)&gt;CONT_TEA[[#This Row],[DateFrom]],1,0)</f>
        <v>0</v>
      </c>
      <c r="R97" s="57">
        <f>IF(_xlfn.XLOOKUP(CONT_TEA[[#This Row],[StaffMemberCode]],MEMBERS[StaffMemberCode],MEMBERS[ServiceEndDate])="",0,IF(CONT_TEA[[#This Row],[DateTo]]="",1,IF(_xlfn.XLOOKUP(CONT_TEA[[#This Row],[StaffMemberCode]],MEMBERS[StaffMemberCode],MEMBERS[ServiceEndDate])&lt;CONT_TEA[[#This Row],[DateTo]],1,0)))</f>
        <v>0</v>
      </c>
      <c r="S97" s="57">
        <f>IF(ISBLANK(CONT_TEA[[#This Row],[DateTo]]),0,IF(CONT_TEA[[#This Row],[DateFrom]]=CONT_TEA[[#This Row],[DateTo]],0,IF(CONT_TEA[[#This Row],[DateFrom]]&lt;CONT_TEA[[#This Row],[DateTo]],0,1)))</f>
        <v>0</v>
      </c>
      <c r="T97" s="57" cm="1">
        <f t="array" aca="1" ref="T97" ca="1">IF(CELL("format",CONT_TEA[[#This Row],[DateFrom]])="D1",0,1)+IF(CELL("format",CONT_TEA[[#This Row],[DateTo]])="D1",0,1)</f>
        <v>0</v>
      </c>
      <c r="U97" s="57">
        <f>IF(OR(CONT_TEA[[#This Row],[MatEditOnly]]=TRUE,CONT_TEA[[#This Row],[MatEditOnly]]=FALSE),IF(OR(CONT_TEA[[#This Row],[NoIncrement]]=TRUE,CONT_TEA[[#This Row],[NoIncrement]]=FALSE),0,1),1)</f>
        <v>0</v>
      </c>
      <c r="V97" s="57">
        <f>IF(ISBLANK(CONT_TEA[[#This Row],[FundCode]])=TRUE,0,IF(COUNTIF(FUNDS[FundCode],CONT_TEA[[#This Row],[FundCode]])=1,0,1))</f>
        <v>0</v>
      </c>
      <c r="W97" s="57">
        <f>IF(LEN(CONT_TEA[[#This Row],[Notes]])&lt;4000,0,1)</f>
        <v>0</v>
      </c>
      <c r="X97" s="57">
        <f>IF(SUBSTITUTE(TEXT(CONT_TEA[[#This Row],[Reference]],10)," ","")=TEXT(CONT_TEA[[#This Row],[Reference]],10),0,1)</f>
        <v>0</v>
      </c>
      <c r="Y97" s="57">
        <f ca="1">SUM(CONT_TEA[[#This Row],[Duplicate Contract]:[Space in Code]])</f>
        <v>1</v>
      </c>
      <c r="AA97" s="12" t="s">
        <v>2082</v>
      </c>
      <c r="AB97" s="15">
        <v>91073773</v>
      </c>
      <c r="AC97" s="12" t="s">
        <v>4446</v>
      </c>
      <c r="AD97" s="57" t="str">
        <f>_xlfn.XLOOKUP(CONT_TEA[[#This Row],[StaffMemberCode]],StaffMembers!O:O,StaffMembers!R:R)</f>
        <v>Katherine Meacock</v>
      </c>
      <c r="AE97" s="12" t="s">
        <v>1178</v>
      </c>
      <c r="AF97" s="57">
        <f>_xlfn.XLOOKUP(CONT_TEA[[#This Row],[SRG]],SRG[StaffRoleGroupCode],SRG[GrossSalaryFinanceCode])</f>
        <v>612100</v>
      </c>
      <c r="AG97" s="57" t="str">
        <f>_xlfn.XLOOKUP(CONT_TEA[[#This Row],[StaffRoleCode]],ROLES[StaffRoleCode],ROLES[StaffRoleGroupCode])</f>
        <v>TEA</v>
      </c>
      <c r="AH97" s="57" t="str">
        <f>_xlfn.XLOOKUP(CONT_TEA[[#This Row],[StaffRoleCode]],ROLES[StaffRoleCode],ROLES[PayScaleCode])</f>
        <v>MAIN</v>
      </c>
      <c r="AI97" s="12" t="s">
        <v>1126</v>
      </c>
      <c r="AJ97" s="12" t="s">
        <v>1745</v>
      </c>
      <c r="AK97" s="12" t="s">
        <v>2499</v>
      </c>
      <c r="AM97" s="68" t="s">
        <v>1147</v>
      </c>
      <c r="AN97" s="13" t="s">
        <v>1702</v>
      </c>
      <c r="AO97" s="21">
        <v>45901</v>
      </c>
      <c r="AQ97" s="12">
        <v>1</v>
      </c>
      <c r="AR97" t="b">
        <v>0</v>
      </c>
      <c r="AS97" t="b">
        <v>0</v>
      </c>
      <c r="AT97" s="12" t="s">
        <v>1574</v>
      </c>
    </row>
    <row r="98" spans="1:46" x14ac:dyDescent="0.3">
      <c r="A98" s="57" t="str">
        <f t="shared" si="2"/>
        <v>ALS9107368391073683ATEASTCH45901</v>
      </c>
      <c r="B98" s="57">
        <f>COUNTIF(CONT_TEA[Unique Contract],CONT_TEA[[#This Row],[Unique Contract]])-1</f>
        <v>0</v>
      </c>
      <c r="C98" s="57">
        <f>IFERROR(IF(FIND(CONT_TEA[[#This Row],[SchoolCode]],_xlfn.XLOOKUP(CONT_TEA[[#This Row],[StaffMemberCode]],MEMBERS[StaffMemberCode],MEMBERS[SchoolCodes]))&gt;0,0,1),1)</f>
        <v>0</v>
      </c>
      <c r="D98" s="57" cm="1">
        <f t="array" ref="D98">IF(_xlfn.XLOOKUP(CONT_TEA[[#This Row],[StaffRoleCode]],ROLES[StaffRoleCode],ROLES[AvailableToAllSchools],1,0,)=TRUE,0,IF(ISERROR(FIND(CONT_TEA[[#This Row],[SchoolCode]],_xlfn.TEXTJOIN(",",TRUE,_xlfn.UNIQUE(IF(ROLES[StaffRoleCode]=CONT_TEA[[#This Row],[StaffRoleCode]],ROLES[SchoolCodes],""))))),1,0))</f>
        <v>0</v>
      </c>
      <c r="E98" s="57" cm="1">
        <f t="array" ref="E9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98" s="57" cm="1">
        <f t="array" ref="F98">IF(_xlfn.XLOOKUP(CONT_TEA[[#This Row],[PayScaleCode]],PAYSCALES[PayScaleCode],PAYSCALES[AvailableToAllSchools],1,0,)=TRUE,0,IF(ISERROR(FIND(CONT_TEA[[#This Row],[SchoolCode]],_xlfn.TEXTJOIN(",",TRUE,_xlfn.UNIQUE(IF(PAYSCALES[PayScaleCode]=CONT_TEA[[#This Row],[PayScaleCode]],PAYSCALES[SchoolCodes],""))))),1,0))</f>
        <v>0</v>
      </c>
      <c r="G98" s="57">
        <f>IF(_xlfn.XLOOKUP(CONT_TEA[[#This Row],[PayScaleGradeCode]],GRADES[PayScaleGradeCode],GRADES[AvailableToAllSchools])=TRUE,0,IFERROR(IF(FIND(CONT_TEA[[#This Row],[SchoolCode]],_xlfn.XLOOKUP(CONT_TEA[[#This Row],[PayScaleGradeCode]],GRADES[PayScaleGradeCode],GRADES[SchoolCodes]))&gt;=1,0,1),1))</f>
        <v>0</v>
      </c>
      <c r="H98" s="57">
        <f>IF(ISERROR(IF((_xlfn.XLOOKUP(CONT_TEA[[#This Row],[PayScaleGradeCode]],GRADES[PayScaleGradeCode],GRADES[PayScaleCode])=CONT_TEA[[#This Row],[PayScaleCode]]),0,1)),1,0)</f>
        <v>0</v>
      </c>
      <c r="I98" s="57" cm="1">
        <f t="array" ref="I98">IF(ISERROR(FIND(CONT_TEA[[#This Row],[PayScalePointCode]],_xlfn.TEXTJOIN(",",TRUE,IF(PSPOINTS[PayScaleCode]=CONT_TEA[[#This Row],[PayScaleCode]],PSPOINTS[PayScalePointCode])))),1,0)</f>
        <v>0</v>
      </c>
      <c r="J98" s="57" cm="1">
        <f t="array" ref="J9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98" s="57">
        <f>IF(_xlfn.XLOOKUP(CONT_TEA[[#This Row],[PayScalePointCode]],PSPOINTS[PayScalePointCode],PSPOINTS[PayScalePointEnabled])=TRUE,0,1)</f>
        <v>0</v>
      </c>
      <c r="L98" s="57" cm="1">
        <f t="array" ref="L98">IF(_xlfn.XLOOKUP(CONT_TEA[[#This Row],[DepartmentCode]],DEPTS[DepartmentCode],DEPTS[AvailableToAllSchools],1,0,)=TRUE,0,IF(ISERROR(FIND(CONT_TEA[[#This Row],[SchoolCode]],_xlfn.TEXTJOIN(",",TRUE,_xlfn.UNIQUE(IF(DEPTS[DepartmentCode]=CONT_TEA[[#This Row],[DepartmentCode]],DEPTS[SchoolCodes],""))))),1,0))</f>
        <v>0</v>
      </c>
      <c r="M98" s="57">
        <f>IFERROR(IF(_xlfn.XLOOKUP(CONT_TEA[[#This Row],[SRG Gross]],FinanceCodesBudget[FinanceCode],FinanceCodesBudget[LedgerCode])=_xlfn.XLOOKUP(CONT_TEA[[#This Row],[DepartmentCode]],DEPTS[DepartmentCode],DEPTS[LedgerCode]),0,1),1)</f>
        <v>1</v>
      </c>
      <c r="N98" s="57" cm="1">
        <f t="array" ref="N98">IF(_xlfn.XLOOKUP(CONT_TEA[[#This Row],[PensionCode]],PENS[PensionCode],PENS[AvailableToAllSchools],1,0,)=TRUE,0,IF(ISERROR(FIND(CONT_TEA[[#This Row],[SchoolCode]],_xlfn.TEXTJOIN(",",TRUE,_xlfn.UNIQUE(IF(PENS[PensionCode]=CONT_TEA[[#This Row],[PensionCode]],PENS[SchoolCodes],""))))),1,0))</f>
        <v>0</v>
      </c>
      <c r="O98" s="57" cm="1">
        <f t="array" ref="O98">IF(_xlfn.XLOOKUP(CONT_TEA[[#This Row],[EquatedWeekPatternCode]],EQW[EquatedWeekPatternCode],EQW[AvailableToAllSchools],1,0,)=TRUE,0,IF(ISERROR(FIND(CONT_TEA[[#This Row],[SchoolCode]],_xlfn.TEXTJOIN(",",TRUE,_xlfn.UNIQUE(IF(EQW[EquatedWeekPatternCode]=CONT_TEA[[#This Row],[EquatedWeekPatternCode]],EQW[SchoolCodes],""))))),1,0))</f>
        <v>0</v>
      </c>
      <c r="P98" s="57">
        <f>1-COUNTIF(ContractTypes[Code],CONT_TEA[[#This Row],[ContractTypeCode]])</f>
        <v>0</v>
      </c>
      <c r="Q98" s="57">
        <f>IF(VLOOKUP(CONT_TEA[[#This Row],[StaffMemberCode]],MEMBERS[[StaffMemberCode]:[ServiceStartDate]],5,0)&gt;CONT_TEA[[#This Row],[DateFrom]],1,0)</f>
        <v>0</v>
      </c>
      <c r="R98" s="57">
        <f>IF(_xlfn.XLOOKUP(CONT_TEA[[#This Row],[StaffMemberCode]],MEMBERS[StaffMemberCode],MEMBERS[ServiceEndDate])="",0,IF(CONT_TEA[[#This Row],[DateTo]]="",1,IF(_xlfn.XLOOKUP(CONT_TEA[[#This Row],[StaffMemberCode]],MEMBERS[StaffMemberCode],MEMBERS[ServiceEndDate])&lt;CONT_TEA[[#This Row],[DateTo]],1,0)))</f>
        <v>0</v>
      </c>
      <c r="S98" s="57">
        <f>IF(ISBLANK(CONT_TEA[[#This Row],[DateTo]]),0,IF(CONT_TEA[[#This Row],[DateFrom]]=CONT_TEA[[#This Row],[DateTo]],0,IF(CONT_TEA[[#This Row],[DateFrom]]&lt;CONT_TEA[[#This Row],[DateTo]],0,1)))</f>
        <v>0</v>
      </c>
      <c r="T98" s="57" cm="1">
        <f t="array" aca="1" ref="T98" ca="1">IF(CELL("format",CONT_TEA[[#This Row],[DateFrom]])="D1",0,1)+IF(CELL("format",CONT_TEA[[#This Row],[DateTo]])="D1",0,1)</f>
        <v>0</v>
      </c>
      <c r="U98" s="57">
        <f>IF(OR(CONT_TEA[[#This Row],[MatEditOnly]]=TRUE,CONT_TEA[[#This Row],[MatEditOnly]]=FALSE),IF(OR(CONT_TEA[[#This Row],[NoIncrement]]=TRUE,CONT_TEA[[#This Row],[NoIncrement]]=FALSE),0,1),1)</f>
        <v>0</v>
      </c>
      <c r="V98" s="57">
        <f>IF(ISBLANK(CONT_TEA[[#This Row],[FundCode]])=TRUE,0,IF(COUNTIF(FUNDS[FundCode],CONT_TEA[[#This Row],[FundCode]])=1,0,1))</f>
        <v>0</v>
      </c>
      <c r="W98" s="57">
        <f>IF(LEN(CONT_TEA[[#This Row],[Notes]])&lt;4000,0,1)</f>
        <v>0</v>
      </c>
      <c r="X98" s="57">
        <f>IF(SUBSTITUTE(TEXT(CONT_TEA[[#This Row],[Reference]],10)," ","")=TEXT(CONT_TEA[[#This Row],[Reference]],10),0,1)</f>
        <v>0</v>
      </c>
      <c r="Y98" s="57">
        <f ca="1">SUM(CONT_TEA[[#This Row],[Duplicate Contract]:[Space in Code]])</f>
        <v>1</v>
      </c>
      <c r="AA98" s="12" t="s">
        <v>2082</v>
      </c>
      <c r="AB98" s="15">
        <v>91073683</v>
      </c>
      <c r="AC98" s="12" t="s">
        <v>4447</v>
      </c>
      <c r="AD98" s="57" t="str">
        <f>_xlfn.XLOOKUP(CONT_TEA[[#This Row],[StaffMemberCode]],StaffMembers!O:O,StaffMembers!R:R)</f>
        <v>Laura Carney-Cox</v>
      </c>
      <c r="AE98" s="12" t="s">
        <v>1178</v>
      </c>
      <c r="AF98" s="57">
        <f>_xlfn.XLOOKUP(CONT_TEA[[#This Row],[SRG]],SRG[StaffRoleGroupCode],SRG[GrossSalaryFinanceCode])</f>
        <v>612100</v>
      </c>
      <c r="AG98" s="57" t="str">
        <f>_xlfn.XLOOKUP(CONT_TEA[[#This Row],[StaffRoleCode]],ROLES[StaffRoleCode],ROLES[StaffRoleGroupCode])</f>
        <v>TEA</v>
      </c>
      <c r="AH98" s="57" t="str">
        <f>_xlfn.XLOOKUP(CONT_TEA[[#This Row],[StaffRoleCode]],ROLES[StaffRoleCode],ROLES[PayScaleCode])</f>
        <v>MAIN</v>
      </c>
      <c r="AI98" s="12" t="s">
        <v>1126</v>
      </c>
      <c r="AJ98" s="12" t="s">
        <v>1745</v>
      </c>
      <c r="AK98" s="12" t="s">
        <v>2499</v>
      </c>
      <c r="AM98" s="68" t="s">
        <v>1147</v>
      </c>
      <c r="AN98" s="13" t="s">
        <v>1702</v>
      </c>
      <c r="AO98" s="21">
        <v>45901</v>
      </c>
      <c r="AQ98" s="12">
        <v>0.9</v>
      </c>
      <c r="AR98" t="b">
        <v>0</v>
      </c>
      <c r="AS98" t="b">
        <v>0</v>
      </c>
      <c r="AT98" s="12" t="s">
        <v>1574</v>
      </c>
    </row>
    <row r="99" spans="1:46" x14ac:dyDescent="0.3">
      <c r="A99" s="57" t="str">
        <f t="shared" si="2"/>
        <v>ALS91073734TEASTCH45901</v>
      </c>
      <c r="B99" s="57">
        <f>COUNTIF(CONT_TEA[Unique Contract],CONT_TEA[[#This Row],[Unique Contract]])-1</f>
        <v>0</v>
      </c>
      <c r="C99" s="57">
        <f>IFERROR(IF(FIND(CONT_TEA[[#This Row],[SchoolCode]],_xlfn.XLOOKUP(CONT_TEA[[#This Row],[StaffMemberCode]],MEMBERS[StaffMemberCode],MEMBERS[SchoolCodes]))&gt;0,0,1),1)</f>
        <v>0</v>
      </c>
      <c r="D99" s="57" cm="1">
        <f t="array" ref="D99">IF(_xlfn.XLOOKUP(CONT_TEA[[#This Row],[StaffRoleCode]],ROLES[StaffRoleCode],ROLES[AvailableToAllSchools],1,0,)=TRUE,0,IF(ISERROR(FIND(CONT_TEA[[#This Row],[SchoolCode]],_xlfn.TEXTJOIN(",",TRUE,_xlfn.UNIQUE(IF(ROLES[StaffRoleCode]=CONT_TEA[[#This Row],[StaffRoleCode]],ROLES[SchoolCodes],""))))),1,0))</f>
        <v>0</v>
      </c>
      <c r="E99" s="57" cm="1">
        <f t="array" ref="E9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99" s="57" cm="1">
        <f t="array" ref="F99">IF(_xlfn.XLOOKUP(CONT_TEA[[#This Row],[PayScaleCode]],PAYSCALES[PayScaleCode],PAYSCALES[AvailableToAllSchools],1,0,)=TRUE,0,IF(ISERROR(FIND(CONT_TEA[[#This Row],[SchoolCode]],_xlfn.TEXTJOIN(",",TRUE,_xlfn.UNIQUE(IF(PAYSCALES[PayScaleCode]=CONT_TEA[[#This Row],[PayScaleCode]],PAYSCALES[SchoolCodes],""))))),1,0))</f>
        <v>0</v>
      </c>
      <c r="G99" s="57">
        <f>IF(_xlfn.XLOOKUP(CONT_TEA[[#This Row],[PayScaleGradeCode]],GRADES[PayScaleGradeCode],GRADES[AvailableToAllSchools])=TRUE,0,IFERROR(IF(FIND(CONT_TEA[[#This Row],[SchoolCode]],_xlfn.XLOOKUP(CONT_TEA[[#This Row],[PayScaleGradeCode]],GRADES[PayScaleGradeCode],GRADES[SchoolCodes]))&gt;=1,0,1),1))</f>
        <v>0</v>
      </c>
      <c r="H99" s="57">
        <f>IF(ISERROR(IF((_xlfn.XLOOKUP(CONT_TEA[[#This Row],[PayScaleGradeCode]],GRADES[PayScaleGradeCode],GRADES[PayScaleCode])=CONT_TEA[[#This Row],[PayScaleCode]]),0,1)),1,0)</f>
        <v>0</v>
      </c>
      <c r="I99" s="57" cm="1">
        <f t="array" ref="I99">IF(ISERROR(FIND(CONT_TEA[[#This Row],[PayScalePointCode]],_xlfn.TEXTJOIN(",",TRUE,IF(PSPOINTS[PayScaleCode]=CONT_TEA[[#This Row],[PayScaleCode]],PSPOINTS[PayScalePointCode])))),1,0)</f>
        <v>0</v>
      </c>
      <c r="J99" s="57" cm="1">
        <f t="array" ref="J9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99" s="57">
        <f>IF(_xlfn.XLOOKUP(CONT_TEA[[#This Row],[PayScalePointCode]],PSPOINTS[PayScalePointCode],PSPOINTS[PayScalePointEnabled])=TRUE,0,1)</f>
        <v>0</v>
      </c>
      <c r="L99" s="57" cm="1">
        <f t="array" ref="L99">IF(_xlfn.XLOOKUP(CONT_TEA[[#This Row],[DepartmentCode]],DEPTS[DepartmentCode],DEPTS[AvailableToAllSchools],1,0,)=TRUE,0,IF(ISERROR(FIND(CONT_TEA[[#This Row],[SchoolCode]],_xlfn.TEXTJOIN(",",TRUE,_xlfn.UNIQUE(IF(DEPTS[DepartmentCode]=CONT_TEA[[#This Row],[DepartmentCode]],DEPTS[SchoolCodes],""))))),1,0))</f>
        <v>0</v>
      </c>
      <c r="M99" s="57">
        <f>IFERROR(IF(_xlfn.XLOOKUP(CONT_TEA[[#This Row],[SRG Gross]],FinanceCodesBudget[FinanceCode],FinanceCodesBudget[LedgerCode])=_xlfn.XLOOKUP(CONT_TEA[[#This Row],[DepartmentCode]],DEPTS[DepartmentCode],DEPTS[LedgerCode]),0,1),1)</f>
        <v>1</v>
      </c>
      <c r="N99" s="57" cm="1">
        <f t="array" ref="N99">IF(_xlfn.XLOOKUP(CONT_TEA[[#This Row],[PensionCode]],PENS[PensionCode],PENS[AvailableToAllSchools],1,0,)=TRUE,0,IF(ISERROR(FIND(CONT_TEA[[#This Row],[SchoolCode]],_xlfn.TEXTJOIN(",",TRUE,_xlfn.UNIQUE(IF(PENS[PensionCode]=CONT_TEA[[#This Row],[PensionCode]],PENS[SchoolCodes],""))))),1,0))</f>
        <v>0</v>
      </c>
      <c r="O99" s="57" cm="1">
        <f t="array" ref="O99">IF(_xlfn.XLOOKUP(CONT_TEA[[#This Row],[EquatedWeekPatternCode]],EQW[EquatedWeekPatternCode],EQW[AvailableToAllSchools],1,0,)=TRUE,0,IF(ISERROR(FIND(CONT_TEA[[#This Row],[SchoolCode]],_xlfn.TEXTJOIN(",",TRUE,_xlfn.UNIQUE(IF(EQW[EquatedWeekPatternCode]=CONT_TEA[[#This Row],[EquatedWeekPatternCode]],EQW[SchoolCodes],""))))),1,0))</f>
        <v>0</v>
      </c>
      <c r="P99" s="57">
        <f>1-COUNTIF(ContractTypes[Code],CONT_TEA[[#This Row],[ContractTypeCode]])</f>
        <v>0</v>
      </c>
      <c r="Q99" s="57">
        <f>IF(VLOOKUP(CONT_TEA[[#This Row],[StaffMemberCode]],MEMBERS[[StaffMemberCode]:[ServiceStartDate]],5,0)&gt;CONT_TEA[[#This Row],[DateFrom]],1,0)</f>
        <v>0</v>
      </c>
      <c r="R99" s="57">
        <f>IF(_xlfn.XLOOKUP(CONT_TEA[[#This Row],[StaffMemberCode]],MEMBERS[StaffMemberCode],MEMBERS[ServiceEndDate])="",0,IF(CONT_TEA[[#This Row],[DateTo]]="",1,IF(_xlfn.XLOOKUP(CONT_TEA[[#This Row],[StaffMemberCode]],MEMBERS[StaffMemberCode],MEMBERS[ServiceEndDate])&lt;CONT_TEA[[#This Row],[DateTo]],1,0)))</f>
        <v>0</v>
      </c>
      <c r="S99" s="57">
        <f>IF(ISBLANK(CONT_TEA[[#This Row],[DateTo]]),0,IF(CONT_TEA[[#This Row],[DateFrom]]=CONT_TEA[[#This Row],[DateTo]],0,IF(CONT_TEA[[#This Row],[DateFrom]]&lt;CONT_TEA[[#This Row],[DateTo]],0,1)))</f>
        <v>0</v>
      </c>
      <c r="T99" s="57" cm="1">
        <f t="array" aca="1" ref="T99" ca="1">IF(CELL("format",CONT_TEA[[#This Row],[DateFrom]])="D1",0,1)+IF(CELL("format",CONT_TEA[[#This Row],[DateTo]])="D1",0,1)</f>
        <v>0</v>
      </c>
      <c r="U99" s="57">
        <f>IF(OR(CONT_TEA[[#This Row],[MatEditOnly]]=TRUE,CONT_TEA[[#This Row],[MatEditOnly]]=FALSE),IF(OR(CONT_TEA[[#This Row],[NoIncrement]]=TRUE,CONT_TEA[[#This Row],[NoIncrement]]=FALSE),0,1),1)</f>
        <v>0</v>
      </c>
      <c r="V99" s="57">
        <f>IF(ISBLANK(CONT_TEA[[#This Row],[FundCode]])=TRUE,0,IF(COUNTIF(FUNDS[FundCode],CONT_TEA[[#This Row],[FundCode]])=1,0,1))</f>
        <v>0</v>
      </c>
      <c r="W99" s="57">
        <f>IF(LEN(CONT_TEA[[#This Row],[Notes]])&lt;4000,0,1)</f>
        <v>0</v>
      </c>
      <c r="X99" s="57">
        <f>IF(SUBSTITUTE(TEXT(CONT_TEA[[#This Row],[Reference]],10)," ","")=TEXT(CONT_TEA[[#This Row],[Reference]],10),0,1)</f>
        <v>0</v>
      </c>
      <c r="Y99" s="57">
        <f ca="1">SUM(CONT_TEA[[#This Row],[Duplicate Contract]:[Space in Code]])</f>
        <v>1</v>
      </c>
      <c r="AA99" s="12" t="s">
        <v>2082</v>
      </c>
      <c r="AB99" s="15">
        <v>91073734</v>
      </c>
      <c r="AD99" s="57" t="str">
        <f>_xlfn.XLOOKUP(CONT_TEA[[#This Row],[StaffMemberCode]],StaffMembers!O:O,StaffMembers!R:R)</f>
        <v>Bethany Brittain</v>
      </c>
      <c r="AE99" s="12" t="s">
        <v>1178</v>
      </c>
      <c r="AF99" s="57">
        <f>_xlfn.XLOOKUP(CONT_TEA[[#This Row],[SRG]],SRG[StaffRoleGroupCode],SRG[GrossSalaryFinanceCode])</f>
        <v>612100</v>
      </c>
      <c r="AG99" s="57" t="str">
        <f>_xlfn.XLOOKUP(CONT_TEA[[#This Row],[StaffRoleCode]],ROLES[StaffRoleCode],ROLES[StaffRoleGroupCode])</f>
        <v>TEA</v>
      </c>
      <c r="AH99" s="57" t="str">
        <f>_xlfn.XLOOKUP(CONT_TEA[[#This Row],[StaffRoleCode]],ROLES[StaffRoleCode],ROLES[PayScaleCode])</f>
        <v>MAIN</v>
      </c>
      <c r="AI99" s="12" t="s">
        <v>1126</v>
      </c>
      <c r="AJ99" s="12" t="s">
        <v>1546</v>
      </c>
      <c r="AK99" s="12" t="s">
        <v>2499</v>
      </c>
      <c r="AM99" s="68" t="s">
        <v>1147</v>
      </c>
      <c r="AN99" s="13" t="s">
        <v>1702</v>
      </c>
      <c r="AO99" s="21">
        <v>45901</v>
      </c>
      <c r="AQ99" s="12">
        <v>1</v>
      </c>
      <c r="AR99" t="b">
        <v>0</v>
      </c>
      <c r="AS99" t="b">
        <v>0</v>
      </c>
      <c r="AT99" s="12" t="s">
        <v>65</v>
      </c>
    </row>
    <row r="100" spans="1:46" x14ac:dyDescent="0.3">
      <c r="A100" s="57" t="str">
        <f t="shared" si="2"/>
        <v>BLS9107353591073535ATEASTCH45901</v>
      </c>
      <c r="B100" s="57">
        <f>COUNTIF(CONT_TEA[Unique Contract],CONT_TEA[[#This Row],[Unique Contract]])-1</f>
        <v>0</v>
      </c>
      <c r="C100" s="57">
        <f>IFERROR(IF(FIND(CONT_TEA[[#This Row],[SchoolCode]],_xlfn.XLOOKUP(CONT_TEA[[#This Row],[StaffMemberCode]],MEMBERS[StaffMemberCode],MEMBERS[SchoolCodes]))&gt;0,0,1),1)</f>
        <v>0</v>
      </c>
      <c r="D100" s="57" cm="1">
        <f t="array" ref="D100">IF(_xlfn.XLOOKUP(CONT_TEA[[#This Row],[StaffRoleCode]],ROLES[StaffRoleCode],ROLES[AvailableToAllSchools],1,0,)=TRUE,0,IF(ISERROR(FIND(CONT_TEA[[#This Row],[SchoolCode]],_xlfn.TEXTJOIN(",",TRUE,_xlfn.UNIQUE(IF(ROLES[StaffRoleCode]=CONT_TEA[[#This Row],[StaffRoleCode]],ROLES[SchoolCodes],""))))),1,0))</f>
        <v>0</v>
      </c>
      <c r="E100" s="57" cm="1">
        <f t="array" ref="E10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00" s="57" cm="1">
        <f t="array" ref="F100">IF(_xlfn.XLOOKUP(CONT_TEA[[#This Row],[PayScaleCode]],PAYSCALES[PayScaleCode],PAYSCALES[AvailableToAllSchools],1,0,)=TRUE,0,IF(ISERROR(FIND(CONT_TEA[[#This Row],[SchoolCode]],_xlfn.TEXTJOIN(",",TRUE,_xlfn.UNIQUE(IF(PAYSCALES[PayScaleCode]=CONT_TEA[[#This Row],[PayScaleCode]],PAYSCALES[SchoolCodes],""))))),1,0))</f>
        <v>0</v>
      </c>
      <c r="G100" s="57">
        <f>IF(_xlfn.XLOOKUP(CONT_TEA[[#This Row],[PayScaleGradeCode]],GRADES[PayScaleGradeCode],GRADES[AvailableToAllSchools])=TRUE,0,IFERROR(IF(FIND(CONT_TEA[[#This Row],[SchoolCode]],_xlfn.XLOOKUP(CONT_TEA[[#This Row],[PayScaleGradeCode]],GRADES[PayScaleGradeCode],GRADES[SchoolCodes]))&gt;=1,0,1),1))</f>
        <v>0</v>
      </c>
      <c r="H100" s="57">
        <f>IF(ISERROR(IF((_xlfn.XLOOKUP(CONT_TEA[[#This Row],[PayScaleGradeCode]],GRADES[PayScaleGradeCode],GRADES[PayScaleCode])=CONT_TEA[[#This Row],[PayScaleCode]]),0,1)),1,0)</f>
        <v>0</v>
      </c>
      <c r="I100" s="57" cm="1">
        <f t="array" ref="I100">IF(ISERROR(FIND(CONT_TEA[[#This Row],[PayScalePointCode]],_xlfn.TEXTJOIN(",",TRUE,IF(PSPOINTS[PayScaleCode]=CONT_TEA[[#This Row],[PayScaleCode]],PSPOINTS[PayScalePointCode])))),1,0)</f>
        <v>0</v>
      </c>
      <c r="J100" s="57" cm="1">
        <f t="array" ref="J10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00" s="57">
        <f>IF(_xlfn.XLOOKUP(CONT_TEA[[#This Row],[PayScalePointCode]],PSPOINTS[PayScalePointCode],PSPOINTS[PayScalePointEnabled])=TRUE,0,1)</f>
        <v>0</v>
      </c>
      <c r="L100" s="57" cm="1">
        <f t="array" ref="L100">IF(_xlfn.XLOOKUP(CONT_TEA[[#This Row],[DepartmentCode]],DEPTS[DepartmentCode],DEPTS[AvailableToAllSchools],1,0,)=TRUE,0,IF(ISERROR(FIND(CONT_TEA[[#This Row],[SchoolCode]],_xlfn.TEXTJOIN(",",TRUE,_xlfn.UNIQUE(IF(DEPTS[DepartmentCode]=CONT_TEA[[#This Row],[DepartmentCode]],DEPTS[SchoolCodes],""))))),1,0))</f>
        <v>0</v>
      </c>
      <c r="M100" s="57">
        <f>IFERROR(IF(_xlfn.XLOOKUP(CONT_TEA[[#This Row],[SRG Gross]],FinanceCodesBudget[FinanceCode],FinanceCodesBudget[LedgerCode])=_xlfn.XLOOKUP(CONT_TEA[[#This Row],[DepartmentCode]],DEPTS[DepartmentCode],DEPTS[LedgerCode]),0,1),1)</f>
        <v>1</v>
      </c>
      <c r="N100" s="57" cm="1">
        <f t="array" ref="N100">IF(_xlfn.XLOOKUP(CONT_TEA[[#This Row],[PensionCode]],PENS[PensionCode],PENS[AvailableToAllSchools],1,0,)=TRUE,0,IF(ISERROR(FIND(CONT_TEA[[#This Row],[SchoolCode]],_xlfn.TEXTJOIN(",",TRUE,_xlfn.UNIQUE(IF(PENS[PensionCode]=CONT_TEA[[#This Row],[PensionCode]],PENS[SchoolCodes],""))))),1,0))</f>
        <v>0</v>
      </c>
      <c r="O100" s="57" cm="1">
        <f t="array" ref="O100">IF(_xlfn.XLOOKUP(CONT_TEA[[#This Row],[EquatedWeekPatternCode]],EQW[EquatedWeekPatternCode],EQW[AvailableToAllSchools],1,0,)=TRUE,0,IF(ISERROR(FIND(CONT_TEA[[#This Row],[SchoolCode]],_xlfn.TEXTJOIN(",",TRUE,_xlfn.UNIQUE(IF(EQW[EquatedWeekPatternCode]=CONT_TEA[[#This Row],[EquatedWeekPatternCode]],EQW[SchoolCodes],""))))),1,0))</f>
        <v>0</v>
      </c>
      <c r="P100" s="57">
        <f>1-COUNTIF(ContractTypes[Code],CONT_TEA[[#This Row],[ContractTypeCode]])</f>
        <v>0</v>
      </c>
      <c r="Q100" s="57">
        <f>IF(VLOOKUP(CONT_TEA[[#This Row],[StaffMemberCode]],MEMBERS[[StaffMemberCode]:[ServiceStartDate]],5,0)&gt;CONT_TEA[[#This Row],[DateFrom]],1,0)</f>
        <v>0</v>
      </c>
      <c r="R100" s="57">
        <f>IF(_xlfn.XLOOKUP(CONT_TEA[[#This Row],[StaffMemberCode]],MEMBERS[StaffMemberCode],MEMBERS[ServiceEndDate])="",0,IF(CONT_TEA[[#This Row],[DateTo]]="",1,IF(_xlfn.XLOOKUP(CONT_TEA[[#This Row],[StaffMemberCode]],MEMBERS[StaffMemberCode],MEMBERS[ServiceEndDate])&lt;CONT_TEA[[#This Row],[DateTo]],1,0)))</f>
        <v>0</v>
      </c>
      <c r="S100" s="57">
        <f>IF(ISBLANK(CONT_TEA[[#This Row],[DateTo]]),0,IF(CONT_TEA[[#This Row],[DateFrom]]=CONT_TEA[[#This Row],[DateTo]],0,IF(CONT_TEA[[#This Row],[DateFrom]]&lt;CONT_TEA[[#This Row],[DateTo]],0,1)))</f>
        <v>0</v>
      </c>
      <c r="T100" s="57" cm="1">
        <f t="array" aca="1" ref="T100" ca="1">IF(CELL("format",CONT_TEA[[#This Row],[DateFrom]])="D1",0,1)+IF(CELL("format",CONT_TEA[[#This Row],[DateTo]])="D1",0,1)</f>
        <v>0</v>
      </c>
      <c r="U100" s="57">
        <f>IF(OR(CONT_TEA[[#This Row],[MatEditOnly]]=TRUE,CONT_TEA[[#This Row],[MatEditOnly]]=FALSE),IF(OR(CONT_TEA[[#This Row],[NoIncrement]]=TRUE,CONT_TEA[[#This Row],[NoIncrement]]=FALSE),0,1),1)</f>
        <v>0</v>
      </c>
      <c r="V100" s="57">
        <f>IF(ISBLANK(CONT_TEA[[#This Row],[FundCode]])=TRUE,0,IF(COUNTIF(FUNDS[FundCode],CONT_TEA[[#This Row],[FundCode]])=1,0,1))</f>
        <v>0</v>
      </c>
      <c r="W100" s="57">
        <f>IF(LEN(CONT_TEA[[#This Row],[Notes]])&lt;4000,0,1)</f>
        <v>0</v>
      </c>
      <c r="X100" s="57">
        <f>IF(SUBSTITUTE(TEXT(CONT_TEA[[#This Row],[Reference]],10)," ","")=TEXT(CONT_TEA[[#This Row],[Reference]],10),0,1)</f>
        <v>0</v>
      </c>
      <c r="Y100" s="57">
        <f ca="1">SUM(CONT_TEA[[#This Row],[Duplicate Contract]:[Space in Code]])</f>
        <v>1</v>
      </c>
      <c r="AA100" s="12" t="s">
        <v>2094</v>
      </c>
      <c r="AB100" s="15">
        <v>91073535</v>
      </c>
      <c r="AC100" s="12" t="s">
        <v>4448</v>
      </c>
      <c r="AD100" s="57" t="str">
        <f>_xlfn.XLOOKUP(CONT_TEA[[#This Row],[StaffMemberCode]],StaffMembers!O:O,StaffMembers!R:R)</f>
        <v>Jennifer Spragg</v>
      </c>
      <c r="AE100" s="12" t="s">
        <v>1178</v>
      </c>
      <c r="AF100" s="57">
        <f>_xlfn.XLOOKUP(CONT_TEA[[#This Row],[SRG]],SRG[StaffRoleGroupCode],SRG[GrossSalaryFinanceCode])</f>
        <v>612100</v>
      </c>
      <c r="AG100" s="57" t="str">
        <f>_xlfn.XLOOKUP(CONT_TEA[[#This Row],[StaffRoleCode]],ROLES[StaffRoleCode],ROLES[StaffRoleGroupCode])</f>
        <v>TEA</v>
      </c>
      <c r="AH100" s="57" t="str">
        <f>_xlfn.XLOOKUP(CONT_TEA[[#This Row],[StaffRoleCode]],ROLES[StaffRoleCode],ROLES[PayScaleCode])</f>
        <v>MAIN</v>
      </c>
      <c r="AI100" s="12" t="s">
        <v>1126</v>
      </c>
      <c r="AJ100" s="12" t="s">
        <v>1745</v>
      </c>
      <c r="AK100" s="12" t="s">
        <v>2499</v>
      </c>
      <c r="AM100" s="68" t="s">
        <v>1147</v>
      </c>
      <c r="AN100" s="13" t="s">
        <v>1702</v>
      </c>
      <c r="AO100" s="21">
        <v>45901</v>
      </c>
      <c r="AQ100" s="12">
        <v>0.64</v>
      </c>
      <c r="AR100" t="b">
        <v>0</v>
      </c>
      <c r="AS100" t="b">
        <v>0</v>
      </c>
      <c r="AT100" s="12" t="s">
        <v>1574</v>
      </c>
    </row>
    <row r="101" spans="1:46" x14ac:dyDescent="0.3">
      <c r="A101" s="57" t="str">
        <f t="shared" si="2"/>
        <v>BLS9107357091073570AAHTSTCH45901</v>
      </c>
      <c r="B101" s="57">
        <f>COUNTIF(CONT_TEA[Unique Contract],CONT_TEA[[#This Row],[Unique Contract]])-1</f>
        <v>0</v>
      </c>
      <c r="C101" s="57">
        <f>IFERROR(IF(FIND(CONT_TEA[[#This Row],[SchoolCode]],_xlfn.XLOOKUP(CONT_TEA[[#This Row],[StaffMemberCode]],MEMBERS[StaffMemberCode],MEMBERS[SchoolCodes]))&gt;0,0,1),1)</f>
        <v>0</v>
      </c>
      <c r="D101" s="57" cm="1">
        <f t="array" ref="D101">IF(_xlfn.XLOOKUP(CONT_TEA[[#This Row],[StaffRoleCode]],ROLES[StaffRoleCode],ROLES[AvailableToAllSchools],1,0,)=TRUE,0,IF(ISERROR(FIND(CONT_TEA[[#This Row],[SchoolCode]],_xlfn.TEXTJOIN(",",TRUE,_xlfn.UNIQUE(IF(ROLES[StaffRoleCode]=CONT_TEA[[#This Row],[StaffRoleCode]],ROLES[SchoolCodes],""))))),1,0))</f>
        <v>0</v>
      </c>
      <c r="E101" s="57" cm="1">
        <f t="array" ref="E10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01" s="57" cm="1">
        <f t="array" ref="F101">IF(_xlfn.XLOOKUP(CONT_TEA[[#This Row],[PayScaleCode]],PAYSCALES[PayScaleCode],PAYSCALES[AvailableToAllSchools],1,0,)=TRUE,0,IF(ISERROR(FIND(CONT_TEA[[#This Row],[SchoolCode]],_xlfn.TEXTJOIN(",",TRUE,_xlfn.UNIQUE(IF(PAYSCALES[PayScaleCode]=CONT_TEA[[#This Row],[PayScaleCode]],PAYSCALES[SchoolCodes],""))))),1,0))</f>
        <v>0</v>
      </c>
      <c r="G101" s="57">
        <f>IF(_xlfn.XLOOKUP(CONT_TEA[[#This Row],[PayScaleGradeCode]],GRADES[PayScaleGradeCode],GRADES[AvailableToAllSchools])=TRUE,0,IFERROR(IF(FIND(CONT_TEA[[#This Row],[SchoolCode]],_xlfn.XLOOKUP(CONT_TEA[[#This Row],[PayScaleGradeCode]],GRADES[PayScaleGradeCode],GRADES[SchoolCodes]))&gt;=1,0,1),1))</f>
        <v>0</v>
      </c>
      <c r="H101" s="57">
        <f>IF(ISERROR(IF((_xlfn.XLOOKUP(CONT_TEA[[#This Row],[PayScaleGradeCode]],GRADES[PayScaleGradeCode],GRADES[PayScaleCode])=CONT_TEA[[#This Row],[PayScaleCode]]),0,1)),1,0)</f>
        <v>0</v>
      </c>
      <c r="I101" s="57" cm="1">
        <f t="array" ref="I101">IF(ISERROR(FIND(CONT_TEA[[#This Row],[PayScalePointCode]],_xlfn.TEXTJOIN(",",TRUE,IF(PSPOINTS[PayScaleCode]=CONT_TEA[[#This Row],[PayScaleCode]],PSPOINTS[PayScalePointCode])))),1,0)</f>
        <v>0</v>
      </c>
      <c r="J101" s="57" cm="1">
        <f t="array" ref="J10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01" s="57">
        <f>IF(_xlfn.XLOOKUP(CONT_TEA[[#This Row],[PayScalePointCode]],PSPOINTS[PayScalePointCode],PSPOINTS[PayScalePointEnabled])=TRUE,0,1)</f>
        <v>0</v>
      </c>
      <c r="L101" s="57" cm="1">
        <f t="array" ref="L101">IF(_xlfn.XLOOKUP(CONT_TEA[[#This Row],[DepartmentCode]],DEPTS[DepartmentCode],DEPTS[AvailableToAllSchools],1,0,)=TRUE,0,IF(ISERROR(FIND(CONT_TEA[[#This Row],[SchoolCode]],_xlfn.TEXTJOIN(",",TRUE,_xlfn.UNIQUE(IF(DEPTS[DepartmentCode]=CONT_TEA[[#This Row],[DepartmentCode]],DEPTS[SchoolCodes],""))))),1,0))</f>
        <v>0</v>
      </c>
      <c r="M101" s="57">
        <f>IFERROR(IF(_xlfn.XLOOKUP(CONT_TEA[[#This Row],[SRG Gross]],FinanceCodesBudget[FinanceCode],FinanceCodesBudget[LedgerCode])=_xlfn.XLOOKUP(CONT_TEA[[#This Row],[DepartmentCode]],DEPTS[DepartmentCode],DEPTS[LedgerCode]),0,1),1)</f>
        <v>1</v>
      </c>
      <c r="N101" s="57" cm="1">
        <f t="array" ref="N101">IF(_xlfn.XLOOKUP(CONT_TEA[[#This Row],[PensionCode]],PENS[PensionCode],PENS[AvailableToAllSchools],1,0,)=TRUE,0,IF(ISERROR(FIND(CONT_TEA[[#This Row],[SchoolCode]],_xlfn.TEXTJOIN(",",TRUE,_xlfn.UNIQUE(IF(PENS[PensionCode]=CONT_TEA[[#This Row],[PensionCode]],PENS[SchoolCodes],""))))),1,0))</f>
        <v>0</v>
      </c>
      <c r="O101" s="57" cm="1">
        <f t="array" ref="O101">IF(_xlfn.XLOOKUP(CONT_TEA[[#This Row],[EquatedWeekPatternCode]],EQW[EquatedWeekPatternCode],EQW[AvailableToAllSchools],1,0,)=TRUE,0,IF(ISERROR(FIND(CONT_TEA[[#This Row],[SchoolCode]],_xlfn.TEXTJOIN(",",TRUE,_xlfn.UNIQUE(IF(EQW[EquatedWeekPatternCode]=CONT_TEA[[#This Row],[EquatedWeekPatternCode]],EQW[SchoolCodes],""))))),1,0))</f>
        <v>0</v>
      </c>
      <c r="P101" s="57">
        <f>1-COUNTIF(ContractTypes[Code],CONT_TEA[[#This Row],[ContractTypeCode]])</f>
        <v>0</v>
      </c>
      <c r="Q101" s="57">
        <f>IF(VLOOKUP(CONT_TEA[[#This Row],[StaffMemberCode]],MEMBERS[[StaffMemberCode]:[ServiceStartDate]],5,0)&gt;CONT_TEA[[#This Row],[DateFrom]],1,0)</f>
        <v>0</v>
      </c>
      <c r="R101" s="57">
        <f>IF(_xlfn.XLOOKUP(CONT_TEA[[#This Row],[StaffMemberCode]],MEMBERS[StaffMemberCode],MEMBERS[ServiceEndDate])="",0,IF(CONT_TEA[[#This Row],[DateTo]]="",1,IF(_xlfn.XLOOKUP(CONT_TEA[[#This Row],[StaffMemberCode]],MEMBERS[StaffMemberCode],MEMBERS[ServiceEndDate])&lt;CONT_TEA[[#This Row],[DateTo]],1,0)))</f>
        <v>0</v>
      </c>
      <c r="S101" s="57">
        <f>IF(ISBLANK(CONT_TEA[[#This Row],[DateTo]]),0,IF(CONT_TEA[[#This Row],[DateFrom]]=CONT_TEA[[#This Row],[DateTo]],0,IF(CONT_TEA[[#This Row],[DateFrom]]&lt;CONT_TEA[[#This Row],[DateTo]],0,1)))</f>
        <v>0</v>
      </c>
      <c r="T101" s="57" cm="1">
        <f t="array" aca="1" ref="T101" ca="1">IF(CELL("format",CONT_TEA[[#This Row],[DateFrom]])="D1",0,1)+IF(CELL("format",CONT_TEA[[#This Row],[DateTo]])="D1",0,1)</f>
        <v>0</v>
      </c>
      <c r="U101" s="57">
        <f>IF(OR(CONT_TEA[[#This Row],[MatEditOnly]]=TRUE,CONT_TEA[[#This Row],[MatEditOnly]]=FALSE),IF(OR(CONT_TEA[[#This Row],[NoIncrement]]=TRUE,CONT_TEA[[#This Row],[NoIncrement]]=FALSE),0,1),1)</f>
        <v>0</v>
      </c>
      <c r="V101" s="57">
        <f>IF(ISBLANK(CONT_TEA[[#This Row],[FundCode]])=TRUE,0,IF(COUNTIF(FUNDS[FundCode],CONT_TEA[[#This Row],[FundCode]])=1,0,1))</f>
        <v>0</v>
      </c>
      <c r="W101" s="57">
        <f>IF(LEN(CONT_TEA[[#This Row],[Notes]])&lt;4000,0,1)</f>
        <v>0</v>
      </c>
      <c r="X101" s="57">
        <f>IF(SUBSTITUTE(TEXT(CONT_TEA[[#This Row],[Reference]],10)," ","")=TEXT(CONT_TEA[[#This Row],[Reference]],10),0,1)</f>
        <v>0</v>
      </c>
      <c r="Y101" s="57">
        <f ca="1">SUM(CONT_TEA[[#This Row],[Duplicate Contract]:[Space in Code]])</f>
        <v>1</v>
      </c>
      <c r="AA101" s="12" t="s">
        <v>2094</v>
      </c>
      <c r="AB101" s="15">
        <v>91073570</v>
      </c>
      <c r="AC101" s="12" t="s">
        <v>4449</v>
      </c>
      <c r="AD101" s="57" t="str">
        <f>_xlfn.XLOOKUP(CONT_TEA[[#This Row],[StaffMemberCode]],StaffMembers!O:O,StaffMembers!R:R)</f>
        <v>Jessica Walker</v>
      </c>
      <c r="AE101" s="12" t="s">
        <v>1613</v>
      </c>
      <c r="AF101" s="57">
        <f>_xlfn.XLOOKUP(CONT_TEA[[#This Row],[SRG]],SRG[StaffRoleGroupCode],SRG[GrossSalaryFinanceCode])</f>
        <v>610100</v>
      </c>
      <c r="AG101" s="57" t="str">
        <f>_xlfn.XLOOKUP(CONT_TEA[[#This Row],[StaffRoleCode]],ROLES[StaffRoleCode],ROLES[StaffRoleGroupCode])</f>
        <v>LST</v>
      </c>
      <c r="AH101" s="57" t="str">
        <f>_xlfn.XLOOKUP(CONT_TEA[[#This Row],[StaffRoleCode]],ROLES[StaffRoleCode],ROLES[PayScaleCode])</f>
        <v>LS</v>
      </c>
      <c r="AI101" s="12" t="s">
        <v>3088</v>
      </c>
      <c r="AJ101" s="12" t="s">
        <v>1083</v>
      </c>
      <c r="AK101" s="12" t="s">
        <v>2499</v>
      </c>
      <c r="AM101" s="68" t="s">
        <v>1149</v>
      </c>
      <c r="AN101" s="13" t="s">
        <v>1702</v>
      </c>
      <c r="AO101" s="21">
        <v>45901</v>
      </c>
      <c r="AQ101" s="12">
        <v>1</v>
      </c>
      <c r="AR101" t="b">
        <v>0</v>
      </c>
      <c r="AS101" t="b">
        <v>0</v>
      </c>
      <c r="AT101" s="12" t="s">
        <v>1574</v>
      </c>
    </row>
    <row r="102" spans="1:46" x14ac:dyDescent="0.3">
      <c r="A102" s="57" t="str">
        <f t="shared" si="2"/>
        <v>BLS9107350191073501AAHTSTCH45901</v>
      </c>
      <c r="B102" s="57">
        <f>COUNTIF(CONT_TEA[Unique Contract],CONT_TEA[[#This Row],[Unique Contract]])-1</f>
        <v>0</v>
      </c>
      <c r="C102" s="57">
        <f>IFERROR(IF(FIND(CONT_TEA[[#This Row],[SchoolCode]],_xlfn.XLOOKUP(CONT_TEA[[#This Row],[StaffMemberCode]],MEMBERS[StaffMemberCode],MEMBERS[SchoolCodes]))&gt;0,0,1),1)</f>
        <v>0</v>
      </c>
      <c r="D102" s="57" cm="1">
        <f t="array" ref="D102">IF(_xlfn.XLOOKUP(CONT_TEA[[#This Row],[StaffRoleCode]],ROLES[StaffRoleCode],ROLES[AvailableToAllSchools],1,0,)=TRUE,0,IF(ISERROR(FIND(CONT_TEA[[#This Row],[SchoolCode]],_xlfn.TEXTJOIN(",",TRUE,_xlfn.UNIQUE(IF(ROLES[StaffRoleCode]=CONT_TEA[[#This Row],[StaffRoleCode]],ROLES[SchoolCodes],""))))),1,0))</f>
        <v>0</v>
      </c>
      <c r="E102" s="57" cm="1">
        <f t="array" ref="E10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02" s="57" cm="1">
        <f t="array" ref="F102">IF(_xlfn.XLOOKUP(CONT_TEA[[#This Row],[PayScaleCode]],PAYSCALES[PayScaleCode],PAYSCALES[AvailableToAllSchools],1,0,)=TRUE,0,IF(ISERROR(FIND(CONT_TEA[[#This Row],[SchoolCode]],_xlfn.TEXTJOIN(",",TRUE,_xlfn.UNIQUE(IF(PAYSCALES[PayScaleCode]=CONT_TEA[[#This Row],[PayScaleCode]],PAYSCALES[SchoolCodes],""))))),1,0))</f>
        <v>0</v>
      </c>
      <c r="G102" s="57">
        <f>IF(_xlfn.XLOOKUP(CONT_TEA[[#This Row],[PayScaleGradeCode]],GRADES[PayScaleGradeCode],GRADES[AvailableToAllSchools])=TRUE,0,IFERROR(IF(FIND(CONT_TEA[[#This Row],[SchoolCode]],_xlfn.XLOOKUP(CONT_TEA[[#This Row],[PayScaleGradeCode]],GRADES[PayScaleGradeCode],GRADES[SchoolCodes]))&gt;=1,0,1),1))</f>
        <v>0</v>
      </c>
      <c r="H102" s="57">
        <f>IF(ISERROR(IF((_xlfn.XLOOKUP(CONT_TEA[[#This Row],[PayScaleGradeCode]],GRADES[PayScaleGradeCode],GRADES[PayScaleCode])=CONT_TEA[[#This Row],[PayScaleCode]]),0,1)),1,0)</f>
        <v>0</v>
      </c>
      <c r="I102" s="57" cm="1">
        <f t="array" ref="I102">IF(ISERROR(FIND(CONT_TEA[[#This Row],[PayScalePointCode]],_xlfn.TEXTJOIN(",",TRUE,IF(PSPOINTS[PayScaleCode]=CONT_TEA[[#This Row],[PayScaleCode]],PSPOINTS[PayScalePointCode])))),1,0)</f>
        <v>0</v>
      </c>
      <c r="J102" s="57" cm="1">
        <f t="array" ref="J10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02" s="57">
        <f>IF(_xlfn.XLOOKUP(CONT_TEA[[#This Row],[PayScalePointCode]],PSPOINTS[PayScalePointCode],PSPOINTS[PayScalePointEnabled])=TRUE,0,1)</f>
        <v>0</v>
      </c>
      <c r="L102" s="57" cm="1">
        <f t="array" ref="L102">IF(_xlfn.XLOOKUP(CONT_TEA[[#This Row],[DepartmentCode]],DEPTS[DepartmentCode],DEPTS[AvailableToAllSchools],1,0,)=TRUE,0,IF(ISERROR(FIND(CONT_TEA[[#This Row],[SchoolCode]],_xlfn.TEXTJOIN(",",TRUE,_xlfn.UNIQUE(IF(DEPTS[DepartmentCode]=CONT_TEA[[#This Row],[DepartmentCode]],DEPTS[SchoolCodes],""))))),1,0))</f>
        <v>0</v>
      </c>
      <c r="M102" s="57">
        <f>IFERROR(IF(_xlfn.XLOOKUP(CONT_TEA[[#This Row],[SRG Gross]],FinanceCodesBudget[FinanceCode],FinanceCodesBudget[LedgerCode])=_xlfn.XLOOKUP(CONT_TEA[[#This Row],[DepartmentCode]],DEPTS[DepartmentCode],DEPTS[LedgerCode]),0,1),1)</f>
        <v>1</v>
      </c>
      <c r="N102" s="57" cm="1">
        <f t="array" ref="N102">IF(_xlfn.XLOOKUP(CONT_TEA[[#This Row],[PensionCode]],PENS[PensionCode],PENS[AvailableToAllSchools],1,0,)=TRUE,0,IF(ISERROR(FIND(CONT_TEA[[#This Row],[SchoolCode]],_xlfn.TEXTJOIN(",",TRUE,_xlfn.UNIQUE(IF(PENS[PensionCode]=CONT_TEA[[#This Row],[PensionCode]],PENS[SchoolCodes],""))))),1,0))</f>
        <v>0</v>
      </c>
      <c r="O102" s="57" cm="1">
        <f t="array" ref="O102">IF(_xlfn.XLOOKUP(CONT_TEA[[#This Row],[EquatedWeekPatternCode]],EQW[EquatedWeekPatternCode],EQW[AvailableToAllSchools],1,0,)=TRUE,0,IF(ISERROR(FIND(CONT_TEA[[#This Row],[SchoolCode]],_xlfn.TEXTJOIN(",",TRUE,_xlfn.UNIQUE(IF(EQW[EquatedWeekPatternCode]=CONT_TEA[[#This Row],[EquatedWeekPatternCode]],EQW[SchoolCodes],""))))),1,0))</f>
        <v>0</v>
      </c>
      <c r="P102" s="57">
        <f>1-COUNTIF(ContractTypes[Code],CONT_TEA[[#This Row],[ContractTypeCode]])</f>
        <v>0</v>
      </c>
      <c r="Q102" s="57">
        <f>IF(VLOOKUP(CONT_TEA[[#This Row],[StaffMemberCode]],MEMBERS[[StaffMemberCode]:[ServiceStartDate]],5,0)&gt;CONT_TEA[[#This Row],[DateFrom]],1,0)</f>
        <v>0</v>
      </c>
      <c r="R102" s="57">
        <f>IF(_xlfn.XLOOKUP(CONT_TEA[[#This Row],[StaffMemberCode]],MEMBERS[StaffMemberCode],MEMBERS[ServiceEndDate])="",0,IF(CONT_TEA[[#This Row],[DateTo]]="",1,IF(_xlfn.XLOOKUP(CONT_TEA[[#This Row],[StaffMemberCode]],MEMBERS[StaffMemberCode],MEMBERS[ServiceEndDate])&lt;CONT_TEA[[#This Row],[DateTo]],1,0)))</f>
        <v>0</v>
      </c>
      <c r="S102" s="57">
        <f>IF(ISBLANK(CONT_TEA[[#This Row],[DateTo]]),0,IF(CONT_TEA[[#This Row],[DateFrom]]=CONT_TEA[[#This Row],[DateTo]],0,IF(CONT_TEA[[#This Row],[DateFrom]]&lt;CONT_TEA[[#This Row],[DateTo]],0,1)))</f>
        <v>0</v>
      </c>
      <c r="T102" s="57" cm="1">
        <f t="array" aca="1" ref="T102" ca="1">IF(CELL("format",CONT_TEA[[#This Row],[DateFrom]])="D1",0,1)+IF(CELL("format",CONT_TEA[[#This Row],[DateTo]])="D1",0,1)</f>
        <v>0</v>
      </c>
      <c r="U102" s="57">
        <f>IF(OR(CONT_TEA[[#This Row],[MatEditOnly]]=TRUE,CONT_TEA[[#This Row],[MatEditOnly]]=FALSE),IF(OR(CONT_TEA[[#This Row],[NoIncrement]]=TRUE,CONT_TEA[[#This Row],[NoIncrement]]=FALSE),0,1),1)</f>
        <v>0</v>
      </c>
      <c r="V102" s="57">
        <f>IF(ISBLANK(CONT_TEA[[#This Row],[FundCode]])=TRUE,0,IF(COUNTIF(FUNDS[FundCode],CONT_TEA[[#This Row],[FundCode]])=1,0,1))</f>
        <v>0</v>
      </c>
      <c r="W102" s="57">
        <f>IF(LEN(CONT_TEA[[#This Row],[Notes]])&lt;4000,0,1)</f>
        <v>0</v>
      </c>
      <c r="X102" s="57">
        <f>IF(SUBSTITUTE(TEXT(CONT_TEA[[#This Row],[Reference]],10)," ","")=TEXT(CONT_TEA[[#This Row],[Reference]],10),0,1)</f>
        <v>0</v>
      </c>
      <c r="Y102" s="57">
        <f ca="1">SUM(CONT_TEA[[#This Row],[Duplicate Contract]:[Space in Code]])</f>
        <v>1</v>
      </c>
      <c r="AA102" s="12" t="s">
        <v>2094</v>
      </c>
      <c r="AB102" s="15">
        <v>91073501</v>
      </c>
      <c r="AC102" s="12" t="s">
        <v>4450</v>
      </c>
      <c r="AD102" s="57" t="str">
        <f>_xlfn.XLOOKUP(CONT_TEA[[#This Row],[StaffMemberCode]],StaffMembers!O:O,StaffMembers!R:R)</f>
        <v>Jonathan Mottram</v>
      </c>
      <c r="AE102" s="12" t="s">
        <v>1613</v>
      </c>
      <c r="AF102" s="57">
        <f>_xlfn.XLOOKUP(CONT_TEA[[#This Row],[SRG]],SRG[StaffRoleGroupCode],SRG[GrossSalaryFinanceCode])</f>
        <v>610100</v>
      </c>
      <c r="AG102" s="57" t="str">
        <f>_xlfn.XLOOKUP(CONT_TEA[[#This Row],[StaffRoleCode]],ROLES[StaffRoleCode],ROLES[StaffRoleGroupCode])</f>
        <v>LST</v>
      </c>
      <c r="AH102" s="57" t="str">
        <f>_xlfn.XLOOKUP(CONT_TEA[[#This Row],[StaffRoleCode]],ROLES[StaffRoleCode],ROLES[PayScaleCode])</f>
        <v>LS</v>
      </c>
      <c r="AI102" s="12" t="s">
        <v>3088</v>
      </c>
      <c r="AJ102" s="12" t="s">
        <v>1083</v>
      </c>
      <c r="AK102" s="12" t="s">
        <v>2499</v>
      </c>
      <c r="AM102" s="68" t="s">
        <v>1147</v>
      </c>
      <c r="AN102" s="13" t="s">
        <v>1702</v>
      </c>
      <c r="AO102" s="21">
        <v>45901</v>
      </c>
      <c r="AQ102" s="12">
        <v>1</v>
      </c>
      <c r="AR102" t="b">
        <v>0</v>
      </c>
      <c r="AS102" t="b">
        <v>0</v>
      </c>
      <c r="AT102" s="12" t="s">
        <v>1574</v>
      </c>
    </row>
    <row r="103" spans="1:46" x14ac:dyDescent="0.3">
      <c r="A103" s="57" t="str">
        <f t="shared" si="2"/>
        <v>BLS9107346491073464AAHTSTCH45901</v>
      </c>
      <c r="B103" s="57">
        <f>COUNTIF(CONT_TEA[Unique Contract],CONT_TEA[[#This Row],[Unique Contract]])-1</f>
        <v>0</v>
      </c>
      <c r="C103" s="57">
        <f>IFERROR(IF(FIND(CONT_TEA[[#This Row],[SchoolCode]],_xlfn.XLOOKUP(CONT_TEA[[#This Row],[StaffMemberCode]],MEMBERS[StaffMemberCode],MEMBERS[SchoolCodes]))&gt;0,0,1),1)</f>
        <v>0</v>
      </c>
      <c r="D103" s="57" cm="1">
        <f t="array" ref="D103">IF(_xlfn.XLOOKUP(CONT_TEA[[#This Row],[StaffRoleCode]],ROLES[StaffRoleCode],ROLES[AvailableToAllSchools],1,0,)=TRUE,0,IF(ISERROR(FIND(CONT_TEA[[#This Row],[SchoolCode]],_xlfn.TEXTJOIN(",",TRUE,_xlfn.UNIQUE(IF(ROLES[StaffRoleCode]=CONT_TEA[[#This Row],[StaffRoleCode]],ROLES[SchoolCodes],""))))),1,0))</f>
        <v>0</v>
      </c>
      <c r="E103" s="57" cm="1">
        <f t="array" ref="E10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03" s="57" cm="1">
        <f t="array" ref="F103">IF(_xlfn.XLOOKUP(CONT_TEA[[#This Row],[PayScaleCode]],PAYSCALES[PayScaleCode],PAYSCALES[AvailableToAllSchools],1,0,)=TRUE,0,IF(ISERROR(FIND(CONT_TEA[[#This Row],[SchoolCode]],_xlfn.TEXTJOIN(",",TRUE,_xlfn.UNIQUE(IF(PAYSCALES[PayScaleCode]=CONT_TEA[[#This Row],[PayScaleCode]],PAYSCALES[SchoolCodes],""))))),1,0))</f>
        <v>0</v>
      </c>
      <c r="G103" s="57">
        <f>IF(_xlfn.XLOOKUP(CONT_TEA[[#This Row],[PayScaleGradeCode]],GRADES[PayScaleGradeCode],GRADES[AvailableToAllSchools])=TRUE,0,IFERROR(IF(FIND(CONT_TEA[[#This Row],[SchoolCode]],_xlfn.XLOOKUP(CONT_TEA[[#This Row],[PayScaleGradeCode]],GRADES[PayScaleGradeCode],GRADES[SchoolCodes]))&gt;=1,0,1),1))</f>
        <v>0</v>
      </c>
      <c r="H103" s="57">
        <f>IF(ISERROR(IF((_xlfn.XLOOKUP(CONT_TEA[[#This Row],[PayScaleGradeCode]],GRADES[PayScaleGradeCode],GRADES[PayScaleCode])=CONT_TEA[[#This Row],[PayScaleCode]]),0,1)),1,0)</f>
        <v>0</v>
      </c>
      <c r="I103" s="57" cm="1">
        <f t="array" ref="I103">IF(ISERROR(FIND(CONT_TEA[[#This Row],[PayScalePointCode]],_xlfn.TEXTJOIN(",",TRUE,IF(PSPOINTS[PayScaleCode]=CONT_TEA[[#This Row],[PayScaleCode]],PSPOINTS[PayScalePointCode])))),1,0)</f>
        <v>0</v>
      </c>
      <c r="J103" s="57" cm="1">
        <f t="array" ref="J10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03" s="57">
        <f>IF(_xlfn.XLOOKUP(CONT_TEA[[#This Row],[PayScalePointCode]],PSPOINTS[PayScalePointCode],PSPOINTS[PayScalePointEnabled])=TRUE,0,1)</f>
        <v>0</v>
      </c>
      <c r="L103" s="57" cm="1">
        <f t="array" ref="L103">IF(_xlfn.XLOOKUP(CONT_TEA[[#This Row],[DepartmentCode]],DEPTS[DepartmentCode],DEPTS[AvailableToAllSchools],1,0,)=TRUE,0,IF(ISERROR(FIND(CONT_TEA[[#This Row],[SchoolCode]],_xlfn.TEXTJOIN(",",TRUE,_xlfn.UNIQUE(IF(DEPTS[DepartmentCode]=CONT_TEA[[#This Row],[DepartmentCode]],DEPTS[SchoolCodes],""))))),1,0))</f>
        <v>0</v>
      </c>
      <c r="M103" s="57">
        <f>IFERROR(IF(_xlfn.XLOOKUP(CONT_TEA[[#This Row],[SRG Gross]],FinanceCodesBudget[FinanceCode],FinanceCodesBudget[LedgerCode])=_xlfn.XLOOKUP(CONT_TEA[[#This Row],[DepartmentCode]],DEPTS[DepartmentCode],DEPTS[LedgerCode]),0,1),1)</f>
        <v>1</v>
      </c>
      <c r="N103" s="57" cm="1">
        <f t="array" ref="N103">IF(_xlfn.XLOOKUP(CONT_TEA[[#This Row],[PensionCode]],PENS[PensionCode],PENS[AvailableToAllSchools],1,0,)=TRUE,0,IF(ISERROR(FIND(CONT_TEA[[#This Row],[SchoolCode]],_xlfn.TEXTJOIN(",",TRUE,_xlfn.UNIQUE(IF(PENS[PensionCode]=CONT_TEA[[#This Row],[PensionCode]],PENS[SchoolCodes],""))))),1,0))</f>
        <v>0</v>
      </c>
      <c r="O103" s="57" cm="1">
        <f t="array" ref="O103">IF(_xlfn.XLOOKUP(CONT_TEA[[#This Row],[EquatedWeekPatternCode]],EQW[EquatedWeekPatternCode],EQW[AvailableToAllSchools],1,0,)=TRUE,0,IF(ISERROR(FIND(CONT_TEA[[#This Row],[SchoolCode]],_xlfn.TEXTJOIN(",",TRUE,_xlfn.UNIQUE(IF(EQW[EquatedWeekPatternCode]=CONT_TEA[[#This Row],[EquatedWeekPatternCode]],EQW[SchoolCodes],""))))),1,0))</f>
        <v>0</v>
      </c>
      <c r="P103" s="57">
        <f>1-COUNTIF(ContractTypes[Code],CONT_TEA[[#This Row],[ContractTypeCode]])</f>
        <v>0</v>
      </c>
      <c r="Q103" s="57">
        <f>IF(VLOOKUP(CONT_TEA[[#This Row],[StaffMemberCode]],MEMBERS[[StaffMemberCode]:[ServiceStartDate]],5,0)&gt;CONT_TEA[[#This Row],[DateFrom]],1,0)</f>
        <v>0</v>
      </c>
      <c r="R103" s="57">
        <f>IF(_xlfn.XLOOKUP(CONT_TEA[[#This Row],[StaffMemberCode]],MEMBERS[StaffMemberCode],MEMBERS[ServiceEndDate])="",0,IF(CONT_TEA[[#This Row],[DateTo]]="",1,IF(_xlfn.XLOOKUP(CONT_TEA[[#This Row],[StaffMemberCode]],MEMBERS[StaffMemberCode],MEMBERS[ServiceEndDate])&lt;CONT_TEA[[#This Row],[DateTo]],1,0)))</f>
        <v>0</v>
      </c>
      <c r="S103" s="57">
        <f>IF(ISBLANK(CONT_TEA[[#This Row],[DateTo]]),0,IF(CONT_TEA[[#This Row],[DateFrom]]=CONT_TEA[[#This Row],[DateTo]],0,IF(CONT_TEA[[#This Row],[DateFrom]]&lt;CONT_TEA[[#This Row],[DateTo]],0,1)))</f>
        <v>0</v>
      </c>
      <c r="T103" s="57" cm="1">
        <f t="array" aca="1" ref="T103" ca="1">IF(CELL("format",CONT_TEA[[#This Row],[DateFrom]])="D1",0,1)+IF(CELL("format",CONT_TEA[[#This Row],[DateTo]])="D1",0,1)</f>
        <v>0</v>
      </c>
      <c r="U103" s="57">
        <f>IF(OR(CONT_TEA[[#This Row],[MatEditOnly]]=TRUE,CONT_TEA[[#This Row],[MatEditOnly]]=FALSE),IF(OR(CONT_TEA[[#This Row],[NoIncrement]]=TRUE,CONT_TEA[[#This Row],[NoIncrement]]=FALSE),0,1),1)</f>
        <v>0</v>
      </c>
      <c r="V103" s="57">
        <f>IF(ISBLANK(CONT_TEA[[#This Row],[FundCode]])=TRUE,0,IF(COUNTIF(FUNDS[FundCode],CONT_TEA[[#This Row],[FundCode]])=1,0,1))</f>
        <v>0</v>
      </c>
      <c r="W103" s="57">
        <f>IF(LEN(CONT_TEA[[#This Row],[Notes]])&lt;4000,0,1)</f>
        <v>0</v>
      </c>
      <c r="X103" s="57">
        <f>IF(SUBSTITUTE(TEXT(CONT_TEA[[#This Row],[Reference]],10)," ","")=TEXT(CONT_TEA[[#This Row],[Reference]],10),0,1)</f>
        <v>0</v>
      </c>
      <c r="Y103" s="57">
        <f ca="1">SUM(CONT_TEA[[#This Row],[Duplicate Contract]:[Space in Code]])</f>
        <v>1</v>
      </c>
      <c r="AA103" s="12" t="s">
        <v>2094</v>
      </c>
      <c r="AB103" s="15">
        <v>91073464</v>
      </c>
      <c r="AC103" s="12" t="s">
        <v>4451</v>
      </c>
      <c r="AD103" s="57" t="str">
        <f>_xlfn.XLOOKUP(CONT_TEA[[#This Row],[StaffMemberCode]],StaffMembers!O:O,StaffMembers!R:R)</f>
        <v>Rebecca Dawson</v>
      </c>
      <c r="AE103" s="12" t="s">
        <v>1613</v>
      </c>
      <c r="AF103" s="57">
        <f>_xlfn.XLOOKUP(CONT_TEA[[#This Row],[SRG]],SRG[StaffRoleGroupCode],SRG[GrossSalaryFinanceCode])</f>
        <v>610100</v>
      </c>
      <c r="AG103" s="57" t="str">
        <f>_xlfn.XLOOKUP(CONT_TEA[[#This Row],[StaffRoleCode]],ROLES[StaffRoleCode],ROLES[StaffRoleGroupCode])</f>
        <v>LST</v>
      </c>
      <c r="AH103" s="57" t="str">
        <f>_xlfn.XLOOKUP(CONT_TEA[[#This Row],[StaffRoleCode]],ROLES[StaffRoleCode],ROLES[PayScaleCode])</f>
        <v>LS</v>
      </c>
      <c r="AI103" s="12" t="s">
        <v>3089</v>
      </c>
      <c r="AJ103" s="12" t="s">
        <v>1085</v>
      </c>
      <c r="AK103" s="12" t="s">
        <v>2499</v>
      </c>
      <c r="AM103" s="68" t="s">
        <v>1147</v>
      </c>
      <c r="AN103" s="13" t="s">
        <v>1702</v>
      </c>
      <c r="AO103" s="21">
        <v>45901</v>
      </c>
      <c r="AQ103" s="12">
        <v>1</v>
      </c>
      <c r="AR103" t="b">
        <v>0</v>
      </c>
      <c r="AS103" t="b">
        <v>0</v>
      </c>
      <c r="AT103" s="12" t="s">
        <v>1574</v>
      </c>
    </row>
    <row r="104" spans="1:46" x14ac:dyDescent="0.3">
      <c r="A104" s="57" t="str">
        <f t="shared" si="2"/>
        <v>BLS9107348191073481AAHTSTCH45901</v>
      </c>
      <c r="B104" s="57">
        <f>COUNTIF(CONT_TEA[Unique Contract],CONT_TEA[[#This Row],[Unique Contract]])-1</f>
        <v>0</v>
      </c>
      <c r="C104" s="57">
        <f>IFERROR(IF(FIND(CONT_TEA[[#This Row],[SchoolCode]],_xlfn.XLOOKUP(CONT_TEA[[#This Row],[StaffMemberCode]],MEMBERS[StaffMemberCode],MEMBERS[SchoolCodes]))&gt;0,0,1),1)</f>
        <v>0</v>
      </c>
      <c r="D104" s="57" cm="1">
        <f t="array" ref="D104">IF(_xlfn.XLOOKUP(CONT_TEA[[#This Row],[StaffRoleCode]],ROLES[StaffRoleCode],ROLES[AvailableToAllSchools],1,0,)=TRUE,0,IF(ISERROR(FIND(CONT_TEA[[#This Row],[SchoolCode]],_xlfn.TEXTJOIN(",",TRUE,_xlfn.UNIQUE(IF(ROLES[StaffRoleCode]=CONT_TEA[[#This Row],[StaffRoleCode]],ROLES[SchoolCodes],""))))),1,0))</f>
        <v>0</v>
      </c>
      <c r="E104" s="57" cm="1">
        <f t="array" ref="E10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04" s="57" cm="1">
        <f t="array" ref="F104">IF(_xlfn.XLOOKUP(CONT_TEA[[#This Row],[PayScaleCode]],PAYSCALES[PayScaleCode],PAYSCALES[AvailableToAllSchools],1,0,)=TRUE,0,IF(ISERROR(FIND(CONT_TEA[[#This Row],[SchoolCode]],_xlfn.TEXTJOIN(",",TRUE,_xlfn.UNIQUE(IF(PAYSCALES[PayScaleCode]=CONT_TEA[[#This Row],[PayScaleCode]],PAYSCALES[SchoolCodes],""))))),1,0))</f>
        <v>0</v>
      </c>
      <c r="G104" s="57">
        <f>IF(_xlfn.XLOOKUP(CONT_TEA[[#This Row],[PayScaleGradeCode]],GRADES[PayScaleGradeCode],GRADES[AvailableToAllSchools])=TRUE,0,IFERROR(IF(FIND(CONT_TEA[[#This Row],[SchoolCode]],_xlfn.XLOOKUP(CONT_TEA[[#This Row],[PayScaleGradeCode]],GRADES[PayScaleGradeCode],GRADES[SchoolCodes]))&gt;=1,0,1),1))</f>
        <v>0</v>
      </c>
      <c r="H104" s="57">
        <f>IF(ISERROR(IF((_xlfn.XLOOKUP(CONT_TEA[[#This Row],[PayScaleGradeCode]],GRADES[PayScaleGradeCode],GRADES[PayScaleCode])=CONT_TEA[[#This Row],[PayScaleCode]]),0,1)),1,0)</f>
        <v>0</v>
      </c>
      <c r="I104" s="57" cm="1">
        <f t="array" ref="I104">IF(ISERROR(FIND(CONT_TEA[[#This Row],[PayScalePointCode]],_xlfn.TEXTJOIN(",",TRUE,IF(PSPOINTS[PayScaleCode]=CONT_TEA[[#This Row],[PayScaleCode]],PSPOINTS[PayScalePointCode])))),1,0)</f>
        <v>0</v>
      </c>
      <c r="J104" s="57" cm="1">
        <f t="array" ref="J10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04" s="57">
        <f>IF(_xlfn.XLOOKUP(CONT_TEA[[#This Row],[PayScalePointCode]],PSPOINTS[PayScalePointCode],PSPOINTS[PayScalePointEnabled])=TRUE,0,1)</f>
        <v>0</v>
      </c>
      <c r="L104" s="57" cm="1">
        <f t="array" ref="L104">IF(_xlfn.XLOOKUP(CONT_TEA[[#This Row],[DepartmentCode]],DEPTS[DepartmentCode],DEPTS[AvailableToAllSchools],1,0,)=TRUE,0,IF(ISERROR(FIND(CONT_TEA[[#This Row],[SchoolCode]],_xlfn.TEXTJOIN(",",TRUE,_xlfn.UNIQUE(IF(DEPTS[DepartmentCode]=CONT_TEA[[#This Row],[DepartmentCode]],DEPTS[SchoolCodes],""))))),1,0))</f>
        <v>0</v>
      </c>
      <c r="M104" s="57">
        <f>IFERROR(IF(_xlfn.XLOOKUP(CONT_TEA[[#This Row],[SRG Gross]],FinanceCodesBudget[FinanceCode],FinanceCodesBudget[LedgerCode])=_xlfn.XLOOKUP(CONT_TEA[[#This Row],[DepartmentCode]],DEPTS[DepartmentCode],DEPTS[LedgerCode]),0,1),1)</f>
        <v>1</v>
      </c>
      <c r="N104" s="57" cm="1">
        <f t="array" ref="N104">IF(_xlfn.XLOOKUP(CONT_TEA[[#This Row],[PensionCode]],PENS[PensionCode],PENS[AvailableToAllSchools],1,0,)=TRUE,0,IF(ISERROR(FIND(CONT_TEA[[#This Row],[SchoolCode]],_xlfn.TEXTJOIN(",",TRUE,_xlfn.UNIQUE(IF(PENS[PensionCode]=CONT_TEA[[#This Row],[PensionCode]],PENS[SchoolCodes],""))))),1,0))</f>
        <v>0</v>
      </c>
      <c r="O104" s="57" cm="1">
        <f t="array" ref="O104">IF(_xlfn.XLOOKUP(CONT_TEA[[#This Row],[EquatedWeekPatternCode]],EQW[EquatedWeekPatternCode],EQW[AvailableToAllSchools],1,0,)=TRUE,0,IF(ISERROR(FIND(CONT_TEA[[#This Row],[SchoolCode]],_xlfn.TEXTJOIN(",",TRUE,_xlfn.UNIQUE(IF(EQW[EquatedWeekPatternCode]=CONT_TEA[[#This Row],[EquatedWeekPatternCode]],EQW[SchoolCodes],""))))),1,0))</f>
        <v>0</v>
      </c>
      <c r="P104" s="57">
        <f>1-COUNTIF(ContractTypes[Code],CONT_TEA[[#This Row],[ContractTypeCode]])</f>
        <v>0</v>
      </c>
      <c r="Q104" s="57">
        <f>IF(VLOOKUP(CONT_TEA[[#This Row],[StaffMemberCode]],MEMBERS[[StaffMemberCode]:[ServiceStartDate]],5,0)&gt;CONT_TEA[[#This Row],[DateFrom]],1,0)</f>
        <v>0</v>
      </c>
      <c r="R104" s="57">
        <f>IF(_xlfn.XLOOKUP(CONT_TEA[[#This Row],[StaffMemberCode]],MEMBERS[StaffMemberCode],MEMBERS[ServiceEndDate])="",0,IF(CONT_TEA[[#This Row],[DateTo]]="",1,IF(_xlfn.XLOOKUP(CONT_TEA[[#This Row],[StaffMemberCode]],MEMBERS[StaffMemberCode],MEMBERS[ServiceEndDate])&lt;CONT_TEA[[#This Row],[DateTo]],1,0)))</f>
        <v>0</v>
      </c>
      <c r="S104" s="57">
        <f>IF(ISBLANK(CONT_TEA[[#This Row],[DateTo]]),0,IF(CONT_TEA[[#This Row],[DateFrom]]=CONT_TEA[[#This Row],[DateTo]],0,IF(CONT_TEA[[#This Row],[DateFrom]]&lt;CONT_TEA[[#This Row],[DateTo]],0,1)))</f>
        <v>0</v>
      </c>
      <c r="T104" s="57" cm="1">
        <f t="array" aca="1" ref="T104" ca="1">IF(CELL("format",CONT_TEA[[#This Row],[DateFrom]])="D1",0,1)+IF(CELL("format",CONT_TEA[[#This Row],[DateTo]])="D1",0,1)</f>
        <v>0</v>
      </c>
      <c r="U104" s="57">
        <f>IF(OR(CONT_TEA[[#This Row],[MatEditOnly]]=TRUE,CONT_TEA[[#This Row],[MatEditOnly]]=FALSE),IF(OR(CONT_TEA[[#This Row],[NoIncrement]]=TRUE,CONT_TEA[[#This Row],[NoIncrement]]=FALSE),0,1),1)</f>
        <v>0</v>
      </c>
      <c r="V104" s="57">
        <f>IF(ISBLANK(CONT_TEA[[#This Row],[FundCode]])=TRUE,0,IF(COUNTIF(FUNDS[FundCode],CONT_TEA[[#This Row],[FundCode]])=1,0,1))</f>
        <v>0</v>
      </c>
      <c r="W104" s="57">
        <f>IF(LEN(CONT_TEA[[#This Row],[Notes]])&lt;4000,0,1)</f>
        <v>0</v>
      </c>
      <c r="X104" s="57">
        <f>IF(SUBSTITUTE(TEXT(CONT_TEA[[#This Row],[Reference]],10)," ","")=TEXT(CONT_TEA[[#This Row],[Reference]],10),0,1)</f>
        <v>0</v>
      </c>
      <c r="Y104" s="57">
        <f ca="1">SUM(CONT_TEA[[#This Row],[Duplicate Contract]:[Space in Code]])</f>
        <v>1</v>
      </c>
      <c r="AA104" s="12" t="s">
        <v>2094</v>
      </c>
      <c r="AB104" s="15">
        <v>91073481</v>
      </c>
      <c r="AC104" s="12" t="s">
        <v>4452</v>
      </c>
      <c r="AD104" s="57" t="str">
        <f>_xlfn.XLOOKUP(CONT_TEA[[#This Row],[StaffMemberCode]],StaffMembers!O:O,StaffMembers!R:R)</f>
        <v>Sarah O'Neill</v>
      </c>
      <c r="AE104" s="12" t="s">
        <v>1613</v>
      </c>
      <c r="AF104" s="57">
        <f>_xlfn.XLOOKUP(CONT_TEA[[#This Row],[SRG]],SRG[StaffRoleGroupCode],SRG[GrossSalaryFinanceCode])</f>
        <v>610100</v>
      </c>
      <c r="AG104" s="57" t="str">
        <f>_xlfn.XLOOKUP(CONT_TEA[[#This Row],[StaffRoleCode]],ROLES[StaffRoleCode],ROLES[StaffRoleGroupCode])</f>
        <v>LST</v>
      </c>
      <c r="AH104" s="57" t="str">
        <f>_xlfn.XLOOKUP(CONT_TEA[[#This Row],[StaffRoleCode]],ROLES[StaffRoleCode],ROLES[PayScaleCode])</f>
        <v>LS</v>
      </c>
      <c r="AI104" s="12" t="s">
        <v>3088</v>
      </c>
      <c r="AJ104" s="12" t="s">
        <v>1083</v>
      </c>
      <c r="AK104" s="12" t="s">
        <v>2499</v>
      </c>
      <c r="AM104" s="68" t="s">
        <v>1147</v>
      </c>
      <c r="AN104" s="13" t="s">
        <v>1702</v>
      </c>
      <c r="AO104" s="21">
        <v>45901</v>
      </c>
      <c r="AQ104" s="12">
        <v>1</v>
      </c>
      <c r="AR104" t="b">
        <v>0</v>
      </c>
      <c r="AS104" t="b">
        <v>0</v>
      </c>
      <c r="AT104" s="12" t="s">
        <v>1574</v>
      </c>
    </row>
    <row r="105" spans="1:46" x14ac:dyDescent="0.3">
      <c r="A105" s="57" t="str">
        <f t="shared" si="2"/>
        <v>BLS9107358191073581AAHTSTCH45901</v>
      </c>
      <c r="B105" s="57">
        <f>COUNTIF(CONT_TEA[Unique Contract],CONT_TEA[[#This Row],[Unique Contract]])-1</f>
        <v>0</v>
      </c>
      <c r="C105" s="57">
        <f>IFERROR(IF(FIND(CONT_TEA[[#This Row],[SchoolCode]],_xlfn.XLOOKUP(CONT_TEA[[#This Row],[StaffMemberCode]],MEMBERS[StaffMemberCode],MEMBERS[SchoolCodes]))&gt;0,0,1),1)</f>
        <v>0</v>
      </c>
      <c r="D105" s="57" cm="1">
        <f t="array" ref="D105">IF(_xlfn.XLOOKUP(CONT_TEA[[#This Row],[StaffRoleCode]],ROLES[StaffRoleCode],ROLES[AvailableToAllSchools],1,0,)=TRUE,0,IF(ISERROR(FIND(CONT_TEA[[#This Row],[SchoolCode]],_xlfn.TEXTJOIN(",",TRUE,_xlfn.UNIQUE(IF(ROLES[StaffRoleCode]=CONT_TEA[[#This Row],[StaffRoleCode]],ROLES[SchoolCodes],""))))),1,0))</f>
        <v>0</v>
      </c>
      <c r="E105" s="57" cm="1">
        <f t="array" ref="E10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05" s="57" cm="1">
        <f t="array" ref="F105">IF(_xlfn.XLOOKUP(CONT_TEA[[#This Row],[PayScaleCode]],PAYSCALES[PayScaleCode],PAYSCALES[AvailableToAllSchools],1,0,)=TRUE,0,IF(ISERROR(FIND(CONT_TEA[[#This Row],[SchoolCode]],_xlfn.TEXTJOIN(",",TRUE,_xlfn.UNIQUE(IF(PAYSCALES[PayScaleCode]=CONT_TEA[[#This Row],[PayScaleCode]],PAYSCALES[SchoolCodes],""))))),1,0))</f>
        <v>0</v>
      </c>
      <c r="G105" s="57">
        <f>IF(_xlfn.XLOOKUP(CONT_TEA[[#This Row],[PayScaleGradeCode]],GRADES[PayScaleGradeCode],GRADES[AvailableToAllSchools])=TRUE,0,IFERROR(IF(FIND(CONT_TEA[[#This Row],[SchoolCode]],_xlfn.XLOOKUP(CONT_TEA[[#This Row],[PayScaleGradeCode]],GRADES[PayScaleGradeCode],GRADES[SchoolCodes]))&gt;=1,0,1),1))</f>
        <v>0</v>
      </c>
      <c r="H105" s="57">
        <f>IF(ISERROR(IF((_xlfn.XLOOKUP(CONT_TEA[[#This Row],[PayScaleGradeCode]],GRADES[PayScaleGradeCode],GRADES[PayScaleCode])=CONT_TEA[[#This Row],[PayScaleCode]]),0,1)),1,0)</f>
        <v>0</v>
      </c>
      <c r="I105" s="57" cm="1">
        <f t="array" ref="I105">IF(ISERROR(FIND(CONT_TEA[[#This Row],[PayScalePointCode]],_xlfn.TEXTJOIN(",",TRUE,IF(PSPOINTS[PayScaleCode]=CONT_TEA[[#This Row],[PayScaleCode]],PSPOINTS[PayScalePointCode])))),1,0)</f>
        <v>0</v>
      </c>
      <c r="J105" s="57" cm="1">
        <f t="array" ref="J10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05" s="57">
        <f>IF(_xlfn.XLOOKUP(CONT_TEA[[#This Row],[PayScalePointCode]],PSPOINTS[PayScalePointCode],PSPOINTS[PayScalePointEnabled])=TRUE,0,1)</f>
        <v>0</v>
      </c>
      <c r="L105" s="57" cm="1">
        <f t="array" ref="L105">IF(_xlfn.XLOOKUP(CONT_TEA[[#This Row],[DepartmentCode]],DEPTS[DepartmentCode],DEPTS[AvailableToAllSchools],1,0,)=TRUE,0,IF(ISERROR(FIND(CONT_TEA[[#This Row],[SchoolCode]],_xlfn.TEXTJOIN(",",TRUE,_xlfn.UNIQUE(IF(DEPTS[DepartmentCode]=CONT_TEA[[#This Row],[DepartmentCode]],DEPTS[SchoolCodes],""))))),1,0))</f>
        <v>0</v>
      </c>
      <c r="M105" s="57">
        <f>IFERROR(IF(_xlfn.XLOOKUP(CONT_TEA[[#This Row],[SRG Gross]],FinanceCodesBudget[FinanceCode],FinanceCodesBudget[LedgerCode])=_xlfn.XLOOKUP(CONT_TEA[[#This Row],[DepartmentCode]],DEPTS[DepartmentCode],DEPTS[LedgerCode]),0,1),1)</f>
        <v>1</v>
      </c>
      <c r="N105" s="57" cm="1">
        <f t="array" ref="N105">IF(_xlfn.XLOOKUP(CONT_TEA[[#This Row],[PensionCode]],PENS[PensionCode],PENS[AvailableToAllSchools],1,0,)=TRUE,0,IF(ISERROR(FIND(CONT_TEA[[#This Row],[SchoolCode]],_xlfn.TEXTJOIN(",",TRUE,_xlfn.UNIQUE(IF(PENS[PensionCode]=CONT_TEA[[#This Row],[PensionCode]],PENS[SchoolCodes],""))))),1,0))</f>
        <v>0</v>
      </c>
      <c r="O105" s="57" cm="1">
        <f t="array" ref="O105">IF(_xlfn.XLOOKUP(CONT_TEA[[#This Row],[EquatedWeekPatternCode]],EQW[EquatedWeekPatternCode],EQW[AvailableToAllSchools],1,0,)=TRUE,0,IF(ISERROR(FIND(CONT_TEA[[#This Row],[SchoolCode]],_xlfn.TEXTJOIN(",",TRUE,_xlfn.UNIQUE(IF(EQW[EquatedWeekPatternCode]=CONT_TEA[[#This Row],[EquatedWeekPatternCode]],EQW[SchoolCodes],""))))),1,0))</f>
        <v>0</v>
      </c>
      <c r="P105" s="57">
        <f>1-COUNTIF(ContractTypes[Code],CONT_TEA[[#This Row],[ContractTypeCode]])</f>
        <v>0</v>
      </c>
      <c r="Q105" s="57">
        <f>IF(VLOOKUP(CONT_TEA[[#This Row],[StaffMemberCode]],MEMBERS[[StaffMemberCode]:[ServiceStartDate]],5,0)&gt;CONT_TEA[[#This Row],[DateFrom]],1,0)</f>
        <v>0</v>
      </c>
      <c r="R105" s="57">
        <f>IF(_xlfn.XLOOKUP(CONT_TEA[[#This Row],[StaffMemberCode]],MEMBERS[StaffMemberCode],MEMBERS[ServiceEndDate])="",0,IF(CONT_TEA[[#This Row],[DateTo]]="",1,IF(_xlfn.XLOOKUP(CONT_TEA[[#This Row],[StaffMemberCode]],MEMBERS[StaffMemberCode],MEMBERS[ServiceEndDate])&lt;CONT_TEA[[#This Row],[DateTo]],1,0)))</f>
        <v>0</v>
      </c>
      <c r="S105" s="57">
        <f>IF(ISBLANK(CONT_TEA[[#This Row],[DateTo]]),0,IF(CONT_TEA[[#This Row],[DateFrom]]=CONT_TEA[[#This Row],[DateTo]],0,IF(CONT_TEA[[#This Row],[DateFrom]]&lt;CONT_TEA[[#This Row],[DateTo]],0,1)))</f>
        <v>0</v>
      </c>
      <c r="T105" s="57" cm="1">
        <f t="array" aca="1" ref="T105" ca="1">IF(CELL("format",CONT_TEA[[#This Row],[DateFrom]])="D1",0,1)+IF(CELL("format",CONT_TEA[[#This Row],[DateTo]])="D1",0,1)</f>
        <v>0</v>
      </c>
      <c r="U105" s="57">
        <f>IF(OR(CONT_TEA[[#This Row],[MatEditOnly]]=TRUE,CONT_TEA[[#This Row],[MatEditOnly]]=FALSE),IF(OR(CONT_TEA[[#This Row],[NoIncrement]]=TRUE,CONT_TEA[[#This Row],[NoIncrement]]=FALSE),0,1),1)</f>
        <v>0</v>
      </c>
      <c r="V105" s="57">
        <f>IF(ISBLANK(CONT_TEA[[#This Row],[FundCode]])=TRUE,0,IF(COUNTIF(FUNDS[FundCode],CONT_TEA[[#This Row],[FundCode]])=1,0,1))</f>
        <v>0</v>
      </c>
      <c r="W105" s="57">
        <f>IF(LEN(CONT_TEA[[#This Row],[Notes]])&lt;4000,0,1)</f>
        <v>0</v>
      </c>
      <c r="X105" s="57">
        <f>IF(SUBSTITUTE(TEXT(CONT_TEA[[#This Row],[Reference]],10)," ","")=TEXT(CONT_TEA[[#This Row],[Reference]],10),0,1)</f>
        <v>0</v>
      </c>
      <c r="Y105" s="57">
        <f ca="1">SUM(CONT_TEA[[#This Row],[Duplicate Contract]:[Space in Code]])</f>
        <v>1</v>
      </c>
      <c r="AA105" s="12" t="s">
        <v>2094</v>
      </c>
      <c r="AB105" s="15">
        <v>91073581</v>
      </c>
      <c r="AC105" s="12" t="s">
        <v>4453</v>
      </c>
      <c r="AD105" s="57" t="str">
        <f>_xlfn.XLOOKUP(CONT_TEA[[#This Row],[StaffMemberCode]],StaffMembers!O:O,StaffMembers!R:R)</f>
        <v>Toby Ward</v>
      </c>
      <c r="AE105" s="12" t="s">
        <v>1613</v>
      </c>
      <c r="AF105" s="57">
        <f>_xlfn.XLOOKUP(CONT_TEA[[#This Row],[SRG]],SRG[StaffRoleGroupCode],SRG[GrossSalaryFinanceCode])</f>
        <v>610100</v>
      </c>
      <c r="AG105" s="57" t="str">
        <f>_xlfn.XLOOKUP(CONT_TEA[[#This Row],[StaffRoleCode]],ROLES[StaffRoleCode],ROLES[StaffRoleGroupCode])</f>
        <v>LST</v>
      </c>
      <c r="AH105" s="57" t="str">
        <f>_xlfn.XLOOKUP(CONT_TEA[[#This Row],[StaffRoleCode]],ROLES[StaffRoleCode],ROLES[PayScaleCode])</f>
        <v>LS</v>
      </c>
      <c r="AI105" s="12" t="s">
        <v>3089</v>
      </c>
      <c r="AJ105" s="12" t="s">
        <v>1085</v>
      </c>
      <c r="AK105" s="12" t="s">
        <v>2499</v>
      </c>
      <c r="AM105" s="68" t="s">
        <v>1147</v>
      </c>
      <c r="AN105" s="13" t="s">
        <v>1702</v>
      </c>
      <c r="AO105" s="21">
        <v>45901</v>
      </c>
      <c r="AQ105" s="12">
        <v>1</v>
      </c>
      <c r="AR105" t="b">
        <v>0</v>
      </c>
      <c r="AS105" t="b">
        <v>0</v>
      </c>
      <c r="AT105" s="12" t="s">
        <v>1574</v>
      </c>
    </row>
    <row r="106" spans="1:46" x14ac:dyDescent="0.3">
      <c r="A106" s="57" t="str">
        <f t="shared" si="2"/>
        <v>BLS9107345991073459ALSTSTCH45901</v>
      </c>
      <c r="B106" s="57">
        <f>COUNTIF(CONT_TEA[Unique Contract],CONT_TEA[[#This Row],[Unique Contract]])-1</f>
        <v>0</v>
      </c>
      <c r="C106" s="57">
        <f>IFERROR(IF(FIND(CONT_TEA[[#This Row],[SchoolCode]],_xlfn.XLOOKUP(CONT_TEA[[#This Row],[StaffMemberCode]],MEMBERS[StaffMemberCode],MEMBERS[SchoolCodes]))&gt;0,0,1),1)</f>
        <v>0</v>
      </c>
      <c r="D106" s="57" cm="1">
        <f t="array" ref="D106">IF(_xlfn.XLOOKUP(CONT_TEA[[#This Row],[StaffRoleCode]],ROLES[StaffRoleCode],ROLES[AvailableToAllSchools],1,0,)=TRUE,0,IF(ISERROR(FIND(CONT_TEA[[#This Row],[SchoolCode]],_xlfn.TEXTJOIN(",",TRUE,_xlfn.UNIQUE(IF(ROLES[StaffRoleCode]=CONT_TEA[[#This Row],[StaffRoleCode]],ROLES[SchoolCodes],""))))),1,0))</f>
        <v>0</v>
      </c>
      <c r="E106" s="57" cm="1">
        <f t="array" ref="E10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06" s="57" cm="1">
        <f t="array" ref="F106">IF(_xlfn.XLOOKUP(CONT_TEA[[#This Row],[PayScaleCode]],PAYSCALES[PayScaleCode],PAYSCALES[AvailableToAllSchools],1,0,)=TRUE,0,IF(ISERROR(FIND(CONT_TEA[[#This Row],[SchoolCode]],_xlfn.TEXTJOIN(",",TRUE,_xlfn.UNIQUE(IF(PAYSCALES[PayScaleCode]=CONT_TEA[[#This Row],[PayScaleCode]],PAYSCALES[SchoolCodes],""))))),1,0))</f>
        <v>0</v>
      </c>
      <c r="G106" s="57">
        <f>IF(_xlfn.XLOOKUP(CONT_TEA[[#This Row],[PayScaleGradeCode]],GRADES[PayScaleGradeCode],GRADES[AvailableToAllSchools])=TRUE,0,IFERROR(IF(FIND(CONT_TEA[[#This Row],[SchoolCode]],_xlfn.XLOOKUP(CONT_TEA[[#This Row],[PayScaleGradeCode]],GRADES[PayScaleGradeCode],GRADES[SchoolCodes]))&gt;=1,0,1),1))</f>
        <v>0</v>
      </c>
      <c r="H106" s="57">
        <f>IF(ISERROR(IF((_xlfn.XLOOKUP(CONT_TEA[[#This Row],[PayScaleGradeCode]],GRADES[PayScaleGradeCode],GRADES[PayScaleCode])=CONT_TEA[[#This Row],[PayScaleCode]]),0,1)),1,0)</f>
        <v>0</v>
      </c>
      <c r="I106" s="57" cm="1">
        <f t="array" ref="I106">IF(ISERROR(FIND(CONT_TEA[[#This Row],[PayScalePointCode]],_xlfn.TEXTJOIN(",",TRUE,IF(PSPOINTS[PayScaleCode]=CONT_TEA[[#This Row],[PayScaleCode]],PSPOINTS[PayScalePointCode])))),1,0)</f>
        <v>0</v>
      </c>
      <c r="J106" s="57" cm="1">
        <f t="array" ref="J10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06" s="57">
        <f>IF(_xlfn.XLOOKUP(CONT_TEA[[#This Row],[PayScalePointCode]],PSPOINTS[PayScalePointCode],PSPOINTS[PayScalePointEnabled])=TRUE,0,1)</f>
        <v>0</v>
      </c>
      <c r="L106" s="57" cm="1">
        <f t="array" ref="L106">IF(_xlfn.XLOOKUP(CONT_TEA[[#This Row],[DepartmentCode]],DEPTS[DepartmentCode],DEPTS[AvailableToAllSchools],1,0,)=TRUE,0,IF(ISERROR(FIND(CONT_TEA[[#This Row],[SchoolCode]],_xlfn.TEXTJOIN(",",TRUE,_xlfn.UNIQUE(IF(DEPTS[DepartmentCode]=CONT_TEA[[#This Row],[DepartmentCode]],DEPTS[SchoolCodes],""))))),1,0))</f>
        <v>0</v>
      </c>
      <c r="M106" s="57">
        <f>IFERROR(IF(_xlfn.XLOOKUP(CONT_TEA[[#This Row],[SRG Gross]],FinanceCodesBudget[FinanceCode],FinanceCodesBudget[LedgerCode])=_xlfn.XLOOKUP(CONT_TEA[[#This Row],[DepartmentCode]],DEPTS[DepartmentCode],DEPTS[LedgerCode]),0,1),1)</f>
        <v>1</v>
      </c>
      <c r="N106" s="57" cm="1">
        <f t="array" ref="N106">IF(_xlfn.XLOOKUP(CONT_TEA[[#This Row],[PensionCode]],PENS[PensionCode],PENS[AvailableToAllSchools],1,0,)=TRUE,0,IF(ISERROR(FIND(CONT_TEA[[#This Row],[SchoolCode]],_xlfn.TEXTJOIN(",",TRUE,_xlfn.UNIQUE(IF(PENS[PensionCode]=CONT_TEA[[#This Row],[PensionCode]],PENS[SchoolCodes],""))))),1,0))</f>
        <v>0</v>
      </c>
      <c r="O106" s="57" cm="1">
        <f t="array" ref="O106">IF(_xlfn.XLOOKUP(CONT_TEA[[#This Row],[EquatedWeekPatternCode]],EQW[EquatedWeekPatternCode],EQW[AvailableToAllSchools],1,0,)=TRUE,0,IF(ISERROR(FIND(CONT_TEA[[#This Row],[SchoolCode]],_xlfn.TEXTJOIN(",",TRUE,_xlfn.UNIQUE(IF(EQW[EquatedWeekPatternCode]=CONT_TEA[[#This Row],[EquatedWeekPatternCode]],EQW[SchoolCodes],""))))),1,0))</f>
        <v>0</v>
      </c>
      <c r="P106" s="57">
        <f>1-COUNTIF(ContractTypes[Code],CONT_TEA[[#This Row],[ContractTypeCode]])</f>
        <v>0</v>
      </c>
      <c r="Q106" s="57">
        <f>IF(VLOOKUP(CONT_TEA[[#This Row],[StaffMemberCode]],MEMBERS[[StaffMemberCode]:[ServiceStartDate]],5,0)&gt;CONT_TEA[[#This Row],[DateFrom]],1,0)</f>
        <v>0</v>
      </c>
      <c r="R106" s="57">
        <f>IF(_xlfn.XLOOKUP(CONT_TEA[[#This Row],[StaffMemberCode]],MEMBERS[StaffMemberCode],MEMBERS[ServiceEndDate])="",0,IF(CONT_TEA[[#This Row],[DateTo]]="",1,IF(_xlfn.XLOOKUP(CONT_TEA[[#This Row],[StaffMemberCode]],MEMBERS[StaffMemberCode],MEMBERS[ServiceEndDate])&lt;CONT_TEA[[#This Row],[DateTo]],1,0)))</f>
        <v>0</v>
      </c>
      <c r="S106" s="57">
        <f>IF(ISBLANK(CONT_TEA[[#This Row],[DateTo]]),0,IF(CONT_TEA[[#This Row],[DateFrom]]=CONT_TEA[[#This Row],[DateTo]],0,IF(CONT_TEA[[#This Row],[DateFrom]]&lt;CONT_TEA[[#This Row],[DateTo]],0,1)))</f>
        <v>0</v>
      </c>
      <c r="T106" s="57" cm="1">
        <f t="array" aca="1" ref="T106" ca="1">IF(CELL("format",CONT_TEA[[#This Row],[DateFrom]])="D1",0,1)+IF(CELL("format",CONT_TEA[[#This Row],[DateTo]])="D1",0,1)</f>
        <v>0</v>
      </c>
      <c r="U106" s="57">
        <f>IF(OR(CONT_TEA[[#This Row],[MatEditOnly]]=TRUE,CONT_TEA[[#This Row],[MatEditOnly]]=FALSE),IF(OR(CONT_TEA[[#This Row],[NoIncrement]]=TRUE,CONT_TEA[[#This Row],[NoIncrement]]=FALSE),0,1),1)</f>
        <v>0</v>
      </c>
      <c r="V106" s="57">
        <f>IF(ISBLANK(CONT_TEA[[#This Row],[FundCode]])=TRUE,0,IF(COUNTIF(FUNDS[FundCode],CONT_TEA[[#This Row],[FundCode]])=1,0,1))</f>
        <v>0</v>
      </c>
      <c r="W106" s="57">
        <f>IF(LEN(CONT_TEA[[#This Row],[Notes]])&lt;4000,0,1)</f>
        <v>0</v>
      </c>
      <c r="X106" s="57">
        <f>IF(SUBSTITUTE(TEXT(CONT_TEA[[#This Row],[Reference]],10)," ","")=TEXT(CONT_TEA[[#This Row],[Reference]],10),0,1)</f>
        <v>0</v>
      </c>
      <c r="Y106" s="57">
        <f ca="1">SUM(CONT_TEA[[#This Row],[Duplicate Contract]:[Space in Code]])</f>
        <v>1</v>
      </c>
      <c r="AA106" s="12" t="s">
        <v>2094</v>
      </c>
      <c r="AB106" s="15">
        <v>91073459</v>
      </c>
      <c r="AC106" s="12" t="s">
        <v>4454</v>
      </c>
      <c r="AD106" s="57" t="str">
        <f>_xlfn.XLOOKUP(CONT_TEA[[#This Row],[StaffMemberCode]],StaffMembers!O:O,StaffMembers!R:R)</f>
        <v>Angela Beecher</v>
      </c>
      <c r="AE106" s="12" t="s">
        <v>1174</v>
      </c>
      <c r="AF106" s="57">
        <f>_xlfn.XLOOKUP(CONT_TEA[[#This Row],[SRG]],SRG[StaffRoleGroupCode],SRG[GrossSalaryFinanceCode])</f>
        <v>612100</v>
      </c>
      <c r="AG106" s="57" t="str">
        <f>_xlfn.XLOOKUP(CONT_TEA[[#This Row],[StaffRoleCode]],ROLES[StaffRoleCode],ROLES[StaffRoleGroupCode])</f>
        <v>TEA</v>
      </c>
      <c r="AH106" s="57" t="str">
        <f>_xlfn.XLOOKUP(CONT_TEA[[#This Row],[StaffRoleCode]],ROLES[StaffRoleCode],ROLES[PayScaleCode])</f>
        <v>LS</v>
      </c>
      <c r="AI106" s="12" t="s">
        <v>3088</v>
      </c>
      <c r="AJ106" s="12" t="s">
        <v>1082</v>
      </c>
      <c r="AK106" s="12" t="s">
        <v>2499</v>
      </c>
      <c r="AM106" s="68" t="s">
        <v>1147</v>
      </c>
      <c r="AN106" s="13" t="s">
        <v>1702</v>
      </c>
      <c r="AO106" s="21">
        <v>45901</v>
      </c>
      <c r="AQ106" s="12">
        <v>1</v>
      </c>
      <c r="AR106" t="b">
        <v>0</v>
      </c>
      <c r="AS106" t="b">
        <v>0</v>
      </c>
      <c r="AT106" s="12" t="s">
        <v>1574</v>
      </c>
    </row>
    <row r="107" spans="1:46" x14ac:dyDescent="0.3">
      <c r="A107" s="57" t="str">
        <f t="shared" si="2"/>
        <v>BLS9107344491073444ALSTSTCH45901</v>
      </c>
      <c r="B107" s="57">
        <f>COUNTIF(CONT_TEA[Unique Contract],CONT_TEA[[#This Row],[Unique Contract]])-1</f>
        <v>0</v>
      </c>
      <c r="C107" s="57">
        <f>IFERROR(IF(FIND(CONT_TEA[[#This Row],[SchoolCode]],_xlfn.XLOOKUP(CONT_TEA[[#This Row],[StaffMemberCode]],MEMBERS[StaffMemberCode],MEMBERS[SchoolCodes]))&gt;0,0,1),1)</f>
        <v>0</v>
      </c>
      <c r="D107" s="57" cm="1">
        <f t="array" ref="D107">IF(_xlfn.XLOOKUP(CONT_TEA[[#This Row],[StaffRoleCode]],ROLES[StaffRoleCode],ROLES[AvailableToAllSchools],1,0,)=TRUE,0,IF(ISERROR(FIND(CONT_TEA[[#This Row],[SchoolCode]],_xlfn.TEXTJOIN(",",TRUE,_xlfn.UNIQUE(IF(ROLES[StaffRoleCode]=CONT_TEA[[#This Row],[StaffRoleCode]],ROLES[SchoolCodes],""))))),1,0))</f>
        <v>0</v>
      </c>
      <c r="E107" s="57" cm="1">
        <f t="array" ref="E10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07" s="57" cm="1">
        <f t="array" ref="F107">IF(_xlfn.XLOOKUP(CONT_TEA[[#This Row],[PayScaleCode]],PAYSCALES[PayScaleCode],PAYSCALES[AvailableToAllSchools],1,0,)=TRUE,0,IF(ISERROR(FIND(CONT_TEA[[#This Row],[SchoolCode]],_xlfn.TEXTJOIN(",",TRUE,_xlfn.UNIQUE(IF(PAYSCALES[PayScaleCode]=CONT_TEA[[#This Row],[PayScaleCode]],PAYSCALES[SchoolCodes],""))))),1,0))</f>
        <v>0</v>
      </c>
      <c r="G107" s="57">
        <f>IF(_xlfn.XLOOKUP(CONT_TEA[[#This Row],[PayScaleGradeCode]],GRADES[PayScaleGradeCode],GRADES[AvailableToAllSchools])=TRUE,0,IFERROR(IF(FIND(CONT_TEA[[#This Row],[SchoolCode]],_xlfn.XLOOKUP(CONT_TEA[[#This Row],[PayScaleGradeCode]],GRADES[PayScaleGradeCode],GRADES[SchoolCodes]))&gt;=1,0,1),1))</f>
        <v>0</v>
      </c>
      <c r="H107" s="57">
        <f>IF(ISERROR(IF((_xlfn.XLOOKUP(CONT_TEA[[#This Row],[PayScaleGradeCode]],GRADES[PayScaleGradeCode],GRADES[PayScaleCode])=CONT_TEA[[#This Row],[PayScaleCode]]),0,1)),1,0)</f>
        <v>0</v>
      </c>
      <c r="I107" s="57" cm="1">
        <f t="array" ref="I107">IF(ISERROR(FIND(CONT_TEA[[#This Row],[PayScalePointCode]],_xlfn.TEXTJOIN(",",TRUE,IF(PSPOINTS[PayScaleCode]=CONT_TEA[[#This Row],[PayScaleCode]],PSPOINTS[PayScalePointCode])))),1,0)</f>
        <v>0</v>
      </c>
      <c r="J107" s="57" cm="1">
        <f t="array" ref="J10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07" s="57">
        <f>IF(_xlfn.XLOOKUP(CONT_TEA[[#This Row],[PayScalePointCode]],PSPOINTS[PayScalePointCode],PSPOINTS[PayScalePointEnabled])=TRUE,0,1)</f>
        <v>0</v>
      </c>
      <c r="L107" s="57" cm="1">
        <f t="array" ref="L107">IF(_xlfn.XLOOKUP(CONT_TEA[[#This Row],[DepartmentCode]],DEPTS[DepartmentCode],DEPTS[AvailableToAllSchools],1,0,)=TRUE,0,IF(ISERROR(FIND(CONT_TEA[[#This Row],[SchoolCode]],_xlfn.TEXTJOIN(",",TRUE,_xlfn.UNIQUE(IF(DEPTS[DepartmentCode]=CONT_TEA[[#This Row],[DepartmentCode]],DEPTS[SchoolCodes],""))))),1,0))</f>
        <v>0</v>
      </c>
      <c r="M107" s="57">
        <f>IFERROR(IF(_xlfn.XLOOKUP(CONT_TEA[[#This Row],[SRG Gross]],FinanceCodesBudget[FinanceCode],FinanceCodesBudget[LedgerCode])=_xlfn.XLOOKUP(CONT_TEA[[#This Row],[DepartmentCode]],DEPTS[DepartmentCode],DEPTS[LedgerCode]),0,1),1)</f>
        <v>1</v>
      </c>
      <c r="N107" s="57" cm="1">
        <f t="array" ref="N107">IF(_xlfn.XLOOKUP(CONT_TEA[[#This Row],[PensionCode]],PENS[PensionCode],PENS[AvailableToAllSchools],1,0,)=TRUE,0,IF(ISERROR(FIND(CONT_TEA[[#This Row],[SchoolCode]],_xlfn.TEXTJOIN(",",TRUE,_xlfn.UNIQUE(IF(PENS[PensionCode]=CONT_TEA[[#This Row],[PensionCode]],PENS[SchoolCodes],""))))),1,0))</f>
        <v>0</v>
      </c>
      <c r="O107" s="57" cm="1">
        <f t="array" ref="O107">IF(_xlfn.XLOOKUP(CONT_TEA[[#This Row],[EquatedWeekPatternCode]],EQW[EquatedWeekPatternCode],EQW[AvailableToAllSchools],1,0,)=TRUE,0,IF(ISERROR(FIND(CONT_TEA[[#This Row],[SchoolCode]],_xlfn.TEXTJOIN(",",TRUE,_xlfn.UNIQUE(IF(EQW[EquatedWeekPatternCode]=CONT_TEA[[#This Row],[EquatedWeekPatternCode]],EQW[SchoolCodes],""))))),1,0))</f>
        <v>0</v>
      </c>
      <c r="P107" s="57">
        <f>1-COUNTIF(ContractTypes[Code],CONT_TEA[[#This Row],[ContractTypeCode]])</f>
        <v>0</v>
      </c>
      <c r="Q107" s="57">
        <f>IF(VLOOKUP(CONT_TEA[[#This Row],[StaffMemberCode]],MEMBERS[[StaffMemberCode]:[ServiceStartDate]],5,0)&gt;CONT_TEA[[#This Row],[DateFrom]],1,0)</f>
        <v>0</v>
      </c>
      <c r="R107" s="57">
        <f>IF(_xlfn.XLOOKUP(CONT_TEA[[#This Row],[StaffMemberCode]],MEMBERS[StaffMemberCode],MEMBERS[ServiceEndDate])="",0,IF(CONT_TEA[[#This Row],[DateTo]]="",1,IF(_xlfn.XLOOKUP(CONT_TEA[[#This Row],[StaffMemberCode]],MEMBERS[StaffMemberCode],MEMBERS[ServiceEndDate])&lt;CONT_TEA[[#This Row],[DateTo]],1,0)))</f>
        <v>0</v>
      </c>
      <c r="S107" s="57">
        <f>IF(ISBLANK(CONT_TEA[[#This Row],[DateTo]]),0,IF(CONT_TEA[[#This Row],[DateFrom]]=CONT_TEA[[#This Row],[DateTo]],0,IF(CONT_TEA[[#This Row],[DateFrom]]&lt;CONT_TEA[[#This Row],[DateTo]],0,1)))</f>
        <v>0</v>
      </c>
      <c r="T107" s="57" cm="1">
        <f t="array" aca="1" ref="T107" ca="1">IF(CELL("format",CONT_TEA[[#This Row],[DateFrom]])="D1",0,1)+IF(CELL("format",CONT_TEA[[#This Row],[DateTo]])="D1",0,1)</f>
        <v>0</v>
      </c>
      <c r="U107" s="57">
        <f>IF(OR(CONT_TEA[[#This Row],[MatEditOnly]]=TRUE,CONT_TEA[[#This Row],[MatEditOnly]]=FALSE),IF(OR(CONT_TEA[[#This Row],[NoIncrement]]=TRUE,CONT_TEA[[#This Row],[NoIncrement]]=FALSE),0,1),1)</f>
        <v>0</v>
      </c>
      <c r="V107" s="57">
        <f>IF(ISBLANK(CONT_TEA[[#This Row],[FundCode]])=TRUE,0,IF(COUNTIF(FUNDS[FundCode],CONT_TEA[[#This Row],[FundCode]])=1,0,1))</f>
        <v>0</v>
      </c>
      <c r="W107" s="57">
        <f>IF(LEN(CONT_TEA[[#This Row],[Notes]])&lt;4000,0,1)</f>
        <v>0</v>
      </c>
      <c r="X107" s="57">
        <f>IF(SUBSTITUTE(TEXT(CONT_TEA[[#This Row],[Reference]],10)," ","")=TEXT(CONT_TEA[[#This Row],[Reference]],10),0,1)</f>
        <v>0</v>
      </c>
      <c r="Y107" s="57">
        <f ca="1">SUM(CONT_TEA[[#This Row],[Duplicate Contract]:[Space in Code]])</f>
        <v>1</v>
      </c>
      <c r="AA107" s="12" t="s">
        <v>2094</v>
      </c>
      <c r="AB107" s="15">
        <v>91073444</v>
      </c>
      <c r="AC107" s="12" t="s">
        <v>4455</v>
      </c>
      <c r="AD107" s="57" t="str">
        <f>_xlfn.XLOOKUP(CONT_TEA[[#This Row],[StaffMemberCode]],StaffMembers!O:O,StaffMembers!R:R)</f>
        <v>Ella Robinson</v>
      </c>
      <c r="AE107" s="12" t="s">
        <v>1174</v>
      </c>
      <c r="AF107" s="57">
        <f>_xlfn.XLOOKUP(CONT_TEA[[#This Row],[SRG]],SRG[StaffRoleGroupCode],SRG[GrossSalaryFinanceCode])</f>
        <v>612100</v>
      </c>
      <c r="AG107" s="57" t="str">
        <f>_xlfn.XLOOKUP(CONT_TEA[[#This Row],[StaffRoleCode]],ROLES[StaffRoleCode],ROLES[StaffRoleGroupCode])</f>
        <v>TEA</v>
      </c>
      <c r="AH107" s="57" t="str">
        <f>_xlfn.XLOOKUP(CONT_TEA[[#This Row],[StaffRoleCode]],ROLES[StaffRoleCode],ROLES[PayScaleCode])</f>
        <v>LS</v>
      </c>
      <c r="AI107" s="12" t="s">
        <v>3089</v>
      </c>
      <c r="AJ107" s="12" t="s">
        <v>1086</v>
      </c>
      <c r="AK107" s="12" t="s">
        <v>2499</v>
      </c>
      <c r="AM107" s="68" t="s">
        <v>1147</v>
      </c>
      <c r="AN107" s="13" t="s">
        <v>1702</v>
      </c>
      <c r="AO107" s="21">
        <v>45901</v>
      </c>
      <c r="AQ107" s="12">
        <v>1</v>
      </c>
      <c r="AR107" t="b">
        <v>0</v>
      </c>
      <c r="AS107" t="b">
        <v>0</v>
      </c>
      <c r="AT107" s="12" t="s">
        <v>1574</v>
      </c>
    </row>
    <row r="108" spans="1:46" x14ac:dyDescent="0.3">
      <c r="A108" s="57" t="str">
        <f t="shared" si="2"/>
        <v>BLS9107346791073467ALSTSTCH45901</v>
      </c>
      <c r="B108" s="57">
        <f>COUNTIF(CONT_TEA[Unique Contract],CONT_TEA[[#This Row],[Unique Contract]])-1</f>
        <v>0</v>
      </c>
      <c r="C108" s="57">
        <f>IFERROR(IF(FIND(CONT_TEA[[#This Row],[SchoolCode]],_xlfn.XLOOKUP(CONT_TEA[[#This Row],[StaffMemberCode]],MEMBERS[StaffMemberCode],MEMBERS[SchoolCodes]))&gt;0,0,1),1)</f>
        <v>0</v>
      </c>
      <c r="D108" s="57" cm="1">
        <f t="array" ref="D108">IF(_xlfn.XLOOKUP(CONT_TEA[[#This Row],[StaffRoleCode]],ROLES[StaffRoleCode],ROLES[AvailableToAllSchools],1,0,)=TRUE,0,IF(ISERROR(FIND(CONT_TEA[[#This Row],[SchoolCode]],_xlfn.TEXTJOIN(",",TRUE,_xlfn.UNIQUE(IF(ROLES[StaffRoleCode]=CONT_TEA[[#This Row],[StaffRoleCode]],ROLES[SchoolCodes],""))))),1,0))</f>
        <v>0</v>
      </c>
      <c r="E108" s="57" cm="1">
        <f t="array" ref="E10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08" s="57" cm="1">
        <f t="array" ref="F108">IF(_xlfn.XLOOKUP(CONT_TEA[[#This Row],[PayScaleCode]],PAYSCALES[PayScaleCode],PAYSCALES[AvailableToAllSchools],1,0,)=TRUE,0,IF(ISERROR(FIND(CONT_TEA[[#This Row],[SchoolCode]],_xlfn.TEXTJOIN(",",TRUE,_xlfn.UNIQUE(IF(PAYSCALES[PayScaleCode]=CONT_TEA[[#This Row],[PayScaleCode]],PAYSCALES[SchoolCodes],""))))),1,0))</f>
        <v>0</v>
      </c>
      <c r="G108" s="57">
        <f>IF(_xlfn.XLOOKUP(CONT_TEA[[#This Row],[PayScaleGradeCode]],GRADES[PayScaleGradeCode],GRADES[AvailableToAllSchools])=TRUE,0,IFERROR(IF(FIND(CONT_TEA[[#This Row],[SchoolCode]],_xlfn.XLOOKUP(CONT_TEA[[#This Row],[PayScaleGradeCode]],GRADES[PayScaleGradeCode],GRADES[SchoolCodes]))&gt;=1,0,1),1))</f>
        <v>0</v>
      </c>
      <c r="H108" s="57">
        <f>IF(ISERROR(IF((_xlfn.XLOOKUP(CONT_TEA[[#This Row],[PayScaleGradeCode]],GRADES[PayScaleGradeCode],GRADES[PayScaleCode])=CONT_TEA[[#This Row],[PayScaleCode]]),0,1)),1,0)</f>
        <v>0</v>
      </c>
      <c r="I108" s="57" cm="1">
        <f t="array" ref="I108">IF(ISERROR(FIND(CONT_TEA[[#This Row],[PayScalePointCode]],_xlfn.TEXTJOIN(",",TRUE,IF(PSPOINTS[PayScaleCode]=CONT_TEA[[#This Row],[PayScaleCode]],PSPOINTS[PayScalePointCode])))),1,0)</f>
        <v>0</v>
      </c>
      <c r="J108" s="57" cm="1">
        <f t="array" ref="J10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08" s="57">
        <f>IF(_xlfn.XLOOKUP(CONT_TEA[[#This Row],[PayScalePointCode]],PSPOINTS[PayScalePointCode],PSPOINTS[PayScalePointEnabled])=TRUE,0,1)</f>
        <v>0</v>
      </c>
      <c r="L108" s="57" cm="1">
        <f t="array" ref="L108">IF(_xlfn.XLOOKUP(CONT_TEA[[#This Row],[DepartmentCode]],DEPTS[DepartmentCode],DEPTS[AvailableToAllSchools],1,0,)=TRUE,0,IF(ISERROR(FIND(CONT_TEA[[#This Row],[SchoolCode]],_xlfn.TEXTJOIN(",",TRUE,_xlfn.UNIQUE(IF(DEPTS[DepartmentCode]=CONT_TEA[[#This Row],[DepartmentCode]],DEPTS[SchoolCodes],""))))),1,0))</f>
        <v>0</v>
      </c>
      <c r="M108" s="57">
        <f>IFERROR(IF(_xlfn.XLOOKUP(CONT_TEA[[#This Row],[SRG Gross]],FinanceCodesBudget[FinanceCode],FinanceCodesBudget[LedgerCode])=_xlfn.XLOOKUP(CONT_TEA[[#This Row],[DepartmentCode]],DEPTS[DepartmentCode],DEPTS[LedgerCode]),0,1),1)</f>
        <v>1</v>
      </c>
      <c r="N108" s="57" cm="1">
        <f t="array" ref="N108">IF(_xlfn.XLOOKUP(CONT_TEA[[#This Row],[PensionCode]],PENS[PensionCode],PENS[AvailableToAllSchools],1,0,)=TRUE,0,IF(ISERROR(FIND(CONT_TEA[[#This Row],[SchoolCode]],_xlfn.TEXTJOIN(",",TRUE,_xlfn.UNIQUE(IF(PENS[PensionCode]=CONT_TEA[[#This Row],[PensionCode]],PENS[SchoolCodes],""))))),1,0))</f>
        <v>0</v>
      </c>
      <c r="O108" s="57" cm="1">
        <f t="array" ref="O108">IF(_xlfn.XLOOKUP(CONT_TEA[[#This Row],[EquatedWeekPatternCode]],EQW[EquatedWeekPatternCode],EQW[AvailableToAllSchools],1,0,)=TRUE,0,IF(ISERROR(FIND(CONT_TEA[[#This Row],[SchoolCode]],_xlfn.TEXTJOIN(",",TRUE,_xlfn.UNIQUE(IF(EQW[EquatedWeekPatternCode]=CONT_TEA[[#This Row],[EquatedWeekPatternCode]],EQW[SchoolCodes],""))))),1,0))</f>
        <v>0</v>
      </c>
      <c r="P108" s="57">
        <f>1-COUNTIF(ContractTypes[Code],CONT_TEA[[#This Row],[ContractTypeCode]])</f>
        <v>0</v>
      </c>
      <c r="Q108" s="57">
        <f>IF(VLOOKUP(CONT_TEA[[#This Row],[StaffMemberCode]],MEMBERS[[StaffMemberCode]:[ServiceStartDate]],5,0)&gt;CONT_TEA[[#This Row],[DateFrom]],1,0)</f>
        <v>0</v>
      </c>
      <c r="R108" s="57">
        <f>IF(_xlfn.XLOOKUP(CONT_TEA[[#This Row],[StaffMemberCode]],MEMBERS[StaffMemberCode],MEMBERS[ServiceEndDate])="",0,IF(CONT_TEA[[#This Row],[DateTo]]="",1,IF(_xlfn.XLOOKUP(CONT_TEA[[#This Row],[StaffMemberCode]],MEMBERS[StaffMemberCode],MEMBERS[ServiceEndDate])&lt;CONT_TEA[[#This Row],[DateTo]],1,0)))</f>
        <v>0</v>
      </c>
      <c r="S108" s="57">
        <f>IF(ISBLANK(CONT_TEA[[#This Row],[DateTo]]),0,IF(CONT_TEA[[#This Row],[DateFrom]]=CONT_TEA[[#This Row],[DateTo]],0,IF(CONT_TEA[[#This Row],[DateFrom]]&lt;CONT_TEA[[#This Row],[DateTo]],0,1)))</f>
        <v>0</v>
      </c>
      <c r="T108" s="57" cm="1">
        <f t="array" aca="1" ref="T108" ca="1">IF(CELL("format",CONT_TEA[[#This Row],[DateFrom]])="D1",0,1)+IF(CELL("format",CONT_TEA[[#This Row],[DateTo]])="D1",0,1)</f>
        <v>0</v>
      </c>
      <c r="U108" s="57">
        <f>IF(OR(CONT_TEA[[#This Row],[MatEditOnly]]=TRUE,CONT_TEA[[#This Row],[MatEditOnly]]=FALSE),IF(OR(CONT_TEA[[#This Row],[NoIncrement]]=TRUE,CONT_TEA[[#This Row],[NoIncrement]]=FALSE),0,1),1)</f>
        <v>0</v>
      </c>
      <c r="V108" s="57">
        <f>IF(ISBLANK(CONT_TEA[[#This Row],[FundCode]])=TRUE,0,IF(COUNTIF(FUNDS[FundCode],CONT_TEA[[#This Row],[FundCode]])=1,0,1))</f>
        <v>0</v>
      </c>
      <c r="W108" s="57">
        <f>IF(LEN(CONT_TEA[[#This Row],[Notes]])&lt;4000,0,1)</f>
        <v>0</v>
      </c>
      <c r="X108" s="57">
        <f>IF(SUBSTITUTE(TEXT(CONT_TEA[[#This Row],[Reference]],10)," ","")=TEXT(CONT_TEA[[#This Row],[Reference]],10),0,1)</f>
        <v>0</v>
      </c>
      <c r="Y108" s="57">
        <f ca="1">SUM(CONT_TEA[[#This Row],[Duplicate Contract]:[Space in Code]])</f>
        <v>1</v>
      </c>
      <c r="AA108" s="12" t="s">
        <v>2094</v>
      </c>
      <c r="AB108" s="15">
        <v>91073467</v>
      </c>
      <c r="AC108" s="12" t="s">
        <v>4456</v>
      </c>
      <c r="AD108" s="57" t="str">
        <f>_xlfn.XLOOKUP(CONT_TEA[[#This Row],[StaffMemberCode]],StaffMembers!O:O,StaffMembers!R:R)</f>
        <v>Emma Parkes</v>
      </c>
      <c r="AE108" s="12" t="s">
        <v>1174</v>
      </c>
      <c r="AF108" s="57">
        <f>_xlfn.XLOOKUP(CONT_TEA[[#This Row],[SRG]],SRG[StaffRoleGroupCode],SRG[GrossSalaryFinanceCode])</f>
        <v>612100</v>
      </c>
      <c r="AG108" s="57" t="str">
        <f>_xlfn.XLOOKUP(CONT_TEA[[#This Row],[StaffRoleCode]],ROLES[StaffRoleCode],ROLES[StaffRoleGroupCode])</f>
        <v>TEA</v>
      </c>
      <c r="AH108" s="57" t="str">
        <f>_xlfn.XLOOKUP(CONT_TEA[[#This Row],[StaffRoleCode]],ROLES[StaffRoleCode],ROLES[PayScaleCode])</f>
        <v>LS</v>
      </c>
      <c r="AI108" s="12" t="s">
        <v>3088</v>
      </c>
      <c r="AJ108" s="12" t="s">
        <v>1083</v>
      </c>
      <c r="AK108" s="12" t="s">
        <v>2499</v>
      </c>
      <c r="AM108" s="68" t="s">
        <v>1147</v>
      </c>
      <c r="AN108" s="13" t="s">
        <v>1702</v>
      </c>
      <c r="AO108" s="21">
        <v>45901</v>
      </c>
      <c r="AQ108" s="12">
        <v>1</v>
      </c>
      <c r="AR108" t="b">
        <v>0</v>
      </c>
      <c r="AS108" t="b">
        <v>0</v>
      </c>
      <c r="AT108" s="12" t="s">
        <v>1574</v>
      </c>
    </row>
    <row r="109" spans="1:46" x14ac:dyDescent="0.3">
      <c r="A109" s="57" t="str">
        <f t="shared" si="2"/>
        <v>BLS9107350791073507ALSTSTCH45901</v>
      </c>
      <c r="B109" s="57">
        <f>COUNTIF(CONT_TEA[Unique Contract],CONT_TEA[[#This Row],[Unique Contract]])-1</f>
        <v>0</v>
      </c>
      <c r="C109" s="57">
        <f>IFERROR(IF(FIND(CONT_TEA[[#This Row],[SchoolCode]],_xlfn.XLOOKUP(CONT_TEA[[#This Row],[StaffMemberCode]],MEMBERS[StaffMemberCode],MEMBERS[SchoolCodes]))&gt;0,0,1),1)</f>
        <v>0</v>
      </c>
      <c r="D109" s="57" cm="1">
        <f t="array" ref="D109">IF(_xlfn.XLOOKUP(CONT_TEA[[#This Row],[StaffRoleCode]],ROLES[StaffRoleCode],ROLES[AvailableToAllSchools],1,0,)=TRUE,0,IF(ISERROR(FIND(CONT_TEA[[#This Row],[SchoolCode]],_xlfn.TEXTJOIN(",",TRUE,_xlfn.UNIQUE(IF(ROLES[StaffRoleCode]=CONT_TEA[[#This Row],[StaffRoleCode]],ROLES[SchoolCodes],""))))),1,0))</f>
        <v>0</v>
      </c>
      <c r="E109" s="57" cm="1">
        <f t="array" ref="E10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09" s="57" cm="1">
        <f t="array" ref="F109">IF(_xlfn.XLOOKUP(CONT_TEA[[#This Row],[PayScaleCode]],PAYSCALES[PayScaleCode],PAYSCALES[AvailableToAllSchools],1,0,)=TRUE,0,IF(ISERROR(FIND(CONT_TEA[[#This Row],[SchoolCode]],_xlfn.TEXTJOIN(",",TRUE,_xlfn.UNIQUE(IF(PAYSCALES[PayScaleCode]=CONT_TEA[[#This Row],[PayScaleCode]],PAYSCALES[SchoolCodes],""))))),1,0))</f>
        <v>0</v>
      </c>
      <c r="G109" s="57">
        <f>IF(_xlfn.XLOOKUP(CONT_TEA[[#This Row],[PayScaleGradeCode]],GRADES[PayScaleGradeCode],GRADES[AvailableToAllSchools])=TRUE,0,IFERROR(IF(FIND(CONT_TEA[[#This Row],[SchoolCode]],_xlfn.XLOOKUP(CONT_TEA[[#This Row],[PayScaleGradeCode]],GRADES[PayScaleGradeCode],GRADES[SchoolCodes]))&gt;=1,0,1),1))</f>
        <v>0</v>
      </c>
      <c r="H109" s="57">
        <f>IF(ISERROR(IF((_xlfn.XLOOKUP(CONT_TEA[[#This Row],[PayScaleGradeCode]],GRADES[PayScaleGradeCode],GRADES[PayScaleCode])=CONT_TEA[[#This Row],[PayScaleCode]]),0,1)),1,0)</f>
        <v>0</v>
      </c>
      <c r="I109" s="57" cm="1">
        <f t="array" ref="I109">IF(ISERROR(FIND(CONT_TEA[[#This Row],[PayScalePointCode]],_xlfn.TEXTJOIN(",",TRUE,IF(PSPOINTS[PayScaleCode]=CONT_TEA[[#This Row],[PayScaleCode]],PSPOINTS[PayScalePointCode])))),1,0)</f>
        <v>0</v>
      </c>
      <c r="J109" s="57" cm="1">
        <f t="array" ref="J10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09" s="57">
        <f>IF(_xlfn.XLOOKUP(CONT_TEA[[#This Row],[PayScalePointCode]],PSPOINTS[PayScalePointCode],PSPOINTS[PayScalePointEnabled])=TRUE,0,1)</f>
        <v>0</v>
      </c>
      <c r="L109" s="57" cm="1">
        <f t="array" ref="L109">IF(_xlfn.XLOOKUP(CONT_TEA[[#This Row],[DepartmentCode]],DEPTS[DepartmentCode],DEPTS[AvailableToAllSchools],1,0,)=TRUE,0,IF(ISERROR(FIND(CONT_TEA[[#This Row],[SchoolCode]],_xlfn.TEXTJOIN(",",TRUE,_xlfn.UNIQUE(IF(DEPTS[DepartmentCode]=CONT_TEA[[#This Row],[DepartmentCode]],DEPTS[SchoolCodes],""))))),1,0))</f>
        <v>0</v>
      </c>
      <c r="M109" s="57">
        <f>IFERROR(IF(_xlfn.XLOOKUP(CONT_TEA[[#This Row],[SRG Gross]],FinanceCodesBudget[FinanceCode],FinanceCodesBudget[LedgerCode])=_xlfn.XLOOKUP(CONT_TEA[[#This Row],[DepartmentCode]],DEPTS[DepartmentCode],DEPTS[LedgerCode]),0,1),1)</f>
        <v>1</v>
      </c>
      <c r="N109" s="57" cm="1">
        <f t="array" ref="N109">IF(_xlfn.XLOOKUP(CONT_TEA[[#This Row],[PensionCode]],PENS[PensionCode],PENS[AvailableToAllSchools],1,0,)=TRUE,0,IF(ISERROR(FIND(CONT_TEA[[#This Row],[SchoolCode]],_xlfn.TEXTJOIN(",",TRUE,_xlfn.UNIQUE(IF(PENS[PensionCode]=CONT_TEA[[#This Row],[PensionCode]],PENS[SchoolCodes],""))))),1,0))</f>
        <v>0</v>
      </c>
      <c r="O109" s="57" cm="1">
        <f t="array" ref="O109">IF(_xlfn.XLOOKUP(CONT_TEA[[#This Row],[EquatedWeekPatternCode]],EQW[EquatedWeekPatternCode],EQW[AvailableToAllSchools],1,0,)=TRUE,0,IF(ISERROR(FIND(CONT_TEA[[#This Row],[SchoolCode]],_xlfn.TEXTJOIN(",",TRUE,_xlfn.UNIQUE(IF(EQW[EquatedWeekPatternCode]=CONT_TEA[[#This Row],[EquatedWeekPatternCode]],EQW[SchoolCodes],""))))),1,0))</f>
        <v>0</v>
      </c>
      <c r="P109" s="57">
        <f>1-COUNTIF(ContractTypes[Code],CONT_TEA[[#This Row],[ContractTypeCode]])</f>
        <v>0</v>
      </c>
      <c r="Q109" s="57">
        <f>IF(VLOOKUP(CONT_TEA[[#This Row],[StaffMemberCode]],MEMBERS[[StaffMemberCode]:[ServiceStartDate]],5,0)&gt;CONT_TEA[[#This Row],[DateFrom]],1,0)</f>
        <v>0</v>
      </c>
      <c r="R109" s="57">
        <f>IF(_xlfn.XLOOKUP(CONT_TEA[[#This Row],[StaffMemberCode]],MEMBERS[StaffMemberCode],MEMBERS[ServiceEndDate])="",0,IF(CONT_TEA[[#This Row],[DateTo]]="",1,IF(_xlfn.XLOOKUP(CONT_TEA[[#This Row],[StaffMemberCode]],MEMBERS[StaffMemberCode],MEMBERS[ServiceEndDate])&lt;CONT_TEA[[#This Row],[DateTo]],1,0)))</f>
        <v>0</v>
      </c>
      <c r="S109" s="57">
        <f>IF(ISBLANK(CONT_TEA[[#This Row],[DateTo]]),0,IF(CONT_TEA[[#This Row],[DateFrom]]=CONT_TEA[[#This Row],[DateTo]],0,IF(CONT_TEA[[#This Row],[DateFrom]]&lt;CONT_TEA[[#This Row],[DateTo]],0,1)))</f>
        <v>0</v>
      </c>
      <c r="T109" s="57" cm="1">
        <f t="array" aca="1" ref="T109" ca="1">IF(CELL("format",CONT_TEA[[#This Row],[DateFrom]])="D1",0,1)+IF(CELL("format",CONT_TEA[[#This Row],[DateTo]])="D1",0,1)</f>
        <v>0</v>
      </c>
      <c r="U109" s="57">
        <f>IF(OR(CONT_TEA[[#This Row],[MatEditOnly]]=TRUE,CONT_TEA[[#This Row],[MatEditOnly]]=FALSE),IF(OR(CONT_TEA[[#This Row],[NoIncrement]]=TRUE,CONT_TEA[[#This Row],[NoIncrement]]=FALSE),0,1),1)</f>
        <v>0</v>
      </c>
      <c r="V109" s="57">
        <f>IF(ISBLANK(CONT_TEA[[#This Row],[FundCode]])=TRUE,0,IF(COUNTIF(FUNDS[FundCode],CONT_TEA[[#This Row],[FundCode]])=1,0,1))</f>
        <v>0</v>
      </c>
      <c r="W109" s="57">
        <f>IF(LEN(CONT_TEA[[#This Row],[Notes]])&lt;4000,0,1)</f>
        <v>0</v>
      </c>
      <c r="X109" s="57">
        <f>IF(SUBSTITUTE(TEXT(CONT_TEA[[#This Row],[Reference]],10)," ","")=TEXT(CONT_TEA[[#This Row],[Reference]],10),0,1)</f>
        <v>0</v>
      </c>
      <c r="Y109" s="57">
        <f ca="1">SUM(CONT_TEA[[#This Row],[Duplicate Contract]:[Space in Code]])</f>
        <v>1</v>
      </c>
      <c r="AA109" s="12" t="s">
        <v>2094</v>
      </c>
      <c r="AB109" s="15">
        <v>91073507</v>
      </c>
      <c r="AC109" s="12" t="s">
        <v>4457</v>
      </c>
      <c r="AD109" s="57" t="str">
        <f>_xlfn.XLOOKUP(CONT_TEA[[#This Row],[StaffMemberCode]],StaffMembers!O:O,StaffMembers!R:R)</f>
        <v>Hayley Bailey</v>
      </c>
      <c r="AE109" s="12" t="s">
        <v>1174</v>
      </c>
      <c r="AF109" s="57">
        <f>_xlfn.XLOOKUP(CONT_TEA[[#This Row],[SRG]],SRG[StaffRoleGroupCode],SRG[GrossSalaryFinanceCode])</f>
        <v>612100</v>
      </c>
      <c r="AG109" s="57" t="str">
        <f>_xlfn.XLOOKUP(CONT_TEA[[#This Row],[StaffRoleCode]],ROLES[StaffRoleCode],ROLES[StaffRoleGroupCode])</f>
        <v>TEA</v>
      </c>
      <c r="AH109" s="57" t="str">
        <f>_xlfn.XLOOKUP(CONT_TEA[[#This Row],[StaffRoleCode]],ROLES[StaffRoleCode],ROLES[PayScaleCode])</f>
        <v>LS</v>
      </c>
      <c r="AI109" s="12" t="s">
        <v>3088</v>
      </c>
      <c r="AJ109" s="12" t="s">
        <v>1082</v>
      </c>
      <c r="AK109" s="12" t="s">
        <v>2499</v>
      </c>
      <c r="AM109" s="68" t="s">
        <v>1147</v>
      </c>
      <c r="AN109" s="13" t="s">
        <v>1702</v>
      </c>
      <c r="AO109" s="21">
        <v>45901</v>
      </c>
      <c r="AQ109" s="12">
        <v>0.8</v>
      </c>
      <c r="AR109" t="b">
        <v>0</v>
      </c>
      <c r="AS109" t="b">
        <v>0</v>
      </c>
      <c r="AT109" s="12" t="s">
        <v>1574</v>
      </c>
    </row>
    <row r="110" spans="1:46" x14ac:dyDescent="0.3">
      <c r="A110" s="57" t="str">
        <f t="shared" si="2"/>
        <v>BLS9107357191073571ALSTSTCH45901</v>
      </c>
      <c r="B110" s="57">
        <f>COUNTIF(CONT_TEA[Unique Contract],CONT_TEA[[#This Row],[Unique Contract]])-1</f>
        <v>0</v>
      </c>
      <c r="C110" s="57">
        <f>IFERROR(IF(FIND(CONT_TEA[[#This Row],[SchoolCode]],_xlfn.XLOOKUP(CONT_TEA[[#This Row],[StaffMemberCode]],MEMBERS[StaffMemberCode],MEMBERS[SchoolCodes]))&gt;0,0,1),1)</f>
        <v>0</v>
      </c>
      <c r="D110" s="57" cm="1">
        <f t="array" ref="D110">IF(_xlfn.XLOOKUP(CONT_TEA[[#This Row],[StaffRoleCode]],ROLES[StaffRoleCode],ROLES[AvailableToAllSchools],1,0,)=TRUE,0,IF(ISERROR(FIND(CONT_TEA[[#This Row],[SchoolCode]],_xlfn.TEXTJOIN(",",TRUE,_xlfn.UNIQUE(IF(ROLES[StaffRoleCode]=CONT_TEA[[#This Row],[StaffRoleCode]],ROLES[SchoolCodes],""))))),1,0))</f>
        <v>0</v>
      </c>
      <c r="E110" s="57" cm="1">
        <f t="array" ref="E11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10" s="57" cm="1">
        <f t="array" ref="F110">IF(_xlfn.XLOOKUP(CONT_TEA[[#This Row],[PayScaleCode]],PAYSCALES[PayScaleCode],PAYSCALES[AvailableToAllSchools],1,0,)=TRUE,0,IF(ISERROR(FIND(CONT_TEA[[#This Row],[SchoolCode]],_xlfn.TEXTJOIN(",",TRUE,_xlfn.UNIQUE(IF(PAYSCALES[PayScaleCode]=CONT_TEA[[#This Row],[PayScaleCode]],PAYSCALES[SchoolCodes],""))))),1,0))</f>
        <v>0</v>
      </c>
      <c r="G110" s="57">
        <f>IF(_xlfn.XLOOKUP(CONT_TEA[[#This Row],[PayScaleGradeCode]],GRADES[PayScaleGradeCode],GRADES[AvailableToAllSchools])=TRUE,0,IFERROR(IF(FIND(CONT_TEA[[#This Row],[SchoolCode]],_xlfn.XLOOKUP(CONT_TEA[[#This Row],[PayScaleGradeCode]],GRADES[PayScaleGradeCode],GRADES[SchoolCodes]))&gt;=1,0,1),1))</f>
        <v>0</v>
      </c>
      <c r="H110" s="57">
        <f>IF(ISERROR(IF((_xlfn.XLOOKUP(CONT_TEA[[#This Row],[PayScaleGradeCode]],GRADES[PayScaleGradeCode],GRADES[PayScaleCode])=CONT_TEA[[#This Row],[PayScaleCode]]),0,1)),1,0)</f>
        <v>0</v>
      </c>
      <c r="I110" s="57" cm="1">
        <f t="array" ref="I110">IF(ISERROR(FIND(CONT_TEA[[#This Row],[PayScalePointCode]],_xlfn.TEXTJOIN(",",TRUE,IF(PSPOINTS[PayScaleCode]=CONT_TEA[[#This Row],[PayScaleCode]],PSPOINTS[PayScalePointCode])))),1,0)</f>
        <v>0</v>
      </c>
      <c r="J110" s="57" cm="1">
        <f t="array" ref="J11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10" s="57">
        <f>IF(_xlfn.XLOOKUP(CONT_TEA[[#This Row],[PayScalePointCode]],PSPOINTS[PayScalePointCode],PSPOINTS[PayScalePointEnabled])=TRUE,0,1)</f>
        <v>0</v>
      </c>
      <c r="L110" s="57" cm="1">
        <f t="array" ref="L110">IF(_xlfn.XLOOKUP(CONT_TEA[[#This Row],[DepartmentCode]],DEPTS[DepartmentCode],DEPTS[AvailableToAllSchools],1,0,)=TRUE,0,IF(ISERROR(FIND(CONT_TEA[[#This Row],[SchoolCode]],_xlfn.TEXTJOIN(",",TRUE,_xlfn.UNIQUE(IF(DEPTS[DepartmentCode]=CONT_TEA[[#This Row],[DepartmentCode]],DEPTS[SchoolCodes],""))))),1,0))</f>
        <v>0</v>
      </c>
      <c r="M110" s="57">
        <f>IFERROR(IF(_xlfn.XLOOKUP(CONT_TEA[[#This Row],[SRG Gross]],FinanceCodesBudget[FinanceCode],FinanceCodesBudget[LedgerCode])=_xlfn.XLOOKUP(CONT_TEA[[#This Row],[DepartmentCode]],DEPTS[DepartmentCode],DEPTS[LedgerCode]),0,1),1)</f>
        <v>1</v>
      </c>
      <c r="N110" s="57" cm="1">
        <f t="array" ref="N110">IF(_xlfn.XLOOKUP(CONT_TEA[[#This Row],[PensionCode]],PENS[PensionCode],PENS[AvailableToAllSchools],1,0,)=TRUE,0,IF(ISERROR(FIND(CONT_TEA[[#This Row],[SchoolCode]],_xlfn.TEXTJOIN(",",TRUE,_xlfn.UNIQUE(IF(PENS[PensionCode]=CONT_TEA[[#This Row],[PensionCode]],PENS[SchoolCodes],""))))),1,0))</f>
        <v>0</v>
      </c>
      <c r="O110" s="57" cm="1">
        <f t="array" ref="O110">IF(_xlfn.XLOOKUP(CONT_TEA[[#This Row],[EquatedWeekPatternCode]],EQW[EquatedWeekPatternCode],EQW[AvailableToAllSchools],1,0,)=TRUE,0,IF(ISERROR(FIND(CONT_TEA[[#This Row],[SchoolCode]],_xlfn.TEXTJOIN(",",TRUE,_xlfn.UNIQUE(IF(EQW[EquatedWeekPatternCode]=CONT_TEA[[#This Row],[EquatedWeekPatternCode]],EQW[SchoolCodes],""))))),1,0))</f>
        <v>0</v>
      </c>
      <c r="P110" s="57">
        <f>1-COUNTIF(ContractTypes[Code],CONT_TEA[[#This Row],[ContractTypeCode]])</f>
        <v>0</v>
      </c>
      <c r="Q110" s="57">
        <f>IF(VLOOKUP(CONT_TEA[[#This Row],[StaffMemberCode]],MEMBERS[[StaffMemberCode]:[ServiceStartDate]],5,0)&gt;CONT_TEA[[#This Row],[DateFrom]],1,0)</f>
        <v>0</v>
      </c>
      <c r="R110" s="57">
        <f>IF(_xlfn.XLOOKUP(CONT_TEA[[#This Row],[StaffMemberCode]],MEMBERS[StaffMemberCode],MEMBERS[ServiceEndDate])="",0,IF(CONT_TEA[[#This Row],[DateTo]]="",1,IF(_xlfn.XLOOKUP(CONT_TEA[[#This Row],[StaffMemberCode]],MEMBERS[StaffMemberCode],MEMBERS[ServiceEndDate])&lt;CONT_TEA[[#This Row],[DateTo]],1,0)))</f>
        <v>0</v>
      </c>
      <c r="S110" s="57">
        <f>IF(ISBLANK(CONT_TEA[[#This Row],[DateTo]]),0,IF(CONT_TEA[[#This Row],[DateFrom]]=CONT_TEA[[#This Row],[DateTo]],0,IF(CONT_TEA[[#This Row],[DateFrom]]&lt;CONT_TEA[[#This Row],[DateTo]],0,1)))</f>
        <v>0</v>
      </c>
      <c r="T110" s="57" cm="1">
        <f t="array" aca="1" ref="T110" ca="1">IF(CELL("format",CONT_TEA[[#This Row],[DateFrom]])="D1",0,1)+IF(CELL("format",CONT_TEA[[#This Row],[DateTo]])="D1",0,1)</f>
        <v>0</v>
      </c>
      <c r="U110" s="57">
        <f>IF(OR(CONT_TEA[[#This Row],[MatEditOnly]]=TRUE,CONT_TEA[[#This Row],[MatEditOnly]]=FALSE),IF(OR(CONT_TEA[[#This Row],[NoIncrement]]=TRUE,CONT_TEA[[#This Row],[NoIncrement]]=FALSE),0,1),1)</f>
        <v>0</v>
      </c>
      <c r="V110" s="57">
        <f>IF(ISBLANK(CONT_TEA[[#This Row],[FundCode]])=TRUE,0,IF(COUNTIF(FUNDS[FundCode],CONT_TEA[[#This Row],[FundCode]])=1,0,1))</f>
        <v>0</v>
      </c>
      <c r="W110" s="57">
        <f>IF(LEN(CONT_TEA[[#This Row],[Notes]])&lt;4000,0,1)</f>
        <v>0</v>
      </c>
      <c r="X110" s="57">
        <f>IF(SUBSTITUTE(TEXT(CONT_TEA[[#This Row],[Reference]],10)," ","")=TEXT(CONT_TEA[[#This Row],[Reference]],10),0,1)</f>
        <v>0</v>
      </c>
      <c r="Y110" s="57">
        <f ca="1">SUM(CONT_TEA[[#This Row],[Duplicate Contract]:[Space in Code]])</f>
        <v>1</v>
      </c>
      <c r="AA110" s="12" t="s">
        <v>2094</v>
      </c>
      <c r="AB110" s="15">
        <v>91073571</v>
      </c>
      <c r="AC110" s="12" t="s">
        <v>4458</v>
      </c>
      <c r="AD110" s="57" t="str">
        <f>_xlfn.XLOOKUP(CONT_TEA[[#This Row],[StaffMemberCode]],StaffMembers!O:O,StaffMembers!R:R)</f>
        <v>Keira Lancaster</v>
      </c>
      <c r="AE110" s="12" t="s">
        <v>1174</v>
      </c>
      <c r="AF110" s="57">
        <f>_xlfn.XLOOKUP(CONT_TEA[[#This Row],[SRG]],SRG[StaffRoleGroupCode],SRG[GrossSalaryFinanceCode])</f>
        <v>612100</v>
      </c>
      <c r="AG110" s="57" t="str">
        <f>_xlfn.XLOOKUP(CONT_TEA[[#This Row],[StaffRoleCode]],ROLES[StaffRoleCode],ROLES[StaffRoleGroupCode])</f>
        <v>TEA</v>
      </c>
      <c r="AH110" s="57" t="str">
        <f>_xlfn.XLOOKUP(CONT_TEA[[#This Row],[StaffRoleCode]],ROLES[StaffRoleCode],ROLES[PayScaleCode])</f>
        <v>LS</v>
      </c>
      <c r="AI110" s="12" t="s">
        <v>3088</v>
      </c>
      <c r="AJ110" s="12" t="s">
        <v>1079</v>
      </c>
      <c r="AK110" s="12" t="s">
        <v>2499</v>
      </c>
      <c r="AM110" s="68" t="s">
        <v>1147</v>
      </c>
      <c r="AN110" s="13" t="s">
        <v>1702</v>
      </c>
      <c r="AO110" s="21">
        <v>45901</v>
      </c>
      <c r="AQ110" s="12">
        <v>0.93</v>
      </c>
      <c r="AR110" t="b">
        <v>0</v>
      </c>
      <c r="AS110" t="b">
        <v>0</v>
      </c>
      <c r="AT110" s="12" t="s">
        <v>1574</v>
      </c>
    </row>
    <row r="111" spans="1:46" x14ac:dyDescent="0.3">
      <c r="A111" s="57" t="str">
        <f t="shared" si="2"/>
        <v>BLS9107348791073487ALSTSTCH45901</v>
      </c>
      <c r="B111" s="57">
        <f>COUNTIF(CONT_TEA[Unique Contract],CONT_TEA[[#This Row],[Unique Contract]])-1</f>
        <v>0</v>
      </c>
      <c r="C111" s="57">
        <f>IFERROR(IF(FIND(CONT_TEA[[#This Row],[SchoolCode]],_xlfn.XLOOKUP(CONT_TEA[[#This Row],[StaffMemberCode]],MEMBERS[StaffMemberCode],MEMBERS[SchoolCodes]))&gt;0,0,1),1)</f>
        <v>0</v>
      </c>
      <c r="D111" s="57" cm="1">
        <f t="array" ref="D111">IF(_xlfn.XLOOKUP(CONT_TEA[[#This Row],[StaffRoleCode]],ROLES[StaffRoleCode],ROLES[AvailableToAllSchools],1,0,)=TRUE,0,IF(ISERROR(FIND(CONT_TEA[[#This Row],[SchoolCode]],_xlfn.TEXTJOIN(",",TRUE,_xlfn.UNIQUE(IF(ROLES[StaffRoleCode]=CONT_TEA[[#This Row],[StaffRoleCode]],ROLES[SchoolCodes],""))))),1,0))</f>
        <v>0</v>
      </c>
      <c r="E111" s="57" cm="1">
        <f t="array" ref="E11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11" s="57" cm="1">
        <f t="array" ref="F111">IF(_xlfn.XLOOKUP(CONT_TEA[[#This Row],[PayScaleCode]],PAYSCALES[PayScaleCode],PAYSCALES[AvailableToAllSchools],1,0,)=TRUE,0,IF(ISERROR(FIND(CONT_TEA[[#This Row],[SchoolCode]],_xlfn.TEXTJOIN(",",TRUE,_xlfn.UNIQUE(IF(PAYSCALES[PayScaleCode]=CONT_TEA[[#This Row],[PayScaleCode]],PAYSCALES[SchoolCodes],""))))),1,0))</f>
        <v>0</v>
      </c>
      <c r="G111" s="57">
        <f>IF(_xlfn.XLOOKUP(CONT_TEA[[#This Row],[PayScaleGradeCode]],GRADES[PayScaleGradeCode],GRADES[AvailableToAllSchools])=TRUE,0,IFERROR(IF(FIND(CONT_TEA[[#This Row],[SchoolCode]],_xlfn.XLOOKUP(CONT_TEA[[#This Row],[PayScaleGradeCode]],GRADES[PayScaleGradeCode],GRADES[SchoolCodes]))&gt;=1,0,1),1))</f>
        <v>0</v>
      </c>
      <c r="H111" s="57">
        <f>IF(ISERROR(IF((_xlfn.XLOOKUP(CONT_TEA[[#This Row],[PayScaleGradeCode]],GRADES[PayScaleGradeCode],GRADES[PayScaleCode])=CONT_TEA[[#This Row],[PayScaleCode]]),0,1)),1,0)</f>
        <v>0</v>
      </c>
      <c r="I111" s="57" cm="1">
        <f t="array" ref="I111">IF(ISERROR(FIND(CONT_TEA[[#This Row],[PayScalePointCode]],_xlfn.TEXTJOIN(",",TRUE,IF(PSPOINTS[PayScaleCode]=CONT_TEA[[#This Row],[PayScaleCode]],PSPOINTS[PayScalePointCode])))),1,0)</f>
        <v>0</v>
      </c>
      <c r="J111" s="57" cm="1">
        <f t="array" ref="J11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11" s="57">
        <f>IF(_xlfn.XLOOKUP(CONT_TEA[[#This Row],[PayScalePointCode]],PSPOINTS[PayScalePointCode],PSPOINTS[PayScalePointEnabled])=TRUE,0,1)</f>
        <v>0</v>
      </c>
      <c r="L111" s="57" cm="1">
        <f t="array" ref="L111">IF(_xlfn.XLOOKUP(CONT_TEA[[#This Row],[DepartmentCode]],DEPTS[DepartmentCode],DEPTS[AvailableToAllSchools],1,0,)=TRUE,0,IF(ISERROR(FIND(CONT_TEA[[#This Row],[SchoolCode]],_xlfn.TEXTJOIN(",",TRUE,_xlfn.UNIQUE(IF(DEPTS[DepartmentCode]=CONT_TEA[[#This Row],[DepartmentCode]],DEPTS[SchoolCodes],""))))),1,0))</f>
        <v>0</v>
      </c>
      <c r="M111" s="57">
        <f>IFERROR(IF(_xlfn.XLOOKUP(CONT_TEA[[#This Row],[SRG Gross]],FinanceCodesBudget[FinanceCode],FinanceCodesBudget[LedgerCode])=_xlfn.XLOOKUP(CONT_TEA[[#This Row],[DepartmentCode]],DEPTS[DepartmentCode],DEPTS[LedgerCode]),0,1),1)</f>
        <v>1</v>
      </c>
      <c r="N111" s="57" cm="1">
        <f t="array" ref="N111">IF(_xlfn.XLOOKUP(CONT_TEA[[#This Row],[PensionCode]],PENS[PensionCode],PENS[AvailableToAllSchools],1,0,)=TRUE,0,IF(ISERROR(FIND(CONT_TEA[[#This Row],[SchoolCode]],_xlfn.TEXTJOIN(",",TRUE,_xlfn.UNIQUE(IF(PENS[PensionCode]=CONT_TEA[[#This Row],[PensionCode]],PENS[SchoolCodes],""))))),1,0))</f>
        <v>0</v>
      </c>
      <c r="O111" s="57" cm="1">
        <f t="array" ref="O111">IF(_xlfn.XLOOKUP(CONT_TEA[[#This Row],[EquatedWeekPatternCode]],EQW[EquatedWeekPatternCode],EQW[AvailableToAllSchools],1,0,)=TRUE,0,IF(ISERROR(FIND(CONT_TEA[[#This Row],[SchoolCode]],_xlfn.TEXTJOIN(",",TRUE,_xlfn.UNIQUE(IF(EQW[EquatedWeekPatternCode]=CONT_TEA[[#This Row],[EquatedWeekPatternCode]],EQW[SchoolCodes],""))))),1,0))</f>
        <v>0</v>
      </c>
      <c r="P111" s="57">
        <f>1-COUNTIF(ContractTypes[Code],CONT_TEA[[#This Row],[ContractTypeCode]])</f>
        <v>0</v>
      </c>
      <c r="Q111" s="57">
        <f>IF(VLOOKUP(CONT_TEA[[#This Row],[StaffMemberCode]],MEMBERS[[StaffMemberCode]:[ServiceStartDate]],5,0)&gt;CONT_TEA[[#This Row],[DateFrom]],1,0)</f>
        <v>0</v>
      </c>
      <c r="R111" s="57">
        <f>IF(_xlfn.XLOOKUP(CONT_TEA[[#This Row],[StaffMemberCode]],MEMBERS[StaffMemberCode],MEMBERS[ServiceEndDate])="",0,IF(CONT_TEA[[#This Row],[DateTo]]="",1,IF(_xlfn.XLOOKUP(CONT_TEA[[#This Row],[StaffMemberCode]],MEMBERS[StaffMemberCode],MEMBERS[ServiceEndDate])&lt;CONT_TEA[[#This Row],[DateTo]],1,0)))</f>
        <v>0</v>
      </c>
      <c r="S111" s="57">
        <f>IF(ISBLANK(CONT_TEA[[#This Row],[DateTo]]),0,IF(CONT_TEA[[#This Row],[DateFrom]]=CONT_TEA[[#This Row],[DateTo]],0,IF(CONT_TEA[[#This Row],[DateFrom]]&lt;CONT_TEA[[#This Row],[DateTo]],0,1)))</f>
        <v>0</v>
      </c>
      <c r="T111" s="57" cm="1">
        <f t="array" aca="1" ref="T111" ca="1">IF(CELL("format",CONT_TEA[[#This Row],[DateFrom]])="D1",0,1)+IF(CELL("format",CONT_TEA[[#This Row],[DateTo]])="D1",0,1)</f>
        <v>0</v>
      </c>
      <c r="U111" s="57">
        <f>IF(OR(CONT_TEA[[#This Row],[MatEditOnly]]=TRUE,CONT_TEA[[#This Row],[MatEditOnly]]=FALSE),IF(OR(CONT_TEA[[#This Row],[NoIncrement]]=TRUE,CONT_TEA[[#This Row],[NoIncrement]]=FALSE),0,1),1)</f>
        <v>0</v>
      </c>
      <c r="V111" s="57">
        <f>IF(ISBLANK(CONT_TEA[[#This Row],[FundCode]])=TRUE,0,IF(COUNTIF(FUNDS[FundCode],CONT_TEA[[#This Row],[FundCode]])=1,0,1))</f>
        <v>0</v>
      </c>
      <c r="W111" s="57">
        <f>IF(LEN(CONT_TEA[[#This Row],[Notes]])&lt;4000,0,1)</f>
        <v>0</v>
      </c>
      <c r="X111" s="57">
        <f>IF(SUBSTITUTE(TEXT(CONT_TEA[[#This Row],[Reference]],10)," ","")=TEXT(CONT_TEA[[#This Row],[Reference]],10),0,1)</f>
        <v>0</v>
      </c>
      <c r="Y111" s="57">
        <f ca="1">SUM(CONT_TEA[[#This Row],[Duplicate Contract]:[Space in Code]])</f>
        <v>1</v>
      </c>
      <c r="AA111" s="12" t="s">
        <v>2094</v>
      </c>
      <c r="AB111" s="15">
        <v>91073487</v>
      </c>
      <c r="AC111" s="12" t="s">
        <v>4459</v>
      </c>
      <c r="AD111" s="57" t="str">
        <f>_xlfn.XLOOKUP(CONT_TEA[[#This Row],[StaffMemberCode]],StaffMembers!O:O,StaffMembers!R:R)</f>
        <v>Laura Jones</v>
      </c>
      <c r="AE111" s="12" t="s">
        <v>1174</v>
      </c>
      <c r="AF111" s="57">
        <f>_xlfn.XLOOKUP(CONT_TEA[[#This Row],[SRG]],SRG[StaffRoleGroupCode],SRG[GrossSalaryFinanceCode])</f>
        <v>612100</v>
      </c>
      <c r="AG111" s="57" t="str">
        <f>_xlfn.XLOOKUP(CONT_TEA[[#This Row],[StaffRoleCode]],ROLES[StaffRoleCode],ROLES[StaffRoleGroupCode])</f>
        <v>TEA</v>
      </c>
      <c r="AH111" s="57" t="str">
        <f>_xlfn.XLOOKUP(CONT_TEA[[#This Row],[StaffRoleCode]],ROLES[StaffRoleCode],ROLES[PayScaleCode])</f>
        <v>LS</v>
      </c>
      <c r="AI111" s="12" t="s">
        <v>3089</v>
      </c>
      <c r="AJ111" s="12" t="s">
        <v>1085</v>
      </c>
      <c r="AK111" s="12" t="s">
        <v>2499</v>
      </c>
      <c r="AM111" s="68" t="s">
        <v>1147</v>
      </c>
      <c r="AN111" s="13" t="s">
        <v>1702</v>
      </c>
      <c r="AO111" s="21">
        <v>45901</v>
      </c>
      <c r="AQ111" s="12">
        <v>1</v>
      </c>
      <c r="AR111" t="b">
        <v>0</v>
      </c>
      <c r="AS111" t="b">
        <v>0</v>
      </c>
      <c r="AT111" s="12" t="s">
        <v>1574</v>
      </c>
    </row>
    <row r="112" spans="1:46" x14ac:dyDescent="0.3">
      <c r="A112" s="57" t="str">
        <f t="shared" si="2"/>
        <v>BLS9132370491323704ALSTSTCH45901</v>
      </c>
      <c r="B112" s="57">
        <f>COUNTIF(CONT_TEA[Unique Contract],CONT_TEA[[#This Row],[Unique Contract]])-1</f>
        <v>0</v>
      </c>
      <c r="C112" s="57">
        <f>IFERROR(IF(FIND(CONT_TEA[[#This Row],[SchoolCode]],_xlfn.XLOOKUP(CONT_TEA[[#This Row],[StaffMemberCode]],MEMBERS[StaffMemberCode],MEMBERS[SchoolCodes]))&gt;0,0,1),1)</f>
        <v>0</v>
      </c>
      <c r="D112" s="57" cm="1">
        <f t="array" ref="D112">IF(_xlfn.XLOOKUP(CONT_TEA[[#This Row],[StaffRoleCode]],ROLES[StaffRoleCode],ROLES[AvailableToAllSchools],1,0,)=TRUE,0,IF(ISERROR(FIND(CONT_TEA[[#This Row],[SchoolCode]],_xlfn.TEXTJOIN(",",TRUE,_xlfn.UNIQUE(IF(ROLES[StaffRoleCode]=CONT_TEA[[#This Row],[StaffRoleCode]],ROLES[SchoolCodes],""))))),1,0))</f>
        <v>0</v>
      </c>
      <c r="E112" s="57" cm="1">
        <f t="array" ref="E11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12" s="57" cm="1">
        <f t="array" ref="F112">IF(_xlfn.XLOOKUP(CONT_TEA[[#This Row],[PayScaleCode]],PAYSCALES[PayScaleCode],PAYSCALES[AvailableToAllSchools],1,0,)=TRUE,0,IF(ISERROR(FIND(CONT_TEA[[#This Row],[SchoolCode]],_xlfn.TEXTJOIN(",",TRUE,_xlfn.UNIQUE(IF(PAYSCALES[PayScaleCode]=CONT_TEA[[#This Row],[PayScaleCode]],PAYSCALES[SchoolCodes],""))))),1,0))</f>
        <v>0</v>
      </c>
      <c r="G112" s="57">
        <f>IF(_xlfn.XLOOKUP(CONT_TEA[[#This Row],[PayScaleGradeCode]],GRADES[PayScaleGradeCode],GRADES[AvailableToAllSchools])=TRUE,0,IFERROR(IF(FIND(CONT_TEA[[#This Row],[SchoolCode]],_xlfn.XLOOKUP(CONT_TEA[[#This Row],[PayScaleGradeCode]],GRADES[PayScaleGradeCode],GRADES[SchoolCodes]))&gt;=1,0,1),1))</f>
        <v>0</v>
      </c>
      <c r="H112" s="57">
        <f>IF(ISERROR(IF((_xlfn.XLOOKUP(CONT_TEA[[#This Row],[PayScaleGradeCode]],GRADES[PayScaleGradeCode],GRADES[PayScaleCode])=CONT_TEA[[#This Row],[PayScaleCode]]),0,1)),1,0)</f>
        <v>0</v>
      </c>
      <c r="I112" s="57" cm="1">
        <f t="array" ref="I112">IF(ISERROR(FIND(CONT_TEA[[#This Row],[PayScalePointCode]],_xlfn.TEXTJOIN(",",TRUE,IF(PSPOINTS[PayScaleCode]=CONT_TEA[[#This Row],[PayScaleCode]],PSPOINTS[PayScalePointCode])))),1,0)</f>
        <v>0</v>
      </c>
      <c r="J112" s="57" cm="1">
        <f t="array" ref="J11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12" s="57">
        <f>IF(_xlfn.XLOOKUP(CONT_TEA[[#This Row],[PayScalePointCode]],PSPOINTS[PayScalePointCode],PSPOINTS[PayScalePointEnabled])=TRUE,0,1)</f>
        <v>0</v>
      </c>
      <c r="L112" s="57" cm="1">
        <f t="array" ref="L112">IF(_xlfn.XLOOKUP(CONT_TEA[[#This Row],[DepartmentCode]],DEPTS[DepartmentCode],DEPTS[AvailableToAllSchools],1,0,)=TRUE,0,IF(ISERROR(FIND(CONT_TEA[[#This Row],[SchoolCode]],_xlfn.TEXTJOIN(",",TRUE,_xlfn.UNIQUE(IF(DEPTS[DepartmentCode]=CONT_TEA[[#This Row],[DepartmentCode]],DEPTS[SchoolCodes],""))))),1,0))</f>
        <v>0</v>
      </c>
      <c r="M112" s="57">
        <f>IFERROR(IF(_xlfn.XLOOKUP(CONT_TEA[[#This Row],[SRG Gross]],FinanceCodesBudget[FinanceCode],FinanceCodesBudget[LedgerCode])=_xlfn.XLOOKUP(CONT_TEA[[#This Row],[DepartmentCode]],DEPTS[DepartmentCode],DEPTS[LedgerCode]),0,1),1)</f>
        <v>1</v>
      </c>
      <c r="N112" s="57" cm="1">
        <f t="array" ref="N112">IF(_xlfn.XLOOKUP(CONT_TEA[[#This Row],[PensionCode]],PENS[PensionCode],PENS[AvailableToAllSchools],1,0,)=TRUE,0,IF(ISERROR(FIND(CONT_TEA[[#This Row],[SchoolCode]],_xlfn.TEXTJOIN(",",TRUE,_xlfn.UNIQUE(IF(PENS[PensionCode]=CONT_TEA[[#This Row],[PensionCode]],PENS[SchoolCodes],""))))),1,0))</f>
        <v>0</v>
      </c>
      <c r="O112" s="57" cm="1">
        <f t="array" ref="O112">IF(_xlfn.XLOOKUP(CONT_TEA[[#This Row],[EquatedWeekPatternCode]],EQW[EquatedWeekPatternCode],EQW[AvailableToAllSchools],1,0,)=TRUE,0,IF(ISERROR(FIND(CONT_TEA[[#This Row],[SchoolCode]],_xlfn.TEXTJOIN(",",TRUE,_xlfn.UNIQUE(IF(EQW[EquatedWeekPatternCode]=CONT_TEA[[#This Row],[EquatedWeekPatternCode]],EQW[SchoolCodes],""))))),1,0))</f>
        <v>0</v>
      </c>
      <c r="P112" s="57">
        <f>1-COUNTIF(ContractTypes[Code],CONT_TEA[[#This Row],[ContractTypeCode]])</f>
        <v>0</v>
      </c>
      <c r="Q112" s="57">
        <f>IF(VLOOKUP(CONT_TEA[[#This Row],[StaffMemberCode]],MEMBERS[[StaffMemberCode]:[ServiceStartDate]],5,0)&gt;CONT_TEA[[#This Row],[DateFrom]],1,0)</f>
        <v>0</v>
      </c>
      <c r="R112" s="57">
        <f>IF(_xlfn.XLOOKUP(CONT_TEA[[#This Row],[StaffMemberCode]],MEMBERS[StaffMemberCode],MEMBERS[ServiceEndDate])="",0,IF(CONT_TEA[[#This Row],[DateTo]]="",1,IF(_xlfn.XLOOKUP(CONT_TEA[[#This Row],[StaffMemberCode]],MEMBERS[StaffMemberCode],MEMBERS[ServiceEndDate])&lt;CONT_TEA[[#This Row],[DateTo]],1,0)))</f>
        <v>0</v>
      </c>
      <c r="S112" s="57">
        <f>IF(ISBLANK(CONT_TEA[[#This Row],[DateTo]]),0,IF(CONT_TEA[[#This Row],[DateFrom]]=CONT_TEA[[#This Row],[DateTo]],0,IF(CONT_TEA[[#This Row],[DateFrom]]&lt;CONT_TEA[[#This Row],[DateTo]],0,1)))</f>
        <v>0</v>
      </c>
      <c r="T112" s="57" cm="1">
        <f t="array" aca="1" ref="T112" ca="1">IF(CELL("format",CONT_TEA[[#This Row],[DateFrom]])="D1",0,1)+IF(CELL("format",CONT_TEA[[#This Row],[DateTo]])="D1",0,1)</f>
        <v>0</v>
      </c>
      <c r="U112" s="57">
        <f>IF(OR(CONT_TEA[[#This Row],[MatEditOnly]]=TRUE,CONT_TEA[[#This Row],[MatEditOnly]]=FALSE),IF(OR(CONT_TEA[[#This Row],[NoIncrement]]=TRUE,CONT_TEA[[#This Row],[NoIncrement]]=FALSE),0,1),1)</f>
        <v>0</v>
      </c>
      <c r="V112" s="57">
        <f>IF(ISBLANK(CONT_TEA[[#This Row],[FundCode]])=TRUE,0,IF(COUNTIF(FUNDS[FundCode],CONT_TEA[[#This Row],[FundCode]])=1,0,1))</f>
        <v>0</v>
      </c>
      <c r="W112" s="57">
        <f>IF(LEN(CONT_TEA[[#This Row],[Notes]])&lt;4000,0,1)</f>
        <v>0</v>
      </c>
      <c r="X112" s="57">
        <f>IF(SUBSTITUTE(TEXT(CONT_TEA[[#This Row],[Reference]],10)," ","")=TEXT(CONT_TEA[[#This Row],[Reference]],10),0,1)</f>
        <v>0</v>
      </c>
      <c r="Y112" s="57">
        <f ca="1">SUM(CONT_TEA[[#This Row],[Duplicate Contract]:[Space in Code]])</f>
        <v>1</v>
      </c>
      <c r="AA112" s="12" t="s">
        <v>2094</v>
      </c>
      <c r="AB112" s="15">
        <v>91323704</v>
      </c>
      <c r="AC112" s="12" t="s">
        <v>4460</v>
      </c>
      <c r="AD112" s="57" t="str">
        <f>_xlfn.XLOOKUP(CONT_TEA[[#This Row],[StaffMemberCode]],StaffMembers!O:O,StaffMembers!R:R)</f>
        <v>Rebecca Butterworth</v>
      </c>
      <c r="AE112" s="12" t="s">
        <v>1174</v>
      </c>
      <c r="AF112" s="57">
        <f>_xlfn.XLOOKUP(CONT_TEA[[#This Row],[SRG]],SRG[StaffRoleGroupCode],SRG[GrossSalaryFinanceCode])</f>
        <v>612100</v>
      </c>
      <c r="AG112" s="57" t="str">
        <f>_xlfn.XLOOKUP(CONT_TEA[[#This Row],[StaffRoleCode]],ROLES[StaffRoleCode],ROLES[StaffRoleGroupCode])</f>
        <v>TEA</v>
      </c>
      <c r="AH112" s="57" t="str">
        <f>_xlfn.XLOOKUP(CONT_TEA[[#This Row],[StaffRoleCode]],ROLES[StaffRoleCode],ROLES[PayScaleCode])</f>
        <v>LS</v>
      </c>
      <c r="AI112" s="12" t="s">
        <v>3088</v>
      </c>
      <c r="AJ112" s="12" t="s">
        <v>1080</v>
      </c>
      <c r="AK112" s="12" t="s">
        <v>2499</v>
      </c>
      <c r="AM112" s="68" t="s">
        <v>1147</v>
      </c>
      <c r="AN112" s="13" t="s">
        <v>1702</v>
      </c>
      <c r="AO112" s="21">
        <v>45901</v>
      </c>
      <c r="AQ112" s="12">
        <v>1</v>
      </c>
      <c r="AR112" t="b">
        <v>0</v>
      </c>
      <c r="AS112" t="b">
        <v>0</v>
      </c>
      <c r="AT112" s="12" t="s">
        <v>1574</v>
      </c>
    </row>
    <row r="113" spans="1:47" x14ac:dyDescent="0.3">
      <c r="A113" s="57" t="str">
        <f t="shared" si="2"/>
        <v>BLS9107355391073553ALSTSTCH45901</v>
      </c>
      <c r="B113" s="57">
        <f>COUNTIF(CONT_TEA[Unique Contract],CONT_TEA[[#This Row],[Unique Contract]])-1</f>
        <v>0</v>
      </c>
      <c r="C113" s="57">
        <f>IFERROR(IF(FIND(CONT_TEA[[#This Row],[SchoolCode]],_xlfn.XLOOKUP(CONT_TEA[[#This Row],[StaffMemberCode]],MEMBERS[StaffMemberCode],MEMBERS[SchoolCodes]))&gt;0,0,1),1)</f>
        <v>0</v>
      </c>
      <c r="D113" s="57" cm="1">
        <f t="array" ref="D113">IF(_xlfn.XLOOKUP(CONT_TEA[[#This Row],[StaffRoleCode]],ROLES[StaffRoleCode],ROLES[AvailableToAllSchools],1,0,)=TRUE,0,IF(ISERROR(FIND(CONT_TEA[[#This Row],[SchoolCode]],_xlfn.TEXTJOIN(",",TRUE,_xlfn.UNIQUE(IF(ROLES[StaffRoleCode]=CONT_TEA[[#This Row],[StaffRoleCode]],ROLES[SchoolCodes],""))))),1,0))</f>
        <v>0</v>
      </c>
      <c r="E113" s="57" cm="1">
        <f t="array" ref="E11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13" s="57" cm="1">
        <f t="array" ref="F113">IF(_xlfn.XLOOKUP(CONT_TEA[[#This Row],[PayScaleCode]],PAYSCALES[PayScaleCode],PAYSCALES[AvailableToAllSchools],1,0,)=TRUE,0,IF(ISERROR(FIND(CONT_TEA[[#This Row],[SchoolCode]],_xlfn.TEXTJOIN(",",TRUE,_xlfn.UNIQUE(IF(PAYSCALES[PayScaleCode]=CONT_TEA[[#This Row],[PayScaleCode]],PAYSCALES[SchoolCodes],""))))),1,0))</f>
        <v>0</v>
      </c>
      <c r="G113" s="57">
        <f>IF(_xlfn.XLOOKUP(CONT_TEA[[#This Row],[PayScaleGradeCode]],GRADES[PayScaleGradeCode],GRADES[AvailableToAllSchools])=TRUE,0,IFERROR(IF(FIND(CONT_TEA[[#This Row],[SchoolCode]],_xlfn.XLOOKUP(CONT_TEA[[#This Row],[PayScaleGradeCode]],GRADES[PayScaleGradeCode],GRADES[SchoolCodes]))&gt;=1,0,1),1))</f>
        <v>0</v>
      </c>
      <c r="H113" s="57">
        <f>IF(ISERROR(IF((_xlfn.XLOOKUP(CONT_TEA[[#This Row],[PayScaleGradeCode]],GRADES[PayScaleGradeCode],GRADES[PayScaleCode])=CONT_TEA[[#This Row],[PayScaleCode]]),0,1)),1,0)</f>
        <v>0</v>
      </c>
      <c r="I113" s="57" cm="1">
        <f t="array" ref="I113">IF(ISERROR(FIND(CONT_TEA[[#This Row],[PayScalePointCode]],_xlfn.TEXTJOIN(",",TRUE,IF(PSPOINTS[PayScaleCode]=CONT_TEA[[#This Row],[PayScaleCode]],PSPOINTS[PayScalePointCode])))),1,0)</f>
        <v>0</v>
      </c>
      <c r="J113" s="57" cm="1">
        <f t="array" ref="J11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13" s="57">
        <f>IF(_xlfn.XLOOKUP(CONT_TEA[[#This Row],[PayScalePointCode]],PSPOINTS[PayScalePointCode],PSPOINTS[PayScalePointEnabled])=TRUE,0,1)</f>
        <v>0</v>
      </c>
      <c r="L113" s="57" cm="1">
        <f t="array" ref="L113">IF(_xlfn.XLOOKUP(CONT_TEA[[#This Row],[DepartmentCode]],DEPTS[DepartmentCode],DEPTS[AvailableToAllSchools],1,0,)=TRUE,0,IF(ISERROR(FIND(CONT_TEA[[#This Row],[SchoolCode]],_xlfn.TEXTJOIN(",",TRUE,_xlfn.UNIQUE(IF(DEPTS[DepartmentCode]=CONT_TEA[[#This Row],[DepartmentCode]],DEPTS[SchoolCodes],""))))),1,0))</f>
        <v>0</v>
      </c>
      <c r="M113" s="57">
        <f>IFERROR(IF(_xlfn.XLOOKUP(CONT_TEA[[#This Row],[SRG Gross]],FinanceCodesBudget[FinanceCode],FinanceCodesBudget[LedgerCode])=_xlfn.XLOOKUP(CONT_TEA[[#This Row],[DepartmentCode]],DEPTS[DepartmentCode],DEPTS[LedgerCode]),0,1),1)</f>
        <v>1</v>
      </c>
      <c r="N113" s="57" cm="1">
        <f t="array" ref="N113">IF(_xlfn.XLOOKUP(CONT_TEA[[#This Row],[PensionCode]],PENS[PensionCode],PENS[AvailableToAllSchools],1,0,)=TRUE,0,IF(ISERROR(FIND(CONT_TEA[[#This Row],[SchoolCode]],_xlfn.TEXTJOIN(",",TRUE,_xlfn.UNIQUE(IF(PENS[PensionCode]=CONT_TEA[[#This Row],[PensionCode]],PENS[SchoolCodes],""))))),1,0))</f>
        <v>0</v>
      </c>
      <c r="O113" s="57" cm="1">
        <f t="array" ref="O113">IF(_xlfn.XLOOKUP(CONT_TEA[[#This Row],[EquatedWeekPatternCode]],EQW[EquatedWeekPatternCode],EQW[AvailableToAllSchools],1,0,)=TRUE,0,IF(ISERROR(FIND(CONT_TEA[[#This Row],[SchoolCode]],_xlfn.TEXTJOIN(",",TRUE,_xlfn.UNIQUE(IF(EQW[EquatedWeekPatternCode]=CONT_TEA[[#This Row],[EquatedWeekPatternCode]],EQW[SchoolCodes],""))))),1,0))</f>
        <v>0</v>
      </c>
      <c r="P113" s="57">
        <f>1-COUNTIF(ContractTypes[Code],CONT_TEA[[#This Row],[ContractTypeCode]])</f>
        <v>0</v>
      </c>
      <c r="Q113" s="57">
        <f>IF(VLOOKUP(CONT_TEA[[#This Row],[StaffMemberCode]],MEMBERS[[StaffMemberCode]:[ServiceStartDate]],5,0)&gt;CONT_TEA[[#This Row],[DateFrom]],1,0)</f>
        <v>0</v>
      </c>
      <c r="R113" s="57">
        <f>IF(_xlfn.XLOOKUP(CONT_TEA[[#This Row],[StaffMemberCode]],MEMBERS[StaffMemberCode],MEMBERS[ServiceEndDate])="",0,IF(CONT_TEA[[#This Row],[DateTo]]="",1,IF(_xlfn.XLOOKUP(CONT_TEA[[#This Row],[StaffMemberCode]],MEMBERS[StaffMemberCode],MEMBERS[ServiceEndDate])&lt;CONT_TEA[[#This Row],[DateTo]],1,0)))</f>
        <v>0</v>
      </c>
      <c r="S113" s="57">
        <f>IF(ISBLANK(CONT_TEA[[#This Row],[DateTo]]),0,IF(CONT_TEA[[#This Row],[DateFrom]]=CONT_TEA[[#This Row],[DateTo]],0,IF(CONT_TEA[[#This Row],[DateFrom]]&lt;CONT_TEA[[#This Row],[DateTo]],0,1)))</f>
        <v>0</v>
      </c>
      <c r="T113" s="57" cm="1">
        <f t="array" aca="1" ref="T113" ca="1">IF(CELL("format",CONT_TEA[[#This Row],[DateFrom]])="D1",0,1)+IF(CELL("format",CONT_TEA[[#This Row],[DateTo]])="D1",0,1)</f>
        <v>0</v>
      </c>
      <c r="U113" s="57">
        <f>IF(OR(CONT_TEA[[#This Row],[MatEditOnly]]=TRUE,CONT_TEA[[#This Row],[MatEditOnly]]=FALSE),IF(OR(CONT_TEA[[#This Row],[NoIncrement]]=TRUE,CONT_TEA[[#This Row],[NoIncrement]]=FALSE),0,1),1)</f>
        <v>0</v>
      </c>
      <c r="V113" s="57">
        <f>IF(ISBLANK(CONT_TEA[[#This Row],[FundCode]])=TRUE,0,IF(COUNTIF(FUNDS[FundCode],CONT_TEA[[#This Row],[FundCode]])=1,0,1))</f>
        <v>0</v>
      </c>
      <c r="W113" s="57">
        <f>IF(LEN(CONT_TEA[[#This Row],[Notes]])&lt;4000,0,1)</f>
        <v>0</v>
      </c>
      <c r="X113" s="57">
        <f>IF(SUBSTITUTE(TEXT(CONT_TEA[[#This Row],[Reference]],10)," ","")=TEXT(CONT_TEA[[#This Row],[Reference]],10),0,1)</f>
        <v>0</v>
      </c>
      <c r="Y113" s="57">
        <f ca="1">SUM(CONT_TEA[[#This Row],[Duplicate Contract]:[Space in Code]])</f>
        <v>1</v>
      </c>
      <c r="AA113" s="12" t="s">
        <v>2094</v>
      </c>
      <c r="AB113" s="15">
        <v>91073553</v>
      </c>
      <c r="AC113" s="12" t="s">
        <v>4461</v>
      </c>
      <c r="AD113" s="57" t="str">
        <f>_xlfn.XLOOKUP(CONT_TEA[[#This Row],[StaffMemberCode]],StaffMembers!O:O,StaffMembers!R:R)</f>
        <v>Ruth Lucas</v>
      </c>
      <c r="AE113" s="12" t="s">
        <v>1174</v>
      </c>
      <c r="AF113" s="57">
        <f>_xlfn.XLOOKUP(CONT_TEA[[#This Row],[SRG]],SRG[StaffRoleGroupCode],SRG[GrossSalaryFinanceCode])</f>
        <v>612100</v>
      </c>
      <c r="AG113" s="57" t="str">
        <f>_xlfn.XLOOKUP(CONT_TEA[[#This Row],[StaffRoleCode]],ROLES[StaffRoleCode],ROLES[StaffRoleGroupCode])</f>
        <v>TEA</v>
      </c>
      <c r="AH113" s="57" t="str">
        <f>_xlfn.XLOOKUP(CONT_TEA[[#This Row],[StaffRoleCode]],ROLES[StaffRoleCode],ROLES[PayScaleCode])</f>
        <v>LS</v>
      </c>
      <c r="AI113" s="12" t="s">
        <v>3088</v>
      </c>
      <c r="AJ113" s="12" t="s">
        <v>1083</v>
      </c>
      <c r="AK113" s="12" t="s">
        <v>2499</v>
      </c>
      <c r="AM113" s="68" t="s">
        <v>1147</v>
      </c>
      <c r="AN113" s="13" t="s">
        <v>1702</v>
      </c>
      <c r="AO113" s="21">
        <v>45901</v>
      </c>
      <c r="AQ113" s="12">
        <v>1</v>
      </c>
      <c r="AR113" t="b">
        <v>0</v>
      </c>
      <c r="AS113" t="b">
        <v>0</v>
      </c>
      <c r="AT113" s="12" t="s">
        <v>1574</v>
      </c>
    </row>
    <row r="114" spans="1:47" x14ac:dyDescent="0.3">
      <c r="A114" s="57" t="str">
        <f t="shared" si="2"/>
        <v>BLS9107351791073517ALSTSTCH45901</v>
      </c>
      <c r="B114" s="57">
        <f>COUNTIF(CONT_TEA[Unique Contract],CONT_TEA[[#This Row],[Unique Contract]])-1</f>
        <v>0</v>
      </c>
      <c r="C114" s="57">
        <f>IFERROR(IF(FIND(CONT_TEA[[#This Row],[SchoolCode]],_xlfn.XLOOKUP(CONT_TEA[[#This Row],[StaffMemberCode]],MEMBERS[StaffMemberCode],MEMBERS[SchoolCodes]))&gt;0,0,1),1)</f>
        <v>0</v>
      </c>
      <c r="D114" s="57" cm="1">
        <f t="array" ref="D114">IF(_xlfn.XLOOKUP(CONT_TEA[[#This Row],[StaffRoleCode]],ROLES[StaffRoleCode],ROLES[AvailableToAllSchools],1,0,)=TRUE,0,IF(ISERROR(FIND(CONT_TEA[[#This Row],[SchoolCode]],_xlfn.TEXTJOIN(",",TRUE,_xlfn.UNIQUE(IF(ROLES[StaffRoleCode]=CONT_TEA[[#This Row],[StaffRoleCode]],ROLES[SchoolCodes],""))))),1,0))</f>
        <v>0</v>
      </c>
      <c r="E114" s="57" cm="1">
        <f t="array" ref="E11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14" s="57" cm="1">
        <f t="array" ref="F114">IF(_xlfn.XLOOKUP(CONT_TEA[[#This Row],[PayScaleCode]],PAYSCALES[PayScaleCode],PAYSCALES[AvailableToAllSchools],1,0,)=TRUE,0,IF(ISERROR(FIND(CONT_TEA[[#This Row],[SchoolCode]],_xlfn.TEXTJOIN(",",TRUE,_xlfn.UNIQUE(IF(PAYSCALES[PayScaleCode]=CONT_TEA[[#This Row],[PayScaleCode]],PAYSCALES[SchoolCodes],""))))),1,0))</f>
        <v>0</v>
      </c>
      <c r="G114" s="57">
        <f>IF(_xlfn.XLOOKUP(CONT_TEA[[#This Row],[PayScaleGradeCode]],GRADES[PayScaleGradeCode],GRADES[AvailableToAllSchools])=TRUE,0,IFERROR(IF(FIND(CONT_TEA[[#This Row],[SchoolCode]],_xlfn.XLOOKUP(CONT_TEA[[#This Row],[PayScaleGradeCode]],GRADES[PayScaleGradeCode],GRADES[SchoolCodes]))&gt;=1,0,1),1))</f>
        <v>0</v>
      </c>
      <c r="H114" s="57">
        <f>IF(ISERROR(IF((_xlfn.XLOOKUP(CONT_TEA[[#This Row],[PayScaleGradeCode]],GRADES[PayScaleGradeCode],GRADES[PayScaleCode])=CONT_TEA[[#This Row],[PayScaleCode]]),0,1)),1,0)</f>
        <v>0</v>
      </c>
      <c r="I114" s="57" cm="1">
        <f t="array" ref="I114">IF(ISERROR(FIND(CONT_TEA[[#This Row],[PayScalePointCode]],_xlfn.TEXTJOIN(",",TRUE,IF(PSPOINTS[PayScaleCode]=CONT_TEA[[#This Row],[PayScaleCode]],PSPOINTS[PayScalePointCode])))),1,0)</f>
        <v>0</v>
      </c>
      <c r="J114" s="57" cm="1">
        <f t="array" ref="J11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14" s="57">
        <f>IF(_xlfn.XLOOKUP(CONT_TEA[[#This Row],[PayScalePointCode]],PSPOINTS[PayScalePointCode],PSPOINTS[PayScalePointEnabled])=TRUE,0,1)</f>
        <v>0</v>
      </c>
      <c r="L114" s="57" cm="1">
        <f t="array" ref="L114">IF(_xlfn.XLOOKUP(CONT_TEA[[#This Row],[DepartmentCode]],DEPTS[DepartmentCode],DEPTS[AvailableToAllSchools],1,0,)=TRUE,0,IF(ISERROR(FIND(CONT_TEA[[#This Row],[SchoolCode]],_xlfn.TEXTJOIN(",",TRUE,_xlfn.UNIQUE(IF(DEPTS[DepartmentCode]=CONT_TEA[[#This Row],[DepartmentCode]],DEPTS[SchoolCodes],""))))),1,0))</f>
        <v>0</v>
      </c>
      <c r="M114" s="57">
        <f>IFERROR(IF(_xlfn.XLOOKUP(CONT_TEA[[#This Row],[SRG Gross]],FinanceCodesBudget[FinanceCode],FinanceCodesBudget[LedgerCode])=_xlfn.XLOOKUP(CONT_TEA[[#This Row],[DepartmentCode]],DEPTS[DepartmentCode],DEPTS[LedgerCode]),0,1),1)</f>
        <v>1</v>
      </c>
      <c r="N114" s="57" cm="1">
        <f t="array" ref="N114">IF(_xlfn.XLOOKUP(CONT_TEA[[#This Row],[PensionCode]],PENS[PensionCode],PENS[AvailableToAllSchools],1,0,)=TRUE,0,IF(ISERROR(FIND(CONT_TEA[[#This Row],[SchoolCode]],_xlfn.TEXTJOIN(",",TRUE,_xlfn.UNIQUE(IF(PENS[PensionCode]=CONT_TEA[[#This Row],[PensionCode]],PENS[SchoolCodes],""))))),1,0))</f>
        <v>0</v>
      </c>
      <c r="O114" s="57" cm="1">
        <f t="array" ref="O114">IF(_xlfn.XLOOKUP(CONT_TEA[[#This Row],[EquatedWeekPatternCode]],EQW[EquatedWeekPatternCode],EQW[AvailableToAllSchools],1,0,)=TRUE,0,IF(ISERROR(FIND(CONT_TEA[[#This Row],[SchoolCode]],_xlfn.TEXTJOIN(",",TRUE,_xlfn.UNIQUE(IF(EQW[EquatedWeekPatternCode]=CONT_TEA[[#This Row],[EquatedWeekPatternCode]],EQW[SchoolCodes],""))))),1,0))</f>
        <v>0</v>
      </c>
      <c r="P114" s="57">
        <f>1-COUNTIF(ContractTypes[Code],CONT_TEA[[#This Row],[ContractTypeCode]])</f>
        <v>0</v>
      </c>
      <c r="Q114" s="57">
        <f>IF(VLOOKUP(CONT_TEA[[#This Row],[StaffMemberCode]],MEMBERS[[StaffMemberCode]:[ServiceStartDate]],5,0)&gt;CONT_TEA[[#This Row],[DateFrom]],1,0)</f>
        <v>0</v>
      </c>
      <c r="R114" s="57">
        <f>IF(_xlfn.XLOOKUP(CONT_TEA[[#This Row],[StaffMemberCode]],MEMBERS[StaffMemberCode],MEMBERS[ServiceEndDate])="",0,IF(CONT_TEA[[#This Row],[DateTo]]="",1,IF(_xlfn.XLOOKUP(CONT_TEA[[#This Row],[StaffMemberCode]],MEMBERS[StaffMemberCode],MEMBERS[ServiceEndDate])&lt;CONT_TEA[[#This Row],[DateTo]],1,0)))</f>
        <v>0</v>
      </c>
      <c r="S114" s="57">
        <f>IF(ISBLANK(CONT_TEA[[#This Row],[DateTo]]),0,IF(CONT_TEA[[#This Row],[DateFrom]]=CONT_TEA[[#This Row],[DateTo]],0,IF(CONT_TEA[[#This Row],[DateFrom]]&lt;CONT_TEA[[#This Row],[DateTo]],0,1)))</f>
        <v>0</v>
      </c>
      <c r="T114" s="57" cm="1">
        <f t="array" aca="1" ref="T114" ca="1">IF(CELL("format",CONT_TEA[[#This Row],[DateFrom]])="D1",0,1)+IF(CELL("format",CONT_TEA[[#This Row],[DateTo]])="D1",0,1)</f>
        <v>0</v>
      </c>
      <c r="U114" s="57">
        <f>IF(OR(CONT_TEA[[#This Row],[MatEditOnly]]=TRUE,CONT_TEA[[#This Row],[MatEditOnly]]=FALSE),IF(OR(CONT_TEA[[#This Row],[NoIncrement]]=TRUE,CONT_TEA[[#This Row],[NoIncrement]]=FALSE),0,1),1)</f>
        <v>0</v>
      </c>
      <c r="V114" s="57">
        <f>IF(ISBLANK(CONT_TEA[[#This Row],[FundCode]])=TRUE,0,IF(COUNTIF(FUNDS[FundCode],CONT_TEA[[#This Row],[FundCode]])=1,0,1))</f>
        <v>0</v>
      </c>
      <c r="W114" s="57">
        <f>IF(LEN(CONT_TEA[[#This Row],[Notes]])&lt;4000,0,1)</f>
        <v>0</v>
      </c>
      <c r="X114" s="57">
        <f>IF(SUBSTITUTE(TEXT(CONT_TEA[[#This Row],[Reference]],10)," ","")=TEXT(CONT_TEA[[#This Row],[Reference]],10),0,1)</f>
        <v>0</v>
      </c>
      <c r="Y114" s="57">
        <f ca="1">SUM(CONT_TEA[[#This Row],[Duplicate Contract]:[Space in Code]])</f>
        <v>1</v>
      </c>
      <c r="AA114" s="12" t="s">
        <v>2094</v>
      </c>
      <c r="AB114" s="15">
        <v>91073517</v>
      </c>
      <c r="AC114" s="12" t="s">
        <v>4462</v>
      </c>
      <c r="AD114" s="57" t="str">
        <f>_xlfn.XLOOKUP(CONT_TEA[[#This Row],[StaffMemberCode]],StaffMembers!O:O,StaffMembers!R:R)</f>
        <v>Suzanne Fawcett</v>
      </c>
      <c r="AE114" s="12" t="s">
        <v>1174</v>
      </c>
      <c r="AF114" s="57">
        <f>_xlfn.XLOOKUP(CONT_TEA[[#This Row],[SRG]],SRG[StaffRoleGroupCode],SRG[GrossSalaryFinanceCode])</f>
        <v>612100</v>
      </c>
      <c r="AG114" s="57" t="str">
        <f>_xlfn.XLOOKUP(CONT_TEA[[#This Row],[StaffRoleCode]],ROLES[StaffRoleCode],ROLES[StaffRoleGroupCode])</f>
        <v>TEA</v>
      </c>
      <c r="AH114" s="57" t="str">
        <f>_xlfn.XLOOKUP(CONT_TEA[[#This Row],[StaffRoleCode]],ROLES[StaffRoleCode],ROLES[PayScaleCode])</f>
        <v>LS</v>
      </c>
      <c r="AI114" s="12" t="s">
        <v>3088</v>
      </c>
      <c r="AJ114" s="12" t="s">
        <v>1081</v>
      </c>
      <c r="AK114" s="12" t="s">
        <v>2499</v>
      </c>
      <c r="AM114" s="68" t="s">
        <v>1147</v>
      </c>
      <c r="AN114" s="13" t="s">
        <v>1702</v>
      </c>
      <c r="AO114" s="21">
        <v>45901</v>
      </c>
      <c r="AQ114" s="12">
        <v>0.8</v>
      </c>
      <c r="AR114" t="b">
        <v>0</v>
      </c>
      <c r="AS114" t="b">
        <v>0</v>
      </c>
      <c r="AT114" s="12" t="s">
        <v>1574</v>
      </c>
    </row>
    <row r="115" spans="1:47" x14ac:dyDescent="0.3">
      <c r="A115" s="57" t="str">
        <f t="shared" si="2"/>
        <v>BLS9107348091073480ALSTSTCH45901</v>
      </c>
      <c r="B115" s="57">
        <f>COUNTIF(CONT_TEA[Unique Contract],CONT_TEA[[#This Row],[Unique Contract]])-1</f>
        <v>0</v>
      </c>
      <c r="C115" s="57">
        <f>IFERROR(IF(FIND(CONT_TEA[[#This Row],[SchoolCode]],_xlfn.XLOOKUP(CONT_TEA[[#This Row],[StaffMemberCode]],MEMBERS[StaffMemberCode],MEMBERS[SchoolCodes]))&gt;0,0,1),1)</f>
        <v>0</v>
      </c>
      <c r="D115" s="57" cm="1">
        <f t="array" ref="D115">IF(_xlfn.XLOOKUP(CONT_TEA[[#This Row],[StaffRoleCode]],ROLES[StaffRoleCode],ROLES[AvailableToAllSchools],1,0,)=TRUE,0,IF(ISERROR(FIND(CONT_TEA[[#This Row],[SchoolCode]],_xlfn.TEXTJOIN(",",TRUE,_xlfn.UNIQUE(IF(ROLES[StaffRoleCode]=CONT_TEA[[#This Row],[StaffRoleCode]],ROLES[SchoolCodes],""))))),1,0))</f>
        <v>0</v>
      </c>
      <c r="E115" s="57" cm="1">
        <f t="array" ref="E11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15" s="57" cm="1">
        <f t="array" ref="F115">IF(_xlfn.XLOOKUP(CONT_TEA[[#This Row],[PayScaleCode]],PAYSCALES[PayScaleCode],PAYSCALES[AvailableToAllSchools],1,0,)=TRUE,0,IF(ISERROR(FIND(CONT_TEA[[#This Row],[SchoolCode]],_xlfn.TEXTJOIN(",",TRUE,_xlfn.UNIQUE(IF(PAYSCALES[PayScaleCode]=CONT_TEA[[#This Row],[PayScaleCode]],PAYSCALES[SchoolCodes],""))))),1,0))</f>
        <v>0</v>
      </c>
      <c r="G115" s="57">
        <f>IF(_xlfn.XLOOKUP(CONT_TEA[[#This Row],[PayScaleGradeCode]],GRADES[PayScaleGradeCode],GRADES[AvailableToAllSchools])=TRUE,0,IFERROR(IF(FIND(CONT_TEA[[#This Row],[SchoolCode]],_xlfn.XLOOKUP(CONT_TEA[[#This Row],[PayScaleGradeCode]],GRADES[PayScaleGradeCode],GRADES[SchoolCodes]))&gt;=1,0,1),1))</f>
        <v>0</v>
      </c>
      <c r="H115" s="57">
        <f>IF(ISERROR(IF((_xlfn.XLOOKUP(CONT_TEA[[#This Row],[PayScaleGradeCode]],GRADES[PayScaleGradeCode],GRADES[PayScaleCode])=CONT_TEA[[#This Row],[PayScaleCode]]),0,1)),1,0)</f>
        <v>0</v>
      </c>
      <c r="I115" s="57" cm="1">
        <f t="array" ref="I115">IF(ISERROR(FIND(CONT_TEA[[#This Row],[PayScalePointCode]],_xlfn.TEXTJOIN(",",TRUE,IF(PSPOINTS[PayScaleCode]=CONT_TEA[[#This Row],[PayScaleCode]],PSPOINTS[PayScalePointCode])))),1,0)</f>
        <v>0</v>
      </c>
      <c r="J115" s="57" cm="1">
        <f t="array" ref="J11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15" s="57">
        <f>IF(_xlfn.XLOOKUP(CONT_TEA[[#This Row],[PayScalePointCode]],PSPOINTS[PayScalePointCode],PSPOINTS[PayScalePointEnabled])=TRUE,0,1)</f>
        <v>0</v>
      </c>
      <c r="L115" s="57" cm="1">
        <f t="array" ref="L115">IF(_xlfn.XLOOKUP(CONT_TEA[[#This Row],[DepartmentCode]],DEPTS[DepartmentCode],DEPTS[AvailableToAllSchools],1,0,)=TRUE,0,IF(ISERROR(FIND(CONT_TEA[[#This Row],[SchoolCode]],_xlfn.TEXTJOIN(",",TRUE,_xlfn.UNIQUE(IF(DEPTS[DepartmentCode]=CONT_TEA[[#This Row],[DepartmentCode]],DEPTS[SchoolCodes],""))))),1,0))</f>
        <v>0</v>
      </c>
      <c r="M115" s="57">
        <f>IFERROR(IF(_xlfn.XLOOKUP(CONT_TEA[[#This Row],[SRG Gross]],FinanceCodesBudget[FinanceCode],FinanceCodesBudget[LedgerCode])=_xlfn.XLOOKUP(CONT_TEA[[#This Row],[DepartmentCode]],DEPTS[DepartmentCode],DEPTS[LedgerCode]),0,1),1)</f>
        <v>1</v>
      </c>
      <c r="N115" s="57" cm="1">
        <f t="array" ref="N115">IF(_xlfn.XLOOKUP(CONT_TEA[[#This Row],[PensionCode]],PENS[PensionCode],PENS[AvailableToAllSchools],1,0,)=TRUE,0,IF(ISERROR(FIND(CONT_TEA[[#This Row],[SchoolCode]],_xlfn.TEXTJOIN(",",TRUE,_xlfn.UNIQUE(IF(PENS[PensionCode]=CONT_TEA[[#This Row],[PensionCode]],PENS[SchoolCodes],""))))),1,0))</f>
        <v>0</v>
      </c>
      <c r="O115" s="57" cm="1">
        <f t="array" ref="O115">IF(_xlfn.XLOOKUP(CONT_TEA[[#This Row],[EquatedWeekPatternCode]],EQW[EquatedWeekPatternCode],EQW[AvailableToAllSchools],1,0,)=TRUE,0,IF(ISERROR(FIND(CONT_TEA[[#This Row],[SchoolCode]],_xlfn.TEXTJOIN(",",TRUE,_xlfn.UNIQUE(IF(EQW[EquatedWeekPatternCode]=CONT_TEA[[#This Row],[EquatedWeekPatternCode]],EQW[SchoolCodes],""))))),1,0))</f>
        <v>0</v>
      </c>
      <c r="P115" s="57">
        <f>1-COUNTIF(ContractTypes[Code],CONT_TEA[[#This Row],[ContractTypeCode]])</f>
        <v>0</v>
      </c>
      <c r="Q115" s="57">
        <f>IF(VLOOKUP(CONT_TEA[[#This Row],[StaffMemberCode]],MEMBERS[[StaffMemberCode]:[ServiceStartDate]],5,0)&gt;CONT_TEA[[#This Row],[DateFrom]],1,0)</f>
        <v>0</v>
      </c>
      <c r="R115" s="57">
        <f>IF(_xlfn.XLOOKUP(CONT_TEA[[#This Row],[StaffMemberCode]],MEMBERS[StaffMemberCode],MEMBERS[ServiceEndDate])="",0,IF(CONT_TEA[[#This Row],[DateTo]]="",1,IF(_xlfn.XLOOKUP(CONT_TEA[[#This Row],[StaffMemberCode]],MEMBERS[StaffMemberCode],MEMBERS[ServiceEndDate])&lt;CONT_TEA[[#This Row],[DateTo]],1,0)))</f>
        <v>0</v>
      </c>
      <c r="S115" s="57">
        <f>IF(ISBLANK(CONT_TEA[[#This Row],[DateTo]]),0,IF(CONT_TEA[[#This Row],[DateFrom]]=CONT_TEA[[#This Row],[DateTo]],0,IF(CONT_TEA[[#This Row],[DateFrom]]&lt;CONT_TEA[[#This Row],[DateTo]],0,1)))</f>
        <v>0</v>
      </c>
      <c r="T115" s="57" cm="1">
        <f t="array" aca="1" ref="T115" ca="1">IF(CELL("format",CONT_TEA[[#This Row],[DateFrom]])="D1",0,1)+IF(CELL("format",CONT_TEA[[#This Row],[DateTo]])="D1",0,1)</f>
        <v>0</v>
      </c>
      <c r="U115" s="57">
        <f>IF(OR(CONT_TEA[[#This Row],[MatEditOnly]]=TRUE,CONT_TEA[[#This Row],[MatEditOnly]]=FALSE),IF(OR(CONT_TEA[[#This Row],[NoIncrement]]=TRUE,CONT_TEA[[#This Row],[NoIncrement]]=FALSE),0,1),1)</f>
        <v>0</v>
      </c>
      <c r="V115" s="57">
        <f>IF(ISBLANK(CONT_TEA[[#This Row],[FundCode]])=TRUE,0,IF(COUNTIF(FUNDS[FundCode],CONT_TEA[[#This Row],[FundCode]])=1,0,1))</f>
        <v>0</v>
      </c>
      <c r="W115" s="57">
        <f>IF(LEN(CONT_TEA[[#This Row],[Notes]])&lt;4000,0,1)</f>
        <v>0</v>
      </c>
      <c r="X115" s="57">
        <f>IF(SUBSTITUTE(TEXT(CONT_TEA[[#This Row],[Reference]],10)," ","")=TEXT(CONT_TEA[[#This Row],[Reference]],10),0,1)</f>
        <v>0</v>
      </c>
      <c r="Y115" s="57">
        <f ca="1">SUM(CONT_TEA[[#This Row],[Duplicate Contract]:[Space in Code]])</f>
        <v>1</v>
      </c>
      <c r="AA115" s="12" t="s">
        <v>2094</v>
      </c>
      <c r="AB115" s="15">
        <v>91073480</v>
      </c>
      <c r="AC115" s="12" t="s">
        <v>4463</v>
      </c>
      <c r="AD115" s="57" t="str">
        <f>_xlfn.XLOOKUP(CONT_TEA[[#This Row],[StaffMemberCode]],StaffMembers!O:O,StaffMembers!R:R)</f>
        <v>Suzanne Williams</v>
      </c>
      <c r="AE115" s="12" t="s">
        <v>1174</v>
      </c>
      <c r="AF115" s="57">
        <f>_xlfn.XLOOKUP(CONT_TEA[[#This Row],[SRG]],SRG[StaffRoleGroupCode],SRG[GrossSalaryFinanceCode])</f>
        <v>612100</v>
      </c>
      <c r="AG115" s="57" t="str">
        <f>_xlfn.XLOOKUP(CONT_TEA[[#This Row],[StaffRoleCode]],ROLES[StaffRoleCode],ROLES[StaffRoleGroupCode])</f>
        <v>TEA</v>
      </c>
      <c r="AH115" s="57" t="str">
        <f>_xlfn.XLOOKUP(CONT_TEA[[#This Row],[StaffRoleCode]],ROLES[StaffRoleCode],ROLES[PayScaleCode])</f>
        <v>LS</v>
      </c>
      <c r="AI115" s="12" t="s">
        <v>3088</v>
      </c>
      <c r="AJ115" s="12" t="s">
        <v>1083</v>
      </c>
      <c r="AK115" s="12" t="s">
        <v>2499</v>
      </c>
      <c r="AM115" s="68" t="s">
        <v>1147</v>
      </c>
      <c r="AN115" s="13" t="s">
        <v>1702</v>
      </c>
      <c r="AO115" s="21">
        <v>45901</v>
      </c>
      <c r="AQ115" s="12">
        <v>0.9</v>
      </c>
      <c r="AR115" t="b">
        <v>0</v>
      </c>
      <c r="AS115" t="b">
        <v>0</v>
      </c>
      <c r="AT115" s="12" t="s">
        <v>1574</v>
      </c>
    </row>
    <row r="116" spans="1:47" x14ac:dyDescent="0.3">
      <c r="A116" s="57" t="str">
        <f t="shared" si="2"/>
        <v>BLS9107347791073477ALSTSTCH45901</v>
      </c>
      <c r="B116" s="57">
        <f>COUNTIF(CONT_TEA[Unique Contract],CONT_TEA[[#This Row],[Unique Contract]])-1</f>
        <v>0</v>
      </c>
      <c r="C116" s="57">
        <f>IFERROR(IF(FIND(CONT_TEA[[#This Row],[SchoolCode]],_xlfn.XLOOKUP(CONT_TEA[[#This Row],[StaffMemberCode]],MEMBERS[StaffMemberCode],MEMBERS[SchoolCodes]))&gt;0,0,1),1)</f>
        <v>0</v>
      </c>
      <c r="D116" s="57" cm="1">
        <f t="array" ref="D116">IF(_xlfn.XLOOKUP(CONT_TEA[[#This Row],[StaffRoleCode]],ROLES[StaffRoleCode],ROLES[AvailableToAllSchools],1,0,)=TRUE,0,IF(ISERROR(FIND(CONT_TEA[[#This Row],[SchoolCode]],_xlfn.TEXTJOIN(",",TRUE,_xlfn.UNIQUE(IF(ROLES[StaffRoleCode]=CONT_TEA[[#This Row],[StaffRoleCode]],ROLES[SchoolCodes],""))))),1,0))</f>
        <v>0</v>
      </c>
      <c r="E116" s="57" cm="1">
        <f t="array" ref="E11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16" s="57" cm="1">
        <f t="array" ref="F116">IF(_xlfn.XLOOKUP(CONT_TEA[[#This Row],[PayScaleCode]],PAYSCALES[PayScaleCode],PAYSCALES[AvailableToAllSchools],1,0,)=TRUE,0,IF(ISERROR(FIND(CONT_TEA[[#This Row],[SchoolCode]],_xlfn.TEXTJOIN(",",TRUE,_xlfn.UNIQUE(IF(PAYSCALES[PayScaleCode]=CONT_TEA[[#This Row],[PayScaleCode]],PAYSCALES[SchoolCodes],""))))),1,0))</f>
        <v>0</v>
      </c>
      <c r="G116" s="57">
        <f>IF(_xlfn.XLOOKUP(CONT_TEA[[#This Row],[PayScaleGradeCode]],GRADES[PayScaleGradeCode],GRADES[AvailableToAllSchools])=TRUE,0,IFERROR(IF(FIND(CONT_TEA[[#This Row],[SchoolCode]],_xlfn.XLOOKUP(CONT_TEA[[#This Row],[PayScaleGradeCode]],GRADES[PayScaleGradeCode],GRADES[SchoolCodes]))&gt;=1,0,1),1))</f>
        <v>0</v>
      </c>
      <c r="H116" s="57">
        <f>IF(ISERROR(IF((_xlfn.XLOOKUP(CONT_TEA[[#This Row],[PayScaleGradeCode]],GRADES[PayScaleGradeCode],GRADES[PayScaleCode])=CONT_TEA[[#This Row],[PayScaleCode]]),0,1)),1,0)</f>
        <v>0</v>
      </c>
      <c r="I116" s="57" cm="1">
        <f t="array" ref="I116">IF(ISERROR(FIND(CONT_TEA[[#This Row],[PayScalePointCode]],_xlfn.TEXTJOIN(",",TRUE,IF(PSPOINTS[PayScaleCode]=CONT_TEA[[#This Row],[PayScaleCode]],PSPOINTS[PayScalePointCode])))),1,0)</f>
        <v>0</v>
      </c>
      <c r="J116" s="57" cm="1">
        <f t="array" ref="J11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16" s="57">
        <f>IF(_xlfn.XLOOKUP(CONT_TEA[[#This Row],[PayScalePointCode]],PSPOINTS[PayScalePointCode],PSPOINTS[PayScalePointEnabled])=TRUE,0,1)</f>
        <v>0</v>
      </c>
      <c r="L116" s="57" cm="1">
        <f t="array" ref="L116">IF(_xlfn.XLOOKUP(CONT_TEA[[#This Row],[DepartmentCode]],DEPTS[DepartmentCode],DEPTS[AvailableToAllSchools],1,0,)=TRUE,0,IF(ISERROR(FIND(CONT_TEA[[#This Row],[SchoolCode]],_xlfn.TEXTJOIN(",",TRUE,_xlfn.UNIQUE(IF(DEPTS[DepartmentCode]=CONT_TEA[[#This Row],[DepartmentCode]],DEPTS[SchoolCodes],""))))),1,0))</f>
        <v>0</v>
      </c>
      <c r="M116" s="57">
        <f>IFERROR(IF(_xlfn.XLOOKUP(CONT_TEA[[#This Row],[SRG Gross]],FinanceCodesBudget[FinanceCode],FinanceCodesBudget[LedgerCode])=_xlfn.XLOOKUP(CONT_TEA[[#This Row],[DepartmentCode]],DEPTS[DepartmentCode],DEPTS[LedgerCode]),0,1),1)</f>
        <v>1</v>
      </c>
      <c r="N116" s="57" cm="1">
        <f t="array" ref="N116">IF(_xlfn.XLOOKUP(CONT_TEA[[#This Row],[PensionCode]],PENS[PensionCode],PENS[AvailableToAllSchools],1,0,)=TRUE,0,IF(ISERROR(FIND(CONT_TEA[[#This Row],[SchoolCode]],_xlfn.TEXTJOIN(",",TRUE,_xlfn.UNIQUE(IF(PENS[PensionCode]=CONT_TEA[[#This Row],[PensionCode]],PENS[SchoolCodes],""))))),1,0))</f>
        <v>0</v>
      </c>
      <c r="O116" s="57" cm="1">
        <f t="array" ref="O116">IF(_xlfn.XLOOKUP(CONT_TEA[[#This Row],[EquatedWeekPatternCode]],EQW[EquatedWeekPatternCode],EQW[AvailableToAllSchools],1,0,)=TRUE,0,IF(ISERROR(FIND(CONT_TEA[[#This Row],[SchoolCode]],_xlfn.TEXTJOIN(",",TRUE,_xlfn.UNIQUE(IF(EQW[EquatedWeekPatternCode]=CONT_TEA[[#This Row],[EquatedWeekPatternCode]],EQW[SchoolCodes],""))))),1,0))</f>
        <v>0</v>
      </c>
      <c r="P116" s="57">
        <f>1-COUNTIF(ContractTypes[Code],CONT_TEA[[#This Row],[ContractTypeCode]])</f>
        <v>0</v>
      </c>
      <c r="Q116" s="57">
        <f>IF(VLOOKUP(CONT_TEA[[#This Row],[StaffMemberCode]],MEMBERS[[StaffMemberCode]:[ServiceStartDate]],5,0)&gt;CONT_TEA[[#This Row],[DateFrom]],1,0)</f>
        <v>0</v>
      </c>
      <c r="R116" s="57">
        <f>IF(_xlfn.XLOOKUP(CONT_TEA[[#This Row],[StaffMemberCode]],MEMBERS[StaffMemberCode],MEMBERS[ServiceEndDate])="",0,IF(CONT_TEA[[#This Row],[DateTo]]="",1,IF(_xlfn.XLOOKUP(CONT_TEA[[#This Row],[StaffMemberCode]],MEMBERS[StaffMemberCode],MEMBERS[ServiceEndDate])&lt;CONT_TEA[[#This Row],[DateTo]],1,0)))</f>
        <v>0</v>
      </c>
      <c r="S116" s="57">
        <f>IF(ISBLANK(CONT_TEA[[#This Row],[DateTo]]),0,IF(CONT_TEA[[#This Row],[DateFrom]]=CONT_TEA[[#This Row],[DateTo]],0,IF(CONT_TEA[[#This Row],[DateFrom]]&lt;CONT_TEA[[#This Row],[DateTo]],0,1)))</f>
        <v>0</v>
      </c>
      <c r="T116" s="57" cm="1">
        <f t="array" aca="1" ref="T116" ca="1">IF(CELL("format",CONT_TEA[[#This Row],[DateFrom]])="D1",0,1)+IF(CELL("format",CONT_TEA[[#This Row],[DateTo]])="D1",0,1)</f>
        <v>0</v>
      </c>
      <c r="U116" s="57">
        <f>IF(OR(CONT_TEA[[#This Row],[MatEditOnly]]=TRUE,CONT_TEA[[#This Row],[MatEditOnly]]=FALSE),IF(OR(CONT_TEA[[#This Row],[NoIncrement]]=TRUE,CONT_TEA[[#This Row],[NoIncrement]]=FALSE),0,1),1)</f>
        <v>0</v>
      </c>
      <c r="V116" s="57">
        <f>IF(ISBLANK(CONT_TEA[[#This Row],[FundCode]])=TRUE,0,IF(COUNTIF(FUNDS[FundCode],CONT_TEA[[#This Row],[FundCode]])=1,0,1))</f>
        <v>0</v>
      </c>
      <c r="W116" s="57">
        <f>IF(LEN(CONT_TEA[[#This Row],[Notes]])&lt;4000,0,1)</f>
        <v>0</v>
      </c>
      <c r="X116" s="57">
        <f>IF(SUBSTITUTE(TEXT(CONT_TEA[[#This Row],[Reference]],10)," ","")=TEXT(CONT_TEA[[#This Row],[Reference]],10),0,1)</f>
        <v>0</v>
      </c>
      <c r="Y116" s="57">
        <f ca="1">SUM(CONT_TEA[[#This Row],[Duplicate Contract]:[Space in Code]])</f>
        <v>1</v>
      </c>
      <c r="AA116" s="12" t="s">
        <v>2094</v>
      </c>
      <c r="AB116" s="15">
        <v>91073477</v>
      </c>
      <c r="AC116" s="12" t="s">
        <v>4464</v>
      </c>
      <c r="AD116" s="57" t="str">
        <f>_xlfn.XLOOKUP(CONT_TEA[[#This Row],[StaffMemberCode]],StaffMembers!O:O,StaffMembers!R:R)</f>
        <v>Timothy Maclellan</v>
      </c>
      <c r="AE116" s="12" t="s">
        <v>1174</v>
      </c>
      <c r="AF116" s="57">
        <f>_xlfn.XLOOKUP(CONT_TEA[[#This Row],[SRG]],SRG[StaffRoleGroupCode],SRG[GrossSalaryFinanceCode])</f>
        <v>612100</v>
      </c>
      <c r="AG116" s="57" t="str">
        <f>_xlfn.XLOOKUP(CONT_TEA[[#This Row],[StaffRoleCode]],ROLES[StaffRoleCode],ROLES[StaffRoleGroupCode])</f>
        <v>TEA</v>
      </c>
      <c r="AH116" s="57" t="str">
        <f>_xlfn.XLOOKUP(CONT_TEA[[#This Row],[StaffRoleCode]],ROLES[StaffRoleCode],ROLES[PayScaleCode])</f>
        <v>LS</v>
      </c>
      <c r="AI116" s="12" t="s">
        <v>3089</v>
      </c>
      <c r="AJ116" s="12" t="s">
        <v>1085</v>
      </c>
      <c r="AK116" s="12" t="s">
        <v>2499</v>
      </c>
      <c r="AM116" s="68" t="s">
        <v>1147</v>
      </c>
      <c r="AN116" s="13" t="s">
        <v>1702</v>
      </c>
      <c r="AO116" s="21">
        <v>45901</v>
      </c>
      <c r="AQ116" s="12">
        <v>1</v>
      </c>
      <c r="AR116" t="b">
        <v>0</v>
      </c>
      <c r="AS116" t="b">
        <v>0</v>
      </c>
      <c r="AT116" s="12" t="s">
        <v>1574</v>
      </c>
    </row>
    <row r="117" spans="1:47" x14ac:dyDescent="0.3">
      <c r="A117" s="57" t="str">
        <f t="shared" si="2"/>
        <v>PTP9107395091073950ATEASTCH45901</v>
      </c>
      <c r="B117" s="57">
        <f>COUNTIF(CONT_TEA[Unique Contract],CONT_TEA[[#This Row],[Unique Contract]])-1</f>
        <v>0</v>
      </c>
      <c r="C117" s="57">
        <f>IFERROR(IF(FIND(CONT_TEA[[#This Row],[SchoolCode]],_xlfn.XLOOKUP(CONT_TEA[[#This Row],[StaffMemberCode]],MEMBERS[StaffMemberCode],MEMBERS[SchoolCodes]))&gt;0,0,1),1)</f>
        <v>0</v>
      </c>
      <c r="D117" s="57" cm="1">
        <f t="array" ref="D117">IF(_xlfn.XLOOKUP(CONT_TEA[[#This Row],[StaffRoleCode]],ROLES[StaffRoleCode],ROLES[AvailableToAllSchools],1,0,)=TRUE,0,IF(ISERROR(FIND(CONT_TEA[[#This Row],[SchoolCode]],_xlfn.TEXTJOIN(",",TRUE,_xlfn.UNIQUE(IF(ROLES[StaffRoleCode]=CONT_TEA[[#This Row],[StaffRoleCode]],ROLES[SchoolCodes],""))))),1,0))</f>
        <v>0</v>
      </c>
      <c r="E117" s="57" cm="1">
        <f t="array" ref="E11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17" s="57" cm="1">
        <f t="array" ref="F117">IF(_xlfn.XLOOKUP(CONT_TEA[[#This Row],[PayScaleCode]],PAYSCALES[PayScaleCode],PAYSCALES[AvailableToAllSchools],1,0,)=TRUE,0,IF(ISERROR(FIND(CONT_TEA[[#This Row],[SchoolCode]],_xlfn.TEXTJOIN(",",TRUE,_xlfn.UNIQUE(IF(PAYSCALES[PayScaleCode]=CONT_TEA[[#This Row],[PayScaleCode]],PAYSCALES[SchoolCodes],""))))),1,0))</f>
        <v>0</v>
      </c>
      <c r="G117" s="57">
        <f>IF(_xlfn.XLOOKUP(CONT_TEA[[#This Row],[PayScaleGradeCode]],GRADES[PayScaleGradeCode],GRADES[AvailableToAllSchools])=TRUE,0,IFERROR(IF(FIND(CONT_TEA[[#This Row],[SchoolCode]],_xlfn.XLOOKUP(CONT_TEA[[#This Row],[PayScaleGradeCode]],GRADES[PayScaleGradeCode],GRADES[SchoolCodes]))&gt;=1,0,1),1))</f>
        <v>0</v>
      </c>
      <c r="H117" s="57">
        <f>IF(ISERROR(IF((_xlfn.XLOOKUP(CONT_TEA[[#This Row],[PayScaleGradeCode]],GRADES[PayScaleGradeCode],GRADES[PayScaleCode])=CONT_TEA[[#This Row],[PayScaleCode]]),0,1)),1,0)</f>
        <v>0</v>
      </c>
      <c r="I117" s="57" cm="1">
        <f t="array" ref="I117">IF(ISERROR(FIND(CONT_TEA[[#This Row],[PayScalePointCode]],_xlfn.TEXTJOIN(",",TRUE,IF(PSPOINTS[PayScaleCode]=CONT_TEA[[#This Row],[PayScaleCode]],PSPOINTS[PayScalePointCode])))),1,0)</f>
        <v>0</v>
      </c>
      <c r="J117" s="57" cm="1">
        <f t="array" ref="J11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17" s="57">
        <f>IF(_xlfn.XLOOKUP(CONT_TEA[[#This Row],[PayScalePointCode]],PSPOINTS[PayScalePointCode],PSPOINTS[PayScalePointEnabled])=TRUE,0,1)</f>
        <v>0</v>
      </c>
      <c r="L117" s="57" cm="1">
        <f t="array" ref="L117">IF(_xlfn.XLOOKUP(CONT_TEA[[#This Row],[DepartmentCode]],DEPTS[DepartmentCode],DEPTS[AvailableToAllSchools],1,0,)=TRUE,0,IF(ISERROR(FIND(CONT_TEA[[#This Row],[SchoolCode]],_xlfn.TEXTJOIN(",",TRUE,_xlfn.UNIQUE(IF(DEPTS[DepartmentCode]=CONT_TEA[[#This Row],[DepartmentCode]],DEPTS[SchoolCodes],""))))),1,0))</f>
        <v>0</v>
      </c>
      <c r="M117" s="57">
        <f>IFERROR(IF(_xlfn.XLOOKUP(CONT_TEA[[#This Row],[SRG Gross]],FinanceCodesBudget[FinanceCode],FinanceCodesBudget[LedgerCode])=_xlfn.XLOOKUP(CONT_TEA[[#This Row],[DepartmentCode]],DEPTS[DepartmentCode],DEPTS[LedgerCode]),0,1),1)</f>
        <v>1</v>
      </c>
      <c r="N117" s="57" cm="1">
        <f t="array" ref="N117">IF(_xlfn.XLOOKUP(CONT_TEA[[#This Row],[PensionCode]],PENS[PensionCode],PENS[AvailableToAllSchools],1,0,)=TRUE,0,IF(ISERROR(FIND(CONT_TEA[[#This Row],[SchoolCode]],_xlfn.TEXTJOIN(",",TRUE,_xlfn.UNIQUE(IF(PENS[PensionCode]=CONT_TEA[[#This Row],[PensionCode]],PENS[SchoolCodes],""))))),1,0))</f>
        <v>0</v>
      </c>
      <c r="O117" s="57" cm="1">
        <f t="array" ref="O117">IF(_xlfn.XLOOKUP(CONT_TEA[[#This Row],[EquatedWeekPatternCode]],EQW[EquatedWeekPatternCode],EQW[AvailableToAllSchools],1,0,)=TRUE,0,IF(ISERROR(FIND(CONT_TEA[[#This Row],[SchoolCode]],_xlfn.TEXTJOIN(",",TRUE,_xlfn.UNIQUE(IF(EQW[EquatedWeekPatternCode]=CONT_TEA[[#This Row],[EquatedWeekPatternCode]],EQW[SchoolCodes],""))))),1,0))</f>
        <v>0</v>
      </c>
      <c r="P117" s="57">
        <f>1-COUNTIF(ContractTypes[Code],CONT_TEA[[#This Row],[ContractTypeCode]])</f>
        <v>0</v>
      </c>
      <c r="Q117" s="57">
        <f>IF(VLOOKUP(CONT_TEA[[#This Row],[StaffMemberCode]],MEMBERS[[StaffMemberCode]:[ServiceStartDate]],5,0)&gt;CONT_TEA[[#This Row],[DateFrom]],1,0)</f>
        <v>0</v>
      </c>
      <c r="R117" s="57">
        <f>IF(_xlfn.XLOOKUP(CONT_TEA[[#This Row],[StaffMemberCode]],MEMBERS[StaffMemberCode],MEMBERS[ServiceEndDate])="",0,IF(CONT_TEA[[#This Row],[DateTo]]="",1,IF(_xlfn.XLOOKUP(CONT_TEA[[#This Row],[StaffMemberCode]],MEMBERS[StaffMemberCode],MEMBERS[ServiceEndDate])&lt;CONT_TEA[[#This Row],[DateTo]],1,0)))</f>
        <v>0</v>
      </c>
      <c r="S117" s="57">
        <f>IF(ISBLANK(CONT_TEA[[#This Row],[DateTo]]),0,IF(CONT_TEA[[#This Row],[DateFrom]]=CONT_TEA[[#This Row],[DateTo]],0,IF(CONT_TEA[[#This Row],[DateFrom]]&lt;CONT_TEA[[#This Row],[DateTo]],0,1)))</f>
        <v>0</v>
      </c>
      <c r="T117" s="57" cm="1">
        <f t="array" aca="1" ref="T117" ca="1">IF(CELL("format",CONT_TEA[[#This Row],[DateFrom]])="D1",0,1)+IF(CELL("format",CONT_TEA[[#This Row],[DateTo]])="D1",0,1)</f>
        <v>0</v>
      </c>
      <c r="U117" s="57">
        <f>IF(OR(CONT_TEA[[#This Row],[MatEditOnly]]=TRUE,CONT_TEA[[#This Row],[MatEditOnly]]=FALSE),IF(OR(CONT_TEA[[#This Row],[NoIncrement]]=TRUE,CONT_TEA[[#This Row],[NoIncrement]]=FALSE),0,1),1)</f>
        <v>0</v>
      </c>
      <c r="V117" s="57">
        <f>IF(ISBLANK(CONT_TEA[[#This Row],[FundCode]])=TRUE,0,IF(COUNTIF(FUNDS[FundCode],CONT_TEA[[#This Row],[FundCode]])=1,0,1))</f>
        <v>0</v>
      </c>
      <c r="W117" s="57">
        <f>IF(LEN(CONT_TEA[[#This Row],[Notes]])&lt;4000,0,1)</f>
        <v>0</v>
      </c>
      <c r="X117" s="57">
        <f>IF(SUBSTITUTE(TEXT(CONT_TEA[[#This Row],[Reference]],10)," ","")=TEXT(CONT_TEA[[#This Row],[Reference]],10),0,1)</f>
        <v>0</v>
      </c>
      <c r="Y117" s="57">
        <f ca="1">SUM(CONT_TEA[[#This Row],[Duplicate Contract]:[Space in Code]])</f>
        <v>1</v>
      </c>
      <c r="AA117" s="12" t="s">
        <v>2299</v>
      </c>
      <c r="AB117" s="15">
        <v>91073950</v>
      </c>
      <c r="AC117" s="12" t="s">
        <v>4465</v>
      </c>
      <c r="AD117" s="57" t="str">
        <f>_xlfn.XLOOKUP(CONT_TEA[[#This Row],[StaffMemberCode]],StaffMembers!O:O,StaffMembers!R:R)</f>
        <v>Abigail Somers</v>
      </c>
      <c r="AE117" s="12" t="s">
        <v>1178</v>
      </c>
      <c r="AF117" s="57">
        <f>_xlfn.XLOOKUP(CONT_TEA[[#This Row],[SRG]],SRG[StaffRoleGroupCode],SRG[GrossSalaryFinanceCode])</f>
        <v>612100</v>
      </c>
      <c r="AG117" s="57" t="str">
        <f>_xlfn.XLOOKUP(CONT_TEA[[#This Row],[StaffRoleCode]],ROLES[StaffRoleCode],ROLES[StaffRoleGroupCode])</f>
        <v>TEA</v>
      </c>
      <c r="AH117" s="57" t="str">
        <f>_xlfn.XLOOKUP(CONT_TEA[[#This Row],[StaffRoleCode]],ROLES[StaffRoleCode],ROLES[PayScaleCode])</f>
        <v>MAIN</v>
      </c>
      <c r="AI117" s="12" t="s">
        <v>1126</v>
      </c>
      <c r="AJ117" s="12" t="s">
        <v>1546</v>
      </c>
      <c r="AK117" s="12" t="s">
        <v>2499</v>
      </c>
      <c r="AM117" s="68" t="s">
        <v>1147</v>
      </c>
      <c r="AN117" s="13" t="s">
        <v>1702</v>
      </c>
      <c r="AO117" s="21">
        <v>45901</v>
      </c>
      <c r="AQ117" s="12">
        <v>1</v>
      </c>
      <c r="AR117" t="b">
        <v>0</v>
      </c>
      <c r="AS117" t="b">
        <v>0</v>
      </c>
      <c r="AT117" s="12" t="s">
        <v>1574</v>
      </c>
    </row>
    <row r="118" spans="1:47" x14ac:dyDescent="0.3">
      <c r="A118" s="57" t="str">
        <f t="shared" si="2"/>
        <v>WVP9185004291850042ATEASTCH45901</v>
      </c>
      <c r="B118" s="57">
        <f>COUNTIF(CONT_TEA[Unique Contract],CONT_TEA[[#This Row],[Unique Contract]])-1</f>
        <v>0</v>
      </c>
      <c r="C118" s="57">
        <f>IFERROR(IF(FIND(CONT_TEA[[#This Row],[SchoolCode]],_xlfn.XLOOKUP(CONT_TEA[[#This Row],[StaffMemberCode]],MEMBERS[StaffMemberCode],MEMBERS[SchoolCodes]))&gt;0,0,1),1)</f>
        <v>0</v>
      </c>
      <c r="D118" s="57" cm="1">
        <f t="array" ref="D118">IF(_xlfn.XLOOKUP(CONT_TEA[[#This Row],[StaffRoleCode]],ROLES[StaffRoleCode],ROLES[AvailableToAllSchools],1,0,)=TRUE,0,IF(ISERROR(FIND(CONT_TEA[[#This Row],[SchoolCode]],_xlfn.TEXTJOIN(",",TRUE,_xlfn.UNIQUE(IF(ROLES[StaffRoleCode]=CONT_TEA[[#This Row],[StaffRoleCode]],ROLES[SchoolCodes],""))))),1,0))</f>
        <v>0</v>
      </c>
      <c r="E118" s="57" cm="1">
        <f t="array" ref="E11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18" s="57" cm="1">
        <f t="array" ref="F118">IF(_xlfn.XLOOKUP(CONT_TEA[[#This Row],[PayScaleCode]],PAYSCALES[PayScaleCode],PAYSCALES[AvailableToAllSchools],1,0,)=TRUE,0,IF(ISERROR(FIND(CONT_TEA[[#This Row],[SchoolCode]],_xlfn.TEXTJOIN(",",TRUE,_xlfn.UNIQUE(IF(PAYSCALES[PayScaleCode]=CONT_TEA[[#This Row],[PayScaleCode]],PAYSCALES[SchoolCodes],""))))),1,0))</f>
        <v>0</v>
      </c>
      <c r="G118" s="57">
        <f>IF(_xlfn.XLOOKUP(CONT_TEA[[#This Row],[PayScaleGradeCode]],GRADES[PayScaleGradeCode],GRADES[AvailableToAllSchools])=TRUE,0,IFERROR(IF(FIND(CONT_TEA[[#This Row],[SchoolCode]],_xlfn.XLOOKUP(CONT_TEA[[#This Row],[PayScaleGradeCode]],GRADES[PayScaleGradeCode],GRADES[SchoolCodes]))&gt;=1,0,1),1))</f>
        <v>0</v>
      </c>
      <c r="H118" s="57">
        <f>IF(ISERROR(IF((_xlfn.XLOOKUP(CONT_TEA[[#This Row],[PayScaleGradeCode]],GRADES[PayScaleGradeCode],GRADES[PayScaleCode])=CONT_TEA[[#This Row],[PayScaleCode]]),0,1)),1,0)</f>
        <v>0</v>
      </c>
      <c r="I118" s="57" cm="1">
        <f t="array" ref="I118">IF(ISERROR(FIND(CONT_TEA[[#This Row],[PayScalePointCode]],_xlfn.TEXTJOIN(",",TRUE,IF(PSPOINTS[PayScaleCode]=CONT_TEA[[#This Row],[PayScaleCode]],PSPOINTS[PayScalePointCode])))),1,0)</f>
        <v>0</v>
      </c>
      <c r="J118" s="57" cm="1">
        <f t="array" ref="J11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18" s="57">
        <f>IF(_xlfn.XLOOKUP(CONT_TEA[[#This Row],[PayScalePointCode]],PSPOINTS[PayScalePointCode],PSPOINTS[PayScalePointEnabled])=TRUE,0,1)</f>
        <v>0</v>
      </c>
      <c r="L118" s="57" cm="1">
        <f t="array" ref="L118">IF(_xlfn.XLOOKUP(CONT_TEA[[#This Row],[DepartmentCode]],DEPTS[DepartmentCode],DEPTS[AvailableToAllSchools],1,0,)=TRUE,0,IF(ISERROR(FIND(CONT_TEA[[#This Row],[SchoolCode]],_xlfn.TEXTJOIN(",",TRUE,_xlfn.UNIQUE(IF(DEPTS[DepartmentCode]=CONT_TEA[[#This Row],[DepartmentCode]],DEPTS[SchoolCodes],""))))),1,0))</f>
        <v>0</v>
      </c>
      <c r="M118" s="57">
        <f>IFERROR(IF(_xlfn.XLOOKUP(CONT_TEA[[#This Row],[SRG Gross]],FinanceCodesBudget[FinanceCode],FinanceCodesBudget[LedgerCode])=_xlfn.XLOOKUP(CONT_TEA[[#This Row],[DepartmentCode]],DEPTS[DepartmentCode],DEPTS[LedgerCode]),0,1),1)</f>
        <v>1</v>
      </c>
      <c r="N118" s="57" cm="1">
        <f t="array" ref="N118">IF(_xlfn.XLOOKUP(CONT_TEA[[#This Row],[PensionCode]],PENS[PensionCode],PENS[AvailableToAllSchools],1,0,)=TRUE,0,IF(ISERROR(FIND(CONT_TEA[[#This Row],[SchoolCode]],_xlfn.TEXTJOIN(",",TRUE,_xlfn.UNIQUE(IF(PENS[PensionCode]=CONT_TEA[[#This Row],[PensionCode]],PENS[SchoolCodes],""))))),1,0))</f>
        <v>0</v>
      </c>
      <c r="O118" s="57" cm="1">
        <f t="array" ref="O118">IF(_xlfn.XLOOKUP(CONT_TEA[[#This Row],[EquatedWeekPatternCode]],EQW[EquatedWeekPatternCode],EQW[AvailableToAllSchools],1,0,)=TRUE,0,IF(ISERROR(FIND(CONT_TEA[[#This Row],[SchoolCode]],_xlfn.TEXTJOIN(",",TRUE,_xlfn.UNIQUE(IF(EQW[EquatedWeekPatternCode]=CONT_TEA[[#This Row],[EquatedWeekPatternCode]],EQW[SchoolCodes],""))))),1,0))</f>
        <v>0</v>
      </c>
      <c r="P118" s="57">
        <f>1-COUNTIF(ContractTypes[Code],CONT_TEA[[#This Row],[ContractTypeCode]])</f>
        <v>0</v>
      </c>
      <c r="Q118" s="57">
        <f>IF(VLOOKUP(CONT_TEA[[#This Row],[StaffMemberCode]],MEMBERS[[StaffMemberCode]:[ServiceStartDate]],5,0)&gt;CONT_TEA[[#This Row],[DateFrom]],1,0)</f>
        <v>0</v>
      </c>
      <c r="R118" s="57">
        <f>IF(_xlfn.XLOOKUP(CONT_TEA[[#This Row],[StaffMemberCode]],MEMBERS[StaffMemberCode],MEMBERS[ServiceEndDate])="",0,IF(CONT_TEA[[#This Row],[DateTo]]="",1,IF(_xlfn.XLOOKUP(CONT_TEA[[#This Row],[StaffMemberCode]],MEMBERS[StaffMemberCode],MEMBERS[ServiceEndDate])&lt;CONT_TEA[[#This Row],[DateTo]],1,0)))</f>
        <v>0</v>
      </c>
      <c r="S118" s="57">
        <f>IF(ISBLANK(CONT_TEA[[#This Row],[DateTo]]),0,IF(CONT_TEA[[#This Row],[DateFrom]]=CONT_TEA[[#This Row],[DateTo]],0,IF(CONT_TEA[[#This Row],[DateFrom]]&lt;CONT_TEA[[#This Row],[DateTo]],0,1)))</f>
        <v>0</v>
      </c>
      <c r="T118" s="57" cm="1">
        <f t="array" aca="1" ref="T118" ca="1">IF(CELL("format",CONT_TEA[[#This Row],[DateFrom]])="D1",0,1)+IF(CELL("format",CONT_TEA[[#This Row],[DateTo]])="D1",0,1)</f>
        <v>0</v>
      </c>
      <c r="U118" s="57">
        <f>IF(OR(CONT_TEA[[#This Row],[MatEditOnly]]=TRUE,CONT_TEA[[#This Row],[MatEditOnly]]=FALSE),IF(OR(CONT_TEA[[#This Row],[NoIncrement]]=TRUE,CONT_TEA[[#This Row],[NoIncrement]]=FALSE),0,1),1)</f>
        <v>0</v>
      </c>
      <c r="V118" s="57">
        <f>IF(ISBLANK(CONT_TEA[[#This Row],[FundCode]])=TRUE,0,IF(COUNTIF(FUNDS[FundCode],CONT_TEA[[#This Row],[FundCode]])=1,0,1))</f>
        <v>0</v>
      </c>
      <c r="W118" s="57">
        <f>IF(LEN(CONT_TEA[[#This Row],[Notes]])&lt;4000,0,1)</f>
        <v>0</v>
      </c>
      <c r="X118" s="57">
        <f>IF(SUBSTITUTE(TEXT(CONT_TEA[[#This Row],[Reference]],10)," ","")=TEXT(CONT_TEA[[#This Row],[Reference]],10),0,1)</f>
        <v>0</v>
      </c>
      <c r="Y118" s="57">
        <f ca="1">SUM(CONT_TEA[[#This Row],[Duplicate Contract]:[Space in Code]])</f>
        <v>1</v>
      </c>
      <c r="AA118" s="12" t="s">
        <v>2275</v>
      </c>
      <c r="AB118" s="15">
        <v>91850042</v>
      </c>
      <c r="AC118" s="12" t="s">
        <v>4466</v>
      </c>
      <c r="AD118" s="57" t="str">
        <f>_xlfn.XLOOKUP(CONT_TEA[[#This Row],[StaffMemberCode]],StaffMembers!O:O,StaffMembers!R:R)</f>
        <v>Abigail Wilcox</v>
      </c>
      <c r="AE118" s="12" t="s">
        <v>1178</v>
      </c>
      <c r="AF118" s="57">
        <f>_xlfn.XLOOKUP(CONT_TEA[[#This Row],[SRG]],SRG[StaffRoleGroupCode],SRG[GrossSalaryFinanceCode])</f>
        <v>612100</v>
      </c>
      <c r="AG118" s="57" t="str">
        <f>_xlfn.XLOOKUP(CONT_TEA[[#This Row],[StaffRoleCode]],ROLES[StaffRoleCode],ROLES[StaffRoleGroupCode])</f>
        <v>TEA</v>
      </c>
      <c r="AH118" s="57" t="str">
        <f>_xlfn.XLOOKUP(CONT_TEA[[#This Row],[StaffRoleCode]],ROLES[StaffRoleCode],ROLES[PayScaleCode])</f>
        <v>MAIN</v>
      </c>
      <c r="AI118" s="12" t="s">
        <v>1126</v>
      </c>
      <c r="AJ118" s="12" t="s">
        <v>1067</v>
      </c>
      <c r="AK118" s="12" t="s">
        <v>2499</v>
      </c>
      <c r="AM118" s="68" t="s">
        <v>1147</v>
      </c>
      <c r="AN118" s="13" t="s">
        <v>1702</v>
      </c>
      <c r="AO118" s="21">
        <v>45901</v>
      </c>
      <c r="AQ118" s="12">
        <v>1</v>
      </c>
      <c r="AR118" t="b">
        <v>0</v>
      </c>
      <c r="AS118" t="b">
        <v>0</v>
      </c>
      <c r="AT118" s="12" t="s">
        <v>1575</v>
      </c>
    </row>
    <row r="119" spans="1:47" x14ac:dyDescent="0.3">
      <c r="A119" s="57" t="str">
        <f t="shared" si="2"/>
        <v>ALS9185003191850031ATEASTCH45901</v>
      </c>
      <c r="B119" s="57">
        <f>COUNTIF(CONT_TEA[Unique Contract],CONT_TEA[[#This Row],[Unique Contract]])-1</f>
        <v>0</v>
      </c>
      <c r="C119" s="57">
        <f>IFERROR(IF(FIND(CONT_TEA[[#This Row],[SchoolCode]],_xlfn.XLOOKUP(CONT_TEA[[#This Row],[StaffMemberCode]],MEMBERS[StaffMemberCode],MEMBERS[SchoolCodes]))&gt;0,0,1),1)</f>
        <v>0</v>
      </c>
      <c r="D119" s="57" cm="1">
        <f t="array" ref="D119">IF(_xlfn.XLOOKUP(CONT_TEA[[#This Row],[StaffRoleCode]],ROLES[StaffRoleCode],ROLES[AvailableToAllSchools],1,0,)=TRUE,0,IF(ISERROR(FIND(CONT_TEA[[#This Row],[SchoolCode]],_xlfn.TEXTJOIN(",",TRUE,_xlfn.UNIQUE(IF(ROLES[StaffRoleCode]=CONT_TEA[[#This Row],[StaffRoleCode]],ROLES[SchoolCodes],""))))),1,0))</f>
        <v>0</v>
      </c>
      <c r="E119" s="57" cm="1">
        <f t="array" ref="E11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19" s="57" cm="1">
        <f t="array" ref="F119">IF(_xlfn.XLOOKUP(CONT_TEA[[#This Row],[PayScaleCode]],PAYSCALES[PayScaleCode],PAYSCALES[AvailableToAllSchools],1,0,)=TRUE,0,IF(ISERROR(FIND(CONT_TEA[[#This Row],[SchoolCode]],_xlfn.TEXTJOIN(",",TRUE,_xlfn.UNIQUE(IF(PAYSCALES[PayScaleCode]=CONT_TEA[[#This Row],[PayScaleCode]],PAYSCALES[SchoolCodes],""))))),1,0))</f>
        <v>0</v>
      </c>
      <c r="G119" s="57">
        <f>IF(_xlfn.XLOOKUP(CONT_TEA[[#This Row],[PayScaleGradeCode]],GRADES[PayScaleGradeCode],GRADES[AvailableToAllSchools])=TRUE,0,IFERROR(IF(FIND(CONT_TEA[[#This Row],[SchoolCode]],_xlfn.XLOOKUP(CONT_TEA[[#This Row],[PayScaleGradeCode]],GRADES[PayScaleGradeCode],GRADES[SchoolCodes]))&gt;=1,0,1),1))</f>
        <v>0</v>
      </c>
      <c r="H119" s="57">
        <f>IF(ISERROR(IF((_xlfn.XLOOKUP(CONT_TEA[[#This Row],[PayScaleGradeCode]],GRADES[PayScaleGradeCode],GRADES[PayScaleCode])=CONT_TEA[[#This Row],[PayScaleCode]]),0,1)),1,0)</f>
        <v>0</v>
      </c>
      <c r="I119" s="57" cm="1">
        <f t="array" ref="I119">IF(ISERROR(FIND(CONT_TEA[[#This Row],[PayScalePointCode]],_xlfn.TEXTJOIN(",",TRUE,IF(PSPOINTS[PayScaleCode]=CONT_TEA[[#This Row],[PayScaleCode]],PSPOINTS[PayScalePointCode])))),1,0)</f>
        <v>0</v>
      </c>
      <c r="J119" s="57" cm="1">
        <f t="array" ref="J11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19" s="57">
        <f>IF(_xlfn.XLOOKUP(CONT_TEA[[#This Row],[PayScalePointCode]],PSPOINTS[PayScalePointCode],PSPOINTS[PayScalePointEnabled])=TRUE,0,1)</f>
        <v>0</v>
      </c>
      <c r="L119" s="57" cm="1">
        <f t="array" ref="L119">IF(_xlfn.XLOOKUP(CONT_TEA[[#This Row],[DepartmentCode]],DEPTS[DepartmentCode],DEPTS[AvailableToAllSchools],1,0,)=TRUE,0,IF(ISERROR(FIND(CONT_TEA[[#This Row],[SchoolCode]],_xlfn.TEXTJOIN(",",TRUE,_xlfn.UNIQUE(IF(DEPTS[DepartmentCode]=CONT_TEA[[#This Row],[DepartmentCode]],DEPTS[SchoolCodes],""))))),1,0))</f>
        <v>0</v>
      </c>
      <c r="M119" s="57">
        <f>IFERROR(IF(_xlfn.XLOOKUP(CONT_TEA[[#This Row],[SRG Gross]],FinanceCodesBudget[FinanceCode],FinanceCodesBudget[LedgerCode])=_xlfn.XLOOKUP(CONT_TEA[[#This Row],[DepartmentCode]],DEPTS[DepartmentCode],DEPTS[LedgerCode]),0,1),1)</f>
        <v>1</v>
      </c>
      <c r="N119" s="57" cm="1">
        <f t="array" ref="N119">IF(_xlfn.XLOOKUP(CONT_TEA[[#This Row],[PensionCode]],PENS[PensionCode],PENS[AvailableToAllSchools],1,0,)=TRUE,0,IF(ISERROR(FIND(CONT_TEA[[#This Row],[SchoolCode]],_xlfn.TEXTJOIN(",",TRUE,_xlfn.UNIQUE(IF(PENS[PensionCode]=CONT_TEA[[#This Row],[PensionCode]],PENS[SchoolCodes],""))))),1,0))</f>
        <v>0</v>
      </c>
      <c r="O119" s="57" cm="1">
        <f t="array" ref="O119">IF(_xlfn.XLOOKUP(CONT_TEA[[#This Row],[EquatedWeekPatternCode]],EQW[EquatedWeekPatternCode],EQW[AvailableToAllSchools],1,0,)=TRUE,0,IF(ISERROR(FIND(CONT_TEA[[#This Row],[SchoolCode]],_xlfn.TEXTJOIN(",",TRUE,_xlfn.UNIQUE(IF(EQW[EquatedWeekPatternCode]=CONT_TEA[[#This Row],[EquatedWeekPatternCode]],EQW[SchoolCodes],""))))),1,0))</f>
        <v>0</v>
      </c>
      <c r="P119" s="57">
        <f>1-COUNTIF(ContractTypes[Code],CONT_TEA[[#This Row],[ContractTypeCode]])</f>
        <v>0</v>
      </c>
      <c r="Q119" s="57">
        <f>IF(VLOOKUP(CONT_TEA[[#This Row],[StaffMemberCode]],MEMBERS[[StaffMemberCode]:[ServiceStartDate]],5,0)&gt;CONT_TEA[[#This Row],[DateFrom]],1,0)</f>
        <v>0</v>
      </c>
      <c r="R119" s="57">
        <f>IF(_xlfn.XLOOKUP(CONT_TEA[[#This Row],[StaffMemberCode]],MEMBERS[StaffMemberCode],MEMBERS[ServiceEndDate])="",0,IF(CONT_TEA[[#This Row],[DateTo]]="",1,IF(_xlfn.XLOOKUP(CONT_TEA[[#This Row],[StaffMemberCode]],MEMBERS[StaffMemberCode],MEMBERS[ServiceEndDate])&lt;CONT_TEA[[#This Row],[DateTo]],1,0)))</f>
        <v>0</v>
      </c>
      <c r="S119" s="57">
        <f>IF(ISBLANK(CONT_TEA[[#This Row],[DateTo]]),0,IF(CONT_TEA[[#This Row],[DateFrom]]=CONT_TEA[[#This Row],[DateTo]],0,IF(CONT_TEA[[#This Row],[DateFrom]]&lt;CONT_TEA[[#This Row],[DateTo]],0,1)))</f>
        <v>0</v>
      </c>
      <c r="T119" s="57" cm="1">
        <f t="array" aca="1" ref="T119" ca="1">IF(CELL("format",CONT_TEA[[#This Row],[DateFrom]])="D1",0,1)+IF(CELL("format",CONT_TEA[[#This Row],[DateTo]])="D1",0,1)</f>
        <v>0</v>
      </c>
      <c r="U119" s="57">
        <f>IF(OR(CONT_TEA[[#This Row],[MatEditOnly]]=TRUE,CONT_TEA[[#This Row],[MatEditOnly]]=FALSE),IF(OR(CONT_TEA[[#This Row],[NoIncrement]]=TRUE,CONT_TEA[[#This Row],[NoIncrement]]=FALSE),0,1),1)</f>
        <v>0</v>
      </c>
      <c r="V119" s="57">
        <f>IF(ISBLANK(CONT_TEA[[#This Row],[FundCode]])=TRUE,0,IF(COUNTIF(FUNDS[FundCode],CONT_TEA[[#This Row],[FundCode]])=1,0,1))</f>
        <v>0</v>
      </c>
      <c r="W119" s="57">
        <f>IF(LEN(CONT_TEA[[#This Row],[Notes]])&lt;4000,0,1)</f>
        <v>0</v>
      </c>
      <c r="X119" s="57">
        <f>IF(SUBSTITUTE(TEXT(CONT_TEA[[#This Row],[Reference]],10)," ","")=TEXT(CONT_TEA[[#This Row],[Reference]],10),0,1)</f>
        <v>0</v>
      </c>
      <c r="Y119" s="57">
        <f ca="1">SUM(CONT_TEA[[#This Row],[Duplicate Contract]:[Space in Code]])</f>
        <v>1</v>
      </c>
      <c r="AA119" s="12" t="s">
        <v>2082</v>
      </c>
      <c r="AB119" s="15">
        <v>91850031</v>
      </c>
      <c r="AC119" s="12" t="s">
        <v>4467</v>
      </c>
      <c r="AD119" s="57" t="str">
        <f>_xlfn.XLOOKUP(CONT_TEA[[#This Row],[StaffMemberCode]],StaffMembers!O:O,StaffMembers!R:R)</f>
        <v>Adam Bakewell</v>
      </c>
      <c r="AE119" s="12" t="s">
        <v>1178</v>
      </c>
      <c r="AF119" s="57">
        <f>_xlfn.XLOOKUP(CONT_TEA[[#This Row],[SRG]],SRG[StaffRoleGroupCode],SRG[GrossSalaryFinanceCode])</f>
        <v>612100</v>
      </c>
      <c r="AG119" s="57" t="str">
        <f>_xlfn.XLOOKUP(CONT_TEA[[#This Row],[StaffRoleCode]],ROLES[StaffRoleCode],ROLES[StaffRoleGroupCode])</f>
        <v>TEA</v>
      </c>
      <c r="AH119" s="57" t="str">
        <f>_xlfn.XLOOKUP(CONT_TEA[[#This Row],[StaffRoleCode]],ROLES[StaffRoleCode],ROLES[PayScaleCode])</f>
        <v>MAIN</v>
      </c>
      <c r="AI119" s="12" t="s">
        <v>1126</v>
      </c>
      <c r="AJ119" s="12" t="s">
        <v>1067</v>
      </c>
      <c r="AK119" s="12" t="s">
        <v>2499</v>
      </c>
      <c r="AM119" s="68" t="s">
        <v>1147</v>
      </c>
      <c r="AN119" s="13" t="s">
        <v>1702</v>
      </c>
      <c r="AO119" s="21">
        <v>45901</v>
      </c>
      <c r="AQ119" s="12">
        <v>1</v>
      </c>
      <c r="AR119" t="b">
        <v>0</v>
      </c>
      <c r="AS119" t="b">
        <v>0</v>
      </c>
      <c r="AT119" s="12" t="s">
        <v>1574</v>
      </c>
    </row>
    <row r="120" spans="1:47" x14ac:dyDescent="0.3">
      <c r="A120" s="57" t="str">
        <f t="shared" si="2"/>
        <v>ALS9185003291850032ATEASTCH45901</v>
      </c>
      <c r="B120" s="57">
        <f>COUNTIF(CONT_TEA[Unique Contract],CONT_TEA[[#This Row],[Unique Contract]])-1</f>
        <v>0</v>
      </c>
      <c r="C120" s="57">
        <f>IFERROR(IF(FIND(CONT_TEA[[#This Row],[SchoolCode]],_xlfn.XLOOKUP(CONT_TEA[[#This Row],[StaffMemberCode]],MEMBERS[StaffMemberCode],MEMBERS[SchoolCodes]))&gt;0,0,1),1)</f>
        <v>0</v>
      </c>
      <c r="D120" s="57" cm="1">
        <f t="array" ref="D120">IF(_xlfn.XLOOKUP(CONT_TEA[[#This Row],[StaffRoleCode]],ROLES[StaffRoleCode],ROLES[AvailableToAllSchools],1,0,)=TRUE,0,IF(ISERROR(FIND(CONT_TEA[[#This Row],[SchoolCode]],_xlfn.TEXTJOIN(",",TRUE,_xlfn.UNIQUE(IF(ROLES[StaffRoleCode]=CONT_TEA[[#This Row],[StaffRoleCode]],ROLES[SchoolCodes],""))))),1,0))</f>
        <v>0</v>
      </c>
      <c r="E120" s="57" cm="1">
        <f t="array" ref="E12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20" s="57" cm="1">
        <f t="array" ref="F120">IF(_xlfn.XLOOKUP(CONT_TEA[[#This Row],[PayScaleCode]],PAYSCALES[PayScaleCode],PAYSCALES[AvailableToAllSchools],1,0,)=TRUE,0,IF(ISERROR(FIND(CONT_TEA[[#This Row],[SchoolCode]],_xlfn.TEXTJOIN(",",TRUE,_xlfn.UNIQUE(IF(PAYSCALES[PayScaleCode]=CONT_TEA[[#This Row],[PayScaleCode]],PAYSCALES[SchoolCodes],""))))),1,0))</f>
        <v>0</v>
      </c>
      <c r="G120" s="57">
        <f>IF(_xlfn.XLOOKUP(CONT_TEA[[#This Row],[PayScaleGradeCode]],GRADES[PayScaleGradeCode],GRADES[AvailableToAllSchools])=TRUE,0,IFERROR(IF(FIND(CONT_TEA[[#This Row],[SchoolCode]],_xlfn.XLOOKUP(CONT_TEA[[#This Row],[PayScaleGradeCode]],GRADES[PayScaleGradeCode],GRADES[SchoolCodes]))&gt;=1,0,1),1))</f>
        <v>0</v>
      </c>
      <c r="H120" s="57">
        <f>IF(ISERROR(IF((_xlfn.XLOOKUP(CONT_TEA[[#This Row],[PayScaleGradeCode]],GRADES[PayScaleGradeCode],GRADES[PayScaleCode])=CONT_TEA[[#This Row],[PayScaleCode]]),0,1)),1,0)</f>
        <v>0</v>
      </c>
      <c r="I120" s="57" cm="1">
        <f t="array" ref="I120">IF(ISERROR(FIND(CONT_TEA[[#This Row],[PayScalePointCode]],_xlfn.TEXTJOIN(",",TRUE,IF(PSPOINTS[PayScaleCode]=CONT_TEA[[#This Row],[PayScaleCode]],PSPOINTS[PayScalePointCode])))),1,0)</f>
        <v>0</v>
      </c>
      <c r="J120" s="57" cm="1">
        <f t="array" ref="J12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20" s="57">
        <f>IF(_xlfn.XLOOKUP(CONT_TEA[[#This Row],[PayScalePointCode]],PSPOINTS[PayScalePointCode],PSPOINTS[PayScalePointEnabled])=TRUE,0,1)</f>
        <v>0</v>
      </c>
      <c r="L120" s="57" cm="1">
        <f t="array" ref="L120">IF(_xlfn.XLOOKUP(CONT_TEA[[#This Row],[DepartmentCode]],DEPTS[DepartmentCode],DEPTS[AvailableToAllSchools],1,0,)=TRUE,0,IF(ISERROR(FIND(CONT_TEA[[#This Row],[SchoolCode]],_xlfn.TEXTJOIN(",",TRUE,_xlfn.UNIQUE(IF(DEPTS[DepartmentCode]=CONT_TEA[[#This Row],[DepartmentCode]],DEPTS[SchoolCodes],""))))),1,0))</f>
        <v>0</v>
      </c>
      <c r="M120" s="57">
        <f>IFERROR(IF(_xlfn.XLOOKUP(CONT_TEA[[#This Row],[SRG Gross]],FinanceCodesBudget[FinanceCode],FinanceCodesBudget[LedgerCode])=_xlfn.XLOOKUP(CONT_TEA[[#This Row],[DepartmentCode]],DEPTS[DepartmentCode],DEPTS[LedgerCode]),0,1),1)</f>
        <v>1</v>
      </c>
      <c r="N120" s="57" cm="1">
        <f t="array" ref="N120">IF(_xlfn.XLOOKUP(CONT_TEA[[#This Row],[PensionCode]],PENS[PensionCode],PENS[AvailableToAllSchools],1,0,)=TRUE,0,IF(ISERROR(FIND(CONT_TEA[[#This Row],[SchoolCode]],_xlfn.TEXTJOIN(",",TRUE,_xlfn.UNIQUE(IF(PENS[PensionCode]=CONT_TEA[[#This Row],[PensionCode]],PENS[SchoolCodes],""))))),1,0))</f>
        <v>0</v>
      </c>
      <c r="O120" s="57" cm="1">
        <f t="array" ref="O120">IF(_xlfn.XLOOKUP(CONT_TEA[[#This Row],[EquatedWeekPatternCode]],EQW[EquatedWeekPatternCode],EQW[AvailableToAllSchools],1,0,)=TRUE,0,IF(ISERROR(FIND(CONT_TEA[[#This Row],[SchoolCode]],_xlfn.TEXTJOIN(",",TRUE,_xlfn.UNIQUE(IF(EQW[EquatedWeekPatternCode]=CONT_TEA[[#This Row],[EquatedWeekPatternCode]],EQW[SchoolCodes],""))))),1,0))</f>
        <v>0</v>
      </c>
      <c r="P120" s="57">
        <f>1-COUNTIF(ContractTypes[Code],CONT_TEA[[#This Row],[ContractTypeCode]])</f>
        <v>0</v>
      </c>
      <c r="Q120" s="57">
        <f>IF(VLOOKUP(CONT_TEA[[#This Row],[StaffMemberCode]],MEMBERS[[StaffMemberCode]:[ServiceStartDate]],5,0)&gt;CONT_TEA[[#This Row],[DateFrom]],1,0)</f>
        <v>0</v>
      </c>
      <c r="R120" s="57">
        <f>IF(_xlfn.XLOOKUP(CONT_TEA[[#This Row],[StaffMemberCode]],MEMBERS[StaffMemberCode],MEMBERS[ServiceEndDate])="",0,IF(CONT_TEA[[#This Row],[DateTo]]="",1,IF(_xlfn.XLOOKUP(CONT_TEA[[#This Row],[StaffMemberCode]],MEMBERS[StaffMemberCode],MEMBERS[ServiceEndDate])&lt;CONT_TEA[[#This Row],[DateTo]],1,0)))</f>
        <v>0</v>
      </c>
      <c r="S120" s="57">
        <f>IF(ISBLANK(CONT_TEA[[#This Row],[DateTo]]),0,IF(CONT_TEA[[#This Row],[DateFrom]]=CONT_TEA[[#This Row],[DateTo]],0,IF(CONT_TEA[[#This Row],[DateFrom]]&lt;CONT_TEA[[#This Row],[DateTo]],0,1)))</f>
        <v>0</v>
      </c>
      <c r="T120" s="57" cm="1">
        <f t="array" aca="1" ref="T120" ca="1">IF(CELL("format",CONT_TEA[[#This Row],[DateFrom]])="D1",0,1)+IF(CELL("format",CONT_TEA[[#This Row],[DateTo]])="D1",0,1)</f>
        <v>0</v>
      </c>
      <c r="U120" s="57">
        <f>IF(OR(CONT_TEA[[#This Row],[MatEditOnly]]=TRUE,CONT_TEA[[#This Row],[MatEditOnly]]=FALSE),IF(OR(CONT_TEA[[#This Row],[NoIncrement]]=TRUE,CONT_TEA[[#This Row],[NoIncrement]]=FALSE),0,1),1)</f>
        <v>0</v>
      </c>
      <c r="V120" s="57">
        <f>IF(ISBLANK(CONT_TEA[[#This Row],[FundCode]])=TRUE,0,IF(COUNTIF(FUNDS[FundCode],CONT_TEA[[#This Row],[FundCode]])=1,0,1))</f>
        <v>0</v>
      </c>
      <c r="W120" s="57">
        <f>IF(LEN(CONT_TEA[[#This Row],[Notes]])&lt;4000,0,1)</f>
        <v>0</v>
      </c>
      <c r="X120" s="57">
        <f>IF(SUBSTITUTE(TEXT(CONT_TEA[[#This Row],[Reference]],10)," ","")=TEXT(CONT_TEA[[#This Row],[Reference]],10),0,1)</f>
        <v>0</v>
      </c>
      <c r="Y120" s="57">
        <f ca="1">SUM(CONT_TEA[[#This Row],[Duplicate Contract]:[Space in Code]])</f>
        <v>1</v>
      </c>
      <c r="AA120" s="12" t="s">
        <v>2082</v>
      </c>
      <c r="AB120" s="15">
        <v>91850032</v>
      </c>
      <c r="AC120" s="12" t="s">
        <v>4468</v>
      </c>
      <c r="AD120" s="57" t="str">
        <f>_xlfn.XLOOKUP(CONT_TEA[[#This Row],[StaffMemberCode]],StaffMembers!O:O,StaffMembers!R:R)</f>
        <v>Adam Durber</v>
      </c>
      <c r="AE120" s="12" t="s">
        <v>1178</v>
      </c>
      <c r="AF120" s="57">
        <f>_xlfn.XLOOKUP(CONT_TEA[[#This Row],[SRG]],SRG[StaffRoleGroupCode],SRG[GrossSalaryFinanceCode])</f>
        <v>612100</v>
      </c>
      <c r="AG120" s="57" t="str">
        <f>_xlfn.XLOOKUP(CONT_TEA[[#This Row],[StaffRoleCode]],ROLES[StaffRoleCode],ROLES[StaffRoleGroupCode])</f>
        <v>TEA</v>
      </c>
      <c r="AH120" s="57" t="str">
        <f>_xlfn.XLOOKUP(CONT_TEA[[#This Row],[StaffRoleCode]],ROLES[StaffRoleCode],ROLES[PayScaleCode])</f>
        <v>MAIN</v>
      </c>
      <c r="AI120" s="12" t="s">
        <v>1126</v>
      </c>
      <c r="AJ120" s="12" t="s">
        <v>1064</v>
      </c>
      <c r="AK120" s="12" t="s">
        <v>2499</v>
      </c>
      <c r="AM120" s="68" t="s">
        <v>1147</v>
      </c>
      <c r="AN120" s="13" t="s">
        <v>1702</v>
      </c>
      <c r="AO120" s="21">
        <v>45901</v>
      </c>
      <c r="AQ120" s="12">
        <v>1</v>
      </c>
      <c r="AR120" t="b">
        <v>0</v>
      </c>
      <c r="AS120" t="b">
        <v>0</v>
      </c>
      <c r="AT120" s="12" t="s">
        <v>1574</v>
      </c>
    </row>
    <row r="121" spans="1:47" x14ac:dyDescent="0.3">
      <c r="A121" s="57" t="str">
        <f t="shared" si="2"/>
        <v>ALS9107386791073867ATEASTCH45901</v>
      </c>
      <c r="B121" s="57">
        <f>COUNTIF(CONT_TEA[Unique Contract],CONT_TEA[[#This Row],[Unique Contract]])-1</f>
        <v>0</v>
      </c>
      <c r="C121" s="57">
        <f>IFERROR(IF(FIND(CONT_TEA[[#This Row],[SchoolCode]],_xlfn.XLOOKUP(CONT_TEA[[#This Row],[StaffMemberCode]],MEMBERS[StaffMemberCode],MEMBERS[SchoolCodes]))&gt;0,0,1),1)</f>
        <v>0</v>
      </c>
      <c r="D121" s="57" cm="1">
        <f t="array" ref="D121">IF(_xlfn.XLOOKUP(CONT_TEA[[#This Row],[StaffRoleCode]],ROLES[StaffRoleCode],ROLES[AvailableToAllSchools],1,0,)=TRUE,0,IF(ISERROR(FIND(CONT_TEA[[#This Row],[SchoolCode]],_xlfn.TEXTJOIN(",",TRUE,_xlfn.UNIQUE(IF(ROLES[StaffRoleCode]=CONT_TEA[[#This Row],[StaffRoleCode]],ROLES[SchoolCodes],""))))),1,0))</f>
        <v>0</v>
      </c>
      <c r="E121" s="57" cm="1">
        <f t="array" ref="E12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21" s="57" cm="1">
        <f t="array" ref="F121">IF(_xlfn.XLOOKUP(CONT_TEA[[#This Row],[PayScaleCode]],PAYSCALES[PayScaleCode],PAYSCALES[AvailableToAllSchools],1,0,)=TRUE,0,IF(ISERROR(FIND(CONT_TEA[[#This Row],[SchoolCode]],_xlfn.TEXTJOIN(",",TRUE,_xlfn.UNIQUE(IF(PAYSCALES[PayScaleCode]=CONT_TEA[[#This Row],[PayScaleCode]],PAYSCALES[SchoolCodes],""))))),1,0))</f>
        <v>0</v>
      </c>
      <c r="G121" s="57">
        <f>IF(_xlfn.XLOOKUP(CONT_TEA[[#This Row],[PayScaleGradeCode]],GRADES[PayScaleGradeCode],GRADES[AvailableToAllSchools])=TRUE,0,IFERROR(IF(FIND(CONT_TEA[[#This Row],[SchoolCode]],_xlfn.XLOOKUP(CONT_TEA[[#This Row],[PayScaleGradeCode]],GRADES[PayScaleGradeCode],GRADES[SchoolCodes]))&gt;=1,0,1),1))</f>
        <v>0</v>
      </c>
      <c r="H121" s="57">
        <f>IF(ISERROR(IF((_xlfn.XLOOKUP(CONT_TEA[[#This Row],[PayScaleGradeCode]],GRADES[PayScaleGradeCode],GRADES[PayScaleCode])=CONT_TEA[[#This Row],[PayScaleCode]]),0,1)),1,0)</f>
        <v>0</v>
      </c>
      <c r="I121" s="57" cm="1">
        <f t="array" ref="I121">IF(ISERROR(FIND(CONT_TEA[[#This Row],[PayScalePointCode]],_xlfn.TEXTJOIN(",",TRUE,IF(PSPOINTS[PayScaleCode]=CONT_TEA[[#This Row],[PayScaleCode]],PSPOINTS[PayScalePointCode])))),1,0)</f>
        <v>0</v>
      </c>
      <c r="J121" s="57" cm="1">
        <f t="array" ref="J12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21" s="57">
        <f>IF(_xlfn.XLOOKUP(CONT_TEA[[#This Row],[PayScalePointCode]],PSPOINTS[PayScalePointCode],PSPOINTS[PayScalePointEnabled])=TRUE,0,1)</f>
        <v>0</v>
      </c>
      <c r="L121" s="57" cm="1">
        <f t="array" ref="L121">IF(_xlfn.XLOOKUP(CONT_TEA[[#This Row],[DepartmentCode]],DEPTS[DepartmentCode],DEPTS[AvailableToAllSchools],1,0,)=TRUE,0,IF(ISERROR(FIND(CONT_TEA[[#This Row],[SchoolCode]],_xlfn.TEXTJOIN(",",TRUE,_xlfn.UNIQUE(IF(DEPTS[DepartmentCode]=CONT_TEA[[#This Row],[DepartmentCode]],DEPTS[SchoolCodes],""))))),1,0))</f>
        <v>0</v>
      </c>
      <c r="M121" s="57">
        <f>IFERROR(IF(_xlfn.XLOOKUP(CONT_TEA[[#This Row],[SRG Gross]],FinanceCodesBudget[FinanceCode],FinanceCodesBudget[LedgerCode])=_xlfn.XLOOKUP(CONT_TEA[[#This Row],[DepartmentCode]],DEPTS[DepartmentCode],DEPTS[LedgerCode]),0,1),1)</f>
        <v>1</v>
      </c>
      <c r="N121" s="57" cm="1">
        <f t="array" ref="N121">IF(_xlfn.XLOOKUP(CONT_TEA[[#This Row],[PensionCode]],PENS[PensionCode],PENS[AvailableToAllSchools],1,0,)=TRUE,0,IF(ISERROR(FIND(CONT_TEA[[#This Row],[SchoolCode]],_xlfn.TEXTJOIN(",",TRUE,_xlfn.UNIQUE(IF(PENS[PensionCode]=CONT_TEA[[#This Row],[PensionCode]],PENS[SchoolCodes],""))))),1,0))</f>
        <v>0</v>
      </c>
      <c r="O121" s="57" cm="1">
        <f t="array" ref="O121">IF(_xlfn.XLOOKUP(CONT_TEA[[#This Row],[EquatedWeekPatternCode]],EQW[EquatedWeekPatternCode],EQW[AvailableToAllSchools],1,0,)=TRUE,0,IF(ISERROR(FIND(CONT_TEA[[#This Row],[SchoolCode]],_xlfn.TEXTJOIN(",",TRUE,_xlfn.UNIQUE(IF(EQW[EquatedWeekPatternCode]=CONT_TEA[[#This Row],[EquatedWeekPatternCode]],EQW[SchoolCodes],""))))),1,0))</f>
        <v>0</v>
      </c>
      <c r="P121" s="57">
        <f>1-COUNTIF(ContractTypes[Code],CONT_TEA[[#This Row],[ContractTypeCode]])</f>
        <v>0</v>
      </c>
      <c r="Q121" s="57">
        <f>IF(VLOOKUP(CONT_TEA[[#This Row],[StaffMemberCode]],MEMBERS[[StaffMemberCode]:[ServiceStartDate]],5,0)&gt;CONT_TEA[[#This Row],[DateFrom]],1,0)</f>
        <v>0</v>
      </c>
      <c r="R121" s="57">
        <f>IF(_xlfn.XLOOKUP(CONT_TEA[[#This Row],[StaffMemberCode]],MEMBERS[StaffMemberCode],MEMBERS[ServiceEndDate])="",0,IF(CONT_TEA[[#This Row],[DateTo]]="",1,IF(_xlfn.XLOOKUP(CONT_TEA[[#This Row],[StaffMemberCode]],MEMBERS[StaffMemberCode],MEMBERS[ServiceEndDate])&lt;CONT_TEA[[#This Row],[DateTo]],1,0)))</f>
        <v>0</v>
      </c>
      <c r="S121" s="57">
        <f>IF(ISBLANK(CONT_TEA[[#This Row],[DateTo]]),0,IF(CONT_TEA[[#This Row],[DateFrom]]=CONT_TEA[[#This Row],[DateTo]],0,IF(CONT_TEA[[#This Row],[DateFrom]]&lt;CONT_TEA[[#This Row],[DateTo]],0,1)))</f>
        <v>0</v>
      </c>
      <c r="T121" s="57" cm="1">
        <f t="array" aca="1" ref="T121" ca="1">IF(CELL("format",CONT_TEA[[#This Row],[DateFrom]])="D1",0,1)+IF(CELL("format",CONT_TEA[[#This Row],[DateTo]])="D1",0,1)</f>
        <v>0</v>
      </c>
      <c r="U121" s="57">
        <f>IF(OR(CONT_TEA[[#This Row],[MatEditOnly]]=TRUE,CONT_TEA[[#This Row],[MatEditOnly]]=FALSE),IF(OR(CONT_TEA[[#This Row],[NoIncrement]]=TRUE,CONT_TEA[[#This Row],[NoIncrement]]=FALSE),0,1),1)</f>
        <v>0</v>
      </c>
      <c r="V121" s="57">
        <f>IF(ISBLANK(CONT_TEA[[#This Row],[FundCode]])=TRUE,0,IF(COUNTIF(FUNDS[FundCode],CONT_TEA[[#This Row],[FundCode]])=1,0,1))</f>
        <v>0</v>
      </c>
      <c r="W121" s="57">
        <f>IF(LEN(CONT_TEA[[#This Row],[Notes]])&lt;4000,0,1)</f>
        <v>0</v>
      </c>
      <c r="X121" s="57">
        <f>IF(SUBSTITUTE(TEXT(CONT_TEA[[#This Row],[Reference]],10)," ","")=TEXT(CONT_TEA[[#This Row],[Reference]],10),0,1)</f>
        <v>0</v>
      </c>
      <c r="Y121" s="57">
        <f ca="1">SUM(CONT_TEA[[#This Row],[Duplicate Contract]:[Space in Code]])</f>
        <v>1</v>
      </c>
      <c r="AA121" s="12" t="s">
        <v>2082</v>
      </c>
      <c r="AB121" s="15">
        <v>91073867</v>
      </c>
      <c r="AC121" s="12" t="s">
        <v>4469</v>
      </c>
      <c r="AD121" s="57" t="str">
        <f>_xlfn.XLOOKUP(CONT_TEA[[#This Row],[StaffMemberCode]],StaffMembers!O:O,StaffMembers!R:R)</f>
        <v>Adele Carter</v>
      </c>
      <c r="AE121" s="12" t="s">
        <v>1178</v>
      </c>
      <c r="AF121" s="57">
        <f>_xlfn.XLOOKUP(CONT_TEA[[#This Row],[SRG]],SRG[StaffRoleGroupCode],SRG[GrossSalaryFinanceCode])</f>
        <v>612100</v>
      </c>
      <c r="AG121" s="57" t="str">
        <f>_xlfn.XLOOKUP(CONT_TEA[[#This Row],[StaffRoleCode]],ROLES[StaffRoleCode],ROLES[StaffRoleGroupCode])</f>
        <v>TEA</v>
      </c>
      <c r="AH121" s="57" t="str">
        <f>_xlfn.XLOOKUP(CONT_TEA[[#This Row],[StaffRoleCode]],ROLES[StaffRoleCode],ROLES[PayScaleCode])</f>
        <v>MAIN</v>
      </c>
      <c r="AI121" s="12" t="s">
        <v>1126</v>
      </c>
      <c r="AJ121" s="12" t="s">
        <v>1745</v>
      </c>
      <c r="AK121" s="12" t="s">
        <v>2499</v>
      </c>
      <c r="AM121" s="68" t="s">
        <v>1147</v>
      </c>
      <c r="AN121" s="13" t="s">
        <v>1702</v>
      </c>
      <c r="AO121" s="21">
        <v>45901</v>
      </c>
      <c r="AQ121" s="12">
        <v>0.8</v>
      </c>
      <c r="AR121" t="b">
        <v>0</v>
      </c>
      <c r="AS121" t="b">
        <v>0</v>
      </c>
      <c r="AT121" s="12" t="s">
        <v>1574</v>
      </c>
    </row>
    <row r="122" spans="1:47" x14ac:dyDescent="0.3">
      <c r="A122" s="57" t="str">
        <f t="shared" si="2"/>
        <v>BLS9185002491850024ATEASTCH45901</v>
      </c>
      <c r="B122" s="57">
        <f>COUNTIF(CONT_TEA[Unique Contract],CONT_TEA[[#This Row],[Unique Contract]])-1</f>
        <v>0</v>
      </c>
      <c r="C122" s="57">
        <f>IFERROR(IF(FIND(CONT_TEA[[#This Row],[SchoolCode]],_xlfn.XLOOKUP(CONT_TEA[[#This Row],[StaffMemberCode]],MEMBERS[StaffMemberCode],MEMBERS[SchoolCodes]))&gt;0,0,1),1)</f>
        <v>0</v>
      </c>
      <c r="D122" s="57" cm="1">
        <f t="array" ref="D122">IF(_xlfn.XLOOKUP(CONT_TEA[[#This Row],[StaffRoleCode]],ROLES[StaffRoleCode],ROLES[AvailableToAllSchools],1,0,)=TRUE,0,IF(ISERROR(FIND(CONT_TEA[[#This Row],[SchoolCode]],_xlfn.TEXTJOIN(",",TRUE,_xlfn.UNIQUE(IF(ROLES[StaffRoleCode]=CONT_TEA[[#This Row],[StaffRoleCode]],ROLES[SchoolCodes],""))))),1,0))</f>
        <v>0</v>
      </c>
      <c r="E122" s="57" cm="1">
        <f t="array" ref="E12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22" s="57" cm="1">
        <f t="array" ref="F122">IF(_xlfn.XLOOKUP(CONT_TEA[[#This Row],[PayScaleCode]],PAYSCALES[PayScaleCode],PAYSCALES[AvailableToAllSchools],1,0,)=TRUE,0,IF(ISERROR(FIND(CONT_TEA[[#This Row],[SchoolCode]],_xlfn.TEXTJOIN(",",TRUE,_xlfn.UNIQUE(IF(PAYSCALES[PayScaleCode]=CONT_TEA[[#This Row],[PayScaleCode]],PAYSCALES[SchoolCodes],""))))),1,0))</f>
        <v>0</v>
      </c>
      <c r="G122" s="57">
        <f>IF(_xlfn.XLOOKUP(CONT_TEA[[#This Row],[PayScaleGradeCode]],GRADES[PayScaleGradeCode],GRADES[AvailableToAllSchools])=TRUE,0,IFERROR(IF(FIND(CONT_TEA[[#This Row],[SchoolCode]],_xlfn.XLOOKUP(CONT_TEA[[#This Row],[PayScaleGradeCode]],GRADES[PayScaleGradeCode],GRADES[SchoolCodes]))&gt;=1,0,1),1))</f>
        <v>0</v>
      </c>
      <c r="H122" s="57">
        <f>IF(ISERROR(IF((_xlfn.XLOOKUP(CONT_TEA[[#This Row],[PayScaleGradeCode]],GRADES[PayScaleGradeCode],GRADES[PayScaleCode])=CONT_TEA[[#This Row],[PayScaleCode]]),0,1)),1,0)</f>
        <v>0</v>
      </c>
      <c r="I122" s="57" cm="1">
        <f t="array" ref="I122">IF(ISERROR(FIND(CONT_TEA[[#This Row],[PayScalePointCode]],_xlfn.TEXTJOIN(",",TRUE,IF(PSPOINTS[PayScaleCode]=CONT_TEA[[#This Row],[PayScaleCode]],PSPOINTS[PayScalePointCode])))),1,0)</f>
        <v>0</v>
      </c>
      <c r="J122" s="57" cm="1">
        <f t="array" ref="J12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22" s="57">
        <f>IF(_xlfn.XLOOKUP(CONT_TEA[[#This Row],[PayScalePointCode]],PSPOINTS[PayScalePointCode],PSPOINTS[PayScalePointEnabled])=TRUE,0,1)</f>
        <v>0</v>
      </c>
      <c r="L122" s="57" cm="1">
        <f t="array" ref="L122">IF(_xlfn.XLOOKUP(CONT_TEA[[#This Row],[DepartmentCode]],DEPTS[DepartmentCode],DEPTS[AvailableToAllSchools],1,0,)=TRUE,0,IF(ISERROR(FIND(CONT_TEA[[#This Row],[SchoolCode]],_xlfn.TEXTJOIN(",",TRUE,_xlfn.UNIQUE(IF(DEPTS[DepartmentCode]=CONT_TEA[[#This Row],[DepartmentCode]],DEPTS[SchoolCodes],""))))),1,0))</f>
        <v>0</v>
      </c>
      <c r="M122" s="57">
        <f>IFERROR(IF(_xlfn.XLOOKUP(CONT_TEA[[#This Row],[SRG Gross]],FinanceCodesBudget[FinanceCode],FinanceCodesBudget[LedgerCode])=_xlfn.XLOOKUP(CONT_TEA[[#This Row],[DepartmentCode]],DEPTS[DepartmentCode],DEPTS[LedgerCode]),0,1),1)</f>
        <v>1</v>
      </c>
      <c r="N122" s="57" cm="1">
        <f t="array" ref="N122">IF(_xlfn.XLOOKUP(CONT_TEA[[#This Row],[PensionCode]],PENS[PensionCode],PENS[AvailableToAllSchools],1,0,)=TRUE,0,IF(ISERROR(FIND(CONT_TEA[[#This Row],[SchoolCode]],_xlfn.TEXTJOIN(",",TRUE,_xlfn.UNIQUE(IF(PENS[PensionCode]=CONT_TEA[[#This Row],[PensionCode]],PENS[SchoolCodes],""))))),1,0))</f>
        <v>0</v>
      </c>
      <c r="O122" s="57" cm="1">
        <f t="array" ref="O122">IF(_xlfn.XLOOKUP(CONT_TEA[[#This Row],[EquatedWeekPatternCode]],EQW[EquatedWeekPatternCode],EQW[AvailableToAllSchools],1,0,)=TRUE,0,IF(ISERROR(FIND(CONT_TEA[[#This Row],[SchoolCode]],_xlfn.TEXTJOIN(",",TRUE,_xlfn.UNIQUE(IF(EQW[EquatedWeekPatternCode]=CONT_TEA[[#This Row],[EquatedWeekPatternCode]],EQW[SchoolCodes],""))))),1,0))</f>
        <v>0</v>
      </c>
      <c r="P122" s="57">
        <f>1-COUNTIF(ContractTypes[Code],CONT_TEA[[#This Row],[ContractTypeCode]])</f>
        <v>0</v>
      </c>
      <c r="Q122" s="57">
        <f>IF(VLOOKUP(CONT_TEA[[#This Row],[StaffMemberCode]],MEMBERS[[StaffMemberCode]:[ServiceStartDate]],5,0)&gt;CONT_TEA[[#This Row],[DateFrom]],1,0)</f>
        <v>0</v>
      </c>
      <c r="R122" s="57">
        <f>IF(_xlfn.XLOOKUP(CONT_TEA[[#This Row],[StaffMemberCode]],MEMBERS[StaffMemberCode],MEMBERS[ServiceEndDate])="",0,IF(CONT_TEA[[#This Row],[DateTo]]="",1,IF(_xlfn.XLOOKUP(CONT_TEA[[#This Row],[StaffMemberCode]],MEMBERS[StaffMemberCode],MEMBERS[ServiceEndDate])&lt;CONT_TEA[[#This Row],[DateTo]],1,0)))</f>
        <v>0</v>
      </c>
      <c r="S122" s="57">
        <f>IF(ISBLANK(CONT_TEA[[#This Row],[DateTo]]),0,IF(CONT_TEA[[#This Row],[DateFrom]]=CONT_TEA[[#This Row],[DateTo]],0,IF(CONT_TEA[[#This Row],[DateFrom]]&lt;CONT_TEA[[#This Row],[DateTo]],0,1)))</f>
        <v>0</v>
      </c>
      <c r="T122" s="57" cm="1">
        <f t="array" aca="1" ref="T122" ca="1">IF(CELL("format",CONT_TEA[[#This Row],[DateFrom]])="D1",0,1)+IF(CELL("format",CONT_TEA[[#This Row],[DateTo]])="D1",0,1)</f>
        <v>0</v>
      </c>
      <c r="U122" s="57">
        <f>IF(OR(CONT_TEA[[#This Row],[MatEditOnly]]=TRUE,CONT_TEA[[#This Row],[MatEditOnly]]=FALSE),IF(OR(CONT_TEA[[#This Row],[NoIncrement]]=TRUE,CONT_TEA[[#This Row],[NoIncrement]]=FALSE),0,1),1)</f>
        <v>0</v>
      </c>
      <c r="V122" s="57">
        <f>IF(ISBLANK(CONT_TEA[[#This Row],[FundCode]])=TRUE,0,IF(COUNTIF(FUNDS[FundCode],CONT_TEA[[#This Row],[FundCode]])=1,0,1))</f>
        <v>0</v>
      </c>
      <c r="W122" s="57">
        <f>IF(LEN(CONT_TEA[[#This Row],[Notes]])&lt;4000,0,1)</f>
        <v>0</v>
      </c>
      <c r="X122" s="57">
        <f>IF(SUBSTITUTE(TEXT(CONT_TEA[[#This Row],[Reference]],10)," ","")=TEXT(CONT_TEA[[#This Row],[Reference]],10),0,1)</f>
        <v>0</v>
      </c>
      <c r="Y122" s="57">
        <f ca="1">SUM(CONT_TEA[[#This Row],[Duplicate Contract]:[Space in Code]])</f>
        <v>1</v>
      </c>
      <c r="AA122" s="12" t="s">
        <v>2094</v>
      </c>
      <c r="AB122" s="15">
        <v>91850024</v>
      </c>
      <c r="AC122" s="12" t="s">
        <v>4470</v>
      </c>
      <c r="AD122" s="57" t="str">
        <f>_xlfn.XLOOKUP(CONT_TEA[[#This Row],[StaffMemberCode]],StaffMembers!O:O,StaffMembers!R:R)</f>
        <v>Alexander McCulloch</v>
      </c>
      <c r="AE122" s="12" t="s">
        <v>1178</v>
      </c>
      <c r="AF122" s="57">
        <f>_xlfn.XLOOKUP(CONT_TEA[[#This Row],[SRG]],SRG[StaffRoleGroupCode],SRG[GrossSalaryFinanceCode])</f>
        <v>612100</v>
      </c>
      <c r="AG122" s="57" t="str">
        <f>_xlfn.XLOOKUP(CONT_TEA[[#This Row],[StaffRoleCode]],ROLES[StaffRoleCode],ROLES[StaffRoleGroupCode])</f>
        <v>TEA</v>
      </c>
      <c r="AH122" s="57" t="str">
        <f>_xlfn.XLOOKUP(CONT_TEA[[#This Row],[StaffRoleCode]],ROLES[StaffRoleCode],ROLES[PayScaleCode])</f>
        <v>MAIN</v>
      </c>
      <c r="AI122" s="12" t="s">
        <v>1126</v>
      </c>
      <c r="AJ122" s="12" t="s">
        <v>1064</v>
      </c>
      <c r="AK122" s="12" t="s">
        <v>2499</v>
      </c>
      <c r="AM122" s="68" t="s">
        <v>1147</v>
      </c>
      <c r="AN122" s="13" t="s">
        <v>1702</v>
      </c>
      <c r="AO122" s="21">
        <v>45901</v>
      </c>
      <c r="AQ122" s="12">
        <v>1</v>
      </c>
      <c r="AR122" t="b">
        <v>0</v>
      </c>
      <c r="AS122" t="b">
        <v>0</v>
      </c>
      <c r="AT122" s="12" t="s">
        <v>1574</v>
      </c>
      <c r="AU122" s="12" t="s">
        <v>2244</v>
      </c>
    </row>
    <row r="123" spans="1:47" x14ac:dyDescent="0.3">
      <c r="A123" s="57" t="str">
        <f t="shared" si="2"/>
        <v>BLS9107357791073577ATEASTCH45901</v>
      </c>
      <c r="B123" s="57">
        <f>COUNTIF(CONT_TEA[Unique Contract],CONT_TEA[[#This Row],[Unique Contract]])-1</f>
        <v>0</v>
      </c>
      <c r="C123" s="57">
        <f>IFERROR(IF(FIND(CONT_TEA[[#This Row],[SchoolCode]],_xlfn.XLOOKUP(CONT_TEA[[#This Row],[StaffMemberCode]],MEMBERS[StaffMemberCode],MEMBERS[SchoolCodes]))&gt;0,0,1),1)</f>
        <v>0</v>
      </c>
      <c r="D123" s="57" cm="1">
        <f t="array" ref="D123">IF(_xlfn.XLOOKUP(CONT_TEA[[#This Row],[StaffRoleCode]],ROLES[StaffRoleCode],ROLES[AvailableToAllSchools],1,0,)=TRUE,0,IF(ISERROR(FIND(CONT_TEA[[#This Row],[SchoolCode]],_xlfn.TEXTJOIN(",",TRUE,_xlfn.UNIQUE(IF(ROLES[StaffRoleCode]=CONT_TEA[[#This Row],[StaffRoleCode]],ROLES[SchoolCodes],""))))),1,0))</f>
        <v>0</v>
      </c>
      <c r="E123" s="57" cm="1">
        <f t="array" ref="E12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23" s="57" cm="1">
        <f t="array" ref="F123">IF(_xlfn.XLOOKUP(CONT_TEA[[#This Row],[PayScaleCode]],PAYSCALES[PayScaleCode],PAYSCALES[AvailableToAllSchools],1,0,)=TRUE,0,IF(ISERROR(FIND(CONT_TEA[[#This Row],[SchoolCode]],_xlfn.TEXTJOIN(",",TRUE,_xlfn.UNIQUE(IF(PAYSCALES[PayScaleCode]=CONT_TEA[[#This Row],[PayScaleCode]],PAYSCALES[SchoolCodes],""))))),1,0))</f>
        <v>0</v>
      </c>
      <c r="G123" s="57">
        <f>IF(_xlfn.XLOOKUP(CONT_TEA[[#This Row],[PayScaleGradeCode]],GRADES[PayScaleGradeCode],GRADES[AvailableToAllSchools])=TRUE,0,IFERROR(IF(FIND(CONT_TEA[[#This Row],[SchoolCode]],_xlfn.XLOOKUP(CONT_TEA[[#This Row],[PayScaleGradeCode]],GRADES[PayScaleGradeCode],GRADES[SchoolCodes]))&gt;=1,0,1),1))</f>
        <v>0</v>
      </c>
      <c r="H123" s="57">
        <f>IF(ISERROR(IF((_xlfn.XLOOKUP(CONT_TEA[[#This Row],[PayScaleGradeCode]],GRADES[PayScaleGradeCode],GRADES[PayScaleCode])=CONT_TEA[[#This Row],[PayScaleCode]]),0,1)),1,0)</f>
        <v>0</v>
      </c>
      <c r="I123" s="57" cm="1">
        <f t="array" ref="I123">IF(ISERROR(FIND(CONT_TEA[[#This Row],[PayScalePointCode]],_xlfn.TEXTJOIN(",",TRUE,IF(PSPOINTS[PayScaleCode]=CONT_TEA[[#This Row],[PayScaleCode]],PSPOINTS[PayScalePointCode])))),1,0)</f>
        <v>0</v>
      </c>
      <c r="J123" s="57" cm="1">
        <f t="array" ref="J12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23" s="57">
        <f>IF(_xlfn.XLOOKUP(CONT_TEA[[#This Row],[PayScalePointCode]],PSPOINTS[PayScalePointCode],PSPOINTS[PayScalePointEnabled])=TRUE,0,1)</f>
        <v>0</v>
      </c>
      <c r="L123" s="57" cm="1">
        <f t="array" ref="L123">IF(_xlfn.XLOOKUP(CONT_TEA[[#This Row],[DepartmentCode]],DEPTS[DepartmentCode],DEPTS[AvailableToAllSchools],1,0,)=TRUE,0,IF(ISERROR(FIND(CONT_TEA[[#This Row],[SchoolCode]],_xlfn.TEXTJOIN(",",TRUE,_xlfn.UNIQUE(IF(DEPTS[DepartmentCode]=CONT_TEA[[#This Row],[DepartmentCode]],DEPTS[SchoolCodes],""))))),1,0))</f>
        <v>0</v>
      </c>
      <c r="M123" s="57">
        <f>IFERROR(IF(_xlfn.XLOOKUP(CONT_TEA[[#This Row],[SRG Gross]],FinanceCodesBudget[FinanceCode],FinanceCodesBudget[LedgerCode])=_xlfn.XLOOKUP(CONT_TEA[[#This Row],[DepartmentCode]],DEPTS[DepartmentCode],DEPTS[LedgerCode]),0,1),1)</f>
        <v>1</v>
      </c>
      <c r="N123" s="57" cm="1">
        <f t="array" ref="N123">IF(_xlfn.XLOOKUP(CONT_TEA[[#This Row],[PensionCode]],PENS[PensionCode],PENS[AvailableToAllSchools],1,0,)=TRUE,0,IF(ISERROR(FIND(CONT_TEA[[#This Row],[SchoolCode]],_xlfn.TEXTJOIN(",",TRUE,_xlfn.UNIQUE(IF(PENS[PensionCode]=CONT_TEA[[#This Row],[PensionCode]],PENS[SchoolCodes],""))))),1,0))</f>
        <v>0</v>
      </c>
      <c r="O123" s="57" cm="1">
        <f t="array" ref="O123">IF(_xlfn.XLOOKUP(CONT_TEA[[#This Row],[EquatedWeekPatternCode]],EQW[EquatedWeekPatternCode],EQW[AvailableToAllSchools],1,0,)=TRUE,0,IF(ISERROR(FIND(CONT_TEA[[#This Row],[SchoolCode]],_xlfn.TEXTJOIN(",",TRUE,_xlfn.UNIQUE(IF(EQW[EquatedWeekPatternCode]=CONT_TEA[[#This Row],[EquatedWeekPatternCode]],EQW[SchoolCodes],""))))),1,0))</f>
        <v>0</v>
      </c>
      <c r="P123" s="57">
        <f>1-COUNTIF(ContractTypes[Code],CONT_TEA[[#This Row],[ContractTypeCode]])</f>
        <v>0</v>
      </c>
      <c r="Q123" s="57">
        <f>IF(VLOOKUP(CONT_TEA[[#This Row],[StaffMemberCode]],MEMBERS[[StaffMemberCode]:[ServiceStartDate]],5,0)&gt;CONT_TEA[[#This Row],[DateFrom]],1,0)</f>
        <v>0</v>
      </c>
      <c r="R123" s="57">
        <f>IF(_xlfn.XLOOKUP(CONT_TEA[[#This Row],[StaffMemberCode]],MEMBERS[StaffMemberCode],MEMBERS[ServiceEndDate])="",0,IF(CONT_TEA[[#This Row],[DateTo]]="",1,IF(_xlfn.XLOOKUP(CONT_TEA[[#This Row],[StaffMemberCode]],MEMBERS[StaffMemberCode],MEMBERS[ServiceEndDate])&lt;CONT_TEA[[#This Row],[DateTo]],1,0)))</f>
        <v>0</v>
      </c>
      <c r="S123" s="57">
        <f>IF(ISBLANK(CONT_TEA[[#This Row],[DateTo]]),0,IF(CONT_TEA[[#This Row],[DateFrom]]=CONT_TEA[[#This Row],[DateTo]],0,IF(CONT_TEA[[#This Row],[DateFrom]]&lt;CONT_TEA[[#This Row],[DateTo]],0,1)))</f>
        <v>0</v>
      </c>
      <c r="T123" s="57" cm="1">
        <f t="array" aca="1" ref="T123" ca="1">IF(CELL("format",CONT_TEA[[#This Row],[DateFrom]])="D1",0,1)+IF(CELL("format",CONT_TEA[[#This Row],[DateTo]])="D1",0,1)</f>
        <v>0</v>
      </c>
      <c r="U123" s="57">
        <f>IF(OR(CONT_TEA[[#This Row],[MatEditOnly]]=TRUE,CONT_TEA[[#This Row],[MatEditOnly]]=FALSE),IF(OR(CONT_TEA[[#This Row],[NoIncrement]]=TRUE,CONT_TEA[[#This Row],[NoIncrement]]=FALSE),0,1),1)</f>
        <v>0</v>
      </c>
      <c r="V123" s="57">
        <f>IF(ISBLANK(CONT_TEA[[#This Row],[FundCode]])=TRUE,0,IF(COUNTIF(FUNDS[FundCode],CONT_TEA[[#This Row],[FundCode]])=1,0,1))</f>
        <v>0</v>
      </c>
      <c r="W123" s="57">
        <f>IF(LEN(CONT_TEA[[#This Row],[Notes]])&lt;4000,0,1)</f>
        <v>0</v>
      </c>
      <c r="X123" s="57">
        <f>IF(SUBSTITUTE(TEXT(CONT_TEA[[#This Row],[Reference]],10)," ","")=TEXT(CONT_TEA[[#This Row],[Reference]],10),0,1)</f>
        <v>0</v>
      </c>
      <c r="Y123" s="57">
        <f ca="1">SUM(CONT_TEA[[#This Row],[Duplicate Contract]:[Space in Code]])</f>
        <v>1</v>
      </c>
      <c r="AA123" s="12" t="s">
        <v>2094</v>
      </c>
      <c r="AB123" s="15">
        <v>91073577</v>
      </c>
      <c r="AC123" s="12" t="s">
        <v>4471</v>
      </c>
      <c r="AD123" s="57" t="str">
        <f>_xlfn.XLOOKUP(CONT_TEA[[#This Row],[StaffMemberCode]],StaffMembers!O:O,StaffMembers!R:R)</f>
        <v>Alistair Granville</v>
      </c>
      <c r="AE123" s="12" t="s">
        <v>1178</v>
      </c>
      <c r="AF123" s="57">
        <f>_xlfn.XLOOKUP(CONT_TEA[[#This Row],[SRG]],SRG[StaffRoleGroupCode],SRG[GrossSalaryFinanceCode])</f>
        <v>612100</v>
      </c>
      <c r="AG123" s="57" t="str">
        <f>_xlfn.XLOOKUP(CONT_TEA[[#This Row],[StaffRoleCode]],ROLES[StaffRoleCode],ROLES[StaffRoleGroupCode])</f>
        <v>TEA</v>
      </c>
      <c r="AH123" s="57" t="str">
        <f>_xlfn.XLOOKUP(CONT_TEA[[#This Row],[StaffRoleCode]],ROLES[StaffRoleCode],ROLES[PayScaleCode])</f>
        <v>MAIN</v>
      </c>
      <c r="AI123" s="12" t="s">
        <v>1126</v>
      </c>
      <c r="AJ123" s="12" t="s">
        <v>1745</v>
      </c>
      <c r="AK123" s="12" t="s">
        <v>2499</v>
      </c>
      <c r="AM123" s="68" t="s">
        <v>1147</v>
      </c>
      <c r="AN123" s="13" t="s">
        <v>1702</v>
      </c>
      <c r="AO123" s="21">
        <v>45901</v>
      </c>
      <c r="AP123" s="21">
        <v>46034</v>
      </c>
      <c r="AQ123" s="12">
        <v>0.5</v>
      </c>
      <c r="AR123" t="b">
        <v>0</v>
      </c>
      <c r="AS123" t="b">
        <v>0</v>
      </c>
      <c r="AT123" s="12" t="s">
        <v>1574</v>
      </c>
    </row>
    <row r="124" spans="1:47" x14ac:dyDescent="0.3">
      <c r="A124" s="57" t="str">
        <f t="shared" si="2"/>
        <v>ALS9107382591073825ATEASTCH45901</v>
      </c>
      <c r="B124" s="57">
        <f>COUNTIF(CONT_TEA[Unique Contract],CONT_TEA[[#This Row],[Unique Contract]])-1</f>
        <v>0</v>
      </c>
      <c r="C124" s="57">
        <f>IFERROR(IF(FIND(CONT_TEA[[#This Row],[SchoolCode]],_xlfn.XLOOKUP(CONT_TEA[[#This Row],[StaffMemberCode]],MEMBERS[StaffMemberCode],MEMBERS[SchoolCodes]))&gt;0,0,1),1)</f>
        <v>0</v>
      </c>
      <c r="D124" s="57" cm="1">
        <f t="array" ref="D124">IF(_xlfn.XLOOKUP(CONT_TEA[[#This Row],[StaffRoleCode]],ROLES[StaffRoleCode],ROLES[AvailableToAllSchools],1,0,)=TRUE,0,IF(ISERROR(FIND(CONT_TEA[[#This Row],[SchoolCode]],_xlfn.TEXTJOIN(",",TRUE,_xlfn.UNIQUE(IF(ROLES[StaffRoleCode]=CONT_TEA[[#This Row],[StaffRoleCode]],ROLES[SchoolCodes],""))))),1,0))</f>
        <v>0</v>
      </c>
      <c r="E124" s="57" cm="1">
        <f t="array" ref="E12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24" s="57" cm="1">
        <f t="array" ref="F124">IF(_xlfn.XLOOKUP(CONT_TEA[[#This Row],[PayScaleCode]],PAYSCALES[PayScaleCode],PAYSCALES[AvailableToAllSchools],1,0,)=TRUE,0,IF(ISERROR(FIND(CONT_TEA[[#This Row],[SchoolCode]],_xlfn.TEXTJOIN(",",TRUE,_xlfn.UNIQUE(IF(PAYSCALES[PayScaleCode]=CONT_TEA[[#This Row],[PayScaleCode]],PAYSCALES[SchoolCodes],""))))),1,0))</f>
        <v>0</v>
      </c>
      <c r="G124" s="57">
        <f>IF(_xlfn.XLOOKUP(CONT_TEA[[#This Row],[PayScaleGradeCode]],GRADES[PayScaleGradeCode],GRADES[AvailableToAllSchools])=TRUE,0,IFERROR(IF(FIND(CONT_TEA[[#This Row],[SchoolCode]],_xlfn.XLOOKUP(CONT_TEA[[#This Row],[PayScaleGradeCode]],GRADES[PayScaleGradeCode],GRADES[SchoolCodes]))&gt;=1,0,1),1))</f>
        <v>0</v>
      </c>
      <c r="H124" s="57">
        <f>IF(ISERROR(IF((_xlfn.XLOOKUP(CONT_TEA[[#This Row],[PayScaleGradeCode]],GRADES[PayScaleGradeCode],GRADES[PayScaleCode])=CONT_TEA[[#This Row],[PayScaleCode]]),0,1)),1,0)</f>
        <v>0</v>
      </c>
      <c r="I124" s="57" cm="1">
        <f t="array" ref="I124">IF(ISERROR(FIND(CONT_TEA[[#This Row],[PayScalePointCode]],_xlfn.TEXTJOIN(",",TRUE,IF(PSPOINTS[PayScaleCode]=CONT_TEA[[#This Row],[PayScaleCode]],PSPOINTS[PayScalePointCode])))),1,0)</f>
        <v>0</v>
      </c>
      <c r="J124" s="57" cm="1">
        <f t="array" ref="J12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24" s="57">
        <f>IF(_xlfn.XLOOKUP(CONT_TEA[[#This Row],[PayScalePointCode]],PSPOINTS[PayScalePointCode],PSPOINTS[PayScalePointEnabled])=TRUE,0,1)</f>
        <v>0</v>
      </c>
      <c r="L124" s="57" cm="1">
        <f t="array" ref="L124">IF(_xlfn.XLOOKUP(CONT_TEA[[#This Row],[DepartmentCode]],DEPTS[DepartmentCode],DEPTS[AvailableToAllSchools],1,0,)=TRUE,0,IF(ISERROR(FIND(CONT_TEA[[#This Row],[SchoolCode]],_xlfn.TEXTJOIN(",",TRUE,_xlfn.UNIQUE(IF(DEPTS[DepartmentCode]=CONT_TEA[[#This Row],[DepartmentCode]],DEPTS[SchoolCodes],""))))),1,0))</f>
        <v>0</v>
      </c>
      <c r="M124" s="57">
        <f>IFERROR(IF(_xlfn.XLOOKUP(CONT_TEA[[#This Row],[SRG Gross]],FinanceCodesBudget[FinanceCode],FinanceCodesBudget[LedgerCode])=_xlfn.XLOOKUP(CONT_TEA[[#This Row],[DepartmentCode]],DEPTS[DepartmentCode],DEPTS[LedgerCode]),0,1),1)</f>
        <v>1</v>
      </c>
      <c r="N124" s="57" cm="1">
        <f t="array" ref="N124">IF(_xlfn.XLOOKUP(CONT_TEA[[#This Row],[PensionCode]],PENS[PensionCode],PENS[AvailableToAllSchools],1,0,)=TRUE,0,IF(ISERROR(FIND(CONT_TEA[[#This Row],[SchoolCode]],_xlfn.TEXTJOIN(",",TRUE,_xlfn.UNIQUE(IF(PENS[PensionCode]=CONT_TEA[[#This Row],[PensionCode]],PENS[SchoolCodes],""))))),1,0))</f>
        <v>0</v>
      </c>
      <c r="O124" s="57" cm="1">
        <f t="array" ref="O124">IF(_xlfn.XLOOKUP(CONT_TEA[[#This Row],[EquatedWeekPatternCode]],EQW[EquatedWeekPatternCode],EQW[AvailableToAllSchools],1,0,)=TRUE,0,IF(ISERROR(FIND(CONT_TEA[[#This Row],[SchoolCode]],_xlfn.TEXTJOIN(",",TRUE,_xlfn.UNIQUE(IF(EQW[EquatedWeekPatternCode]=CONT_TEA[[#This Row],[EquatedWeekPatternCode]],EQW[SchoolCodes],""))))),1,0))</f>
        <v>0</v>
      </c>
      <c r="P124" s="57">
        <f>1-COUNTIF(ContractTypes[Code],CONT_TEA[[#This Row],[ContractTypeCode]])</f>
        <v>0</v>
      </c>
      <c r="Q124" s="57">
        <f>IF(VLOOKUP(CONT_TEA[[#This Row],[StaffMemberCode]],MEMBERS[[StaffMemberCode]:[ServiceStartDate]],5,0)&gt;CONT_TEA[[#This Row],[DateFrom]],1,0)</f>
        <v>0</v>
      </c>
      <c r="R124" s="57">
        <f>IF(_xlfn.XLOOKUP(CONT_TEA[[#This Row],[StaffMemberCode]],MEMBERS[StaffMemberCode],MEMBERS[ServiceEndDate])="",0,IF(CONT_TEA[[#This Row],[DateTo]]="",1,IF(_xlfn.XLOOKUP(CONT_TEA[[#This Row],[StaffMemberCode]],MEMBERS[StaffMemberCode],MEMBERS[ServiceEndDate])&lt;CONT_TEA[[#This Row],[DateTo]],1,0)))</f>
        <v>0</v>
      </c>
      <c r="S124" s="57">
        <f>IF(ISBLANK(CONT_TEA[[#This Row],[DateTo]]),0,IF(CONT_TEA[[#This Row],[DateFrom]]=CONT_TEA[[#This Row],[DateTo]],0,IF(CONT_TEA[[#This Row],[DateFrom]]&lt;CONT_TEA[[#This Row],[DateTo]],0,1)))</f>
        <v>0</v>
      </c>
      <c r="T124" s="57" cm="1">
        <f t="array" aca="1" ref="T124" ca="1">IF(CELL("format",CONT_TEA[[#This Row],[DateFrom]])="D1",0,1)+IF(CELL("format",CONT_TEA[[#This Row],[DateTo]])="D1",0,1)</f>
        <v>0</v>
      </c>
      <c r="U124" s="57">
        <f>IF(OR(CONT_TEA[[#This Row],[MatEditOnly]]=TRUE,CONT_TEA[[#This Row],[MatEditOnly]]=FALSE),IF(OR(CONT_TEA[[#This Row],[NoIncrement]]=TRUE,CONT_TEA[[#This Row],[NoIncrement]]=FALSE),0,1),1)</f>
        <v>0</v>
      </c>
      <c r="V124" s="57">
        <f>IF(ISBLANK(CONT_TEA[[#This Row],[FundCode]])=TRUE,0,IF(COUNTIF(FUNDS[FundCode],CONT_TEA[[#This Row],[FundCode]])=1,0,1))</f>
        <v>0</v>
      </c>
      <c r="W124" s="57">
        <f>IF(LEN(CONT_TEA[[#This Row],[Notes]])&lt;4000,0,1)</f>
        <v>0</v>
      </c>
      <c r="X124" s="57">
        <f>IF(SUBSTITUTE(TEXT(CONT_TEA[[#This Row],[Reference]],10)," ","")=TEXT(CONT_TEA[[#This Row],[Reference]],10),0,1)</f>
        <v>0</v>
      </c>
      <c r="Y124" s="57">
        <f ca="1">SUM(CONT_TEA[[#This Row],[Duplicate Contract]:[Space in Code]])</f>
        <v>1</v>
      </c>
      <c r="AA124" s="12" t="s">
        <v>2082</v>
      </c>
      <c r="AB124" s="15">
        <v>91073825</v>
      </c>
      <c r="AC124" s="12" t="s">
        <v>4472</v>
      </c>
      <c r="AD124" s="57" t="str">
        <f>_xlfn.XLOOKUP(CONT_TEA[[#This Row],[StaffMemberCode]],StaffMembers!O:O,StaffMembers!R:R)</f>
        <v>Alistair McLaren</v>
      </c>
      <c r="AE124" s="12" t="s">
        <v>1178</v>
      </c>
      <c r="AF124" s="57">
        <f>_xlfn.XLOOKUP(CONT_TEA[[#This Row],[SRG]],SRG[StaffRoleGroupCode],SRG[GrossSalaryFinanceCode])</f>
        <v>612100</v>
      </c>
      <c r="AG124" s="57" t="str">
        <f>_xlfn.XLOOKUP(CONT_TEA[[#This Row],[StaffRoleCode]],ROLES[StaffRoleCode],ROLES[StaffRoleGroupCode])</f>
        <v>TEA</v>
      </c>
      <c r="AH124" s="57" t="str">
        <f>_xlfn.XLOOKUP(CONT_TEA[[#This Row],[StaffRoleCode]],ROLES[StaffRoleCode],ROLES[PayScaleCode])</f>
        <v>MAIN</v>
      </c>
      <c r="AI124" s="12" t="s">
        <v>1126</v>
      </c>
      <c r="AJ124" s="12" t="s">
        <v>3074</v>
      </c>
      <c r="AK124" s="12" t="s">
        <v>2499</v>
      </c>
      <c r="AM124" s="68" t="s">
        <v>1147</v>
      </c>
      <c r="AN124" s="13" t="s">
        <v>1702</v>
      </c>
      <c r="AO124" s="21">
        <v>45901</v>
      </c>
      <c r="AQ124" s="12">
        <v>1</v>
      </c>
      <c r="AR124" t="b">
        <v>0</v>
      </c>
      <c r="AS124" t="b">
        <v>0</v>
      </c>
      <c r="AT124" s="12" t="s">
        <v>1574</v>
      </c>
    </row>
    <row r="125" spans="1:47" x14ac:dyDescent="0.3">
      <c r="A125" s="57" t="str">
        <f t="shared" si="2"/>
        <v>BLS9107354791073547ATEASTCH45901</v>
      </c>
      <c r="B125" s="57">
        <f>COUNTIF(CONT_TEA[Unique Contract],CONT_TEA[[#This Row],[Unique Contract]])-1</f>
        <v>0</v>
      </c>
      <c r="C125" s="57">
        <f>IFERROR(IF(FIND(CONT_TEA[[#This Row],[SchoolCode]],_xlfn.XLOOKUP(CONT_TEA[[#This Row],[StaffMemberCode]],MEMBERS[StaffMemberCode],MEMBERS[SchoolCodes]))&gt;0,0,1),1)</f>
        <v>0</v>
      </c>
      <c r="D125" s="57" cm="1">
        <f t="array" ref="D125">IF(_xlfn.XLOOKUP(CONT_TEA[[#This Row],[StaffRoleCode]],ROLES[StaffRoleCode],ROLES[AvailableToAllSchools],1,0,)=TRUE,0,IF(ISERROR(FIND(CONT_TEA[[#This Row],[SchoolCode]],_xlfn.TEXTJOIN(",",TRUE,_xlfn.UNIQUE(IF(ROLES[StaffRoleCode]=CONT_TEA[[#This Row],[StaffRoleCode]],ROLES[SchoolCodes],""))))),1,0))</f>
        <v>0</v>
      </c>
      <c r="E125" s="57" cm="1">
        <f t="array" ref="E12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25" s="57" cm="1">
        <f t="array" ref="F125">IF(_xlfn.XLOOKUP(CONT_TEA[[#This Row],[PayScaleCode]],PAYSCALES[PayScaleCode],PAYSCALES[AvailableToAllSchools],1,0,)=TRUE,0,IF(ISERROR(FIND(CONT_TEA[[#This Row],[SchoolCode]],_xlfn.TEXTJOIN(",",TRUE,_xlfn.UNIQUE(IF(PAYSCALES[PayScaleCode]=CONT_TEA[[#This Row],[PayScaleCode]],PAYSCALES[SchoolCodes],""))))),1,0))</f>
        <v>0</v>
      </c>
      <c r="G125" s="57">
        <f>IF(_xlfn.XLOOKUP(CONT_TEA[[#This Row],[PayScaleGradeCode]],GRADES[PayScaleGradeCode],GRADES[AvailableToAllSchools])=TRUE,0,IFERROR(IF(FIND(CONT_TEA[[#This Row],[SchoolCode]],_xlfn.XLOOKUP(CONT_TEA[[#This Row],[PayScaleGradeCode]],GRADES[PayScaleGradeCode],GRADES[SchoolCodes]))&gt;=1,0,1),1))</f>
        <v>0</v>
      </c>
      <c r="H125" s="57">
        <f>IF(ISERROR(IF((_xlfn.XLOOKUP(CONT_TEA[[#This Row],[PayScaleGradeCode]],GRADES[PayScaleGradeCode],GRADES[PayScaleCode])=CONT_TEA[[#This Row],[PayScaleCode]]),0,1)),1,0)</f>
        <v>0</v>
      </c>
      <c r="I125" s="57" cm="1">
        <f t="array" ref="I125">IF(ISERROR(FIND(CONT_TEA[[#This Row],[PayScalePointCode]],_xlfn.TEXTJOIN(",",TRUE,IF(PSPOINTS[PayScaleCode]=CONT_TEA[[#This Row],[PayScaleCode]],PSPOINTS[PayScalePointCode])))),1,0)</f>
        <v>0</v>
      </c>
      <c r="J125" s="57" cm="1">
        <f t="array" ref="J12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25" s="57">
        <f>IF(_xlfn.XLOOKUP(CONT_TEA[[#This Row],[PayScalePointCode]],PSPOINTS[PayScalePointCode],PSPOINTS[PayScalePointEnabled])=TRUE,0,1)</f>
        <v>0</v>
      </c>
      <c r="L125" s="57" cm="1">
        <f t="array" ref="L125">IF(_xlfn.XLOOKUP(CONT_TEA[[#This Row],[DepartmentCode]],DEPTS[DepartmentCode],DEPTS[AvailableToAllSchools],1,0,)=TRUE,0,IF(ISERROR(FIND(CONT_TEA[[#This Row],[SchoolCode]],_xlfn.TEXTJOIN(",",TRUE,_xlfn.UNIQUE(IF(DEPTS[DepartmentCode]=CONT_TEA[[#This Row],[DepartmentCode]],DEPTS[SchoolCodes],""))))),1,0))</f>
        <v>0</v>
      </c>
      <c r="M125" s="57">
        <f>IFERROR(IF(_xlfn.XLOOKUP(CONT_TEA[[#This Row],[SRG Gross]],FinanceCodesBudget[FinanceCode],FinanceCodesBudget[LedgerCode])=_xlfn.XLOOKUP(CONT_TEA[[#This Row],[DepartmentCode]],DEPTS[DepartmentCode],DEPTS[LedgerCode]),0,1),1)</f>
        <v>1</v>
      </c>
      <c r="N125" s="57" cm="1">
        <f t="array" ref="N125">IF(_xlfn.XLOOKUP(CONT_TEA[[#This Row],[PensionCode]],PENS[PensionCode],PENS[AvailableToAllSchools],1,0,)=TRUE,0,IF(ISERROR(FIND(CONT_TEA[[#This Row],[SchoolCode]],_xlfn.TEXTJOIN(",",TRUE,_xlfn.UNIQUE(IF(PENS[PensionCode]=CONT_TEA[[#This Row],[PensionCode]],PENS[SchoolCodes],""))))),1,0))</f>
        <v>0</v>
      </c>
      <c r="O125" s="57" cm="1">
        <f t="array" ref="O125">IF(_xlfn.XLOOKUP(CONT_TEA[[#This Row],[EquatedWeekPatternCode]],EQW[EquatedWeekPatternCode],EQW[AvailableToAllSchools],1,0,)=TRUE,0,IF(ISERROR(FIND(CONT_TEA[[#This Row],[SchoolCode]],_xlfn.TEXTJOIN(",",TRUE,_xlfn.UNIQUE(IF(EQW[EquatedWeekPatternCode]=CONT_TEA[[#This Row],[EquatedWeekPatternCode]],EQW[SchoolCodes],""))))),1,0))</f>
        <v>0</v>
      </c>
      <c r="P125" s="57">
        <f>1-COUNTIF(ContractTypes[Code],CONT_TEA[[#This Row],[ContractTypeCode]])</f>
        <v>0</v>
      </c>
      <c r="Q125" s="57">
        <f>IF(VLOOKUP(CONT_TEA[[#This Row],[StaffMemberCode]],MEMBERS[[StaffMemberCode]:[ServiceStartDate]],5,0)&gt;CONT_TEA[[#This Row],[DateFrom]],1,0)</f>
        <v>0</v>
      </c>
      <c r="R125" s="57">
        <f>IF(_xlfn.XLOOKUP(CONT_TEA[[#This Row],[StaffMemberCode]],MEMBERS[StaffMemberCode],MEMBERS[ServiceEndDate])="",0,IF(CONT_TEA[[#This Row],[DateTo]]="",1,IF(_xlfn.XLOOKUP(CONT_TEA[[#This Row],[StaffMemberCode]],MEMBERS[StaffMemberCode],MEMBERS[ServiceEndDate])&lt;CONT_TEA[[#This Row],[DateTo]],1,0)))</f>
        <v>0</v>
      </c>
      <c r="S125" s="57">
        <f>IF(ISBLANK(CONT_TEA[[#This Row],[DateTo]]),0,IF(CONT_TEA[[#This Row],[DateFrom]]=CONT_TEA[[#This Row],[DateTo]],0,IF(CONT_TEA[[#This Row],[DateFrom]]&lt;CONT_TEA[[#This Row],[DateTo]],0,1)))</f>
        <v>0</v>
      </c>
      <c r="T125" s="57" cm="1">
        <f t="array" aca="1" ref="T125" ca="1">IF(CELL("format",CONT_TEA[[#This Row],[DateFrom]])="D1",0,1)+IF(CELL("format",CONT_TEA[[#This Row],[DateTo]])="D1",0,1)</f>
        <v>0</v>
      </c>
      <c r="U125" s="57">
        <f>IF(OR(CONT_TEA[[#This Row],[MatEditOnly]]=TRUE,CONT_TEA[[#This Row],[MatEditOnly]]=FALSE),IF(OR(CONT_TEA[[#This Row],[NoIncrement]]=TRUE,CONT_TEA[[#This Row],[NoIncrement]]=FALSE),0,1),1)</f>
        <v>0</v>
      </c>
      <c r="V125" s="57">
        <f>IF(ISBLANK(CONT_TEA[[#This Row],[FundCode]])=TRUE,0,IF(COUNTIF(FUNDS[FundCode],CONT_TEA[[#This Row],[FundCode]])=1,0,1))</f>
        <v>0</v>
      </c>
      <c r="W125" s="57">
        <f>IF(LEN(CONT_TEA[[#This Row],[Notes]])&lt;4000,0,1)</f>
        <v>0</v>
      </c>
      <c r="X125" s="57">
        <f>IF(SUBSTITUTE(TEXT(CONT_TEA[[#This Row],[Reference]],10)," ","")=TEXT(CONT_TEA[[#This Row],[Reference]],10),0,1)</f>
        <v>0</v>
      </c>
      <c r="Y125" s="57">
        <f ca="1">SUM(CONT_TEA[[#This Row],[Duplicate Contract]:[Space in Code]])</f>
        <v>1</v>
      </c>
      <c r="AA125" s="12" t="s">
        <v>2094</v>
      </c>
      <c r="AB125" s="15">
        <v>91073547</v>
      </c>
      <c r="AC125" s="12" t="s">
        <v>4473</v>
      </c>
      <c r="AD125" s="57" t="str">
        <f>_xlfn.XLOOKUP(CONT_TEA[[#This Row],[StaffMemberCode]],StaffMembers!O:O,StaffMembers!R:R)</f>
        <v>Andrew Evans</v>
      </c>
      <c r="AE125" s="12" t="s">
        <v>1178</v>
      </c>
      <c r="AF125" s="57">
        <f>_xlfn.XLOOKUP(CONT_TEA[[#This Row],[SRG]],SRG[StaffRoleGroupCode],SRG[GrossSalaryFinanceCode])</f>
        <v>612100</v>
      </c>
      <c r="AG125" s="57" t="str">
        <f>_xlfn.XLOOKUP(CONT_TEA[[#This Row],[StaffRoleCode]],ROLES[StaffRoleCode],ROLES[StaffRoleGroupCode])</f>
        <v>TEA</v>
      </c>
      <c r="AH125" s="57" t="str">
        <f>_xlfn.XLOOKUP(CONT_TEA[[#This Row],[StaffRoleCode]],ROLES[StaffRoleCode],ROLES[PayScaleCode])</f>
        <v>MAIN</v>
      </c>
      <c r="AI125" s="12" t="s">
        <v>1126</v>
      </c>
      <c r="AJ125" s="12" t="s">
        <v>1745</v>
      </c>
      <c r="AK125" s="12" t="s">
        <v>2499</v>
      </c>
      <c r="AM125" s="68" t="s">
        <v>1147</v>
      </c>
      <c r="AN125" s="13" t="s">
        <v>1702</v>
      </c>
      <c r="AO125" s="21">
        <v>45901</v>
      </c>
      <c r="AQ125" s="12">
        <v>1</v>
      </c>
      <c r="AR125" t="b">
        <v>0</v>
      </c>
      <c r="AS125" t="b">
        <v>0</v>
      </c>
      <c r="AT125" s="12" t="s">
        <v>1574</v>
      </c>
    </row>
    <row r="126" spans="1:47" x14ac:dyDescent="0.3">
      <c r="A126" s="57" t="str">
        <f t="shared" si="2"/>
        <v>BLS9107356291073562ATEASTCH45901</v>
      </c>
      <c r="B126" s="57">
        <f>COUNTIF(CONT_TEA[Unique Contract],CONT_TEA[[#This Row],[Unique Contract]])-1</f>
        <v>0</v>
      </c>
      <c r="C126" s="57">
        <f>IFERROR(IF(FIND(CONT_TEA[[#This Row],[SchoolCode]],_xlfn.XLOOKUP(CONT_TEA[[#This Row],[StaffMemberCode]],MEMBERS[StaffMemberCode],MEMBERS[SchoolCodes]))&gt;0,0,1),1)</f>
        <v>0</v>
      </c>
      <c r="D126" s="57" cm="1">
        <f t="array" ref="D126">IF(_xlfn.XLOOKUP(CONT_TEA[[#This Row],[StaffRoleCode]],ROLES[StaffRoleCode],ROLES[AvailableToAllSchools],1,0,)=TRUE,0,IF(ISERROR(FIND(CONT_TEA[[#This Row],[SchoolCode]],_xlfn.TEXTJOIN(",",TRUE,_xlfn.UNIQUE(IF(ROLES[StaffRoleCode]=CONT_TEA[[#This Row],[StaffRoleCode]],ROLES[SchoolCodes],""))))),1,0))</f>
        <v>0</v>
      </c>
      <c r="E126" s="57" cm="1">
        <f t="array" ref="E12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26" s="57" cm="1">
        <f t="array" ref="F126">IF(_xlfn.XLOOKUP(CONT_TEA[[#This Row],[PayScaleCode]],PAYSCALES[PayScaleCode],PAYSCALES[AvailableToAllSchools],1,0,)=TRUE,0,IF(ISERROR(FIND(CONT_TEA[[#This Row],[SchoolCode]],_xlfn.TEXTJOIN(",",TRUE,_xlfn.UNIQUE(IF(PAYSCALES[PayScaleCode]=CONT_TEA[[#This Row],[PayScaleCode]],PAYSCALES[SchoolCodes],""))))),1,0))</f>
        <v>0</v>
      </c>
      <c r="G126" s="57">
        <f>IF(_xlfn.XLOOKUP(CONT_TEA[[#This Row],[PayScaleGradeCode]],GRADES[PayScaleGradeCode],GRADES[AvailableToAllSchools])=TRUE,0,IFERROR(IF(FIND(CONT_TEA[[#This Row],[SchoolCode]],_xlfn.XLOOKUP(CONT_TEA[[#This Row],[PayScaleGradeCode]],GRADES[PayScaleGradeCode],GRADES[SchoolCodes]))&gt;=1,0,1),1))</f>
        <v>0</v>
      </c>
      <c r="H126" s="57">
        <f>IF(ISERROR(IF((_xlfn.XLOOKUP(CONT_TEA[[#This Row],[PayScaleGradeCode]],GRADES[PayScaleGradeCode],GRADES[PayScaleCode])=CONT_TEA[[#This Row],[PayScaleCode]]),0,1)),1,0)</f>
        <v>0</v>
      </c>
      <c r="I126" s="57" cm="1">
        <f t="array" ref="I126">IF(ISERROR(FIND(CONT_TEA[[#This Row],[PayScalePointCode]],_xlfn.TEXTJOIN(",",TRUE,IF(PSPOINTS[PayScaleCode]=CONT_TEA[[#This Row],[PayScaleCode]],PSPOINTS[PayScalePointCode])))),1,0)</f>
        <v>0</v>
      </c>
      <c r="J126" s="57" cm="1">
        <f t="array" ref="J12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26" s="57">
        <f>IF(_xlfn.XLOOKUP(CONT_TEA[[#This Row],[PayScalePointCode]],PSPOINTS[PayScalePointCode],PSPOINTS[PayScalePointEnabled])=TRUE,0,1)</f>
        <v>0</v>
      </c>
      <c r="L126" s="57" cm="1">
        <f t="array" ref="L126">IF(_xlfn.XLOOKUP(CONT_TEA[[#This Row],[DepartmentCode]],DEPTS[DepartmentCode],DEPTS[AvailableToAllSchools],1,0,)=TRUE,0,IF(ISERROR(FIND(CONT_TEA[[#This Row],[SchoolCode]],_xlfn.TEXTJOIN(",",TRUE,_xlfn.UNIQUE(IF(DEPTS[DepartmentCode]=CONT_TEA[[#This Row],[DepartmentCode]],DEPTS[SchoolCodes],""))))),1,0))</f>
        <v>0</v>
      </c>
      <c r="M126" s="57">
        <f>IFERROR(IF(_xlfn.XLOOKUP(CONT_TEA[[#This Row],[SRG Gross]],FinanceCodesBudget[FinanceCode],FinanceCodesBudget[LedgerCode])=_xlfn.XLOOKUP(CONT_TEA[[#This Row],[DepartmentCode]],DEPTS[DepartmentCode],DEPTS[LedgerCode]),0,1),1)</f>
        <v>1</v>
      </c>
      <c r="N126" s="57" cm="1">
        <f t="array" ref="N126">IF(_xlfn.XLOOKUP(CONT_TEA[[#This Row],[PensionCode]],PENS[PensionCode],PENS[AvailableToAllSchools],1,0,)=TRUE,0,IF(ISERROR(FIND(CONT_TEA[[#This Row],[SchoolCode]],_xlfn.TEXTJOIN(",",TRUE,_xlfn.UNIQUE(IF(PENS[PensionCode]=CONT_TEA[[#This Row],[PensionCode]],PENS[SchoolCodes],""))))),1,0))</f>
        <v>0</v>
      </c>
      <c r="O126" s="57" cm="1">
        <f t="array" ref="O126">IF(_xlfn.XLOOKUP(CONT_TEA[[#This Row],[EquatedWeekPatternCode]],EQW[EquatedWeekPatternCode],EQW[AvailableToAllSchools],1,0,)=TRUE,0,IF(ISERROR(FIND(CONT_TEA[[#This Row],[SchoolCode]],_xlfn.TEXTJOIN(",",TRUE,_xlfn.UNIQUE(IF(EQW[EquatedWeekPatternCode]=CONT_TEA[[#This Row],[EquatedWeekPatternCode]],EQW[SchoolCodes],""))))),1,0))</f>
        <v>0</v>
      </c>
      <c r="P126" s="57">
        <f>1-COUNTIF(ContractTypes[Code],CONT_TEA[[#This Row],[ContractTypeCode]])</f>
        <v>0</v>
      </c>
      <c r="Q126" s="57">
        <f>IF(VLOOKUP(CONT_TEA[[#This Row],[StaffMemberCode]],MEMBERS[[StaffMemberCode]:[ServiceStartDate]],5,0)&gt;CONT_TEA[[#This Row],[DateFrom]],1,0)</f>
        <v>0</v>
      </c>
      <c r="R126" s="57">
        <f>IF(_xlfn.XLOOKUP(CONT_TEA[[#This Row],[StaffMemberCode]],MEMBERS[StaffMemberCode],MEMBERS[ServiceEndDate])="",0,IF(CONT_TEA[[#This Row],[DateTo]]="",1,IF(_xlfn.XLOOKUP(CONT_TEA[[#This Row],[StaffMemberCode]],MEMBERS[StaffMemberCode],MEMBERS[ServiceEndDate])&lt;CONT_TEA[[#This Row],[DateTo]],1,0)))</f>
        <v>0</v>
      </c>
      <c r="S126" s="57">
        <f>IF(ISBLANK(CONT_TEA[[#This Row],[DateTo]]),0,IF(CONT_TEA[[#This Row],[DateFrom]]=CONT_TEA[[#This Row],[DateTo]],0,IF(CONT_TEA[[#This Row],[DateFrom]]&lt;CONT_TEA[[#This Row],[DateTo]],0,1)))</f>
        <v>0</v>
      </c>
      <c r="T126" s="57" cm="1">
        <f t="array" aca="1" ref="T126" ca="1">IF(CELL("format",CONT_TEA[[#This Row],[DateFrom]])="D1",0,1)+IF(CELL("format",CONT_TEA[[#This Row],[DateTo]])="D1",0,1)</f>
        <v>0</v>
      </c>
      <c r="U126" s="57">
        <f>IF(OR(CONT_TEA[[#This Row],[MatEditOnly]]=TRUE,CONT_TEA[[#This Row],[MatEditOnly]]=FALSE),IF(OR(CONT_TEA[[#This Row],[NoIncrement]]=TRUE,CONT_TEA[[#This Row],[NoIncrement]]=FALSE),0,1),1)</f>
        <v>0</v>
      </c>
      <c r="V126" s="57">
        <f>IF(ISBLANK(CONT_TEA[[#This Row],[FundCode]])=TRUE,0,IF(COUNTIF(FUNDS[FundCode],CONT_TEA[[#This Row],[FundCode]])=1,0,1))</f>
        <v>0</v>
      </c>
      <c r="W126" s="57">
        <f>IF(LEN(CONT_TEA[[#This Row],[Notes]])&lt;4000,0,1)</f>
        <v>0</v>
      </c>
      <c r="X126" s="57">
        <f>IF(SUBSTITUTE(TEXT(CONT_TEA[[#This Row],[Reference]],10)," ","")=TEXT(CONT_TEA[[#This Row],[Reference]],10),0,1)</f>
        <v>0</v>
      </c>
      <c r="Y126" s="57">
        <f ca="1">SUM(CONT_TEA[[#This Row],[Duplicate Contract]:[Space in Code]])</f>
        <v>1</v>
      </c>
      <c r="AA126" s="12" t="s">
        <v>2094</v>
      </c>
      <c r="AB126" s="15">
        <v>91073562</v>
      </c>
      <c r="AC126" s="12" t="s">
        <v>4474</v>
      </c>
      <c r="AD126" s="57" t="str">
        <f>_xlfn.XLOOKUP(CONT_TEA[[#This Row],[StaffMemberCode]],StaffMembers!O:O,StaffMembers!R:R)</f>
        <v>Anne-Marie Nash</v>
      </c>
      <c r="AE126" s="12" t="s">
        <v>1178</v>
      </c>
      <c r="AF126" s="57">
        <f>_xlfn.XLOOKUP(CONT_TEA[[#This Row],[SRG]],SRG[StaffRoleGroupCode],SRG[GrossSalaryFinanceCode])</f>
        <v>612100</v>
      </c>
      <c r="AG126" s="57" t="str">
        <f>_xlfn.XLOOKUP(CONT_TEA[[#This Row],[StaffRoleCode]],ROLES[StaffRoleCode],ROLES[StaffRoleGroupCode])</f>
        <v>TEA</v>
      </c>
      <c r="AH126" s="57" t="str">
        <f>_xlfn.XLOOKUP(CONT_TEA[[#This Row],[StaffRoleCode]],ROLES[StaffRoleCode],ROLES[PayScaleCode])</f>
        <v>MAIN</v>
      </c>
      <c r="AI126" s="12" t="s">
        <v>1126</v>
      </c>
      <c r="AJ126" s="12" t="s">
        <v>1745</v>
      </c>
      <c r="AK126" s="12" t="s">
        <v>2499</v>
      </c>
      <c r="AM126" s="68" t="s">
        <v>1147</v>
      </c>
      <c r="AN126" s="13" t="s">
        <v>1702</v>
      </c>
      <c r="AO126" s="21">
        <v>45901</v>
      </c>
      <c r="AQ126" s="12">
        <v>0.5</v>
      </c>
      <c r="AR126" t="b">
        <v>0</v>
      </c>
      <c r="AS126" t="b">
        <v>0</v>
      </c>
      <c r="AT126" s="12" t="s">
        <v>1574</v>
      </c>
    </row>
    <row r="127" spans="1:47" x14ac:dyDescent="0.3">
      <c r="A127" s="57" t="str">
        <f t="shared" si="2"/>
        <v>ALS9107385191073851ATEASTCH45901</v>
      </c>
      <c r="B127" s="57">
        <f>COUNTIF(CONT_TEA[Unique Contract],CONT_TEA[[#This Row],[Unique Contract]])-1</f>
        <v>0</v>
      </c>
      <c r="C127" s="57">
        <f>IFERROR(IF(FIND(CONT_TEA[[#This Row],[SchoolCode]],_xlfn.XLOOKUP(CONT_TEA[[#This Row],[StaffMemberCode]],MEMBERS[StaffMemberCode],MEMBERS[SchoolCodes]))&gt;0,0,1),1)</f>
        <v>0</v>
      </c>
      <c r="D127" s="57" cm="1">
        <f t="array" ref="D127">IF(_xlfn.XLOOKUP(CONT_TEA[[#This Row],[StaffRoleCode]],ROLES[StaffRoleCode],ROLES[AvailableToAllSchools],1,0,)=TRUE,0,IF(ISERROR(FIND(CONT_TEA[[#This Row],[SchoolCode]],_xlfn.TEXTJOIN(",",TRUE,_xlfn.UNIQUE(IF(ROLES[StaffRoleCode]=CONT_TEA[[#This Row],[StaffRoleCode]],ROLES[SchoolCodes],""))))),1,0))</f>
        <v>0</v>
      </c>
      <c r="E127" s="57" cm="1">
        <f t="array" ref="E12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27" s="57" cm="1">
        <f t="array" ref="F127">IF(_xlfn.XLOOKUP(CONT_TEA[[#This Row],[PayScaleCode]],PAYSCALES[PayScaleCode],PAYSCALES[AvailableToAllSchools],1,0,)=TRUE,0,IF(ISERROR(FIND(CONT_TEA[[#This Row],[SchoolCode]],_xlfn.TEXTJOIN(",",TRUE,_xlfn.UNIQUE(IF(PAYSCALES[PayScaleCode]=CONT_TEA[[#This Row],[PayScaleCode]],PAYSCALES[SchoolCodes],""))))),1,0))</f>
        <v>0</v>
      </c>
      <c r="G127" s="57">
        <f>IF(_xlfn.XLOOKUP(CONT_TEA[[#This Row],[PayScaleGradeCode]],GRADES[PayScaleGradeCode],GRADES[AvailableToAllSchools])=TRUE,0,IFERROR(IF(FIND(CONT_TEA[[#This Row],[SchoolCode]],_xlfn.XLOOKUP(CONT_TEA[[#This Row],[PayScaleGradeCode]],GRADES[PayScaleGradeCode],GRADES[SchoolCodes]))&gt;=1,0,1),1))</f>
        <v>0</v>
      </c>
      <c r="H127" s="57">
        <f>IF(ISERROR(IF((_xlfn.XLOOKUP(CONT_TEA[[#This Row],[PayScaleGradeCode]],GRADES[PayScaleGradeCode],GRADES[PayScaleCode])=CONT_TEA[[#This Row],[PayScaleCode]]),0,1)),1,0)</f>
        <v>0</v>
      </c>
      <c r="I127" s="57" cm="1">
        <f t="array" ref="I127">IF(ISERROR(FIND(CONT_TEA[[#This Row],[PayScalePointCode]],_xlfn.TEXTJOIN(",",TRUE,IF(PSPOINTS[PayScaleCode]=CONT_TEA[[#This Row],[PayScaleCode]],PSPOINTS[PayScalePointCode])))),1,0)</f>
        <v>0</v>
      </c>
      <c r="J127" s="57" cm="1">
        <f t="array" ref="J12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27" s="57">
        <f>IF(_xlfn.XLOOKUP(CONT_TEA[[#This Row],[PayScalePointCode]],PSPOINTS[PayScalePointCode],PSPOINTS[PayScalePointEnabled])=TRUE,0,1)</f>
        <v>0</v>
      </c>
      <c r="L127" s="57" cm="1">
        <f t="array" ref="L127">IF(_xlfn.XLOOKUP(CONT_TEA[[#This Row],[DepartmentCode]],DEPTS[DepartmentCode],DEPTS[AvailableToAllSchools],1,0,)=TRUE,0,IF(ISERROR(FIND(CONT_TEA[[#This Row],[SchoolCode]],_xlfn.TEXTJOIN(",",TRUE,_xlfn.UNIQUE(IF(DEPTS[DepartmentCode]=CONT_TEA[[#This Row],[DepartmentCode]],DEPTS[SchoolCodes],""))))),1,0))</f>
        <v>0</v>
      </c>
      <c r="M127" s="57">
        <f>IFERROR(IF(_xlfn.XLOOKUP(CONT_TEA[[#This Row],[SRG Gross]],FinanceCodesBudget[FinanceCode],FinanceCodesBudget[LedgerCode])=_xlfn.XLOOKUP(CONT_TEA[[#This Row],[DepartmentCode]],DEPTS[DepartmentCode],DEPTS[LedgerCode]),0,1),1)</f>
        <v>1</v>
      </c>
      <c r="N127" s="57" cm="1">
        <f t="array" ref="N127">IF(_xlfn.XLOOKUP(CONT_TEA[[#This Row],[PensionCode]],PENS[PensionCode],PENS[AvailableToAllSchools],1,0,)=TRUE,0,IF(ISERROR(FIND(CONT_TEA[[#This Row],[SchoolCode]],_xlfn.TEXTJOIN(",",TRUE,_xlfn.UNIQUE(IF(PENS[PensionCode]=CONT_TEA[[#This Row],[PensionCode]],PENS[SchoolCodes],""))))),1,0))</f>
        <v>0</v>
      </c>
      <c r="O127" s="57" cm="1">
        <f t="array" ref="O127">IF(_xlfn.XLOOKUP(CONT_TEA[[#This Row],[EquatedWeekPatternCode]],EQW[EquatedWeekPatternCode],EQW[AvailableToAllSchools],1,0,)=TRUE,0,IF(ISERROR(FIND(CONT_TEA[[#This Row],[SchoolCode]],_xlfn.TEXTJOIN(",",TRUE,_xlfn.UNIQUE(IF(EQW[EquatedWeekPatternCode]=CONT_TEA[[#This Row],[EquatedWeekPatternCode]],EQW[SchoolCodes],""))))),1,0))</f>
        <v>0</v>
      </c>
      <c r="P127" s="57">
        <f>1-COUNTIF(ContractTypes[Code],CONT_TEA[[#This Row],[ContractTypeCode]])</f>
        <v>0</v>
      </c>
      <c r="Q127" s="57">
        <f>IF(VLOOKUP(CONT_TEA[[#This Row],[StaffMemberCode]],MEMBERS[[StaffMemberCode]:[ServiceStartDate]],5,0)&gt;CONT_TEA[[#This Row],[DateFrom]],1,0)</f>
        <v>0</v>
      </c>
      <c r="R127" s="57">
        <f>IF(_xlfn.XLOOKUP(CONT_TEA[[#This Row],[StaffMemberCode]],MEMBERS[StaffMemberCode],MEMBERS[ServiceEndDate])="",0,IF(CONT_TEA[[#This Row],[DateTo]]="",1,IF(_xlfn.XLOOKUP(CONT_TEA[[#This Row],[StaffMemberCode]],MEMBERS[StaffMemberCode],MEMBERS[ServiceEndDate])&lt;CONT_TEA[[#This Row],[DateTo]],1,0)))</f>
        <v>0</v>
      </c>
      <c r="S127" s="57">
        <f>IF(ISBLANK(CONT_TEA[[#This Row],[DateTo]]),0,IF(CONT_TEA[[#This Row],[DateFrom]]=CONT_TEA[[#This Row],[DateTo]],0,IF(CONT_TEA[[#This Row],[DateFrom]]&lt;CONT_TEA[[#This Row],[DateTo]],0,1)))</f>
        <v>0</v>
      </c>
      <c r="T127" s="57" cm="1">
        <f t="array" aca="1" ref="T127" ca="1">IF(CELL("format",CONT_TEA[[#This Row],[DateFrom]])="D1",0,1)+IF(CELL("format",CONT_TEA[[#This Row],[DateTo]])="D1",0,1)</f>
        <v>0</v>
      </c>
      <c r="U127" s="57">
        <f>IF(OR(CONT_TEA[[#This Row],[MatEditOnly]]=TRUE,CONT_TEA[[#This Row],[MatEditOnly]]=FALSE),IF(OR(CONT_TEA[[#This Row],[NoIncrement]]=TRUE,CONT_TEA[[#This Row],[NoIncrement]]=FALSE),0,1),1)</f>
        <v>0</v>
      </c>
      <c r="V127" s="57">
        <f>IF(ISBLANK(CONT_TEA[[#This Row],[FundCode]])=TRUE,0,IF(COUNTIF(FUNDS[FundCode],CONT_TEA[[#This Row],[FundCode]])=1,0,1))</f>
        <v>0</v>
      </c>
      <c r="W127" s="57">
        <f>IF(LEN(CONT_TEA[[#This Row],[Notes]])&lt;4000,0,1)</f>
        <v>0</v>
      </c>
      <c r="X127" s="57">
        <f>IF(SUBSTITUTE(TEXT(CONT_TEA[[#This Row],[Reference]],10)," ","")=TEXT(CONT_TEA[[#This Row],[Reference]],10),0,1)</f>
        <v>0</v>
      </c>
      <c r="Y127" s="57">
        <f ca="1">SUM(CONT_TEA[[#This Row],[Duplicate Contract]:[Space in Code]])</f>
        <v>1</v>
      </c>
      <c r="AA127" s="12" t="s">
        <v>2082</v>
      </c>
      <c r="AB127" s="15">
        <v>91073851</v>
      </c>
      <c r="AC127" s="12" t="s">
        <v>4475</v>
      </c>
      <c r="AD127" s="57" t="str">
        <f>_xlfn.XLOOKUP(CONT_TEA[[#This Row],[StaffMemberCode]],StaffMembers!O:O,StaffMembers!R:R)</f>
        <v>Benjamin Pratt</v>
      </c>
      <c r="AE127" s="12" t="s">
        <v>1178</v>
      </c>
      <c r="AF127" s="57">
        <f>_xlfn.XLOOKUP(CONT_TEA[[#This Row],[SRG]],SRG[StaffRoleGroupCode],SRG[GrossSalaryFinanceCode])</f>
        <v>612100</v>
      </c>
      <c r="AG127" s="57" t="str">
        <f>_xlfn.XLOOKUP(CONT_TEA[[#This Row],[StaffRoleCode]],ROLES[StaffRoleCode],ROLES[StaffRoleGroupCode])</f>
        <v>TEA</v>
      </c>
      <c r="AH127" s="57" t="str">
        <f>_xlfn.XLOOKUP(CONT_TEA[[#This Row],[StaffRoleCode]],ROLES[StaffRoleCode],ROLES[PayScaleCode])</f>
        <v>MAIN</v>
      </c>
      <c r="AI127" s="12" t="s">
        <v>1126</v>
      </c>
      <c r="AJ127" s="12" t="s">
        <v>1065</v>
      </c>
      <c r="AK127" s="12" t="s">
        <v>2499</v>
      </c>
      <c r="AM127" s="68" t="s">
        <v>1147</v>
      </c>
      <c r="AN127" s="13" t="s">
        <v>1702</v>
      </c>
      <c r="AO127" s="21">
        <v>45901</v>
      </c>
      <c r="AQ127" s="12">
        <v>1</v>
      </c>
      <c r="AR127" t="b">
        <v>0</v>
      </c>
      <c r="AS127" t="b">
        <v>0</v>
      </c>
      <c r="AT127" s="12" t="s">
        <v>1574</v>
      </c>
    </row>
    <row r="128" spans="1:47" x14ac:dyDescent="0.3">
      <c r="A128" s="57" t="str">
        <f t="shared" si="2"/>
        <v>PTP9132963791329637ATEASTCH45901</v>
      </c>
      <c r="B128" s="57">
        <f>COUNTIF(CONT_TEA[Unique Contract],CONT_TEA[[#This Row],[Unique Contract]])-1</f>
        <v>0</v>
      </c>
      <c r="C128" s="57">
        <f>IFERROR(IF(FIND(CONT_TEA[[#This Row],[SchoolCode]],_xlfn.XLOOKUP(CONT_TEA[[#This Row],[StaffMemberCode]],MEMBERS[StaffMemberCode],MEMBERS[SchoolCodes]))&gt;0,0,1),1)</f>
        <v>0</v>
      </c>
      <c r="D128" s="57" cm="1">
        <f t="array" ref="D128">IF(_xlfn.XLOOKUP(CONT_TEA[[#This Row],[StaffRoleCode]],ROLES[StaffRoleCode],ROLES[AvailableToAllSchools],1,0,)=TRUE,0,IF(ISERROR(FIND(CONT_TEA[[#This Row],[SchoolCode]],_xlfn.TEXTJOIN(",",TRUE,_xlfn.UNIQUE(IF(ROLES[StaffRoleCode]=CONT_TEA[[#This Row],[StaffRoleCode]],ROLES[SchoolCodes],""))))),1,0))</f>
        <v>0</v>
      </c>
      <c r="E128" s="57" cm="1">
        <f t="array" ref="E12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28" s="57" cm="1">
        <f t="array" ref="F128">IF(_xlfn.XLOOKUP(CONT_TEA[[#This Row],[PayScaleCode]],PAYSCALES[PayScaleCode],PAYSCALES[AvailableToAllSchools],1,0,)=TRUE,0,IF(ISERROR(FIND(CONT_TEA[[#This Row],[SchoolCode]],_xlfn.TEXTJOIN(",",TRUE,_xlfn.UNIQUE(IF(PAYSCALES[PayScaleCode]=CONT_TEA[[#This Row],[PayScaleCode]],PAYSCALES[SchoolCodes],""))))),1,0))</f>
        <v>0</v>
      </c>
      <c r="G128" s="57">
        <f>IF(_xlfn.XLOOKUP(CONT_TEA[[#This Row],[PayScaleGradeCode]],GRADES[PayScaleGradeCode],GRADES[AvailableToAllSchools])=TRUE,0,IFERROR(IF(FIND(CONT_TEA[[#This Row],[SchoolCode]],_xlfn.XLOOKUP(CONT_TEA[[#This Row],[PayScaleGradeCode]],GRADES[PayScaleGradeCode],GRADES[SchoolCodes]))&gt;=1,0,1),1))</f>
        <v>0</v>
      </c>
      <c r="H128" s="57">
        <f>IF(ISERROR(IF((_xlfn.XLOOKUP(CONT_TEA[[#This Row],[PayScaleGradeCode]],GRADES[PayScaleGradeCode],GRADES[PayScaleCode])=CONT_TEA[[#This Row],[PayScaleCode]]),0,1)),1,0)</f>
        <v>0</v>
      </c>
      <c r="I128" s="57" cm="1">
        <f t="array" ref="I128">IF(ISERROR(FIND(CONT_TEA[[#This Row],[PayScalePointCode]],_xlfn.TEXTJOIN(",",TRUE,IF(PSPOINTS[PayScaleCode]=CONT_TEA[[#This Row],[PayScaleCode]],PSPOINTS[PayScalePointCode])))),1,0)</f>
        <v>0</v>
      </c>
      <c r="J128" s="57" cm="1">
        <f t="array" ref="J12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28" s="57">
        <f>IF(_xlfn.XLOOKUP(CONT_TEA[[#This Row],[PayScalePointCode]],PSPOINTS[PayScalePointCode],PSPOINTS[PayScalePointEnabled])=TRUE,0,1)</f>
        <v>0</v>
      </c>
      <c r="L128" s="57" cm="1">
        <f t="array" ref="L128">IF(_xlfn.XLOOKUP(CONT_TEA[[#This Row],[DepartmentCode]],DEPTS[DepartmentCode],DEPTS[AvailableToAllSchools],1,0,)=TRUE,0,IF(ISERROR(FIND(CONT_TEA[[#This Row],[SchoolCode]],_xlfn.TEXTJOIN(",",TRUE,_xlfn.UNIQUE(IF(DEPTS[DepartmentCode]=CONT_TEA[[#This Row],[DepartmentCode]],DEPTS[SchoolCodes],""))))),1,0))</f>
        <v>0</v>
      </c>
      <c r="M128" s="57">
        <f>IFERROR(IF(_xlfn.XLOOKUP(CONT_TEA[[#This Row],[SRG Gross]],FinanceCodesBudget[FinanceCode],FinanceCodesBudget[LedgerCode])=_xlfn.XLOOKUP(CONT_TEA[[#This Row],[DepartmentCode]],DEPTS[DepartmentCode],DEPTS[LedgerCode]),0,1),1)</f>
        <v>1</v>
      </c>
      <c r="N128" s="57" cm="1">
        <f t="array" ref="N128">IF(_xlfn.XLOOKUP(CONT_TEA[[#This Row],[PensionCode]],PENS[PensionCode],PENS[AvailableToAllSchools],1,0,)=TRUE,0,IF(ISERROR(FIND(CONT_TEA[[#This Row],[SchoolCode]],_xlfn.TEXTJOIN(",",TRUE,_xlfn.UNIQUE(IF(PENS[PensionCode]=CONT_TEA[[#This Row],[PensionCode]],PENS[SchoolCodes],""))))),1,0))</f>
        <v>0</v>
      </c>
      <c r="O128" s="57" cm="1">
        <f t="array" ref="O128">IF(_xlfn.XLOOKUP(CONT_TEA[[#This Row],[EquatedWeekPatternCode]],EQW[EquatedWeekPatternCode],EQW[AvailableToAllSchools],1,0,)=TRUE,0,IF(ISERROR(FIND(CONT_TEA[[#This Row],[SchoolCode]],_xlfn.TEXTJOIN(",",TRUE,_xlfn.UNIQUE(IF(EQW[EquatedWeekPatternCode]=CONT_TEA[[#This Row],[EquatedWeekPatternCode]],EQW[SchoolCodes],""))))),1,0))</f>
        <v>0</v>
      </c>
      <c r="P128" s="57">
        <f>1-COUNTIF(ContractTypes[Code],CONT_TEA[[#This Row],[ContractTypeCode]])</f>
        <v>0</v>
      </c>
      <c r="Q128" s="57">
        <f>IF(VLOOKUP(CONT_TEA[[#This Row],[StaffMemberCode]],MEMBERS[[StaffMemberCode]:[ServiceStartDate]],5,0)&gt;CONT_TEA[[#This Row],[DateFrom]],1,0)</f>
        <v>0</v>
      </c>
      <c r="R128" s="57">
        <f>IF(_xlfn.XLOOKUP(CONT_TEA[[#This Row],[StaffMemberCode]],MEMBERS[StaffMemberCode],MEMBERS[ServiceEndDate])="",0,IF(CONT_TEA[[#This Row],[DateTo]]="",1,IF(_xlfn.XLOOKUP(CONT_TEA[[#This Row],[StaffMemberCode]],MEMBERS[StaffMemberCode],MEMBERS[ServiceEndDate])&lt;CONT_TEA[[#This Row],[DateTo]],1,0)))</f>
        <v>0</v>
      </c>
      <c r="S128" s="57">
        <f>IF(ISBLANK(CONT_TEA[[#This Row],[DateTo]]),0,IF(CONT_TEA[[#This Row],[DateFrom]]=CONT_TEA[[#This Row],[DateTo]],0,IF(CONT_TEA[[#This Row],[DateFrom]]&lt;CONT_TEA[[#This Row],[DateTo]],0,1)))</f>
        <v>0</v>
      </c>
      <c r="T128" s="57" cm="1">
        <f t="array" aca="1" ref="T128" ca="1">IF(CELL("format",CONT_TEA[[#This Row],[DateFrom]])="D1",0,1)+IF(CELL("format",CONT_TEA[[#This Row],[DateTo]])="D1",0,1)</f>
        <v>0</v>
      </c>
      <c r="U128" s="57">
        <f>IF(OR(CONT_TEA[[#This Row],[MatEditOnly]]=TRUE,CONT_TEA[[#This Row],[MatEditOnly]]=FALSE),IF(OR(CONT_TEA[[#This Row],[NoIncrement]]=TRUE,CONT_TEA[[#This Row],[NoIncrement]]=FALSE),0,1),1)</f>
        <v>0</v>
      </c>
      <c r="V128" s="57">
        <f>IF(ISBLANK(CONT_TEA[[#This Row],[FundCode]])=TRUE,0,IF(COUNTIF(FUNDS[FundCode],CONT_TEA[[#This Row],[FundCode]])=1,0,1))</f>
        <v>0</v>
      </c>
      <c r="W128" s="57">
        <f>IF(LEN(CONT_TEA[[#This Row],[Notes]])&lt;4000,0,1)</f>
        <v>0</v>
      </c>
      <c r="X128" s="57">
        <f>IF(SUBSTITUTE(TEXT(CONT_TEA[[#This Row],[Reference]],10)," ","")=TEXT(CONT_TEA[[#This Row],[Reference]],10),0,1)</f>
        <v>0</v>
      </c>
      <c r="Y128" s="57">
        <f ca="1">SUM(CONT_TEA[[#This Row],[Duplicate Contract]:[Space in Code]])</f>
        <v>1</v>
      </c>
      <c r="AA128" s="12" t="s">
        <v>2299</v>
      </c>
      <c r="AB128" s="15">
        <v>91329637</v>
      </c>
      <c r="AC128" s="12" t="s">
        <v>4476</v>
      </c>
      <c r="AD128" s="57" t="str">
        <f>_xlfn.XLOOKUP(CONT_TEA[[#This Row],[StaffMemberCode]],StaffMembers!O:O,StaffMembers!R:R)</f>
        <v>Bethany Goodwin</v>
      </c>
      <c r="AE128" s="12" t="s">
        <v>1178</v>
      </c>
      <c r="AF128" s="57">
        <f>_xlfn.XLOOKUP(CONT_TEA[[#This Row],[SRG]],SRG[StaffRoleGroupCode],SRG[GrossSalaryFinanceCode])</f>
        <v>612100</v>
      </c>
      <c r="AG128" s="57" t="str">
        <f>_xlfn.XLOOKUP(CONT_TEA[[#This Row],[StaffRoleCode]],ROLES[StaffRoleCode],ROLES[StaffRoleGroupCode])</f>
        <v>TEA</v>
      </c>
      <c r="AH128" s="57" t="str">
        <f>_xlfn.XLOOKUP(CONT_TEA[[#This Row],[StaffRoleCode]],ROLES[StaffRoleCode],ROLES[PayScaleCode])</f>
        <v>MAIN</v>
      </c>
      <c r="AI128" s="12" t="s">
        <v>1126</v>
      </c>
      <c r="AJ128" s="12" t="s">
        <v>1066</v>
      </c>
      <c r="AK128" s="12" t="s">
        <v>2499</v>
      </c>
      <c r="AM128" s="68" t="s">
        <v>1147</v>
      </c>
      <c r="AN128" s="13" t="s">
        <v>1702</v>
      </c>
      <c r="AO128" s="21">
        <v>45901</v>
      </c>
      <c r="AQ128" s="12">
        <v>1</v>
      </c>
      <c r="AR128" t="b">
        <v>0</v>
      </c>
      <c r="AS128" t="b">
        <v>0</v>
      </c>
      <c r="AT128" s="12" t="s">
        <v>1574</v>
      </c>
    </row>
    <row r="129" spans="1:47" x14ac:dyDescent="0.3">
      <c r="A129" s="57" t="str">
        <f t="shared" si="2"/>
        <v>BLS9107360991073609ATEASTCH45901</v>
      </c>
      <c r="B129" s="57">
        <f>COUNTIF(CONT_TEA[Unique Contract],CONT_TEA[[#This Row],[Unique Contract]])-1</f>
        <v>0</v>
      </c>
      <c r="C129" s="57">
        <f>IFERROR(IF(FIND(CONT_TEA[[#This Row],[SchoolCode]],_xlfn.XLOOKUP(CONT_TEA[[#This Row],[StaffMemberCode]],MEMBERS[StaffMemberCode],MEMBERS[SchoolCodes]))&gt;0,0,1),1)</f>
        <v>0</v>
      </c>
      <c r="D129" s="57" cm="1">
        <f t="array" ref="D129">IF(_xlfn.XLOOKUP(CONT_TEA[[#This Row],[StaffRoleCode]],ROLES[StaffRoleCode],ROLES[AvailableToAllSchools],1,0,)=TRUE,0,IF(ISERROR(FIND(CONT_TEA[[#This Row],[SchoolCode]],_xlfn.TEXTJOIN(",",TRUE,_xlfn.UNIQUE(IF(ROLES[StaffRoleCode]=CONT_TEA[[#This Row],[StaffRoleCode]],ROLES[SchoolCodes],""))))),1,0))</f>
        <v>0</v>
      </c>
      <c r="E129" s="57" cm="1">
        <f t="array" ref="E12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29" s="57" cm="1">
        <f t="array" ref="F129">IF(_xlfn.XLOOKUP(CONT_TEA[[#This Row],[PayScaleCode]],PAYSCALES[PayScaleCode],PAYSCALES[AvailableToAllSchools],1,0,)=TRUE,0,IF(ISERROR(FIND(CONT_TEA[[#This Row],[SchoolCode]],_xlfn.TEXTJOIN(",",TRUE,_xlfn.UNIQUE(IF(PAYSCALES[PayScaleCode]=CONT_TEA[[#This Row],[PayScaleCode]],PAYSCALES[SchoolCodes],""))))),1,0))</f>
        <v>0</v>
      </c>
      <c r="G129" s="57">
        <f>IF(_xlfn.XLOOKUP(CONT_TEA[[#This Row],[PayScaleGradeCode]],GRADES[PayScaleGradeCode],GRADES[AvailableToAllSchools])=TRUE,0,IFERROR(IF(FIND(CONT_TEA[[#This Row],[SchoolCode]],_xlfn.XLOOKUP(CONT_TEA[[#This Row],[PayScaleGradeCode]],GRADES[PayScaleGradeCode],GRADES[SchoolCodes]))&gt;=1,0,1),1))</f>
        <v>0</v>
      </c>
      <c r="H129" s="57">
        <f>IF(ISERROR(IF((_xlfn.XLOOKUP(CONT_TEA[[#This Row],[PayScaleGradeCode]],GRADES[PayScaleGradeCode],GRADES[PayScaleCode])=CONT_TEA[[#This Row],[PayScaleCode]]),0,1)),1,0)</f>
        <v>0</v>
      </c>
      <c r="I129" s="57" cm="1">
        <f t="array" ref="I129">IF(ISERROR(FIND(CONT_TEA[[#This Row],[PayScalePointCode]],_xlfn.TEXTJOIN(",",TRUE,IF(PSPOINTS[PayScaleCode]=CONT_TEA[[#This Row],[PayScaleCode]],PSPOINTS[PayScalePointCode])))),1,0)</f>
        <v>0</v>
      </c>
      <c r="J129" s="57" cm="1">
        <f t="array" ref="J12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29" s="57">
        <f>IF(_xlfn.XLOOKUP(CONT_TEA[[#This Row],[PayScalePointCode]],PSPOINTS[PayScalePointCode],PSPOINTS[PayScalePointEnabled])=TRUE,0,1)</f>
        <v>0</v>
      </c>
      <c r="L129" s="57" cm="1">
        <f t="array" ref="L129">IF(_xlfn.XLOOKUP(CONT_TEA[[#This Row],[DepartmentCode]],DEPTS[DepartmentCode],DEPTS[AvailableToAllSchools],1,0,)=TRUE,0,IF(ISERROR(FIND(CONT_TEA[[#This Row],[SchoolCode]],_xlfn.TEXTJOIN(",",TRUE,_xlfn.UNIQUE(IF(DEPTS[DepartmentCode]=CONT_TEA[[#This Row],[DepartmentCode]],DEPTS[SchoolCodes],""))))),1,0))</f>
        <v>0</v>
      </c>
      <c r="M129" s="57">
        <f>IFERROR(IF(_xlfn.XLOOKUP(CONT_TEA[[#This Row],[SRG Gross]],FinanceCodesBudget[FinanceCode],FinanceCodesBudget[LedgerCode])=_xlfn.XLOOKUP(CONT_TEA[[#This Row],[DepartmentCode]],DEPTS[DepartmentCode],DEPTS[LedgerCode]),0,1),1)</f>
        <v>1</v>
      </c>
      <c r="N129" s="57" cm="1">
        <f t="array" ref="N129">IF(_xlfn.XLOOKUP(CONT_TEA[[#This Row],[PensionCode]],PENS[PensionCode],PENS[AvailableToAllSchools],1,0,)=TRUE,0,IF(ISERROR(FIND(CONT_TEA[[#This Row],[SchoolCode]],_xlfn.TEXTJOIN(",",TRUE,_xlfn.UNIQUE(IF(PENS[PensionCode]=CONT_TEA[[#This Row],[PensionCode]],PENS[SchoolCodes],""))))),1,0))</f>
        <v>0</v>
      </c>
      <c r="O129" s="57" cm="1">
        <f t="array" ref="O129">IF(_xlfn.XLOOKUP(CONT_TEA[[#This Row],[EquatedWeekPatternCode]],EQW[EquatedWeekPatternCode],EQW[AvailableToAllSchools],1,0,)=TRUE,0,IF(ISERROR(FIND(CONT_TEA[[#This Row],[SchoolCode]],_xlfn.TEXTJOIN(",",TRUE,_xlfn.UNIQUE(IF(EQW[EquatedWeekPatternCode]=CONT_TEA[[#This Row],[EquatedWeekPatternCode]],EQW[SchoolCodes],""))))),1,0))</f>
        <v>0</v>
      </c>
      <c r="P129" s="57">
        <f>1-COUNTIF(ContractTypes[Code],CONT_TEA[[#This Row],[ContractTypeCode]])</f>
        <v>0</v>
      </c>
      <c r="Q129" s="57">
        <f>IF(VLOOKUP(CONT_TEA[[#This Row],[StaffMemberCode]],MEMBERS[[StaffMemberCode]:[ServiceStartDate]],5,0)&gt;CONT_TEA[[#This Row],[DateFrom]],1,0)</f>
        <v>0</v>
      </c>
      <c r="R129" s="57">
        <f>IF(_xlfn.XLOOKUP(CONT_TEA[[#This Row],[StaffMemberCode]],MEMBERS[StaffMemberCode],MEMBERS[ServiceEndDate])="",0,IF(CONT_TEA[[#This Row],[DateTo]]="",1,IF(_xlfn.XLOOKUP(CONT_TEA[[#This Row],[StaffMemberCode]],MEMBERS[StaffMemberCode],MEMBERS[ServiceEndDate])&lt;CONT_TEA[[#This Row],[DateTo]],1,0)))</f>
        <v>0</v>
      </c>
      <c r="S129" s="57">
        <f>IF(ISBLANK(CONT_TEA[[#This Row],[DateTo]]),0,IF(CONT_TEA[[#This Row],[DateFrom]]=CONT_TEA[[#This Row],[DateTo]],0,IF(CONT_TEA[[#This Row],[DateFrom]]&lt;CONT_TEA[[#This Row],[DateTo]],0,1)))</f>
        <v>0</v>
      </c>
      <c r="T129" s="57" cm="1">
        <f t="array" aca="1" ref="T129" ca="1">IF(CELL("format",CONT_TEA[[#This Row],[DateFrom]])="D1",0,1)+IF(CELL("format",CONT_TEA[[#This Row],[DateTo]])="D1",0,1)</f>
        <v>0</v>
      </c>
      <c r="U129" s="57">
        <f>IF(OR(CONT_TEA[[#This Row],[MatEditOnly]]=TRUE,CONT_TEA[[#This Row],[MatEditOnly]]=FALSE),IF(OR(CONT_TEA[[#This Row],[NoIncrement]]=TRUE,CONT_TEA[[#This Row],[NoIncrement]]=FALSE),0,1),1)</f>
        <v>0</v>
      </c>
      <c r="V129" s="57">
        <f>IF(ISBLANK(CONT_TEA[[#This Row],[FundCode]])=TRUE,0,IF(COUNTIF(FUNDS[FundCode],CONT_TEA[[#This Row],[FundCode]])=1,0,1))</f>
        <v>0</v>
      </c>
      <c r="W129" s="57">
        <f>IF(LEN(CONT_TEA[[#This Row],[Notes]])&lt;4000,0,1)</f>
        <v>0</v>
      </c>
      <c r="X129" s="57">
        <f>IF(SUBSTITUTE(TEXT(CONT_TEA[[#This Row],[Reference]],10)," ","")=TEXT(CONT_TEA[[#This Row],[Reference]],10),0,1)</f>
        <v>0</v>
      </c>
      <c r="Y129" s="57">
        <f ca="1">SUM(CONT_TEA[[#This Row],[Duplicate Contract]:[Space in Code]])</f>
        <v>1</v>
      </c>
      <c r="AA129" s="12" t="s">
        <v>2094</v>
      </c>
      <c r="AB129" s="15">
        <v>91073609</v>
      </c>
      <c r="AC129" s="12" t="s">
        <v>4477</v>
      </c>
      <c r="AD129" s="57" t="str">
        <f>_xlfn.XLOOKUP(CONT_TEA[[#This Row],[StaffMemberCode]],StaffMembers!O:O,StaffMembers!R:R)</f>
        <v>Cara Roberts</v>
      </c>
      <c r="AE129" s="12" t="s">
        <v>1178</v>
      </c>
      <c r="AF129" s="57">
        <f>_xlfn.XLOOKUP(CONT_TEA[[#This Row],[SRG]],SRG[StaffRoleGroupCode],SRG[GrossSalaryFinanceCode])</f>
        <v>612100</v>
      </c>
      <c r="AG129" s="57" t="str">
        <f>_xlfn.XLOOKUP(CONT_TEA[[#This Row],[StaffRoleCode]],ROLES[StaffRoleCode],ROLES[StaffRoleGroupCode])</f>
        <v>TEA</v>
      </c>
      <c r="AH129" s="57" t="str">
        <f>_xlfn.XLOOKUP(CONT_TEA[[#This Row],[StaffRoleCode]],ROLES[StaffRoleCode],ROLES[PayScaleCode])</f>
        <v>MAIN</v>
      </c>
      <c r="AI129" s="12" t="s">
        <v>1126</v>
      </c>
      <c r="AJ129" s="12" t="s">
        <v>1065</v>
      </c>
      <c r="AK129" s="12" t="s">
        <v>2499</v>
      </c>
      <c r="AM129" s="68" t="s">
        <v>1147</v>
      </c>
      <c r="AN129" s="13" t="s">
        <v>1702</v>
      </c>
      <c r="AO129" s="21">
        <v>45901</v>
      </c>
      <c r="AQ129" s="12">
        <v>1</v>
      </c>
      <c r="AR129" t="b">
        <v>0</v>
      </c>
      <c r="AS129" t="b">
        <v>0</v>
      </c>
      <c r="AT129" s="12" t="s">
        <v>1574</v>
      </c>
    </row>
    <row r="130" spans="1:47" x14ac:dyDescent="0.3">
      <c r="A130" s="57" t="str">
        <f t="shared" si="2"/>
        <v>ALS9107376091073760ATEASTCH45901</v>
      </c>
      <c r="B130" s="57">
        <f>COUNTIF(CONT_TEA[Unique Contract],CONT_TEA[[#This Row],[Unique Contract]])-1</f>
        <v>0</v>
      </c>
      <c r="C130" s="57">
        <f>IFERROR(IF(FIND(CONT_TEA[[#This Row],[SchoolCode]],_xlfn.XLOOKUP(CONT_TEA[[#This Row],[StaffMemberCode]],MEMBERS[StaffMemberCode],MEMBERS[SchoolCodes]))&gt;0,0,1),1)</f>
        <v>0</v>
      </c>
      <c r="D130" s="57" cm="1">
        <f t="array" ref="D130">IF(_xlfn.XLOOKUP(CONT_TEA[[#This Row],[StaffRoleCode]],ROLES[StaffRoleCode],ROLES[AvailableToAllSchools],1,0,)=TRUE,0,IF(ISERROR(FIND(CONT_TEA[[#This Row],[SchoolCode]],_xlfn.TEXTJOIN(",",TRUE,_xlfn.UNIQUE(IF(ROLES[StaffRoleCode]=CONT_TEA[[#This Row],[StaffRoleCode]],ROLES[SchoolCodes],""))))),1,0))</f>
        <v>0</v>
      </c>
      <c r="E130" s="57" cm="1">
        <f t="array" ref="E13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30" s="57" cm="1">
        <f t="array" ref="F130">IF(_xlfn.XLOOKUP(CONT_TEA[[#This Row],[PayScaleCode]],PAYSCALES[PayScaleCode],PAYSCALES[AvailableToAllSchools],1,0,)=TRUE,0,IF(ISERROR(FIND(CONT_TEA[[#This Row],[SchoolCode]],_xlfn.TEXTJOIN(",",TRUE,_xlfn.UNIQUE(IF(PAYSCALES[PayScaleCode]=CONT_TEA[[#This Row],[PayScaleCode]],PAYSCALES[SchoolCodes],""))))),1,0))</f>
        <v>0</v>
      </c>
      <c r="G130" s="57">
        <f>IF(_xlfn.XLOOKUP(CONT_TEA[[#This Row],[PayScaleGradeCode]],GRADES[PayScaleGradeCode],GRADES[AvailableToAllSchools])=TRUE,0,IFERROR(IF(FIND(CONT_TEA[[#This Row],[SchoolCode]],_xlfn.XLOOKUP(CONT_TEA[[#This Row],[PayScaleGradeCode]],GRADES[PayScaleGradeCode],GRADES[SchoolCodes]))&gt;=1,0,1),1))</f>
        <v>0</v>
      </c>
      <c r="H130" s="57">
        <f>IF(ISERROR(IF((_xlfn.XLOOKUP(CONT_TEA[[#This Row],[PayScaleGradeCode]],GRADES[PayScaleGradeCode],GRADES[PayScaleCode])=CONT_TEA[[#This Row],[PayScaleCode]]),0,1)),1,0)</f>
        <v>0</v>
      </c>
      <c r="I130" s="57" cm="1">
        <f t="array" ref="I130">IF(ISERROR(FIND(CONT_TEA[[#This Row],[PayScalePointCode]],_xlfn.TEXTJOIN(",",TRUE,IF(PSPOINTS[PayScaleCode]=CONT_TEA[[#This Row],[PayScaleCode]],PSPOINTS[PayScalePointCode])))),1,0)</f>
        <v>0</v>
      </c>
      <c r="J130" s="57" cm="1">
        <f t="array" ref="J13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30" s="57">
        <f>IF(_xlfn.XLOOKUP(CONT_TEA[[#This Row],[PayScalePointCode]],PSPOINTS[PayScalePointCode],PSPOINTS[PayScalePointEnabled])=TRUE,0,1)</f>
        <v>0</v>
      </c>
      <c r="L130" s="57" cm="1">
        <f t="array" ref="L130">IF(_xlfn.XLOOKUP(CONT_TEA[[#This Row],[DepartmentCode]],DEPTS[DepartmentCode],DEPTS[AvailableToAllSchools],1,0,)=TRUE,0,IF(ISERROR(FIND(CONT_TEA[[#This Row],[SchoolCode]],_xlfn.TEXTJOIN(",",TRUE,_xlfn.UNIQUE(IF(DEPTS[DepartmentCode]=CONT_TEA[[#This Row],[DepartmentCode]],DEPTS[SchoolCodes],""))))),1,0))</f>
        <v>0</v>
      </c>
      <c r="M130" s="57">
        <f>IFERROR(IF(_xlfn.XLOOKUP(CONT_TEA[[#This Row],[SRG Gross]],FinanceCodesBudget[FinanceCode],FinanceCodesBudget[LedgerCode])=_xlfn.XLOOKUP(CONT_TEA[[#This Row],[DepartmentCode]],DEPTS[DepartmentCode],DEPTS[LedgerCode]),0,1),1)</f>
        <v>1</v>
      </c>
      <c r="N130" s="57" cm="1">
        <f t="array" ref="N130">IF(_xlfn.XLOOKUP(CONT_TEA[[#This Row],[PensionCode]],PENS[PensionCode],PENS[AvailableToAllSchools],1,0,)=TRUE,0,IF(ISERROR(FIND(CONT_TEA[[#This Row],[SchoolCode]],_xlfn.TEXTJOIN(",",TRUE,_xlfn.UNIQUE(IF(PENS[PensionCode]=CONT_TEA[[#This Row],[PensionCode]],PENS[SchoolCodes],""))))),1,0))</f>
        <v>0</v>
      </c>
      <c r="O130" s="57" cm="1">
        <f t="array" ref="O130">IF(_xlfn.XLOOKUP(CONT_TEA[[#This Row],[EquatedWeekPatternCode]],EQW[EquatedWeekPatternCode],EQW[AvailableToAllSchools],1,0,)=TRUE,0,IF(ISERROR(FIND(CONT_TEA[[#This Row],[SchoolCode]],_xlfn.TEXTJOIN(",",TRUE,_xlfn.UNIQUE(IF(EQW[EquatedWeekPatternCode]=CONT_TEA[[#This Row],[EquatedWeekPatternCode]],EQW[SchoolCodes],""))))),1,0))</f>
        <v>0</v>
      </c>
      <c r="P130" s="57">
        <f>1-COUNTIF(ContractTypes[Code],CONT_TEA[[#This Row],[ContractTypeCode]])</f>
        <v>0</v>
      </c>
      <c r="Q130" s="57">
        <f>IF(VLOOKUP(CONT_TEA[[#This Row],[StaffMemberCode]],MEMBERS[[StaffMemberCode]:[ServiceStartDate]],5,0)&gt;CONT_TEA[[#This Row],[DateFrom]],1,0)</f>
        <v>0</v>
      </c>
      <c r="R130" s="57">
        <f>IF(_xlfn.XLOOKUP(CONT_TEA[[#This Row],[StaffMemberCode]],MEMBERS[StaffMemberCode],MEMBERS[ServiceEndDate])="",0,IF(CONT_TEA[[#This Row],[DateTo]]="",1,IF(_xlfn.XLOOKUP(CONT_TEA[[#This Row],[StaffMemberCode]],MEMBERS[StaffMemberCode],MEMBERS[ServiceEndDate])&lt;CONT_TEA[[#This Row],[DateTo]],1,0)))</f>
        <v>0</v>
      </c>
      <c r="S130" s="57">
        <f>IF(ISBLANK(CONT_TEA[[#This Row],[DateTo]]),0,IF(CONT_TEA[[#This Row],[DateFrom]]=CONT_TEA[[#This Row],[DateTo]],0,IF(CONT_TEA[[#This Row],[DateFrom]]&lt;CONT_TEA[[#This Row],[DateTo]],0,1)))</f>
        <v>0</v>
      </c>
      <c r="T130" s="57" cm="1">
        <f t="array" aca="1" ref="T130" ca="1">IF(CELL("format",CONT_TEA[[#This Row],[DateFrom]])="D1",0,1)+IF(CELL("format",CONT_TEA[[#This Row],[DateTo]])="D1",0,1)</f>
        <v>0</v>
      </c>
      <c r="U130" s="57">
        <f>IF(OR(CONT_TEA[[#This Row],[MatEditOnly]]=TRUE,CONT_TEA[[#This Row],[MatEditOnly]]=FALSE),IF(OR(CONT_TEA[[#This Row],[NoIncrement]]=TRUE,CONT_TEA[[#This Row],[NoIncrement]]=FALSE),0,1),1)</f>
        <v>0</v>
      </c>
      <c r="V130" s="57">
        <f>IF(ISBLANK(CONT_TEA[[#This Row],[FundCode]])=TRUE,0,IF(COUNTIF(FUNDS[FundCode],CONT_TEA[[#This Row],[FundCode]])=1,0,1))</f>
        <v>0</v>
      </c>
      <c r="W130" s="57">
        <f>IF(LEN(CONT_TEA[[#This Row],[Notes]])&lt;4000,0,1)</f>
        <v>0</v>
      </c>
      <c r="X130" s="57">
        <f>IF(SUBSTITUTE(TEXT(CONT_TEA[[#This Row],[Reference]],10)," ","")=TEXT(CONT_TEA[[#This Row],[Reference]],10),0,1)</f>
        <v>0</v>
      </c>
      <c r="Y130" s="57">
        <f ca="1">SUM(CONT_TEA[[#This Row],[Duplicate Contract]:[Space in Code]])</f>
        <v>1</v>
      </c>
      <c r="AA130" s="12" t="s">
        <v>2082</v>
      </c>
      <c r="AB130" s="15">
        <v>91073760</v>
      </c>
      <c r="AC130" s="12" t="s">
        <v>4478</v>
      </c>
      <c r="AD130" s="57" t="str">
        <f>_xlfn.XLOOKUP(CONT_TEA[[#This Row],[StaffMemberCode]],StaffMembers!O:O,StaffMembers!R:R)</f>
        <v>Carly Smith</v>
      </c>
      <c r="AE130" s="12" t="s">
        <v>1178</v>
      </c>
      <c r="AF130" s="57">
        <f>_xlfn.XLOOKUP(CONT_TEA[[#This Row],[SRG]],SRG[StaffRoleGroupCode],SRG[GrossSalaryFinanceCode])</f>
        <v>612100</v>
      </c>
      <c r="AG130" s="57" t="str">
        <f>_xlfn.XLOOKUP(CONT_TEA[[#This Row],[StaffRoleCode]],ROLES[StaffRoleCode],ROLES[StaffRoleGroupCode])</f>
        <v>TEA</v>
      </c>
      <c r="AH130" s="57" t="str">
        <f>_xlfn.XLOOKUP(CONT_TEA[[#This Row],[StaffRoleCode]],ROLES[StaffRoleCode],ROLES[PayScaleCode])</f>
        <v>MAIN</v>
      </c>
      <c r="AI130" s="12" t="s">
        <v>1126</v>
      </c>
      <c r="AJ130" s="12" t="s">
        <v>1745</v>
      </c>
      <c r="AK130" s="12" t="s">
        <v>2499</v>
      </c>
      <c r="AM130" s="68" t="s">
        <v>1147</v>
      </c>
      <c r="AN130" s="13" t="s">
        <v>1702</v>
      </c>
      <c r="AO130" s="21">
        <v>45901</v>
      </c>
      <c r="AQ130" s="12">
        <v>0.7</v>
      </c>
      <c r="AR130" t="b">
        <v>0</v>
      </c>
      <c r="AS130" t="b">
        <v>0</v>
      </c>
      <c r="AT130" s="12" t="s">
        <v>1574</v>
      </c>
    </row>
    <row r="131" spans="1:47" x14ac:dyDescent="0.3">
      <c r="A131" s="57" t="str">
        <f t="shared" si="2"/>
        <v>SBL9107576291075762ATEASTCH45901</v>
      </c>
      <c r="B131" s="57">
        <f>COUNTIF(CONT_TEA[Unique Contract],CONT_TEA[[#This Row],[Unique Contract]])-1</f>
        <v>0</v>
      </c>
      <c r="C131" s="57">
        <f>IFERROR(IF(FIND(CONT_TEA[[#This Row],[SchoolCode]],_xlfn.XLOOKUP(CONT_TEA[[#This Row],[StaffMemberCode]],MEMBERS[StaffMemberCode],MEMBERS[SchoolCodes]))&gt;0,0,1),1)</f>
        <v>0</v>
      </c>
      <c r="D131" s="57" cm="1">
        <f t="array" ref="D131">IF(_xlfn.XLOOKUP(CONT_TEA[[#This Row],[StaffRoleCode]],ROLES[StaffRoleCode],ROLES[AvailableToAllSchools],1,0,)=TRUE,0,IF(ISERROR(FIND(CONT_TEA[[#This Row],[SchoolCode]],_xlfn.TEXTJOIN(",",TRUE,_xlfn.UNIQUE(IF(ROLES[StaffRoleCode]=CONT_TEA[[#This Row],[StaffRoleCode]],ROLES[SchoolCodes],""))))),1,0))</f>
        <v>0</v>
      </c>
      <c r="E131" s="57" cm="1">
        <f t="array" ref="E13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31" s="57" cm="1">
        <f t="array" ref="F131">IF(_xlfn.XLOOKUP(CONT_TEA[[#This Row],[PayScaleCode]],PAYSCALES[PayScaleCode],PAYSCALES[AvailableToAllSchools],1,0,)=TRUE,0,IF(ISERROR(FIND(CONT_TEA[[#This Row],[SchoolCode]],_xlfn.TEXTJOIN(",",TRUE,_xlfn.UNIQUE(IF(PAYSCALES[PayScaleCode]=CONT_TEA[[#This Row],[PayScaleCode]],PAYSCALES[SchoolCodes],""))))),1,0))</f>
        <v>0</v>
      </c>
      <c r="G131" s="57">
        <f>IF(_xlfn.XLOOKUP(CONT_TEA[[#This Row],[PayScaleGradeCode]],GRADES[PayScaleGradeCode],GRADES[AvailableToAllSchools])=TRUE,0,IFERROR(IF(FIND(CONT_TEA[[#This Row],[SchoolCode]],_xlfn.XLOOKUP(CONT_TEA[[#This Row],[PayScaleGradeCode]],GRADES[PayScaleGradeCode],GRADES[SchoolCodes]))&gt;=1,0,1),1))</f>
        <v>0</v>
      </c>
      <c r="H131" s="57">
        <f>IF(ISERROR(IF((_xlfn.XLOOKUP(CONT_TEA[[#This Row],[PayScaleGradeCode]],GRADES[PayScaleGradeCode],GRADES[PayScaleCode])=CONT_TEA[[#This Row],[PayScaleCode]]),0,1)),1,0)</f>
        <v>0</v>
      </c>
      <c r="I131" s="57" cm="1">
        <f t="array" ref="I131">IF(ISERROR(FIND(CONT_TEA[[#This Row],[PayScalePointCode]],_xlfn.TEXTJOIN(",",TRUE,IF(PSPOINTS[PayScaleCode]=CONT_TEA[[#This Row],[PayScaleCode]],PSPOINTS[PayScalePointCode])))),1,0)</f>
        <v>0</v>
      </c>
      <c r="J131" s="57" cm="1">
        <f t="array" ref="J13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31" s="57">
        <f>IF(_xlfn.XLOOKUP(CONT_TEA[[#This Row],[PayScalePointCode]],PSPOINTS[PayScalePointCode],PSPOINTS[PayScalePointEnabled])=TRUE,0,1)</f>
        <v>0</v>
      </c>
      <c r="L131" s="57" cm="1">
        <f t="array" ref="L131">IF(_xlfn.XLOOKUP(CONT_TEA[[#This Row],[DepartmentCode]],DEPTS[DepartmentCode],DEPTS[AvailableToAllSchools],1,0,)=TRUE,0,IF(ISERROR(FIND(CONT_TEA[[#This Row],[SchoolCode]],_xlfn.TEXTJOIN(",",TRUE,_xlfn.UNIQUE(IF(DEPTS[DepartmentCode]=CONT_TEA[[#This Row],[DepartmentCode]],DEPTS[SchoolCodes],""))))),1,0))</f>
        <v>0</v>
      </c>
      <c r="M131" s="57">
        <f>IFERROR(IF(_xlfn.XLOOKUP(CONT_TEA[[#This Row],[SRG Gross]],FinanceCodesBudget[FinanceCode],FinanceCodesBudget[LedgerCode])=_xlfn.XLOOKUP(CONT_TEA[[#This Row],[DepartmentCode]],DEPTS[DepartmentCode],DEPTS[LedgerCode]),0,1),1)</f>
        <v>1</v>
      </c>
      <c r="N131" s="57" cm="1">
        <f t="array" ref="N131">IF(_xlfn.XLOOKUP(CONT_TEA[[#This Row],[PensionCode]],PENS[PensionCode],PENS[AvailableToAllSchools],1,0,)=TRUE,0,IF(ISERROR(FIND(CONT_TEA[[#This Row],[SchoolCode]],_xlfn.TEXTJOIN(",",TRUE,_xlfn.UNIQUE(IF(PENS[PensionCode]=CONT_TEA[[#This Row],[PensionCode]],PENS[SchoolCodes],""))))),1,0))</f>
        <v>0</v>
      </c>
      <c r="O131" s="57" cm="1">
        <f t="array" ref="O131">IF(_xlfn.XLOOKUP(CONT_TEA[[#This Row],[EquatedWeekPatternCode]],EQW[EquatedWeekPatternCode],EQW[AvailableToAllSchools],1,0,)=TRUE,0,IF(ISERROR(FIND(CONT_TEA[[#This Row],[SchoolCode]],_xlfn.TEXTJOIN(",",TRUE,_xlfn.UNIQUE(IF(EQW[EquatedWeekPatternCode]=CONT_TEA[[#This Row],[EquatedWeekPatternCode]],EQW[SchoolCodes],""))))),1,0))</f>
        <v>0</v>
      </c>
      <c r="P131" s="57">
        <f>1-COUNTIF(ContractTypes[Code],CONT_TEA[[#This Row],[ContractTypeCode]])</f>
        <v>0</v>
      </c>
      <c r="Q131" s="57">
        <f>IF(VLOOKUP(CONT_TEA[[#This Row],[StaffMemberCode]],MEMBERS[[StaffMemberCode]:[ServiceStartDate]],5,0)&gt;CONT_TEA[[#This Row],[DateFrom]],1,0)</f>
        <v>0</v>
      </c>
      <c r="R131" s="57">
        <f>IF(_xlfn.XLOOKUP(CONT_TEA[[#This Row],[StaffMemberCode]],MEMBERS[StaffMemberCode],MEMBERS[ServiceEndDate])="",0,IF(CONT_TEA[[#This Row],[DateTo]]="",1,IF(_xlfn.XLOOKUP(CONT_TEA[[#This Row],[StaffMemberCode]],MEMBERS[StaffMemberCode],MEMBERS[ServiceEndDate])&lt;CONT_TEA[[#This Row],[DateTo]],1,0)))</f>
        <v>0</v>
      </c>
      <c r="S131" s="57">
        <f>IF(ISBLANK(CONT_TEA[[#This Row],[DateTo]]),0,IF(CONT_TEA[[#This Row],[DateFrom]]=CONT_TEA[[#This Row],[DateTo]],0,IF(CONT_TEA[[#This Row],[DateFrom]]&lt;CONT_TEA[[#This Row],[DateTo]],0,1)))</f>
        <v>0</v>
      </c>
      <c r="T131" s="57" cm="1">
        <f t="array" aca="1" ref="T131" ca="1">IF(CELL("format",CONT_TEA[[#This Row],[DateFrom]])="D1",0,1)+IF(CELL("format",CONT_TEA[[#This Row],[DateTo]])="D1",0,1)</f>
        <v>0</v>
      </c>
      <c r="U131" s="57">
        <f>IF(OR(CONT_TEA[[#This Row],[MatEditOnly]]=TRUE,CONT_TEA[[#This Row],[MatEditOnly]]=FALSE),IF(OR(CONT_TEA[[#This Row],[NoIncrement]]=TRUE,CONT_TEA[[#This Row],[NoIncrement]]=FALSE),0,1),1)</f>
        <v>0</v>
      </c>
      <c r="V131" s="57">
        <f>IF(ISBLANK(CONT_TEA[[#This Row],[FundCode]])=TRUE,0,IF(COUNTIF(FUNDS[FundCode],CONT_TEA[[#This Row],[FundCode]])=1,0,1))</f>
        <v>0</v>
      </c>
      <c r="W131" s="57">
        <f>IF(LEN(CONT_TEA[[#This Row],[Notes]])&lt;4000,0,1)</f>
        <v>0</v>
      </c>
      <c r="X131" s="57">
        <f>IF(SUBSTITUTE(TEXT(CONT_TEA[[#This Row],[Reference]],10)," ","")=TEXT(CONT_TEA[[#This Row],[Reference]],10),0,1)</f>
        <v>0</v>
      </c>
      <c r="Y131" s="57">
        <f ca="1">SUM(CONT_TEA[[#This Row],[Duplicate Contract]:[Space in Code]])</f>
        <v>1</v>
      </c>
      <c r="AA131" s="12" t="s">
        <v>2200</v>
      </c>
      <c r="AB131" s="15">
        <v>91075762</v>
      </c>
      <c r="AC131" s="12" t="s">
        <v>4479</v>
      </c>
      <c r="AD131" s="57" t="str">
        <f>_xlfn.XLOOKUP(CONT_TEA[[#This Row],[StaffMemberCode]],StaffMembers!O:O,StaffMembers!R:R)</f>
        <v>Carrie-Ann Morris</v>
      </c>
      <c r="AE131" s="12" t="s">
        <v>1178</v>
      </c>
      <c r="AF131" s="57">
        <f>_xlfn.XLOOKUP(CONT_TEA[[#This Row],[SRG]],SRG[StaffRoleGroupCode],SRG[GrossSalaryFinanceCode])</f>
        <v>612100</v>
      </c>
      <c r="AG131" s="57" t="str">
        <f>_xlfn.XLOOKUP(CONT_TEA[[#This Row],[StaffRoleCode]],ROLES[StaffRoleCode],ROLES[StaffRoleGroupCode])</f>
        <v>TEA</v>
      </c>
      <c r="AH131" s="57" t="str">
        <f>_xlfn.XLOOKUP(CONT_TEA[[#This Row],[StaffRoleCode]],ROLES[StaffRoleCode],ROLES[PayScaleCode])</f>
        <v>MAIN</v>
      </c>
      <c r="AI131" s="12" t="s">
        <v>1126</v>
      </c>
      <c r="AJ131" s="12" t="s">
        <v>1546</v>
      </c>
      <c r="AK131" s="12" t="s">
        <v>2499</v>
      </c>
      <c r="AM131" s="68" t="s">
        <v>1147</v>
      </c>
      <c r="AN131" s="13" t="s">
        <v>1702</v>
      </c>
      <c r="AO131" s="21">
        <v>45901</v>
      </c>
      <c r="AQ131" s="12">
        <v>0.51</v>
      </c>
      <c r="AR131" t="b">
        <v>0</v>
      </c>
      <c r="AS131" t="b">
        <v>0</v>
      </c>
      <c r="AT131" s="12" t="s">
        <v>1574</v>
      </c>
    </row>
    <row r="132" spans="1:47" x14ac:dyDescent="0.3">
      <c r="A132" s="57" t="str">
        <f t="shared" si="2"/>
        <v>WVP9107340691073406ATEASTCH45901</v>
      </c>
      <c r="B132" s="57">
        <f>COUNTIF(CONT_TEA[Unique Contract],CONT_TEA[[#This Row],[Unique Contract]])-1</f>
        <v>0</v>
      </c>
      <c r="C132" s="57">
        <f>IFERROR(IF(FIND(CONT_TEA[[#This Row],[SchoolCode]],_xlfn.XLOOKUP(CONT_TEA[[#This Row],[StaffMemberCode]],MEMBERS[StaffMemberCode],MEMBERS[SchoolCodes]))&gt;0,0,1),1)</f>
        <v>0</v>
      </c>
      <c r="D132" s="57" cm="1">
        <f t="array" ref="D132">IF(_xlfn.XLOOKUP(CONT_TEA[[#This Row],[StaffRoleCode]],ROLES[StaffRoleCode],ROLES[AvailableToAllSchools],1,0,)=TRUE,0,IF(ISERROR(FIND(CONT_TEA[[#This Row],[SchoolCode]],_xlfn.TEXTJOIN(",",TRUE,_xlfn.UNIQUE(IF(ROLES[StaffRoleCode]=CONT_TEA[[#This Row],[StaffRoleCode]],ROLES[SchoolCodes],""))))),1,0))</f>
        <v>0</v>
      </c>
      <c r="E132" s="57" cm="1">
        <f t="array" ref="E13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32" s="57" cm="1">
        <f t="array" ref="F132">IF(_xlfn.XLOOKUP(CONT_TEA[[#This Row],[PayScaleCode]],PAYSCALES[PayScaleCode],PAYSCALES[AvailableToAllSchools],1,0,)=TRUE,0,IF(ISERROR(FIND(CONT_TEA[[#This Row],[SchoolCode]],_xlfn.TEXTJOIN(",",TRUE,_xlfn.UNIQUE(IF(PAYSCALES[PayScaleCode]=CONT_TEA[[#This Row],[PayScaleCode]],PAYSCALES[SchoolCodes],""))))),1,0))</f>
        <v>0</v>
      </c>
      <c r="G132" s="57">
        <f>IF(_xlfn.XLOOKUP(CONT_TEA[[#This Row],[PayScaleGradeCode]],GRADES[PayScaleGradeCode],GRADES[AvailableToAllSchools])=TRUE,0,IFERROR(IF(FIND(CONT_TEA[[#This Row],[SchoolCode]],_xlfn.XLOOKUP(CONT_TEA[[#This Row],[PayScaleGradeCode]],GRADES[PayScaleGradeCode],GRADES[SchoolCodes]))&gt;=1,0,1),1))</f>
        <v>0</v>
      </c>
      <c r="H132" s="57">
        <f>IF(ISERROR(IF((_xlfn.XLOOKUP(CONT_TEA[[#This Row],[PayScaleGradeCode]],GRADES[PayScaleGradeCode],GRADES[PayScaleCode])=CONT_TEA[[#This Row],[PayScaleCode]]),0,1)),1,0)</f>
        <v>0</v>
      </c>
      <c r="I132" s="57" cm="1">
        <f t="array" ref="I132">IF(ISERROR(FIND(CONT_TEA[[#This Row],[PayScalePointCode]],_xlfn.TEXTJOIN(",",TRUE,IF(PSPOINTS[PayScaleCode]=CONT_TEA[[#This Row],[PayScaleCode]],PSPOINTS[PayScalePointCode])))),1,0)</f>
        <v>0</v>
      </c>
      <c r="J132" s="57" cm="1">
        <f t="array" ref="J13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32" s="57">
        <f>IF(_xlfn.XLOOKUP(CONT_TEA[[#This Row],[PayScalePointCode]],PSPOINTS[PayScalePointCode],PSPOINTS[PayScalePointEnabled])=TRUE,0,1)</f>
        <v>0</v>
      </c>
      <c r="L132" s="57" cm="1">
        <f t="array" ref="L132">IF(_xlfn.XLOOKUP(CONT_TEA[[#This Row],[DepartmentCode]],DEPTS[DepartmentCode],DEPTS[AvailableToAllSchools],1,0,)=TRUE,0,IF(ISERROR(FIND(CONT_TEA[[#This Row],[SchoolCode]],_xlfn.TEXTJOIN(",",TRUE,_xlfn.UNIQUE(IF(DEPTS[DepartmentCode]=CONT_TEA[[#This Row],[DepartmentCode]],DEPTS[SchoolCodes],""))))),1,0))</f>
        <v>0</v>
      </c>
      <c r="M132" s="57">
        <f>IFERROR(IF(_xlfn.XLOOKUP(CONT_TEA[[#This Row],[SRG Gross]],FinanceCodesBudget[FinanceCode],FinanceCodesBudget[LedgerCode])=_xlfn.XLOOKUP(CONT_TEA[[#This Row],[DepartmentCode]],DEPTS[DepartmentCode],DEPTS[LedgerCode]),0,1),1)</f>
        <v>1</v>
      </c>
      <c r="N132" s="57" cm="1">
        <f t="array" ref="N132">IF(_xlfn.XLOOKUP(CONT_TEA[[#This Row],[PensionCode]],PENS[PensionCode],PENS[AvailableToAllSchools],1,0,)=TRUE,0,IF(ISERROR(FIND(CONT_TEA[[#This Row],[SchoolCode]],_xlfn.TEXTJOIN(",",TRUE,_xlfn.UNIQUE(IF(PENS[PensionCode]=CONT_TEA[[#This Row],[PensionCode]],PENS[SchoolCodes],""))))),1,0))</f>
        <v>0</v>
      </c>
      <c r="O132" s="57" cm="1">
        <f t="array" ref="O132">IF(_xlfn.XLOOKUP(CONT_TEA[[#This Row],[EquatedWeekPatternCode]],EQW[EquatedWeekPatternCode],EQW[AvailableToAllSchools],1,0,)=TRUE,0,IF(ISERROR(FIND(CONT_TEA[[#This Row],[SchoolCode]],_xlfn.TEXTJOIN(",",TRUE,_xlfn.UNIQUE(IF(EQW[EquatedWeekPatternCode]=CONT_TEA[[#This Row],[EquatedWeekPatternCode]],EQW[SchoolCodes],""))))),1,0))</f>
        <v>0</v>
      </c>
      <c r="P132" s="57">
        <f>1-COUNTIF(ContractTypes[Code],CONT_TEA[[#This Row],[ContractTypeCode]])</f>
        <v>0</v>
      </c>
      <c r="Q132" s="57">
        <f>IF(VLOOKUP(CONT_TEA[[#This Row],[StaffMemberCode]],MEMBERS[[StaffMemberCode]:[ServiceStartDate]],5,0)&gt;CONT_TEA[[#This Row],[DateFrom]],1,0)</f>
        <v>0</v>
      </c>
      <c r="R132" s="57">
        <f>IF(_xlfn.XLOOKUP(CONT_TEA[[#This Row],[StaffMemberCode]],MEMBERS[StaffMemberCode],MEMBERS[ServiceEndDate])="",0,IF(CONT_TEA[[#This Row],[DateTo]]="",1,IF(_xlfn.XLOOKUP(CONT_TEA[[#This Row],[StaffMemberCode]],MEMBERS[StaffMemberCode],MEMBERS[ServiceEndDate])&lt;CONT_TEA[[#This Row],[DateTo]],1,0)))</f>
        <v>0</v>
      </c>
      <c r="S132" s="57">
        <f>IF(ISBLANK(CONT_TEA[[#This Row],[DateTo]]),0,IF(CONT_TEA[[#This Row],[DateFrom]]=CONT_TEA[[#This Row],[DateTo]],0,IF(CONT_TEA[[#This Row],[DateFrom]]&lt;CONT_TEA[[#This Row],[DateTo]],0,1)))</f>
        <v>0</v>
      </c>
      <c r="T132" s="57" cm="1">
        <f t="array" aca="1" ref="T132" ca="1">IF(CELL("format",CONT_TEA[[#This Row],[DateFrom]])="D1",0,1)+IF(CELL("format",CONT_TEA[[#This Row],[DateTo]])="D1",0,1)</f>
        <v>0</v>
      </c>
      <c r="U132" s="57">
        <f>IF(OR(CONT_TEA[[#This Row],[MatEditOnly]]=TRUE,CONT_TEA[[#This Row],[MatEditOnly]]=FALSE),IF(OR(CONT_TEA[[#This Row],[NoIncrement]]=TRUE,CONT_TEA[[#This Row],[NoIncrement]]=FALSE),0,1),1)</f>
        <v>0</v>
      </c>
      <c r="V132" s="57">
        <f>IF(ISBLANK(CONT_TEA[[#This Row],[FundCode]])=TRUE,0,IF(COUNTIF(FUNDS[FundCode],CONT_TEA[[#This Row],[FundCode]])=1,0,1))</f>
        <v>0</v>
      </c>
      <c r="W132" s="57">
        <f>IF(LEN(CONT_TEA[[#This Row],[Notes]])&lt;4000,0,1)</f>
        <v>0</v>
      </c>
      <c r="X132" s="57">
        <f>IF(SUBSTITUTE(TEXT(CONT_TEA[[#This Row],[Reference]],10)," ","")=TEXT(CONT_TEA[[#This Row],[Reference]],10),0,1)</f>
        <v>0</v>
      </c>
      <c r="Y132" s="57">
        <f ca="1">SUM(CONT_TEA[[#This Row],[Duplicate Contract]:[Space in Code]])</f>
        <v>1</v>
      </c>
      <c r="AA132" s="12" t="s">
        <v>2275</v>
      </c>
      <c r="AB132" s="15">
        <v>91073406</v>
      </c>
      <c r="AC132" s="12" t="s">
        <v>4480</v>
      </c>
      <c r="AD132" s="57" t="str">
        <f>_xlfn.XLOOKUP(CONT_TEA[[#This Row],[StaffMemberCode]],StaffMembers!O:O,StaffMembers!R:R)</f>
        <v>Charlotte Armitt</v>
      </c>
      <c r="AE132" s="12" t="s">
        <v>1178</v>
      </c>
      <c r="AF132" s="57">
        <f>_xlfn.XLOOKUP(CONT_TEA[[#This Row],[SRG]],SRG[StaffRoleGroupCode],SRG[GrossSalaryFinanceCode])</f>
        <v>612100</v>
      </c>
      <c r="AG132" s="57" t="str">
        <f>_xlfn.XLOOKUP(CONT_TEA[[#This Row],[StaffRoleCode]],ROLES[StaffRoleCode],ROLES[StaffRoleGroupCode])</f>
        <v>TEA</v>
      </c>
      <c r="AH132" s="57" t="str">
        <f>_xlfn.XLOOKUP(CONT_TEA[[#This Row],[StaffRoleCode]],ROLES[StaffRoleCode],ROLES[PayScaleCode])</f>
        <v>MAIN</v>
      </c>
      <c r="AI132" s="12" t="s">
        <v>1126</v>
      </c>
      <c r="AJ132" s="12" t="s">
        <v>3074</v>
      </c>
      <c r="AK132" s="12" t="s">
        <v>2499</v>
      </c>
      <c r="AM132" s="68" t="s">
        <v>1147</v>
      </c>
      <c r="AN132" s="13" t="s">
        <v>1702</v>
      </c>
      <c r="AO132" s="21">
        <v>45901</v>
      </c>
      <c r="AQ132" s="12">
        <v>0.66</v>
      </c>
      <c r="AR132" t="b">
        <v>0</v>
      </c>
      <c r="AS132" t="b">
        <v>0</v>
      </c>
      <c r="AT132" s="12" t="s">
        <v>1574</v>
      </c>
    </row>
    <row r="133" spans="1:47" x14ac:dyDescent="0.3">
      <c r="A133" s="57" t="str">
        <f t="shared" si="2"/>
        <v>ALS9107384291073842ATEASTCH45901</v>
      </c>
      <c r="B133" s="57">
        <f>COUNTIF(CONT_TEA[Unique Contract],CONT_TEA[[#This Row],[Unique Contract]])-1</f>
        <v>0</v>
      </c>
      <c r="C133" s="57">
        <f>IFERROR(IF(FIND(CONT_TEA[[#This Row],[SchoolCode]],_xlfn.XLOOKUP(CONT_TEA[[#This Row],[StaffMemberCode]],MEMBERS[StaffMemberCode],MEMBERS[SchoolCodes]))&gt;0,0,1),1)</f>
        <v>0</v>
      </c>
      <c r="D133" s="57" cm="1">
        <f t="array" ref="D133">IF(_xlfn.XLOOKUP(CONT_TEA[[#This Row],[StaffRoleCode]],ROLES[StaffRoleCode],ROLES[AvailableToAllSchools],1,0,)=TRUE,0,IF(ISERROR(FIND(CONT_TEA[[#This Row],[SchoolCode]],_xlfn.TEXTJOIN(",",TRUE,_xlfn.UNIQUE(IF(ROLES[StaffRoleCode]=CONT_TEA[[#This Row],[StaffRoleCode]],ROLES[SchoolCodes],""))))),1,0))</f>
        <v>0</v>
      </c>
      <c r="E133" s="57" cm="1">
        <f t="array" ref="E13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33" s="57" cm="1">
        <f t="array" ref="F133">IF(_xlfn.XLOOKUP(CONT_TEA[[#This Row],[PayScaleCode]],PAYSCALES[PayScaleCode],PAYSCALES[AvailableToAllSchools],1,0,)=TRUE,0,IF(ISERROR(FIND(CONT_TEA[[#This Row],[SchoolCode]],_xlfn.TEXTJOIN(",",TRUE,_xlfn.UNIQUE(IF(PAYSCALES[PayScaleCode]=CONT_TEA[[#This Row],[PayScaleCode]],PAYSCALES[SchoolCodes],""))))),1,0))</f>
        <v>0</v>
      </c>
      <c r="G133" s="57">
        <f>IF(_xlfn.XLOOKUP(CONT_TEA[[#This Row],[PayScaleGradeCode]],GRADES[PayScaleGradeCode],GRADES[AvailableToAllSchools])=TRUE,0,IFERROR(IF(FIND(CONT_TEA[[#This Row],[SchoolCode]],_xlfn.XLOOKUP(CONT_TEA[[#This Row],[PayScaleGradeCode]],GRADES[PayScaleGradeCode],GRADES[SchoolCodes]))&gt;=1,0,1),1))</f>
        <v>0</v>
      </c>
      <c r="H133" s="57">
        <f>IF(ISERROR(IF((_xlfn.XLOOKUP(CONT_TEA[[#This Row],[PayScaleGradeCode]],GRADES[PayScaleGradeCode],GRADES[PayScaleCode])=CONT_TEA[[#This Row],[PayScaleCode]]),0,1)),1,0)</f>
        <v>0</v>
      </c>
      <c r="I133" s="57" cm="1">
        <f t="array" ref="I133">IF(ISERROR(FIND(CONT_TEA[[#This Row],[PayScalePointCode]],_xlfn.TEXTJOIN(",",TRUE,IF(PSPOINTS[PayScaleCode]=CONT_TEA[[#This Row],[PayScaleCode]],PSPOINTS[PayScalePointCode])))),1,0)</f>
        <v>0</v>
      </c>
      <c r="J133" s="57" cm="1">
        <f t="array" ref="J13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33" s="57">
        <f>IF(_xlfn.XLOOKUP(CONT_TEA[[#This Row],[PayScalePointCode]],PSPOINTS[PayScalePointCode],PSPOINTS[PayScalePointEnabled])=TRUE,0,1)</f>
        <v>0</v>
      </c>
      <c r="L133" s="57" cm="1">
        <f t="array" ref="L133">IF(_xlfn.XLOOKUP(CONT_TEA[[#This Row],[DepartmentCode]],DEPTS[DepartmentCode],DEPTS[AvailableToAllSchools],1,0,)=TRUE,0,IF(ISERROR(FIND(CONT_TEA[[#This Row],[SchoolCode]],_xlfn.TEXTJOIN(",",TRUE,_xlfn.UNIQUE(IF(DEPTS[DepartmentCode]=CONT_TEA[[#This Row],[DepartmentCode]],DEPTS[SchoolCodes],""))))),1,0))</f>
        <v>0</v>
      </c>
      <c r="M133" s="57">
        <f>IFERROR(IF(_xlfn.XLOOKUP(CONT_TEA[[#This Row],[SRG Gross]],FinanceCodesBudget[FinanceCode],FinanceCodesBudget[LedgerCode])=_xlfn.XLOOKUP(CONT_TEA[[#This Row],[DepartmentCode]],DEPTS[DepartmentCode],DEPTS[LedgerCode]),0,1),1)</f>
        <v>1</v>
      </c>
      <c r="N133" s="57" cm="1">
        <f t="array" ref="N133">IF(_xlfn.XLOOKUP(CONT_TEA[[#This Row],[PensionCode]],PENS[PensionCode],PENS[AvailableToAllSchools],1,0,)=TRUE,0,IF(ISERROR(FIND(CONT_TEA[[#This Row],[SchoolCode]],_xlfn.TEXTJOIN(",",TRUE,_xlfn.UNIQUE(IF(PENS[PensionCode]=CONT_TEA[[#This Row],[PensionCode]],PENS[SchoolCodes],""))))),1,0))</f>
        <v>0</v>
      </c>
      <c r="O133" s="57" cm="1">
        <f t="array" ref="O133">IF(_xlfn.XLOOKUP(CONT_TEA[[#This Row],[EquatedWeekPatternCode]],EQW[EquatedWeekPatternCode],EQW[AvailableToAllSchools],1,0,)=TRUE,0,IF(ISERROR(FIND(CONT_TEA[[#This Row],[SchoolCode]],_xlfn.TEXTJOIN(",",TRUE,_xlfn.UNIQUE(IF(EQW[EquatedWeekPatternCode]=CONT_TEA[[#This Row],[EquatedWeekPatternCode]],EQW[SchoolCodes],""))))),1,0))</f>
        <v>0</v>
      </c>
      <c r="P133" s="57">
        <f>1-COUNTIF(ContractTypes[Code],CONT_TEA[[#This Row],[ContractTypeCode]])</f>
        <v>0</v>
      </c>
      <c r="Q133" s="57">
        <f>IF(VLOOKUP(CONT_TEA[[#This Row],[StaffMemberCode]],MEMBERS[[StaffMemberCode]:[ServiceStartDate]],5,0)&gt;CONT_TEA[[#This Row],[DateFrom]],1,0)</f>
        <v>0</v>
      </c>
      <c r="R133" s="57">
        <f>IF(_xlfn.XLOOKUP(CONT_TEA[[#This Row],[StaffMemberCode]],MEMBERS[StaffMemberCode],MEMBERS[ServiceEndDate])="",0,IF(CONT_TEA[[#This Row],[DateTo]]="",1,IF(_xlfn.XLOOKUP(CONT_TEA[[#This Row],[StaffMemberCode]],MEMBERS[StaffMemberCode],MEMBERS[ServiceEndDate])&lt;CONT_TEA[[#This Row],[DateTo]],1,0)))</f>
        <v>0</v>
      </c>
      <c r="S133" s="57">
        <f>IF(ISBLANK(CONT_TEA[[#This Row],[DateTo]]),0,IF(CONT_TEA[[#This Row],[DateFrom]]=CONT_TEA[[#This Row],[DateTo]],0,IF(CONT_TEA[[#This Row],[DateFrom]]&lt;CONT_TEA[[#This Row],[DateTo]],0,1)))</f>
        <v>0</v>
      </c>
      <c r="T133" s="57" cm="1">
        <f t="array" aca="1" ref="T133" ca="1">IF(CELL("format",CONT_TEA[[#This Row],[DateFrom]])="D1",0,1)+IF(CELL("format",CONT_TEA[[#This Row],[DateTo]])="D1",0,1)</f>
        <v>0</v>
      </c>
      <c r="U133" s="57">
        <f>IF(OR(CONT_TEA[[#This Row],[MatEditOnly]]=TRUE,CONT_TEA[[#This Row],[MatEditOnly]]=FALSE),IF(OR(CONT_TEA[[#This Row],[NoIncrement]]=TRUE,CONT_TEA[[#This Row],[NoIncrement]]=FALSE),0,1),1)</f>
        <v>0</v>
      </c>
      <c r="V133" s="57">
        <f>IF(ISBLANK(CONT_TEA[[#This Row],[FundCode]])=TRUE,0,IF(COUNTIF(FUNDS[FundCode],CONT_TEA[[#This Row],[FundCode]])=1,0,1))</f>
        <v>0</v>
      </c>
      <c r="W133" s="57">
        <f>IF(LEN(CONT_TEA[[#This Row],[Notes]])&lt;4000,0,1)</f>
        <v>0</v>
      </c>
      <c r="X133" s="57">
        <f>IF(SUBSTITUTE(TEXT(CONT_TEA[[#This Row],[Reference]],10)," ","")=TEXT(CONT_TEA[[#This Row],[Reference]],10),0,1)</f>
        <v>0</v>
      </c>
      <c r="Y133" s="57">
        <f ca="1">SUM(CONT_TEA[[#This Row],[Duplicate Contract]:[Space in Code]])</f>
        <v>1</v>
      </c>
      <c r="AA133" s="12" t="s">
        <v>2082</v>
      </c>
      <c r="AB133" s="15">
        <v>91073842</v>
      </c>
      <c r="AC133" s="12" t="s">
        <v>4481</v>
      </c>
      <c r="AD133" s="57" t="str">
        <f>_xlfn.XLOOKUP(CONT_TEA[[#This Row],[StaffMemberCode]],StaffMembers!O:O,StaffMembers!R:R)</f>
        <v>Christine Morrison</v>
      </c>
      <c r="AE133" s="12" t="s">
        <v>1178</v>
      </c>
      <c r="AF133" s="57">
        <f>_xlfn.XLOOKUP(CONT_TEA[[#This Row],[SRG]],SRG[StaffRoleGroupCode],SRG[GrossSalaryFinanceCode])</f>
        <v>612100</v>
      </c>
      <c r="AG133" s="57" t="str">
        <f>_xlfn.XLOOKUP(CONT_TEA[[#This Row],[StaffRoleCode]],ROLES[StaffRoleCode],ROLES[StaffRoleGroupCode])</f>
        <v>TEA</v>
      </c>
      <c r="AH133" s="57" t="str">
        <f>_xlfn.XLOOKUP(CONT_TEA[[#This Row],[StaffRoleCode]],ROLES[StaffRoleCode],ROLES[PayScaleCode])</f>
        <v>MAIN</v>
      </c>
      <c r="AI133" s="12" t="s">
        <v>1126</v>
      </c>
      <c r="AJ133" s="12" t="s">
        <v>1745</v>
      </c>
      <c r="AK133" s="12" t="s">
        <v>2499</v>
      </c>
      <c r="AM133" s="68" t="s">
        <v>1147</v>
      </c>
      <c r="AN133" s="13" t="s">
        <v>1702</v>
      </c>
      <c r="AO133" s="21">
        <v>45901</v>
      </c>
      <c r="AQ133" s="12">
        <v>0.7</v>
      </c>
      <c r="AR133" t="b">
        <v>0</v>
      </c>
      <c r="AS133" t="b">
        <v>0</v>
      </c>
      <c r="AT133" s="12" t="s">
        <v>1574</v>
      </c>
    </row>
    <row r="134" spans="1:47" x14ac:dyDescent="0.3">
      <c r="A134" s="57" t="str">
        <f t="shared" si="2"/>
        <v>BLS9132368991323689ATEASTCH45901</v>
      </c>
      <c r="B134" s="57">
        <f>COUNTIF(CONT_TEA[Unique Contract],CONT_TEA[[#This Row],[Unique Contract]])-1</f>
        <v>0</v>
      </c>
      <c r="C134" s="57">
        <f>IFERROR(IF(FIND(CONT_TEA[[#This Row],[SchoolCode]],_xlfn.XLOOKUP(CONT_TEA[[#This Row],[StaffMemberCode]],MEMBERS[StaffMemberCode],MEMBERS[SchoolCodes]))&gt;0,0,1),1)</f>
        <v>0</v>
      </c>
      <c r="D134" s="57" cm="1">
        <f t="array" ref="D134">IF(_xlfn.XLOOKUP(CONT_TEA[[#This Row],[StaffRoleCode]],ROLES[StaffRoleCode],ROLES[AvailableToAllSchools],1,0,)=TRUE,0,IF(ISERROR(FIND(CONT_TEA[[#This Row],[SchoolCode]],_xlfn.TEXTJOIN(",",TRUE,_xlfn.UNIQUE(IF(ROLES[StaffRoleCode]=CONT_TEA[[#This Row],[StaffRoleCode]],ROLES[SchoolCodes],""))))),1,0))</f>
        <v>0</v>
      </c>
      <c r="E134" s="57" cm="1">
        <f t="array" ref="E13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34" s="57" cm="1">
        <f t="array" ref="F134">IF(_xlfn.XLOOKUP(CONT_TEA[[#This Row],[PayScaleCode]],PAYSCALES[PayScaleCode],PAYSCALES[AvailableToAllSchools],1,0,)=TRUE,0,IF(ISERROR(FIND(CONT_TEA[[#This Row],[SchoolCode]],_xlfn.TEXTJOIN(",",TRUE,_xlfn.UNIQUE(IF(PAYSCALES[PayScaleCode]=CONT_TEA[[#This Row],[PayScaleCode]],PAYSCALES[SchoolCodes],""))))),1,0))</f>
        <v>0</v>
      </c>
      <c r="G134" s="57">
        <f>IF(_xlfn.XLOOKUP(CONT_TEA[[#This Row],[PayScaleGradeCode]],GRADES[PayScaleGradeCode],GRADES[AvailableToAllSchools])=TRUE,0,IFERROR(IF(FIND(CONT_TEA[[#This Row],[SchoolCode]],_xlfn.XLOOKUP(CONT_TEA[[#This Row],[PayScaleGradeCode]],GRADES[PayScaleGradeCode],GRADES[SchoolCodes]))&gt;=1,0,1),1))</f>
        <v>0</v>
      </c>
      <c r="H134" s="57">
        <f>IF(ISERROR(IF((_xlfn.XLOOKUP(CONT_TEA[[#This Row],[PayScaleGradeCode]],GRADES[PayScaleGradeCode],GRADES[PayScaleCode])=CONT_TEA[[#This Row],[PayScaleCode]]),0,1)),1,0)</f>
        <v>0</v>
      </c>
      <c r="I134" s="57" cm="1">
        <f t="array" ref="I134">IF(ISERROR(FIND(CONT_TEA[[#This Row],[PayScalePointCode]],_xlfn.TEXTJOIN(",",TRUE,IF(PSPOINTS[PayScaleCode]=CONT_TEA[[#This Row],[PayScaleCode]],PSPOINTS[PayScalePointCode])))),1,0)</f>
        <v>0</v>
      </c>
      <c r="J134" s="57" cm="1">
        <f t="array" ref="J13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34" s="57">
        <f>IF(_xlfn.XLOOKUP(CONT_TEA[[#This Row],[PayScalePointCode]],PSPOINTS[PayScalePointCode],PSPOINTS[PayScalePointEnabled])=TRUE,0,1)</f>
        <v>0</v>
      </c>
      <c r="L134" s="57" cm="1">
        <f t="array" ref="L134">IF(_xlfn.XLOOKUP(CONT_TEA[[#This Row],[DepartmentCode]],DEPTS[DepartmentCode],DEPTS[AvailableToAllSchools],1,0,)=TRUE,0,IF(ISERROR(FIND(CONT_TEA[[#This Row],[SchoolCode]],_xlfn.TEXTJOIN(",",TRUE,_xlfn.UNIQUE(IF(DEPTS[DepartmentCode]=CONT_TEA[[#This Row],[DepartmentCode]],DEPTS[SchoolCodes],""))))),1,0))</f>
        <v>0</v>
      </c>
      <c r="M134" s="57">
        <f>IFERROR(IF(_xlfn.XLOOKUP(CONT_TEA[[#This Row],[SRG Gross]],FinanceCodesBudget[FinanceCode],FinanceCodesBudget[LedgerCode])=_xlfn.XLOOKUP(CONT_TEA[[#This Row],[DepartmentCode]],DEPTS[DepartmentCode],DEPTS[LedgerCode]),0,1),1)</f>
        <v>1</v>
      </c>
      <c r="N134" s="57" cm="1">
        <f t="array" ref="N134">IF(_xlfn.XLOOKUP(CONT_TEA[[#This Row],[PensionCode]],PENS[PensionCode],PENS[AvailableToAllSchools],1,0,)=TRUE,0,IF(ISERROR(FIND(CONT_TEA[[#This Row],[SchoolCode]],_xlfn.TEXTJOIN(",",TRUE,_xlfn.UNIQUE(IF(PENS[PensionCode]=CONT_TEA[[#This Row],[PensionCode]],PENS[SchoolCodes],""))))),1,0))</f>
        <v>0</v>
      </c>
      <c r="O134" s="57" cm="1">
        <f t="array" ref="O134">IF(_xlfn.XLOOKUP(CONT_TEA[[#This Row],[EquatedWeekPatternCode]],EQW[EquatedWeekPatternCode],EQW[AvailableToAllSchools],1,0,)=TRUE,0,IF(ISERROR(FIND(CONT_TEA[[#This Row],[SchoolCode]],_xlfn.TEXTJOIN(",",TRUE,_xlfn.UNIQUE(IF(EQW[EquatedWeekPatternCode]=CONT_TEA[[#This Row],[EquatedWeekPatternCode]],EQW[SchoolCodes],""))))),1,0))</f>
        <v>0</v>
      </c>
      <c r="P134" s="57">
        <f>1-COUNTIF(ContractTypes[Code],CONT_TEA[[#This Row],[ContractTypeCode]])</f>
        <v>0</v>
      </c>
      <c r="Q134" s="57">
        <f>IF(VLOOKUP(CONT_TEA[[#This Row],[StaffMemberCode]],MEMBERS[[StaffMemberCode]:[ServiceStartDate]],5,0)&gt;CONT_TEA[[#This Row],[DateFrom]],1,0)</f>
        <v>0</v>
      </c>
      <c r="R134" s="57">
        <f>IF(_xlfn.XLOOKUP(CONT_TEA[[#This Row],[StaffMemberCode]],MEMBERS[StaffMemberCode],MEMBERS[ServiceEndDate])="",0,IF(CONT_TEA[[#This Row],[DateTo]]="",1,IF(_xlfn.XLOOKUP(CONT_TEA[[#This Row],[StaffMemberCode]],MEMBERS[StaffMemberCode],MEMBERS[ServiceEndDate])&lt;CONT_TEA[[#This Row],[DateTo]],1,0)))</f>
        <v>0</v>
      </c>
      <c r="S134" s="57">
        <f>IF(ISBLANK(CONT_TEA[[#This Row],[DateTo]]),0,IF(CONT_TEA[[#This Row],[DateFrom]]=CONT_TEA[[#This Row],[DateTo]],0,IF(CONT_TEA[[#This Row],[DateFrom]]&lt;CONT_TEA[[#This Row],[DateTo]],0,1)))</f>
        <v>0</v>
      </c>
      <c r="T134" s="57" cm="1">
        <f t="array" aca="1" ref="T134" ca="1">IF(CELL("format",CONT_TEA[[#This Row],[DateFrom]])="D1",0,1)+IF(CELL("format",CONT_TEA[[#This Row],[DateTo]])="D1",0,1)</f>
        <v>0</v>
      </c>
      <c r="U134" s="57">
        <f>IF(OR(CONT_TEA[[#This Row],[MatEditOnly]]=TRUE,CONT_TEA[[#This Row],[MatEditOnly]]=FALSE),IF(OR(CONT_TEA[[#This Row],[NoIncrement]]=TRUE,CONT_TEA[[#This Row],[NoIncrement]]=FALSE),0,1),1)</f>
        <v>0</v>
      </c>
      <c r="V134" s="57">
        <f>IF(ISBLANK(CONT_TEA[[#This Row],[FundCode]])=TRUE,0,IF(COUNTIF(FUNDS[FundCode],CONT_TEA[[#This Row],[FundCode]])=1,0,1))</f>
        <v>0</v>
      </c>
      <c r="W134" s="57">
        <f>IF(LEN(CONT_TEA[[#This Row],[Notes]])&lt;4000,0,1)</f>
        <v>0</v>
      </c>
      <c r="X134" s="57">
        <f>IF(SUBSTITUTE(TEXT(CONT_TEA[[#This Row],[Reference]],10)," ","")=TEXT(CONT_TEA[[#This Row],[Reference]],10),0,1)</f>
        <v>0</v>
      </c>
      <c r="Y134" s="57">
        <f ca="1">SUM(CONT_TEA[[#This Row],[Duplicate Contract]:[Space in Code]])</f>
        <v>1</v>
      </c>
      <c r="AA134" s="12" t="s">
        <v>2094</v>
      </c>
      <c r="AB134" s="15">
        <v>91323689</v>
      </c>
      <c r="AC134" s="12" t="s">
        <v>4482</v>
      </c>
      <c r="AD134" s="57" t="str">
        <f>_xlfn.XLOOKUP(CONT_TEA[[#This Row],[StaffMemberCode]],StaffMembers!O:O,StaffMembers!R:R)</f>
        <v>Christopher Young</v>
      </c>
      <c r="AE134" s="12" t="s">
        <v>1178</v>
      </c>
      <c r="AF134" s="57">
        <f>_xlfn.XLOOKUP(CONT_TEA[[#This Row],[SRG]],SRG[StaffRoleGroupCode],SRG[GrossSalaryFinanceCode])</f>
        <v>612100</v>
      </c>
      <c r="AG134" s="57" t="str">
        <f>_xlfn.XLOOKUP(CONT_TEA[[#This Row],[StaffRoleCode]],ROLES[StaffRoleCode],ROLES[StaffRoleGroupCode])</f>
        <v>TEA</v>
      </c>
      <c r="AH134" s="57" t="str">
        <f>_xlfn.XLOOKUP(CONT_TEA[[#This Row],[StaffRoleCode]],ROLES[StaffRoleCode],ROLES[PayScaleCode])</f>
        <v>MAIN</v>
      </c>
      <c r="AI134" s="12" t="s">
        <v>1126</v>
      </c>
      <c r="AJ134" s="12" t="s">
        <v>1064</v>
      </c>
      <c r="AK134" s="12" t="s">
        <v>2499</v>
      </c>
      <c r="AM134" s="68" t="s">
        <v>1147</v>
      </c>
      <c r="AN134" s="13" t="s">
        <v>1702</v>
      </c>
      <c r="AO134" s="21">
        <v>45901</v>
      </c>
      <c r="AQ134" s="12">
        <v>1</v>
      </c>
      <c r="AR134" t="b">
        <v>0</v>
      </c>
      <c r="AS134" t="b">
        <v>0</v>
      </c>
      <c r="AT134" s="12" t="s">
        <v>1574</v>
      </c>
    </row>
    <row r="135" spans="1:47" x14ac:dyDescent="0.3">
      <c r="A135" s="57" t="str">
        <f t="shared" si="2"/>
        <v>ALS9107378591073785ATEASTCH45901</v>
      </c>
      <c r="B135" s="57">
        <f>COUNTIF(CONT_TEA[Unique Contract],CONT_TEA[[#This Row],[Unique Contract]])-1</f>
        <v>0</v>
      </c>
      <c r="C135" s="57">
        <f>IFERROR(IF(FIND(CONT_TEA[[#This Row],[SchoolCode]],_xlfn.XLOOKUP(CONT_TEA[[#This Row],[StaffMemberCode]],MEMBERS[StaffMemberCode],MEMBERS[SchoolCodes]))&gt;0,0,1),1)</f>
        <v>0</v>
      </c>
      <c r="D135" s="57" cm="1">
        <f t="array" ref="D135">IF(_xlfn.XLOOKUP(CONT_TEA[[#This Row],[StaffRoleCode]],ROLES[StaffRoleCode],ROLES[AvailableToAllSchools],1,0,)=TRUE,0,IF(ISERROR(FIND(CONT_TEA[[#This Row],[SchoolCode]],_xlfn.TEXTJOIN(",",TRUE,_xlfn.UNIQUE(IF(ROLES[StaffRoleCode]=CONT_TEA[[#This Row],[StaffRoleCode]],ROLES[SchoolCodes],""))))),1,0))</f>
        <v>0</v>
      </c>
      <c r="E135" s="57" cm="1">
        <f t="array" ref="E13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35" s="57" cm="1">
        <f t="array" ref="F135">IF(_xlfn.XLOOKUP(CONT_TEA[[#This Row],[PayScaleCode]],PAYSCALES[PayScaleCode],PAYSCALES[AvailableToAllSchools],1,0,)=TRUE,0,IF(ISERROR(FIND(CONT_TEA[[#This Row],[SchoolCode]],_xlfn.TEXTJOIN(",",TRUE,_xlfn.UNIQUE(IF(PAYSCALES[PayScaleCode]=CONT_TEA[[#This Row],[PayScaleCode]],PAYSCALES[SchoolCodes],""))))),1,0))</f>
        <v>0</v>
      </c>
      <c r="G135" s="57">
        <f>IF(_xlfn.XLOOKUP(CONT_TEA[[#This Row],[PayScaleGradeCode]],GRADES[PayScaleGradeCode],GRADES[AvailableToAllSchools])=TRUE,0,IFERROR(IF(FIND(CONT_TEA[[#This Row],[SchoolCode]],_xlfn.XLOOKUP(CONT_TEA[[#This Row],[PayScaleGradeCode]],GRADES[PayScaleGradeCode],GRADES[SchoolCodes]))&gt;=1,0,1),1))</f>
        <v>0</v>
      </c>
      <c r="H135" s="57">
        <f>IF(ISERROR(IF((_xlfn.XLOOKUP(CONT_TEA[[#This Row],[PayScaleGradeCode]],GRADES[PayScaleGradeCode],GRADES[PayScaleCode])=CONT_TEA[[#This Row],[PayScaleCode]]),0,1)),1,0)</f>
        <v>0</v>
      </c>
      <c r="I135" s="57" cm="1">
        <f t="array" ref="I135">IF(ISERROR(FIND(CONT_TEA[[#This Row],[PayScalePointCode]],_xlfn.TEXTJOIN(",",TRUE,IF(PSPOINTS[PayScaleCode]=CONT_TEA[[#This Row],[PayScaleCode]],PSPOINTS[PayScalePointCode])))),1,0)</f>
        <v>0</v>
      </c>
      <c r="J135" s="57" cm="1">
        <f t="array" ref="J13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35" s="57">
        <f>IF(_xlfn.XLOOKUP(CONT_TEA[[#This Row],[PayScalePointCode]],PSPOINTS[PayScalePointCode],PSPOINTS[PayScalePointEnabled])=TRUE,0,1)</f>
        <v>0</v>
      </c>
      <c r="L135" s="57" cm="1">
        <f t="array" ref="L135">IF(_xlfn.XLOOKUP(CONT_TEA[[#This Row],[DepartmentCode]],DEPTS[DepartmentCode],DEPTS[AvailableToAllSchools],1,0,)=TRUE,0,IF(ISERROR(FIND(CONT_TEA[[#This Row],[SchoolCode]],_xlfn.TEXTJOIN(",",TRUE,_xlfn.UNIQUE(IF(DEPTS[DepartmentCode]=CONT_TEA[[#This Row],[DepartmentCode]],DEPTS[SchoolCodes],""))))),1,0))</f>
        <v>0</v>
      </c>
      <c r="M135" s="57">
        <f>IFERROR(IF(_xlfn.XLOOKUP(CONT_TEA[[#This Row],[SRG Gross]],FinanceCodesBudget[FinanceCode],FinanceCodesBudget[LedgerCode])=_xlfn.XLOOKUP(CONT_TEA[[#This Row],[DepartmentCode]],DEPTS[DepartmentCode],DEPTS[LedgerCode]),0,1),1)</f>
        <v>1</v>
      </c>
      <c r="N135" s="57" cm="1">
        <f t="array" ref="N135">IF(_xlfn.XLOOKUP(CONT_TEA[[#This Row],[PensionCode]],PENS[PensionCode],PENS[AvailableToAllSchools],1,0,)=TRUE,0,IF(ISERROR(FIND(CONT_TEA[[#This Row],[SchoolCode]],_xlfn.TEXTJOIN(",",TRUE,_xlfn.UNIQUE(IF(PENS[PensionCode]=CONT_TEA[[#This Row],[PensionCode]],PENS[SchoolCodes],""))))),1,0))</f>
        <v>0</v>
      </c>
      <c r="O135" s="57" cm="1">
        <f t="array" ref="O135">IF(_xlfn.XLOOKUP(CONT_TEA[[#This Row],[EquatedWeekPatternCode]],EQW[EquatedWeekPatternCode],EQW[AvailableToAllSchools],1,0,)=TRUE,0,IF(ISERROR(FIND(CONT_TEA[[#This Row],[SchoolCode]],_xlfn.TEXTJOIN(",",TRUE,_xlfn.UNIQUE(IF(EQW[EquatedWeekPatternCode]=CONT_TEA[[#This Row],[EquatedWeekPatternCode]],EQW[SchoolCodes],""))))),1,0))</f>
        <v>0</v>
      </c>
      <c r="P135" s="57">
        <f>1-COUNTIF(ContractTypes[Code],CONT_TEA[[#This Row],[ContractTypeCode]])</f>
        <v>0</v>
      </c>
      <c r="Q135" s="57">
        <f>IF(VLOOKUP(CONT_TEA[[#This Row],[StaffMemberCode]],MEMBERS[[StaffMemberCode]:[ServiceStartDate]],5,0)&gt;CONT_TEA[[#This Row],[DateFrom]],1,0)</f>
        <v>0</v>
      </c>
      <c r="R135" s="57">
        <f>IF(_xlfn.XLOOKUP(CONT_TEA[[#This Row],[StaffMemberCode]],MEMBERS[StaffMemberCode],MEMBERS[ServiceEndDate])="",0,IF(CONT_TEA[[#This Row],[DateTo]]="",1,IF(_xlfn.XLOOKUP(CONT_TEA[[#This Row],[StaffMemberCode]],MEMBERS[StaffMemberCode],MEMBERS[ServiceEndDate])&lt;CONT_TEA[[#This Row],[DateTo]],1,0)))</f>
        <v>0</v>
      </c>
      <c r="S135" s="57">
        <f>IF(ISBLANK(CONT_TEA[[#This Row],[DateTo]]),0,IF(CONT_TEA[[#This Row],[DateFrom]]=CONT_TEA[[#This Row],[DateTo]],0,IF(CONT_TEA[[#This Row],[DateFrom]]&lt;CONT_TEA[[#This Row],[DateTo]],0,1)))</f>
        <v>0</v>
      </c>
      <c r="T135" s="57" cm="1">
        <f t="array" aca="1" ref="T135" ca="1">IF(CELL("format",CONT_TEA[[#This Row],[DateFrom]])="D1",0,1)+IF(CELL("format",CONT_TEA[[#This Row],[DateTo]])="D1",0,1)</f>
        <v>0</v>
      </c>
      <c r="U135" s="57">
        <f>IF(OR(CONT_TEA[[#This Row],[MatEditOnly]]=TRUE,CONT_TEA[[#This Row],[MatEditOnly]]=FALSE),IF(OR(CONT_TEA[[#This Row],[NoIncrement]]=TRUE,CONT_TEA[[#This Row],[NoIncrement]]=FALSE),0,1),1)</f>
        <v>0</v>
      </c>
      <c r="V135" s="57">
        <f>IF(ISBLANK(CONT_TEA[[#This Row],[FundCode]])=TRUE,0,IF(COUNTIF(FUNDS[FundCode],CONT_TEA[[#This Row],[FundCode]])=1,0,1))</f>
        <v>0</v>
      </c>
      <c r="W135" s="57">
        <f>IF(LEN(CONT_TEA[[#This Row],[Notes]])&lt;4000,0,1)</f>
        <v>0</v>
      </c>
      <c r="X135" s="57">
        <f>IF(SUBSTITUTE(TEXT(CONT_TEA[[#This Row],[Reference]],10)," ","")=TEXT(CONT_TEA[[#This Row],[Reference]],10),0,1)</f>
        <v>0</v>
      </c>
      <c r="Y135" s="57">
        <f ca="1">SUM(CONT_TEA[[#This Row],[Duplicate Contract]:[Space in Code]])</f>
        <v>1</v>
      </c>
      <c r="AA135" s="12" t="s">
        <v>2082</v>
      </c>
      <c r="AB135" s="15">
        <v>91073785</v>
      </c>
      <c r="AC135" s="12" t="s">
        <v>4483</v>
      </c>
      <c r="AD135" s="57" t="str">
        <f>_xlfn.XLOOKUP(CONT_TEA[[#This Row],[StaffMemberCode]],StaffMembers!O:O,StaffMembers!R:R)</f>
        <v>Claire Thompson</v>
      </c>
      <c r="AE135" s="12" t="s">
        <v>1178</v>
      </c>
      <c r="AF135" s="57">
        <f>_xlfn.XLOOKUP(CONT_TEA[[#This Row],[SRG]],SRG[StaffRoleGroupCode],SRG[GrossSalaryFinanceCode])</f>
        <v>612100</v>
      </c>
      <c r="AG135" s="57" t="str">
        <f>_xlfn.XLOOKUP(CONT_TEA[[#This Row],[StaffRoleCode]],ROLES[StaffRoleCode],ROLES[StaffRoleGroupCode])</f>
        <v>TEA</v>
      </c>
      <c r="AH135" s="57" t="str">
        <f>_xlfn.XLOOKUP(CONT_TEA[[#This Row],[StaffRoleCode]],ROLES[StaffRoleCode],ROLES[PayScaleCode])</f>
        <v>MAIN</v>
      </c>
      <c r="AI135" s="12" t="s">
        <v>1126</v>
      </c>
      <c r="AJ135" s="12" t="s">
        <v>1745</v>
      </c>
      <c r="AK135" s="12" t="s">
        <v>2499</v>
      </c>
      <c r="AM135" s="68" t="s">
        <v>1147</v>
      </c>
      <c r="AN135" s="13" t="s">
        <v>1702</v>
      </c>
      <c r="AO135" s="21">
        <v>45901</v>
      </c>
      <c r="AQ135" s="12">
        <v>0.5</v>
      </c>
      <c r="AR135" t="b">
        <v>0</v>
      </c>
      <c r="AS135" t="b">
        <v>0</v>
      </c>
      <c r="AT135" s="12" t="s">
        <v>1575</v>
      </c>
    </row>
    <row r="136" spans="1:47" x14ac:dyDescent="0.3">
      <c r="A136" s="57" t="str">
        <f t="shared" si="2"/>
        <v>AUD9107364791073647ATEASTCH45901</v>
      </c>
      <c r="B136" s="57">
        <f>COUNTIF(CONT_TEA[Unique Contract],CONT_TEA[[#This Row],[Unique Contract]])-1</f>
        <v>0</v>
      </c>
      <c r="C136" s="57">
        <f>IFERROR(IF(FIND(CONT_TEA[[#This Row],[SchoolCode]],_xlfn.XLOOKUP(CONT_TEA[[#This Row],[StaffMemberCode]],MEMBERS[StaffMemberCode],MEMBERS[SchoolCodes]))&gt;0,0,1),1)</f>
        <v>0</v>
      </c>
      <c r="D136" s="57" cm="1">
        <f t="array" ref="D136">IF(_xlfn.XLOOKUP(CONT_TEA[[#This Row],[StaffRoleCode]],ROLES[StaffRoleCode],ROLES[AvailableToAllSchools],1,0,)=TRUE,0,IF(ISERROR(FIND(CONT_TEA[[#This Row],[SchoolCode]],_xlfn.TEXTJOIN(",",TRUE,_xlfn.UNIQUE(IF(ROLES[StaffRoleCode]=CONT_TEA[[#This Row],[StaffRoleCode]],ROLES[SchoolCodes],""))))),1,0))</f>
        <v>0</v>
      </c>
      <c r="E136" s="57" cm="1">
        <f t="array" ref="E13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36" s="57" cm="1">
        <f t="array" ref="F136">IF(_xlfn.XLOOKUP(CONT_TEA[[#This Row],[PayScaleCode]],PAYSCALES[PayScaleCode],PAYSCALES[AvailableToAllSchools],1,0,)=TRUE,0,IF(ISERROR(FIND(CONT_TEA[[#This Row],[SchoolCode]],_xlfn.TEXTJOIN(",",TRUE,_xlfn.UNIQUE(IF(PAYSCALES[PayScaleCode]=CONT_TEA[[#This Row],[PayScaleCode]],PAYSCALES[SchoolCodes],""))))),1,0))</f>
        <v>0</v>
      </c>
      <c r="G136" s="57">
        <f>IF(_xlfn.XLOOKUP(CONT_TEA[[#This Row],[PayScaleGradeCode]],GRADES[PayScaleGradeCode],GRADES[AvailableToAllSchools])=TRUE,0,IFERROR(IF(FIND(CONT_TEA[[#This Row],[SchoolCode]],_xlfn.XLOOKUP(CONT_TEA[[#This Row],[PayScaleGradeCode]],GRADES[PayScaleGradeCode],GRADES[SchoolCodes]))&gt;=1,0,1),1))</f>
        <v>0</v>
      </c>
      <c r="H136" s="57">
        <f>IF(ISERROR(IF((_xlfn.XLOOKUP(CONT_TEA[[#This Row],[PayScaleGradeCode]],GRADES[PayScaleGradeCode],GRADES[PayScaleCode])=CONT_TEA[[#This Row],[PayScaleCode]]),0,1)),1,0)</f>
        <v>0</v>
      </c>
      <c r="I136" s="57" cm="1">
        <f t="array" ref="I136">IF(ISERROR(FIND(CONT_TEA[[#This Row],[PayScalePointCode]],_xlfn.TEXTJOIN(",",TRUE,IF(PSPOINTS[PayScaleCode]=CONT_TEA[[#This Row],[PayScaleCode]],PSPOINTS[PayScalePointCode])))),1,0)</f>
        <v>0</v>
      </c>
      <c r="J136" s="57" cm="1">
        <f t="array" ref="J13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36" s="57">
        <f>IF(_xlfn.XLOOKUP(CONT_TEA[[#This Row],[PayScalePointCode]],PSPOINTS[PayScalePointCode],PSPOINTS[PayScalePointEnabled])=TRUE,0,1)</f>
        <v>0</v>
      </c>
      <c r="L136" s="57" cm="1">
        <f t="array" ref="L136">IF(_xlfn.XLOOKUP(CONT_TEA[[#This Row],[DepartmentCode]],DEPTS[DepartmentCode],DEPTS[AvailableToAllSchools],1,0,)=TRUE,0,IF(ISERROR(FIND(CONT_TEA[[#This Row],[SchoolCode]],_xlfn.TEXTJOIN(",",TRUE,_xlfn.UNIQUE(IF(DEPTS[DepartmentCode]=CONT_TEA[[#This Row],[DepartmentCode]],DEPTS[SchoolCodes],""))))),1,0))</f>
        <v>0</v>
      </c>
      <c r="M136" s="57">
        <f>IFERROR(IF(_xlfn.XLOOKUP(CONT_TEA[[#This Row],[SRG Gross]],FinanceCodesBudget[FinanceCode],FinanceCodesBudget[LedgerCode])=_xlfn.XLOOKUP(CONT_TEA[[#This Row],[DepartmentCode]],DEPTS[DepartmentCode],DEPTS[LedgerCode]),0,1),1)</f>
        <v>1</v>
      </c>
      <c r="N136" s="57" cm="1">
        <f t="array" ref="N136">IF(_xlfn.XLOOKUP(CONT_TEA[[#This Row],[PensionCode]],PENS[PensionCode],PENS[AvailableToAllSchools],1,0,)=TRUE,0,IF(ISERROR(FIND(CONT_TEA[[#This Row],[SchoolCode]],_xlfn.TEXTJOIN(",",TRUE,_xlfn.UNIQUE(IF(PENS[PensionCode]=CONT_TEA[[#This Row],[PensionCode]],PENS[SchoolCodes],""))))),1,0))</f>
        <v>0</v>
      </c>
      <c r="O136" s="57" cm="1">
        <f t="array" ref="O136">IF(_xlfn.XLOOKUP(CONT_TEA[[#This Row],[EquatedWeekPatternCode]],EQW[EquatedWeekPatternCode],EQW[AvailableToAllSchools],1,0,)=TRUE,0,IF(ISERROR(FIND(CONT_TEA[[#This Row],[SchoolCode]],_xlfn.TEXTJOIN(",",TRUE,_xlfn.UNIQUE(IF(EQW[EquatedWeekPatternCode]=CONT_TEA[[#This Row],[EquatedWeekPatternCode]],EQW[SchoolCodes],""))))),1,0))</f>
        <v>0</v>
      </c>
      <c r="P136" s="57">
        <f>1-COUNTIF(ContractTypes[Code],CONT_TEA[[#This Row],[ContractTypeCode]])</f>
        <v>0</v>
      </c>
      <c r="Q136" s="57">
        <f>IF(VLOOKUP(CONT_TEA[[#This Row],[StaffMemberCode]],MEMBERS[[StaffMemberCode]:[ServiceStartDate]],5,0)&gt;CONT_TEA[[#This Row],[DateFrom]],1,0)</f>
        <v>0</v>
      </c>
      <c r="R136" s="57">
        <f>IF(_xlfn.XLOOKUP(CONT_TEA[[#This Row],[StaffMemberCode]],MEMBERS[StaffMemberCode],MEMBERS[ServiceEndDate])="",0,IF(CONT_TEA[[#This Row],[DateTo]]="",1,IF(_xlfn.XLOOKUP(CONT_TEA[[#This Row],[StaffMemberCode]],MEMBERS[StaffMemberCode],MEMBERS[ServiceEndDate])&lt;CONT_TEA[[#This Row],[DateTo]],1,0)))</f>
        <v>0</v>
      </c>
      <c r="S136" s="57">
        <f>IF(ISBLANK(CONT_TEA[[#This Row],[DateTo]]),0,IF(CONT_TEA[[#This Row],[DateFrom]]=CONT_TEA[[#This Row],[DateTo]],0,IF(CONT_TEA[[#This Row],[DateFrom]]&lt;CONT_TEA[[#This Row],[DateTo]],0,1)))</f>
        <v>0</v>
      </c>
      <c r="T136" s="57" cm="1">
        <f t="array" aca="1" ref="T136" ca="1">IF(CELL("format",CONT_TEA[[#This Row],[DateFrom]])="D1",0,1)+IF(CELL("format",CONT_TEA[[#This Row],[DateTo]])="D1",0,1)</f>
        <v>0</v>
      </c>
      <c r="U136" s="57">
        <f>IF(OR(CONT_TEA[[#This Row],[MatEditOnly]]=TRUE,CONT_TEA[[#This Row],[MatEditOnly]]=FALSE),IF(OR(CONT_TEA[[#This Row],[NoIncrement]]=TRUE,CONT_TEA[[#This Row],[NoIncrement]]=FALSE),0,1),1)</f>
        <v>0</v>
      </c>
      <c r="V136" s="57">
        <f>IF(ISBLANK(CONT_TEA[[#This Row],[FundCode]])=TRUE,0,IF(COUNTIF(FUNDS[FundCode],CONT_TEA[[#This Row],[FundCode]])=1,0,1))</f>
        <v>0</v>
      </c>
      <c r="W136" s="57">
        <f>IF(LEN(CONT_TEA[[#This Row],[Notes]])&lt;4000,0,1)</f>
        <v>0</v>
      </c>
      <c r="X136" s="57">
        <f>IF(SUBSTITUTE(TEXT(CONT_TEA[[#This Row],[Reference]],10)," ","")=TEXT(CONT_TEA[[#This Row],[Reference]],10),0,1)</f>
        <v>0</v>
      </c>
      <c r="Y136" s="57">
        <f ca="1">SUM(CONT_TEA[[#This Row],[Duplicate Contract]:[Space in Code]])</f>
        <v>1</v>
      </c>
      <c r="AA136" s="12" t="s">
        <v>2089</v>
      </c>
      <c r="AB136" s="15">
        <v>91073647</v>
      </c>
      <c r="AC136" s="12" t="s">
        <v>4484</v>
      </c>
      <c r="AD136" s="57" t="str">
        <f>_xlfn.XLOOKUP(CONT_TEA[[#This Row],[StaffMemberCode]],StaffMembers!O:O,StaffMembers!R:R)</f>
        <v>Clara Kemp</v>
      </c>
      <c r="AE136" s="12" t="s">
        <v>1178</v>
      </c>
      <c r="AF136" s="57">
        <f>_xlfn.XLOOKUP(CONT_TEA[[#This Row],[SRG]],SRG[StaffRoleGroupCode],SRG[GrossSalaryFinanceCode])</f>
        <v>612100</v>
      </c>
      <c r="AG136" s="57" t="str">
        <f>_xlfn.XLOOKUP(CONT_TEA[[#This Row],[StaffRoleCode]],ROLES[StaffRoleCode],ROLES[StaffRoleGroupCode])</f>
        <v>TEA</v>
      </c>
      <c r="AH136" s="57" t="str">
        <f>_xlfn.XLOOKUP(CONT_TEA[[#This Row],[StaffRoleCode]],ROLES[StaffRoleCode],ROLES[PayScaleCode])</f>
        <v>MAIN</v>
      </c>
      <c r="AI136" s="12" t="s">
        <v>1126</v>
      </c>
      <c r="AJ136" s="12" t="s">
        <v>1745</v>
      </c>
      <c r="AK136" s="12" t="s">
        <v>2499</v>
      </c>
      <c r="AM136" s="68" t="s">
        <v>1147</v>
      </c>
      <c r="AN136" s="13" t="s">
        <v>1702</v>
      </c>
      <c r="AO136" s="21">
        <v>45901</v>
      </c>
      <c r="AQ136" s="12">
        <v>0.4</v>
      </c>
      <c r="AR136" t="b">
        <v>0</v>
      </c>
      <c r="AS136" t="b">
        <v>0</v>
      </c>
      <c r="AT136" s="12" t="s">
        <v>1574</v>
      </c>
    </row>
    <row r="137" spans="1:47" x14ac:dyDescent="0.3">
      <c r="A137" s="57" t="str">
        <f t="shared" si="2"/>
        <v>ALS9107368291073682ATEASTCH45901</v>
      </c>
      <c r="B137" s="57">
        <f>COUNTIF(CONT_TEA[Unique Contract],CONT_TEA[[#This Row],[Unique Contract]])-1</f>
        <v>0</v>
      </c>
      <c r="C137" s="57">
        <f>IFERROR(IF(FIND(CONT_TEA[[#This Row],[SchoolCode]],_xlfn.XLOOKUP(CONT_TEA[[#This Row],[StaffMemberCode]],MEMBERS[StaffMemberCode],MEMBERS[SchoolCodes]))&gt;0,0,1),1)</f>
        <v>0</v>
      </c>
      <c r="D137" s="57" cm="1">
        <f t="array" ref="D137">IF(_xlfn.XLOOKUP(CONT_TEA[[#This Row],[StaffRoleCode]],ROLES[StaffRoleCode],ROLES[AvailableToAllSchools],1,0,)=TRUE,0,IF(ISERROR(FIND(CONT_TEA[[#This Row],[SchoolCode]],_xlfn.TEXTJOIN(",",TRUE,_xlfn.UNIQUE(IF(ROLES[StaffRoleCode]=CONT_TEA[[#This Row],[StaffRoleCode]],ROLES[SchoolCodes],""))))),1,0))</f>
        <v>0</v>
      </c>
      <c r="E137" s="57" cm="1">
        <f t="array" ref="E13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37" s="57" cm="1">
        <f t="array" ref="F137">IF(_xlfn.XLOOKUP(CONT_TEA[[#This Row],[PayScaleCode]],PAYSCALES[PayScaleCode],PAYSCALES[AvailableToAllSchools],1,0,)=TRUE,0,IF(ISERROR(FIND(CONT_TEA[[#This Row],[SchoolCode]],_xlfn.TEXTJOIN(",",TRUE,_xlfn.UNIQUE(IF(PAYSCALES[PayScaleCode]=CONT_TEA[[#This Row],[PayScaleCode]],PAYSCALES[SchoolCodes],""))))),1,0))</f>
        <v>0</v>
      </c>
      <c r="G137" s="57">
        <f>IF(_xlfn.XLOOKUP(CONT_TEA[[#This Row],[PayScaleGradeCode]],GRADES[PayScaleGradeCode],GRADES[AvailableToAllSchools])=TRUE,0,IFERROR(IF(FIND(CONT_TEA[[#This Row],[SchoolCode]],_xlfn.XLOOKUP(CONT_TEA[[#This Row],[PayScaleGradeCode]],GRADES[PayScaleGradeCode],GRADES[SchoolCodes]))&gt;=1,0,1),1))</f>
        <v>0</v>
      </c>
      <c r="H137" s="57">
        <f>IF(ISERROR(IF((_xlfn.XLOOKUP(CONT_TEA[[#This Row],[PayScaleGradeCode]],GRADES[PayScaleGradeCode],GRADES[PayScaleCode])=CONT_TEA[[#This Row],[PayScaleCode]]),0,1)),1,0)</f>
        <v>0</v>
      </c>
      <c r="I137" s="57" cm="1">
        <f t="array" ref="I137">IF(ISERROR(FIND(CONT_TEA[[#This Row],[PayScalePointCode]],_xlfn.TEXTJOIN(",",TRUE,IF(PSPOINTS[PayScaleCode]=CONT_TEA[[#This Row],[PayScaleCode]],PSPOINTS[PayScalePointCode])))),1,0)</f>
        <v>0</v>
      </c>
      <c r="J137" s="57" cm="1">
        <f t="array" ref="J13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37" s="57">
        <f>IF(_xlfn.XLOOKUP(CONT_TEA[[#This Row],[PayScalePointCode]],PSPOINTS[PayScalePointCode],PSPOINTS[PayScalePointEnabled])=TRUE,0,1)</f>
        <v>0</v>
      </c>
      <c r="L137" s="57" cm="1">
        <f t="array" ref="L137">IF(_xlfn.XLOOKUP(CONT_TEA[[#This Row],[DepartmentCode]],DEPTS[DepartmentCode],DEPTS[AvailableToAllSchools],1,0,)=TRUE,0,IF(ISERROR(FIND(CONT_TEA[[#This Row],[SchoolCode]],_xlfn.TEXTJOIN(",",TRUE,_xlfn.UNIQUE(IF(DEPTS[DepartmentCode]=CONT_TEA[[#This Row],[DepartmentCode]],DEPTS[SchoolCodes],""))))),1,0))</f>
        <v>0</v>
      </c>
      <c r="M137" s="57">
        <f>IFERROR(IF(_xlfn.XLOOKUP(CONT_TEA[[#This Row],[SRG Gross]],FinanceCodesBudget[FinanceCode],FinanceCodesBudget[LedgerCode])=_xlfn.XLOOKUP(CONT_TEA[[#This Row],[DepartmentCode]],DEPTS[DepartmentCode],DEPTS[LedgerCode]),0,1),1)</f>
        <v>1</v>
      </c>
      <c r="N137" s="57" cm="1">
        <f t="array" ref="N137">IF(_xlfn.XLOOKUP(CONT_TEA[[#This Row],[PensionCode]],PENS[PensionCode],PENS[AvailableToAllSchools],1,0,)=TRUE,0,IF(ISERROR(FIND(CONT_TEA[[#This Row],[SchoolCode]],_xlfn.TEXTJOIN(",",TRUE,_xlfn.UNIQUE(IF(PENS[PensionCode]=CONT_TEA[[#This Row],[PensionCode]],PENS[SchoolCodes],""))))),1,0))</f>
        <v>0</v>
      </c>
      <c r="O137" s="57" cm="1">
        <f t="array" ref="O137">IF(_xlfn.XLOOKUP(CONT_TEA[[#This Row],[EquatedWeekPatternCode]],EQW[EquatedWeekPatternCode],EQW[AvailableToAllSchools],1,0,)=TRUE,0,IF(ISERROR(FIND(CONT_TEA[[#This Row],[SchoolCode]],_xlfn.TEXTJOIN(",",TRUE,_xlfn.UNIQUE(IF(EQW[EquatedWeekPatternCode]=CONT_TEA[[#This Row],[EquatedWeekPatternCode]],EQW[SchoolCodes],""))))),1,0))</f>
        <v>0</v>
      </c>
      <c r="P137" s="57">
        <f>1-COUNTIF(ContractTypes[Code],CONT_TEA[[#This Row],[ContractTypeCode]])</f>
        <v>0</v>
      </c>
      <c r="Q137" s="57">
        <f>IF(VLOOKUP(CONT_TEA[[#This Row],[StaffMemberCode]],MEMBERS[[StaffMemberCode]:[ServiceStartDate]],5,0)&gt;CONT_TEA[[#This Row],[DateFrom]],1,0)</f>
        <v>0</v>
      </c>
      <c r="R137" s="57">
        <f>IF(_xlfn.XLOOKUP(CONT_TEA[[#This Row],[StaffMemberCode]],MEMBERS[StaffMemberCode],MEMBERS[ServiceEndDate])="",0,IF(CONT_TEA[[#This Row],[DateTo]]="",1,IF(_xlfn.XLOOKUP(CONT_TEA[[#This Row],[StaffMemberCode]],MEMBERS[StaffMemberCode],MEMBERS[ServiceEndDate])&lt;CONT_TEA[[#This Row],[DateTo]],1,0)))</f>
        <v>0</v>
      </c>
      <c r="S137" s="57">
        <f>IF(ISBLANK(CONT_TEA[[#This Row],[DateTo]]),0,IF(CONT_TEA[[#This Row],[DateFrom]]=CONT_TEA[[#This Row],[DateTo]],0,IF(CONT_TEA[[#This Row],[DateFrom]]&lt;CONT_TEA[[#This Row],[DateTo]],0,1)))</f>
        <v>0</v>
      </c>
      <c r="T137" s="57" cm="1">
        <f t="array" aca="1" ref="T137" ca="1">IF(CELL("format",CONT_TEA[[#This Row],[DateFrom]])="D1",0,1)+IF(CELL("format",CONT_TEA[[#This Row],[DateTo]])="D1",0,1)</f>
        <v>0</v>
      </c>
      <c r="U137" s="57">
        <f>IF(OR(CONT_TEA[[#This Row],[MatEditOnly]]=TRUE,CONT_TEA[[#This Row],[MatEditOnly]]=FALSE),IF(OR(CONT_TEA[[#This Row],[NoIncrement]]=TRUE,CONT_TEA[[#This Row],[NoIncrement]]=FALSE),0,1),1)</f>
        <v>0</v>
      </c>
      <c r="V137" s="57">
        <f>IF(ISBLANK(CONT_TEA[[#This Row],[FundCode]])=TRUE,0,IF(COUNTIF(FUNDS[FundCode],CONT_TEA[[#This Row],[FundCode]])=1,0,1))</f>
        <v>0</v>
      </c>
      <c r="W137" s="57">
        <f>IF(LEN(CONT_TEA[[#This Row],[Notes]])&lt;4000,0,1)</f>
        <v>0</v>
      </c>
      <c r="X137" s="57">
        <f>IF(SUBSTITUTE(TEXT(CONT_TEA[[#This Row],[Reference]],10)," ","")=TEXT(CONT_TEA[[#This Row],[Reference]],10),0,1)</f>
        <v>0</v>
      </c>
      <c r="Y137" s="57">
        <f ca="1">SUM(CONT_TEA[[#This Row],[Duplicate Contract]:[Space in Code]])</f>
        <v>1</v>
      </c>
      <c r="AA137" s="12" t="s">
        <v>2082</v>
      </c>
      <c r="AB137" s="15">
        <v>91073682</v>
      </c>
      <c r="AC137" s="12" t="s">
        <v>4485</v>
      </c>
      <c r="AD137" s="57" t="str">
        <f>_xlfn.XLOOKUP(CONT_TEA[[#This Row],[StaffMemberCode]],StaffMembers!O:O,StaffMembers!R:R)</f>
        <v>Clare Lyons</v>
      </c>
      <c r="AE137" s="12" t="s">
        <v>1178</v>
      </c>
      <c r="AF137" s="57">
        <f>_xlfn.XLOOKUP(CONT_TEA[[#This Row],[SRG]],SRG[StaffRoleGroupCode],SRG[GrossSalaryFinanceCode])</f>
        <v>612100</v>
      </c>
      <c r="AG137" s="57" t="str">
        <f>_xlfn.XLOOKUP(CONT_TEA[[#This Row],[StaffRoleCode]],ROLES[StaffRoleCode],ROLES[StaffRoleGroupCode])</f>
        <v>TEA</v>
      </c>
      <c r="AH137" s="57" t="str">
        <f>_xlfn.XLOOKUP(CONT_TEA[[#This Row],[StaffRoleCode]],ROLES[StaffRoleCode],ROLES[PayScaleCode])</f>
        <v>MAIN</v>
      </c>
      <c r="AI137" s="12" t="s">
        <v>1126</v>
      </c>
      <c r="AJ137" s="12" t="s">
        <v>1745</v>
      </c>
      <c r="AK137" s="12" t="s">
        <v>2499</v>
      </c>
      <c r="AM137" s="68" t="s">
        <v>1147</v>
      </c>
      <c r="AN137" s="13" t="s">
        <v>1702</v>
      </c>
      <c r="AO137" s="21">
        <v>45901</v>
      </c>
      <c r="AQ137" s="12">
        <v>0.6</v>
      </c>
      <c r="AR137" t="b">
        <v>0</v>
      </c>
      <c r="AS137" t="b">
        <v>0</v>
      </c>
      <c r="AT137" s="12" t="s">
        <v>1574</v>
      </c>
    </row>
    <row r="138" spans="1:47" x14ac:dyDescent="0.3">
      <c r="A138" s="57" t="str">
        <f t="shared" si="2"/>
        <v>ALS9107367391073673ATEASTCH45901</v>
      </c>
      <c r="B138" s="57">
        <f>COUNTIF(CONT_TEA[Unique Contract],CONT_TEA[[#This Row],[Unique Contract]])-1</f>
        <v>0</v>
      </c>
      <c r="C138" s="57">
        <f>IFERROR(IF(FIND(CONT_TEA[[#This Row],[SchoolCode]],_xlfn.XLOOKUP(CONT_TEA[[#This Row],[StaffMemberCode]],MEMBERS[StaffMemberCode],MEMBERS[SchoolCodes]))&gt;0,0,1),1)</f>
        <v>0</v>
      </c>
      <c r="D138" s="57" cm="1">
        <f t="array" ref="D138">IF(_xlfn.XLOOKUP(CONT_TEA[[#This Row],[StaffRoleCode]],ROLES[StaffRoleCode],ROLES[AvailableToAllSchools],1,0,)=TRUE,0,IF(ISERROR(FIND(CONT_TEA[[#This Row],[SchoolCode]],_xlfn.TEXTJOIN(",",TRUE,_xlfn.UNIQUE(IF(ROLES[StaffRoleCode]=CONT_TEA[[#This Row],[StaffRoleCode]],ROLES[SchoolCodes],""))))),1,0))</f>
        <v>0</v>
      </c>
      <c r="E138" s="57" cm="1">
        <f t="array" ref="E13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38" s="57" cm="1">
        <f t="array" ref="F138">IF(_xlfn.XLOOKUP(CONT_TEA[[#This Row],[PayScaleCode]],PAYSCALES[PayScaleCode],PAYSCALES[AvailableToAllSchools],1,0,)=TRUE,0,IF(ISERROR(FIND(CONT_TEA[[#This Row],[SchoolCode]],_xlfn.TEXTJOIN(",",TRUE,_xlfn.UNIQUE(IF(PAYSCALES[PayScaleCode]=CONT_TEA[[#This Row],[PayScaleCode]],PAYSCALES[SchoolCodes],""))))),1,0))</f>
        <v>0</v>
      </c>
      <c r="G138" s="57">
        <f>IF(_xlfn.XLOOKUP(CONT_TEA[[#This Row],[PayScaleGradeCode]],GRADES[PayScaleGradeCode],GRADES[AvailableToAllSchools])=TRUE,0,IFERROR(IF(FIND(CONT_TEA[[#This Row],[SchoolCode]],_xlfn.XLOOKUP(CONT_TEA[[#This Row],[PayScaleGradeCode]],GRADES[PayScaleGradeCode],GRADES[SchoolCodes]))&gt;=1,0,1),1))</f>
        <v>0</v>
      </c>
      <c r="H138" s="57">
        <f>IF(ISERROR(IF((_xlfn.XLOOKUP(CONT_TEA[[#This Row],[PayScaleGradeCode]],GRADES[PayScaleGradeCode],GRADES[PayScaleCode])=CONT_TEA[[#This Row],[PayScaleCode]]),0,1)),1,0)</f>
        <v>0</v>
      </c>
      <c r="I138" s="57" cm="1">
        <f t="array" ref="I138">IF(ISERROR(FIND(CONT_TEA[[#This Row],[PayScalePointCode]],_xlfn.TEXTJOIN(",",TRUE,IF(PSPOINTS[PayScaleCode]=CONT_TEA[[#This Row],[PayScaleCode]],PSPOINTS[PayScalePointCode])))),1,0)</f>
        <v>0</v>
      </c>
      <c r="J138" s="57" cm="1">
        <f t="array" ref="J13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38" s="57">
        <f>IF(_xlfn.XLOOKUP(CONT_TEA[[#This Row],[PayScalePointCode]],PSPOINTS[PayScalePointCode],PSPOINTS[PayScalePointEnabled])=TRUE,0,1)</f>
        <v>0</v>
      </c>
      <c r="L138" s="57" cm="1">
        <f t="array" ref="L138">IF(_xlfn.XLOOKUP(CONT_TEA[[#This Row],[DepartmentCode]],DEPTS[DepartmentCode],DEPTS[AvailableToAllSchools],1,0,)=TRUE,0,IF(ISERROR(FIND(CONT_TEA[[#This Row],[SchoolCode]],_xlfn.TEXTJOIN(",",TRUE,_xlfn.UNIQUE(IF(DEPTS[DepartmentCode]=CONT_TEA[[#This Row],[DepartmentCode]],DEPTS[SchoolCodes],""))))),1,0))</f>
        <v>0</v>
      </c>
      <c r="M138" s="57">
        <f>IFERROR(IF(_xlfn.XLOOKUP(CONT_TEA[[#This Row],[SRG Gross]],FinanceCodesBudget[FinanceCode],FinanceCodesBudget[LedgerCode])=_xlfn.XLOOKUP(CONT_TEA[[#This Row],[DepartmentCode]],DEPTS[DepartmentCode],DEPTS[LedgerCode]),0,1),1)</f>
        <v>1</v>
      </c>
      <c r="N138" s="57" cm="1">
        <f t="array" ref="N138">IF(_xlfn.XLOOKUP(CONT_TEA[[#This Row],[PensionCode]],PENS[PensionCode],PENS[AvailableToAllSchools],1,0,)=TRUE,0,IF(ISERROR(FIND(CONT_TEA[[#This Row],[SchoolCode]],_xlfn.TEXTJOIN(",",TRUE,_xlfn.UNIQUE(IF(PENS[PensionCode]=CONT_TEA[[#This Row],[PensionCode]],PENS[SchoolCodes],""))))),1,0))</f>
        <v>0</v>
      </c>
      <c r="O138" s="57" cm="1">
        <f t="array" ref="O138">IF(_xlfn.XLOOKUP(CONT_TEA[[#This Row],[EquatedWeekPatternCode]],EQW[EquatedWeekPatternCode],EQW[AvailableToAllSchools],1,0,)=TRUE,0,IF(ISERROR(FIND(CONT_TEA[[#This Row],[SchoolCode]],_xlfn.TEXTJOIN(",",TRUE,_xlfn.UNIQUE(IF(EQW[EquatedWeekPatternCode]=CONT_TEA[[#This Row],[EquatedWeekPatternCode]],EQW[SchoolCodes],""))))),1,0))</f>
        <v>0</v>
      </c>
      <c r="P138" s="57">
        <f>1-COUNTIF(ContractTypes[Code],CONT_TEA[[#This Row],[ContractTypeCode]])</f>
        <v>0</v>
      </c>
      <c r="Q138" s="57">
        <f>IF(VLOOKUP(CONT_TEA[[#This Row],[StaffMemberCode]],MEMBERS[[StaffMemberCode]:[ServiceStartDate]],5,0)&gt;CONT_TEA[[#This Row],[DateFrom]],1,0)</f>
        <v>0</v>
      </c>
      <c r="R138" s="57">
        <f>IF(_xlfn.XLOOKUP(CONT_TEA[[#This Row],[StaffMemberCode]],MEMBERS[StaffMemberCode],MEMBERS[ServiceEndDate])="",0,IF(CONT_TEA[[#This Row],[DateTo]]="",1,IF(_xlfn.XLOOKUP(CONT_TEA[[#This Row],[StaffMemberCode]],MEMBERS[StaffMemberCode],MEMBERS[ServiceEndDate])&lt;CONT_TEA[[#This Row],[DateTo]],1,0)))</f>
        <v>0</v>
      </c>
      <c r="S138" s="57">
        <f>IF(ISBLANK(CONT_TEA[[#This Row],[DateTo]]),0,IF(CONT_TEA[[#This Row],[DateFrom]]=CONT_TEA[[#This Row],[DateTo]],0,IF(CONT_TEA[[#This Row],[DateFrom]]&lt;CONT_TEA[[#This Row],[DateTo]],0,1)))</f>
        <v>0</v>
      </c>
      <c r="T138" s="57" cm="1">
        <f t="array" aca="1" ref="T138" ca="1">IF(CELL("format",CONT_TEA[[#This Row],[DateFrom]])="D1",0,1)+IF(CELL("format",CONT_TEA[[#This Row],[DateTo]])="D1",0,1)</f>
        <v>0</v>
      </c>
      <c r="U138" s="57">
        <f>IF(OR(CONT_TEA[[#This Row],[MatEditOnly]]=TRUE,CONT_TEA[[#This Row],[MatEditOnly]]=FALSE),IF(OR(CONT_TEA[[#This Row],[NoIncrement]]=TRUE,CONT_TEA[[#This Row],[NoIncrement]]=FALSE),0,1),1)</f>
        <v>0</v>
      </c>
      <c r="V138" s="57">
        <f>IF(ISBLANK(CONT_TEA[[#This Row],[FundCode]])=TRUE,0,IF(COUNTIF(FUNDS[FundCode],CONT_TEA[[#This Row],[FundCode]])=1,0,1))</f>
        <v>0</v>
      </c>
      <c r="W138" s="57">
        <f>IF(LEN(CONT_TEA[[#This Row],[Notes]])&lt;4000,0,1)</f>
        <v>0</v>
      </c>
      <c r="X138" s="57">
        <f>IF(SUBSTITUTE(TEXT(CONT_TEA[[#This Row],[Reference]],10)," ","")=TEXT(CONT_TEA[[#This Row],[Reference]],10),0,1)</f>
        <v>0</v>
      </c>
      <c r="Y138" s="57">
        <f ca="1">SUM(CONT_TEA[[#This Row],[Duplicate Contract]:[Space in Code]])</f>
        <v>1</v>
      </c>
      <c r="AA138" s="12" t="s">
        <v>2082</v>
      </c>
      <c r="AB138" s="15">
        <v>91073673</v>
      </c>
      <c r="AC138" s="12" t="s">
        <v>4486</v>
      </c>
      <c r="AD138" s="57" t="str">
        <f>_xlfn.XLOOKUP(CONT_TEA[[#This Row],[StaffMemberCode]],StaffMembers!O:O,StaffMembers!R:R)</f>
        <v>Clare Mitchell</v>
      </c>
      <c r="AE138" s="12" t="s">
        <v>1178</v>
      </c>
      <c r="AF138" s="57">
        <f>_xlfn.XLOOKUP(CONT_TEA[[#This Row],[SRG]],SRG[StaffRoleGroupCode],SRG[GrossSalaryFinanceCode])</f>
        <v>612100</v>
      </c>
      <c r="AG138" s="57" t="str">
        <f>_xlfn.XLOOKUP(CONT_TEA[[#This Row],[StaffRoleCode]],ROLES[StaffRoleCode],ROLES[StaffRoleGroupCode])</f>
        <v>TEA</v>
      </c>
      <c r="AH138" s="57" t="str">
        <f>_xlfn.XLOOKUP(CONT_TEA[[#This Row],[StaffRoleCode]],ROLES[StaffRoleCode],ROLES[PayScaleCode])</f>
        <v>MAIN</v>
      </c>
      <c r="AI138" s="12" t="s">
        <v>1126</v>
      </c>
      <c r="AJ138" s="12" t="s">
        <v>1745</v>
      </c>
      <c r="AK138" s="12" t="s">
        <v>2499</v>
      </c>
      <c r="AM138" s="68" t="s">
        <v>1147</v>
      </c>
      <c r="AN138" s="13" t="s">
        <v>1702</v>
      </c>
      <c r="AO138" s="21">
        <v>45901</v>
      </c>
      <c r="AQ138" s="12">
        <v>0.6</v>
      </c>
      <c r="AR138" t="b">
        <v>0</v>
      </c>
      <c r="AS138" t="b">
        <v>0</v>
      </c>
      <c r="AT138" s="12" t="s">
        <v>1574</v>
      </c>
    </row>
    <row r="139" spans="1:47" x14ac:dyDescent="0.3">
      <c r="A139" s="57" t="str">
        <f t="shared" si="2"/>
        <v>ALS9107384791073847ATEASTCH45901</v>
      </c>
      <c r="B139" s="57">
        <f>COUNTIF(CONT_TEA[Unique Contract],CONT_TEA[[#This Row],[Unique Contract]])-1</f>
        <v>0</v>
      </c>
      <c r="C139" s="57">
        <f>IFERROR(IF(FIND(CONT_TEA[[#This Row],[SchoolCode]],_xlfn.XLOOKUP(CONT_TEA[[#This Row],[StaffMemberCode]],MEMBERS[StaffMemberCode],MEMBERS[SchoolCodes]))&gt;0,0,1),1)</f>
        <v>0</v>
      </c>
      <c r="D139" s="57" cm="1">
        <f t="array" ref="D139">IF(_xlfn.XLOOKUP(CONT_TEA[[#This Row],[StaffRoleCode]],ROLES[StaffRoleCode],ROLES[AvailableToAllSchools],1,0,)=TRUE,0,IF(ISERROR(FIND(CONT_TEA[[#This Row],[SchoolCode]],_xlfn.TEXTJOIN(",",TRUE,_xlfn.UNIQUE(IF(ROLES[StaffRoleCode]=CONT_TEA[[#This Row],[StaffRoleCode]],ROLES[SchoolCodes],""))))),1,0))</f>
        <v>0</v>
      </c>
      <c r="E139" s="57" cm="1">
        <f t="array" ref="E13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39" s="57" cm="1">
        <f t="array" ref="F139">IF(_xlfn.XLOOKUP(CONT_TEA[[#This Row],[PayScaleCode]],PAYSCALES[PayScaleCode],PAYSCALES[AvailableToAllSchools],1,0,)=TRUE,0,IF(ISERROR(FIND(CONT_TEA[[#This Row],[SchoolCode]],_xlfn.TEXTJOIN(",",TRUE,_xlfn.UNIQUE(IF(PAYSCALES[PayScaleCode]=CONT_TEA[[#This Row],[PayScaleCode]],PAYSCALES[SchoolCodes],""))))),1,0))</f>
        <v>0</v>
      </c>
      <c r="G139" s="57">
        <f>IF(_xlfn.XLOOKUP(CONT_TEA[[#This Row],[PayScaleGradeCode]],GRADES[PayScaleGradeCode],GRADES[AvailableToAllSchools])=TRUE,0,IFERROR(IF(FIND(CONT_TEA[[#This Row],[SchoolCode]],_xlfn.XLOOKUP(CONT_TEA[[#This Row],[PayScaleGradeCode]],GRADES[PayScaleGradeCode],GRADES[SchoolCodes]))&gt;=1,0,1),1))</f>
        <v>0</v>
      </c>
      <c r="H139" s="57">
        <f>IF(ISERROR(IF((_xlfn.XLOOKUP(CONT_TEA[[#This Row],[PayScaleGradeCode]],GRADES[PayScaleGradeCode],GRADES[PayScaleCode])=CONT_TEA[[#This Row],[PayScaleCode]]),0,1)),1,0)</f>
        <v>0</v>
      </c>
      <c r="I139" s="57" cm="1">
        <f t="array" ref="I139">IF(ISERROR(FIND(CONT_TEA[[#This Row],[PayScalePointCode]],_xlfn.TEXTJOIN(",",TRUE,IF(PSPOINTS[PayScaleCode]=CONT_TEA[[#This Row],[PayScaleCode]],PSPOINTS[PayScalePointCode])))),1,0)</f>
        <v>0</v>
      </c>
      <c r="J139" s="57" cm="1">
        <f t="array" ref="J13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39" s="57">
        <f>IF(_xlfn.XLOOKUP(CONT_TEA[[#This Row],[PayScalePointCode]],PSPOINTS[PayScalePointCode],PSPOINTS[PayScalePointEnabled])=TRUE,0,1)</f>
        <v>0</v>
      </c>
      <c r="L139" s="57" cm="1">
        <f t="array" ref="L139">IF(_xlfn.XLOOKUP(CONT_TEA[[#This Row],[DepartmentCode]],DEPTS[DepartmentCode],DEPTS[AvailableToAllSchools],1,0,)=TRUE,0,IF(ISERROR(FIND(CONT_TEA[[#This Row],[SchoolCode]],_xlfn.TEXTJOIN(",",TRUE,_xlfn.UNIQUE(IF(DEPTS[DepartmentCode]=CONT_TEA[[#This Row],[DepartmentCode]],DEPTS[SchoolCodes],""))))),1,0))</f>
        <v>0</v>
      </c>
      <c r="M139" s="57">
        <f>IFERROR(IF(_xlfn.XLOOKUP(CONT_TEA[[#This Row],[SRG Gross]],FinanceCodesBudget[FinanceCode],FinanceCodesBudget[LedgerCode])=_xlfn.XLOOKUP(CONT_TEA[[#This Row],[DepartmentCode]],DEPTS[DepartmentCode],DEPTS[LedgerCode]),0,1),1)</f>
        <v>1</v>
      </c>
      <c r="N139" s="57" cm="1">
        <f t="array" ref="N139">IF(_xlfn.XLOOKUP(CONT_TEA[[#This Row],[PensionCode]],PENS[PensionCode],PENS[AvailableToAllSchools],1,0,)=TRUE,0,IF(ISERROR(FIND(CONT_TEA[[#This Row],[SchoolCode]],_xlfn.TEXTJOIN(",",TRUE,_xlfn.UNIQUE(IF(PENS[PensionCode]=CONT_TEA[[#This Row],[PensionCode]],PENS[SchoolCodes],""))))),1,0))</f>
        <v>0</v>
      </c>
      <c r="O139" s="57" cm="1">
        <f t="array" ref="O139">IF(_xlfn.XLOOKUP(CONT_TEA[[#This Row],[EquatedWeekPatternCode]],EQW[EquatedWeekPatternCode],EQW[AvailableToAllSchools],1,0,)=TRUE,0,IF(ISERROR(FIND(CONT_TEA[[#This Row],[SchoolCode]],_xlfn.TEXTJOIN(",",TRUE,_xlfn.UNIQUE(IF(EQW[EquatedWeekPatternCode]=CONT_TEA[[#This Row],[EquatedWeekPatternCode]],EQW[SchoolCodes],""))))),1,0))</f>
        <v>0</v>
      </c>
      <c r="P139" s="57">
        <f>1-COUNTIF(ContractTypes[Code],CONT_TEA[[#This Row],[ContractTypeCode]])</f>
        <v>0</v>
      </c>
      <c r="Q139" s="57">
        <f>IF(VLOOKUP(CONT_TEA[[#This Row],[StaffMemberCode]],MEMBERS[[StaffMemberCode]:[ServiceStartDate]],5,0)&gt;CONT_TEA[[#This Row],[DateFrom]],1,0)</f>
        <v>0</v>
      </c>
      <c r="R139" s="57">
        <f>IF(_xlfn.XLOOKUP(CONT_TEA[[#This Row],[StaffMemberCode]],MEMBERS[StaffMemberCode],MEMBERS[ServiceEndDate])="",0,IF(CONT_TEA[[#This Row],[DateTo]]="",1,IF(_xlfn.XLOOKUP(CONT_TEA[[#This Row],[StaffMemberCode]],MEMBERS[StaffMemberCode],MEMBERS[ServiceEndDate])&lt;CONT_TEA[[#This Row],[DateTo]],1,0)))</f>
        <v>0</v>
      </c>
      <c r="S139" s="57">
        <f>IF(ISBLANK(CONT_TEA[[#This Row],[DateTo]]),0,IF(CONT_TEA[[#This Row],[DateFrom]]=CONT_TEA[[#This Row],[DateTo]],0,IF(CONT_TEA[[#This Row],[DateFrom]]&lt;CONT_TEA[[#This Row],[DateTo]],0,1)))</f>
        <v>0</v>
      </c>
      <c r="T139" s="57" cm="1">
        <f t="array" aca="1" ref="T139" ca="1">IF(CELL("format",CONT_TEA[[#This Row],[DateFrom]])="D1",0,1)+IF(CELL("format",CONT_TEA[[#This Row],[DateTo]])="D1",0,1)</f>
        <v>0</v>
      </c>
      <c r="U139" s="57">
        <f>IF(OR(CONT_TEA[[#This Row],[MatEditOnly]]=TRUE,CONT_TEA[[#This Row],[MatEditOnly]]=FALSE),IF(OR(CONT_TEA[[#This Row],[NoIncrement]]=TRUE,CONT_TEA[[#This Row],[NoIncrement]]=FALSE),0,1),1)</f>
        <v>0</v>
      </c>
      <c r="V139" s="57">
        <f>IF(ISBLANK(CONT_TEA[[#This Row],[FundCode]])=TRUE,0,IF(COUNTIF(FUNDS[FundCode],CONT_TEA[[#This Row],[FundCode]])=1,0,1))</f>
        <v>0</v>
      </c>
      <c r="W139" s="57">
        <f>IF(LEN(CONT_TEA[[#This Row],[Notes]])&lt;4000,0,1)</f>
        <v>0</v>
      </c>
      <c r="X139" s="57">
        <f>IF(SUBSTITUTE(TEXT(CONT_TEA[[#This Row],[Reference]],10)," ","")=TEXT(CONT_TEA[[#This Row],[Reference]],10),0,1)</f>
        <v>0</v>
      </c>
      <c r="Y139" s="57">
        <f ca="1">SUM(CONT_TEA[[#This Row],[Duplicate Contract]:[Space in Code]])</f>
        <v>1</v>
      </c>
      <c r="AA139" s="12" t="s">
        <v>2082</v>
      </c>
      <c r="AB139" s="15">
        <v>91073847</v>
      </c>
      <c r="AC139" s="12" t="s">
        <v>4487</v>
      </c>
      <c r="AD139" s="57" t="str">
        <f>_xlfn.XLOOKUP(CONT_TEA[[#This Row],[StaffMemberCode]],StaffMembers!O:O,StaffMembers!R:R)</f>
        <v>Claude Chimhandamba</v>
      </c>
      <c r="AE139" s="12" t="s">
        <v>1178</v>
      </c>
      <c r="AF139" s="57">
        <f>_xlfn.XLOOKUP(CONT_TEA[[#This Row],[SRG]],SRG[StaffRoleGroupCode],SRG[GrossSalaryFinanceCode])</f>
        <v>612100</v>
      </c>
      <c r="AG139" s="57" t="str">
        <f>_xlfn.XLOOKUP(CONT_TEA[[#This Row],[StaffRoleCode]],ROLES[StaffRoleCode],ROLES[StaffRoleGroupCode])</f>
        <v>TEA</v>
      </c>
      <c r="AH139" s="57" t="str">
        <f>_xlfn.XLOOKUP(CONT_TEA[[#This Row],[StaffRoleCode]],ROLES[StaffRoleCode],ROLES[PayScaleCode])</f>
        <v>MAIN</v>
      </c>
      <c r="AI139" s="12" t="s">
        <v>1126</v>
      </c>
      <c r="AJ139" s="12" t="s">
        <v>1745</v>
      </c>
      <c r="AK139" s="12" t="s">
        <v>2499</v>
      </c>
      <c r="AM139" s="68" t="s">
        <v>1147</v>
      </c>
      <c r="AN139" s="13" t="s">
        <v>1702</v>
      </c>
      <c r="AO139" s="21">
        <v>45901</v>
      </c>
      <c r="AQ139" s="12">
        <v>1</v>
      </c>
      <c r="AR139" t="b">
        <v>0</v>
      </c>
      <c r="AS139" t="b">
        <v>0</v>
      </c>
      <c r="AT139" s="12" t="s">
        <v>1574</v>
      </c>
    </row>
    <row r="140" spans="1:47" x14ac:dyDescent="0.3">
      <c r="A140" s="57" t="str">
        <f t="shared" si="2"/>
        <v>BLS9185002591850025ATEASTCH45901</v>
      </c>
      <c r="B140" s="57">
        <f>COUNTIF(CONT_TEA[Unique Contract],CONT_TEA[[#This Row],[Unique Contract]])-1</f>
        <v>0</v>
      </c>
      <c r="C140" s="57">
        <f>IFERROR(IF(FIND(CONT_TEA[[#This Row],[SchoolCode]],_xlfn.XLOOKUP(CONT_TEA[[#This Row],[StaffMemberCode]],MEMBERS[StaffMemberCode],MEMBERS[SchoolCodes]))&gt;0,0,1),1)</f>
        <v>0</v>
      </c>
      <c r="D140" s="57" cm="1">
        <f t="array" ref="D140">IF(_xlfn.XLOOKUP(CONT_TEA[[#This Row],[StaffRoleCode]],ROLES[StaffRoleCode],ROLES[AvailableToAllSchools],1,0,)=TRUE,0,IF(ISERROR(FIND(CONT_TEA[[#This Row],[SchoolCode]],_xlfn.TEXTJOIN(",",TRUE,_xlfn.UNIQUE(IF(ROLES[StaffRoleCode]=CONT_TEA[[#This Row],[StaffRoleCode]],ROLES[SchoolCodes],""))))),1,0))</f>
        <v>0</v>
      </c>
      <c r="E140" s="57" cm="1">
        <f t="array" ref="E14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40" s="57" cm="1">
        <f t="array" ref="F140">IF(_xlfn.XLOOKUP(CONT_TEA[[#This Row],[PayScaleCode]],PAYSCALES[PayScaleCode],PAYSCALES[AvailableToAllSchools],1,0,)=TRUE,0,IF(ISERROR(FIND(CONT_TEA[[#This Row],[SchoolCode]],_xlfn.TEXTJOIN(",",TRUE,_xlfn.UNIQUE(IF(PAYSCALES[PayScaleCode]=CONT_TEA[[#This Row],[PayScaleCode]],PAYSCALES[SchoolCodes],""))))),1,0))</f>
        <v>0</v>
      </c>
      <c r="G140" s="57">
        <f>IF(_xlfn.XLOOKUP(CONT_TEA[[#This Row],[PayScaleGradeCode]],GRADES[PayScaleGradeCode],GRADES[AvailableToAllSchools])=TRUE,0,IFERROR(IF(FIND(CONT_TEA[[#This Row],[SchoolCode]],_xlfn.XLOOKUP(CONT_TEA[[#This Row],[PayScaleGradeCode]],GRADES[PayScaleGradeCode],GRADES[SchoolCodes]))&gt;=1,0,1),1))</f>
        <v>0</v>
      </c>
      <c r="H140" s="57">
        <f>IF(ISERROR(IF((_xlfn.XLOOKUP(CONT_TEA[[#This Row],[PayScaleGradeCode]],GRADES[PayScaleGradeCode],GRADES[PayScaleCode])=CONT_TEA[[#This Row],[PayScaleCode]]),0,1)),1,0)</f>
        <v>0</v>
      </c>
      <c r="I140" s="57" cm="1">
        <f t="array" ref="I140">IF(ISERROR(FIND(CONT_TEA[[#This Row],[PayScalePointCode]],_xlfn.TEXTJOIN(",",TRUE,IF(PSPOINTS[PayScaleCode]=CONT_TEA[[#This Row],[PayScaleCode]],PSPOINTS[PayScalePointCode])))),1,0)</f>
        <v>0</v>
      </c>
      <c r="J140" s="57" cm="1">
        <f t="array" ref="J14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40" s="57">
        <f>IF(_xlfn.XLOOKUP(CONT_TEA[[#This Row],[PayScalePointCode]],PSPOINTS[PayScalePointCode],PSPOINTS[PayScalePointEnabled])=TRUE,0,1)</f>
        <v>0</v>
      </c>
      <c r="L140" s="57" cm="1">
        <f t="array" ref="L140">IF(_xlfn.XLOOKUP(CONT_TEA[[#This Row],[DepartmentCode]],DEPTS[DepartmentCode],DEPTS[AvailableToAllSchools],1,0,)=TRUE,0,IF(ISERROR(FIND(CONT_TEA[[#This Row],[SchoolCode]],_xlfn.TEXTJOIN(",",TRUE,_xlfn.UNIQUE(IF(DEPTS[DepartmentCode]=CONT_TEA[[#This Row],[DepartmentCode]],DEPTS[SchoolCodes],""))))),1,0))</f>
        <v>0</v>
      </c>
      <c r="M140" s="57">
        <f>IFERROR(IF(_xlfn.XLOOKUP(CONT_TEA[[#This Row],[SRG Gross]],FinanceCodesBudget[FinanceCode],FinanceCodesBudget[LedgerCode])=_xlfn.XLOOKUP(CONT_TEA[[#This Row],[DepartmentCode]],DEPTS[DepartmentCode],DEPTS[LedgerCode]),0,1),1)</f>
        <v>1</v>
      </c>
      <c r="N140" s="57" cm="1">
        <f t="array" ref="N140">IF(_xlfn.XLOOKUP(CONT_TEA[[#This Row],[PensionCode]],PENS[PensionCode],PENS[AvailableToAllSchools],1,0,)=TRUE,0,IF(ISERROR(FIND(CONT_TEA[[#This Row],[SchoolCode]],_xlfn.TEXTJOIN(",",TRUE,_xlfn.UNIQUE(IF(PENS[PensionCode]=CONT_TEA[[#This Row],[PensionCode]],PENS[SchoolCodes],""))))),1,0))</f>
        <v>0</v>
      </c>
      <c r="O140" s="57" cm="1">
        <f t="array" ref="O140">IF(_xlfn.XLOOKUP(CONT_TEA[[#This Row],[EquatedWeekPatternCode]],EQW[EquatedWeekPatternCode],EQW[AvailableToAllSchools],1,0,)=TRUE,0,IF(ISERROR(FIND(CONT_TEA[[#This Row],[SchoolCode]],_xlfn.TEXTJOIN(",",TRUE,_xlfn.UNIQUE(IF(EQW[EquatedWeekPatternCode]=CONT_TEA[[#This Row],[EquatedWeekPatternCode]],EQW[SchoolCodes],""))))),1,0))</f>
        <v>0</v>
      </c>
      <c r="P140" s="57">
        <f>1-COUNTIF(ContractTypes[Code],CONT_TEA[[#This Row],[ContractTypeCode]])</f>
        <v>0</v>
      </c>
      <c r="Q140" s="57">
        <f>IF(VLOOKUP(CONT_TEA[[#This Row],[StaffMemberCode]],MEMBERS[[StaffMemberCode]:[ServiceStartDate]],5,0)&gt;CONT_TEA[[#This Row],[DateFrom]],1,0)</f>
        <v>0</v>
      </c>
      <c r="R140" s="57">
        <f>IF(_xlfn.XLOOKUP(CONT_TEA[[#This Row],[StaffMemberCode]],MEMBERS[StaffMemberCode],MEMBERS[ServiceEndDate])="",0,IF(CONT_TEA[[#This Row],[DateTo]]="",1,IF(_xlfn.XLOOKUP(CONT_TEA[[#This Row],[StaffMemberCode]],MEMBERS[StaffMemberCode],MEMBERS[ServiceEndDate])&lt;CONT_TEA[[#This Row],[DateTo]],1,0)))</f>
        <v>0</v>
      </c>
      <c r="S140" s="57">
        <f>IF(ISBLANK(CONT_TEA[[#This Row],[DateTo]]),0,IF(CONT_TEA[[#This Row],[DateFrom]]=CONT_TEA[[#This Row],[DateTo]],0,IF(CONT_TEA[[#This Row],[DateFrom]]&lt;CONT_TEA[[#This Row],[DateTo]],0,1)))</f>
        <v>0</v>
      </c>
      <c r="T140" s="57" cm="1">
        <f t="array" aca="1" ref="T140" ca="1">IF(CELL("format",CONT_TEA[[#This Row],[DateFrom]])="D1",0,1)+IF(CELL("format",CONT_TEA[[#This Row],[DateTo]])="D1",0,1)</f>
        <v>0</v>
      </c>
      <c r="U140" s="57">
        <f>IF(OR(CONT_TEA[[#This Row],[MatEditOnly]]=TRUE,CONT_TEA[[#This Row],[MatEditOnly]]=FALSE),IF(OR(CONT_TEA[[#This Row],[NoIncrement]]=TRUE,CONT_TEA[[#This Row],[NoIncrement]]=FALSE),0,1),1)</f>
        <v>0</v>
      </c>
      <c r="V140" s="57">
        <f>IF(ISBLANK(CONT_TEA[[#This Row],[FundCode]])=TRUE,0,IF(COUNTIF(FUNDS[FundCode],CONT_TEA[[#This Row],[FundCode]])=1,0,1))</f>
        <v>0</v>
      </c>
      <c r="W140" s="57">
        <f>IF(LEN(CONT_TEA[[#This Row],[Notes]])&lt;4000,0,1)</f>
        <v>0</v>
      </c>
      <c r="X140" s="57">
        <f>IF(SUBSTITUTE(TEXT(CONT_TEA[[#This Row],[Reference]],10)," ","")=TEXT(CONT_TEA[[#This Row],[Reference]],10),0,1)</f>
        <v>0</v>
      </c>
      <c r="Y140" s="57">
        <f ca="1">SUM(CONT_TEA[[#This Row],[Duplicate Contract]:[Space in Code]])</f>
        <v>1</v>
      </c>
      <c r="AA140" s="12" t="s">
        <v>2094</v>
      </c>
      <c r="AB140" s="15">
        <v>91850025</v>
      </c>
      <c r="AC140" s="12" t="s">
        <v>4488</v>
      </c>
      <c r="AD140" s="57" t="str">
        <f>_xlfn.XLOOKUP(CONT_TEA[[#This Row],[StaffMemberCode]],StaffMembers!O:O,StaffMembers!R:R)</f>
        <v>Cory Evans</v>
      </c>
      <c r="AE140" s="12" t="s">
        <v>1178</v>
      </c>
      <c r="AF140" s="57">
        <f>_xlfn.XLOOKUP(CONT_TEA[[#This Row],[SRG]],SRG[StaffRoleGroupCode],SRG[GrossSalaryFinanceCode])</f>
        <v>612100</v>
      </c>
      <c r="AG140" s="57" t="str">
        <f>_xlfn.XLOOKUP(CONT_TEA[[#This Row],[StaffRoleCode]],ROLES[StaffRoleCode],ROLES[StaffRoleGroupCode])</f>
        <v>TEA</v>
      </c>
      <c r="AH140" s="57" t="str">
        <f>_xlfn.XLOOKUP(CONT_TEA[[#This Row],[StaffRoleCode]],ROLES[StaffRoleCode],ROLES[PayScaleCode])</f>
        <v>MAIN</v>
      </c>
      <c r="AI140" s="12" t="s">
        <v>1126</v>
      </c>
      <c r="AJ140" s="12" t="s">
        <v>1064</v>
      </c>
      <c r="AK140" s="12" t="s">
        <v>2499</v>
      </c>
      <c r="AM140" s="68" t="s">
        <v>1147</v>
      </c>
      <c r="AN140" s="13" t="s">
        <v>1702</v>
      </c>
      <c r="AO140" s="21">
        <v>45901</v>
      </c>
      <c r="AQ140" s="12">
        <v>1</v>
      </c>
      <c r="AR140" t="b">
        <v>0</v>
      </c>
      <c r="AS140" t="b">
        <v>0</v>
      </c>
      <c r="AT140" s="12" t="s">
        <v>1574</v>
      </c>
      <c r="AU140" s="12" t="s">
        <v>4345</v>
      </c>
    </row>
    <row r="141" spans="1:47" x14ac:dyDescent="0.3">
      <c r="A141" s="57" t="str">
        <f t="shared" si="2"/>
        <v>BLS9185001791850017ATEASTCH45901</v>
      </c>
      <c r="B141" s="57">
        <f>COUNTIF(CONT_TEA[Unique Contract],CONT_TEA[[#This Row],[Unique Contract]])-1</f>
        <v>0</v>
      </c>
      <c r="C141" s="57">
        <f>IFERROR(IF(FIND(CONT_TEA[[#This Row],[SchoolCode]],_xlfn.XLOOKUP(CONT_TEA[[#This Row],[StaffMemberCode]],MEMBERS[StaffMemberCode],MEMBERS[SchoolCodes]))&gt;0,0,1),1)</f>
        <v>0</v>
      </c>
      <c r="D141" s="57" cm="1">
        <f t="array" ref="D141">IF(_xlfn.XLOOKUP(CONT_TEA[[#This Row],[StaffRoleCode]],ROLES[StaffRoleCode],ROLES[AvailableToAllSchools],1,0,)=TRUE,0,IF(ISERROR(FIND(CONT_TEA[[#This Row],[SchoolCode]],_xlfn.TEXTJOIN(",",TRUE,_xlfn.UNIQUE(IF(ROLES[StaffRoleCode]=CONT_TEA[[#This Row],[StaffRoleCode]],ROLES[SchoolCodes],""))))),1,0))</f>
        <v>0</v>
      </c>
      <c r="E141" s="57" cm="1">
        <f t="array" ref="E14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41" s="57" cm="1">
        <f t="array" ref="F141">IF(_xlfn.XLOOKUP(CONT_TEA[[#This Row],[PayScaleCode]],PAYSCALES[PayScaleCode],PAYSCALES[AvailableToAllSchools],1,0,)=TRUE,0,IF(ISERROR(FIND(CONT_TEA[[#This Row],[SchoolCode]],_xlfn.TEXTJOIN(",",TRUE,_xlfn.UNIQUE(IF(PAYSCALES[PayScaleCode]=CONT_TEA[[#This Row],[PayScaleCode]],PAYSCALES[SchoolCodes],""))))),1,0))</f>
        <v>0</v>
      </c>
      <c r="G141" s="57">
        <f>IF(_xlfn.XLOOKUP(CONT_TEA[[#This Row],[PayScaleGradeCode]],GRADES[PayScaleGradeCode],GRADES[AvailableToAllSchools])=TRUE,0,IFERROR(IF(FIND(CONT_TEA[[#This Row],[SchoolCode]],_xlfn.XLOOKUP(CONT_TEA[[#This Row],[PayScaleGradeCode]],GRADES[PayScaleGradeCode],GRADES[SchoolCodes]))&gt;=1,0,1),1))</f>
        <v>0</v>
      </c>
      <c r="H141" s="57">
        <f>IF(ISERROR(IF((_xlfn.XLOOKUP(CONT_TEA[[#This Row],[PayScaleGradeCode]],GRADES[PayScaleGradeCode],GRADES[PayScaleCode])=CONT_TEA[[#This Row],[PayScaleCode]]),0,1)),1,0)</f>
        <v>0</v>
      </c>
      <c r="I141" s="57" cm="1">
        <f t="array" ref="I141">IF(ISERROR(FIND(CONT_TEA[[#This Row],[PayScalePointCode]],_xlfn.TEXTJOIN(",",TRUE,IF(PSPOINTS[PayScaleCode]=CONT_TEA[[#This Row],[PayScaleCode]],PSPOINTS[PayScalePointCode])))),1,0)</f>
        <v>0</v>
      </c>
      <c r="J141" s="57" cm="1">
        <f t="array" ref="J14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41" s="57">
        <f>IF(_xlfn.XLOOKUP(CONT_TEA[[#This Row],[PayScalePointCode]],PSPOINTS[PayScalePointCode],PSPOINTS[PayScalePointEnabled])=TRUE,0,1)</f>
        <v>0</v>
      </c>
      <c r="L141" s="57" cm="1">
        <f t="array" ref="L141">IF(_xlfn.XLOOKUP(CONT_TEA[[#This Row],[DepartmentCode]],DEPTS[DepartmentCode],DEPTS[AvailableToAllSchools],1,0,)=TRUE,0,IF(ISERROR(FIND(CONT_TEA[[#This Row],[SchoolCode]],_xlfn.TEXTJOIN(",",TRUE,_xlfn.UNIQUE(IF(DEPTS[DepartmentCode]=CONT_TEA[[#This Row],[DepartmentCode]],DEPTS[SchoolCodes],""))))),1,0))</f>
        <v>0</v>
      </c>
      <c r="M141" s="57">
        <f>IFERROR(IF(_xlfn.XLOOKUP(CONT_TEA[[#This Row],[SRG Gross]],FinanceCodesBudget[FinanceCode],FinanceCodesBudget[LedgerCode])=_xlfn.XLOOKUP(CONT_TEA[[#This Row],[DepartmentCode]],DEPTS[DepartmentCode],DEPTS[LedgerCode]),0,1),1)</f>
        <v>1</v>
      </c>
      <c r="N141" s="57" cm="1">
        <f t="array" ref="N141">IF(_xlfn.XLOOKUP(CONT_TEA[[#This Row],[PensionCode]],PENS[PensionCode],PENS[AvailableToAllSchools],1,0,)=TRUE,0,IF(ISERROR(FIND(CONT_TEA[[#This Row],[SchoolCode]],_xlfn.TEXTJOIN(",",TRUE,_xlfn.UNIQUE(IF(PENS[PensionCode]=CONT_TEA[[#This Row],[PensionCode]],PENS[SchoolCodes],""))))),1,0))</f>
        <v>0</v>
      </c>
      <c r="O141" s="57" cm="1">
        <f t="array" ref="O141">IF(_xlfn.XLOOKUP(CONT_TEA[[#This Row],[EquatedWeekPatternCode]],EQW[EquatedWeekPatternCode],EQW[AvailableToAllSchools],1,0,)=TRUE,0,IF(ISERROR(FIND(CONT_TEA[[#This Row],[SchoolCode]],_xlfn.TEXTJOIN(",",TRUE,_xlfn.UNIQUE(IF(EQW[EquatedWeekPatternCode]=CONT_TEA[[#This Row],[EquatedWeekPatternCode]],EQW[SchoolCodes],""))))),1,0))</f>
        <v>0</v>
      </c>
      <c r="P141" s="57">
        <f>1-COUNTIF(ContractTypes[Code],CONT_TEA[[#This Row],[ContractTypeCode]])</f>
        <v>0</v>
      </c>
      <c r="Q141" s="57">
        <f>IF(VLOOKUP(CONT_TEA[[#This Row],[StaffMemberCode]],MEMBERS[[StaffMemberCode]:[ServiceStartDate]],5,0)&gt;CONT_TEA[[#This Row],[DateFrom]],1,0)</f>
        <v>0</v>
      </c>
      <c r="R141" s="57">
        <f>IF(_xlfn.XLOOKUP(CONT_TEA[[#This Row],[StaffMemberCode]],MEMBERS[StaffMemberCode],MEMBERS[ServiceEndDate])="",0,IF(CONT_TEA[[#This Row],[DateTo]]="",1,IF(_xlfn.XLOOKUP(CONT_TEA[[#This Row],[StaffMemberCode]],MEMBERS[StaffMemberCode],MEMBERS[ServiceEndDate])&lt;CONT_TEA[[#This Row],[DateTo]],1,0)))</f>
        <v>0</v>
      </c>
      <c r="S141" s="57">
        <f>IF(ISBLANK(CONT_TEA[[#This Row],[DateTo]]),0,IF(CONT_TEA[[#This Row],[DateFrom]]=CONT_TEA[[#This Row],[DateTo]],0,IF(CONT_TEA[[#This Row],[DateFrom]]&lt;CONT_TEA[[#This Row],[DateTo]],0,1)))</f>
        <v>0</v>
      </c>
      <c r="T141" s="57" cm="1">
        <f t="array" aca="1" ref="T141" ca="1">IF(CELL("format",CONT_TEA[[#This Row],[DateFrom]])="D1",0,1)+IF(CELL("format",CONT_TEA[[#This Row],[DateTo]])="D1",0,1)</f>
        <v>0</v>
      </c>
      <c r="U141" s="57">
        <f>IF(OR(CONT_TEA[[#This Row],[MatEditOnly]]=TRUE,CONT_TEA[[#This Row],[MatEditOnly]]=FALSE),IF(OR(CONT_TEA[[#This Row],[NoIncrement]]=TRUE,CONT_TEA[[#This Row],[NoIncrement]]=FALSE),0,1),1)</f>
        <v>0</v>
      </c>
      <c r="V141" s="57">
        <f>IF(ISBLANK(CONT_TEA[[#This Row],[FundCode]])=TRUE,0,IF(COUNTIF(FUNDS[FundCode],CONT_TEA[[#This Row],[FundCode]])=1,0,1))</f>
        <v>0</v>
      </c>
      <c r="W141" s="57">
        <f>IF(LEN(CONT_TEA[[#This Row],[Notes]])&lt;4000,0,1)</f>
        <v>0</v>
      </c>
      <c r="X141" s="57">
        <f>IF(SUBSTITUTE(TEXT(CONT_TEA[[#This Row],[Reference]],10)," ","")=TEXT(CONT_TEA[[#This Row],[Reference]],10),0,1)</f>
        <v>0</v>
      </c>
      <c r="Y141" s="57">
        <f ca="1">SUM(CONT_TEA[[#This Row],[Duplicate Contract]:[Space in Code]])</f>
        <v>1</v>
      </c>
      <c r="AA141" s="12" t="s">
        <v>2094</v>
      </c>
      <c r="AB141" s="15">
        <v>91850017</v>
      </c>
      <c r="AC141" s="12" t="s">
        <v>4489</v>
      </c>
      <c r="AD141" s="57" t="str">
        <f>_xlfn.XLOOKUP(CONT_TEA[[#This Row],[StaffMemberCode]],StaffMembers!O:O,StaffMembers!R:R)</f>
        <v>Daniel Rooney</v>
      </c>
      <c r="AE141" s="12" t="s">
        <v>1178</v>
      </c>
      <c r="AF141" s="57">
        <f>_xlfn.XLOOKUP(CONT_TEA[[#This Row],[SRG]],SRG[StaffRoleGroupCode],SRG[GrossSalaryFinanceCode])</f>
        <v>612100</v>
      </c>
      <c r="AG141" s="57" t="str">
        <f>_xlfn.XLOOKUP(CONT_TEA[[#This Row],[StaffRoleCode]],ROLES[StaffRoleCode],ROLES[StaffRoleGroupCode])</f>
        <v>TEA</v>
      </c>
      <c r="AH141" s="57" t="str">
        <f>_xlfn.XLOOKUP(CONT_TEA[[#This Row],[StaffRoleCode]],ROLES[StaffRoleCode],ROLES[PayScaleCode])</f>
        <v>MAIN</v>
      </c>
      <c r="AI141" s="12" t="s">
        <v>1126</v>
      </c>
      <c r="AJ141" s="12" t="s">
        <v>1546</v>
      </c>
      <c r="AK141" s="12" t="s">
        <v>2499</v>
      </c>
      <c r="AM141" s="68" t="s">
        <v>1147</v>
      </c>
      <c r="AN141" s="13" t="s">
        <v>1702</v>
      </c>
      <c r="AO141" s="21">
        <v>45901</v>
      </c>
      <c r="AQ141" s="12">
        <v>1</v>
      </c>
      <c r="AR141" t="b">
        <v>0</v>
      </c>
      <c r="AS141" t="b">
        <v>0</v>
      </c>
      <c r="AT141" s="12" t="s">
        <v>1574</v>
      </c>
      <c r="AU141" s="12" t="s">
        <v>2175</v>
      </c>
    </row>
    <row r="142" spans="1:47" x14ac:dyDescent="0.3">
      <c r="A142" s="57" t="str">
        <f t="shared" si="2"/>
        <v>ALS9107380791073807ATEASTCH45901</v>
      </c>
      <c r="B142" s="57">
        <f>COUNTIF(CONT_TEA[Unique Contract],CONT_TEA[[#This Row],[Unique Contract]])-1</f>
        <v>0</v>
      </c>
      <c r="C142" s="57">
        <f>IFERROR(IF(FIND(CONT_TEA[[#This Row],[SchoolCode]],_xlfn.XLOOKUP(CONT_TEA[[#This Row],[StaffMemberCode]],MEMBERS[StaffMemberCode],MEMBERS[SchoolCodes]))&gt;0,0,1),1)</f>
        <v>0</v>
      </c>
      <c r="D142" s="57" cm="1">
        <f t="array" ref="D142">IF(_xlfn.XLOOKUP(CONT_TEA[[#This Row],[StaffRoleCode]],ROLES[StaffRoleCode],ROLES[AvailableToAllSchools],1,0,)=TRUE,0,IF(ISERROR(FIND(CONT_TEA[[#This Row],[SchoolCode]],_xlfn.TEXTJOIN(",",TRUE,_xlfn.UNIQUE(IF(ROLES[StaffRoleCode]=CONT_TEA[[#This Row],[StaffRoleCode]],ROLES[SchoolCodes],""))))),1,0))</f>
        <v>0</v>
      </c>
      <c r="E142" s="57" cm="1">
        <f t="array" ref="E14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42" s="57" cm="1">
        <f t="array" ref="F142">IF(_xlfn.XLOOKUP(CONT_TEA[[#This Row],[PayScaleCode]],PAYSCALES[PayScaleCode],PAYSCALES[AvailableToAllSchools],1,0,)=TRUE,0,IF(ISERROR(FIND(CONT_TEA[[#This Row],[SchoolCode]],_xlfn.TEXTJOIN(",",TRUE,_xlfn.UNIQUE(IF(PAYSCALES[PayScaleCode]=CONT_TEA[[#This Row],[PayScaleCode]],PAYSCALES[SchoolCodes],""))))),1,0))</f>
        <v>0</v>
      </c>
      <c r="G142" s="57">
        <f>IF(_xlfn.XLOOKUP(CONT_TEA[[#This Row],[PayScaleGradeCode]],GRADES[PayScaleGradeCode],GRADES[AvailableToAllSchools])=TRUE,0,IFERROR(IF(FIND(CONT_TEA[[#This Row],[SchoolCode]],_xlfn.XLOOKUP(CONT_TEA[[#This Row],[PayScaleGradeCode]],GRADES[PayScaleGradeCode],GRADES[SchoolCodes]))&gt;=1,0,1),1))</f>
        <v>0</v>
      </c>
      <c r="H142" s="57">
        <f>IF(ISERROR(IF((_xlfn.XLOOKUP(CONT_TEA[[#This Row],[PayScaleGradeCode]],GRADES[PayScaleGradeCode],GRADES[PayScaleCode])=CONT_TEA[[#This Row],[PayScaleCode]]),0,1)),1,0)</f>
        <v>0</v>
      </c>
      <c r="I142" s="57" cm="1">
        <f t="array" ref="I142">IF(ISERROR(FIND(CONT_TEA[[#This Row],[PayScalePointCode]],_xlfn.TEXTJOIN(",",TRUE,IF(PSPOINTS[PayScaleCode]=CONT_TEA[[#This Row],[PayScaleCode]],PSPOINTS[PayScalePointCode])))),1,0)</f>
        <v>0</v>
      </c>
      <c r="J142" s="57" cm="1">
        <f t="array" ref="J14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42" s="57">
        <f>IF(_xlfn.XLOOKUP(CONT_TEA[[#This Row],[PayScalePointCode]],PSPOINTS[PayScalePointCode],PSPOINTS[PayScalePointEnabled])=TRUE,0,1)</f>
        <v>0</v>
      </c>
      <c r="L142" s="57" cm="1">
        <f t="array" ref="L142">IF(_xlfn.XLOOKUP(CONT_TEA[[#This Row],[DepartmentCode]],DEPTS[DepartmentCode],DEPTS[AvailableToAllSchools],1,0,)=TRUE,0,IF(ISERROR(FIND(CONT_TEA[[#This Row],[SchoolCode]],_xlfn.TEXTJOIN(",",TRUE,_xlfn.UNIQUE(IF(DEPTS[DepartmentCode]=CONT_TEA[[#This Row],[DepartmentCode]],DEPTS[SchoolCodes],""))))),1,0))</f>
        <v>0</v>
      </c>
      <c r="M142" s="57">
        <f>IFERROR(IF(_xlfn.XLOOKUP(CONT_TEA[[#This Row],[SRG Gross]],FinanceCodesBudget[FinanceCode],FinanceCodesBudget[LedgerCode])=_xlfn.XLOOKUP(CONT_TEA[[#This Row],[DepartmentCode]],DEPTS[DepartmentCode],DEPTS[LedgerCode]),0,1),1)</f>
        <v>1</v>
      </c>
      <c r="N142" s="57" cm="1">
        <f t="array" ref="N142">IF(_xlfn.XLOOKUP(CONT_TEA[[#This Row],[PensionCode]],PENS[PensionCode],PENS[AvailableToAllSchools],1,0,)=TRUE,0,IF(ISERROR(FIND(CONT_TEA[[#This Row],[SchoolCode]],_xlfn.TEXTJOIN(",",TRUE,_xlfn.UNIQUE(IF(PENS[PensionCode]=CONT_TEA[[#This Row],[PensionCode]],PENS[SchoolCodes],""))))),1,0))</f>
        <v>0</v>
      </c>
      <c r="O142" s="57" cm="1">
        <f t="array" ref="O142">IF(_xlfn.XLOOKUP(CONT_TEA[[#This Row],[EquatedWeekPatternCode]],EQW[EquatedWeekPatternCode],EQW[AvailableToAllSchools],1,0,)=TRUE,0,IF(ISERROR(FIND(CONT_TEA[[#This Row],[SchoolCode]],_xlfn.TEXTJOIN(",",TRUE,_xlfn.UNIQUE(IF(EQW[EquatedWeekPatternCode]=CONT_TEA[[#This Row],[EquatedWeekPatternCode]],EQW[SchoolCodes],""))))),1,0))</f>
        <v>0</v>
      </c>
      <c r="P142" s="57">
        <f>1-COUNTIF(ContractTypes[Code],CONT_TEA[[#This Row],[ContractTypeCode]])</f>
        <v>0</v>
      </c>
      <c r="Q142" s="57">
        <f>IF(VLOOKUP(CONT_TEA[[#This Row],[StaffMemberCode]],MEMBERS[[StaffMemberCode]:[ServiceStartDate]],5,0)&gt;CONT_TEA[[#This Row],[DateFrom]],1,0)</f>
        <v>0</v>
      </c>
      <c r="R142" s="57">
        <f>IF(_xlfn.XLOOKUP(CONT_TEA[[#This Row],[StaffMemberCode]],MEMBERS[StaffMemberCode],MEMBERS[ServiceEndDate])="",0,IF(CONT_TEA[[#This Row],[DateTo]]="",1,IF(_xlfn.XLOOKUP(CONT_TEA[[#This Row],[StaffMemberCode]],MEMBERS[StaffMemberCode],MEMBERS[ServiceEndDate])&lt;CONT_TEA[[#This Row],[DateTo]],1,0)))</f>
        <v>0</v>
      </c>
      <c r="S142" s="57">
        <f>IF(ISBLANK(CONT_TEA[[#This Row],[DateTo]]),0,IF(CONT_TEA[[#This Row],[DateFrom]]=CONT_TEA[[#This Row],[DateTo]],0,IF(CONT_TEA[[#This Row],[DateFrom]]&lt;CONT_TEA[[#This Row],[DateTo]],0,1)))</f>
        <v>0</v>
      </c>
      <c r="T142" s="57" cm="1">
        <f t="array" aca="1" ref="T142" ca="1">IF(CELL("format",CONT_TEA[[#This Row],[DateFrom]])="D1",0,1)+IF(CELL("format",CONT_TEA[[#This Row],[DateTo]])="D1",0,1)</f>
        <v>0</v>
      </c>
      <c r="U142" s="57">
        <f>IF(OR(CONT_TEA[[#This Row],[MatEditOnly]]=TRUE,CONT_TEA[[#This Row],[MatEditOnly]]=FALSE),IF(OR(CONT_TEA[[#This Row],[NoIncrement]]=TRUE,CONT_TEA[[#This Row],[NoIncrement]]=FALSE),0,1),1)</f>
        <v>0</v>
      </c>
      <c r="V142" s="57">
        <f>IF(ISBLANK(CONT_TEA[[#This Row],[FundCode]])=TRUE,0,IF(COUNTIF(FUNDS[FundCode],CONT_TEA[[#This Row],[FundCode]])=1,0,1))</f>
        <v>0</v>
      </c>
      <c r="W142" s="57">
        <f>IF(LEN(CONT_TEA[[#This Row],[Notes]])&lt;4000,0,1)</f>
        <v>0</v>
      </c>
      <c r="X142" s="57">
        <f>IF(SUBSTITUTE(TEXT(CONT_TEA[[#This Row],[Reference]],10)," ","")=TEXT(CONT_TEA[[#This Row],[Reference]],10),0,1)</f>
        <v>0</v>
      </c>
      <c r="Y142" s="57">
        <f ca="1">SUM(CONT_TEA[[#This Row],[Duplicate Contract]:[Space in Code]])</f>
        <v>1</v>
      </c>
      <c r="AA142" s="12" t="s">
        <v>2082</v>
      </c>
      <c r="AB142" s="15">
        <v>91073807</v>
      </c>
      <c r="AC142" s="12" t="s">
        <v>4490</v>
      </c>
      <c r="AD142" s="57" t="str">
        <f>_xlfn.XLOOKUP(CONT_TEA[[#This Row],[StaffMemberCode]],StaffMembers!O:O,StaffMembers!R:R)</f>
        <v>Daniel Whitehouse</v>
      </c>
      <c r="AE142" s="12" t="s">
        <v>1178</v>
      </c>
      <c r="AF142" s="57">
        <f>_xlfn.XLOOKUP(CONT_TEA[[#This Row],[SRG]],SRG[StaffRoleGroupCode],SRG[GrossSalaryFinanceCode])</f>
        <v>612100</v>
      </c>
      <c r="AG142" s="57" t="str">
        <f>_xlfn.XLOOKUP(CONT_TEA[[#This Row],[StaffRoleCode]],ROLES[StaffRoleCode],ROLES[StaffRoleGroupCode])</f>
        <v>TEA</v>
      </c>
      <c r="AH142" s="57" t="str">
        <f>_xlfn.XLOOKUP(CONT_TEA[[#This Row],[StaffRoleCode]],ROLES[StaffRoleCode],ROLES[PayScaleCode])</f>
        <v>MAIN</v>
      </c>
      <c r="AI142" s="12" t="s">
        <v>1126</v>
      </c>
      <c r="AJ142" s="12" t="s">
        <v>1066</v>
      </c>
      <c r="AK142" s="12" t="s">
        <v>2499</v>
      </c>
      <c r="AM142" s="68" t="s">
        <v>1147</v>
      </c>
      <c r="AN142" s="13" t="s">
        <v>1702</v>
      </c>
      <c r="AO142" s="21">
        <v>45901</v>
      </c>
      <c r="AQ142" s="12">
        <v>1</v>
      </c>
      <c r="AR142" t="b">
        <v>0</v>
      </c>
      <c r="AS142" t="b">
        <v>0</v>
      </c>
      <c r="AT142" s="12" t="s">
        <v>1574</v>
      </c>
    </row>
    <row r="143" spans="1:47" x14ac:dyDescent="0.3">
      <c r="A143" s="57" t="str">
        <f t="shared" si="2"/>
        <v>BLS9107360891073608ATEASTCH45901</v>
      </c>
      <c r="B143" s="57">
        <f>COUNTIF(CONT_TEA[Unique Contract],CONT_TEA[[#This Row],[Unique Contract]])-1</f>
        <v>0</v>
      </c>
      <c r="C143" s="57">
        <f>IFERROR(IF(FIND(CONT_TEA[[#This Row],[SchoolCode]],_xlfn.XLOOKUP(CONT_TEA[[#This Row],[StaffMemberCode]],MEMBERS[StaffMemberCode],MEMBERS[SchoolCodes]))&gt;0,0,1),1)</f>
        <v>0</v>
      </c>
      <c r="D143" s="57" cm="1">
        <f t="array" ref="D143">IF(_xlfn.XLOOKUP(CONT_TEA[[#This Row],[StaffRoleCode]],ROLES[StaffRoleCode],ROLES[AvailableToAllSchools],1,0,)=TRUE,0,IF(ISERROR(FIND(CONT_TEA[[#This Row],[SchoolCode]],_xlfn.TEXTJOIN(",",TRUE,_xlfn.UNIQUE(IF(ROLES[StaffRoleCode]=CONT_TEA[[#This Row],[StaffRoleCode]],ROLES[SchoolCodes],""))))),1,0))</f>
        <v>0</v>
      </c>
      <c r="E143" s="57" cm="1">
        <f t="array" ref="E14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43" s="57" cm="1">
        <f t="array" ref="F143">IF(_xlfn.XLOOKUP(CONT_TEA[[#This Row],[PayScaleCode]],PAYSCALES[PayScaleCode],PAYSCALES[AvailableToAllSchools],1,0,)=TRUE,0,IF(ISERROR(FIND(CONT_TEA[[#This Row],[SchoolCode]],_xlfn.TEXTJOIN(",",TRUE,_xlfn.UNIQUE(IF(PAYSCALES[PayScaleCode]=CONT_TEA[[#This Row],[PayScaleCode]],PAYSCALES[SchoolCodes],""))))),1,0))</f>
        <v>0</v>
      </c>
      <c r="G143" s="57">
        <f>IF(_xlfn.XLOOKUP(CONT_TEA[[#This Row],[PayScaleGradeCode]],GRADES[PayScaleGradeCode],GRADES[AvailableToAllSchools])=TRUE,0,IFERROR(IF(FIND(CONT_TEA[[#This Row],[SchoolCode]],_xlfn.XLOOKUP(CONT_TEA[[#This Row],[PayScaleGradeCode]],GRADES[PayScaleGradeCode],GRADES[SchoolCodes]))&gt;=1,0,1),1))</f>
        <v>0</v>
      </c>
      <c r="H143" s="57">
        <f>IF(ISERROR(IF((_xlfn.XLOOKUP(CONT_TEA[[#This Row],[PayScaleGradeCode]],GRADES[PayScaleGradeCode],GRADES[PayScaleCode])=CONT_TEA[[#This Row],[PayScaleCode]]),0,1)),1,0)</f>
        <v>0</v>
      </c>
      <c r="I143" s="57" cm="1">
        <f t="array" ref="I143">IF(ISERROR(FIND(CONT_TEA[[#This Row],[PayScalePointCode]],_xlfn.TEXTJOIN(",",TRUE,IF(PSPOINTS[PayScaleCode]=CONT_TEA[[#This Row],[PayScaleCode]],PSPOINTS[PayScalePointCode])))),1,0)</f>
        <v>0</v>
      </c>
      <c r="J143" s="57" cm="1">
        <f t="array" ref="J14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43" s="57">
        <f>IF(_xlfn.XLOOKUP(CONT_TEA[[#This Row],[PayScalePointCode]],PSPOINTS[PayScalePointCode],PSPOINTS[PayScalePointEnabled])=TRUE,0,1)</f>
        <v>0</v>
      </c>
      <c r="L143" s="57" cm="1">
        <f t="array" ref="L143">IF(_xlfn.XLOOKUP(CONT_TEA[[#This Row],[DepartmentCode]],DEPTS[DepartmentCode],DEPTS[AvailableToAllSchools],1,0,)=TRUE,0,IF(ISERROR(FIND(CONT_TEA[[#This Row],[SchoolCode]],_xlfn.TEXTJOIN(",",TRUE,_xlfn.UNIQUE(IF(DEPTS[DepartmentCode]=CONT_TEA[[#This Row],[DepartmentCode]],DEPTS[SchoolCodes],""))))),1,0))</f>
        <v>0</v>
      </c>
      <c r="M143" s="57">
        <f>IFERROR(IF(_xlfn.XLOOKUP(CONT_TEA[[#This Row],[SRG Gross]],FinanceCodesBudget[FinanceCode],FinanceCodesBudget[LedgerCode])=_xlfn.XLOOKUP(CONT_TEA[[#This Row],[DepartmentCode]],DEPTS[DepartmentCode],DEPTS[LedgerCode]),0,1),1)</f>
        <v>1</v>
      </c>
      <c r="N143" s="57" cm="1">
        <f t="array" ref="N143">IF(_xlfn.XLOOKUP(CONT_TEA[[#This Row],[PensionCode]],PENS[PensionCode],PENS[AvailableToAllSchools],1,0,)=TRUE,0,IF(ISERROR(FIND(CONT_TEA[[#This Row],[SchoolCode]],_xlfn.TEXTJOIN(",",TRUE,_xlfn.UNIQUE(IF(PENS[PensionCode]=CONT_TEA[[#This Row],[PensionCode]],PENS[SchoolCodes],""))))),1,0))</f>
        <v>0</v>
      </c>
      <c r="O143" s="57" cm="1">
        <f t="array" ref="O143">IF(_xlfn.XLOOKUP(CONT_TEA[[#This Row],[EquatedWeekPatternCode]],EQW[EquatedWeekPatternCode],EQW[AvailableToAllSchools],1,0,)=TRUE,0,IF(ISERROR(FIND(CONT_TEA[[#This Row],[SchoolCode]],_xlfn.TEXTJOIN(",",TRUE,_xlfn.UNIQUE(IF(EQW[EquatedWeekPatternCode]=CONT_TEA[[#This Row],[EquatedWeekPatternCode]],EQW[SchoolCodes],""))))),1,0))</f>
        <v>0</v>
      </c>
      <c r="P143" s="57">
        <f>1-COUNTIF(ContractTypes[Code],CONT_TEA[[#This Row],[ContractTypeCode]])</f>
        <v>0</v>
      </c>
      <c r="Q143" s="57">
        <f>IF(VLOOKUP(CONT_TEA[[#This Row],[StaffMemberCode]],MEMBERS[[StaffMemberCode]:[ServiceStartDate]],5,0)&gt;CONT_TEA[[#This Row],[DateFrom]],1,0)</f>
        <v>0</v>
      </c>
      <c r="R143" s="57">
        <f>IF(_xlfn.XLOOKUP(CONT_TEA[[#This Row],[StaffMemberCode]],MEMBERS[StaffMemberCode],MEMBERS[ServiceEndDate])="",0,IF(CONT_TEA[[#This Row],[DateTo]]="",1,IF(_xlfn.XLOOKUP(CONT_TEA[[#This Row],[StaffMemberCode]],MEMBERS[StaffMemberCode],MEMBERS[ServiceEndDate])&lt;CONT_TEA[[#This Row],[DateTo]],1,0)))</f>
        <v>0</v>
      </c>
      <c r="S143" s="57">
        <f>IF(ISBLANK(CONT_TEA[[#This Row],[DateTo]]),0,IF(CONT_TEA[[#This Row],[DateFrom]]=CONT_TEA[[#This Row],[DateTo]],0,IF(CONT_TEA[[#This Row],[DateFrom]]&lt;CONT_TEA[[#This Row],[DateTo]],0,1)))</f>
        <v>0</v>
      </c>
      <c r="T143" s="57" cm="1">
        <f t="array" aca="1" ref="T143" ca="1">IF(CELL("format",CONT_TEA[[#This Row],[DateFrom]])="D1",0,1)+IF(CELL("format",CONT_TEA[[#This Row],[DateTo]])="D1",0,1)</f>
        <v>0</v>
      </c>
      <c r="U143" s="57">
        <f>IF(OR(CONT_TEA[[#This Row],[MatEditOnly]]=TRUE,CONT_TEA[[#This Row],[MatEditOnly]]=FALSE),IF(OR(CONT_TEA[[#This Row],[NoIncrement]]=TRUE,CONT_TEA[[#This Row],[NoIncrement]]=FALSE),0,1),1)</f>
        <v>0</v>
      </c>
      <c r="V143" s="57">
        <f>IF(ISBLANK(CONT_TEA[[#This Row],[FundCode]])=TRUE,0,IF(COUNTIF(FUNDS[FundCode],CONT_TEA[[#This Row],[FundCode]])=1,0,1))</f>
        <v>0</v>
      </c>
      <c r="W143" s="57">
        <f>IF(LEN(CONT_TEA[[#This Row],[Notes]])&lt;4000,0,1)</f>
        <v>0</v>
      </c>
      <c r="X143" s="57">
        <f>IF(SUBSTITUTE(TEXT(CONT_TEA[[#This Row],[Reference]],10)," ","")=TEXT(CONT_TEA[[#This Row],[Reference]],10),0,1)</f>
        <v>0</v>
      </c>
      <c r="Y143" s="57">
        <f ca="1">SUM(CONT_TEA[[#This Row],[Duplicate Contract]:[Space in Code]])</f>
        <v>1</v>
      </c>
      <c r="AA143" s="12" t="s">
        <v>2094</v>
      </c>
      <c r="AB143" s="15">
        <v>91073608</v>
      </c>
      <c r="AC143" s="12" t="s">
        <v>4491</v>
      </c>
      <c r="AD143" s="57" t="str">
        <f>_xlfn.XLOOKUP(CONT_TEA[[#This Row],[StaffMemberCode]],StaffMembers!O:O,StaffMembers!R:R)</f>
        <v>Danielle Brindley</v>
      </c>
      <c r="AE143" s="12" t="s">
        <v>1178</v>
      </c>
      <c r="AF143" s="57">
        <f>_xlfn.XLOOKUP(CONT_TEA[[#This Row],[SRG]],SRG[StaffRoleGroupCode],SRG[GrossSalaryFinanceCode])</f>
        <v>612100</v>
      </c>
      <c r="AG143" s="57" t="str">
        <f>_xlfn.XLOOKUP(CONT_TEA[[#This Row],[StaffRoleCode]],ROLES[StaffRoleCode],ROLES[StaffRoleGroupCode])</f>
        <v>TEA</v>
      </c>
      <c r="AH143" s="57" t="str">
        <f>_xlfn.XLOOKUP(CONT_TEA[[#This Row],[StaffRoleCode]],ROLES[StaffRoleCode],ROLES[PayScaleCode])</f>
        <v>MAIN</v>
      </c>
      <c r="AI143" s="12" t="s">
        <v>1126</v>
      </c>
      <c r="AJ143" s="12" t="s">
        <v>1065</v>
      </c>
      <c r="AK143" s="12" t="s">
        <v>2499</v>
      </c>
      <c r="AM143" s="68" t="s">
        <v>1147</v>
      </c>
      <c r="AN143" s="13" t="s">
        <v>1702</v>
      </c>
      <c r="AO143" s="21">
        <v>45901</v>
      </c>
      <c r="AQ143" s="12">
        <v>1</v>
      </c>
      <c r="AR143" t="b">
        <v>0</v>
      </c>
      <c r="AS143" t="b">
        <v>0</v>
      </c>
      <c r="AT143" s="12" t="s">
        <v>1574</v>
      </c>
    </row>
    <row r="144" spans="1:47" x14ac:dyDescent="0.3">
      <c r="A144" s="57" t="str">
        <f t="shared" si="2"/>
        <v>SBL9107577791075777ATEASTCH45901</v>
      </c>
      <c r="B144" s="57">
        <f>COUNTIF(CONT_TEA[Unique Contract],CONT_TEA[[#This Row],[Unique Contract]])-1</f>
        <v>0</v>
      </c>
      <c r="C144" s="57">
        <f>IFERROR(IF(FIND(CONT_TEA[[#This Row],[SchoolCode]],_xlfn.XLOOKUP(CONT_TEA[[#This Row],[StaffMemberCode]],MEMBERS[StaffMemberCode],MEMBERS[SchoolCodes]))&gt;0,0,1),1)</f>
        <v>0</v>
      </c>
      <c r="D144" s="57" cm="1">
        <f t="array" ref="D144">IF(_xlfn.XLOOKUP(CONT_TEA[[#This Row],[StaffRoleCode]],ROLES[StaffRoleCode],ROLES[AvailableToAllSchools],1,0,)=TRUE,0,IF(ISERROR(FIND(CONT_TEA[[#This Row],[SchoolCode]],_xlfn.TEXTJOIN(",",TRUE,_xlfn.UNIQUE(IF(ROLES[StaffRoleCode]=CONT_TEA[[#This Row],[StaffRoleCode]],ROLES[SchoolCodes],""))))),1,0))</f>
        <v>0</v>
      </c>
      <c r="E144" s="57" cm="1">
        <f t="array" ref="E14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44" s="57" cm="1">
        <f t="array" ref="F144">IF(_xlfn.XLOOKUP(CONT_TEA[[#This Row],[PayScaleCode]],PAYSCALES[PayScaleCode],PAYSCALES[AvailableToAllSchools],1,0,)=TRUE,0,IF(ISERROR(FIND(CONT_TEA[[#This Row],[SchoolCode]],_xlfn.TEXTJOIN(",",TRUE,_xlfn.UNIQUE(IF(PAYSCALES[PayScaleCode]=CONT_TEA[[#This Row],[PayScaleCode]],PAYSCALES[SchoolCodes],""))))),1,0))</f>
        <v>0</v>
      </c>
      <c r="G144" s="57">
        <f>IF(_xlfn.XLOOKUP(CONT_TEA[[#This Row],[PayScaleGradeCode]],GRADES[PayScaleGradeCode],GRADES[AvailableToAllSchools])=TRUE,0,IFERROR(IF(FIND(CONT_TEA[[#This Row],[SchoolCode]],_xlfn.XLOOKUP(CONT_TEA[[#This Row],[PayScaleGradeCode]],GRADES[PayScaleGradeCode],GRADES[SchoolCodes]))&gt;=1,0,1),1))</f>
        <v>0</v>
      </c>
      <c r="H144" s="57">
        <f>IF(ISERROR(IF((_xlfn.XLOOKUP(CONT_TEA[[#This Row],[PayScaleGradeCode]],GRADES[PayScaleGradeCode],GRADES[PayScaleCode])=CONT_TEA[[#This Row],[PayScaleCode]]),0,1)),1,0)</f>
        <v>0</v>
      </c>
      <c r="I144" s="57" cm="1">
        <f t="array" ref="I144">IF(ISERROR(FIND(CONT_TEA[[#This Row],[PayScalePointCode]],_xlfn.TEXTJOIN(",",TRUE,IF(PSPOINTS[PayScaleCode]=CONT_TEA[[#This Row],[PayScaleCode]],PSPOINTS[PayScalePointCode])))),1,0)</f>
        <v>0</v>
      </c>
      <c r="J144" s="57" cm="1">
        <f t="array" ref="J14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44" s="57">
        <f>IF(_xlfn.XLOOKUP(CONT_TEA[[#This Row],[PayScalePointCode]],PSPOINTS[PayScalePointCode],PSPOINTS[PayScalePointEnabled])=TRUE,0,1)</f>
        <v>0</v>
      </c>
      <c r="L144" s="57" cm="1">
        <f t="array" ref="L144">IF(_xlfn.XLOOKUP(CONT_TEA[[#This Row],[DepartmentCode]],DEPTS[DepartmentCode],DEPTS[AvailableToAllSchools],1,0,)=TRUE,0,IF(ISERROR(FIND(CONT_TEA[[#This Row],[SchoolCode]],_xlfn.TEXTJOIN(",",TRUE,_xlfn.UNIQUE(IF(DEPTS[DepartmentCode]=CONT_TEA[[#This Row],[DepartmentCode]],DEPTS[SchoolCodes],""))))),1,0))</f>
        <v>0</v>
      </c>
      <c r="M144" s="57">
        <f>IFERROR(IF(_xlfn.XLOOKUP(CONT_TEA[[#This Row],[SRG Gross]],FinanceCodesBudget[FinanceCode],FinanceCodesBudget[LedgerCode])=_xlfn.XLOOKUP(CONT_TEA[[#This Row],[DepartmentCode]],DEPTS[DepartmentCode],DEPTS[LedgerCode]),0,1),1)</f>
        <v>1</v>
      </c>
      <c r="N144" s="57" cm="1">
        <f t="array" ref="N144">IF(_xlfn.XLOOKUP(CONT_TEA[[#This Row],[PensionCode]],PENS[PensionCode],PENS[AvailableToAllSchools],1,0,)=TRUE,0,IF(ISERROR(FIND(CONT_TEA[[#This Row],[SchoolCode]],_xlfn.TEXTJOIN(",",TRUE,_xlfn.UNIQUE(IF(PENS[PensionCode]=CONT_TEA[[#This Row],[PensionCode]],PENS[SchoolCodes],""))))),1,0))</f>
        <v>0</v>
      </c>
      <c r="O144" s="57" cm="1">
        <f t="array" ref="O144">IF(_xlfn.XLOOKUP(CONT_TEA[[#This Row],[EquatedWeekPatternCode]],EQW[EquatedWeekPatternCode],EQW[AvailableToAllSchools],1,0,)=TRUE,0,IF(ISERROR(FIND(CONT_TEA[[#This Row],[SchoolCode]],_xlfn.TEXTJOIN(",",TRUE,_xlfn.UNIQUE(IF(EQW[EquatedWeekPatternCode]=CONT_TEA[[#This Row],[EquatedWeekPatternCode]],EQW[SchoolCodes],""))))),1,0))</f>
        <v>0</v>
      </c>
      <c r="P144" s="57">
        <f>1-COUNTIF(ContractTypes[Code],CONT_TEA[[#This Row],[ContractTypeCode]])</f>
        <v>0</v>
      </c>
      <c r="Q144" s="57">
        <f>IF(VLOOKUP(CONT_TEA[[#This Row],[StaffMemberCode]],MEMBERS[[StaffMemberCode]:[ServiceStartDate]],5,0)&gt;CONT_TEA[[#This Row],[DateFrom]],1,0)</f>
        <v>0</v>
      </c>
      <c r="R144" s="57">
        <f>IF(_xlfn.XLOOKUP(CONT_TEA[[#This Row],[StaffMemberCode]],MEMBERS[StaffMemberCode],MEMBERS[ServiceEndDate])="",0,IF(CONT_TEA[[#This Row],[DateTo]]="",1,IF(_xlfn.XLOOKUP(CONT_TEA[[#This Row],[StaffMemberCode]],MEMBERS[StaffMemberCode],MEMBERS[ServiceEndDate])&lt;CONT_TEA[[#This Row],[DateTo]],1,0)))</f>
        <v>0</v>
      </c>
      <c r="S144" s="57">
        <f>IF(ISBLANK(CONT_TEA[[#This Row],[DateTo]]),0,IF(CONT_TEA[[#This Row],[DateFrom]]=CONT_TEA[[#This Row],[DateTo]],0,IF(CONT_TEA[[#This Row],[DateFrom]]&lt;CONT_TEA[[#This Row],[DateTo]],0,1)))</f>
        <v>0</v>
      </c>
      <c r="T144" s="57" cm="1">
        <f t="array" aca="1" ref="T144" ca="1">IF(CELL("format",CONT_TEA[[#This Row],[DateFrom]])="D1",0,1)+IF(CELL("format",CONT_TEA[[#This Row],[DateTo]])="D1",0,1)</f>
        <v>0</v>
      </c>
      <c r="U144" s="57">
        <f>IF(OR(CONT_TEA[[#This Row],[MatEditOnly]]=TRUE,CONT_TEA[[#This Row],[MatEditOnly]]=FALSE),IF(OR(CONT_TEA[[#This Row],[NoIncrement]]=TRUE,CONT_TEA[[#This Row],[NoIncrement]]=FALSE),0,1),1)</f>
        <v>0</v>
      </c>
      <c r="V144" s="57">
        <f>IF(ISBLANK(CONT_TEA[[#This Row],[FundCode]])=TRUE,0,IF(COUNTIF(FUNDS[FundCode],CONT_TEA[[#This Row],[FundCode]])=1,0,1))</f>
        <v>0</v>
      </c>
      <c r="W144" s="57">
        <f>IF(LEN(CONT_TEA[[#This Row],[Notes]])&lt;4000,0,1)</f>
        <v>0</v>
      </c>
      <c r="X144" s="57">
        <f>IF(SUBSTITUTE(TEXT(CONT_TEA[[#This Row],[Reference]],10)," ","")=TEXT(CONT_TEA[[#This Row],[Reference]],10),0,1)</f>
        <v>0</v>
      </c>
      <c r="Y144" s="57">
        <f ca="1">SUM(CONT_TEA[[#This Row],[Duplicate Contract]:[Space in Code]])</f>
        <v>1</v>
      </c>
      <c r="AA144" s="12" t="s">
        <v>2200</v>
      </c>
      <c r="AB144" s="15">
        <v>91075777</v>
      </c>
      <c r="AC144" s="12" t="s">
        <v>4492</v>
      </c>
      <c r="AD144" s="57" t="str">
        <f>_xlfn.XLOOKUP(CONT_TEA[[#This Row],[StaffMemberCode]],StaffMembers!O:O,StaffMembers!R:R)</f>
        <v>Deboarah Stonier</v>
      </c>
      <c r="AE144" s="12" t="s">
        <v>1178</v>
      </c>
      <c r="AF144" s="57">
        <f>_xlfn.XLOOKUP(CONT_TEA[[#This Row],[SRG]],SRG[StaffRoleGroupCode],SRG[GrossSalaryFinanceCode])</f>
        <v>612100</v>
      </c>
      <c r="AG144" s="57" t="str">
        <f>_xlfn.XLOOKUP(CONT_TEA[[#This Row],[StaffRoleCode]],ROLES[StaffRoleCode],ROLES[StaffRoleGroupCode])</f>
        <v>TEA</v>
      </c>
      <c r="AH144" s="57" t="str">
        <f>_xlfn.XLOOKUP(CONT_TEA[[#This Row],[StaffRoleCode]],ROLES[StaffRoleCode],ROLES[PayScaleCode])</f>
        <v>MAIN</v>
      </c>
      <c r="AI144" s="12" t="s">
        <v>1126</v>
      </c>
      <c r="AJ144" s="12" t="s">
        <v>1546</v>
      </c>
      <c r="AK144" s="12" t="s">
        <v>2499</v>
      </c>
      <c r="AM144" s="68" t="s">
        <v>1147</v>
      </c>
      <c r="AN144" s="13" t="s">
        <v>1702</v>
      </c>
      <c r="AO144" s="21">
        <v>45901</v>
      </c>
      <c r="AQ144" s="12">
        <v>0.8</v>
      </c>
      <c r="AR144" t="b">
        <v>0</v>
      </c>
      <c r="AS144" t="b">
        <v>0</v>
      </c>
      <c r="AT144" s="12" t="s">
        <v>1574</v>
      </c>
    </row>
    <row r="145" spans="1:47" x14ac:dyDescent="0.3">
      <c r="A145" s="57" t="str">
        <f t="shared" si="2"/>
        <v>ALS9107382891073828ATEA_SUPSDSS45901</v>
      </c>
      <c r="B145" s="57">
        <f>COUNTIF(CONT_TEA[Unique Contract],CONT_TEA[[#This Row],[Unique Contract]])-1</f>
        <v>0</v>
      </c>
      <c r="C145" s="57">
        <f>IFERROR(IF(FIND(CONT_TEA[[#This Row],[SchoolCode]],_xlfn.XLOOKUP(CONT_TEA[[#This Row],[StaffMemberCode]],MEMBERS[StaffMemberCode],MEMBERS[SchoolCodes]))&gt;0,0,1),1)</f>
        <v>0</v>
      </c>
      <c r="D145" s="57" cm="1">
        <f t="array" ref="D145">IF(_xlfn.XLOOKUP(CONT_TEA[[#This Row],[StaffRoleCode]],ROLES[StaffRoleCode],ROLES[AvailableToAllSchools],1,0,)=TRUE,0,IF(ISERROR(FIND(CONT_TEA[[#This Row],[SchoolCode]],_xlfn.TEXTJOIN(",",TRUE,_xlfn.UNIQUE(IF(ROLES[StaffRoleCode]=CONT_TEA[[#This Row],[StaffRoleCode]],ROLES[SchoolCodes],""))))),1,0))</f>
        <v>0</v>
      </c>
      <c r="E145" s="57" cm="1">
        <f t="array" ref="E14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45" s="57" cm="1">
        <f t="array" ref="F145">IF(_xlfn.XLOOKUP(CONT_TEA[[#This Row],[PayScaleCode]],PAYSCALES[PayScaleCode],PAYSCALES[AvailableToAllSchools],1,0,)=TRUE,0,IF(ISERROR(FIND(CONT_TEA[[#This Row],[SchoolCode]],_xlfn.TEXTJOIN(",",TRUE,_xlfn.UNIQUE(IF(PAYSCALES[PayScaleCode]=CONT_TEA[[#This Row],[PayScaleCode]],PAYSCALES[SchoolCodes],""))))),1,0))</f>
        <v>0</v>
      </c>
      <c r="G145" s="57">
        <f>IF(_xlfn.XLOOKUP(CONT_TEA[[#This Row],[PayScaleGradeCode]],GRADES[PayScaleGradeCode],GRADES[AvailableToAllSchools])=TRUE,0,IFERROR(IF(FIND(CONT_TEA[[#This Row],[SchoolCode]],_xlfn.XLOOKUP(CONT_TEA[[#This Row],[PayScaleGradeCode]],GRADES[PayScaleGradeCode],GRADES[SchoolCodes]))&gt;=1,0,1),1))</f>
        <v>0</v>
      </c>
      <c r="H145" s="57">
        <f>IF(ISERROR(IF((_xlfn.XLOOKUP(CONT_TEA[[#This Row],[PayScaleGradeCode]],GRADES[PayScaleGradeCode],GRADES[PayScaleCode])=CONT_TEA[[#This Row],[PayScaleCode]]),0,1)),1,0)</f>
        <v>0</v>
      </c>
      <c r="I145" s="57" cm="1">
        <f t="array" ref="I145">IF(ISERROR(FIND(CONT_TEA[[#This Row],[PayScalePointCode]],_xlfn.TEXTJOIN(",",TRUE,IF(PSPOINTS[PayScaleCode]=CONT_TEA[[#This Row],[PayScaleCode]],PSPOINTS[PayScalePointCode])))),1,0)</f>
        <v>0</v>
      </c>
      <c r="J145" s="57" cm="1">
        <f t="array" ref="J14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45" s="57">
        <f>IF(_xlfn.XLOOKUP(CONT_TEA[[#This Row],[PayScalePointCode]],PSPOINTS[PayScalePointCode],PSPOINTS[PayScalePointEnabled])=TRUE,0,1)</f>
        <v>0</v>
      </c>
      <c r="L145" s="57" cm="1">
        <f t="array" ref="L145">IF(_xlfn.XLOOKUP(CONT_TEA[[#This Row],[DepartmentCode]],DEPTS[DepartmentCode],DEPTS[AvailableToAllSchools],1,0,)=TRUE,0,IF(ISERROR(FIND(CONT_TEA[[#This Row],[SchoolCode]],_xlfn.TEXTJOIN(",",TRUE,_xlfn.UNIQUE(IF(DEPTS[DepartmentCode]=CONT_TEA[[#This Row],[DepartmentCode]],DEPTS[SchoolCodes],""))))),1,0))</f>
        <v>0</v>
      </c>
      <c r="M145" s="57">
        <f>IFERROR(IF(_xlfn.XLOOKUP(CONT_TEA[[#This Row],[SRG Gross]],FinanceCodesBudget[FinanceCode],FinanceCodesBudget[LedgerCode])=_xlfn.XLOOKUP(CONT_TEA[[#This Row],[DepartmentCode]],DEPTS[DepartmentCode],DEPTS[LedgerCode]),0,1),1)</f>
        <v>1</v>
      </c>
      <c r="N145" s="57" cm="1">
        <f t="array" ref="N145">IF(_xlfn.XLOOKUP(CONT_TEA[[#This Row],[PensionCode]],PENS[PensionCode],PENS[AvailableToAllSchools],1,0,)=TRUE,0,IF(ISERROR(FIND(CONT_TEA[[#This Row],[SchoolCode]],_xlfn.TEXTJOIN(",",TRUE,_xlfn.UNIQUE(IF(PENS[PensionCode]=CONT_TEA[[#This Row],[PensionCode]],PENS[SchoolCodes],""))))),1,0))</f>
        <v>0</v>
      </c>
      <c r="O145" s="57" cm="1">
        <f t="array" ref="O145">IF(_xlfn.XLOOKUP(CONT_TEA[[#This Row],[EquatedWeekPatternCode]],EQW[EquatedWeekPatternCode],EQW[AvailableToAllSchools],1,0,)=TRUE,0,IF(ISERROR(FIND(CONT_TEA[[#This Row],[SchoolCode]],_xlfn.TEXTJOIN(",",TRUE,_xlfn.UNIQUE(IF(EQW[EquatedWeekPatternCode]=CONT_TEA[[#This Row],[EquatedWeekPatternCode]],EQW[SchoolCodes],""))))),1,0))</f>
        <v>0</v>
      </c>
      <c r="P145" s="57">
        <f>1-COUNTIF(ContractTypes[Code],CONT_TEA[[#This Row],[ContractTypeCode]])</f>
        <v>0</v>
      </c>
      <c r="Q145" s="57">
        <f>IF(VLOOKUP(CONT_TEA[[#This Row],[StaffMemberCode]],MEMBERS[[StaffMemberCode]:[ServiceStartDate]],5,0)&gt;CONT_TEA[[#This Row],[DateFrom]],1,0)</f>
        <v>0</v>
      </c>
      <c r="R145" s="57">
        <f>IF(_xlfn.XLOOKUP(CONT_TEA[[#This Row],[StaffMemberCode]],MEMBERS[StaffMemberCode],MEMBERS[ServiceEndDate])="",0,IF(CONT_TEA[[#This Row],[DateTo]]="",1,IF(_xlfn.XLOOKUP(CONT_TEA[[#This Row],[StaffMemberCode]],MEMBERS[StaffMemberCode],MEMBERS[ServiceEndDate])&lt;CONT_TEA[[#This Row],[DateTo]],1,0)))</f>
        <v>0</v>
      </c>
      <c r="S145" s="57">
        <f>IF(ISBLANK(CONT_TEA[[#This Row],[DateTo]]),0,IF(CONT_TEA[[#This Row],[DateFrom]]=CONT_TEA[[#This Row],[DateTo]],0,IF(CONT_TEA[[#This Row],[DateFrom]]&lt;CONT_TEA[[#This Row],[DateTo]],0,1)))</f>
        <v>0</v>
      </c>
      <c r="T145" s="57" cm="1">
        <f t="array" aca="1" ref="T145" ca="1">IF(CELL("format",CONT_TEA[[#This Row],[DateFrom]])="D1",0,1)+IF(CELL("format",CONT_TEA[[#This Row],[DateTo]])="D1",0,1)</f>
        <v>0</v>
      </c>
      <c r="U145" s="57">
        <f>IF(OR(CONT_TEA[[#This Row],[MatEditOnly]]=TRUE,CONT_TEA[[#This Row],[MatEditOnly]]=FALSE),IF(OR(CONT_TEA[[#This Row],[NoIncrement]]=TRUE,CONT_TEA[[#This Row],[NoIncrement]]=FALSE),0,1),1)</f>
        <v>0</v>
      </c>
      <c r="V145" s="57">
        <f>IF(ISBLANK(CONT_TEA[[#This Row],[FundCode]])=TRUE,0,IF(COUNTIF(FUNDS[FundCode],CONT_TEA[[#This Row],[FundCode]])=1,0,1))</f>
        <v>0</v>
      </c>
      <c r="W145" s="57">
        <f>IF(LEN(CONT_TEA[[#This Row],[Notes]])&lt;4000,0,1)</f>
        <v>0</v>
      </c>
      <c r="X145" s="57">
        <f>IF(SUBSTITUTE(TEXT(CONT_TEA[[#This Row],[Reference]],10)," ","")=TEXT(CONT_TEA[[#This Row],[Reference]],10),0,1)</f>
        <v>0</v>
      </c>
      <c r="Y145" s="57">
        <f ca="1">SUM(CONT_TEA[[#This Row],[Duplicate Contract]:[Space in Code]])</f>
        <v>1</v>
      </c>
      <c r="AA145" s="12" t="s">
        <v>2082</v>
      </c>
      <c r="AB145" s="15">
        <v>91073828</v>
      </c>
      <c r="AC145" s="12" t="s">
        <v>4493</v>
      </c>
      <c r="AD145" s="57" t="str">
        <f>_xlfn.XLOOKUP(CONT_TEA[[#This Row],[StaffMemberCode]],StaffMembers!O:O,StaffMembers!R:R)</f>
        <v>Deborah Fowler</v>
      </c>
      <c r="AE145" s="12" t="s">
        <v>4921</v>
      </c>
      <c r="AF145" s="57">
        <f>_xlfn.XLOOKUP(CONT_TEA[[#This Row],[SRG]],SRG[StaffRoleGroupCode],SRG[GrossSalaryFinanceCode])</f>
        <v>650400</v>
      </c>
      <c r="AG145" s="57" t="str">
        <f>_xlfn.XLOOKUP(CONT_TEA[[#This Row],[StaffRoleCode]],ROLES[StaffRoleCode],ROLES[StaffRoleGroupCode])</f>
        <v>TEA_SS</v>
      </c>
      <c r="AH145" s="57" t="str">
        <f>_xlfn.XLOOKUP(CONT_TEA[[#This Row],[StaffRoleCode]],ROLES[StaffRoleCode],ROLES[PayScaleCode])</f>
        <v>MAIN</v>
      </c>
      <c r="AI145" s="12" t="s">
        <v>1126</v>
      </c>
      <c r="AJ145" s="12" t="s">
        <v>1546</v>
      </c>
      <c r="AK145" s="12" t="s">
        <v>2479</v>
      </c>
      <c r="AM145" s="68" t="s">
        <v>1147</v>
      </c>
      <c r="AN145" s="13" t="s">
        <v>1702</v>
      </c>
      <c r="AO145" s="21">
        <v>45901</v>
      </c>
      <c r="AQ145" s="12">
        <v>1</v>
      </c>
      <c r="AR145" t="b">
        <v>0</v>
      </c>
      <c r="AS145" t="b">
        <v>0</v>
      </c>
      <c r="AT145" s="12" t="s">
        <v>1574</v>
      </c>
    </row>
    <row r="146" spans="1:47" x14ac:dyDescent="0.3">
      <c r="A146" s="57" t="str">
        <f t="shared" si="2"/>
        <v>PTP9107393191073931ATEASTCH45901</v>
      </c>
      <c r="B146" s="57">
        <f>COUNTIF(CONT_TEA[Unique Contract],CONT_TEA[[#This Row],[Unique Contract]])-1</f>
        <v>0</v>
      </c>
      <c r="C146" s="57">
        <f>IFERROR(IF(FIND(CONT_TEA[[#This Row],[SchoolCode]],_xlfn.XLOOKUP(CONT_TEA[[#This Row],[StaffMemberCode]],MEMBERS[StaffMemberCode],MEMBERS[SchoolCodes]))&gt;0,0,1),1)</f>
        <v>0</v>
      </c>
      <c r="D146" s="57" cm="1">
        <f t="array" ref="D146">IF(_xlfn.XLOOKUP(CONT_TEA[[#This Row],[StaffRoleCode]],ROLES[StaffRoleCode],ROLES[AvailableToAllSchools],1,0,)=TRUE,0,IF(ISERROR(FIND(CONT_TEA[[#This Row],[SchoolCode]],_xlfn.TEXTJOIN(",",TRUE,_xlfn.UNIQUE(IF(ROLES[StaffRoleCode]=CONT_TEA[[#This Row],[StaffRoleCode]],ROLES[SchoolCodes],""))))),1,0))</f>
        <v>0</v>
      </c>
      <c r="E146" s="57" cm="1">
        <f t="array" ref="E14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46" s="57" cm="1">
        <f t="array" ref="F146">IF(_xlfn.XLOOKUP(CONT_TEA[[#This Row],[PayScaleCode]],PAYSCALES[PayScaleCode],PAYSCALES[AvailableToAllSchools],1,0,)=TRUE,0,IF(ISERROR(FIND(CONT_TEA[[#This Row],[SchoolCode]],_xlfn.TEXTJOIN(",",TRUE,_xlfn.UNIQUE(IF(PAYSCALES[PayScaleCode]=CONT_TEA[[#This Row],[PayScaleCode]],PAYSCALES[SchoolCodes],""))))),1,0))</f>
        <v>0</v>
      </c>
      <c r="G146" s="57">
        <f>IF(_xlfn.XLOOKUP(CONT_TEA[[#This Row],[PayScaleGradeCode]],GRADES[PayScaleGradeCode],GRADES[AvailableToAllSchools])=TRUE,0,IFERROR(IF(FIND(CONT_TEA[[#This Row],[SchoolCode]],_xlfn.XLOOKUP(CONT_TEA[[#This Row],[PayScaleGradeCode]],GRADES[PayScaleGradeCode],GRADES[SchoolCodes]))&gt;=1,0,1),1))</f>
        <v>0</v>
      </c>
      <c r="H146" s="57">
        <f>IF(ISERROR(IF((_xlfn.XLOOKUP(CONT_TEA[[#This Row],[PayScaleGradeCode]],GRADES[PayScaleGradeCode],GRADES[PayScaleCode])=CONT_TEA[[#This Row],[PayScaleCode]]),0,1)),1,0)</f>
        <v>0</v>
      </c>
      <c r="I146" s="57" cm="1">
        <f t="array" ref="I146">IF(ISERROR(FIND(CONT_TEA[[#This Row],[PayScalePointCode]],_xlfn.TEXTJOIN(",",TRUE,IF(PSPOINTS[PayScaleCode]=CONT_TEA[[#This Row],[PayScaleCode]],PSPOINTS[PayScalePointCode])))),1,0)</f>
        <v>0</v>
      </c>
      <c r="J146" s="57" cm="1">
        <f t="array" ref="J14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46" s="57">
        <f>IF(_xlfn.XLOOKUP(CONT_TEA[[#This Row],[PayScalePointCode]],PSPOINTS[PayScalePointCode],PSPOINTS[PayScalePointEnabled])=TRUE,0,1)</f>
        <v>0</v>
      </c>
      <c r="L146" s="57" cm="1">
        <f t="array" ref="L146">IF(_xlfn.XLOOKUP(CONT_TEA[[#This Row],[DepartmentCode]],DEPTS[DepartmentCode],DEPTS[AvailableToAllSchools],1,0,)=TRUE,0,IF(ISERROR(FIND(CONT_TEA[[#This Row],[SchoolCode]],_xlfn.TEXTJOIN(",",TRUE,_xlfn.UNIQUE(IF(DEPTS[DepartmentCode]=CONT_TEA[[#This Row],[DepartmentCode]],DEPTS[SchoolCodes],""))))),1,0))</f>
        <v>0</v>
      </c>
      <c r="M146" s="57">
        <f>IFERROR(IF(_xlfn.XLOOKUP(CONT_TEA[[#This Row],[SRG Gross]],FinanceCodesBudget[FinanceCode],FinanceCodesBudget[LedgerCode])=_xlfn.XLOOKUP(CONT_TEA[[#This Row],[DepartmentCode]],DEPTS[DepartmentCode],DEPTS[LedgerCode]),0,1),1)</f>
        <v>1</v>
      </c>
      <c r="N146" s="57" cm="1">
        <f t="array" ref="N146">IF(_xlfn.XLOOKUP(CONT_TEA[[#This Row],[PensionCode]],PENS[PensionCode],PENS[AvailableToAllSchools],1,0,)=TRUE,0,IF(ISERROR(FIND(CONT_TEA[[#This Row],[SchoolCode]],_xlfn.TEXTJOIN(",",TRUE,_xlfn.UNIQUE(IF(PENS[PensionCode]=CONT_TEA[[#This Row],[PensionCode]],PENS[SchoolCodes],""))))),1,0))</f>
        <v>0</v>
      </c>
      <c r="O146" s="57" cm="1">
        <f t="array" ref="O146">IF(_xlfn.XLOOKUP(CONT_TEA[[#This Row],[EquatedWeekPatternCode]],EQW[EquatedWeekPatternCode],EQW[AvailableToAllSchools],1,0,)=TRUE,0,IF(ISERROR(FIND(CONT_TEA[[#This Row],[SchoolCode]],_xlfn.TEXTJOIN(",",TRUE,_xlfn.UNIQUE(IF(EQW[EquatedWeekPatternCode]=CONT_TEA[[#This Row],[EquatedWeekPatternCode]],EQW[SchoolCodes],""))))),1,0))</f>
        <v>0</v>
      </c>
      <c r="P146" s="57">
        <f>1-COUNTIF(ContractTypes[Code],CONT_TEA[[#This Row],[ContractTypeCode]])</f>
        <v>0</v>
      </c>
      <c r="Q146" s="57">
        <f>IF(VLOOKUP(CONT_TEA[[#This Row],[StaffMemberCode]],MEMBERS[[StaffMemberCode]:[ServiceStartDate]],5,0)&gt;CONT_TEA[[#This Row],[DateFrom]],1,0)</f>
        <v>0</v>
      </c>
      <c r="R146" s="57">
        <f>IF(_xlfn.XLOOKUP(CONT_TEA[[#This Row],[StaffMemberCode]],MEMBERS[StaffMemberCode],MEMBERS[ServiceEndDate])="",0,IF(CONT_TEA[[#This Row],[DateTo]]="",1,IF(_xlfn.XLOOKUP(CONT_TEA[[#This Row],[StaffMemberCode]],MEMBERS[StaffMemberCode],MEMBERS[ServiceEndDate])&lt;CONT_TEA[[#This Row],[DateTo]],1,0)))</f>
        <v>0</v>
      </c>
      <c r="S146" s="57">
        <f>IF(ISBLANK(CONT_TEA[[#This Row],[DateTo]]),0,IF(CONT_TEA[[#This Row],[DateFrom]]=CONT_TEA[[#This Row],[DateTo]],0,IF(CONT_TEA[[#This Row],[DateFrom]]&lt;CONT_TEA[[#This Row],[DateTo]],0,1)))</f>
        <v>0</v>
      </c>
      <c r="T146" s="57" cm="1">
        <f t="array" aca="1" ref="T146" ca="1">IF(CELL("format",CONT_TEA[[#This Row],[DateFrom]])="D1",0,1)+IF(CELL("format",CONT_TEA[[#This Row],[DateTo]])="D1",0,1)</f>
        <v>0</v>
      </c>
      <c r="U146" s="57">
        <f>IF(OR(CONT_TEA[[#This Row],[MatEditOnly]]=TRUE,CONT_TEA[[#This Row],[MatEditOnly]]=FALSE),IF(OR(CONT_TEA[[#This Row],[NoIncrement]]=TRUE,CONT_TEA[[#This Row],[NoIncrement]]=FALSE),0,1),1)</f>
        <v>0</v>
      </c>
      <c r="V146" s="57">
        <f>IF(ISBLANK(CONT_TEA[[#This Row],[FundCode]])=TRUE,0,IF(COUNTIF(FUNDS[FundCode],CONT_TEA[[#This Row],[FundCode]])=1,0,1))</f>
        <v>0</v>
      </c>
      <c r="W146" s="57">
        <f>IF(LEN(CONT_TEA[[#This Row],[Notes]])&lt;4000,0,1)</f>
        <v>0</v>
      </c>
      <c r="X146" s="57">
        <f>IF(SUBSTITUTE(TEXT(CONT_TEA[[#This Row],[Reference]],10)," ","")=TEXT(CONT_TEA[[#This Row],[Reference]],10),0,1)</f>
        <v>0</v>
      </c>
      <c r="Y146" s="57">
        <f ca="1">SUM(CONT_TEA[[#This Row],[Duplicate Contract]:[Space in Code]])</f>
        <v>1</v>
      </c>
      <c r="AA146" s="12" t="s">
        <v>2299</v>
      </c>
      <c r="AB146" s="15">
        <v>91073931</v>
      </c>
      <c r="AC146" s="12" t="s">
        <v>4494</v>
      </c>
      <c r="AD146" s="57" t="str">
        <f>_xlfn.XLOOKUP(CONT_TEA[[#This Row],[StaffMemberCode]],StaffMembers!O:O,StaffMembers!R:R)</f>
        <v>Deborah Swallow</v>
      </c>
      <c r="AE146" s="12" t="s">
        <v>1178</v>
      </c>
      <c r="AF146" s="57">
        <f>_xlfn.XLOOKUP(CONT_TEA[[#This Row],[SRG]],SRG[StaffRoleGroupCode],SRG[GrossSalaryFinanceCode])</f>
        <v>612100</v>
      </c>
      <c r="AG146" s="57" t="str">
        <f>_xlfn.XLOOKUP(CONT_TEA[[#This Row],[StaffRoleCode]],ROLES[StaffRoleCode],ROLES[StaffRoleGroupCode])</f>
        <v>TEA</v>
      </c>
      <c r="AH146" s="57" t="str">
        <f>_xlfn.XLOOKUP(CONT_TEA[[#This Row],[StaffRoleCode]],ROLES[StaffRoleCode],ROLES[PayScaleCode])</f>
        <v>MAIN</v>
      </c>
      <c r="AI146" s="12" t="s">
        <v>1126</v>
      </c>
      <c r="AJ146" s="12" t="s">
        <v>3074</v>
      </c>
      <c r="AK146" s="12" t="s">
        <v>2499</v>
      </c>
      <c r="AM146" s="68" t="s">
        <v>1147</v>
      </c>
      <c r="AN146" s="13" t="s">
        <v>1702</v>
      </c>
      <c r="AO146" s="21">
        <v>45901</v>
      </c>
      <c r="AQ146" s="12">
        <v>1</v>
      </c>
      <c r="AR146" t="b">
        <v>0</v>
      </c>
      <c r="AS146" t="b">
        <v>0</v>
      </c>
      <c r="AT146" s="12" t="s">
        <v>1574</v>
      </c>
    </row>
    <row r="147" spans="1:47" x14ac:dyDescent="0.3">
      <c r="A147" s="57" t="str">
        <f t="shared" si="2"/>
        <v>SBL9107575191075751ATEASTCH45901</v>
      </c>
      <c r="B147" s="57">
        <f>COUNTIF(CONT_TEA[Unique Contract],CONT_TEA[[#This Row],[Unique Contract]])-1</f>
        <v>0</v>
      </c>
      <c r="C147" s="57">
        <f>IFERROR(IF(FIND(CONT_TEA[[#This Row],[SchoolCode]],_xlfn.XLOOKUP(CONT_TEA[[#This Row],[StaffMemberCode]],MEMBERS[StaffMemberCode],MEMBERS[SchoolCodes]))&gt;0,0,1),1)</f>
        <v>0</v>
      </c>
      <c r="D147" s="57" cm="1">
        <f t="array" ref="D147">IF(_xlfn.XLOOKUP(CONT_TEA[[#This Row],[StaffRoleCode]],ROLES[StaffRoleCode],ROLES[AvailableToAllSchools],1,0,)=TRUE,0,IF(ISERROR(FIND(CONT_TEA[[#This Row],[SchoolCode]],_xlfn.TEXTJOIN(",",TRUE,_xlfn.UNIQUE(IF(ROLES[StaffRoleCode]=CONT_TEA[[#This Row],[StaffRoleCode]],ROLES[SchoolCodes],""))))),1,0))</f>
        <v>0</v>
      </c>
      <c r="E147" s="57" cm="1">
        <f t="array" ref="E14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47" s="57" cm="1">
        <f t="array" ref="F147">IF(_xlfn.XLOOKUP(CONT_TEA[[#This Row],[PayScaleCode]],PAYSCALES[PayScaleCode],PAYSCALES[AvailableToAllSchools],1,0,)=TRUE,0,IF(ISERROR(FIND(CONT_TEA[[#This Row],[SchoolCode]],_xlfn.TEXTJOIN(",",TRUE,_xlfn.UNIQUE(IF(PAYSCALES[PayScaleCode]=CONT_TEA[[#This Row],[PayScaleCode]],PAYSCALES[SchoolCodes],""))))),1,0))</f>
        <v>0</v>
      </c>
      <c r="G147" s="57">
        <f>IF(_xlfn.XLOOKUP(CONT_TEA[[#This Row],[PayScaleGradeCode]],GRADES[PayScaleGradeCode],GRADES[AvailableToAllSchools])=TRUE,0,IFERROR(IF(FIND(CONT_TEA[[#This Row],[SchoolCode]],_xlfn.XLOOKUP(CONT_TEA[[#This Row],[PayScaleGradeCode]],GRADES[PayScaleGradeCode],GRADES[SchoolCodes]))&gt;=1,0,1),1))</f>
        <v>0</v>
      </c>
      <c r="H147" s="57">
        <f>IF(ISERROR(IF((_xlfn.XLOOKUP(CONT_TEA[[#This Row],[PayScaleGradeCode]],GRADES[PayScaleGradeCode],GRADES[PayScaleCode])=CONT_TEA[[#This Row],[PayScaleCode]]),0,1)),1,0)</f>
        <v>0</v>
      </c>
      <c r="I147" s="57" cm="1">
        <f t="array" ref="I147">IF(ISERROR(FIND(CONT_TEA[[#This Row],[PayScalePointCode]],_xlfn.TEXTJOIN(",",TRUE,IF(PSPOINTS[PayScaleCode]=CONT_TEA[[#This Row],[PayScaleCode]],PSPOINTS[PayScalePointCode])))),1,0)</f>
        <v>0</v>
      </c>
      <c r="J147" s="57" cm="1">
        <f t="array" ref="J14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47" s="57">
        <f>IF(_xlfn.XLOOKUP(CONT_TEA[[#This Row],[PayScalePointCode]],PSPOINTS[PayScalePointCode],PSPOINTS[PayScalePointEnabled])=TRUE,0,1)</f>
        <v>0</v>
      </c>
      <c r="L147" s="57" cm="1">
        <f t="array" ref="L147">IF(_xlfn.XLOOKUP(CONT_TEA[[#This Row],[DepartmentCode]],DEPTS[DepartmentCode],DEPTS[AvailableToAllSchools],1,0,)=TRUE,0,IF(ISERROR(FIND(CONT_TEA[[#This Row],[SchoolCode]],_xlfn.TEXTJOIN(",",TRUE,_xlfn.UNIQUE(IF(DEPTS[DepartmentCode]=CONT_TEA[[#This Row],[DepartmentCode]],DEPTS[SchoolCodes],""))))),1,0))</f>
        <v>0</v>
      </c>
      <c r="M147" s="57">
        <f>IFERROR(IF(_xlfn.XLOOKUP(CONT_TEA[[#This Row],[SRG Gross]],FinanceCodesBudget[FinanceCode],FinanceCodesBudget[LedgerCode])=_xlfn.XLOOKUP(CONT_TEA[[#This Row],[DepartmentCode]],DEPTS[DepartmentCode],DEPTS[LedgerCode]),0,1),1)</f>
        <v>1</v>
      </c>
      <c r="N147" s="57" cm="1">
        <f t="array" ref="N147">IF(_xlfn.XLOOKUP(CONT_TEA[[#This Row],[PensionCode]],PENS[PensionCode],PENS[AvailableToAllSchools],1,0,)=TRUE,0,IF(ISERROR(FIND(CONT_TEA[[#This Row],[SchoolCode]],_xlfn.TEXTJOIN(",",TRUE,_xlfn.UNIQUE(IF(PENS[PensionCode]=CONT_TEA[[#This Row],[PensionCode]],PENS[SchoolCodes],""))))),1,0))</f>
        <v>0</v>
      </c>
      <c r="O147" s="57" cm="1">
        <f t="array" ref="O147">IF(_xlfn.XLOOKUP(CONT_TEA[[#This Row],[EquatedWeekPatternCode]],EQW[EquatedWeekPatternCode],EQW[AvailableToAllSchools],1,0,)=TRUE,0,IF(ISERROR(FIND(CONT_TEA[[#This Row],[SchoolCode]],_xlfn.TEXTJOIN(",",TRUE,_xlfn.UNIQUE(IF(EQW[EquatedWeekPatternCode]=CONT_TEA[[#This Row],[EquatedWeekPatternCode]],EQW[SchoolCodes],""))))),1,0))</f>
        <v>0</v>
      </c>
      <c r="P147" s="57">
        <f>1-COUNTIF(ContractTypes[Code],CONT_TEA[[#This Row],[ContractTypeCode]])</f>
        <v>0</v>
      </c>
      <c r="Q147" s="57">
        <f>IF(VLOOKUP(CONT_TEA[[#This Row],[StaffMemberCode]],MEMBERS[[StaffMemberCode]:[ServiceStartDate]],5,0)&gt;CONT_TEA[[#This Row],[DateFrom]],1,0)</f>
        <v>0</v>
      </c>
      <c r="R147" s="57">
        <f>IF(_xlfn.XLOOKUP(CONT_TEA[[#This Row],[StaffMemberCode]],MEMBERS[StaffMemberCode],MEMBERS[ServiceEndDate])="",0,IF(CONT_TEA[[#This Row],[DateTo]]="",1,IF(_xlfn.XLOOKUP(CONT_TEA[[#This Row],[StaffMemberCode]],MEMBERS[StaffMemberCode],MEMBERS[ServiceEndDate])&lt;CONT_TEA[[#This Row],[DateTo]],1,0)))</f>
        <v>0</v>
      </c>
      <c r="S147" s="57">
        <f>IF(ISBLANK(CONT_TEA[[#This Row],[DateTo]]),0,IF(CONT_TEA[[#This Row],[DateFrom]]=CONT_TEA[[#This Row],[DateTo]],0,IF(CONT_TEA[[#This Row],[DateFrom]]&lt;CONT_TEA[[#This Row],[DateTo]],0,1)))</f>
        <v>0</v>
      </c>
      <c r="T147" s="57" cm="1">
        <f t="array" aca="1" ref="T147" ca="1">IF(CELL("format",CONT_TEA[[#This Row],[DateFrom]])="D1",0,1)+IF(CELL("format",CONT_TEA[[#This Row],[DateTo]])="D1",0,1)</f>
        <v>0</v>
      </c>
      <c r="U147" s="57">
        <f>IF(OR(CONT_TEA[[#This Row],[MatEditOnly]]=TRUE,CONT_TEA[[#This Row],[MatEditOnly]]=FALSE),IF(OR(CONT_TEA[[#This Row],[NoIncrement]]=TRUE,CONT_TEA[[#This Row],[NoIncrement]]=FALSE),0,1),1)</f>
        <v>0</v>
      </c>
      <c r="V147" s="57">
        <f>IF(ISBLANK(CONT_TEA[[#This Row],[FundCode]])=TRUE,0,IF(COUNTIF(FUNDS[FundCode],CONT_TEA[[#This Row],[FundCode]])=1,0,1))</f>
        <v>0</v>
      </c>
      <c r="W147" s="57">
        <f>IF(LEN(CONT_TEA[[#This Row],[Notes]])&lt;4000,0,1)</f>
        <v>0</v>
      </c>
      <c r="X147" s="57">
        <f>IF(SUBSTITUTE(TEXT(CONT_TEA[[#This Row],[Reference]],10)," ","")=TEXT(CONT_TEA[[#This Row],[Reference]],10),0,1)</f>
        <v>0</v>
      </c>
      <c r="Y147" s="57">
        <f ca="1">SUM(CONT_TEA[[#This Row],[Duplicate Contract]:[Space in Code]])</f>
        <v>1</v>
      </c>
      <c r="AA147" s="12" t="s">
        <v>2200</v>
      </c>
      <c r="AB147" s="15">
        <v>91075751</v>
      </c>
      <c r="AC147" s="12" t="s">
        <v>4495</v>
      </c>
      <c r="AD147" s="57" t="str">
        <f>_xlfn.XLOOKUP(CONT_TEA[[#This Row],[StaffMemberCode]],StaffMembers!O:O,StaffMembers!R:R)</f>
        <v>Denise Allen</v>
      </c>
      <c r="AE147" s="12" t="s">
        <v>1178</v>
      </c>
      <c r="AF147" s="57">
        <f>_xlfn.XLOOKUP(CONT_TEA[[#This Row],[SRG]],SRG[StaffRoleGroupCode],SRG[GrossSalaryFinanceCode])</f>
        <v>612100</v>
      </c>
      <c r="AG147" s="57" t="str">
        <f>_xlfn.XLOOKUP(CONT_TEA[[#This Row],[StaffRoleCode]],ROLES[StaffRoleCode],ROLES[StaffRoleGroupCode])</f>
        <v>TEA</v>
      </c>
      <c r="AH147" s="57" t="str">
        <f>_xlfn.XLOOKUP(CONT_TEA[[#This Row],[StaffRoleCode]],ROLES[StaffRoleCode],ROLES[PayScaleCode])</f>
        <v>MAIN</v>
      </c>
      <c r="AI147" s="12" t="s">
        <v>1126</v>
      </c>
      <c r="AJ147" s="12" t="s">
        <v>1546</v>
      </c>
      <c r="AK147" s="12" t="s">
        <v>2499</v>
      </c>
      <c r="AM147" s="68" t="s">
        <v>1147</v>
      </c>
      <c r="AN147" s="13" t="s">
        <v>1702</v>
      </c>
      <c r="AO147" s="21">
        <v>45901</v>
      </c>
      <c r="AQ147" s="12">
        <v>0.51</v>
      </c>
      <c r="AR147" t="b">
        <v>0</v>
      </c>
      <c r="AS147" t="b">
        <v>0</v>
      </c>
      <c r="AT147" s="12" t="s">
        <v>1574</v>
      </c>
    </row>
    <row r="148" spans="1:47" x14ac:dyDescent="0.3">
      <c r="A148" s="57" t="str">
        <f t="shared" si="2"/>
        <v>BLS9185001991850019ATEASTCH45901</v>
      </c>
      <c r="B148" s="57">
        <f>COUNTIF(CONT_TEA[Unique Contract],CONT_TEA[[#This Row],[Unique Contract]])-1</f>
        <v>0</v>
      </c>
      <c r="C148" s="57">
        <f>IFERROR(IF(FIND(CONT_TEA[[#This Row],[SchoolCode]],_xlfn.XLOOKUP(CONT_TEA[[#This Row],[StaffMemberCode]],MEMBERS[StaffMemberCode],MEMBERS[SchoolCodes]))&gt;0,0,1),1)</f>
        <v>0</v>
      </c>
      <c r="D148" s="57" cm="1">
        <f t="array" ref="D148">IF(_xlfn.XLOOKUP(CONT_TEA[[#This Row],[StaffRoleCode]],ROLES[StaffRoleCode],ROLES[AvailableToAllSchools],1,0,)=TRUE,0,IF(ISERROR(FIND(CONT_TEA[[#This Row],[SchoolCode]],_xlfn.TEXTJOIN(",",TRUE,_xlfn.UNIQUE(IF(ROLES[StaffRoleCode]=CONT_TEA[[#This Row],[StaffRoleCode]],ROLES[SchoolCodes],""))))),1,0))</f>
        <v>0</v>
      </c>
      <c r="E148" s="57" cm="1">
        <f t="array" ref="E14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48" s="57" cm="1">
        <f t="array" ref="F148">IF(_xlfn.XLOOKUP(CONT_TEA[[#This Row],[PayScaleCode]],PAYSCALES[PayScaleCode],PAYSCALES[AvailableToAllSchools],1,0,)=TRUE,0,IF(ISERROR(FIND(CONT_TEA[[#This Row],[SchoolCode]],_xlfn.TEXTJOIN(",",TRUE,_xlfn.UNIQUE(IF(PAYSCALES[PayScaleCode]=CONT_TEA[[#This Row],[PayScaleCode]],PAYSCALES[SchoolCodes],""))))),1,0))</f>
        <v>0</v>
      </c>
      <c r="G148" s="57">
        <f>IF(_xlfn.XLOOKUP(CONT_TEA[[#This Row],[PayScaleGradeCode]],GRADES[PayScaleGradeCode],GRADES[AvailableToAllSchools])=TRUE,0,IFERROR(IF(FIND(CONT_TEA[[#This Row],[SchoolCode]],_xlfn.XLOOKUP(CONT_TEA[[#This Row],[PayScaleGradeCode]],GRADES[PayScaleGradeCode],GRADES[SchoolCodes]))&gt;=1,0,1),1))</f>
        <v>0</v>
      </c>
      <c r="H148" s="57">
        <f>IF(ISERROR(IF((_xlfn.XLOOKUP(CONT_TEA[[#This Row],[PayScaleGradeCode]],GRADES[PayScaleGradeCode],GRADES[PayScaleCode])=CONT_TEA[[#This Row],[PayScaleCode]]),0,1)),1,0)</f>
        <v>0</v>
      </c>
      <c r="I148" s="57" cm="1">
        <f t="array" ref="I148">IF(ISERROR(FIND(CONT_TEA[[#This Row],[PayScalePointCode]],_xlfn.TEXTJOIN(",",TRUE,IF(PSPOINTS[PayScaleCode]=CONT_TEA[[#This Row],[PayScaleCode]],PSPOINTS[PayScalePointCode])))),1,0)</f>
        <v>0</v>
      </c>
      <c r="J148" s="57" cm="1">
        <f t="array" ref="J14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48" s="57">
        <f>IF(_xlfn.XLOOKUP(CONT_TEA[[#This Row],[PayScalePointCode]],PSPOINTS[PayScalePointCode],PSPOINTS[PayScalePointEnabled])=TRUE,0,1)</f>
        <v>0</v>
      </c>
      <c r="L148" s="57" cm="1">
        <f t="array" ref="L148">IF(_xlfn.XLOOKUP(CONT_TEA[[#This Row],[DepartmentCode]],DEPTS[DepartmentCode],DEPTS[AvailableToAllSchools],1,0,)=TRUE,0,IF(ISERROR(FIND(CONT_TEA[[#This Row],[SchoolCode]],_xlfn.TEXTJOIN(",",TRUE,_xlfn.UNIQUE(IF(DEPTS[DepartmentCode]=CONT_TEA[[#This Row],[DepartmentCode]],DEPTS[SchoolCodes],""))))),1,0))</f>
        <v>0</v>
      </c>
      <c r="M148" s="57">
        <f>IFERROR(IF(_xlfn.XLOOKUP(CONT_TEA[[#This Row],[SRG Gross]],FinanceCodesBudget[FinanceCode],FinanceCodesBudget[LedgerCode])=_xlfn.XLOOKUP(CONT_TEA[[#This Row],[DepartmentCode]],DEPTS[DepartmentCode],DEPTS[LedgerCode]),0,1),1)</f>
        <v>1</v>
      </c>
      <c r="N148" s="57" cm="1">
        <f t="array" ref="N148">IF(_xlfn.XLOOKUP(CONT_TEA[[#This Row],[PensionCode]],PENS[PensionCode],PENS[AvailableToAllSchools],1,0,)=TRUE,0,IF(ISERROR(FIND(CONT_TEA[[#This Row],[SchoolCode]],_xlfn.TEXTJOIN(",",TRUE,_xlfn.UNIQUE(IF(PENS[PensionCode]=CONT_TEA[[#This Row],[PensionCode]],PENS[SchoolCodes],""))))),1,0))</f>
        <v>0</v>
      </c>
      <c r="O148" s="57" cm="1">
        <f t="array" ref="O148">IF(_xlfn.XLOOKUP(CONT_TEA[[#This Row],[EquatedWeekPatternCode]],EQW[EquatedWeekPatternCode],EQW[AvailableToAllSchools],1,0,)=TRUE,0,IF(ISERROR(FIND(CONT_TEA[[#This Row],[SchoolCode]],_xlfn.TEXTJOIN(",",TRUE,_xlfn.UNIQUE(IF(EQW[EquatedWeekPatternCode]=CONT_TEA[[#This Row],[EquatedWeekPatternCode]],EQW[SchoolCodes],""))))),1,0))</f>
        <v>0</v>
      </c>
      <c r="P148" s="57">
        <f>1-COUNTIF(ContractTypes[Code],CONT_TEA[[#This Row],[ContractTypeCode]])</f>
        <v>0</v>
      </c>
      <c r="Q148" s="57">
        <f>IF(VLOOKUP(CONT_TEA[[#This Row],[StaffMemberCode]],MEMBERS[[StaffMemberCode]:[ServiceStartDate]],5,0)&gt;CONT_TEA[[#This Row],[DateFrom]],1,0)</f>
        <v>0</v>
      </c>
      <c r="R148" s="57">
        <f>IF(_xlfn.XLOOKUP(CONT_TEA[[#This Row],[StaffMemberCode]],MEMBERS[StaffMemberCode],MEMBERS[ServiceEndDate])="",0,IF(CONT_TEA[[#This Row],[DateTo]]="",1,IF(_xlfn.XLOOKUP(CONT_TEA[[#This Row],[StaffMemberCode]],MEMBERS[StaffMemberCode],MEMBERS[ServiceEndDate])&lt;CONT_TEA[[#This Row],[DateTo]],1,0)))</f>
        <v>0</v>
      </c>
      <c r="S148" s="57">
        <f>IF(ISBLANK(CONT_TEA[[#This Row],[DateTo]]),0,IF(CONT_TEA[[#This Row],[DateFrom]]=CONT_TEA[[#This Row],[DateTo]],0,IF(CONT_TEA[[#This Row],[DateFrom]]&lt;CONT_TEA[[#This Row],[DateTo]],0,1)))</f>
        <v>0</v>
      </c>
      <c r="T148" s="57" cm="1">
        <f t="array" aca="1" ref="T148" ca="1">IF(CELL("format",CONT_TEA[[#This Row],[DateFrom]])="D1",0,1)+IF(CELL("format",CONT_TEA[[#This Row],[DateTo]])="D1",0,1)</f>
        <v>0</v>
      </c>
      <c r="U148" s="57">
        <f>IF(OR(CONT_TEA[[#This Row],[MatEditOnly]]=TRUE,CONT_TEA[[#This Row],[MatEditOnly]]=FALSE),IF(OR(CONT_TEA[[#This Row],[NoIncrement]]=TRUE,CONT_TEA[[#This Row],[NoIncrement]]=FALSE),0,1),1)</f>
        <v>0</v>
      </c>
      <c r="V148" s="57">
        <f>IF(ISBLANK(CONT_TEA[[#This Row],[FundCode]])=TRUE,0,IF(COUNTIF(FUNDS[FundCode],CONT_TEA[[#This Row],[FundCode]])=1,0,1))</f>
        <v>0</v>
      </c>
      <c r="W148" s="57">
        <f>IF(LEN(CONT_TEA[[#This Row],[Notes]])&lt;4000,0,1)</f>
        <v>0</v>
      </c>
      <c r="X148" s="57">
        <f>IF(SUBSTITUTE(TEXT(CONT_TEA[[#This Row],[Reference]],10)," ","")=TEXT(CONT_TEA[[#This Row],[Reference]],10),0,1)</f>
        <v>0</v>
      </c>
      <c r="Y148" s="57">
        <f ca="1">SUM(CONT_TEA[[#This Row],[Duplicate Contract]:[Space in Code]])</f>
        <v>1</v>
      </c>
      <c r="AA148" s="12" t="s">
        <v>2094</v>
      </c>
      <c r="AB148" s="15">
        <v>91850019</v>
      </c>
      <c r="AC148" s="12" t="s">
        <v>4496</v>
      </c>
      <c r="AD148" s="57" t="str">
        <f>_xlfn.XLOOKUP(CONT_TEA[[#This Row],[StaffMemberCode]],StaffMembers!O:O,StaffMembers!R:R)</f>
        <v>Edward Passmore</v>
      </c>
      <c r="AE148" s="12" t="s">
        <v>1178</v>
      </c>
      <c r="AF148" s="57">
        <f>_xlfn.XLOOKUP(CONT_TEA[[#This Row],[SRG]],SRG[StaffRoleGroupCode],SRG[GrossSalaryFinanceCode])</f>
        <v>612100</v>
      </c>
      <c r="AG148" s="57" t="str">
        <f>_xlfn.XLOOKUP(CONT_TEA[[#This Row],[StaffRoleCode]],ROLES[StaffRoleCode],ROLES[StaffRoleGroupCode])</f>
        <v>TEA</v>
      </c>
      <c r="AH148" s="57" t="str">
        <f>_xlfn.XLOOKUP(CONT_TEA[[#This Row],[StaffRoleCode]],ROLES[StaffRoleCode],ROLES[PayScaleCode])</f>
        <v>MAIN</v>
      </c>
      <c r="AI148" s="12" t="s">
        <v>1126</v>
      </c>
      <c r="AJ148" s="12" t="s">
        <v>1064</v>
      </c>
      <c r="AK148" s="12" t="s">
        <v>2499</v>
      </c>
      <c r="AM148" s="68" t="s">
        <v>1147</v>
      </c>
      <c r="AN148" s="13" t="s">
        <v>1702</v>
      </c>
      <c r="AO148" s="21">
        <v>45901</v>
      </c>
      <c r="AQ148" s="12">
        <v>1</v>
      </c>
      <c r="AR148" t="b">
        <v>0</v>
      </c>
      <c r="AS148" t="b">
        <v>0</v>
      </c>
      <c r="AT148" s="12" t="s">
        <v>1574</v>
      </c>
      <c r="AU148" s="12" t="s">
        <v>4346</v>
      </c>
    </row>
    <row r="149" spans="1:47" x14ac:dyDescent="0.3">
      <c r="A149" s="57" t="str">
        <f t="shared" si="2"/>
        <v>ALS9132476091324760ATEASTCH45901</v>
      </c>
      <c r="B149" s="57">
        <f>COUNTIF(CONT_TEA[Unique Contract],CONT_TEA[[#This Row],[Unique Contract]])-1</f>
        <v>0</v>
      </c>
      <c r="C149" s="57">
        <f>IFERROR(IF(FIND(CONT_TEA[[#This Row],[SchoolCode]],_xlfn.XLOOKUP(CONT_TEA[[#This Row],[StaffMemberCode]],MEMBERS[StaffMemberCode],MEMBERS[SchoolCodes]))&gt;0,0,1),1)</f>
        <v>0</v>
      </c>
      <c r="D149" s="57" cm="1">
        <f t="array" ref="D149">IF(_xlfn.XLOOKUP(CONT_TEA[[#This Row],[StaffRoleCode]],ROLES[StaffRoleCode],ROLES[AvailableToAllSchools],1,0,)=TRUE,0,IF(ISERROR(FIND(CONT_TEA[[#This Row],[SchoolCode]],_xlfn.TEXTJOIN(",",TRUE,_xlfn.UNIQUE(IF(ROLES[StaffRoleCode]=CONT_TEA[[#This Row],[StaffRoleCode]],ROLES[SchoolCodes],""))))),1,0))</f>
        <v>0</v>
      </c>
      <c r="E149" s="57" cm="1">
        <f t="array" ref="E14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49" s="57" cm="1">
        <f t="array" ref="F149">IF(_xlfn.XLOOKUP(CONT_TEA[[#This Row],[PayScaleCode]],PAYSCALES[PayScaleCode],PAYSCALES[AvailableToAllSchools],1,0,)=TRUE,0,IF(ISERROR(FIND(CONT_TEA[[#This Row],[SchoolCode]],_xlfn.TEXTJOIN(",",TRUE,_xlfn.UNIQUE(IF(PAYSCALES[PayScaleCode]=CONT_TEA[[#This Row],[PayScaleCode]],PAYSCALES[SchoolCodes],""))))),1,0))</f>
        <v>0</v>
      </c>
      <c r="G149" s="57">
        <f>IF(_xlfn.XLOOKUP(CONT_TEA[[#This Row],[PayScaleGradeCode]],GRADES[PayScaleGradeCode],GRADES[AvailableToAllSchools])=TRUE,0,IFERROR(IF(FIND(CONT_TEA[[#This Row],[SchoolCode]],_xlfn.XLOOKUP(CONT_TEA[[#This Row],[PayScaleGradeCode]],GRADES[PayScaleGradeCode],GRADES[SchoolCodes]))&gt;=1,0,1),1))</f>
        <v>0</v>
      </c>
      <c r="H149" s="57">
        <f>IF(ISERROR(IF((_xlfn.XLOOKUP(CONT_TEA[[#This Row],[PayScaleGradeCode]],GRADES[PayScaleGradeCode],GRADES[PayScaleCode])=CONT_TEA[[#This Row],[PayScaleCode]]),0,1)),1,0)</f>
        <v>0</v>
      </c>
      <c r="I149" s="57" cm="1">
        <f t="array" ref="I149">IF(ISERROR(FIND(CONT_TEA[[#This Row],[PayScalePointCode]],_xlfn.TEXTJOIN(",",TRUE,IF(PSPOINTS[PayScaleCode]=CONT_TEA[[#This Row],[PayScaleCode]],PSPOINTS[PayScalePointCode])))),1,0)</f>
        <v>0</v>
      </c>
      <c r="J149" s="57" cm="1">
        <f t="array" ref="J14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49" s="57">
        <f>IF(_xlfn.XLOOKUP(CONT_TEA[[#This Row],[PayScalePointCode]],PSPOINTS[PayScalePointCode],PSPOINTS[PayScalePointEnabled])=TRUE,0,1)</f>
        <v>0</v>
      </c>
      <c r="L149" s="57" cm="1">
        <f t="array" ref="L149">IF(_xlfn.XLOOKUP(CONT_TEA[[#This Row],[DepartmentCode]],DEPTS[DepartmentCode],DEPTS[AvailableToAllSchools],1,0,)=TRUE,0,IF(ISERROR(FIND(CONT_TEA[[#This Row],[SchoolCode]],_xlfn.TEXTJOIN(",",TRUE,_xlfn.UNIQUE(IF(DEPTS[DepartmentCode]=CONT_TEA[[#This Row],[DepartmentCode]],DEPTS[SchoolCodes],""))))),1,0))</f>
        <v>0</v>
      </c>
      <c r="M149" s="57">
        <f>IFERROR(IF(_xlfn.XLOOKUP(CONT_TEA[[#This Row],[SRG Gross]],FinanceCodesBudget[FinanceCode],FinanceCodesBudget[LedgerCode])=_xlfn.XLOOKUP(CONT_TEA[[#This Row],[DepartmentCode]],DEPTS[DepartmentCode],DEPTS[LedgerCode]),0,1),1)</f>
        <v>1</v>
      </c>
      <c r="N149" s="57" cm="1">
        <f t="array" ref="N149">IF(_xlfn.XLOOKUP(CONT_TEA[[#This Row],[PensionCode]],PENS[PensionCode],PENS[AvailableToAllSchools],1,0,)=TRUE,0,IF(ISERROR(FIND(CONT_TEA[[#This Row],[SchoolCode]],_xlfn.TEXTJOIN(",",TRUE,_xlfn.UNIQUE(IF(PENS[PensionCode]=CONT_TEA[[#This Row],[PensionCode]],PENS[SchoolCodes],""))))),1,0))</f>
        <v>0</v>
      </c>
      <c r="O149" s="57" cm="1">
        <f t="array" ref="O149">IF(_xlfn.XLOOKUP(CONT_TEA[[#This Row],[EquatedWeekPatternCode]],EQW[EquatedWeekPatternCode],EQW[AvailableToAllSchools],1,0,)=TRUE,0,IF(ISERROR(FIND(CONT_TEA[[#This Row],[SchoolCode]],_xlfn.TEXTJOIN(",",TRUE,_xlfn.UNIQUE(IF(EQW[EquatedWeekPatternCode]=CONT_TEA[[#This Row],[EquatedWeekPatternCode]],EQW[SchoolCodes],""))))),1,0))</f>
        <v>0</v>
      </c>
      <c r="P149" s="57">
        <f>1-COUNTIF(ContractTypes[Code],CONT_TEA[[#This Row],[ContractTypeCode]])</f>
        <v>0</v>
      </c>
      <c r="Q149" s="57">
        <f>IF(VLOOKUP(CONT_TEA[[#This Row],[StaffMemberCode]],MEMBERS[[StaffMemberCode]:[ServiceStartDate]],5,0)&gt;CONT_TEA[[#This Row],[DateFrom]],1,0)</f>
        <v>0</v>
      </c>
      <c r="R149" s="57">
        <f>IF(_xlfn.XLOOKUP(CONT_TEA[[#This Row],[StaffMemberCode]],MEMBERS[StaffMemberCode],MEMBERS[ServiceEndDate])="",0,IF(CONT_TEA[[#This Row],[DateTo]]="",1,IF(_xlfn.XLOOKUP(CONT_TEA[[#This Row],[StaffMemberCode]],MEMBERS[StaffMemberCode],MEMBERS[ServiceEndDate])&lt;CONT_TEA[[#This Row],[DateTo]],1,0)))</f>
        <v>0</v>
      </c>
      <c r="S149" s="57">
        <f>IF(ISBLANK(CONT_TEA[[#This Row],[DateTo]]),0,IF(CONT_TEA[[#This Row],[DateFrom]]=CONT_TEA[[#This Row],[DateTo]],0,IF(CONT_TEA[[#This Row],[DateFrom]]&lt;CONT_TEA[[#This Row],[DateTo]],0,1)))</f>
        <v>0</v>
      </c>
      <c r="T149" s="57" cm="1">
        <f t="array" aca="1" ref="T149" ca="1">IF(CELL("format",CONT_TEA[[#This Row],[DateFrom]])="D1",0,1)+IF(CELL("format",CONT_TEA[[#This Row],[DateTo]])="D1",0,1)</f>
        <v>0</v>
      </c>
      <c r="U149" s="57">
        <f>IF(OR(CONT_TEA[[#This Row],[MatEditOnly]]=TRUE,CONT_TEA[[#This Row],[MatEditOnly]]=FALSE),IF(OR(CONT_TEA[[#This Row],[NoIncrement]]=TRUE,CONT_TEA[[#This Row],[NoIncrement]]=FALSE),0,1),1)</f>
        <v>0</v>
      </c>
      <c r="V149" s="57">
        <f>IF(ISBLANK(CONT_TEA[[#This Row],[FundCode]])=TRUE,0,IF(COUNTIF(FUNDS[FundCode],CONT_TEA[[#This Row],[FundCode]])=1,0,1))</f>
        <v>0</v>
      </c>
      <c r="W149" s="57">
        <f>IF(LEN(CONT_TEA[[#This Row],[Notes]])&lt;4000,0,1)</f>
        <v>0</v>
      </c>
      <c r="X149" s="57">
        <f>IF(SUBSTITUTE(TEXT(CONT_TEA[[#This Row],[Reference]],10)," ","")=TEXT(CONT_TEA[[#This Row],[Reference]],10),0,1)</f>
        <v>0</v>
      </c>
      <c r="Y149" s="57">
        <f ca="1">SUM(CONT_TEA[[#This Row],[Duplicate Contract]:[Space in Code]])</f>
        <v>1</v>
      </c>
      <c r="AA149" s="12" t="s">
        <v>2082</v>
      </c>
      <c r="AB149" s="15">
        <v>91324760</v>
      </c>
      <c r="AC149" s="12" t="s">
        <v>4497</v>
      </c>
      <c r="AD149" s="57" t="str">
        <f>_xlfn.XLOOKUP(CONT_TEA[[#This Row],[StaffMemberCode]],StaffMembers!O:O,StaffMembers!R:R)</f>
        <v>Eleanor Emberson</v>
      </c>
      <c r="AE149" s="12" t="s">
        <v>1178</v>
      </c>
      <c r="AF149" s="57">
        <f>_xlfn.XLOOKUP(CONT_TEA[[#This Row],[SRG]],SRG[StaffRoleGroupCode],SRG[GrossSalaryFinanceCode])</f>
        <v>612100</v>
      </c>
      <c r="AG149" s="57" t="str">
        <f>_xlfn.XLOOKUP(CONT_TEA[[#This Row],[StaffRoleCode]],ROLES[StaffRoleCode],ROLES[StaffRoleGroupCode])</f>
        <v>TEA</v>
      </c>
      <c r="AH149" s="57" t="str">
        <f>_xlfn.XLOOKUP(CONT_TEA[[#This Row],[StaffRoleCode]],ROLES[StaffRoleCode],ROLES[PayScaleCode])</f>
        <v>MAIN</v>
      </c>
      <c r="AI149" s="12" t="s">
        <v>1126</v>
      </c>
      <c r="AJ149" s="12" t="s">
        <v>1064</v>
      </c>
      <c r="AK149" s="12" t="s">
        <v>2499</v>
      </c>
      <c r="AM149" s="68" t="s">
        <v>1147</v>
      </c>
      <c r="AN149" s="13" t="s">
        <v>1702</v>
      </c>
      <c r="AO149" s="21">
        <v>45901</v>
      </c>
      <c r="AQ149" s="12">
        <v>1</v>
      </c>
      <c r="AR149" t="b">
        <v>0</v>
      </c>
      <c r="AS149" t="b">
        <v>0</v>
      </c>
      <c r="AT149" s="12" t="s">
        <v>1574</v>
      </c>
    </row>
    <row r="150" spans="1:47" x14ac:dyDescent="0.3">
      <c r="A150" s="57" t="str">
        <f t="shared" si="2"/>
        <v>AUD9185003591850035ATEASTCH45901</v>
      </c>
      <c r="B150" s="57">
        <f>COUNTIF(CONT_TEA[Unique Contract],CONT_TEA[[#This Row],[Unique Contract]])-1</f>
        <v>0</v>
      </c>
      <c r="C150" s="57">
        <f>IFERROR(IF(FIND(CONT_TEA[[#This Row],[SchoolCode]],_xlfn.XLOOKUP(CONT_TEA[[#This Row],[StaffMemberCode]],MEMBERS[StaffMemberCode],MEMBERS[SchoolCodes]))&gt;0,0,1),1)</f>
        <v>0</v>
      </c>
      <c r="D150" s="57" cm="1">
        <f t="array" ref="D150">IF(_xlfn.XLOOKUP(CONT_TEA[[#This Row],[StaffRoleCode]],ROLES[StaffRoleCode],ROLES[AvailableToAllSchools],1,0,)=TRUE,0,IF(ISERROR(FIND(CONT_TEA[[#This Row],[SchoolCode]],_xlfn.TEXTJOIN(",",TRUE,_xlfn.UNIQUE(IF(ROLES[StaffRoleCode]=CONT_TEA[[#This Row],[StaffRoleCode]],ROLES[SchoolCodes],""))))),1,0))</f>
        <v>0</v>
      </c>
      <c r="E150" s="57" cm="1">
        <f t="array" ref="E15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50" s="57" cm="1">
        <f t="array" ref="F150">IF(_xlfn.XLOOKUP(CONT_TEA[[#This Row],[PayScaleCode]],PAYSCALES[PayScaleCode],PAYSCALES[AvailableToAllSchools],1,0,)=TRUE,0,IF(ISERROR(FIND(CONT_TEA[[#This Row],[SchoolCode]],_xlfn.TEXTJOIN(",",TRUE,_xlfn.UNIQUE(IF(PAYSCALES[PayScaleCode]=CONT_TEA[[#This Row],[PayScaleCode]],PAYSCALES[SchoolCodes],""))))),1,0))</f>
        <v>0</v>
      </c>
      <c r="G150" s="57">
        <f>IF(_xlfn.XLOOKUP(CONT_TEA[[#This Row],[PayScaleGradeCode]],GRADES[PayScaleGradeCode],GRADES[AvailableToAllSchools])=TRUE,0,IFERROR(IF(FIND(CONT_TEA[[#This Row],[SchoolCode]],_xlfn.XLOOKUP(CONT_TEA[[#This Row],[PayScaleGradeCode]],GRADES[PayScaleGradeCode],GRADES[SchoolCodes]))&gt;=1,0,1),1))</f>
        <v>0</v>
      </c>
      <c r="H150" s="57">
        <f>IF(ISERROR(IF((_xlfn.XLOOKUP(CONT_TEA[[#This Row],[PayScaleGradeCode]],GRADES[PayScaleGradeCode],GRADES[PayScaleCode])=CONT_TEA[[#This Row],[PayScaleCode]]),0,1)),1,0)</f>
        <v>0</v>
      </c>
      <c r="I150" s="57" cm="1">
        <f t="array" ref="I150">IF(ISERROR(FIND(CONT_TEA[[#This Row],[PayScalePointCode]],_xlfn.TEXTJOIN(",",TRUE,IF(PSPOINTS[PayScaleCode]=CONT_TEA[[#This Row],[PayScaleCode]],PSPOINTS[PayScalePointCode])))),1,0)</f>
        <v>0</v>
      </c>
      <c r="J150" s="57" cm="1">
        <f t="array" ref="J15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50" s="57">
        <f>IF(_xlfn.XLOOKUP(CONT_TEA[[#This Row],[PayScalePointCode]],PSPOINTS[PayScalePointCode],PSPOINTS[PayScalePointEnabled])=TRUE,0,1)</f>
        <v>0</v>
      </c>
      <c r="L150" s="57" cm="1">
        <f t="array" ref="L150">IF(_xlfn.XLOOKUP(CONT_TEA[[#This Row],[DepartmentCode]],DEPTS[DepartmentCode],DEPTS[AvailableToAllSchools],1,0,)=TRUE,0,IF(ISERROR(FIND(CONT_TEA[[#This Row],[SchoolCode]],_xlfn.TEXTJOIN(",",TRUE,_xlfn.UNIQUE(IF(DEPTS[DepartmentCode]=CONT_TEA[[#This Row],[DepartmentCode]],DEPTS[SchoolCodes],""))))),1,0))</f>
        <v>0</v>
      </c>
      <c r="M150" s="57">
        <f>IFERROR(IF(_xlfn.XLOOKUP(CONT_TEA[[#This Row],[SRG Gross]],FinanceCodesBudget[FinanceCode],FinanceCodesBudget[LedgerCode])=_xlfn.XLOOKUP(CONT_TEA[[#This Row],[DepartmentCode]],DEPTS[DepartmentCode],DEPTS[LedgerCode]),0,1),1)</f>
        <v>1</v>
      </c>
      <c r="N150" s="57" cm="1">
        <f t="array" ref="N150">IF(_xlfn.XLOOKUP(CONT_TEA[[#This Row],[PensionCode]],PENS[PensionCode],PENS[AvailableToAllSchools],1,0,)=TRUE,0,IF(ISERROR(FIND(CONT_TEA[[#This Row],[SchoolCode]],_xlfn.TEXTJOIN(",",TRUE,_xlfn.UNIQUE(IF(PENS[PensionCode]=CONT_TEA[[#This Row],[PensionCode]],PENS[SchoolCodes],""))))),1,0))</f>
        <v>0</v>
      </c>
      <c r="O150" s="57" cm="1">
        <f t="array" ref="O150">IF(_xlfn.XLOOKUP(CONT_TEA[[#This Row],[EquatedWeekPatternCode]],EQW[EquatedWeekPatternCode],EQW[AvailableToAllSchools],1,0,)=TRUE,0,IF(ISERROR(FIND(CONT_TEA[[#This Row],[SchoolCode]],_xlfn.TEXTJOIN(",",TRUE,_xlfn.UNIQUE(IF(EQW[EquatedWeekPatternCode]=CONT_TEA[[#This Row],[EquatedWeekPatternCode]],EQW[SchoolCodes],""))))),1,0))</f>
        <v>0</v>
      </c>
      <c r="P150" s="57">
        <f>1-COUNTIF(ContractTypes[Code],CONT_TEA[[#This Row],[ContractTypeCode]])</f>
        <v>0</v>
      </c>
      <c r="Q150" s="57">
        <f>IF(VLOOKUP(CONT_TEA[[#This Row],[StaffMemberCode]],MEMBERS[[StaffMemberCode]:[ServiceStartDate]],5,0)&gt;CONT_TEA[[#This Row],[DateFrom]],1,0)</f>
        <v>0</v>
      </c>
      <c r="R150" s="57">
        <f>IF(_xlfn.XLOOKUP(CONT_TEA[[#This Row],[StaffMemberCode]],MEMBERS[StaffMemberCode],MEMBERS[ServiceEndDate])="",0,IF(CONT_TEA[[#This Row],[DateTo]]="",1,IF(_xlfn.XLOOKUP(CONT_TEA[[#This Row],[StaffMemberCode]],MEMBERS[StaffMemberCode],MEMBERS[ServiceEndDate])&lt;CONT_TEA[[#This Row],[DateTo]],1,0)))</f>
        <v>0</v>
      </c>
      <c r="S150" s="57">
        <f>IF(ISBLANK(CONT_TEA[[#This Row],[DateTo]]),0,IF(CONT_TEA[[#This Row],[DateFrom]]=CONT_TEA[[#This Row],[DateTo]],0,IF(CONT_TEA[[#This Row],[DateFrom]]&lt;CONT_TEA[[#This Row],[DateTo]],0,1)))</f>
        <v>0</v>
      </c>
      <c r="T150" s="57" cm="1">
        <f t="array" aca="1" ref="T150" ca="1">IF(CELL("format",CONT_TEA[[#This Row],[DateFrom]])="D1",0,1)+IF(CELL("format",CONT_TEA[[#This Row],[DateTo]])="D1",0,1)</f>
        <v>0</v>
      </c>
      <c r="U150" s="57">
        <f>IF(OR(CONT_TEA[[#This Row],[MatEditOnly]]=TRUE,CONT_TEA[[#This Row],[MatEditOnly]]=FALSE),IF(OR(CONT_TEA[[#This Row],[NoIncrement]]=TRUE,CONT_TEA[[#This Row],[NoIncrement]]=FALSE),0,1),1)</f>
        <v>0</v>
      </c>
      <c r="V150" s="57">
        <f>IF(ISBLANK(CONT_TEA[[#This Row],[FundCode]])=TRUE,0,IF(COUNTIF(FUNDS[FundCode],CONT_TEA[[#This Row],[FundCode]])=1,0,1))</f>
        <v>0</v>
      </c>
      <c r="W150" s="57">
        <f>IF(LEN(CONT_TEA[[#This Row],[Notes]])&lt;4000,0,1)</f>
        <v>0</v>
      </c>
      <c r="X150" s="57">
        <f>IF(SUBSTITUTE(TEXT(CONT_TEA[[#This Row],[Reference]],10)," ","")=TEXT(CONT_TEA[[#This Row],[Reference]],10),0,1)</f>
        <v>0</v>
      </c>
      <c r="Y150" s="57">
        <f ca="1">SUM(CONT_TEA[[#This Row],[Duplicate Contract]:[Space in Code]])</f>
        <v>1</v>
      </c>
      <c r="AA150" s="12" t="s">
        <v>2089</v>
      </c>
      <c r="AB150" s="15">
        <v>91850035</v>
      </c>
      <c r="AC150" s="12" t="s">
        <v>4498</v>
      </c>
      <c r="AD150" s="57" t="str">
        <f>_xlfn.XLOOKUP(CONT_TEA[[#This Row],[StaffMemberCode]],StaffMembers!O:O,StaffMembers!R:R)</f>
        <v>Elise Bailey</v>
      </c>
      <c r="AE150" s="12" t="s">
        <v>1178</v>
      </c>
      <c r="AF150" s="57">
        <f>_xlfn.XLOOKUP(CONT_TEA[[#This Row],[SRG]],SRG[StaffRoleGroupCode],SRG[GrossSalaryFinanceCode])</f>
        <v>612100</v>
      </c>
      <c r="AG150" s="57" t="str">
        <f>_xlfn.XLOOKUP(CONT_TEA[[#This Row],[StaffRoleCode]],ROLES[StaffRoleCode],ROLES[StaffRoleGroupCode])</f>
        <v>TEA</v>
      </c>
      <c r="AH150" s="57" t="str">
        <f>_xlfn.XLOOKUP(CONT_TEA[[#This Row],[StaffRoleCode]],ROLES[StaffRoleCode],ROLES[PayScaleCode])</f>
        <v>MAIN</v>
      </c>
      <c r="AI150" s="12" t="s">
        <v>1126</v>
      </c>
      <c r="AJ150" s="12" t="s">
        <v>1066</v>
      </c>
      <c r="AK150" s="12" t="s">
        <v>2499</v>
      </c>
      <c r="AM150" s="68" t="s">
        <v>1147</v>
      </c>
      <c r="AN150" s="13" t="s">
        <v>1702</v>
      </c>
      <c r="AO150" s="21">
        <v>45901</v>
      </c>
      <c r="AQ150" s="12">
        <v>1</v>
      </c>
      <c r="AR150" t="b">
        <v>0</v>
      </c>
      <c r="AS150" t="b">
        <v>0</v>
      </c>
      <c r="AT150" s="12" t="s">
        <v>65</v>
      </c>
    </row>
    <row r="151" spans="1:47" x14ac:dyDescent="0.3">
      <c r="A151" s="57" t="str">
        <f t="shared" si="2"/>
        <v>BLS9107348591073485ATEASTCH45901</v>
      </c>
      <c r="B151" s="57">
        <f>COUNTIF(CONT_TEA[Unique Contract],CONT_TEA[[#This Row],[Unique Contract]])-1</f>
        <v>0</v>
      </c>
      <c r="C151" s="57">
        <f>IFERROR(IF(FIND(CONT_TEA[[#This Row],[SchoolCode]],_xlfn.XLOOKUP(CONT_TEA[[#This Row],[StaffMemberCode]],MEMBERS[StaffMemberCode],MEMBERS[SchoolCodes]))&gt;0,0,1),1)</f>
        <v>0</v>
      </c>
      <c r="D151" s="57" cm="1">
        <f t="array" ref="D151">IF(_xlfn.XLOOKUP(CONT_TEA[[#This Row],[StaffRoleCode]],ROLES[StaffRoleCode],ROLES[AvailableToAllSchools],1,0,)=TRUE,0,IF(ISERROR(FIND(CONT_TEA[[#This Row],[SchoolCode]],_xlfn.TEXTJOIN(",",TRUE,_xlfn.UNIQUE(IF(ROLES[StaffRoleCode]=CONT_TEA[[#This Row],[StaffRoleCode]],ROLES[SchoolCodes],""))))),1,0))</f>
        <v>0</v>
      </c>
      <c r="E151" s="57" cm="1">
        <f t="array" ref="E15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51" s="57" cm="1">
        <f t="array" ref="F151">IF(_xlfn.XLOOKUP(CONT_TEA[[#This Row],[PayScaleCode]],PAYSCALES[PayScaleCode],PAYSCALES[AvailableToAllSchools],1,0,)=TRUE,0,IF(ISERROR(FIND(CONT_TEA[[#This Row],[SchoolCode]],_xlfn.TEXTJOIN(",",TRUE,_xlfn.UNIQUE(IF(PAYSCALES[PayScaleCode]=CONT_TEA[[#This Row],[PayScaleCode]],PAYSCALES[SchoolCodes],""))))),1,0))</f>
        <v>0</v>
      </c>
      <c r="G151" s="57">
        <f>IF(_xlfn.XLOOKUP(CONT_TEA[[#This Row],[PayScaleGradeCode]],GRADES[PayScaleGradeCode],GRADES[AvailableToAllSchools])=TRUE,0,IFERROR(IF(FIND(CONT_TEA[[#This Row],[SchoolCode]],_xlfn.XLOOKUP(CONT_TEA[[#This Row],[PayScaleGradeCode]],GRADES[PayScaleGradeCode],GRADES[SchoolCodes]))&gt;=1,0,1),1))</f>
        <v>0</v>
      </c>
      <c r="H151" s="57">
        <f>IF(ISERROR(IF((_xlfn.XLOOKUP(CONT_TEA[[#This Row],[PayScaleGradeCode]],GRADES[PayScaleGradeCode],GRADES[PayScaleCode])=CONT_TEA[[#This Row],[PayScaleCode]]),0,1)),1,0)</f>
        <v>0</v>
      </c>
      <c r="I151" s="57" cm="1">
        <f t="array" ref="I151">IF(ISERROR(FIND(CONT_TEA[[#This Row],[PayScalePointCode]],_xlfn.TEXTJOIN(",",TRUE,IF(PSPOINTS[PayScaleCode]=CONT_TEA[[#This Row],[PayScaleCode]],PSPOINTS[PayScalePointCode])))),1,0)</f>
        <v>0</v>
      </c>
      <c r="J151" s="57" cm="1">
        <f t="array" ref="J15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51" s="57">
        <f>IF(_xlfn.XLOOKUP(CONT_TEA[[#This Row],[PayScalePointCode]],PSPOINTS[PayScalePointCode],PSPOINTS[PayScalePointEnabled])=TRUE,0,1)</f>
        <v>0</v>
      </c>
      <c r="L151" s="57" cm="1">
        <f t="array" ref="L151">IF(_xlfn.XLOOKUP(CONT_TEA[[#This Row],[DepartmentCode]],DEPTS[DepartmentCode],DEPTS[AvailableToAllSchools],1,0,)=TRUE,0,IF(ISERROR(FIND(CONT_TEA[[#This Row],[SchoolCode]],_xlfn.TEXTJOIN(",",TRUE,_xlfn.UNIQUE(IF(DEPTS[DepartmentCode]=CONT_TEA[[#This Row],[DepartmentCode]],DEPTS[SchoolCodes],""))))),1,0))</f>
        <v>0</v>
      </c>
      <c r="M151" s="57">
        <f>IFERROR(IF(_xlfn.XLOOKUP(CONT_TEA[[#This Row],[SRG Gross]],FinanceCodesBudget[FinanceCode],FinanceCodesBudget[LedgerCode])=_xlfn.XLOOKUP(CONT_TEA[[#This Row],[DepartmentCode]],DEPTS[DepartmentCode],DEPTS[LedgerCode]),0,1),1)</f>
        <v>1</v>
      </c>
      <c r="N151" s="57" cm="1">
        <f t="array" ref="N151">IF(_xlfn.XLOOKUP(CONT_TEA[[#This Row],[PensionCode]],PENS[PensionCode],PENS[AvailableToAllSchools],1,0,)=TRUE,0,IF(ISERROR(FIND(CONT_TEA[[#This Row],[SchoolCode]],_xlfn.TEXTJOIN(",",TRUE,_xlfn.UNIQUE(IF(PENS[PensionCode]=CONT_TEA[[#This Row],[PensionCode]],PENS[SchoolCodes],""))))),1,0))</f>
        <v>0</v>
      </c>
      <c r="O151" s="57" cm="1">
        <f t="array" ref="O151">IF(_xlfn.XLOOKUP(CONT_TEA[[#This Row],[EquatedWeekPatternCode]],EQW[EquatedWeekPatternCode],EQW[AvailableToAllSchools],1,0,)=TRUE,0,IF(ISERROR(FIND(CONT_TEA[[#This Row],[SchoolCode]],_xlfn.TEXTJOIN(",",TRUE,_xlfn.UNIQUE(IF(EQW[EquatedWeekPatternCode]=CONT_TEA[[#This Row],[EquatedWeekPatternCode]],EQW[SchoolCodes],""))))),1,0))</f>
        <v>0</v>
      </c>
      <c r="P151" s="57">
        <f>1-COUNTIF(ContractTypes[Code],CONT_TEA[[#This Row],[ContractTypeCode]])</f>
        <v>0</v>
      </c>
      <c r="Q151" s="57">
        <f>IF(VLOOKUP(CONT_TEA[[#This Row],[StaffMemberCode]],MEMBERS[[StaffMemberCode]:[ServiceStartDate]],5,0)&gt;CONT_TEA[[#This Row],[DateFrom]],1,0)</f>
        <v>0</v>
      </c>
      <c r="R151" s="57">
        <f>IF(_xlfn.XLOOKUP(CONT_TEA[[#This Row],[StaffMemberCode]],MEMBERS[StaffMemberCode],MEMBERS[ServiceEndDate])="",0,IF(CONT_TEA[[#This Row],[DateTo]]="",1,IF(_xlfn.XLOOKUP(CONT_TEA[[#This Row],[StaffMemberCode]],MEMBERS[StaffMemberCode],MEMBERS[ServiceEndDate])&lt;CONT_TEA[[#This Row],[DateTo]],1,0)))</f>
        <v>0</v>
      </c>
      <c r="S151" s="57">
        <f>IF(ISBLANK(CONT_TEA[[#This Row],[DateTo]]),0,IF(CONT_TEA[[#This Row],[DateFrom]]=CONT_TEA[[#This Row],[DateTo]],0,IF(CONT_TEA[[#This Row],[DateFrom]]&lt;CONT_TEA[[#This Row],[DateTo]],0,1)))</f>
        <v>0</v>
      </c>
      <c r="T151" s="57" cm="1">
        <f t="array" aca="1" ref="T151" ca="1">IF(CELL("format",CONT_TEA[[#This Row],[DateFrom]])="D1",0,1)+IF(CELL("format",CONT_TEA[[#This Row],[DateTo]])="D1",0,1)</f>
        <v>0</v>
      </c>
      <c r="U151" s="57">
        <f>IF(OR(CONT_TEA[[#This Row],[MatEditOnly]]=TRUE,CONT_TEA[[#This Row],[MatEditOnly]]=FALSE),IF(OR(CONT_TEA[[#This Row],[NoIncrement]]=TRUE,CONT_TEA[[#This Row],[NoIncrement]]=FALSE),0,1),1)</f>
        <v>0</v>
      </c>
      <c r="V151" s="57">
        <f>IF(ISBLANK(CONT_TEA[[#This Row],[FundCode]])=TRUE,0,IF(COUNTIF(FUNDS[FundCode],CONT_TEA[[#This Row],[FundCode]])=1,0,1))</f>
        <v>0</v>
      </c>
      <c r="W151" s="57">
        <f>IF(LEN(CONT_TEA[[#This Row],[Notes]])&lt;4000,0,1)</f>
        <v>0</v>
      </c>
      <c r="X151" s="57">
        <f>IF(SUBSTITUTE(TEXT(CONT_TEA[[#This Row],[Reference]],10)," ","")=TEXT(CONT_TEA[[#This Row],[Reference]],10),0,1)</f>
        <v>0</v>
      </c>
      <c r="Y151" s="57">
        <f ca="1">SUM(CONT_TEA[[#This Row],[Duplicate Contract]:[Space in Code]])</f>
        <v>1</v>
      </c>
      <c r="AA151" s="12" t="s">
        <v>2094</v>
      </c>
      <c r="AB151" s="15">
        <v>91073485</v>
      </c>
      <c r="AC151" s="12" t="s">
        <v>4499</v>
      </c>
      <c r="AD151" s="57" t="str">
        <f>_xlfn.XLOOKUP(CONT_TEA[[#This Row],[StaffMemberCode]],StaffMembers!O:O,StaffMembers!R:R)</f>
        <v>Elizabeth Mitchell</v>
      </c>
      <c r="AE151" s="12" t="s">
        <v>1178</v>
      </c>
      <c r="AF151" s="57">
        <f>_xlfn.XLOOKUP(CONT_TEA[[#This Row],[SRG]],SRG[StaffRoleGroupCode],SRG[GrossSalaryFinanceCode])</f>
        <v>612100</v>
      </c>
      <c r="AG151" s="57" t="str">
        <f>_xlfn.XLOOKUP(CONT_TEA[[#This Row],[StaffRoleCode]],ROLES[StaffRoleCode],ROLES[StaffRoleGroupCode])</f>
        <v>TEA</v>
      </c>
      <c r="AH151" s="57" t="str">
        <f>_xlfn.XLOOKUP(CONT_TEA[[#This Row],[StaffRoleCode]],ROLES[StaffRoleCode],ROLES[PayScaleCode])</f>
        <v>MAIN</v>
      </c>
      <c r="AI151" s="12" t="s">
        <v>1126</v>
      </c>
      <c r="AJ151" s="12" t="s">
        <v>1745</v>
      </c>
      <c r="AK151" s="12" t="s">
        <v>2499</v>
      </c>
      <c r="AM151" s="68" t="s">
        <v>1147</v>
      </c>
      <c r="AN151" s="13" t="s">
        <v>1702</v>
      </c>
      <c r="AO151" s="21">
        <v>45901</v>
      </c>
      <c r="AQ151" s="12">
        <v>0.4</v>
      </c>
      <c r="AR151" t="b">
        <v>0</v>
      </c>
      <c r="AS151" t="b">
        <v>0</v>
      </c>
      <c r="AT151" s="12" t="s">
        <v>1574</v>
      </c>
    </row>
    <row r="152" spans="1:47" x14ac:dyDescent="0.3">
      <c r="A152" s="57" t="str">
        <f t="shared" si="2"/>
        <v>AUD9107365391073653ATEASTCH45901</v>
      </c>
      <c r="B152" s="57">
        <f>COUNTIF(CONT_TEA[Unique Contract],CONT_TEA[[#This Row],[Unique Contract]])-1</f>
        <v>0</v>
      </c>
      <c r="C152" s="57">
        <f>IFERROR(IF(FIND(CONT_TEA[[#This Row],[SchoolCode]],_xlfn.XLOOKUP(CONT_TEA[[#This Row],[StaffMemberCode]],MEMBERS[StaffMemberCode],MEMBERS[SchoolCodes]))&gt;0,0,1),1)</f>
        <v>0</v>
      </c>
      <c r="D152" s="57" cm="1">
        <f t="array" ref="D152">IF(_xlfn.XLOOKUP(CONT_TEA[[#This Row],[StaffRoleCode]],ROLES[StaffRoleCode],ROLES[AvailableToAllSchools],1,0,)=TRUE,0,IF(ISERROR(FIND(CONT_TEA[[#This Row],[SchoolCode]],_xlfn.TEXTJOIN(",",TRUE,_xlfn.UNIQUE(IF(ROLES[StaffRoleCode]=CONT_TEA[[#This Row],[StaffRoleCode]],ROLES[SchoolCodes],""))))),1,0))</f>
        <v>0</v>
      </c>
      <c r="E152" s="57" cm="1">
        <f t="array" ref="E15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52" s="57" cm="1">
        <f t="array" ref="F152">IF(_xlfn.XLOOKUP(CONT_TEA[[#This Row],[PayScaleCode]],PAYSCALES[PayScaleCode],PAYSCALES[AvailableToAllSchools],1,0,)=TRUE,0,IF(ISERROR(FIND(CONT_TEA[[#This Row],[SchoolCode]],_xlfn.TEXTJOIN(",",TRUE,_xlfn.UNIQUE(IF(PAYSCALES[PayScaleCode]=CONT_TEA[[#This Row],[PayScaleCode]],PAYSCALES[SchoolCodes],""))))),1,0))</f>
        <v>0</v>
      </c>
      <c r="G152" s="57">
        <f>IF(_xlfn.XLOOKUP(CONT_TEA[[#This Row],[PayScaleGradeCode]],GRADES[PayScaleGradeCode],GRADES[AvailableToAllSchools])=TRUE,0,IFERROR(IF(FIND(CONT_TEA[[#This Row],[SchoolCode]],_xlfn.XLOOKUP(CONT_TEA[[#This Row],[PayScaleGradeCode]],GRADES[PayScaleGradeCode],GRADES[SchoolCodes]))&gt;=1,0,1),1))</f>
        <v>0</v>
      </c>
      <c r="H152" s="57">
        <f>IF(ISERROR(IF((_xlfn.XLOOKUP(CONT_TEA[[#This Row],[PayScaleGradeCode]],GRADES[PayScaleGradeCode],GRADES[PayScaleCode])=CONT_TEA[[#This Row],[PayScaleCode]]),0,1)),1,0)</f>
        <v>0</v>
      </c>
      <c r="I152" s="57" cm="1">
        <f t="array" ref="I152">IF(ISERROR(FIND(CONT_TEA[[#This Row],[PayScalePointCode]],_xlfn.TEXTJOIN(",",TRUE,IF(PSPOINTS[PayScaleCode]=CONT_TEA[[#This Row],[PayScaleCode]],PSPOINTS[PayScalePointCode])))),1,0)</f>
        <v>0</v>
      </c>
      <c r="J152" s="57" cm="1">
        <f t="array" ref="J15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52" s="57">
        <f>IF(_xlfn.XLOOKUP(CONT_TEA[[#This Row],[PayScalePointCode]],PSPOINTS[PayScalePointCode],PSPOINTS[PayScalePointEnabled])=TRUE,0,1)</f>
        <v>0</v>
      </c>
      <c r="L152" s="57" cm="1">
        <f t="array" ref="L152">IF(_xlfn.XLOOKUP(CONT_TEA[[#This Row],[DepartmentCode]],DEPTS[DepartmentCode],DEPTS[AvailableToAllSchools],1,0,)=TRUE,0,IF(ISERROR(FIND(CONT_TEA[[#This Row],[SchoolCode]],_xlfn.TEXTJOIN(",",TRUE,_xlfn.UNIQUE(IF(DEPTS[DepartmentCode]=CONT_TEA[[#This Row],[DepartmentCode]],DEPTS[SchoolCodes],""))))),1,0))</f>
        <v>0</v>
      </c>
      <c r="M152" s="57">
        <f>IFERROR(IF(_xlfn.XLOOKUP(CONT_TEA[[#This Row],[SRG Gross]],FinanceCodesBudget[FinanceCode],FinanceCodesBudget[LedgerCode])=_xlfn.XLOOKUP(CONT_TEA[[#This Row],[DepartmentCode]],DEPTS[DepartmentCode],DEPTS[LedgerCode]),0,1),1)</f>
        <v>1</v>
      </c>
      <c r="N152" s="57" cm="1">
        <f t="array" ref="N152">IF(_xlfn.XLOOKUP(CONT_TEA[[#This Row],[PensionCode]],PENS[PensionCode],PENS[AvailableToAllSchools],1,0,)=TRUE,0,IF(ISERROR(FIND(CONT_TEA[[#This Row],[SchoolCode]],_xlfn.TEXTJOIN(",",TRUE,_xlfn.UNIQUE(IF(PENS[PensionCode]=CONT_TEA[[#This Row],[PensionCode]],PENS[SchoolCodes],""))))),1,0))</f>
        <v>0</v>
      </c>
      <c r="O152" s="57" cm="1">
        <f t="array" ref="O152">IF(_xlfn.XLOOKUP(CONT_TEA[[#This Row],[EquatedWeekPatternCode]],EQW[EquatedWeekPatternCode],EQW[AvailableToAllSchools],1,0,)=TRUE,0,IF(ISERROR(FIND(CONT_TEA[[#This Row],[SchoolCode]],_xlfn.TEXTJOIN(",",TRUE,_xlfn.UNIQUE(IF(EQW[EquatedWeekPatternCode]=CONT_TEA[[#This Row],[EquatedWeekPatternCode]],EQW[SchoolCodes],""))))),1,0))</f>
        <v>0</v>
      </c>
      <c r="P152" s="57">
        <f>1-COUNTIF(ContractTypes[Code],CONT_TEA[[#This Row],[ContractTypeCode]])</f>
        <v>0</v>
      </c>
      <c r="Q152" s="57">
        <f>IF(VLOOKUP(CONT_TEA[[#This Row],[StaffMemberCode]],MEMBERS[[StaffMemberCode]:[ServiceStartDate]],5,0)&gt;CONT_TEA[[#This Row],[DateFrom]],1,0)</f>
        <v>0</v>
      </c>
      <c r="R152" s="57">
        <f>IF(_xlfn.XLOOKUP(CONT_TEA[[#This Row],[StaffMemberCode]],MEMBERS[StaffMemberCode],MEMBERS[ServiceEndDate])="",0,IF(CONT_TEA[[#This Row],[DateTo]]="",1,IF(_xlfn.XLOOKUP(CONT_TEA[[#This Row],[StaffMemberCode]],MEMBERS[StaffMemberCode],MEMBERS[ServiceEndDate])&lt;CONT_TEA[[#This Row],[DateTo]],1,0)))</f>
        <v>0</v>
      </c>
      <c r="S152" s="57">
        <f>IF(ISBLANK(CONT_TEA[[#This Row],[DateTo]]),0,IF(CONT_TEA[[#This Row],[DateFrom]]=CONT_TEA[[#This Row],[DateTo]],0,IF(CONT_TEA[[#This Row],[DateFrom]]&lt;CONT_TEA[[#This Row],[DateTo]],0,1)))</f>
        <v>0</v>
      </c>
      <c r="T152" s="57" cm="1">
        <f t="array" aca="1" ref="T152" ca="1">IF(CELL("format",CONT_TEA[[#This Row],[DateFrom]])="D1",0,1)+IF(CELL("format",CONT_TEA[[#This Row],[DateTo]])="D1",0,1)</f>
        <v>0</v>
      </c>
      <c r="U152" s="57">
        <f>IF(OR(CONT_TEA[[#This Row],[MatEditOnly]]=TRUE,CONT_TEA[[#This Row],[MatEditOnly]]=FALSE),IF(OR(CONT_TEA[[#This Row],[NoIncrement]]=TRUE,CONT_TEA[[#This Row],[NoIncrement]]=FALSE),0,1),1)</f>
        <v>0</v>
      </c>
      <c r="V152" s="57">
        <f>IF(ISBLANK(CONT_TEA[[#This Row],[FundCode]])=TRUE,0,IF(COUNTIF(FUNDS[FundCode],CONT_TEA[[#This Row],[FundCode]])=1,0,1))</f>
        <v>0</v>
      </c>
      <c r="W152" s="57">
        <f>IF(LEN(CONT_TEA[[#This Row],[Notes]])&lt;4000,0,1)</f>
        <v>0</v>
      </c>
      <c r="X152" s="57">
        <f>IF(SUBSTITUTE(TEXT(CONT_TEA[[#This Row],[Reference]],10)," ","")=TEXT(CONT_TEA[[#This Row],[Reference]],10),0,1)</f>
        <v>0</v>
      </c>
      <c r="Y152" s="57">
        <f ca="1">SUM(CONT_TEA[[#This Row],[Duplicate Contract]:[Space in Code]])</f>
        <v>1</v>
      </c>
      <c r="AA152" s="12" t="s">
        <v>2089</v>
      </c>
      <c r="AB152" s="15">
        <v>91073653</v>
      </c>
      <c r="AC152" s="12" t="s">
        <v>4500</v>
      </c>
      <c r="AD152" s="57" t="str">
        <f>_xlfn.XLOOKUP(CONT_TEA[[#This Row],[StaffMemberCode]],StaffMembers!O:O,StaffMembers!R:R)</f>
        <v>Elizabeth Morris</v>
      </c>
      <c r="AE152" s="12" t="s">
        <v>1178</v>
      </c>
      <c r="AF152" s="57">
        <f>_xlfn.XLOOKUP(CONT_TEA[[#This Row],[SRG]],SRG[StaffRoleGroupCode],SRG[GrossSalaryFinanceCode])</f>
        <v>612100</v>
      </c>
      <c r="AG152" s="57" t="str">
        <f>_xlfn.XLOOKUP(CONT_TEA[[#This Row],[StaffRoleCode]],ROLES[StaffRoleCode],ROLES[StaffRoleGroupCode])</f>
        <v>TEA</v>
      </c>
      <c r="AH152" s="57" t="str">
        <f>_xlfn.XLOOKUP(CONT_TEA[[#This Row],[StaffRoleCode]],ROLES[StaffRoleCode],ROLES[PayScaleCode])</f>
        <v>MAIN</v>
      </c>
      <c r="AI152" s="12" t="s">
        <v>1126</v>
      </c>
      <c r="AJ152" s="12" t="s">
        <v>1546</v>
      </c>
      <c r="AK152" s="12" t="s">
        <v>2499</v>
      </c>
      <c r="AM152" s="68" t="s">
        <v>1147</v>
      </c>
      <c r="AN152" s="13" t="s">
        <v>1702</v>
      </c>
      <c r="AO152" s="21">
        <v>45901</v>
      </c>
      <c r="AQ152" s="12">
        <v>1</v>
      </c>
      <c r="AR152" t="b">
        <v>0</v>
      </c>
      <c r="AS152" t="b">
        <v>0</v>
      </c>
      <c r="AT152" s="12" t="s">
        <v>1574</v>
      </c>
    </row>
    <row r="153" spans="1:47" x14ac:dyDescent="0.3">
      <c r="A153" s="57" t="str">
        <f t="shared" si="2"/>
        <v>ALS9107378391073783ATEASTCH45901</v>
      </c>
      <c r="B153" s="57">
        <f>COUNTIF(CONT_TEA[Unique Contract],CONT_TEA[[#This Row],[Unique Contract]])-1</f>
        <v>0</v>
      </c>
      <c r="C153" s="57">
        <f>IFERROR(IF(FIND(CONT_TEA[[#This Row],[SchoolCode]],_xlfn.XLOOKUP(CONT_TEA[[#This Row],[StaffMemberCode]],MEMBERS[StaffMemberCode],MEMBERS[SchoolCodes]))&gt;0,0,1),1)</f>
        <v>0</v>
      </c>
      <c r="D153" s="57" cm="1">
        <f t="array" ref="D153">IF(_xlfn.XLOOKUP(CONT_TEA[[#This Row],[StaffRoleCode]],ROLES[StaffRoleCode],ROLES[AvailableToAllSchools],1,0,)=TRUE,0,IF(ISERROR(FIND(CONT_TEA[[#This Row],[SchoolCode]],_xlfn.TEXTJOIN(",",TRUE,_xlfn.UNIQUE(IF(ROLES[StaffRoleCode]=CONT_TEA[[#This Row],[StaffRoleCode]],ROLES[SchoolCodes],""))))),1,0))</f>
        <v>0</v>
      </c>
      <c r="E153" s="57" cm="1">
        <f t="array" ref="E15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53" s="57" cm="1">
        <f t="array" ref="F153">IF(_xlfn.XLOOKUP(CONT_TEA[[#This Row],[PayScaleCode]],PAYSCALES[PayScaleCode],PAYSCALES[AvailableToAllSchools],1,0,)=TRUE,0,IF(ISERROR(FIND(CONT_TEA[[#This Row],[SchoolCode]],_xlfn.TEXTJOIN(",",TRUE,_xlfn.UNIQUE(IF(PAYSCALES[PayScaleCode]=CONT_TEA[[#This Row],[PayScaleCode]],PAYSCALES[SchoolCodes],""))))),1,0))</f>
        <v>0</v>
      </c>
      <c r="G153" s="57">
        <f>IF(_xlfn.XLOOKUP(CONT_TEA[[#This Row],[PayScaleGradeCode]],GRADES[PayScaleGradeCode],GRADES[AvailableToAllSchools])=TRUE,0,IFERROR(IF(FIND(CONT_TEA[[#This Row],[SchoolCode]],_xlfn.XLOOKUP(CONT_TEA[[#This Row],[PayScaleGradeCode]],GRADES[PayScaleGradeCode],GRADES[SchoolCodes]))&gt;=1,0,1),1))</f>
        <v>0</v>
      </c>
      <c r="H153" s="57">
        <f>IF(ISERROR(IF((_xlfn.XLOOKUP(CONT_TEA[[#This Row],[PayScaleGradeCode]],GRADES[PayScaleGradeCode],GRADES[PayScaleCode])=CONT_TEA[[#This Row],[PayScaleCode]]),0,1)),1,0)</f>
        <v>0</v>
      </c>
      <c r="I153" s="57" cm="1">
        <f t="array" ref="I153">IF(ISERROR(FIND(CONT_TEA[[#This Row],[PayScalePointCode]],_xlfn.TEXTJOIN(",",TRUE,IF(PSPOINTS[PayScaleCode]=CONT_TEA[[#This Row],[PayScaleCode]],PSPOINTS[PayScalePointCode])))),1,0)</f>
        <v>0</v>
      </c>
      <c r="J153" s="57" cm="1">
        <f t="array" ref="J15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53" s="57">
        <f>IF(_xlfn.XLOOKUP(CONT_TEA[[#This Row],[PayScalePointCode]],PSPOINTS[PayScalePointCode],PSPOINTS[PayScalePointEnabled])=TRUE,0,1)</f>
        <v>0</v>
      </c>
      <c r="L153" s="57" cm="1">
        <f t="array" ref="L153">IF(_xlfn.XLOOKUP(CONT_TEA[[#This Row],[DepartmentCode]],DEPTS[DepartmentCode],DEPTS[AvailableToAllSchools],1,0,)=TRUE,0,IF(ISERROR(FIND(CONT_TEA[[#This Row],[SchoolCode]],_xlfn.TEXTJOIN(",",TRUE,_xlfn.UNIQUE(IF(DEPTS[DepartmentCode]=CONT_TEA[[#This Row],[DepartmentCode]],DEPTS[SchoolCodes],""))))),1,0))</f>
        <v>0</v>
      </c>
      <c r="M153" s="57">
        <f>IFERROR(IF(_xlfn.XLOOKUP(CONT_TEA[[#This Row],[SRG Gross]],FinanceCodesBudget[FinanceCode],FinanceCodesBudget[LedgerCode])=_xlfn.XLOOKUP(CONT_TEA[[#This Row],[DepartmentCode]],DEPTS[DepartmentCode],DEPTS[LedgerCode]),0,1),1)</f>
        <v>1</v>
      </c>
      <c r="N153" s="57" cm="1">
        <f t="array" ref="N153">IF(_xlfn.XLOOKUP(CONT_TEA[[#This Row],[PensionCode]],PENS[PensionCode],PENS[AvailableToAllSchools],1,0,)=TRUE,0,IF(ISERROR(FIND(CONT_TEA[[#This Row],[SchoolCode]],_xlfn.TEXTJOIN(",",TRUE,_xlfn.UNIQUE(IF(PENS[PensionCode]=CONT_TEA[[#This Row],[PensionCode]],PENS[SchoolCodes],""))))),1,0))</f>
        <v>0</v>
      </c>
      <c r="O153" s="57" cm="1">
        <f t="array" ref="O153">IF(_xlfn.XLOOKUP(CONT_TEA[[#This Row],[EquatedWeekPatternCode]],EQW[EquatedWeekPatternCode],EQW[AvailableToAllSchools],1,0,)=TRUE,0,IF(ISERROR(FIND(CONT_TEA[[#This Row],[SchoolCode]],_xlfn.TEXTJOIN(",",TRUE,_xlfn.UNIQUE(IF(EQW[EquatedWeekPatternCode]=CONT_TEA[[#This Row],[EquatedWeekPatternCode]],EQW[SchoolCodes],""))))),1,0))</f>
        <v>0</v>
      </c>
      <c r="P153" s="57">
        <f>1-COUNTIF(ContractTypes[Code],CONT_TEA[[#This Row],[ContractTypeCode]])</f>
        <v>0</v>
      </c>
      <c r="Q153" s="57">
        <f>IF(VLOOKUP(CONT_TEA[[#This Row],[StaffMemberCode]],MEMBERS[[StaffMemberCode]:[ServiceStartDate]],5,0)&gt;CONT_TEA[[#This Row],[DateFrom]],1,0)</f>
        <v>0</v>
      </c>
      <c r="R153" s="57">
        <f>IF(_xlfn.XLOOKUP(CONT_TEA[[#This Row],[StaffMemberCode]],MEMBERS[StaffMemberCode],MEMBERS[ServiceEndDate])="",0,IF(CONT_TEA[[#This Row],[DateTo]]="",1,IF(_xlfn.XLOOKUP(CONT_TEA[[#This Row],[StaffMemberCode]],MEMBERS[StaffMemberCode],MEMBERS[ServiceEndDate])&lt;CONT_TEA[[#This Row],[DateTo]],1,0)))</f>
        <v>0</v>
      </c>
      <c r="S153" s="57">
        <f>IF(ISBLANK(CONT_TEA[[#This Row],[DateTo]]),0,IF(CONT_TEA[[#This Row],[DateFrom]]=CONT_TEA[[#This Row],[DateTo]],0,IF(CONT_TEA[[#This Row],[DateFrom]]&lt;CONT_TEA[[#This Row],[DateTo]],0,1)))</f>
        <v>0</v>
      </c>
      <c r="T153" s="57" cm="1">
        <f t="array" aca="1" ref="T153" ca="1">IF(CELL("format",CONT_TEA[[#This Row],[DateFrom]])="D1",0,1)+IF(CELL("format",CONT_TEA[[#This Row],[DateTo]])="D1",0,1)</f>
        <v>0</v>
      </c>
      <c r="U153" s="57">
        <f>IF(OR(CONT_TEA[[#This Row],[MatEditOnly]]=TRUE,CONT_TEA[[#This Row],[MatEditOnly]]=FALSE),IF(OR(CONT_TEA[[#This Row],[NoIncrement]]=TRUE,CONT_TEA[[#This Row],[NoIncrement]]=FALSE),0,1),1)</f>
        <v>0</v>
      </c>
      <c r="V153" s="57">
        <f>IF(ISBLANK(CONT_TEA[[#This Row],[FundCode]])=TRUE,0,IF(COUNTIF(FUNDS[FundCode],CONT_TEA[[#This Row],[FundCode]])=1,0,1))</f>
        <v>0</v>
      </c>
      <c r="W153" s="57">
        <f>IF(LEN(CONT_TEA[[#This Row],[Notes]])&lt;4000,0,1)</f>
        <v>0</v>
      </c>
      <c r="X153" s="57">
        <f>IF(SUBSTITUTE(TEXT(CONT_TEA[[#This Row],[Reference]],10)," ","")=TEXT(CONT_TEA[[#This Row],[Reference]],10),0,1)</f>
        <v>0</v>
      </c>
      <c r="Y153" s="57">
        <f ca="1">SUM(CONT_TEA[[#This Row],[Duplicate Contract]:[Space in Code]])</f>
        <v>1</v>
      </c>
      <c r="AA153" s="12" t="s">
        <v>2082</v>
      </c>
      <c r="AB153" s="15">
        <v>91073783</v>
      </c>
      <c r="AC153" s="12" t="s">
        <v>4501</v>
      </c>
      <c r="AD153" s="57" t="str">
        <f>_xlfn.XLOOKUP(CONT_TEA[[#This Row],[StaffMemberCode]],StaffMembers!O:O,StaffMembers!R:R)</f>
        <v>Ella Hampshire</v>
      </c>
      <c r="AE153" s="12" t="s">
        <v>1178</v>
      </c>
      <c r="AF153" s="57">
        <f>_xlfn.XLOOKUP(CONT_TEA[[#This Row],[SRG]],SRG[StaffRoleGroupCode],SRG[GrossSalaryFinanceCode])</f>
        <v>612100</v>
      </c>
      <c r="AG153" s="57" t="str">
        <f>_xlfn.XLOOKUP(CONT_TEA[[#This Row],[StaffRoleCode]],ROLES[StaffRoleCode],ROLES[StaffRoleGroupCode])</f>
        <v>TEA</v>
      </c>
      <c r="AH153" s="57" t="str">
        <f>_xlfn.XLOOKUP(CONT_TEA[[#This Row],[StaffRoleCode]],ROLES[StaffRoleCode],ROLES[PayScaleCode])</f>
        <v>MAIN</v>
      </c>
      <c r="AI153" s="12" t="s">
        <v>1126</v>
      </c>
      <c r="AJ153" s="12" t="s">
        <v>1068</v>
      </c>
      <c r="AK153" s="12" t="s">
        <v>2499</v>
      </c>
      <c r="AM153" s="68" t="s">
        <v>1147</v>
      </c>
      <c r="AN153" s="13" t="s">
        <v>1702</v>
      </c>
      <c r="AO153" s="21">
        <v>45901</v>
      </c>
      <c r="AQ153" s="12">
        <v>1</v>
      </c>
      <c r="AR153" t="b">
        <v>0</v>
      </c>
      <c r="AS153" t="b">
        <v>0</v>
      </c>
      <c r="AT153" s="12" t="s">
        <v>1574</v>
      </c>
    </row>
    <row r="154" spans="1:47" x14ac:dyDescent="0.3">
      <c r="A154" s="57" t="str">
        <f t="shared" ref="A154:A217" si="3">AA154&amp;AB154&amp;AC154&amp;AE154&amp;AK154&amp;AO154</f>
        <v>BLS9107361491073614ATEASTCH45901</v>
      </c>
      <c r="B154" s="57">
        <f>COUNTIF(CONT_TEA[Unique Contract],CONT_TEA[[#This Row],[Unique Contract]])-1</f>
        <v>0</v>
      </c>
      <c r="C154" s="57">
        <f>IFERROR(IF(FIND(CONT_TEA[[#This Row],[SchoolCode]],_xlfn.XLOOKUP(CONT_TEA[[#This Row],[StaffMemberCode]],MEMBERS[StaffMemberCode],MEMBERS[SchoolCodes]))&gt;0,0,1),1)</f>
        <v>0</v>
      </c>
      <c r="D154" s="57" cm="1">
        <f t="array" ref="D154">IF(_xlfn.XLOOKUP(CONT_TEA[[#This Row],[StaffRoleCode]],ROLES[StaffRoleCode],ROLES[AvailableToAllSchools],1,0,)=TRUE,0,IF(ISERROR(FIND(CONT_TEA[[#This Row],[SchoolCode]],_xlfn.TEXTJOIN(",",TRUE,_xlfn.UNIQUE(IF(ROLES[StaffRoleCode]=CONT_TEA[[#This Row],[StaffRoleCode]],ROLES[SchoolCodes],""))))),1,0))</f>
        <v>0</v>
      </c>
      <c r="E154" s="57" cm="1">
        <f t="array" ref="E15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54" s="57" cm="1">
        <f t="array" ref="F154">IF(_xlfn.XLOOKUP(CONT_TEA[[#This Row],[PayScaleCode]],PAYSCALES[PayScaleCode],PAYSCALES[AvailableToAllSchools],1,0,)=TRUE,0,IF(ISERROR(FIND(CONT_TEA[[#This Row],[SchoolCode]],_xlfn.TEXTJOIN(",",TRUE,_xlfn.UNIQUE(IF(PAYSCALES[PayScaleCode]=CONT_TEA[[#This Row],[PayScaleCode]],PAYSCALES[SchoolCodes],""))))),1,0))</f>
        <v>0</v>
      </c>
      <c r="G154" s="57">
        <f>IF(_xlfn.XLOOKUP(CONT_TEA[[#This Row],[PayScaleGradeCode]],GRADES[PayScaleGradeCode],GRADES[AvailableToAllSchools])=TRUE,0,IFERROR(IF(FIND(CONT_TEA[[#This Row],[SchoolCode]],_xlfn.XLOOKUP(CONT_TEA[[#This Row],[PayScaleGradeCode]],GRADES[PayScaleGradeCode],GRADES[SchoolCodes]))&gt;=1,0,1),1))</f>
        <v>0</v>
      </c>
      <c r="H154" s="57">
        <f>IF(ISERROR(IF((_xlfn.XLOOKUP(CONT_TEA[[#This Row],[PayScaleGradeCode]],GRADES[PayScaleGradeCode],GRADES[PayScaleCode])=CONT_TEA[[#This Row],[PayScaleCode]]),0,1)),1,0)</f>
        <v>0</v>
      </c>
      <c r="I154" s="57" cm="1">
        <f t="array" ref="I154">IF(ISERROR(FIND(CONT_TEA[[#This Row],[PayScalePointCode]],_xlfn.TEXTJOIN(",",TRUE,IF(PSPOINTS[PayScaleCode]=CONT_TEA[[#This Row],[PayScaleCode]],PSPOINTS[PayScalePointCode])))),1,0)</f>
        <v>0</v>
      </c>
      <c r="J154" s="57" cm="1">
        <f t="array" ref="J15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54" s="57">
        <f>IF(_xlfn.XLOOKUP(CONT_TEA[[#This Row],[PayScalePointCode]],PSPOINTS[PayScalePointCode],PSPOINTS[PayScalePointEnabled])=TRUE,0,1)</f>
        <v>0</v>
      </c>
      <c r="L154" s="57" cm="1">
        <f t="array" ref="L154">IF(_xlfn.XLOOKUP(CONT_TEA[[#This Row],[DepartmentCode]],DEPTS[DepartmentCode],DEPTS[AvailableToAllSchools],1,0,)=TRUE,0,IF(ISERROR(FIND(CONT_TEA[[#This Row],[SchoolCode]],_xlfn.TEXTJOIN(",",TRUE,_xlfn.UNIQUE(IF(DEPTS[DepartmentCode]=CONT_TEA[[#This Row],[DepartmentCode]],DEPTS[SchoolCodes],""))))),1,0))</f>
        <v>0</v>
      </c>
      <c r="M154" s="57">
        <f>IFERROR(IF(_xlfn.XLOOKUP(CONT_TEA[[#This Row],[SRG Gross]],FinanceCodesBudget[FinanceCode],FinanceCodesBudget[LedgerCode])=_xlfn.XLOOKUP(CONT_TEA[[#This Row],[DepartmentCode]],DEPTS[DepartmentCode],DEPTS[LedgerCode]),0,1),1)</f>
        <v>1</v>
      </c>
      <c r="N154" s="57" cm="1">
        <f t="array" ref="N154">IF(_xlfn.XLOOKUP(CONT_TEA[[#This Row],[PensionCode]],PENS[PensionCode],PENS[AvailableToAllSchools],1,0,)=TRUE,0,IF(ISERROR(FIND(CONT_TEA[[#This Row],[SchoolCode]],_xlfn.TEXTJOIN(",",TRUE,_xlfn.UNIQUE(IF(PENS[PensionCode]=CONT_TEA[[#This Row],[PensionCode]],PENS[SchoolCodes],""))))),1,0))</f>
        <v>0</v>
      </c>
      <c r="O154" s="57" cm="1">
        <f t="array" ref="O154">IF(_xlfn.XLOOKUP(CONT_TEA[[#This Row],[EquatedWeekPatternCode]],EQW[EquatedWeekPatternCode],EQW[AvailableToAllSchools],1,0,)=TRUE,0,IF(ISERROR(FIND(CONT_TEA[[#This Row],[SchoolCode]],_xlfn.TEXTJOIN(",",TRUE,_xlfn.UNIQUE(IF(EQW[EquatedWeekPatternCode]=CONT_TEA[[#This Row],[EquatedWeekPatternCode]],EQW[SchoolCodes],""))))),1,0))</f>
        <v>0</v>
      </c>
      <c r="P154" s="57">
        <f>1-COUNTIF(ContractTypes[Code],CONT_TEA[[#This Row],[ContractTypeCode]])</f>
        <v>0</v>
      </c>
      <c r="Q154" s="57">
        <f>IF(VLOOKUP(CONT_TEA[[#This Row],[StaffMemberCode]],MEMBERS[[StaffMemberCode]:[ServiceStartDate]],5,0)&gt;CONT_TEA[[#This Row],[DateFrom]],1,0)</f>
        <v>0</v>
      </c>
      <c r="R154" s="57">
        <f>IF(_xlfn.XLOOKUP(CONT_TEA[[#This Row],[StaffMemberCode]],MEMBERS[StaffMemberCode],MEMBERS[ServiceEndDate])="",0,IF(CONT_TEA[[#This Row],[DateTo]]="",1,IF(_xlfn.XLOOKUP(CONT_TEA[[#This Row],[StaffMemberCode]],MEMBERS[StaffMemberCode],MEMBERS[ServiceEndDate])&lt;CONT_TEA[[#This Row],[DateTo]],1,0)))</f>
        <v>0</v>
      </c>
      <c r="S154" s="57">
        <f>IF(ISBLANK(CONT_TEA[[#This Row],[DateTo]]),0,IF(CONT_TEA[[#This Row],[DateFrom]]=CONT_TEA[[#This Row],[DateTo]],0,IF(CONT_TEA[[#This Row],[DateFrom]]&lt;CONT_TEA[[#This Row],[DateTo]],0,1)))</f>
        <v>0</v>
      </c>
      <c r="T154" s="57" cm="1">
        <f t="array" aca="1" ref="T154" ca="1">IF(CELL("format",CONT_TEA[[#This Row],[DateFrom]])="D1",0,1)+IF(CELL("format",CONT_TEA[[#This Row],[DateTo]])="D1",0,1)</f>
        <v>0</v>
      </c>
      <c r="U154" s="57">
        <f>IF(OR(CONT_TEA[[#This Row],[MatEditOnly]]=TRUE,CONT_TEA[[#This Row],[MatEditOnly]]=FALSE),IF(OR(CONT_TEA[[#This Row],[NoIncrement]]=TRUE,CONT_TEA[[#This Row],[NoIncrement]]=FALSE),0,1),1)</f>
        <v>0</v>
      </c>
      <c r="V154" s="57">
        <f>IF(ISBLANK(CONT_TEA[[#This Row],[FundCode]])=TRUE,0,IF(COUNTIF(FUNDS[FundCode],CONT_TEA[[#This Row],[FundCode]])=1,0,1))</f>
        <v>0</v>
      </c>
      <c r="W154" s="57">
        <f>IF(LEN(CONT_TEA[[#This Row],[Notes]])&lt;4000,0,1)</f>
        <v>0</v>
      </c>
      <c r="X154" s="57">
        <f>IF(SUBSTITUTE(TEXT(CONT_TEA[[#This Row],[Reference]],10)," ","")=TEXT(CONT_TEA[[#This Row],[Reference]],10),0,1)</f>
        <v>0</v>
      </c>
      <c r="Y154" s="57">
        <f ca="1">SUM(CONT_TEA[[#This Row],[Duplicate Contract]:[Space in Code]])</f>
        <v>1</v>
      </c>
      <c r="AA154" s="12" t="s">
        <v>2094</v>
      </c>
      <c r="AB154" s="15">
        <v>91073614</v>
      </c>
      <c r="AC154" s="12" t="s">
        <v>4502</v>
      </c>
      <c r="AD154" s="57" t="str">
        <f>_xlfn.XLOOKUP(CONT_TEA[[#This Row],[StaffMemberCode]],StaffMembers!O:O,StaffMembers!R:R)</f>
        <v>Ellie Claughton</v>
      </c>
      <c r="AE154" s="12" t="s">
        <v>1178</v>
      </c>
      <c r="AF154" s="57">
        <f>_xlfn.XLOOKUP(CONT_TEA[[#This Row],[SRG]],SRG[StaffRoleGroupCode],SRG[GrossSalaryFinanceCode])</f>
        <v>612100</v>
      </c>
      <c r="AG154" s="57" t="str">
        <f>_xlfn.XLOOKUP(CONT_TEA[[#This Row],[StaffRoleCode]],ROLES[StaffRoleCode],ROLES[StaffRoleGroupCode])</f>
        <v>TEA</v>
      </c>
      <c r="AH154" s="57" t="str">
        <f>_xlfn.XLOOKUP(CONT_TEA[[#This Row],[StaffRoleCode]],ROLES[StaffRoleCode],ROLES[PayScaleCode])</f>
        <v>MAIN</v>
      </c>
      <c r="AI154" s="12" t="s">
        <v>1126</v>
      </c>
      <c r="AJ154" s="12" t="s">
        <v>1065</v>
      </c>
      <c r="AK154" s="12" t="s">
        <v>2499</v>
      </c>
      <c r="AM154" s="68" t="s">
        <v>1147</v>
      </c>
      <c r="AN154" s="13" t="s">
        <v>1702</v>
      </c>
      <c r="AO154" s="21">
        <v>45901</v>
      </c>
      <c r="AQ154" s="12">
        <v>1</v>
      </c>
      <c r="AR154" t="b">
        <v>0</v>
      </c>
      <c r="AS154" t="b">
        <v>0</v>
      </c>
      <c r="AT154" s="12" t="s">
        <v>1574</v>
      </c>
    </row>
    <row r="155" spans="1:47" x14ac:dyDescent="0.3">
      <c r="A155" s="57" t="str">
        <f t="shared" si="3"/>
        <v>BLS9107343891073438ATEASTCH45901</v>
      </c>
      <c r="B155" s="57">
        <f>COUNTIF(CONT_TEA[Unique Contract],CONT_TEA[[#This Row],[Unique Contract]])-1</f>
        <v>0</v>
      </c>
      <c r="C155" s="57">
        <f>IFERROR(IF(FIND(CONT_TEA[[#This Row],[SchoolCode]],_xlfn.XLOOKUP(CONT_TEA[[#This Row],[StaffMemberCode]],MEMBERS[StaffMemberCode],MEMBERS[SchoolCodes]))&gt;0,0,1),1)</f>
        <v>0</v>
      </c>
      <c r="D155" s="57" cm="1">
        <f t="array" ref="D155">IF(_xlfn.XLOOKUP(CONT_TEA[[#This Row],[StaffRoleCode]],ROLES[StaffRoleCode],ROLES[AvailableToAllSchools],1,0,)=TRUE,0,IF(ISERROR(FIND(CONT_TEA[[#This Row],[SchoolCode]],_xlfn.TEXTJOIN(",",TRUE,_xlfn.UNIQUE(IF(ROLES[StaffRoleCode]=CONT_TEA[[#This Row],[StaffRoleCode]],ROLES[SchoolCodes],""))))),1,0))</f>
        <v>0</v>
      </c>
      <c r="E155" s="57" cm="1">
        <f t="array" ref="E15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55" s="57" cm="1">
        <f t="array" ref="F155">IF(_xlfn.XLOOKUP(CONT_TEA[[#This Row],[PayScaleCode]],PAYSCALES[PayScaleCode],PAYSCALES[AvailableToAllSchools],1,0,)=TRUE,0,IF(ISERROR(FIND(CONT_TEA[[#This Row],[SchoolCode]],_xlfn.TEXTJOIN(",",TRUE,_xlfn.UNIQUE(IF(PAYSCALES[PayScaleCode]=CONT_TEA[[#This Row],[PayScaleCode]],PAYSCALES[SchoolCodes],""))))),1,0))</f>
        <v>0</v>
      </c>
      <c r="G155" s="57">
        <f>IF(_xlfn.XLOOKUP(CONT_TEA[[#This Row],[PayScaleGradeCode]],GRADES[PayScaleGradeCode],GRADES[AvailableToAllSchools])=TRUE,0,IFERROR(IF(FIND(CONT_TEA[[#This Row],[SchoolCode]],_xlfn.XLOOKUP(CONT_TEA[[#This Row],[PayScaleGradeCode]],GRADES[PayScaleGradeCode],GRADES[SchoolCodes]))&gt;=1,0,1),1))</f>
        <v>0</v>
      </c>
      <c r="H155" s="57">
        <f>IF(ISERROR(IF((_xlfn.XLOOKUP(CONT_TEA[[#This Row],[PayScaleGradeCode]],GRADES[PayScaleGradeCode],GRADES[PayScaleCode])=CONT_TEA[[#This Row],[PayScaleCode]]),0,1)),1,0)</f>
        <v>0</v>
      </c>
      <c r="I155" s="57" cm="1">
        <f t="array" ref="I155">IF(ISERROR(FIND(CONT_TEA[[#This Row],[PayScalePointCode]],_xlfn.TEXTJOIN(",",TRUE,IF(PSPOINTS[PayScaleCode]=CONT_TEA[[#This Row],[PayScaleCode]],PSPOINTS[PayScalePointCode])))),1,0)</f>
        <v>0</v>
      </c>
      <c r="J155" s="57" cm="1">
        <f t="array" ref="J15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55" s="57">
        <f>IF(_xlfn.XLOOKUP(CONT_TEA[[#This Row],[PayScalePointCode]],PSPOINTS[PayScalePointCode],PSPOINTS[PayScalePointEnabled])=TRUE,0,1)</f>
        <v>0</v>
      </c>
      <c r="L155" s="57" cm="1">
        <f t="array" ref="L155">IF(_xlfn.XLOOKUP(CONT_TEA[[#This Row],[DepartmentCode]],DEPTS[DepartmentCode],DEPTS[AvailableToAllSchools],1,0,)=TRUE,0,IF(ISERROR(FIND(CONT_TEA[[#This Row],[SchoolCode]],_xlfn.TEXTJOIN(",",TRUE,_xlfn.UNIQUE(IF(DEPTS[DepartmentCode]=CONT_TEA[[#This Row],[DepartmentCode]],DEPTS[SchoolCodes],""))))),1,0))</f>
        <v>0</v>
      </c>
      <c r="M155" s="57">
        <f>IFERROR(IF(_xlfn.XLOOKUP(CONT_TEA[[#This Row],[SRG Gross]],FinanceCodesBudget[FinanceCode],FinanceCodesBudget[LedgerCode])=_xlfn.XLOOKUP(CONT_TEA[[#This Row],[DepartmentCode]],DEPTS[DepartmentCode],DEPTS[LedgerCode]),0,1),1)</f>
        <v>1</v>
      </c>
      <c r="N155" s="57" cm="1">
        <f t="array" ref="N155">IF(_xlfn.XLOOKUP(CONT_TEA[[#This Row],[PensionCode]],PENS[PensionCode],PENS[AvailableToAllSchools],1,0,)=TRUE,0,IF(ISERROR(FIND(CONT_TEA[[#This Row],[SchoolCode]],_xlfn.TEXTJOIN(",",TRUE,_xlfn.UNIQUE(IF(PENS[PensionCode]=CONT_TEA[[#This Row],[PensionCode]],PENS[SchoolCodes],""))))),1,0))</f>
        <v>0</v>
      </c>
      <c r="O155" s="57" cm="1">
        <f t="array" ref="O155">IF(_xlfn.XLOOKUP(CONT_TEA[[#This Row],[EquatedWeekPatternCode]],EQW[EquatedWeekPatternCode],EQW[AvailableToAllSchools],1,0,)=TRUE,0,IF(ISERROR(FIND(CONT_TEA[[#This Row],[SchoolCode]],_xlfn.TEXTJOIN(",",TRUE,_xlfn.UNIQUE(IF(EQW[EquatedWeekPatternCode]=CONT_TEA[[#This Row],[EquatedWeekPatternCode]],EQW[SchoolCodes],""))))),1,0))</f>
        <v>0</v>
      </c>
      <c r="P155" s="57">
        <f>1-COUNTIF(ContractTypes[Code],CONT_TEA[[#This Row],[ContractTypeCode]])</f>
        <v>0</v>
      </c>
      <c r="Q155" s="57">
        <f>IF(VLOOKUP(CONT_TEA[[#This Row],[StaffMemberCode]],MEMBERS[[StaffMemberCode]:[ServiceStartDate]],5,0)&gt;CONT_TEA[[#This Row],[DateFrom]],1,0)</f>
        <v>0</v>
      </c>
      <c r="R155" s="57">
        <f>IF(_xlfn.XLOOKUP(CONT_TEA[[#This Row],[StaffMemberCode]],MEMBERS[StaffMemberCode],MEMBERS[ServiceEndDate])="",0,IF(CONT_TEA[[#This Row],[DateTo]]="",1,IF(_xlfn.XLOOKUP(CONT_TEA[[#This Row],[StaffMemberCode]],MEMBERS[StaffMemberCode],MEMBERS[ServiceEndDate])&lt;CONT_TEA[[#This Row],[DateTo]],1,0)))</f>
        <v>0</v>
      </c>
      <c r="S155" s="57">
        <f>IF(ISBLANK(CONT_TEA[[#This Row],[DateTo]]),0,IF(CONT_TEA[[#This Row],[DateFrom]]=CONT_TEA[[#This Row],[DateTo]],0,IF(CONT_TEA[[#This Row],[DateFrom]]&lt;CONT_TEA[[#This Row],[DateTo]],0,1)))</f>
        <v>0</v>
      </c>
      <c r="T155" s="57" cm="1">
        <f t="array" aca="1" ref="T155" ca="1">IF(CELL("format",CONT_TEA[[#This Row],[DateFrom]])="D1",0,1)+IF(CELL("format",CONT_TEA[[#This Row],[DateTo]])="D1",0,1)</f>
        <v>0</v>
      </c>
      <c r="U155" s="57">
        <f>IF(OR(CONT_TEA[[#This Row],[MatEditOnly]]=TRUE,CONT_TEA[[#This Row],[MatEditOnly]]=FALSE),IF(OR(CONT_TEA[[#This Row],[NoIncrement]]=TRUE,CONT_TEA[[#This Row],[NoIncrement]]=FALSE),0,1),1)</f>
        <v>0</v>
      </c>
      <c r="V155" s="57">
        <f>IF(ISBLANK(CONT_TEA[[#This Row],[FundCode]])=TRUE,0,IF(COUNTIF(FUNDS[FundCode],CONT_TEA[[#This Row],[FundCode]])=1,0,1))</f>
        <v>0</v>
      </c>
      <c r="W155" s="57">
        <f>IF(LEN(CONT_TEA[[#This Row],[Notes]])&lt;4000,0,1)</f>
        <v>0</v>
      </c>
      <c r="X155" s="57">
        <f>IF(SUBSTITUTE(TEXT(CONT_TEA[[#This Row],[Reference]],10)," ","")=TEXT(CONT_TEA[[#This Row],[Reference]],10),0,1)</f>
        <v>0</v>
      </c>
      <c r="Y155" s="57">
        <f ca="1">SUM(CONT_TEA[[#This Row],[Duplicate Contract]:[Space in Code]])</f>
        <v>1</v>
      </c>
      <c r="AA155" s="12" t="s">
        <v>2094</v>
      </c>
      <c r="AB155" s="15">
        <v>91073438</v>
      </c>
      <c r="AC155" s="12" t="s">
        <v>4503</v>
      </c>
      <c r="AD155" s="57" t="str">
        <f>_xlfn.XLOOKUP(CONT_TEA[[#This Row],[StaffMemberCode]],StaffMembers!O:O,StaffMembers!R:R)</f>
        <v>Emma Foster</v>
      </c>
      <c r="AE155" s="12" t="s">
        <v>1178</v>
      </c>
      <c r="AF155" s="57">
        <f>_xlfn.XLOOKUP(CONT_TEA[[#This Row],[SRG]],SRG[StaffRoleGroupCode],SRG[GrossSalaryFinanceCode])</f>
        <v>612100</v>
      </c>
      <c r="AG155" s="57" t="str">
        <f>_xlfn.XLOOKUP(CONT_TEA[[#This Row],[StaffRoleCode]],ROLES[StaffRoleCode],ROLES[StaffRoleGroupCode])</f>
        <v>TEA</v>
      </c>
      <c r="AH155" s="57" t="str">
        <f>_xlfn.XLOOKUP(CONT_TEA[[#This Row],[StaffRoleCode]],ROLES[StaffRoleCode],ROLES[PayScaleCode])</f>
        <v>MAIN</v>
      </c>
      <c r="AI155" s="12" t="s">
        <v>1126</v>
      </c>
      <c r="AJ155" s="12" t="s">
        <v>1066</v>
      </c>
      <c r="AK155" s="12" t="s">
        <v>2499</v>
      </c>
      <c r="AM155" s="68" t="s">
        <v>1149</v>
      </c>
      <c r="AN155" s="13" t="s">
        <v>1702</v>
      </c>
      <c r="AO155" s="21">
        <v>45901</v>
      </c>
      <c r="AQ155" s="12">
        <v>1</v>
      </c>
      <c r="AR155" t="b">
        <v>0</v>
      </c>
      <c r="AS155" t="b">
        <v>0</v>
      </c>
      <c r="AT155" s="12" t="s">
        <v>1574</v>
      </c>
    </row>
    <row r="156" spans="1:47" x14ac:dyDescent="0.3">
      <c r="A156" s="57" t="str">
        <f t="shared" si="3"/>
        <v>BLS9107354291073542ATEASTCH45901</v>
      </c>
      <c r="B156" s="57">
        <f>COUNTIF(CONT_TEA[Unique Contract],CONT_TEA[[#This Row],[Unique Contract]])-1</f>
        <v>0</v>
      </c>
      <c r="C156" s="57">
        <f>IFERROR(IF(FIND(CONT_TEA[[#This Row],[SchoolCode]],_xlfn.XLOOKUP(CONT_TEA[[#This Row],[StaffMemberCode]],MEMBERS[StaffMemberCode],MEMBERS[SchoolCodes]))&gt;0,0,1),1)</f>
        <v>0</v>
      </c>
      <c r="D156" s="57" cm="1">
        <f t="array" ref="D156">IF(_xlfn.XLOOKUP(CONT_TEA[[#This Row],[StaffRoleCode]],ROLES[StaffRoleCode],ROLES[AvailableToAllSchools],1,0,)=TRUE,0,IF(ISERROR(FIND(CONT_TEA[[#This Row],[SchoolCode]],_xlfn.TEXTJOIN(",",TRUE,_xlfn.UNIQUE(IF(ROLES[StaffRoleCode]=CONT_TEA[[#This Row],[StaffRoleCode]],ROLES[SchoolCodes],""))))),1,0))</f>
        <v>0</v>
      </c>
      <c r="E156" s="57" cm="1">
        <f t="array" ref="E15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56" s="57" cm="1">
        <f t="array" ref="F156">IF(_xlfn.XLOOKUP(CONT_TEA[[#This Row],[PayScaleCode]],PAYSCALES[PayScaleCode],PAYSCALES[AvailableToAllSchools],1,0,)=TRUE,0,IF(ISERROR(FIND(CONT_TEA[[#This Row],[SchoolCode]],_xlfn.TEXTJOIN(",",TRUE,_xlfn.UNIQUE(IF(PAYSCALES[PayScaleCode]=CONT_TEA[[#This Row],[PayScaleCode]],PAYSCALES[SchoolCodes],""))))),1,0))</f>
        <v>0</v>
      </c>
      <c r="G156" s="57">
        <f>IF(_xlfn.XLOOKUP(CONT_TEA[[#This Row],[PayScaleGradeCode]],GRADES[PayScaleGradeCode],GRADES[AvailableToAllSchools])=TRUE,0,IFERROR(IF(FIND(CONT_TEA[[#This Row],[SchoolCode]],_xlfn.XLOOKUP(CONT_TEA[[#This Row],[PayScaleGradeCode]],GRADES[PayScaleGradeCode],GRADES[SchoolCodes]))&gt;=1,0,1),1))</f>
        <v>0</v>
      </c>
      <c r="H156" s="57">
        <f>IF(ISERROR(IF((_xlfn.XLOOKUP(CONT_TEA[[#This Row],[PayScaleGradeCode]],GRADES[PayScaleGradeCode],GRADES[PayScaleCode])=CONT_TEA[[#This Row],[PayScaleCode]]),0,1)),1,0)</f>
        <v>0</v>
      </c>
      <c r="I156" s="57" cm="1">
        <f t="array" ref="I156">IF(ISERROR(FIND(CONT_TEA[[#This Row],[PayScalePointCode]],_xlfn.TEXTJOIN(",",TRUE,IF(PSPOINTS[PayScaleCode]=CONT_TEA[[#This Row],[PayScaleCode]],PSPOINTS[PayScalePointCode])))),1,0)</f>
        <v>0</v>
      </c>
      <c r="J156" s="57" cm="1">
        <f t="array" ref="J15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56" s="57">
        <f>IF(_xlfn.XLOOKUP(CONT_TEA[[#This Row],[PayScalePointCode]],PSPOINTS[PayScalePointCode],PSPOINTS[PayScalePointEnabled])=TRUE,0,1)</f>
        <v>0</v>
      </c>
      <c r="L156" s="57" cm="1">
        <f t="array" ref="L156">IF(_xlfn.XLOOKUP(CONT_TEA[[#This Row],[DepartmentCode]],DEPTS[DepartmentCode],DEPTS[AvailableToAllSchools],1,0,)=TRUE,0,IF(ISERROR(FIND(CONT_TEA[[#This Row],[SchoolCode]],_xlfn.TEXTJOIN(",",TRUE,_xlfn.UNIQUE(IF(DEPTS[DepartmentCode]=CONT_TEA[[#This Row],[DepartmentCode]],DEPTS[SchoolCodes],""))))),1,0))</f>
        <v>0</v>
      </c>
      <c r="M156" s="57">
        <f>IFERROR(IF(_xlfn.XLOOKUP(CONT_TEA[[#This Row],[SRG Gross]],FinanceCodesBudget[FinanceCode],FinanceCodesBudget[LedgerCode])=_xlfn.XLOOKUP(CONT_TEA[[#This Row],[DepartmentCode]],DEPTS[DepartmentCode],DEPTS[LedgerCode]),0,1),1)</f>
        <v>1</v>
      </c>
      <c r="N156" s="57" cm="1">
        <f t="array" ref="N156">IF(_xlfn.XLOOKUP(CONT_TEA[[#This Row],[PensionCode]],PENS[PensionCode],PENS[AvailableToAllSchools],1,0,)=TRUE,0,IF(ISERROR(FIND(CONT_TEA[[#This Row],[SchoolCode]],_xlfn.TEXTJOIN(",",TRUE,_xlfn.UNIQUE(IF(PENS[PensionCode]=CONT_TEA[[#This Row],[PensionCode]],PENS[SchoolCodes],""))))),1,0))</f>
        <v>0</v>
      </c>
      <c r="O156" s="57" cm="1">
        <f t="array" ref="O156">IF(_xlfn.XLOOKUP(CONT_TEA[[#This Row],[EquatedWeekPatternCode]],EQW[EquatedWeekPatternCode],EQW[AvailableToAllSchools],1,0,)=TRUE,0,IF(ISERROR(FIND(CONT_TEA[[#This Row],[SchoolCode]],_xlfn.TEXTJOIN(",",TRUE,_xlfn.UNIQUE(IF(EQW[EquatedWeekPatternCode]=CONT_TEA[[#This Row],[EquatedWeekPatternCode]],EQW[SchoolCodes],""))))),1,0))</f>
        <v>0</v>
      </c>
      <c r="P156" s="57">
        <f>1-COUNTIF(ContractTypes[Code],CONT_TEA[[#This Row],[ContractTypeCode]])</f>
        <v>0</v>
      </c>
      <c r="Q156" s="57">
        <f>IF(VLOOKUP(CONT_TEA[[#This Row],[StaffMemberCode]],MEMBERS[[StaffMemberCode]:[ServiceStartDate]],5,0)&gt;CONT_TEA[[#This Row],[DateFrom]],1,0)</f>
        <v>0</v>
      </c>
      <c r="R156" s="57">
        <f>IF(_xlfn.XLOOKUP(CONT_TEA[[#This Row],[StaffMemberCode]],MEMBERS[StaffMemberCode],MEMBERS[ServiceEndDate])="",0,IF(CONT_TEA[[#This Row],[DateTo]]="",1,IF(_xlfn.XLOOKUP(CONT_TEA[[#This Row],[StaffMemberCode]],MEMBERS[StaffMemberCode],MEMBERS[ServiceEndDate])&lt;CONT_TEA[[#This Row],[DateTo]],1,0)))</f>
        <v>0</v>
      </c>
      <c r="S156" s="57">
        <f>IF(ISBLANK(CONT_TEA[[#This Row],[DateTo]]),0,IF(CONT_TEA[[#This Row],[DateFrom]]=CONT_TEA[[#This Row],[DateTo]],0,IF(CONT_TEA[[#This Row],[DateFrom]]&lt;CONT_TEA[[#This Row],[DateTo]],0,1)))</f>
        <v>0</v>
      </c>
      <c r="T156" s="57" cm="1">
        <f t="array" aca="1" ref="T156" ca="1">IF(CELL("format",CONT_TEA[[#This Row],[DateFrom]])="D1",0,1)+IF(CELL("format",CONT_TEA[[#This Row],[DateTo]])="D1",0,1)</f>
        <v>0</v>
      </c>
      <c r="U156" s="57">
        <f>IF(OR(CONT_TEA[[#This Row],[MatEditOnly]]=TRUE,CONT_TEA[[#This Row],[MatEditOnly]]=FALSE),IF(OR(CONT_TEA[[#This Row],[NoIncrement]]=TRUE,CONT_TEA[[#This Row],[NoIncrement]]=FALSE),0,1),1)</f>
        <v>0</v>
      </c>
      <c r="V156" s="57">
        <f>IF(ISBLANK(CONT_TEA[[#This Row],[FundCode]])=TRUE,0,IF(COUNTIF(FUNDS[FundCode],CONT_TEA[[#This Row],[FundCode]])=1,0,1))</f>
        <v>0</v>
      </c>
      <c r="W156" s="57">
        <f>IF(LEN(CONT_TEA[[#This Row],[Notes]])&lt;4000,0,1)</f>
        <v>0</v>
      </c>
      <c r="X156" s="57">
        <f>IF(SUBSTITUTE(TEXT(CONT_TEA[[#This Row],[Reference]],10)," ","")=TEXT(CONT_TEA[[#This Row],[Reference]],10),0,1)</f>
        <v>0</v>
      </c>
      <c r="Y156" s="57">
        <f ca="1">SUM(CONT_TEA[[#This Row],[Duplicate Contract]:[Space in Code]])</f>
        <v>1</v>
      </c>
      <c r="AA156" s="12" t="s">
        <v>2094</v>
      </c>
      <c r="AB156" s="15">
        <v>91073542</v>
      </c>
      <c r="AC156" s="12" t="s">
        <v>4504</v>
      </c>
      <c r="AD156" s="57" t="str">
        <f>_xlfn.XLOOKUP(CONT_TEA[[#This Row],[StaffMemberCode]],StaffMembers!O:O,StaffMembers!R:R)</f>
        <v>Emma Horsfield</v>
      </c>
      <c r="AE156" s="12" t="s">
        <v>1178</v>
      </c>
      <c r="AF156" s="57">
        <f>_xlfn.XLOOKUP(CONT_TEA[[#This Row],[SRG]],SRG[StaffRoleGroupCode],SRG[GrossSalaryFinanceCode])</f>
        <v>612100</v>
      </c>
      <c r="AG156" s="57" t="str">
        <f>_xlfn.XLOOKUP(CONT_TEA[[#This Row],[StaffRoleCode]],ROLES[StaffRoleCode],ROLES[StaffRoleGroupCode])</f>
        <v>TEA</v>
      </c>
      <c r="AH156" s="57" t="str">
        <f>_xlfn.XLOOKUP(CONT_TEA[[#This Row],[StaffRoleCode]],ROLES[StaffRoleCode],ROLES[PayScaleCode])</f>
        <v>MAIN</v>
      </c>
      <c r="AI156" s="12" t="s">
        <v>1126</v>
      </c>
      <c r="AJ156" s="12" t="s">
        <v>1067</v>
      </c>
      <c r="AK156" s="12" t="s">
        <v>2499</v>
      </c>
      <c r="AM156" s="68" t="s">
        <v>1147</v>
      </c>
      <c r="AN156" s="13" t="s">
        <v>1702</v>
      </c>
      <c r="AO156" s="21">
        <v>45901</v>
      </c>
      <c r="AQ156" s="12">
        <v>1</v>
      </c>
      <c r="AR156" t="b">
        <v>0</v>
      </c>
      <c r="AS156" t="b">
        <v>0</v>
      </c>
      <c r="AT156" s="12" t="s">
        <v>1574</v>
      </c>
    </row>
    <row r="157" spans="1:47" x14ac:dyDescent="0.3">
      <c r="A157" s="57" t="str">
        <f t="shared" si="3"/>
        <v>BLS9107351991073519ATEASTCH45901</v>
      </c>
      <c r="B157" s="57">
        <f>COUNTIF(CONT_TEA[Unique Contract],CONT_TEA[[#This Row],[Unique Contract]])-1</f>
        <v>0</v>
      </c>
      <c r="C157" s="57">
        <f>IFERROR(IF(FIND(CONT_TEA[[#This Row],[SchoolCode]],_xlfn.XLOOKUP(CONT_TEA[[#This Row],[StaffMemberCode]],MEMBERS[StaffMemberCode],MEMBERS[SchoolCodes]))&gt;0,0,1),1)</f>
        <v>0</v>
      </c>
      <c r="D157" s="57" cm="1">
        <f t="array" ref="D157">IF(_xlfn.XLOOKUP(CONT_TEA[[#This Row],[StaffRoleCode]],ROLES[StaffRoleCode],ROLES[AvailableToAllSchools],1,0,)=TRUE,0,IF(ISERROR(FIND(CONT_TEA[[#This Row],[SchoolCode]],_xlfn.TEXTJOIN(",",TRUE,_xlfn.UNIQUE(IF(ROLES[StaffRoleCode]=CONT_TEA[[#This Row],[StaffRoleCode]],ROLES[SchoolCodes],""))))),1,0))</f>
        <v>0</v>
      </c>
      <c r="E157" s="57" cm="1">
        <f t="array" ref="E15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57" s="57" cm="1">
        <f t="array" ref="F157">IF(_xlfn.XLOOKUP(CONT_TEA[[#This Row],[PayScaleCode]],PAYSCALES[PayScaleCode],PAYSCALES[AvailableToAllSchools],1,0,)=TRUE,0,IF(ISERROR(FIND(CONT_TEA[[#This Row],[SchoolCode]],_xlfn.TEXTJOIN(",",TRUE,_xlfn.UNIQUE(IF(PAYSCALES[PayScaleCode]=CONT_TEA[[#This Row],[PayScaleCode]],PAYSCALES[SchoolCodes],""))))),1,0))</f>
        <v>0</v>
      </c>
      <c r="G157" s="57">
        <f>IF(_xlfn.XLOOKUP(CONT_TEA[[#This Row],[PayScaleGradeCode]],GRADES[PayScaleGradeCode],GRADES[AvailableToAllSchools])=TRUE,0,IFERROR(IF(FIND(CONT_TEA[[#This Row],[SchoolCode]],_xlfn.XLOOKUP(CONT_TEA[[#This Row],[PayScaleGradeCode]],GRADES[PayScaleGradeCode],GRADES[SchoolCodes]))&gt;=1,0,1),1))</f>
        <v>0</v>
      </c>
      <c r="H157" s="57">
        <f>IF(ISERROR(IF((_xlfn.XLOOKUP(CONT_TEA[[#This Row],[PayScaleGradeCode]],GRADES[PayScaleGradeCode],GRADES[PayScaleCode])=CONT_TEA[[#This Row],[PayScaleCode]]),0,1)),1,0)</f>
        <v>0</v>
      </c>
      <c r="I157" s="57" cm="1">
        <f t="array" ref="I157">IF(ISERROR(FIND(CONT_TEA[[#This Row],[PayScalePointCode]],_xlfn.TEXTJOIN(",",TRUE,IF(PSPOINTS[PayScaleCode]=CONT_TEA[[#This Row],[PayScaleCode]],PSPOINTS[PayScalePointCode])))),1,0)</f>
        <v>0</v>
      </c>
      <c r="J157" s="57" cm="1">
        <f t="array" ref="J15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57" s="57">
        <f>IF(_xlfn.XLOOKUP(CONT_TEA[[#This Row],[PayScalePointCode]],PSPOINTS[PayScalePointCode],PSPOINTS[PayScalePointEnabled])=TRUE,0,1)</f>
        <v>0</v>
      </c>
      <c r="L157" s="57" cm="1">
        <f t="array" ref="L157">IF(_xlfn.XLOOKUP(CONT_TEA[[#This Row],[DepartmentCode]],DEPTS[DepartmentCode],DEPTS[AvailableToAllSchools],1,0,)=TRUE,0,IF(ISERROR(FIND(CONT_TEA[[#This Row],[SchoolCode]],_xlfn.TEXTJOIN(",",TRUE,_xlfn.UNIQUE(IF(DEPTS[DepartmentCode]=CONT_TEA[[#This Row],[DepartmentCode]],DEPTS[SchoolCodes],""))))),1,0))</f>
        <v>0</v>
      </c>
      <c r="M157" s="57">
        <f>IFERROR(IF(_xlfn.XLOOKUP(CONT_TEA[[#This Row],[SRG Gross]],FinanceCodesBudget[FinanceCode],FinanceCodesBudget[LedgerCode])=_xlfn.XLOOKUP(CONT_TEA[[#This Row],[DepartmentCode]],DEPTS[DepartmentCode],DEPTS[LedgerCode]),0,1),1)</f>
        <v>1</v>
      </c>
      <c r="N157" s="57" cm="1">
        <f t="array" ref="N157">IF(_xlfn.XLOOKUP(CONT_TEA[[#This Row],[PensionCode]],PENS[PensionCode],PENS[AvailableToAllSchools],1,0,)=TRUE,0,IF(ISERROR(FIND(CONT_TEA[[#This Row],[SchoolCode]],_xlfn.TEXTJOIN(",",TRUE,_xlfn.UNIQUE(IF(PENS[PensionCode]=CONT_TEA[[#This Row],[PensionCode]],PENS[SchoolCodes],""))))),1,0))</f>
        <v>0</v>
      </c>
      <c r="O157" s="57" cm="1">
        <f t="array" ref="O157">IF(_xlfn.XLOOKUP(CONT_TEA[[#This Row],[EquatedWeekPatternCode]],EQW[EquatedWeekPatternCode],EQW[AvailableToAllSchools],1,0,)=TRUE,0,IF(ISERROR(FIND(CONT_TEA[[#This Row],[SchoolCode]],_xlfn.TEXTJOIN(",",TRUE,_xlfn.UNIQUE(IF(EQW[EquatedWeekPatternCode]=CONT_TEA[[#This Row],[EquatedWeekPatternCode]],EQW[SchoolCodes],""))))),1,0))</f>
        <v>0</v>
      </c>
      <c r="P157" s="57">
        <f>1-COUNTIF(ContractTypes[Code],CONT_TEA[[#This Row],[ContractTypeCode]])</f>
        <v>0</v>
      </c>
      <c r="Q157" s="57">
        <f>IF(VLOOKUP(CONT_TEA[[#This Row],[StaffMemberCode]],MEMBERS[[StaffMemberCode]:[ServiceStartDate]],5,0)&gt;CONT_TEA[[#This Row],[DateFrom]],1,0)</f>
        <v>0</v>
      </c>
      <c r="R157" s="57">
        <f>IF(_xlfn.XLOOKUP(CONT_TEA[[#This Row],[StaffMemberCode]],MEMBERS[StaffMemberCode],MEMBERS[ServiceEndDate])="",0,IF(CONT_TEA[[#This Row],[DateTo]]="",1,IF(_xlfn.XLOOKUP(CONT_TEA[[#This Row],[StaffMemberCode]],MEMBERS[StaffMemberCode],MEMBERS[ServiceEndDate])&lt;CONT_TEA[[#This Row],[DateTo]],1,0)))</f>
        <v>0</v>
      </c>
      <c r="S157" s="57">
        <f>IF(ISBLANK(CONT_TEA[[#This Row],[DateTo]]),0,IF(CONT_TEA[[#This Row],[DateFrom]]=CONT_TEA[[#This Row],[DateTo]],0,IF(CONT_TEA[[#This Row],[DateFrom]]&lt;CONT_TEA[[#This Row],[DateTo]],0,1)))</f>
        <v>0</v>
      </c>
      <c r="T157" s="57" cm="1">
        <f t="array" aca="1" ref="T157" ca="1">IF(CELL("format",CONT_TEA[[#This Row],[DateFrom]])="D1",0,1)+IF(CELL("format",CONT_TEA[[#This Row],[DateTo]])="D1",0,1)</f>
        <v>0</v>
      </c>
      <c r="U157" s="57">
        <f>IF(OR(CONT_TEA[[#This Row],[MatEditOnly]]=TRUE,CONT_TEA[[#This Row],[MatEditOnly]]=FALSE),IF(OR(CONT_TEA[[#This Row],[NoIncrement]]=TRUE,CONT_TEA[[#This Row],[NoIncrement]]=FALSE),0,1),1)</f>
        <v>0</v>
      </c>
      <c r="V157" s="57">
        <f>IF(ISBLANK(CONT_TEA[[#This Row],[FundCode]])=TRUE,0,IF(COUNTIF(FUNDS[FundCode],CONT_TEA[[#This Row],[FundCode]])=1,0,1))</f>
        <v>0</v>
      </c>
      <c r="W157" s="57">
        <f>IF(LEN(CONT_TEA[[#This Row],[Notes]])&lt;4000,0,1)</f>
        <v>0</v>
      </c>
      <c r="X157" s="57">
        <f>IF(SUBSTITUTE(TEXT(CONT_TEA[[#This Row],[Reference]],10)," ","")=TEXT(CONT_TEA[[#This Row],[Reference]],10),0,1)</f>
        <v>0</v>
      </c>
      <c r="Y157" s="57">
        <f ca="1">SUM(CONT_TEA[[#This Row],[Duplicate Contract]:[Space in Code]])</f>
        <v>1</v>
      </c>
      <c r="AA157" s="12" t="s">
        <v>2094</v>
      </c>
      <c r="AB157" s="15">
        <v>91073519</v>
      </c>
      <c r="AC157" s="12" t="s">
        <v>4505</v>
      </c>
      <c r="AD157" s="57" t="str">
        <f>_xlfn.XLOOKUP(CONT_TEA[[#This Row],[StaffMemberCode]],StaffMembers!O:O,StaffMembers!R:R)</f>
        <v>Erica Eagles</v>
      </c>
      <c r="AE157" s="12" t="s">
        <v>1178</v>
      </c>
      <c r="AF157" s="57">
        <f>_xlfn.XLOOKUP(CONT_TEA[[#This Row],[SRG]],SRG[StaffRoleGroupCode],SRG[GrossSalaryFinanceCode])</f>
        <v>612100</v>
      </c>
      <c r="AG157" s="57" t="str">
        <f>_xlfn.XLOOKUP(CONT_TEA[[#This Row],[StaffRoleCode]],ROLES[StaffRoleCode],ROLES[StaffRoleGroupCode])</f>
        <v>TEA</v>
      </c>
      <c r="AH157" s="57" t="str">
        <f>_xlfn.XLOOKUP(CONT_TEA[[#This Row],[StaffRoleCode]],ROLES[StaffRoleCode],ROLES[PayScaleCode])</f>
        <v>MAIN</v>
      </c>
      <c r="AI157" s="12" t="s">
        <v>1126</v>
      </c>
      <c r="AJ157" s="12" t="s">
        <v>1745</v>
      </c>
      <c r="AK157" s="12" t="s">
        <v>2499</v>
      </c>
      <c r="AM157" s="68" t="s">
        <v>1147</v>
      </c>
      <c r="AN157" s="13" t="s">
        <v>1702</v>
      </c>
      <c r="AO157" s="21">
        <v>45901</v>
      </c>
      <c r="AQ157" s="12">
        <v>1</v>
      </c>
      <c r="AR157" t="b">
        <v>0</v>
      </c>
      <c r="AS157" t="b">
        <v>0</v>
      </c>
      <c r="AT157" s="12" t="s">
        <v>1574</v>
      </c>
    </row>
    <row r="158" spans="1:47" x14ac:dyDescent="0.3">
      <c r="A158" s="57" t="str">
        <f t="shared" si="3"/>
        <v>BLS9132368491323684ATEASTCH45901</v>
      </c>
      <c r="B158" s="57">
        <f>COUNTIF(CONT_TEA[Unique Contract],CONT_TEA[[#This Row],[Unique Contract]])-1</f>
        <v>0</v>
      </c>
      <c r="C158" s="57">
        <f>IFERROR(IF(FIND(CONT_TEA[[#This Row],[SchoolCode]],_xlfn.XLOOKUP(CONT_TEA[[#This Row],[StaffMemberCode]],MEMBERS[StaffMemberCode],MEMBERS[SchoolCodes]))&gt;0,0,1),1)</f>
        <v>0</v>
      </c>
      <c r="D158" s="57" cm="1">
        <f t="array" ref="D158">IF(_xlfn.XLOOKUP(CONT_TEA[[#This Row],[StaffRoleCode]],ROLES[StaffRoleCode],ROLES[AvailableToAllSchools],1,0,)=TRUE,0,IF(ISERROR(FIND(CONT_TEA[[#This Row],[SchoolCode]],_xlfn.TEXTJOIN(",",TRUE,_xlfn.UNIQUE(IF(ROLES[StaffRoleCode]=CONT_TEA[[#This Row],[StaffRoleCode]],ROLES[SchoolCodes],""))))),1,0))</f>
        <v>0</v>
      </c>
      <c r="E158" s="57" cm="1">
        <f t="array" ref="E15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58" s="57" cm="1">
        <f t="array" ref="F158">IF(_xlfn.XLOOKUP(CONT_TEA[[#This Row],[PayScaleCode]],PAYSCALES[PayScaleCode],PAYSCALES[AvailableToAllSchools],1,0,)=TRUE,0,IF(ISERROR(FIND(CONT_TEA[[#This Row],[SchoolCode]],_xlfn.TEXTJOIN(",",TRUE,_xlfn.UNIQUE(IF(PAYSCALES[PayScaleCode]=CONT_TEA[[#This Row],[PayScaleCode]],PAYSCALES[SchoolCodes],""))))),1,0))</f>
        <v>0</v>
      </c>
      <c r="G158" s="57">
        <f>IF(_xlfn.XLOOKUP(CONT_TEA[[#This Row],[PayScaleGradeCode]],GRADES[PayScaleGradeCode],GRADES[AvailableToAllSchools])=TRUE,0,IFERROR(IF(FIND(CONT_TEA[[#This Row],[SchoolCode]],_xlfn.XLOOKUP(CONT_TEA[[#This Row],[PayScaleGradeCode]],GRADES[PayScaleGradeCode],GRADES[SchoolCodes]))&gt;=1,0,1),1))</f>
        <v>0</v>
      </c>
      <c r="H158" s="57">
        <f>IF(ISERROR(IF((_xlfn.XLOOKUP(CONT_TEA[[#This Row],[PayScaleGradeCode]],GRADES[PayScaleGradeCode],GRADES[PayScaleCode])=CONT_TEA[[#This Row],[PayScaleCode]]),0,1)),1,0)</f>
        <v>0</v>
      </c>
      <c r="I158" s="57" cm="1">
        <f t="array" ref="I158">IF(ISERROR(FIND(CONT_TEA[[#This Row],[PayScalePointCode]],_xlfn.TEXTJOIN(",",TRUE,IF(PSPOINTS[PayScaleCode]=CONT_TEA[[#This Row],[PayScaleCode]],PSPOINTS[PayScalePointCode])))),1,0)</f>
        <v>0</v>
      </c>
      <c r="J158" s="57" cm="1">
        <f t="array" ref="J15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58" s="57">
        <f>IF(_xlfn.XLOOKUP(CONT_TEA[[#This Row],[PayScalePointCode]],PSPOINTS[PayScalePointCode],PSPOINTS[PayScalePointEnabled])=TRUE,0,1)</f>
        <v>0</v>
      </c>
      <c r="L158" s="57" cm="1">
        <f t="array" ref="L158">IF(_xlfn.XLOOKUP(CONT_TEA[[#This Row],[DepartmentCode]],DEPTS[DepartmentCode],DEPTS[AvailableToAllSchools],1,0,)=TRUE,0,IF(ISERROR(FIND(CONT_TEA[[#This Row],[SchoolCode]],_xlfn.TEXTJOIN(",",TRUE,_xlfn.UNIQUE(IF(DEPTS[DepartmentCode]=CONT_TEA[[#This Row],[DepartmentCode]],DEPTS[SchoolCodes],""))))),1,0))</f>
        <v>0</v>
      </c>
      <c r="M158" s="57">
        <f>IFERROR(IF(_xlfn.XLOOKUP(CONT_TEA[[#This Row],[SRG Gross]],FinanceCodesBudget[FinanceCode],FinanceCodesBudget[LedgerCode])=_xlfn.XLOOKUP(CONT_TEA[[#This Row],[DepartmentCode]],DEPTS[DepartmentCode],DEPTS[LedgerCode]),0,1),1)</f>
        <v>1</v>
      </c>
      <c r="N158" s="57" cm="1">
        <f t="array" ref="N158">IF(_xlfn.XLOOKUP(CONT_TEA[[#This Row],[PensionCode]],PENS[PensionCode],PENS[AvailableToAllSchools],1,0,)=TRUE,0,IF(ISERROR(FIND(CONT_TEA[[#This Row],[SchoolCode]],_xlfn.TEXTJOIN(",",TRUE,_xlfn.UNIQUE(IF(PENS[PensionCode]=CONT_TEA[[#This Row],[PensionCode]],PENS[SchoolCodes],""))))),1,0))</f>
        <v>0</v>
      </c>
      <c r="O158" s="57" cm="1">
        <f t="array" ref="O158">IF(_xlfn.XLOOKUP(CONT_TEA[[#This Row],[EquatedWeekPatternCode]],EQW[EquatedWeekPatternCode],EQW[AvailableToAllSchools],1,0,)=TRUE,0,IF(ISERROR(FIND(CONT_TEA[[#This Row],[SchoolCode]],_xlfn.TEXTJOIN(",",TRUE,_xlfn.UNIQUE(IF(EQW[EquatedWeekPatternCode]=CONT_TEA[[#This Row],[EquatedWeekPatternCode]],EQW[SchoolCodes],""))))),1,0))</f>
        <v>0</v>
      </c>
      <c r="P158" s="57">
        <f>1-COUNTIF(ContractTypes[Code],CONT_TEA[[#This Row],[ContractTypeCode]])</f>
        <v>0</v>
      </c>
      <c r="Q158" s="57">
        <f>IF(VLOOKUP(CONT_TEA[[#This Row],[StaffMemberCode]],MEMBERS[[StaffMemberCode]:[ServiceStartDate]],5,0)&gt;CONT_TEA[[#This Row],[DateFrom]],1,0)</f>
        <v>0</v>
      </c>
      <c r="R158" s="57">
        <f>IF(_xlfn.XLOOKUP(CONT_TEA[[#This Row],[StaffMemberCode]],MEMBERS[StaffMemberCode],MEMBERS[ServiceEndDate])="",0,IF(CONT_TEA[[#This Row],[DateTo]]="",1,IF(_xlfn.XLOOKUP(CONT_TEA[[#This Row],[StaffMemberCode]],MEMBERS[StaffMemberCode],MEMBERS[ServiceEndDate])&lt;CONT_TEA[[#This Row],[DateTo]],1,0)))</f>
        <v>0</v>
      </c>
      <c r="S158" s="57">
        <f>IF(ISBLANK(CONT_TEA[[#This Row],[DateTo]]),0,IF(CONT_TEA[[#This Row],[DateFrom]]=CONT_TEA[[#This Row],[DateTo]],0,IF(CONT_TEA[[#This Row],[DateFrom]]&lt;CONT_TEA[[#This Row],[DateTo]],0,1)))</f>
        <v>0</v>
      </c>
      <c r="T158" s="57" cm="1">
        <f t="array" aca="1" ref="T158" ca="1">IF(CELL("format",CONT_TEA[[#This Row],[DateFrom]])="D1",0,1)+IF(CELL("format",CONT_TEA[[#This Row],[DateTo]])="D1",0,1)</f>
        <v>0</v>
      </c>
      <c r="U158" s="57">
        <f>IF(OR(CONT_TEA[[#This Row],[MatEditOnly]]=TRUE,CONT_TEA[[#This Row],[MatEditOnly]]=FALSE),IF(OR(CONT_TEA[[#This Row],[NoIncrement]]=TRUE,CONT_TEA[[#This Row],[NoIncrement]]=FALSE),0,1),1)</f>
        <v>0</v>
      </c>
      <c r="V158" s="57">
        <f>IF(ISBLANK(CONT_TEA[[#This Row],[FundCode]])=TRUE,0,IF(COUNTIF(FUNDS[FundCode],CONT_TEA[[#This Row],[FundCode]])=1,0,1))</f>
        <v>0</v>
      </c>
      <c r="W158" s="57">
        <f>IF(LEN(CONT_TEA[[#This Row],[Notes]])&lt;4000,0,1)</f>
        <v>0</v>
      </c>
      <c r="X158" s="57">
        <f>IF(SUBSTITUTE(TEXT(CONT_TEA[[#This Row],[Reference]],10)," ","")=TEXT(CONT_TEA[[#This Row],[Reference]],10),0,1)</f>
        <v>0</v>
      </c>
      <c r="Y158" s="57">
        <f ca="1">SUM(CONT_TEA[[#This Row],[Duplicate Contract]:[Space in Code]])</f>
        <v>1</v>
      </c>
      <c r="AA158" s="12" t="s">
        <v>2094</v>
      </c>
      <c r="AB158" s="15">
        <v>91323684</v>
      </c>
      <c r="AC158" s="12" t="s">
        <v>4506</v>
      </c>
      <c r="AD158" s="57" t="str">
        <f>_xlfn.XLOOKUP(CONT_TEA[[#This Row],[StaffMemberCode]],StaffMembers!O:O,StaffMembers!R:R)</f>
        <v>Finlay Wetton</v>
      </c>
      <c r="AE158" s="12" t="s">
        <v>1178</v>
      </c>
      <c r="AF158" s="57">
        <f>_xlfn.XLOOKUP(CONT_TEA[[#This Row],[SRG]],SRG[StaffRoleGroupCode],SRG[GrossSalaryFinanceCode])</f>
        <v>612100</v>
      </c>
      <c r="AG158" s="57" t="str">
        <f>_xlfn.XLOOKUP(CONT_TEA[[#This Row],[StaffRoleCode]],ROLES[StaffRoleCode],ROLES[StaffRoleGroupCode])</f>
        <v>TEA</v>
      </c>
      <c r="AH158" s="57" t="str">
        <f>_xlfn.XLOOKUP(CONT_TEA[[#This Row],[StaffRoleCode]],ROLES[StaffRoleCode],ROLES[PayScaleCode])</f>
        <v>MAIN</v>
      </c>
      <c r="AI158" s="12" t="s">
        <v>1126</v>
      </c>
      <c r="AJ158" s="12" t="s">
        <v>1064</v>
      </c>
      <c r="AK158" s="12" t="s">
        <v>2499</v>
      </c>
      <c r="AM158" s="68" t="s">
        <v>1147</v>
      </c>
      <c r="AN158" s="13" t="s">
        <v>1702</v>
      </c>
      <c r="AO158" s="21">
        <v>45901</v>
      </c>
      <c r="AQ158" s="12">
        <v>1</v>
      </c>
      <c r="AR158" t="b">
        <v>0</v>
      </c>
      <c r="AS158" t="b">
        <v>0</v>
      </c>
      <c r="AT158" s="12" t="s">
        <v>1574</v>
      </c>
    </row>
    <row r="159" spans="1:47" x14ac:dyDescent="0.3">
      <c r="A159" s="57" t="str">
        <f t="shared" si="3"/>
        <v>ALS9107384991073849ATEASTCH45901</v>
      </c>
      <c r="B159" s="57">
        <f>COUNTIF(CONT_TEA[Unique Contract],CONT_TEA[[#This Row],[Unique Contract]])-1</f>
        <v>0</v>
      </c>
      <c r="C159" s="57">
        <f>IFERROR(IF(FIND(CONT_TEA[[#This Row],[SchoolCode]],_xlfn.XLOOKUP(CONT_TEA[[#This Row],[StaffMemberCode]],MEMBERS[StaffMemberCode],MEMBERS[SchoolCodes]))&gt;0,0,1),1)</f>
        <v>0</v>
      </c>
      <c r="D159" s="57" cm="1">
        <f t="array" ref="D159">IF(_xlfn.XLOOKUP(CONT_TEA[[#This Row],[StaffRoleCode]],ROLES[StaffRoleCode],ROLES[AvailableToAllSchools],1,0,)=TRUE,0,IF(ISERROR(FIND(CONT_TEA[[#This Row],[SchoolCode]],_xlfn.TEXTJOIN(",",TRUE,_xlfn.UNIQUE(IF(ROLES[StaffRoleCode]=CONT_TEA[[#This Row],[StaffRoleCode]],ROLES[SchoolCodes],""))))),1,0))</f>
        <v>0</v>
      </c>
      <c r="E159" s="57" cm="1">
        <f t="array" ref="E15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59" s="57" cm="1">
        <f t="array" ref="F159">IF(_xlfn.XLOOKUP(CONT_TEA[[#This Row],[PayScaleCode]],PAYSCALES[PayScaleCode],PAYSCALES[AvailableToAllSchools],1,0,)=TRUE,0,IF(ISERROR(FIND(CONT_TEA[[#This Row],[SchoolCode]],_xlfn.TEXTJOIN(",",TRUE,_xlfn.UNIQUE(IF(PAYSCALES[PayScaleCode]=CONT_TEA[[#This Row],[PayScaleCode]],PAYSCALES[SchoolCodes],""))))),1,0))</f>
        <v>0</v>
      </c>
      <c r="G159" s="57">
        <f>IF(_xlfn.XLOOKUP(CONT_TEA[[#This Row],[PayScaleGradeCode]],GRADES[PayScaleGradeCode],GRADES[AvailableToAllSchools])=TRUE,0,IFERROR(IF(FIND(CONT_TEA[[#This Row],[SchoolCode]],_xlfn.XLOOKUP(CONT_TEA[[#This Row],[PayScaleGradeCode]],GRADES[PayScaleGradeCode],GRADES[SchoolCodes]))&gt;=1,0,1),1))</f>
        <v>0</v>
      </c>
      <c r="H159" s="57">
        <f>IF(ISERROR(IF((_xlfn.XLOOKUP(CONT_TEA[[#This Row],[PayScaleGradeCode]],GRADES[PayScaleGradeCode],GRADES[PayScaleCode])=CONT_TEA[[#This Row],[PayScaleCode]]),0,1)),1,0)</f>
        <v>0</v>
      </c>
      <c r="I159" s="57" cm="1">
        <f t="array" ref="I159">IF(ISERROR(FIND(CONT_TEA[[#This Row],[PayScalePointCode]],_xlfn.TEXTJOIN(",",TRUE,IF(PSPOINTS[PayScaleCode]=CONT_TEA[[#This Row],[PayScaleCode]],PSPOINTS[PayScalePointCode])))),1,0)</f>
        <v>0</v>
      </c>
      <c r="J159" s="57" cm="1">
        <f t="array" ref="J15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59" s="57">
        <f>IF(_xlfn.XLOOKUP(CONT_TEA[[#This Row],[PayScalePointCode]],PSPOINTS[PayScalePointCode],PSPOINTS[PayScalePointEnabled])=TRUE,0,1)</f>
        <v>0</v>
      </c>
      <c r="L159" s="57" cm="1">
        <f t="array" ref="L159">IF(_xlfn.XLOOKUP(CONT_TEA[[#This Row],[DepartmentCode]],DEPTS[DepartmentCode],DEPTS[AvailableToAllSchools],1,0,)=TRUE,0,IF(ISERROR(FIND(CONT_TEA[[#This Row],[SchoolCode]],_xlfn.TEXTJOIN(",",TRUE,_xlfn.UNIQUE(IF(DEPTS[DepartmentCode]=CONT_TEA[[#This Row],[DepartmentCode]],DEPTS[SchoolCodes],""))))),1,0))</f>
        <v>0</v>
      </c>
      <c r="M159" s="57">
        <f>IFERROR(IF(_xlfn.XLOOKUP(CONT_TEA[[#This Row],[SRG Gross]],FinanceCodesBudget[FinanceCode],FinanceCodesBudget[LedgerCode])=_xlfn.XLOOKUP(CONT_TEA[[#This Row],[DepartmentCode]],DEPTS[DepartmentCode],DEPTS[LedgerCode]),0,1),1)</f>
        <v>1</v>
      </c>
      <c r="N159" s="57" cm="1">
        <f t="array" ref="N159">IF(_xlfn.XLOOKUP(CONT_TEA[[#This Row],[PensionCode]],PENS[PensionCode],PENS[AvailableToAllSchools],1,0,)=TRUE,0,IF(ISERROR(FIND(CONT_TEA[[#This Row],[SchoolCode]],_xlfn.TEXTJOIN(",",TRUE,_xlfn.UNIQUE(IF(PENS[PensionCode]=CONT_TEA[[#This Row],[PensionCode]],PENS[SchoolCodes],""))))),1,0))</f>
        <v>0</v>
      </c>
      <c r="O159" s="57" cm="1">
        <f t="array" ref="O159">IF(_xlfn.XLOOKUP(CONT_TEA[[#This Row],[EquatedWeekPatternCode]],EQW[EquatedWeekPatternCode],EQW[AvailableToAllSchools],1,0,)=TRUE,0,IF(ISERROR(FIND(CONT_TEA[[#This Row],[SchoolCode]],_xlfn.TEXTJOIN(",",TRUE,_xlfn.UNIQUE(IF(EQW[EquatedWeekPatternCode]=CONT_TEA[[#This Row],[EquatedWeekPatternCode]],EQW[SchoolCodes],""))))),1,0))</f>
        <v>0</v>
      </c>
      <c r="P159" s="57">
        <f>1-COUNTIF(ContractTypes[Code],CONT_TEA[[#This Row],[ContractTypeCode]])</f>
        <v>0</v>
      </c>
      <c r="Q159" s="57">
        <f>IF(VLOOKUP(CONT_TEA[[#This Row],[StaffMemberCode]],MEMBERS[[StaffMemberCode]:[ServiceStartDate]],5,0)&gt;CONT_TEA[[#This Row],[DateFrom]],1,0)</f>
        <v>0</v>
      </c>
      <c r="R159" s="57">
        <f>IF(_xlfn.XLOOKUP(CONT_TEA[[#This Row],[StaffMemberCode]],MEMBERS[StaffMemberCode],MEMBERS[ServiceEndDate])="",0,IF(CONT_TEA[[#This Row],[DateTo]]="",1,IF(_xlfn.XLOOKUP(CONT_TEA[[#This Row],[StaffMemberCode]],MEMBERS[StaffMemberCode],MEMBERS[ServiceEndDate])&lt;CONT_TEA[[#This Row],[DateTo]],1,0)))</f>
        <v>0</v>
      </c>
      <c r="S159" s="57">
        <f>IF(ISBLANK(CONT_TEA[[#This Row],[DateTo]]),0,IF(CONT_TEA[[#This Row],[DateFrom]]=CONT_TEA[[#This Row],[DateTo]],0,IF(CONT_TEA[[#This Row],[DateFrom]]&lt;CONT_TEA[[#This Row],[DateTo]],0,1)))</f>
        <v>0</v>
      </c>
      <c r="T159" s="57" cm="1">
        <f t="array" aca="1" ref="T159" ca="1">IF(CELL("format",CONT_TEA[[#This Row],[DateFrom]])="D1",0,1)+IF(CELL("format",CONT_TEA[[#This Row],[DateTo]])="D1",0,1)</f>
        <v>0</v>
      </c>
      <c r="U159" s="57">
        <f>IF(OR(CONT_TEA[[#This Row],[MatEditOnly]]=TRUE,CONT_TEA[[#This Row],[MatEditOnly]]=FALSE),IF(OR(CONT_TEA[[#This Row],[NoIncrement]]=TRUE,CONT_TEA[[#This Row],[NoIncrement]]=FALSE),0,1),1)</f>
        <v>0</v>
      </c>
      <c r="V159" s="57">
        <f>IF(ISBLANK(CONT_TEA[[#This Row],[FundCode]])=TRUE,0,IF(COUNTIF(FUNDS[FundCode],CONT_TEA[[#This Row],[FundCode]])=1,0,1))</f>
        <v>0</v>
      </c>
      <c r="W159" s="57">
        <f>IF(LEN(CONT_TEA[[#This Row],[Notes]])&lt;4000,0,1)</f>
        <v>0</v>
      </c>
      <c r="X159" s="57">
        <f>IF(SUBSTITUTE(TEXT(CONT_TEA[[#This Row],[Reference]],10)," ","")=TEXT(CONT_TEA[[#This Row],[Reference]],10),0,1)</f>
        <v>0</v>
      </c>
      <c r="Y159" s="57">
        <f ca="1">SUM(CONT_TEA[[#This Row],[Duplicate Contract]:[Space in Code]])</f>
        <v>1</v>
      </c>
      <c r="AA159" s="12" t="s">
        <v>2082</v>
      </c>
      <c r="AB159" s="15">
        <v>91073849</v>
      </c>
      <c r="AC159" s="12" t="s">
        <v>4507</v>
      </c>
      <c r="AD159" s="57" t="str">
        <f>_xlfn.XLOOKUP(CONT_TEA[[#This Row],[StaffMemberCode]],StaffMembers!O:O,StaffMembers!R:R)</f>
        <v>Finty Clarke</v>
      </c>
      <c r="AE159" s="12" t="s">
        <v>1178</v>
      </c>
      <c r="AF159" s="57">
        <f>_xlfn.XLOOKUP(CONT_TEA[[#This Row],[SRG]],SRG[StaffRoleGroupCode],SRG[GrossSalaryFinanceCode])</f>
        <v>612100</v>
      </c>
      <c r="AG159" s="57" t="str">
        <f>_xlfn.XLOOKUP(CONT_TEA[[#This Row],[StaffRoleCode]],ROLES[StaffRoleCode],ROLES[StaffRoleGroupCode])</f>
        <v>TEA</v>
      </c>
      <c r="AH159" s="57" t="str">
        <f>_xlfn.XLOOKUP(CONT_TEA[[#This Row],[StaffRoleCode]],ROLES[StaffRoleCode],ROLES[PayScaleCode])</f>
        <v>MAIN</v>
      </c>
      <c r="AI159" s="12" t="s">
        <v>1126</v>
      </c>
      <c r="AJ159" s="12" t="s">
        <v>1745</v>
      </c>
      <c r="AK159" s="12" t="s">
        <v>2499</v>
      </c>
      <c r="AM159" s="68" t="s">
        <v>1147</v>
      </c>
      <c r="AN159" s="13" t="s">
        <v>1702</v>
      </c>
      <c r="AO159" s="21">
        <v>45901</v>
      </c>
      <c r="AQ159" s="12">
        <v>1</v>
      </c>
      <c r="AR159" t="b">
        <v>0</v>
      </c>
      <c r="AS159" t="b">
        <v>0</v>
      </c>
      <c r="AT159" s="12" t="s">
        <v>1574</v>
      </c>
    </row>
    <row r="160" spans="1:47" x14ac:dyDescent="0.3">
      <c r="A160" s="57" t="str">
        <f t="shared" si="3"/>
        <v>ALS9107375691073756ATEASTCH45901</v>
      </c>
      <c r="B160" s="57">
        <f>COUNTIF(CONT_TEA[Unique Contract],CONT_TEA[[#This Row],[Unique Contract]])-1</f>
        <v>0</v>
      </c>
      <c r="C160" s="57">
        <f>IFERROR(IF(FIND(CONT_TEA[[#This Row],[SchoolCode]],_xlfn.XLOOKUP(CONT_TEA[[#This Row],[StaffMemberCode]],MEMBERS[StaffMemberCode],MEMBERS[SchoolCodes]))&gt;0,0,1),1)</f>
        <v>0</v>
      </c>
      <c r="D160" s="57" cm="1">
        <f t="array" ref="D160">IF(_xlfn.XLOOKUP(CONT_TEA[[#This Row],[StaffRoleCode]],ROLES[StaffRoleCode],ROLES[AvailableToAllSchools],1,0,)=TRUE,0,IF(ISERROR(FIND(CONT_TEA[[#This Row],[SchoolCode]],_xlfn.TEXTJOIN(",",TRUE,_xlfn.UNIQUE(IF(ROLES[StaffRoleCode]=CONT_TEA[[#This Row],[StaffRoleCode]],ROLES[SchoolCodes],""))))),1,0))</f>
        <v>0</v>
      </c>
      <c r="E160" s="57" cm="1">
        <f t="array" ref="E16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60" s="57" cm="1">
        <f t="array" ref="F160">IF(_xlfn.XLOOKUP(CONT_TEA[[#This Row],[PayScaleCode]],PAYSCALES[PayScaleCode],PAYSCALES[AvailableToAllSchools],1,0,)=TRUE,0,IF(ISERROR(FIND(CONT_TEA[[#This Row],[SchoolCode]],_xlfn.TEXTJOIN(",",TRUE,_xlfn.UNIQUE(IF(PAYSCALES[PayScaleCode]=CONT_TEA[[#This Row],[PayScaleCode]],PAYSCALES[SchoolCodes],""))))),1,0))</f>
        <v>0</v>
      </c>
      <c r="G160" s="57">
        <f>IF(_xlfn.XLOOKUP(CONT_TEA[[#This Row],[PayScaleGradeCode]],GRADES[PayScaleGradeCode],GRADES[AvailableToAllSchools])=TRUE,0,IFERROR(IF(FIND(CONT_TEA[[#This Row],[SchoolCode]],_xlfn.XLOOKUP(CONT_TEA[[#This Row],[PayScaleGradeCode]],GRADES[PayScaleGradeCode],GRADES[SchoolCodes]))&gt;=1,0,1),1))</f>
        <v>0</v>
      </c>
      <c r="H160" s="57">
        <f>IF(ISERROR(IF((_xlfn.XLOOKUP(CONT_TEA[[#This Row],[PayScaleGradeCode]],GRADES[PayScaleGradeCode],GRADES[PayScaleCode])=CONT_TEA[[#This Row],[PayScaleCode]]),0,1)),1,0)</f>
        <v>0</v>
      </c>
      <c r="I160" s="57" cm="1">
        <f t="array" ref="I160">IF(ISERROR(FIND(CONT_TEA[[#This Row],[PayScalePointCode]],_xlfn.TEXTJOIN(",",TRUE,IF(PSPOINTS[PayScaleCode]=CONT_TEA[[#This Row],[PayScaleCode]],PSPOINTS[PayScalePointCode])))),1,0)</f>
        <v>0</v>
      </c>
      <c r="J160" s="57" cm="1">
        <f t="array" ref="J16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60" s="57">
        <f>IF(_xlfn.XLOOKUP(CONT_TEA[[#This Row],[PayScalePointCode]],PSPOINTS[PayScalePointCode],PSPOINTS[PayScalePointEnabled])=TRUE,0,1)</f>
        <v>0</v>
      </c>
      <c r="L160" s="57" cm="1">
        <f t="array" ref="L160">IF(_xlfn.XLOOKUP(CONT_TEA[[#This Row],[DepartmentCode]],DEPTS[DepartmentCode],DEPTS[AvailableToAllSchools],1,0,)=TRUE,0,IF(ISERROR(FIND(CONT_TEA[[#This Row],[SchoolCode]],_xlfn.TEXTJOIN(",",TRUE,_xlfn.UNIQUE(IF(DEPTS[DepartmentCode]=CONT_TEA[[#This Row],[DepartmentCode]],DEPTS[SchoolCodes],""))))),1,0))</f>
        <v>0</v>
      </c>
      <c r="M160" s="57">
        <f>IFERROR(IF(_xlfn.XLOOKUP(CONT_TEA[[#This Row],[SRG Gross]],FinanceCodesBudget[FinanceCode],FinanceCodesBudget[LedgerCode])=_xlfn.XLOOKUP(CONT_TEA[[#This Row],[DepartmentCode]],DEPTS[DepartmentCode],DEPTS[LedgerCode]),0,1),1)</f>
        <v>1</v>
      </c>
      <c r="N160" s="57" cm="1">
        <f t="array" ref="N160">IF(_xlfn.XLOOKUP(CONT_TEA[[#This Row],[PensionCode]],PENS[PensionCode],PENS[AvailableToAllSchools],1,0,)=TRUE,0,IF(ISERROR(FIND(CONT_TEA[[#This Row],[SchoolCode]],_xlfn.TEXTJOIN(",",TRUE,_xlfn.UNIQUE(IF(PENS[PensionCode]=CONT_TEA[[#This Row],[PensionCode]],PENS[SchoolCodes],""))))),1,0))</f>
        <v>0</v>
      </c>
      <c r="O160" s="57" cm="1">
        <f t="array" ref="O160">IF(_xlfn.XLOOKUP(CONT_TEA[[#This Row],[EquatedWeekPatternCode]],EQW[EquatedWeekPatternCode],EQW[AvailableToAllSchools],1,0,)=TRUE,0,IF(ISERROR(FIND(CONT_TEA[[#This Row],[SchoolCode]],_xlfn.TEXTJOIN(",",TRUE,_xlfn.UNIQUE(IF(EQW[EquatedWeekPatternCode]=CONT_TEA[[#This Row],[EquatedWeekPatternCode]],EQW[SchoolCodes],""))))),1,0))</f>
        <v>0</v>
      </c>
      <c r="P160" s="57">
        <f>1-COUNTIF(ContractTypes[Code],CONT_TEA[[#This Row],[ContractTypeCode]])</f>
        <v>0</v>
      </c>
      <c r="Q160" s="57">
        <f>IF(VLOOKUP(CONT_TEA[[#This Row],[StaffMemberCode]],MEMBERS[[StaffMemberCode]:[ServiceStartDate]],5,0)&gt;CONT_TEA[[#This Row],[DateFrom]],1,0)</f>
        <v>0</v>
      </c>
      <c r="R160" s="57">
        <f>IF(_xlfn.XLOOKUP(CONT_TEA[[#This Row],[StaffMemberCode]],MEMBERS[StaffMemberCode],MEMBERS[ServiceEndDate])="",0,IF(CONT_TEA[[#This Row],[DateTo]]="",1,IF(_xlfn.XLOOKUP(CONT_TEA[[#This Row],[StaffMemberCode]],MEMBERS[StaffMemberCode],MEMBERS[ServiceEndDate])&lt;CONT_TEA[[#This Row],[DateTo]],1,0)))</f>
        <v>0</v>
      </c>
      <c r="S160" s="57">
        <f>IF(ISBLANK(CONT_TEA[[#This Row],[DateTo]]),0,IF(CONT_TEA[[#This Row],[DateFrom]]=CONT_TEA[[#This Row],[DateTo]],0,IF(CONT_TEA[[#This Row],[DateFrom]]&lt;CONT_TEA[[#This Row],[DateTo]],0,1)))</f>
        <v>0</v>
      </c>
      <c r="T160" s="57" cm="1">
        <f t="array" aca="1" ref="T160" ca="1">IF(CELL("format",CONT_TEA[[#This Row],[DateFrom]])="D1",0,1)+IF(CELL("format",CONT_TEA[[#This Row],[DateTo]])="D1",0,1)</f>
        <v>0</v>
      </c>
      <c r="U160" s="57">
        <f>IF(OR(CONT_TEA[[#This Row],[MatEditOnly]]=TRUE,CONT_TEA[[#This Row],[MatEditOnly]]=FALSE),IF(OR(CONT_TEA[[#This Row],[NoIncrement]]=TRUE,CONT_TEA[[#This Row],[NoIncrement]]=FALSE),0,1),1)</f>
        <v>0</v>
      </c>
      <c r="V160" s="57">
        <f>IF(ISBLANK(CONT_TEA[[#This Row],[FundCode]])=TRUE,0,IF(COUNTIF(FUNDS[FundCode],CONT_TEA[[#This Row],[FundCode]])=1,0,1))</f>
        <v>0</v>
      </c>
      <c r="W160" s="57">
        <f>IF(LEN(CONT_TEA[[#This Row],[Notes]])&lt;4000,0,1)</f>
        <v>0</v>
      </c>
      <c r="X160" s="57">
        <f>IF(SUBSTITUTE(TEXT(CONT_TEA[[#This Row],[Reference]],10)," ","")=TEXT(CONT_TEA[[#This Row],[Reference]],10),0,1)</f>
        <v>0</v>
      </c>
      <c r="Y160" s="57">
        <f ca="1">SUM(CONT_TEA[[#This Row],[Duplicate Contract]:[Space in Code]])</f>
        <v>1</v>
      </c>
      <c r="AA160" s="12" t="s">
        <v>2082</v>
      </c>
      <c r="AB160" s="15">
        <v>91073756</v>
      </c>
      <c r="AC160" s="12" t="s">
        <v>4508</v>
      </c>
      <c r="AD160" s="57" t="str">
        <f>_xlfn.XLOOKUP(CONT_TEA[[#This Row],[StaffMemberCode]],StaffMembers!O:O,StaffMembers!R:R)</f>
        <v>Gavin Hammond</v>
      </c>
      <c r="AE160" s="12" t="s">
        <v>1178</v>
      </c>
      <c r="AF160" s="57">
        <f>_xlfn.XLOOKUP(CONT_TEA[[#This Row],[SRG]],SRG[StaffRoleGroupCode],SRG[GrossSalaryFinanceCode])</f>
        <v>612100</v>
      </c>
      <c r="AG160" s="57" t="str">
        <f>_xlfn.XLOOKUP(CONT_TEA[[#This Row],[StaffRoleCode]],ROLES[StaffRoleCode],ROLES[StaffRoleGroupCode])</f>
        <v>TEA</v>
      </c>
      <c r="AH160" s="57" t="str">
        <f>_xlfn.XLOOKUP(CONT_TEA[[#This Row],[StaffRoleCode]],ROLES[StaffRoleCode],ROLES[PayScaleCode])</f>
        <v>MAIN</v>
      </c>
      <c r="AI160" s="12" t="s">
        <v>1126</v>
      </c>
      <c r="AJ160" s="12" t="s">
        <v>3074</v>
      </c>
      <c r="AK160" s="12" t="s">
        <v>2499</v>
      </c>
      <c r="AM160" s="68" t="s">
        <v>1147</v>
      </c>
      <c r="AN160" s="13" t="s">
        <v>1702</v>
      </c>
      <c r="AO160" s="21">
        <v>45901</v>
      </c>
      <c r="AQ160" s="12">
        <v>1</v>
      </c>
      <c r="AR160" t="b">
        <v>0</v>
      </c>
      <c r="AS160" t="b">
        <v>0</v>
      </c>
      <c r="AT160" s="12" t="s">
        <v>1574</v>
      </c>
    </row>
    <row r="161" spans="1:47" x14ac:dyDescent="0.3">
      <c r="A161" s="57" t="str">
        <f t="shared" si="3"/>
        <v>ALS9107381691073816ATEASTCH45901</v>
      </c>
      <c r="B161" s="57">
        <f>COUNTIF(CONT_TEA[Unique Contract],CONT_TEA[[#This Row],[Unique Contract]])-1</f>
        <v>0</v>
      </c>
      <c r="C161" s="57">
        <f>IFERROR(IF(FIND(CONT_TEA[[#This Row],[SchoolCode]],_xlfn.XLOOKUP(CONT_TEA[[#This Row],[StaffMemberCode]],MEMBERS[StaffMemberCode],MEMBERS[SchoolCodes]))&gt;0,0,1),1)</f>
        <v>0</v>
      </c>
      <c r="D161" s="57" cm="1">
        <f t="array" ref="D161">IF(_xlfn.XLOOKUP(CONT_TEA[[#This Row],[StaffRoleCode]],ROLES[StaffRoleCode],ROLES[AvailableToAllSchools],1,0,)=TRUE,0,IF(ISERROR(FIND(CONT_TEA[[#This Row],[SchoolCode]],_xlfn.TEXTJOIN(",",TRUE,_xlfn.UNIQUE(IF(ROLES[StaffRoleCode]=CONT_TEA[[#This Row],[StaffRoleCode]],ROLES[SchoolCodes],""))))),1,0))</f>
        <v>0</v>
      </c>
      <c r="E161" s="57" cm="1">
        <f t="array" ref="E16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61" s="57" cm="1">
        <f t="array" ref="F161">IF(_xlfn.XLOOKUP(CONT_TEA[[#This Row],[PayScaleCode]],PAYSCALES[PayScaleCode],PAYSCALES[AvailableToAllSchools],1,0,)=TRUE,0,IF(ISERROR(FIND(CONT_TEA[[#This Row],[SchoolCode]],_xlfn.TEXTJOIN(",",TRUE,_xlfn.UNIQUE(IF(PAYSCALES[PayScaleCode]=CONT_TEA[[#This Row],[PayScaleCode]],PAYSCALES[SchoolCodes],""))))),1,0))</f>
        <v>0</v>
      </c>
      <c r="G161" s="57">
        <f>IF(_xlfn.XLOOKUP(CONT_TEA[[#This Row],[PayScaleGradeCode]],GRADES[PayScaleGradeCode],GRADES[AvailableToAllSchools])=TRUE,0,IFERROR(IF(FIND(CONT_TEA[[#This Row],[SchoolCode]],_xlfn.XLOOKUP(CONT_TEA[[#This Row],[PayScaleGradeCode]],GRADES[PayScaleGradeCode],GRADES[SchoolCodes]))&gt;=1,0,1),1))</f>
        <v>0</v>
      </c>
      <c r="H161" s="57">
        <f>IF(ISERROR(IF((_xlfn.XLOOKUP(CONT_TEA[[#This Row],[PayScaleGradeCode]],GRADES[PayScaleGradeCode],GRADES[PayScaleCode])=CONT_TEA[[#This Row],[PayScaleCode]]),0,1)),1,0)</f>
        <v>0</v>
      </c>
      <c r="I161" s="57" cm="1">
        <f t="array" ref="I161">IF(ISERROR(FIND(CONT_TEA[[#This Row],[PayScalePointCode]],_xlfn.TEXTJOIN(",",TRUE,IF(PSPOINTS[PayScaleCode]=CONT_TEA[[#This Row],[PayScaleCode]],PSPOINTS[PayScalePointCode])))),1,0)</f>
        <v>0</v>
      </c>
      <c r="J161" s="57" cm="1">
        <f t="array" ref="J16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61" s="57">
        <f>IF(_xlfn.XLOOKUP(CONT_TEA[[#This Row],[PayScalePointCode]],PSPOINTS[PayScalePointCode],PSPOINTS[PayScalePointEnabled])=TRUE,0,1)</f>
        <v>0</v>
      </c>
      <c r="L161" s="57" cm="1">
        <f t="array" ref="L161">IF(_xlfn.XLOOKUP(CONT_TEA[[#This Row],[DepartmentCode]],DEPTS[DepartmentCode],DEPTS[AvailableToAllSchools],1,0,)=TRUE,0,IF(ISERROR(FIND(CONT_TEA[[#This Row],[SchoolCode]],_xlfn.TEXTJOIN(",",TRUE,_xlfn.UNIQUE(IF(DEPTS[DepartmentCode]=CONT_TEA[[#This Row],[DepartmentCode]],DEPTS[SchoolCodes],""))))),1,0))</f>
        <v>0</v>
      </c>
      <c r="M161" s="57">
        <f>IFERROR(IF(_xlfn.XLOOKUP(CONT_TEA[[#This Row],[SRG Gross]],FinanceCodesBudget[FinanceCode],FinanceCodesBudget[LedgerCode])=_xlfn.XLOOKUP(CONT_TEA[[#This Row],[DepartmentCode]],DEPTS[DepartmentCode],DEPTS[LedgerCode]),0,1),1)</f>
        <v>1</v>
      </c>
      <c r="N161" s="57" cm="1">
        <f t="array" ref="N161">IF(_xlfn.XLOOKUP(CONT_TEA[[#This Row],[PensionCode]],PENS[PensionCode],PENS[AvailableToAllSchools],1,0,)=TRUE,0,IF(ISERROR(FIND(CONT_TEA[[#This Row],[SchoolCode]],_xlfn.TEXTJOIN(",",TRUE,_xlfn.UNIQUE(IF(PENS[PensionCode]=CONT_TEA[[#This Row],[PensionCode]],PENS[SchoolCodes],""))))),1,0))</f>
        <v>0</v>
      </c>
      <c r="O161" s="57" cm="1">
        <f t="array" ref="O161">IF(_xlfn.XLOOKUP(CONT_TEA[[#This Row],[EquatedWeekPatternCode]],EQW[EquatedWeekPatternCode],EQW[AvailableToAllSchools],1,0,)=TRUE,0,IF(ISERROR(FIND(CONT_TEA[[#This Row],[SchoolCode]],_xlfn.TEXTJOIN(",",TRUE,_xlfn.UNIQUE(IF(EQW[EquatedWeekPatternCode]=CONT_TEA[[#This Row],[EquatedWeekPatternCode]],EQW[SchoolCodes],""))))),1,0))</f>
        <v>0</v>
      </c>
      <c r="P161" s="57">
        <f>1-COUNTIF(ContractTypes[Code],CONT_TEA[[#This Row],[ContractTypeCode]])</f>
        <v>0</v>
      </c>
      <c r="Q161" s="57">
        <f>IF(VLOOKUP(CONT_TEA[[#This Row],[StaffMemberCode]],MEMBERS[[StaffMemberCode]:[ServiceStartDate]],5,0)&gt;CONT_TEA[[#This Row],[DateFrom]],1,0)</f>
        <v>0</v>
      </c>
      <c r="R161" s="57">
        <f>IF(_xlfn.XLOOKUP(CONT_TEA[[#This Row],[StaffMemberCode]],MEMBERS[StaffMemberCode],MEMBERS[ServiceEndDate])="",0,IF(CONT_TEA[[#This Row],[DateTo]]="",1,IF(_xlfn.XLOOKUP(CONT_TEA[[#This Row],[StaffMemberCode]],MEMBERS[StaffMemberCode],MEMBERS[ServiceEndDate])&lt;CONT_TEA[[#This Row],[DateTo]],1,0)))</f>
        <v>0</v>
      </c>
      <c r="S161" s="57">
        <f>IF(ISBLANK(CONT_TEA[[#This Row],[DateTo]]),0,IF(CONT_TEA[[#This Row],[DateFrom]]=CONT_TEA[[#This Row],[DateTo]],0,IF(CONT_TEA[[#This Row],[DateFrom]]&lt;CONT_TEA[[#This Row],[DateTo]],0,1)))</f>
        <v>0</v>
      </c>
      <c r="T161" s="57" cm="1">
        <f t="array" aca="1" ref="T161" ca="1">IF(CELL("format",CONT_TEA[[#This Row],[DateFrom]])="D1",0,1)+IF(CELL("format",CONT_TEA[[#This Row],[DateTo]])="D1",0,1)</f>
        <v>0</v>
      </c>
      <c r="U161" s="57">
        <f>IF(OR(CONT_TEA[[#This Row],[MatEditOnly]]=TRUE,CONT_TEA[[#This Row],[MatEditOnly]]=FALSE),IF(OR(CONT_TEA[[#This Row],[NoIncrement]]=TRUE,CONT_TEA[[#This Row],[NoIncrement]]=FALSE),0,1),1)</f>
        <v>0</v>
      </c>
      <c r="V161" s="57">
        <f>IF(ISBLANK(CONT_TEA[[#This Row],[FundCode]])=TRUE,0,IF(COUNTIF(FUNDS[FundCode],CONT_TEA[[#This Row],[FundCode]])=1,0,1))</f>
        <v>0</v>
      </c>
      <c r="W161" s="57">
        <f>IF(LEN(CONT_TEA[[#This Row],[Notes]])&lt;4000,0,1)</f>
        <v>0</v>
      </c>
      <c r="X161" s="57">
        <f>IF(SUBSTITUTE(TEXT(CONT_TEA[[#This Row],[Reference]],10)," ","")=TEXT(CONT_TEA[[#This Row],[Reference]],10),0,1)</f>
        <v>0</v>
      </c>
      <c r="Y161" s="57">
        <f ca="1">SUM(CONT_TEA[[#This Row],[Duplicate Contract]:[Space in Code]])</f>
        <v>1</v>
      </c>
      <c r="AA161" s="12" t="s">
        <v>2082</v>
      </c>
      <c r="AB161" s="15">
        <v>91073816</v>
      </c>
      <c r="AC161" s="12" t="s">
        <v>4509</v>
      </c>
      <c r="AD161" s="57" t="str">
        <f>_xlfn.XLOOKUP(CONT_TEA[[#This Row],[StaffMemberCode]],StaffMembers!O:O,StaffMembers!R:R)</f>
        <v>Georgina Walsh</v>
      </c>
      <c r="AE161" s="12" t="s">
        <v>1178</v>
      </c>
      <c r="AF161" s="57">
        <f>_xlfn.XLOOKUP(CONT_TEA[[#This Row],[SRG]],SRG[StaffRoleGroupCode],SRG[GrossSalaryFinanceCode])</f>
        <v>612100</v>
      </c>
      <c r="AG161" s="57" t="str">
        <f>_xlfn.XLOOKUP(CONT_TEA[[#This Row],[StaffRoleCode]],ROLES[StaffRoleCode],ROLES[StaffRoleGroupCode])</f>
        <v>TEA</v>
      </c>
      <c r="AH161" s="57" t="str">
        <f>_xlfn.XLOOKUP(CONT_TEA[[#This Row],[StaffRoleCode]],ROLES[StaffRoleCode],ROLES[PayScaleCode])</f>
        <v>MAIN</v>
      </c>
      <c r="AI161" s="12" t="s">
        <v>1126</v>
      </c>
      <c r="AJ161" s="12" t="s">
        <v>1066</v>
      </c>
      <c r="AK161" s="12" t="s">
        <v>2499</v>
      </c>
      <c r="AM161" s="68" t="s">
        <v>1147</v>
      </c>
      <c r="AN161" s="13" t="s">
        <v>1702</v>
      </c>
      <c r="AO161" s="21">
        <v>45901</v>
      </c>
      <c r="AQ161" s="12">
        <v>1</v>
      </c>
      <c r="AR161" t="b">
        <v>0</v>
      </c>
      <c r="AS161" t="b">
        <v>0</v>
      </c>
      <c r="AT161" s="12" t="s">
        <v>1574</v>
      </c>
    </row>
    <row r="162" spans="1:47" x14ac:dyDescent="0.3">
      <c r="A162" s="57" t="str">
        <f t="shared" si="3"/>
        <v>ALS9107383891073838ATEASTCH45901</v>
      </c>
      <c r="B162" s="57">
        <f>COUNTIF(CONT_TEA[Unique Contract],CONT_TEA[[#This Row],[Unique Contract]])-1</f>
        <v>0</v>
      </c>
      <c r="C162" s="57">
        <f>IFERROR(IF(FIND(CONT_TEA[[#This Row],[SchoolCode]],_xlfn.XLOOKUP(CONT_TEA[[#This Row],[StaffMemberCode]],MEMBERS[StaffMemberCode],MEMBERS[SchoolCodes]))&gt;0,0,1),1)</f>
        <v>0</v>
      </c>
      <c r="D162" s="57" cm="1">
        <f t="array" ref="D162">IF(_xlfn.XLOOKUP(CONT_TEA[[#This Row],[StaffRoleCode]],ROLES[StaffRoleCode],ROLES[AvailableToAllSchools],1,0,)=TRUE,0,IF(ISERROR(FIND(CONT_TEA[[#This Row],[SchoolCode]],_xlfn.TEXTJOIN(",",TRUE,_xlfn.UNIQUE(IF(ROLES[StaffRoleCode]=CONT_TEA[[#This Row],[StaffRoleCode]],ROLES[SchoolCodes],""))))),1,0))</f>
        <v>0</v>
      </c>
      <c r="E162" s="57" cm="1">
        <f t="array" ref="E16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62" s="57" cm="1">
        <f t="array" ref="F162">IF(_xlfn.XLOOKUP(CONT_TEA[[#This Row],[PayScaleCode]],PAYSCALES[PayScaleCode],PAYSCALES[AvailableToAllSchools],1,0,)=TRUE,0,IF(ISERROR(FIND(CONT_TEA[[#This Row],[SchoolCode]],_xlfn.TEXTJOIN(",",TRUE,_xlfn.UNIQUE(IF(PAYSCALES[PayScaleCode]=CONT_TEA[[#This Row],[PayScaleCode]],PAYSCALES[SchoolCodes],""))))),1,0))</f>
        <v>0</v>
      </c>
      <c r="G162" s="57">
        <f>IF(_xlfn.XLOOKUP(CONT_TEA[[#This Row],[PayScaleGradeCode]],GRADES[PayScaleGradeCode],GRADES[AvailableToAllSchools])=TRUE,0,IFERROR(IF(FIND(CONT_TEA[[#This Row],[SchoolCode]],_xlfn.XLOOKUP(CONT_TEA[[#This Row],[PayScaleGradeCode]],GRADES[PayScaleGradeCode],GRADES[SchoolCodes]))&gt;=1,0,1),1))</f>
        <v>0</v>
      </c>
      <c r="H162" s="57">
        <f>IF(ISERROR(IF((_xlfn.XLOOKUP(CONT_TEA[[#This Row],[PayScaleGradeCode]],GRADES[PayScaleGradeCode],GRADES[PayScaleCode])=CONT_TEA[[#This Row],[PayScaleCode]]),0,1)),1,0)</f>
        <v>0</v>
      </c>
      <c r="I162" s="57" cm="1">
        <f t="array" ref="I162">IF(ISERROR(FIND(CONT_TEA[[#This Row],[PayScalePointCode]],_xlfn.TEXTJOIN(",",TRUE,IF(PSPOINTS[PayScaleCode]=CONT_TEA[[#This Row],[PayScaleCode]],PSPOINTS[PayScalePointCode])))),1,0)</f>
        <v>0</v>
      </c>
      <c r="J162" s="57" cm="1">
        <f t="array" ref="J16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62" s="57">
        <f>IF(_xlfn.XLOOKUP(CONT_TEA[[#This Row],[PayScalePointCode]],PSPOINTS[PayScalePointCode],PSPOINTS[PayScalePointEnabled])=TRUE,0,1)</f>
        <v>0</v>
      </c>
      <c r="L162" s="57" cm="1">
        <f t="array" ref="L162">IF(_xlfn.XLOOKUP(CONT_TEA[[#This Row],[DepartmentCode]],DEPTS[DepartmentCode],DEPTS[AvailableToAllSchools],1,0,)=TRUE,0,IF(ISERROR(FIND(CONT_TEA[[#This Row],[SchoolCode]],_xlfn.TEXTJOIN(",",TRUE,_xlfn.UNIQUE(IF(DEPTS[DepartmentCode]=CONT_TEA[[#This Row],[DepartmentCode]],DEPTS[SchoolCodes],""))))),1,0))</f>
        <v>0</v>
      </c>
      <c r="M162" s="57">
        <f>IFERROR(IF(_xlfn.XLOOKUP(CONT_TEA[[#This Row],[SRG Gross]],FinanceCodesBudget[FinanceCode],FinanceCodesBudget[LedgerCode])=_xlfn.XLOOKUP(CONT_TEA[[#This Row],[DepartmentCode]],DEPTS[DepartmentCode],DEPTS[LedgerCode]),0,1),1)</f>
        <v>1</v>
      </c>
      <c r="N162" s="57" cm="1">
        <f t="array" ref="N162">IF(_xlfn.XLOOKUP(CONT_TEA[[#This Row],[PensionCode]],PENS[PensionCode],PENS[AvailableToAllSchools],1,0,)=TRUE,0,IF(ISERROR(FIND(CONT_TEA[[#This Row],[SchoolCode]],_xlfn.TEXTJOIN(",",TRUE,_xlfn.UNIQUE(IF(PENS[PensionCode]=CONT_TEA[[#This Row],[PensionCode]],PENS[SchoolCodes],""))))),1,0))</f>
        <v>0</v>
      </c>
      <c r="O162" s="57" cm="1">
        <f t="array" ref="O162">IF(_xlfn.XLOOKUP(CONT_TEA[[#This Row],[EquatedWeekPatternCode]],EQW[EquatedWeekPatternCode],EQW[AvailableToAllSchools],1,0,)=TRUE,0,IF(ISERROR(FIND(CONT_TEA[[#This Row],[SchoolCode]],_xlfn.TEXTJOIN(",",TRUE,_xlfn.UNIQUE(IF(EQW[EquatedWeekPatternCode]=CONT_TEA[[#This Row],[EquatedWeekPatternCode]],EQW[SchoolCodes],""))))),1,0))</f>
        <v>0</v>
      </c>
      <c r="P162" s="57">
        <f>1-COUNTIF(ContractTypes[Code],CONT_TEA[[#This Row],[ContractTypeCode]])</f>
        <v>0</v>
      </c>
      <c r="Q162" s="57">
        <f>IF(VLOOKUP(CONT_TEA[[#This Row],[StaffMemberCode]],MEMBERS[[StaffMemberCode]:[ServiceStartDate]],5,0)&gt;CONT_TEA[[#This Row],[DateFrom]],1,0)</f>
        <v>0</v>
      </c>
      <c r="R162" s="57">
        <f>IF(_xlfn.XLOOKUP(CONT_TEA[[#This Row],[StaffMemberCode]],MEMBERS[StaffMemberCode],MEMBERS[ServiceEndDate])="",0,IF(CONT_TEA[[#This Row],[DateTo]]="",1,IF(_xlfn.XLOOKUP(CONT_TEA[[#This Row],[StaffMemberCode]],MEMBERS[StaffMemberCode],MEMBERS[ServiceEndDate])&lt;CONT_TEA[[#This Row],[DateTo]],1,0)))</f>
        <v>0</v>
      </c>
      <c r="S162" s="57">
        <f>IF(ISBLANK(CONT_TEA[[#This Row],[DateTo]]),0,IF(CONT_TEA[[#This Row],[DateFrom]]=CONT_TEA[[#This Row],[DateTo]],0,IF(CONT_TEA[[#This Row],[DateFrom]]&lt;CONT_TEA[[#This Row],[DateTo]],0,1)))</f>
        <v>0</v>
      </c>
      <c r="T162" s="57" cm="1">
        <f t="array" aca="1" ref="T162" ca="1">IF(CELL("format",CONT_TEA[[#This Row],[DateFrom]])="D1",0,1)+IF(CELL("format",CONT_TEA[[#This Row],[DateTo]])="D1",0,1)</f>
        <v>0</v>
      </c>
      <c r="U162" s="57">
        <f>IF(OR(CONT_TEA[[#This Row],[MatEditOnly]]=TRUE,CONT_TEA[[#This Row],[MatEditOnly]]=FALSE),IF(OR(CONT_TEA[[#This Row],[NoIncrement]]=TRUE,CONT_TEA[[#This Row],[NoIncrement]]=FALSE),0,1),1)</f>
        <v>0</v>
      </c>
      <c r="V162" s="57">
        <f>IF(ISBLANK(CONT_TEA[[#This Row],[FundCode]])=TRUE,0,IF(COUNTIF(FUNDS[FundCode],CONT_TEA[[#This Row],[FundCode]])=1,0,1))</f>
        <v>0</v>
      </c>
      <c r="W162" s="57">
        <f>IF(LEN(CONT_TEA[[#This Row],[Notes]])&lt;4000,0,1)</f>
        <v>0</v>
      </c>
      <c r="X162" s="57">
        <f>IF(SUBSTITUTE(TEXT(CONT_TEA[[#This Row],[Reference]],10)," ","")=TEXT(CONT_TEA[[#This Row],[Reference]],10),0,1)</f>
        <v>0</v>
      </c>
      <c r="Y162" s="57">
        <f ca="1">SUM(CONT_TEA[[#This Row],[Duplicate Contract]:[Space in Code]])</f>
        <v>1</v>
      </c>
      <c r="AA162" s="12" t="s">
        <v>2082</v>
      </c>
      <c r="AB162" s="15">
        <v>91073838</v>
      </c>
      <c r="AC162" s="12" t="s">
        <v>4510</v>
      </c>
      <c r="AD162" s="57" t="str">
        <f>_xlfn.XLOOKUP(CONT_TEA[[#This Row],[StaffMemberCode]],StaffMembers!O:O,StaffMembers!R:R)</f>
        <v>Hannah Bethwaite</v>
      </c>
      <c r="AE162" s="12" t="s">
        <v>1178</v>
      </c>
      <c r="AF162" s="57">
        <f>_xlfn.XLOOKUP(CONT_TEA[[#This Row],[SRG]],SRG[StaffRoleGroupCode],SRG[GrossSalaryFinanceCode])</f>
        <v>612100</v>
      </c>
      <c r="AG162" s="57" t="str">
        <f>_xlfn.XLOOKUP(CONT_TEA[[#This Row],[StaffRoleCode]],ROLES[StaffRoleCode],ROLES[StaffRoleGroupCode])</f>
        <v>TEA</v>
      </c>
      <c r="AH162" s="57" t="str">
        <f>_xlfn.XLOOKUP(CONT_TEA[[#This Row],[StaffRoleCode]],ROLES[StaffRoleCode],ROLES[PayScaleCode])</f>
        <v>MAIN</v>
      </c>
      <c r="AI162" s="12" t="s">
        <v>1126</v>
      </c>
      <c r="AJ162" s="12" t="s">
        <v>1065</v>
      </c>
      <c r="AK162" s="12" t="s">
        <v>2499</v>
      </c>
      <c r="AM162" s="68" t="s">
        <v>1147</v>
      </c>
      <c r="AN162" s="13" t="s">
        <v>1702</v>
      </c>
      <c r="AO162" s="21">
        <v>45901</v>
      </c>
      <c r="AQ162" s="12">
        <v>1</v>
      </c>
      <c r="AR162" t="b">
        <v>0</v>
      </c>
      <c r="AS162" t="b">
        <v>0</v>
      </c>
      <c r="AT162" s="12" t="s">
        <v>1574</v>
      </c>
    </row>
    <row r="163" spans="1:47" x14ac:dyDescent="0.3">
      <c r="A163" s="57" t="str">
        <f t="shared" si="3"/>
        <v>ALS9107379191073791ATEASTCH45901</v>
      </c>
      <c r="B163" s="57">
        <f>COUNTIF(CONT_TEA[Unique Contract],CONT_TEA[[#This Row],[Unique Contract]])-1</f>
        <v>0</v>
      </c>
      <c r="C163" s="57">
        <f>IFERROR(IF(FIND(CONT_TEA[[#This Row],[SchoolCode]],_xlfn.XLOOKUP(CONT_TEA[[#This Row],[StaffMemberCode]],MEMBERS[StaffMemberCode],MEMBERS[SchoolCodes]))&gt;0,0,1),1)</f>
        <v>0</v>
      </c>
      <c r="D163" s="57" cm="1">
        <f t="array" ref="D163">IF(_xlfn.XLOOKUP(CONT_TEA[[#This Row],[StaffRoleCode]],ROLES[StaffRoleCode],ROLES[AvailableToAllSchools],1,0,)=TRUE,0,IF(ISERROR(FIND(CONT_TEA[[#This Row],[SchoolCode]],_xlfn.TEXTJOIN(",",TRUE,_xlfn.UNIQUE(IF(ROLES[StaffRoleCode]=CONT_TEA[[#This Row],[StaffRoleCode]],ROLES[SchoolCodes],""))))),1,0))</f>
        <v>0</v>
      </c>
      <c r="E163" s="57" cm="1">
        <f t="array" ref="E16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63" s="57" cm="1">
        <f t="array" ref="F163">IF(_xlfn.XLOOKUP(CONT_TEA[[#This Row],[PayScaleCode]],PAYSCALES[PayScaleCode],PAYSCALES[AvailableToAllSchools],1,0,)=TRUE,0,IF(ISERROR(FIND(CONT_TEA[[#This Row],[SchoolCode]],_xlfn.TEXTJOIN(",",TRUE,_xlfn.UNIQUE(IF(PAYSCALES[PayScaleCode]=CONT_TEA[[#This Row],[PayScaleCode]],PAYSCALES[SchoolCodes],""))))),1,0))</f>
        <v>0</v>
      </c>
      <c r="G163" s="57">
        <f>IF(_xlfn.XLOOKUP(CONT_TEA[[#This Row],[PayScaleGradeCode]],GRADES[PayScaleGradeCode],GRADES[AvailableToAllSchools])=TRUE,0,IFERROR(IF(FIND(CONT_TEA[[#This Row],[SchoolCode]],_xlfn.XLOOKUP(CONT_TEA[[#This Row],[PayScaleGradeCode]],GRADES[PayScaleGradeCode],GRADES[SchoolCodes]))&gt;=1,0,1),1))</f>
        <v>0</v>
      </c>
      <c r="H163" s="57">
        <f>IF(ISERROR(IF((_xlfn.XLOOKUP(CONT_TEA[[#This Row],[PayScaleGradeCode]],GRADES[PayScaleGradeCode],GRADES[PayScaleCode])=CONT_TEA[[#This Row],[PayScaleCode]]),0,1)),1,0)</f>
        <v>0</v>
      </c>
      <c r="I163" s="57" cm="1">
        <f t="array" ref="I163">IF(ISERROR(FIND(CONT_TEA[[#This Row],[PayScalePointCode]],_xlfn.TEXTJOIN(",",TRUE,IF(PSPOINTS[PayScaleCode]=CONT_TEA[[#This Row],[PayScaleCode]],PSPOINTS[PayScalePointCode])))),1,0)</f>
        <v>0</v>
      </c>
      <c r="J163" s="57" cm="1">
        <f t="array" ref="J16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63" s="57">
        <f>IF(_xlfn.XLOOKUP(CONT_TEA[[#This Row],[PayScalePointCode]],PSPOINTS[PayScalePointCode],PSPOINTS[PayScalePointEnabled])=TRUE,0,1)</f>
        <v>0</v>
      </c>
      <c r="L163" s="57" cm="1">
        <f t="array" ref="L163">IF(_xlfn.XLOOKUP(CONT_TEA[[#This Row],[DepartmentCode]],DEPTS[DepartmentCode],DEPTS[AvailableToAllSchools],1,0,)=TRUE,0,IF(ISERROR(FIND(CONT_TEA[[#This Row],[SchoolCode]],_xlfn.TEXTJOIN(",",TRUE,_xlfn.UNIQUE(IF(DEPTS[DepartmentCode]=CONT_TEA[[#This Row],[DepartmentCode]],DEPTS[SchoolCodes],""))))),1,0))</f>
        <v>0</v>
      </c>
      <c r="M163" s="57">
        <f>IFERROR(IF(_xlfn.XLOOKUP(CONT_TEA[[#This Row],[SRG Gross]],FinanceCodesBudget[FinanceCode],FinanceCodesBudget[LedgerCode])=_xlfn.XLOOKUP(CONT_TEA[[#This Row],[DepartmentCode]],DEPTS[DepartmentCode],DEPTS[LedgerCode]),0,1),1)</f>
        <v>1</v>
      </c>
      <c r="N163" s="57" cm="1">
        <f t="array" ref="N163">IF(_xlfn.XLOOKUP(CONT_TEA[[#This Row],[PensionCode]],PENS[PensionCode],PENS[AvailableToAllSchools],1,0,)=TRUE,0,IF(ISERROR(FIND(CONT_TEA[[#This Row],[SchoolCode]],_xlfn.TEXTJOIN(",",TRUE,_xlfn.UNIQUE(IF(PENS[PensionCode]=CONT_TEA[[#This Row],[PensionCode]],PENS[SchoolCodes],""))))),1,0))</f>
        <v>0</v>
      </c>
      <c r="O163" s="57" cm="1">
        <f t="array" ref="O163">IF(_xlfn.XLOOKUP(CONT_TEA[[#This Row],[EquatedWeekPatternCode]],EQW[EquatedWeekPatternCode],EQW[AvailableToAllSchools],1,0,)=TRUE,0,IF(ISERROR(FIND(CONT_TEA[[#This Row],[SchoolCode]],_xlfn.TEXTJOIN(",",TRUE,_xlfn.UNIQUE(IF(EQW[EquatedWeekPatternCode]=CONT_TEA[[#This Row],[EquatedWeekPatternCode]],EQW[SchoolCodes],""))))),1,0))</f>
        <v>0</v>
      </c>
      <c r="P163" s="57">
        <f>1-COUNTIF(ContractTypes[Code],CONT_TEA[[#This Row],[ContractTypeCode]])</f>
        <v>0</v>
      </c>
      <c r="Q163" s="57">
        <f>IF(VLOOKUP(CONT_TEA[[#This Row],[StaffMemberCode]],MEMBERS[[StaffMemberCode]:[ServiceStartDate]],5,0)&gt;CONT_TEA[[#This Row],[DateFrom]],1,0)</f>
        <v>0</v>
      </c>
      <c r="R163" s="57">
        <f>IF(_xlfn.XLOOKUP(CONT_TEA[[#This Row],[StaffMemberCode]],MEMBERS[StaffMemberCode],MEMBERS[ServiceEndDate])="",0,IF(CONT_TEA[[#This Row],[DateTo]]="",1,IF(_xlfn.XLOOKUP(CONT_TEA[[#This Row],[StaffMemberCode]],MEMBERS[StaffMemberCode],MEMBERS[ServiceEndDate])&lt;CONT_TEA[[#This Row],[DateTo]],1,0)))</f>
        <v>0</v>
      </c>
      <c r="S163" s="57">
        <f>IF(ISBLANK(CONT_TEA[[#This Row],[DateTo]]),0,IF(CONT_TEA[[#This Row],[DateFrom]]=CONT_TEA[[#This Row],[DateTo]],0,IF(CONT_TEA[[#This Row],[DateFrom]]&lt;CONT_TEA[[#This Row],[DateTo]],0,1)))</f>
        <v>0</v>
      </c>
      <c r="T163" s="57" cm="1">
        <f t="array" aca="1" ref="T163" ca="1">IF(CELL("format",CONT_TEA[[#This Row],[DateFrom]])="D1",0,1)+IF(CELL("format",CONT_TEA[[#This Row],[DateTo]])="D1",0,1)</f>
        <v>0</v>
      </c>
      <c r="U163" s="57">
        <f>IF(OR(CONT_TEA[[#This Row],[MatEditOnly]]=TRUE,CONT_TEA[[#This Row],[MatEditOnly]]=FALSE),IF(OR(CONT_TEA[[#This Row],[NoIncrement]]=TRUE,CONT_TEA[[#This Row],[NoIncrement]]=FALSE),0,1),1)</f>
        <v>0</v>
      </c>
      <c r="V163" s="57">
        <f>IF(ISBLANK(CONT_TEA[[#This Row],[FundCode]])=TRUE,0,IF(COUNTIF(FUNDS[FundCode],CONT_TEA[[#This Row],[FundCode]])=1,0,1))</f>
        <v>0</v>
      </c>
      <c r="W163" s="57">
        <f>IF(LEN(CONT_TEA[[#This Row],[Notes]])&lt;4000,0,1)</f>
        <v>0</v>
      </c>
      <c r="X163" s="57">
        <f>IF(SUBSTITUTE(TEXT(CONT_TEA[[#This Row],[Reference]],10)," ","")=TEXT(CONT_TEA[[#This Row],[Reference]],10),0,1)</f>
        <v>0</v>
      </c>
      <c r="Y163" s="57">
        <f ca="1">SUM(CONT_TEA[[#This Row],[Duplicate Contract]:[Space in Code]])</f>
        <v>1</v>
      </c>
      <c r="AA163" s="12" t="s">
        <v>2082</v>
      </c>
      <c r="AB163" s="15">
        <v>91073791</v>
      </c>
      <c r="AC163" s="12" t="s">
        <v>4511</v>
      </c>
      <c r="AD163" s="57" t="str">
        <f>_xlfn.XLOOKUP(CONT_TEA[[#This Row],[StaffMemberCode]],StaffMembers!O:O,StaffMembers!R:R)</f>
        <v>Harriette Instrell</v>
      </c>
      <c r="AE163" s="12" t="s">
        <v>1178</v>
      </c>
      <c r="AF163" s="57">
        <f>_xlfn.XLOOKUP(CONT_TEA[[#This Row],[SRG]],SRG[StaffRoleGroupCode],SRG[GrossSalaryFinanceCode])</f>
        <v>612100</v>
      </c>
      <c r="AG163" s="57" t="str">
        <f>_xlfn.XLOOKUP(CONT_TEA[[#This Row],[StaffRoleCode]],ROLES[StaffRoleCode],ROLES[StaffRoleGroupCode])</f>
        <v>TEA</v>
      </c>
      <c r="AH163" s="57" t="str">
        <f>_xlfn.XLOOKUP(CONT_TEA[[#This Row],[StaffRoleCode]],ROLES[StaffRoleCode],ROLES[PayScaleCode])</f>
        <v>MAIN</v>
      </c>
      <c r="AI163" s="12" t="s">
        <v>1126</v>
      </c>
      <c r="AJ163" s="12" t="s">
        <v>3074</v>
      </c>
      <c r="AK163" s="12" t="s">
        <v>2499</v>
      </c>
      <c r="AM163" s="68" t="s">
        <v>1147</v>
      </c>
      <c r="AN163" s="13" t="s">
        <v>1702</v>
      </c>
      <c r="AO163" s="21">
        <v>45901</v>
      </c>
      <c r="AQ163" s="12">
        <v>1</v>
      </c>
      <c r="AR163" t="b">
        <v>0</v>
      </c>
      <c r="AS163" t="b">
        <v>0</v>
      </c>
      <c r="AT163" s="12" t="s">
        <v>1574</v>
      </c>
    </row>
    <row r="164" spans="1:47" x14ac:dyDescent="0.3">
      <c r="A164" s="57" t="str">
        <f t="shared" si="3"/>
        <v>HIG9185003991850039ATEASTCH45901</v>
      </c>
      <c r="B164" s="57">
        <f>COUNTIF(CONT_TEA[Unique Contract],CONT_TEA[[#This Row],[Unique Contract]])-1</f>
        <v>0</v>
      </c>
      <c r="C164" s="57">
        <f>IFERROR(IF(FIND(CONT_TEA[[#This Row],[SchoolCode]],_xlfn.XLOOKUP(CONT_TEA[[#This Row],[StaffMemberCode]],MEMBERS[StaffMemberCode],MEMBERS[SchoolCodes]))&gt;0,0,1),1)</f>
        <v>0</v>
      </c>
      <c r="D164" s="57" cm="1">
        <f t="array" ref="D164">IF(_xlfn.XLOOKUP(CONT_TEA[[#This Row],[StaffRoleCode]],ROLES[StaffRoleCode],ROLES[AvailableToAllSchools],1,0,)=TRUE,0,IF(ISERROR(FIND(CONT_TEA[[#This Row],[SchoolCode]],_xlfn.TEXTJOIN(",",TRUE,_xlfn.UNIQUE(IF(ROLES[StaffRoleCode]=CONT_TEA[[#This Row],[StaffRoleCode]],ROLES[SchoolCodes],""))))),1,0))</f>
        <v>0</v>
      </c>
      <c r="E164" s="57" cm="1">
        <f t="array" ref="E16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64" s="57" cm="1">
        <f t="array" ref="F164">IF(_xlfn.XLOOKUP(CONT_TEA[[#This Row],[PayScaleCode]],PAYSCALES[PayScaleCode],PAYSCALES[AvailableToAllSchools],1,0,)=TRUE,0,IF(ISERROR(FIND(CONT_TEA[[#This Row],[SchoolCode]],_xlfn.TEXTJOIN(",",TRUE,_xlfn.UNIQUE(IF(PAYSCALES[PayScaleCode]=CONT_TEA[[#This Row],[PayScaleCode]],PAYSCALES[SchoolCodes],""))))),1,0))</f>
        <v>0</v>
      </c>
      <c r="G164" s="57">
        <f>IF(_xlfn.XLOOKUP(CONT_TEA[[#This Row],[PayScaleGradeCode]],GRADES[PayScaleGradeCode],GRADES[AvailableToAllSchools])=TRUE,0,IFERROR(IF(FIND(CONT_TEA[[#This Row],[SchoolCode]],_xlfn.XLOOKUP(CONT_TEA[[#This Row],[PayScaleGradeCode]],GRADES[PayScaleGradeCode],GRADES[SchoolCodes]))&gt;=1,0,1),1))</f>
        <v>0</v>
      </c>
      <c r="H164" s="57">
        <f>IF(ISERROR(IF((_xlfn.XLOOKUP(CONT_TEA[[#This Row],[PayScaleGradeCode]],GRADES[PayScaleGradeCode],GRADES[PayScaleCode])=CONT_TEA[[#This Row],[PayScaleCode]]),0,1)),1,0)</f>
        <v>0</v>
      </c>
      <c r="I164" s="57" cm="1">
        <f t="array" ref="I164">IF(ISERROR(FIND(CONT_TEA[[#This Row],[PayScalePointCode]],_xlfn.TEXTJOIN(",",TRUE,IF(PSPOINTS[PayScaleCode]=CONT_TEA[[#This Row],[PayScaleCode]],PSPOINTS[PayScalePointCode])))),1,0)</f>
        <v>0</v>
      </c>
      <c r="J164" s="57" cm="1">
        <f t="array" ref="J16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64" s="57">
        <f>IF(_xlfn.XLOOKUP(CONT_TEA[[#This Row],[PayScalePointCode]],PSPOINTS[PayScalePointCode],PSPOINTS[PayScalePointEnabled])=TRUE,0,1)</f>
        <v>0</v>
      </c>
      <c r="L164" s="57" cm="1">
        <f t="array" ref="L164">IF(_xlfn.XLOOKUP(CONT_TEA[[#This Row],[DepartmentCode]],DEPTS[DepartmentCode],DEPTS[AvailableToAllSchools],1,0,)=TRUE,0,IF(ISERROR(FIND(CONT_TEA[[#This Row],[SchoolCode]],_xlfn.TEXTJOIN(",",TRUE,_xlfn.UNIQUE(IF(DEPTS[DepartmentCode]=CONT_TEA[[#This Row],[DepartmentCode]],DEPTS[SchoolCodes],""))))),1,0))</f>
        <v>0</v>
      </c>
      <c r="M164" s="57">
        <f>IFERROR(IF(_xlfn.XLOOKUP(CONT_TEA[[#This Row],[SRG Gross]],FinanceCodesBudget[FinanceCode],FinanceCodesBudget[LedgerCode])=_xlfn.XLOOKUP(CONT_TEA[[#This Row],[DepartmentCode]],DEPTS[DepartmentCode],DEPTS[LedgerCode]),0,1),1)</f>
        <v>1</v>
      </c>
      <c r="N164" s="57" cm="1">
        <f t="array" ref="N164">IF(_xlfn.XLOOKUP(CONT_TEA[[#This Row],[PensionCode]],PENS[PensionCode],PENS[AvailableToAllSchools],1,0,)=TRUE,0,IF(ISERROR(FIND(CONT_TEA[[#This Row],[SchoolCode]],_xlfn.TEXTJOIN(",",TRUE,_xlfn.UNIQUE(IF(PENS[PensionCode]=CONT_TEA[[#This Row],[PensionCode]],PENS[SchoolCodes],""))))),1,0))</f>
        <v>0</v>
      </c>
      <c r="O164" s="57" cm="1">
        <f t="array" ref="O164">IF(_xlfn.XLOOKUP(CONT_TEA[[#This Row],[EquatedWeekPatternCode]],EQW[EquatedWeekPatternCode],EQW[AvailableToAllSchools],1,0,)=TRUE,0,IF(ISERROR(FIND(CONT_TEA[[#This Row],[SchoolCode]],_xlfn.TEXTJOIN(",",TRUE,_xlfn.UNIQUE(IF(EQW[EquatedWeekPatternCode]=CONT_TEA[[#This Row],[EquatedWeekPatternCode]],EQW[SchoolCodes],""))))),1,0))</f>
        <v>0</v>
      </c>
      <c r="P164" s="57">
        <f>1-COUNTIF(ContractTypes[Code],CONT_TEA[[#This Row],[ContractTypeCode]])</f>
        <v>0</v>
      </c>
      <c r="Q164" s="57">
        <f>IF(VLOOKUP(CONT_TEA[[#This Row],[StaffMemberCode]],MEMBERS[[StaffMemberCode]:[ServiceStartDate]],5,0)&gt;CONT_TEA[[#This Row],[DateFrom]],1,0)</f>
        <v>0</v>
      </c>
      <c r="R164" s="57">
        <f>IF(_xlfn.XLOOKUP(CONT_TEA[[#This Row],[StaffMemberCode]],MEMBERS[StaffMemberCode],MEMBERS[ServiceEndDate])="",0,IF(CONT_TEA[[#This Row],[DateTo]]="",1,IF(_xlfn.XLOOKUP(CONT_TEA[[#This Row],[StaffMemberCode]],MEMBERS[StaffMemberCode],MEMBERS[ServiceEndDate])&lt;CONT_TEA[[#This Row],[DateTo]],1,0)))</f>
        <v>0</v>
      </c>
      <c r="S164" s="57">
        <f>IF(ISBLANK(CONT_TEA[[#This Row],[DateTo]]),0,IF(CONT_TEA[[#This Row],[DateFrom]]=CONT_TEA[[#This Row],[DateTo]],0,IF(CONT_TEA[[#This Row],[DateFrom]]&lt;CONT_TEA[[#This Row],[DateTo]],0,1)))</f>
        <v>0</v>
      </c>
      <c r="T164" s="57" cm="1">
        <f t="array" aca="1" ref="T164" ca="1">IF(CELL("format",CONT_TEA[[#This Row],[DateFrom]])="D1",0,1)+IF(CELL("format",CONT_TEA[[#This Row],[DateTo]])="D1",0,1)</f>
        <v>0</v>
      </c>
      <c r="U164" s="57">
        <f>IF(OR(CONT_TEA[[#This Row],[MatEditOnly]]=TRUE,CONT_TEA[[#This Row],[MatEditOnly]]=FALSE),IF(OR(CONT_TEA[[#This Row],[NoIncrement]]=TRUE,CONT_TEA[[#This Row],[NoIncrement]]=FALSE),0,1),1)</f>
        <v>0</v>
      </c>
      <c r="V164" s="57">
        <f>IF(ISBLANK(CONT_TEA[[#This Row],[FundCode]])=TRUE,0,IF(COUNTIF(FUNDS[FundCode],CONT_TEA[[#This Row],[FundCode]])=1,0,1))</f>
        <v>0</v>
      </c>
      <c r="W164" s="57">
        <f>IF(LEN(CONT_TEA[[#This Row],[Notes]])&lt;4000,0,1)</f>
        <v>0</v>
      </c>
      <c r="X164" s="57">
        <f>IF(SUBSTITUTE(TEXT(CONT_TEA[[#This Row],[Reference]],10)," ","")=TEXT(CONT_TEA[[#This Row],[Reference]],10),0,1)</f>
        <v>0</v>
      </c>
      <c r="Y164" s="57">
        <f ca="1">SUM(CONT_TEA[[#This Row],[Duplicate Contract]:[Space in Code]])</f>
        <v>1</v>
      </c>
      <c r="AA164" s="12" t="s">
        <v>2266</v>
      </c>
      <c r="AB164" s="15">
        <v>91850039</v>
      </c>
      <c r="AC164" s="12" t="s">
        <v>4512</v>
      </c>
      <c r="AD164" s="57" t="str">
        <f>_xlfn.XLOOKUP(CONT_TEA[[#This Row],[StaffMemberCode]],StaffMembers!O:O,StaffMembers!R:R)</f>
        <v>Hayley Burke</v>
      </c>
      <c r="AE164" s="12" t="s">
        <v>1178</v>
      </c>
      <c r="AF164" s="57">
        <f>_xlfn.XLOOKUP(CONT_TEA[[#This Row],[SRG]],SRG[StaffRoleGroupCode],SRG[GrossSalaryFinanceCode])</f>
        <v>612100</v>
      </c>
      <c r="AG164" s="57" t="str">
        <f>_xlfn.XLOOKUP(CONT_TEA[[#This Row],[StaffRoleCode]],ROLES[StaffRoleCode],ROLES[StaffRoleGroupCode])</f>
        <v>TEA</v>
      </c>
      <c r="AH164" s="57" t="str">
        <f>_xlfn.XLOOKUP(CONT_TEA[[#This Row],[StaffRoleCode]],ROLES[StaffRoleCode],ROLES[PayScaleCode])</f>
        <v>MAIN</v>
      </c>
      <c r="AI164" s="12" t="s">
        <v>1126</v>
      </c>
      <c r="AJ164" s="12" t="s">
        <v>1066</v>
      </c>
      <c r="AK164" s="12" t="s">
        <v>2499</v>
      </c>
      <c r="AM164" s="68" t="s">
        <v>1147</v>
      </c>
      <c r="AN164" s="13" t="s">
        <v>1702</v>
      </c>
      <c r="AO164" s="21">
        <v>45901</v>
      </c>
      <c r="AQ164" s="12">
        <v>1</v>
      </c>
      <c r="AR164" t="b">
        <v>0</v>
      </c>
      <c r="AS164" t="b">
        <v>0</v>
      </c>
      <c r="AT164" s="12" t="s">
        <v>1575</v>
      </c>
    </row>
    <row r="165" spans="1:47" x14ac:dyDescent="0.3">
      <c r="A165" s="57" t="str">
        <f t="shared" si="3"/>
        <v>BLS9132370591323705ATEASTCH45901</v>
      </c>
      <c r="B165" s="57">
        <f>COUNTIF(CONT_TEA[Unique Contract],CONT_TEA[[#This Row],[Unique Contract]])-1</f>
        <v>0</v>
      </c>
      <c r="C165" s="57">
        <f>IFERROR(IF(FIND(CONT_TEA[[#This Row],[SchoolCode]],_xlfn.XLOOKUP(CONT_TEA[[#This Row],[StaffMemberCode]],MEMBERS[StaffMemberCode],MEMBERS[SchoolCodes]))&gt;0,0,1),1)</f>
        <v>0</v>
      </c>
      <c r="D165" s="57" cm="1">
        <f t="array" ref="D165">IF(_xlfn.XLOOKUP(CONT_TEA[[#This Row],[StaffRoleCode]],ROLES[StaffRoleCode],ROLES[AvailableToAllSchools],1,0,)=TRUE,0,IF(ISERROR(FIND(CONT_TEA[[#This Row],[SchoolCode]],_xlfn.TEXTJOIN(",",TRUE,_xlfn.UNIQUE(IF(ROLES[StaffRoleCode]=CONT_TEA[[#This Row],[StaffRoleCode]],ROLES[SchoolCodes],""))))),1,0))</f>
        <v>0</v>
      </c>
      <c r="E165" s="57" cm="1">
        <f t="array" ref="E16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65" s="57" cm="1">
        <f t="array" ref="F165">IF(_xlfn.XLOOKUP(CONT_TEA[[#This Row],[PayScaleCode]],PAYSCALES[PayScaleCode],PAYSCALES[AvailableToAllSchools],1,0,)=TRUE,0,IF(ISERROR(FIND(CONT_TEA[[#This Row],[SchoolCode]],_xlfn.TEXTJOIN(",",TRUE,_xlfn.UNIQUE(IF(PAYSCALES[PayScaleCode]=CONT_TEA[[#This Row],[PayScaleCode]],PAYSCALES[SchoolCodes],""))))),1,0))</f>
        <v>0</v>
      </c>
      <c r="G165" s="57">
        <f>IF(_xlfn.XLOOKUP(CONT_TEA[[#This Row],[PayScaleGradeCode]],GRADES[PayScaleGradeCode],GRADES[AvailableToAllSchools])=TRUE,0,IFERROR(IF(FIND(CONT_TEA[[#This Row],[SchoolCode]],_xlfn.XLOOKUP(CONT_TEA[[#This Row],[PayScaleGradeCode]],GRADES[PayScaleGradeCode],GRADES[SchoolCodes]))&gt;=1,0,1),1))</f>
        <v>0</v>
      </c>
      <c r="H165" s="57">
        <f>IF(ISERROR(IF((_xlfn.XLOOKUP(CONT_TEA[[#This Row],[PayScaleGradeCode]],GRADES[PayScaleGradeCode],GRADES[PayScaleCode])=CONT_TEA[[#This Row],[PayScaleCode]]),0,1)),1,0)</f>
        <v>0</v>
      </c>
      <c r="I165" s="57" cm="1">
        <f t="array" ref="I165">IF(ISERROR(FIND(CONT_TEA[[#This Row],[PayScalePointCode]],_xlfn.TEXTJOIN(",",TRUE,IF(PSPOINTS[PayScaleCode]=CONT_TEA[[#This Row],[PayScaleCode]],PSPOINTS[PayScalePointCode])))),1,0)</f>
        <v>0</v>
      </c>
      <c r="J165" s="57" cm="1">
        <f t="array" ref="J16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65" s="57">
        <f>IF(_xlfn.XLOOKUP(CONT_TEA[[#This Row],[PayScalePointCode]],PSPOINTS[PayScalePointCode],PSPOINTS[PayScalePointEnabled])=TRUE,0,1)</f>
        <v>0</v>
      </c>
      <c r="L165" s="57" cm="1">
        <f t="array" ref="L165">IF(_xlfn.XLOOKUP(CONT_TEA[[#This Row],[DepartmentCode]],DEPTS[DepartmentCode],DEPTS[AvailableToAllSchools],1,0,)=TRUE,0,IF(ISERROR(FIND(CONT_TEA[[#This Row],[SchoolCode]],_xlfn.TEXTJOIN(",",TRUE,_xlfn.UNIQUE(IF(DEPTS[DepartmentCode]=CONT_TEA[[#This Row],[DepartmentCode]],DEPTS[SchoolCodes],""))))),1,0))</f>
        <v>0</v>
      </c>
      <c r="M165" s="57">
        <f>IFERROR(IF(_xlfn.XLOOKUP(CONT_TEA[[#This Row],[SRG Gross]],FinanceCodesBudget[FinanceCode],FinanceCodesBudget[LedgerCode])=_xlfn.XLOOKUP(CONT_TEA[[#This Row],[DepartmentCode]],DEPTS[DepartmentCode],DEPTS[LedgerCode]),0,1),1)</f>
        <v>1</v>
      </c>
      <c r="N165" s="57" cm="1">
        <f t="array" ref="N165">IF(_xlfn.XLOOKUP(CONT_TEA[[#This Row],[PensionCode]],PENS[PensionCode],PENS[AvailableToAllSchools],1,0,)=TRUE,0,IF(ISERROR(FIND(CONT_TEA[[#This Row],[SchoolCode]],_xlfn.TEXTJOIN(",",TRUE,_xlfn.UNIQUE(IF(PENS[PensionCode]=CONT_TEA[[#This Row],[PensionCode]],PENS[SchoolCodes],""))))),1,0))</f>
        <v>0</v>
      </c>
      <c r="O165" s="57" cm="1">
        <f t="array" ref="O165">IF(_xlfn.XLOOKUP(CONT_TEA[[#This Row],[EquatedWeekPatternCode]],EQW[EquatedWeekPatternCode],EQW[AvailableToAllSchools],1,0,)=TRUE,0,IF(ISERROR(FIND(CONT_TEA[[#This Row],[SchoolCode]],_xlfn.TEXTJOIN(",",TRUE,_xlfn.UNIQUE(IF(EQW[EquatedWeekPatternCode]=CONT_TEA[[#This Row],[EquatedWeekPatternCode]],EQW[SchoolCodes],""))))),1,0))</f>
        <v>0</v>
      </c>
      <c r="P165" s="57">
        <f>1-COUNTIF(ContractTypes[Code],CONT_TEA[[#This Row],[ContractTypeCode]])</f>
        <v>0</v>
      </c>
      <c r="Q165" s="57">
        <f>IF(VLOOKUP(CONT_TEA[[#This Row],[StaffMemberCode]],MEMBERS[[StaffMemberCode]:[ServiceStartDate]],5,0)&gt;CONT_TEA[[#This Row],[DateFrom]],1,0)</f>
        <v>0</v>
      </c>
      <c r="R165" s="57">
        <f>IF(_xlfn.XLOOKUP(CONT_TEA[[#This Row],[StaffMemberCode]],MEMBERS[StaffMemberCode],MEMBERS[ServiceEndDate])="",0,IF(CONT_TEA[[#This Row],[DateTo]]="",1,IF(_xlfn.XLOOKUP(CONT_TEA[[#This Row],[StaffMemberCode]],MEMBERS[StaffMemberCode],MEMBERS[ServiceEndDate])&lt;CONT_TEA[[#This Row],[DateTo]],1,0)))</f>
        <v>0</v>
      </c>
      <c r="S165" s="57">
        <f>IF(ISBLANK(CONT_TEA[[#This Row],[DateTo]]),0,IF(CONT_TEA[[#This Row],[DateFrom]]=CONT_TEA[[#This Row],[DateTo]],0,IF(CONT_TEA[[#This Row],[DateFrom]]&lt;CONT_TEA[[#This Row],[DateTo]],0,1)))</f>
        <v>0</v>
      </c>
      <c r="T165" s="57" cm="1">
        <f t="array" aca="1" ref="T165" ca="1">IF(CELL("format",CONT_TEA[[#This Row],[DateFrom]])="D1",0,1)+IF(CELL("format",CONT_TEA[[#This Row],[DateTo]])="D1",0,1)</f>
        <v>0</v>
      </c>
      <c r="U165" s="57">
        <f>IF(OR(CONT_TEA[[#This Row],[MatEditOnly]]=TRUE,CONT_TEA[[#This Row],[MatEditOnly]]=FALSE),IF(OR(CONT_TEA[[#This Row],[NoIncrement]]=TRUE,CONT_TEA[[#This Row],[NoIncrement]]=FALSE),0,1),1)</f>
        <v>0</v>
      </c>
      <c r="V165" s="57">
        <f>IF(ISBLANK(CONT_TEA[[#This Row],[FundCode]])=TRUE,0,IF(COUNTIF(FUNDS[FundCode],CONT_TEA[[#This Row],[FundCode]])=1,0,1))</f>
        <v>0</v>
      </c>
      <c r="W165" s="57">
        <f>IF(LEN(CONT_TEA[[#This Row],[Notes]])&lt;4000,0,1)</f>
        <v>0</v>
      </c>
      <c r="X165" s="57">
        <f>IF(SUBSTITUTE(TEXT(CONT_TEA[[#This Row],[Reference]],10)," ","")=TEXT(CONT_TEA[[#This Row],[Reference]],10),0,1)</f>
        <v>0</v>
      </c>
      <c r="Y165" s="57">
        <f ca="1">SUM(CONT_TEA[[#This Row],[Duplicate Contract]:[Space in Code]])</f>
        <v>1</v>
      </c>
      <c r="AA165" s="12" t="s">
        <v>2094</v>
      </c>
      <c r="AB165" s="15">
        <v>91323705</v>
      </c>
      <c r="AC165" s="12" t="s">
        <v>4513</v>
      </c>
      <c r="AD165" s="57" t="str">
        <f>_xlfn.XLOOKUP(CONT_TEA[[#This Row],[StaffMemberCode]],StaffMembers!O:O,StaffMembers!R:R)</f>
        <v>Heather Rowe</v>
      </c>
      <c r="AE165" s="12" t="s">
        <v>1178</v>
      </c>
      <c r="AF165" s="57">
        <f>_xlfn.XLOOKUP(CONT_TEA[[#This Row],[SRG]],SRG[StaffRoleGroupCode],SRG[GrossSalaryFinanceCode])</f>
        <v>612100</v>
      </c>
      <c r="AG165" s="57" t="str">
        <f>_xlfn.XLOOKUP(CONT_TEA[[#This Row],[StaffRoleCode]],ROLES[StaffRoleCode],ROLES[StaffRoleGroupCode])</f>
        <v>TEA</v>
      </c>
      <c r="AH165" s="57" t="str">
        <f>_xlfn.XLOOKUP(CONT_TEA[[#This Row],[StaffRoleCode]],ROLES[StaffRoleCode],ROLES[PayScaleCode])</f>
        <v>MAIN</v>
      </c>
      <c r="AI165" s="12" t="s">
        <v>1126</v>
      </c>
      <c r="AJ165" s="12" t="s">
        <v>1064</v>
      </c>
      <c r="AK165" s="12" t="s">
        <v>2499</v>
      </c>
      <c r="AM165" s="68" t="s">
        <v>1147</v>
      </c>
      <c r="AN165" s="13" t="s">
        <v>1702</v>
      </c>
      <c r="AO165" s="21">
        <v>45901</v>
      </c>
      <c r="AQ165" s="12">
        <v>1</v>
      </c>
      <c r="AR165" t="b">
        <v>0</v>
      </c>
      <c r="AS165" t="b">
        <v>0</v>
      </c>
      <c r="AT165" s="12" t="s">
        <v>1574</v>
      </c>
    </row>
    <row r="166" spans="1:47" x14ac:dyDescent="0.3">
      <c r="A166" s="57" t="str">
        <f t="shared" si="3"/>
        <v>BLS9185002291850022ATEASTCH45901</v>
      </c>
      <c r="B166" s="57">
        <f>COUNTIF(CONT_TEA[Unique Contract],CONT_TEA[[#This Row],[Unique Contract]])-1</f>
        <v>0</v>
      </c>
      <c r="C166" s="57">
        <f>IFERROR(IF(FIND(CONT_TEA[[#This Row],[SchoolCode]],_xlfn.XLOOKUP(CONT_TEA[[#This Row],[StaffMemberCode]],MEMBERS[StaffMemberCode],MEMBERS[SchoolCodes]))&gt;0,0,1),1)</f>
        <v>0</v>
      </c>
      <c r="D166" s="57" cm="1">
        <f t="array" ref="D166">IF(_xlfn.XLOOKUP(CONT_TEA[[#This Row],[StaffRoleCode]],ROLES[StaffRoleCode],ROLES[AvailableToAllSchools],1,0,)=TRUE,0,IF(ISERROR(FIND(CONT_TEA[[#This Row],[SchoolCode]],_xlfn.TEXTJOIN(",",TRUE,_xlfn.UNIQUE(IF(ROLES[StaffRoleCode]=CONT_TEA[[#This Row],[StaffRoleCode]],ROLES[SchoolCodes],""))))),1,0))</f>
        <v>0</v>
      </c>
      <c r="E166" s="57" cm="1">
        <f t="array" ref="E16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66" s="57" cm="1">
        <f t="array" ref="F166">IF(_xlfn.XLOOKUP(CONT_TEA[[#This Row],[PayScaleCode]],PAYSCALES[PayScaleCode],PAYSCALES[AvailableToAllSchools],1,0,)=TRUE,0,IF(ISERROR(FIND(CONT_TEA[[#This Row],[SchoolCode]],_xlfn.TEXTJOIN(",",TRUE,_xlfn.UNIQUE(IF(PAYSCALES[PayScaleCode]=CONT_TEA[[#This Row],[PayScaleCode]],PAYSCALES[SchoolCodes],""))))),1,0))</f>
        <v>0</v>
      </c>
      <c r="G166" s="57">
        <f>IF(_xlfn.XLOOKUP(CONT_TEA[[#This Row],[PayScaleGradeCode]],GRADES[PayScaleGradeCode],GRADES[AvailableToAllSchools])=TRUE,0,IFERROR(IF(FIND(CONT_TEA[[#This Row],[SchoolCode]],_xlfn.XLOOKUP(CONT_TEA[[#This Row],[PayScaleGradeCode]],GRADES[PayScaleGradeCode],GRADES[SchoolCodes]))&gt;=1,0,1),1))</f>
        <v>0</v>
      </c>
      <c r="H166" s="57">
        <f>IF(ISERROR(IF((_xlfn.XLOOKUP(CONT_TEA[[#This Row],[PayScaleGradeCode]],GRADES[PayScaleGradeCode],GRADES[PayScaleCode])=CONT_TEA[[#This Row],[PayScaleCode]]),0,1)),1,0)</f>
        <v>0</v>
      </c>
      <c r="I166" s="57" cm="1">
        <f t="array" ref="I166">IF(ISERROR(FIND(CONT_TEA[[#This Row],[PayScalePointCode]],_xlfn.TEXTJOIN(",",TRUE,IF(PSPOINTS[PayScaleCode]=CONT_TEA[[#This Row],[PayScaleCode]],PSPOINTS[PayScalePointCode])))),1,0)</f>
        <v>0</v>
      </c>
      <c r="J166" s="57" cm="1">
        <f t="array" ref="J16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66" s="57">
        <f>IF(_xlfn.XLOOKUP(CONT_TEA[[#This Row],[PayScalePointCode]],PSPOINTS[PayScalePointCode],PSPOINTS[PayScalePointEnabled])=TRUE,0,1)</f>
        <v>0</v>
      </c>
      <c r="L166" s="57" cm="1">
        <f t="array" ref="L166">IF(_xlfn.XLOOKUP(CONT_TEA[[#This Row],[DepartmentCode]],DEPTS[DepartmentCode],DEPTS[AvailableToAllSchools],1,0,)=TRUE,0,IF(ISERROR(FIND(CONT_TEA[[#This Row],[SchoolCode]],_xlfn.TEXTJOIN(",",TRUE,_xlfn.UNIQUE(IF(DEPTS[DepartmentCode]=CONT_TEA[[#This Row],[DepartmentCode]],DEPTS[SchoolCodes],""))))),1,0))</f>
        <v>0</v>
      </c>
      <c r="M166" s="57">
        <f>IFERROR(IF(_xlfn.XLOOKUP(CONT_TEA[[#This Row],[SRG Gross]],FinanceCodesBudget[FinanceCode],FinanceCodesBudget[LedgerCode])=_xlfn.XLOOKUP(CONT_TEA[[#This Row],[DepartmentCode]],DEPTS[DepartmentCode],DEPTS[LedgerCode]),0,1),1)</f>
        <v>1</v>
      </c>
      <c r="N166" s="57" cm="1">
        <f t="array" ref="N166">IF(_xlfn.XLOOKUP(CONT_TEA[[#This Row],[PensionCode]],PENS[PensionCode],PENS[AvailableToAllSchools],1,0,)=TRUE,0,IF(ISERROR(FIND(CONT_TEA[[#This Row],[SchoolCode]],_xlfn.TEXTJOIN(",",TRUE,_xlfn.UNIQUE(IF(PENS[PensionCode]=CONT_TEA[[#This Row],[PensionCode]],PENS[SchoolCodes],""))))),1,0))</f>
        <v>0</v>
      </c>
      <c r="O166" s="57" cm="1">
        <f t="array" ref="O166">IF(_xlfn.XLOOKUP(CONT_TEA[[#This Row],[EquatedWeekPatternCode]],EQW[EquatedWeekPatternCode],EQW[AvailableToAllSchools],1,0,)=TRUE,0,IF(ISERROR(FIND(CONT_TEA[[#This Row],[SchoolCode]],_xlfn.TEXTJOIN(",",TRUE,_xlfn.UNIQUE(IF(EQW[EquatedWeekPatternCode]=CONT_TEA[[#This Row],[EquatedWeekPatternCode]],EQW[SchoolCodes],""))))),1,0))</f>
        <v>0</v>
      </c>
      <c r="P166" s="57">
        <f>1-COUNTIF(ContractTypes[Code],CONT_TEA[[#This Row],[ContractTypeCode]])</f>
        <v>0</v>
      </c>
      <c r="Q166" s="57">
        <f>IF(VLOOKUP(CONT_TEA[[#This Row],[StaffMemberCode]],MEMBERS[[StaffMemberCode]:[ServiceStartDate]],5,0)&gt;CONT_TEA[[#This Row],[DateFrom]],1,0)</f>
        <v>0</v>
      </c>
      <c r="R166" s="57">
        <f>IF(_xlfn.XLOOKUP(CONT_TEA[[#This Row],[StaffMemberCode]],MEMBERS[StaffMemberCode],MEMBERS[ServiceEndDate])="",0,IF(CONT_TEA[[#This Row],[DateTo]]="",1,IF(_xlfn.XLOOKUP(CONT_TEA[[#This Row],[StaffMemberCode]],MEMBERS[StaffMemberCode],MEMBERS[ServiceEndDate])&lt;CONT_TEA[[#This Row],[DateTo]],1,0)))</f>
        <v>0</v>
      </c>
      <c r="S166" s="57">
        <f>IF(ISBLANK(CONT_TEA[[#This Row],[DateTo]]),0,IF(CONT_TEA[[#This Row],[DateFrom]]=CONT_TEA[[#This Row],[DateTo]],0,IF(CONT_TEA[[#This Row],[DateFrom]]&lt;CONT_TEA[[#This Row],[DateTo]],0,1)))</f>
        <v>0</v>
      </c>
      <c r="T166" s="57" cm="1">
        <f t="array" aca="1" ref="T166" ca="1">IF(CELL("format",CONT_TEA[[#This Row],[DateFrom]])="D1",0,1)+IF(CELL("format",CONT_TEA[[#This Row],[DateTo]])="D1",0,1)</f>
        <v>0</v>
      </c>
      <c r="U166" s="57">
        <f>IF(OR(CONT_TEA[[#This Row],[MatEditOnly]]=TRUE,CONT_TEA[[#This Row],[MatEditOnly]]=FALSE),IF(OR(CONT_TEA[[#This Row],[NoIncrement]]=TRUE,CONT_TEA[[#This Row],[NoIncrement]]=FALSE),0,1),1)</f>
        <v>0</v>
      </c>
      <c r="V166" s="57">
        <f>IF(ISBLANK(CONT_TEA[[#This Row],[FundCode]])=TRUE,0,IF(COUNTIF(FUNDS[FundCode],CONT_TEA[[#This Row],[FundCode]])=1,0,1))</f>
        <v>0</v>
      </c>
      <c r="W166" s="57">
        <f>IF(LEN(CONT_TEA[[#This Row],[Notes]])&lt;4000,0,1)</f>
        <v>0</v>
      </c>
      <c r="X166" s="57">
        <f>IF(SUBSTITUTE(TEXT(CONT_TEA[[#This Row],[Reference]],10)," ","")=TEXT(CONT_TEA[[#This Row],[Reference]],10),0,1)</f>
        <v>0</v>
      </c>
      <c r="Y166" s="57">
        <f ca="1">SUM(CONT_TEA[[#This Row],[Duplicate Contract]:[Space in Code]])</f>
        <v>1</v>
      </c>
      <c r="AA166" s="12" t="s">
        <v>2094</v>
      </c>
      <c r="AB166" s="15">
        <v>91850022</v>
      </c>
      <c r="AC166" s="12" t="s">
        <v>4514</v>
      </c>
      <c r="AD166" s="57" t="str">
        <f>_xlfn.XLOOKUP(CONT_TEA[[#This Row],[StaffMemberCode]],StaffMembers!O:O,StaffMembers!R:R)</f>
        <v>Holly Clark</v>
      </c>
      <c r="AE166" s="12" t="s">
        <v>1178</v>
      </c>
      <c r="AF166" s="57">
        <f>_xlfn.XLOOKUP(CONT_TEA[[#This Row],[SRG]],SRG[StaffRoleGroupCode],SRG[GrossSalaryFinanceCode])</f>
        <v>612100</v>
      </c>
      <c r="AG166" s="57" t="str">
        <f>_xlfn.XLOOKUP(CONT_TEA[[#This Row],[StaffRoleCode]],ROLES[StaffRoleCode],ROLES[StaffRoleGroupCode])</f>
        <v>TEA</v>
      </c>
      <c r="AH166" s="57" t="str">
        <f>_xlfn.XLOOKUP(CONT_TEA[[#This Row],[StaffRoleCode]],ROLES[StaffRoleCode],ROLES[PayScaleCode])</f>
        <v>MAIN</v>
      </c>
      <c r="AI166" s="12" t="s">
        <v>1126</v>
      </c>
      <c r="AJ166" s="12" t="s">
        <v>1064</v>
      </c>
      <c r="AK166" s="12" t="s">
        <v>2499</v>
      </c>
      <c r="AM166" s="68" t="s">
        <v>1147</v>
      </c>
      <c r="AN166" s="13" t="s">
        <v>1702</v>
      </c>
      <c r="AO166" s="21">
        <v>45901</v>
      </c>
      <c r="AQ166" s="12">
        <v>1</v>
      </c>
      <c r="AR166" t="b">
        <v>0</v>
      </c>
      <c r="AS166" t="b">
        <v>0</v>
      </c>
      <c r="AT166" s="12" t="s">
        <v>1574</v>
      </c>
      <c r="AU166" s="12" t="s">
        <v>4345</v>
      </c>
    </row>
    <row r="167" spans="1:47" x14ac:dyDescent="0.3">
      <c r="A167" s="57" t="str">
        <f t="shared" si="3"/>
        <v>ALS9107369891073698ATEASTCH45901</v>
      </c>
      <c r="B167" s="57">
        <f>COUNTIF(CONT_TEA[Unique Contract],CONT_TEA[[#This Row],[Unique Contract]])-1</f>
        <v>0</v>
      </c>
      <c r="C167" s="57">
        <f>IFERROR(IF(FIND(CONT_TEA[[#This Row],[SchoolCode]],_xlfn.XLOOKUP(CONT_TEA[[#This Row],[StaffMemberCode]],MEMBERS[StaffMemberCode],MEMBERS[SchoolCodes]))&gt;0,0,1),1)</f>
        <v>0</v>
      </c>
      <c r="D167" s="57" cm="1">
        <f t="array" ref="D167">IF(_xlfn.XLOOKUP(CONT_TEA[[#This Row],[StaffRoleCode]],ROLES[StaffRoleCode],ROLES[AvailableToAllSchools],1,0,)=TRUE,0,IF(ISERROR(FIND(CONT_TEA[[#This Row],[SchoolCode]],_xlfn.TEXTJOIN(",",TRUE,_xlfn.UNIQUE(IF(ROLES[StaffRoleCode]=CONT_TEA[[#This Row],[StaffRoleCode]],ROLES[SchoolCodes],""))))),1,0))</f>
        <v>0</v>
      </c>
      <c r="E167" s="57" cm="1">
        <f t="array" ref="E16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67" s="57" cm="1">
        <f t="array" ref="F167">IF(_xlfn.XLOOKUP(CONT_TEA[[#This Row],[PayScaleCode]],PAYSCALES[PayScaleCode],PAYSCALES[AvailableToAllSchools],1,0,)=TRUE,0,IF(ISERROR(FIND(CONT_TEA[[#This Row],[SchoolCode]],_xlfn.TEXTJOIN(",",TRUE,_xlfn.UNIQUE(IF(PAYSCALES[PayScaleCode]=CONT_TEA[[#This Row],[PayScaleCode]],PAYSCALES[SchoolCodes],""))))),1,0))</f>
        <v>0</v>
      </c>
      <c r="G167" s="57">
        <f>IF(_xlfn.XLOOKUP(CONT_TEA[[#This Row],[PayScaleGradeCode]],GRADES[PayScaleGradeCode],GRADES[AvailableToAllSchools])=TRUE,0,IFERROR(IF(FIND(CONT_TEA[[#This Row],[SchoolCode]],_xlfn.XLOOKUP(CONT_TEA[[#This Row],[PayScaleGradeCode]],GRADES[PayScaleGradeCode],GRADES[SchoolCodes]))&gt;=1,0,1),1))</f>
        <v>0</v>
      </c>
      <c r="H167" s="57">
        <f>IF(ISERROR(IF((_xlfn.XLOOKUP(CONT_TEA[[#This Row],[PayScaleGradeCode]],GRADES[PayScaleGradeCode],GRADES[PayScaleCode])=CONT_TEA[[#This Row],[PayScaleCode]]),0,1)),1,0)</f>
        <v>0</v>
      </c>
      <c r="I167" s="57" cm="1">
        <f t="array" ref="I167">IF(ISERROR(FIND(CONT_TEA[[#This Row],[PayScalePointCode]],_xlfn.TEXTJOIN(",",TRUE,IF(PSPOINTS[PayScaleCode]=CONT_TEA[[#This Row],[PayScaleCode]],PSPOINTS[PayScalePointCode])))),1,0)</f>
        <v>0</v>
      </c>
      <c r="J167" s="57" cm="1">
        <f t="array" ref="J16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67" s="57">
        <f>IF(_xlfn.XLOOKUP(CONT_TEA[[#This Row],[PayScalePointCode]],PSPOINTS[PayScalePointCode],PSPOINTS[PayScalePointEnabled])=TRUE,0,1)</f>
        <v>0</v>
      </c>
      <c r="L167" s="57" cm="1">
        <f t="array" ref="L167">IF(_xlfn.XLOOKUP(CONT_TEA[[#This Row],[DepartmentCode]],DEPTS[DepartmentCode],DEPTS[AvailableToAllSchools],1,0,)=TRUE,0,IF(ISERROR(FIND(CONT_TEA[[#This Row],[SchoolCode]],_xlfn.TEXTJOIN(",",TRUE,_xlfn.UNIQUE(IF(DEPTS[DepartmentCode]=CONT_TEA[[#This Row],[DepartmentCode]],DEPTS[SchoolCodes],""))))),1,0))</f>
        <v>0</v>
      </c>
      <c r="M167" s="57">
        <f>IFERROR(IF(_xlfn.XLOOKUP(CONT_TEA[[#This Row],[SRG Gross]],FinanceCodesBudget[FinanceCode],FinanceCodesBudget[LedgerCode])=_xlfn.XLOOKUP(CONT_TEA[[#This Row],[DepartmentCode]],DEPTS[DepartmentCode],DEPTS[LedgerCode]),0,1),1)</f>
        <v>1</v>
      </c>
      <c r="N167" s="57" cm="1">
        <f t="array" ref="N167">IF(_xlfn.XLOOKUP(CONT_TEA[[#This Row],[PensionCode]],PENS[PensionCode],PENS[AvailableToAllSchools],1,0,)=TRUE,0,IF(ISERROR(FIND(CONT_TEA[[#This Row],[SchoolCode]],_xlfn.TEXTJOIN(",",TRUE,_xlfn.UNIQUE(IF(PENS[PensionCode]=CONT_TEA[[#This Row],[PensionCode]],PENS[SchoolCodes],""))))),1,0))</f>
        <v>0</v>
      </c>
      <c r="O167" s="57" cm="1">
        <f t="array" ref="O167">IF(_xlfn.XLOOKUP(CONT_TEA[[#This Row],[EquatedWeekPatternCode]],EQW[EquatedWeekPatternCode],EQW[AvailableToAllSchools],1,0,)=TRUE,0,IF(ISERROR(FIND(CONT_TEA[[#This Row],[SchoolCode]],_xlfn.TEXTJOIN(",",TRUE,_xlfn.UNIQUE(IF(EQW[EquatedWeekPatternCode]=CONT_TEA[[#This Row],[EquatedWeekPatternCode]],EQW[SchoolCodes],""))))),1,0))</f>
        <v>0</v>
      </c>
      <c r="P167" s="57">
        <f>1-COUNTIF(ContractTypes[Code],CONT_TEA[[#This Row],[ContractTypeCode]])</f>
        <v>0</v>
      </c>
      <c r="Q167" s="57">
        <f>IF(VLOOKUP(CONT_TEA[[#This Row],[StaffMemberCode]],MEMBERS[[StaffMemberCode]:[ServiceStartDate]],5,0)&gt;CONT_TEA[[#This Row],[DateFrom]],1,0)</f>
        <v>0</v>
      </c>
      <c r="R167" s="57">
        <f>IF(_xlfn.XLOOKUP(CONT_TEA[[#This Row],[StaffMemberCode]],MEMBERS[StaffMemberCode],MEMBERS[ServiceEndDate])="",0,IF(CONT_TEA[[#This Row],[DateTo]]="",1,IF(_xlfn.XLOOKUP(CONT_TEA[[#This Row],[StaffMemberCode]],MEMBERS[StaffMemberCode],MEMBERS[ServiceEndDate])&lt;CONT_TEA[[#This Row],[DateTo]],1,0)))</f>
        <v>0</v>
      </c>
      <c r="S167" s="57">
        <f>IF(ISBLANK(CONT_TEA[[#This Row],[DateTo]]),0,IF(CONT_TEA[[#This Row],[DateFrom]]=CONT_TEA[[#This Row],[DateTo]],0,IF(CONT_TEA[[#This Row],[DateFrom]]&lt;CONT_TEA[[#This Row],[DateTo]],0,1)))</f>
        <v>0</v>
      </c>
      <c r="T167" s="57" cm="1">
        <f t="array" aca="1" ref="T167" ca="1">IF(CELL("format",CONT_TEA[[#This Row],[DateFrom]])="D1",0,1)+IF(CELL("format",CONT_TEA[[#This Row],[DateTo]])="D1",0,1)</f>
        <v>0</v>
      </c>
      <c r="U167" s="57">
        <f>IF(OR(CONT_TEA[[#This Row],[MatEditOnly]]=TRUE,CONT_TEA[[#This Row],[MatEditOnly]]=FALSE),IF(OR(CONT_TEA[[#This Row],[NoIncrement]]=TRUE,CONT_TEA[[#This Row],[NoIncrement]]=FALSE),0,1),1)</f>
        <v>0</v>
      </c>
      <c r="V167" s="57">
        <f>IF(ISBLANK(CONT_TEA[[#This Row],[FundCode]])=TRUE,0,IF(COUNTIF(FUNDS[FundCode],CONT_TEA[[#This Row],[FundCode]])=1,0,1))</f>
        <v>0</v>
      </c>
      <c r="W167" s="57">
        <f>IF(LEN(CONT_TEA[[#This Row],[Notes]])&lt;4000,0,1)</f>
        <v>0</v>
      </c>
      <c r="X167" s="57">
        <f>IF(SUBSTITUTE(TEXT(CONT_TEA[[#This Row],[Reference]],10)," ","")=TEXT(CONT_TEA[[#This Row],[Reference]],10),0,1)</f>
        <v>0</v>
      </c>
      <c r="Y167" s="57">
        <f ca="1">SUM(CONT_TEA[[#This Row],[Duplicate Contract]:[Space in Code]])</f>
        <v>1</v>
      </c>
      <c r="AA167" s="12" t="s">
        <v>2082</v>
      </c>
      <c r="AB167" s="15">
        <v>91073698</v>
      </c>
      <c r="AC167" s="12" t="s">
        <v>4515</v>
      </c>
      <c r="AD167" s="57" t="str">
        <f>_xlfn.XLOOKUP(CONT_TEA[[#This Row],[StaffMemberCode]],StaffMembers!O:O,StaffMembers!R:R)</f>
        <v>Holly Salt</v>
      </c>
      <c r="AE167" s="12" t="s">
        <v>1178</v>
      </c>
      <c r="AF167" s="57">
        <f>_xlfn.XLOOKUP(CONT_TEA[[#This Row],[SRG]],SRG[StaffRoleGroupCode],SRG[GrossSalaryFinanceCode])</f>
        <v>612100</v>
      </c>
      <c r="AG167" s="57" t="str">
        <f>_xlfn.XLOOKUP(CONT_TEA[[#This Row],[StaffRoleCode]],ROLES[StaffRoleCode],ROLES[StaffRoleGroupCode])</f>
        <v>TEA</v>
      </c>
      <c r="AH167" s="57" t="str">
        <f>_xlfn.XLOOKUP(CONT_TEA[[#This Row],[StaffRoleCode]],ROLES[StaffRoleCode],ROLES[PayScaleCode])</f>
        <v>MAIN</v>
      </c>
      <c r="AI167" s="12" t="s">
        <v>1126</v>
      </c>
      <c r="AJ167" s="12" t="s">
        <v>1745</v>
      </c>
      <c r="AK167" s="12" t="s">
        <v>2499</v>
      </c>
      <c r="AM167" s="68" t="s">
        <v>1147</v>
      </c>
      <c r="AN167" s="13" t="s">
        <v>1702</v>
      </c>
      <c r="AO167" s="21">
        <v>45901</v>
      </c>
      <c r="AQ167" s="12">
        <v>1</v>
      </c>
      <c r="AR167" t="b">
        <v>0</v>
      </c>
      <c r="AS167" t="b">
        <v>0</v>
      </c>
      <c r="AT167" s="12" t="s">
        <v>1574</v>
      </c>
    </row>
    <row r="168" spans="1:47" x14ac:dyDescent="0.3">
      <c r="A168" s="57" t="str">
        <f t="shared" si="3"/>
        <v>ALS9107384191073841ATEASTCH45901</v>
      </c>
      <c r="B168" s="57">
        <f>COUNTIF(CONT_TEA[Unique Contract],CONT_TEA[[#This Row],[Unique Contract]])-1</f>
        <v>0</v>
      </c>
      <c r="C168" s="57">
        <f>IFERROR(IF(FIND(CONT_TEA[[#This Row],[SchoolCode]],_xlfn.XLOOKUP(CONT_TEA[[#This Row],[StaffMemberCode]],MEMBERS[StaffMemberCode],MEMBERS[SchoolCodes]))&gt;0,0,1),1)</f>
        <v>0</v>
      </c>
      <c r="D168" s="57" cm="1">
        <f t="array" ref="D168">IF(_xlfn.XLOOKUP(CONT_TEA[[#This Row],[StaffRoleCode]],ROLES[StaffRoleCode],ROLES[AvailableToAllSchools],1,0,)=TRUE,0,IF(ISERROR(FIND(CONT_TEA[[#This Row],[SchoolCode]],_xlfn.TEXTJOIN(",",TRUE,_xlfn.UNIQUE(IF(ROLES[StaffRoleCode]=CONT_TEA[[#This Row],[StaffRoleCode]],ROLES[SchoolCodes],""))))),1,0))</f>
        <v>0</v>
      </c>
      <c r="E168" s="57" cm="1">
        <f t="array" ref="E16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68" s="57" cm="1">
        <f t="array" ref="F168">IF(_xlfn.XLOOKUP(CONT_TEA[[#This Row],[PayScaleCode]],PAYSCALES[PayScaleCode],PAYSCALES[AvailableToAllSchools],1,0,)=TRUE,0,IF(ISERROR(FIND(CONT_TEA[[#This Row],[SchoolCode]],_xlfn.TEXTJOIN(",",TRUE,_xlfn.UNIQUE(IF(PAYSCALES[PayScaleCode]=CONT_TEA[[#This Row],[PayScaleCode]],PAYSCALES[SchoolCodes],""))))),1,0))</f>
        <v>0</v>
      </c>
      <c r="G168" s="57">
        <f>IF(_xlfn.XLOOKUP(CONT_TEA[[#This Row],[PayScaleGradeCode]],GRADES[PayScaleGradeCode],GRADES[AvailableToAllSchools])=TRUE,0,IFERROR(IF(FIND(CONT_TEA[[#This Row],[SchoolCode]],_xlfn.XLOOKUP(CONT_TEA[[#This Row],[PayScaleGradeCode]],GRADES[PayScaleGradeCode],GRADES[SchoolCodes]))&gt;=1,0,1),1))</f>
        <v>0</v>
      </c>
      <c r="H168" s="57">
        <f>IF(ISERROR(IF((_xlfn.XLOOKUP(CONT_TEA[[#This Row],[PayScaleGradeCode]],GRADES[PayScaleGradeCode],GRADES[PayScaleCode])=CONT_TEA[[#This Row],[PayScaleCode]]),0,1)),1,0)</f>
        <v>0</v>
      </c>
      <c r="I168" s="57" cm="1">
        <f t="array" ref="I168">IF(ISERROR(FIND(CONT_TEA[[#This Row],[PayScalePointCode]],_xlfn.TEXTJOIN(",",TRUE,IF(PSPOINTS[PayScaleCode]=CONT_TEA[[#This Row],[PayScaleCode]],PSPOINTS[PayScalePointCode])))),1,0)</f>
        <v>0</v>
      </c>
      <c r="J168" s="57" cm="1">
        <f t="array" ref="J16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68" s="57">
        <f>IF(_xlfn.XLOOKUP(CONT_TEA[[#This Row],[PayScalePointCode]],PSPOINTS[PayScalePointCode],PSPOINTS[PayScalePointEnabled])=TRUE,0,1)</f>
        <v>0</v>
      </c>
      <c r="L168" s="57" cm="1">
        <f t="array" ref="L168">IF(_xlfn.XLOOKUP(CONT_TEA[[#This Row],[DepartmentCode]],DEPTS[DepartmentCode],DEPTS[AvailableToAllSchools],1,0,)=TRUE,0,IF(ISERROR(FIND(CONT_TEA[[#This Row],[SchoolCode]],_xlfn.TEXTJOIN(",",TRUE,_xlfn.UNIQUE(IF(DEPTS[DepartmentCode]=CONT_TEA[[#This Row],[DepartmentCode]],DEPTS[SchoolCodes],""))))),1,0))</f>
        <v>0</v>
      </c>
      <c r="M168" s="57">
        <f>IFERROR(IF(_xlfn.XLOOKUP(CONT_TEA[[#This Row],[SRG Gross]],FinanceCodesBudget[FinanceCode],FinanceCodesBudget[LedgerCode])=_xlfn.XLOOKUP(CONT_TEA[[#This Row],[DepartmentCode]],DEPTS[DepartmentCode],DEPTS[LedgerCode]),0,1),1)</f>
        <v>1</v>
      </c>
      <c r="N168" s="57" cm="1">
        <f t="array" ref="N168">IF(_xlfn.XLOOKUP(CONT_TEA[[#This Row],[PensionCode]],PENS[PensionCode],PENS[AvailableToAllSchools],1,0,)=TRUE,0,IF(ISERROR(FIND(CONT_TEA[[#This Row],[SchoolCode]],_xlfn.TEXTJOIN(",",TRUE,_xlfn.UNIQUE(IF(PENS[PensionCode]=CONT_TEA[[#This Row],[PensionCode]],PENS[SchoolCodes],""))))),1,0))</f>
        <v>0</v>
      </c>
      <c r="O168" s="57" cm="1">
        <f t="array" ref="O168">IF(_xlfn.XLOOKUP(CONT_TEA[[#This Row],[EquatedWeekPatternCode]],EQW[EquatedWeekPatternCode],EQW[AvailableToAllSchools],1,0,)=TRUE,0,IF(ISERROR(FIND(CONT_TEA[[#This Row],[SchoolCode]],_xlfn.TEXTJOIN(",",TRUE,_xlfn.UNIQUE(IF(EQW[EquatedWeekPatternCode]=CONT_TEA[[#This Row],[EquatedWeekPatternCode]],EQW[SchoolCodes],""))))),1,0))</f>
        <v>0</v>
      </c>
      <c r="P168" s="57">
        <f>1-COUNTIF(ContractTypes[Code],CONT_TEA[[#This Row],[ContractTypeCode]])</f>
        <v>0</v>
      </c>
      <c r="Q168" s="57">
        <f>IF(VLOOKUP(CONT_TEA[[#This Row],[StaffMemberCode]],MEMBERS[[StaffMemberCode]:[ServiceStartDate]],5,0)&gt;CONT_TEA[[#This Row],[DateFrom]],1,0)</f>
        <v>0</v>
      </c>
      <c r="R168" s="57">
        <f>IF(_xlfn.XLOOKUP(CONT_TEA[[#This Row],[StaffMemberCode]],MEMBERS[StaffMemberCode],MEMBERS[ServiceEndDate])="",0,IF(CONT_TEA[[#This Row],[DateTo]]="",1,IF(_xlfn.XLOOKUP(CONT_TEA[[#This Row],[StaffMemberCode]],MEMBERS[StaffMemberCode],MEMBERS[ServiceEndDate])&lt;CONT_TEA[[#This Row],[DateTo]],1,0)))</f>
        <v>0</v>
      </c>
      <c r="S168" s="57">
        <f>IF(ISBLANK(CONT_TEA[[#This Row],[DateTo]]),0,IF(CONT_TEA[[#This Row],[DateFrom]]=CONT_TEA[[#This Row],[DateTo]],0,IF(CONT_TEA[[#This Row],[DateFrom]]&lt;CONT_TEA[[#This Row],[DateTo]],0,1)))</f>
        <v>0</v>
      </c>
      <c r="T168" s="57" cm="1">
        <f t="array" aca="1" ref="T168" ca="1">IF(CELL("format",CONT_TEA[[#This Row],[DateFrom]])="D1",0,1)+IF(CELL("format",CONT_TEA[[#This Row],[DateTo]])="D1",0,1)</f>
        <v>0</v>
      </c>
      <c r="U168" s="57">
        <f>IF(OR(CONT_TEA[[#This Row],[MatEditOnly]]=TRUE,CONT_TEA[[#This Row],[MatEditOnly]]=FALSE),IF(OR(CONT_TEA[[#This Row],[NoIncrement]]=TRUE,CONT_TEA[[#This Row],[NoIncrement]]=FALSE),0,1),1)</f>
        <v>0</v>
      </c>
      <c r="V168" s="57">
        <f>IF(ISBLANK(CONT_TEA[[#This Row],[FundCode]])=TRUE,0,IF(COUNTIF(FUNDS[FundCode],CONT_TEA[[#This Row],[FundCode]])=1,0,1))</f>
        <v>0</v>
      </c>
      <c r="W168" s="57">
        <f>IF(LEN(CONT_TEA[[#This Row],[Notes]])&lt;4000,0,1)</f>
        <v>0</v>
      </c>
      <c r="X168" s="57">
        <f>IF(SUBSTITUTE(TEXT(CONT_TEA[[#This Row],[Reference]],10)," ","")=TEXT(CONT_TEA[[#This Row],[Reference]],10),0,1)</f>
        <v>0</v>
      </c>
      <c r="Y168" s="57">
        <f ca="1">SUM(CONT_TEA[[#This Row],[Duplicate Contract]:[Space in Code]])</f>
        <v>1</v>
      </c>
      <c r="AA168" s="12" t="s">
        <v>2082</v>
      </c>
      <c r="AB168" s="15">
        <v>91073841</v>
      </c>
      <c r="AC168" s="12" t="s">
        <v>4516</v>
      </c>
      <c r="AD168" s="57" t="str">
        <f>_xlfn.XLOOKUP(CONT_TEA[[#This Row],[StaffMemberCode]],StaffMembers!O:O,StaffMembers!R:R)</f>
        <v>Jacob Lambert</v>
      </c>
      <c r="AE168" s="12" t="s">
        <v>1178</v>
      </c>
      <c r="AF168" s="57">
        <f>_xlfn.XLOOKUP(CONT_TEA[[#This Row],[SRG]],SRG[StaffRoleGroupCode],SRG[GrossSalaryFinanceCode])</f>
        <v>612100</v>
      </c>
      <c r="AG168" s="57" t="str">
        <f>_xlfn.XLOOKUP(CONT_TEA[[#This Row],[StaffRoleCode]],ROLES[StaffRoleCode],ROLES[StaffRoleGroupCode])</f>
        <v>TEA</v>
      </c>
      <c r="AH168" s="57" t="str">
        <f>_xlfn.XLOOKUP(CONT_TEA[[#This Row],[StaffRoleCode]],ROLES[StaffRoleCode],ROLES[PayScaleCode])</f>
        <v>MAIN</v>
      </c>
      <c r="AI168" s="12" t="s">
        <v>1126</v>
      </c>
      <c r="AJ168" s="12" t="s">
        <v>1546</v>
      </c>
      <c r="AK168" s="12" t="s">
        <v>2499</v>
      </c>
      <c r="AM168" s="68" t="s">
        <v>1147</v>
      </c>
      <c r="AN168" s="13" t="s">
        <v>1702</v>
      </c>
      <c r="AO168" s="21">
        <v>45901</v>
      </c>
      <c r="AQ168" s="12">
        <v>1</v>
      </c>
      <c r="AR168" t="b">
        <v>0</v>
      </c>
      <c r="AS168" t="b">
        <v>0</v>
      </c>
      <c r="AT168" s="12" t="s">
        <v>1574</v>
      </c>
    </row>
    <row r="169" spans="1:47" x14ac:dyDescent="0.3">
      <c r="A169" s="57" t="str">
        <f t="shared" si="3"/>
        <v>BLS9107352091073520ATEASTCH45901</v>
      </c>
      <c r="B169" s="57">
        <f>COUNTIF(CONT_TEA[Unique Contract],CONT_TEA[[#This Row],[Unique Contract]])-1</f>
        <v>0</v>
      </c>
      <c r="C169" s="57">
        <f>IFERROR(IF(FIND(CONT_TEA[[#This Row],[SchoolCode]],_xlfn.XLOOKUP(CONT_TEA[[#This Row],[StaffMemberCode]],MEMBERS[StaffMemberCode],MEMBERS[SchoolCodes]))&gt;0,0,1),1)</f>
        <v>0</v>
      </c>
      <c r="D169" s="57" cm="1">
        <f t="array" ref="D169">IF(_xlfn.XLOOKUP(CONT_TEA[[#This Row],[StaffRoleCode]],ROLES[StaffRoleCode],ROLES[AvailableToAllSchools],1,0,)=TRUE,0,IF(ISERROR(FIND(CONT_TEA[[#This Row],[SchoolCode]],_xlfn.TEXTJOIN(",",TRUE,_xlfn.UNIQUE(IF(ROLES[StaffRoleCode]=CONT_TEA[[#This Row],[StaffRoleCode]],ROLES[SchoolCodes],""))))),1,0))</f>
        <v>0</v>
      </c>
      <c r="E169" s="57" cm="1">
        <f t="array" ref="E16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69" s="57" cm="1">
        <f t="array" ref="F169">IF(_xlfn.XLOOKUP(CONT_TEA[[#This Row],[PayScaleCode]],PAYSCALES[PayScaleCode],PAYSCALES[AvailableToAllSchools],1,0,)=TRUE,0,IF(ISERROR(FIND(CONT_TEA[[#This Row],[SchoolCode]],_xlfn.TEXTJOIN(",",TRUE,_xlfn.UNIQUE(IF(PAYSCALES[PayScaleCode]=CONT_TEA[[#This Row],[PayScaleCode]],PAYSCALES[SchoolCodes],""))))),1,0))</f>
        <v>0</v>
      </c>
      <c r="G169" s="57">
        <f>IF(_xlfn.XLOOKUP(CONT_TEA[[#This Row],[PayScaleGradeCode]],GRADES[PayScaleGradeCode],GRADES[AvailableToAllSchools])=TRUE,0,IFERROR(IF(FIND(CONT_TEA[[#This Row],[SchoolCode]],_xlfn.XLOOKUP(CONT_TEA[[#This Row],[PayScaleGradeCode]],GRADES[PayScaleGradeCode],GRADES[SchoolCodes]))&gt;=1,0,1),1))</f>
        <v>0</v>
      </c>
      <c r="H169" s="57">
        <f>IF(ISERROR(IF((_xlfn.XLOOKUP(CONT_TEA[[#This Row],[PayScaleGradeCode]],GRADES[PayScaleGradeCode],GRADES[PayScaleCode])=CONT_TEA[[#This Row],[PayScaleCode]]),0,1)),1,0)</f>
        <v>0</v>
      </c>
      <c r="I169" s="57" cm="1">
        <f t="array" ref="I169">IF(ISERROR(FIND(CONT_TEA[[#This Row],[PayScalePointCode]],_xlfn.TEXTJOIN(",",TRUE,IF(PSPOINTS[PayScaleCode]=CONT_TEA[[#This Row],[PayScaleCode]],PSPOINTS[PayScalePointCode])))),1,0)</f>
        <v>0</v>
      </c>
      <c r="J169" s="57" cm="1">
        <f t="array" ref="J16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69" s="57">
        <f>IF(_xlfn.XLOOKUP(CONT_TEA[[#This Row],[PayScalePointCode]],PSPOINTS[PayScalePointCode],PSPOINTS[PayScalePointEnabled])=TRUE,0,1)</f>
        <v>0</v>
      </c>
      <c r="L169" s="57" cm="1">
        <f t="array" ref="L169">IF(_xlfn.XLOOKUP(CONT_TEA[[#This Row],[DepartmentCode]],DEPTS[DepartmentCode],DEPTS[AvailableToAllSchools],1,0,)=TRUE,0,IF(ISERROR(FIND(CONT_TEA[[#This Row],[SchoolCode]],_xlfn.TEXTJOIN(",",TRUE,_xlfn.UNIQUE(IF(DEPTS[DepartmentCode]=CONT_TEA[[#This Row],[DepartmentCode]],DEPTS[SchoolCodes],""))))),1,0))</f>
        <v>0</v>
      </c>
      <c r="M169" s="57">
        <f>IFERROR(IF(_xlfn.XLOOKUP(CONT_TEA[[#This Row],[SRG Gross]],FinanceCodesBudget[FinanceCode],FinanceCodesBudget[LedgerCode])=_xlfn.XLOOKUP(CONT_TEA[[#This Row],[DepartmentCode]],DEPTS[DepartmentCode],DEPTS[LedgerCode]),0,1),1)</f>
        <v>1</v>
      </c>
      <c r="N169" s="57" cm="1">
        <f t="array" ref="N169">IF(_xlfn.XLOOKUP(CONT_TEA[[#This Row],[PensionCode]],PENS[PensionCode],PENS[AvailableToAllSchools],1,0,)=TRUE,0,IF(ISERROR(FIND(CONT_TEA[[#This Row],[SchoolCode]],_xlfn.TEXTJOIN(",",TRUE,_xlfn.UNIQUE(IF(PENS[PensionCode]=CONT_TEA[[#This Row],[PensionCode]],PENS[SchoolCodes],""))))),1,0))</f>
        <v>0</v>
      </c>
      <c r="O169" s="57" cm="1">
        <f t="array" ref="O169">IF(_xlfn.XLOOKUP(CONT_TEA[[#This Row],[EquatedWeekPatternCode]],EQW[EquatedWeekPatternCode],EQW[AvailableToAllSchools],1,0,)=TRUE,0,IF(ISERROR(FIND(CONT_TEA[[#This Row],[SchoolCode]],_xlfn.TEXTJOIN(",",TRUE,_xlfn.UNIQUE(IF(EQW[EquatedWeekPatternCode]=CONT_TEA[[#This Row],[EquatedWeekPatternCode]],EQW[SchoolCodes],""))))),1,0))</f>
        <v>0</v>
      </c>
      <c r="P169" s="57">
        <f>1-COUNTIF(ContractTypes[Code],CONT_TEA[[#This Row],[ContractTypeCode]])</f>
        <v>0</v>
      </c>
      <c r="Q169" s="57">
        <f>IF(VLOOKUP(CONT_TEA[[#This Row],[StaffMemberCode]],MEMBERS[[StaffMemberCode]:[ServiceStartDate]],5,0)&gt;CONT_TEA[[#This Row],[DateFrom]],1,0)</f>
        <v>0</v>
      </c>
      <c r="R169" s="57">
        <f>IF(_xlfn.XLOOKUP(CONT_TEA[[#This Row],[StaffMemberCode]],MEMBERS[StaffMemberCode],MEMBERS[ServiceEndDate])="",0,IF(CONT_TEA[[#This Row],[DateTo]]="",1,IF(_xlfn.XLOOKUP(CONT_TEA[[#This Row],[StaffMemberCode]],MEMBERS[StaffMemberCode],MEMBERS[ServiceEndDate])&lt;CONT_TEA[[#This Row],[DateTo]],1,0)))</f>
        <v>0</v>
      </c>
      <c r="S169" s="57">
        <f>IF(ISBLANK(CONT_TEA[[#This Row],[DateTo]]),0,IF(CONT_TEA[[#This Row],[DateFrom]]=CONT_TEA[[#This Row],[DateTo]],0,IF(CONT_TEA[[#This Row],[DateFrom]]&lt;CONT_TEA[[#This Row],[DateTo]],0,1)))</f>
        <v>0</v>
      </c>
      <c r="T169" s="57" cm="1">
        <f t="array" aca="1" ref="T169" ca="1">IF(CELL("format",CONT_TEA[[#This Row],[DateFrom]])="D1",0,1)+IF(CELL("format",CONT_TEA[[#This Row],[DateTo]])="D1",0,1)</f>
        <v>0</v>
      </c>
      <c r="U169" s="57">
        <f>IF(OR(CONT_TEA[[#This Row],[MatEditOnly]]=TRUE,CONT_TEA[[#This Row],[MatEditOnly]]=FALSE),IF(OR(CONT_TEA[[#This Row],[NoIncrement]]=TRUE,CONT_TEA[[#This Row],[NoIncrement]]=FALSE),0,1),1)</f>
        <v>0</v>
      </c>
      <c r="V169" s="57">
        <f>IF(ISBLANK(CONT_TEA[[#This Row],[FundCode]])=TRUE,0,IF(COUNTIF(FUNDS[FundCode],CONT_TEA[[#This Row],[FundCode]])=1,0,1))</f>
        <v>0</v>
      </c>
      <c r="W169" s="57">
        <f>IF(LEN(CONT_TEA[[#This Row],[Notes]])&lt;4000,0,1)</f>
        <v>0</v>
      </c>
      <c r="X169" s="57">
        <f>IF(SUBSTITUTE(TEXT(CONT_TEA[[#This Row],[Reference]],10)," ","")=TEXT(CONT_TEA[[#This Row],[Reference]],10),0,1)</f>
        <v>0</v>
      </c>
      <c r="Y169" s="57">
        <f ca="1">SUM(CONT_TEA[[#This Row],[Duplicate Contract]:[Space in Code]])</f>
        <v>1</v>
      </c>
      <c r="AA169" s="12" t="s">
        <v>2094</v>
      </c>
      <c r="AB169" s="15">
        <v>91073520</v>
      </c>
      <c r="AC169" s="12" t="s">
        <v>4517</v>
      </c>
      <c r="AD169" s="57" t="str">
        <f>_xlfn.XLOOKUP(CONT_TEA[[#This Row],[StaffMemberCode]],StaffMembers!O:O,StaffMembers!R:R)</f>
        <v>Jacqueline Wheeler</v>
      </c>
      <c r="AE169" s="12" t="s">
        <v>1178</v>
      </c>
      <c r="AF169" s="57">
        <f>_xlfn.XLOOKUP(CONT_TEA[[#This Row],[SRG]],SRG[StaffRoleGroupCode],SRG[GrossSalaryFinanceCode])</f>
        <v>612100</v>
      </c>
      <c r="AG169" s="57" t="str">
        <f>_xlfn.XLOOKUP(CONT_TEA[[#This Row],[StaffRoleCode]],ROLES[StaffRoleCode],ROLES[StaffRoleGroupCode])</f>
        <v>TEA</v>
      </c>
      <c r="AH169" s="57" t="str">
        <f>_xlfn.XLOOKUP(CONT_TEA[[#This Row],[StaffRoleCode]],ROLES[StaffRoleCode],ROLES[PayScaleCode])</f>
        <v>MAIN</v>
      </c>
      <c r="AI169" s="12" t="s">
        <v>1126</v>
      </c>
      <c r="AJ169" s="12" t="s">
        <v>1745</v>
      </c>
      <c r="AK169" s="12" t="s">
        <v>2499</v>
      </c>
      <c r="AM169" s="68" t="s">
        <v>1147</v>
      </c>
      <c r="AN169" s="13" t="s">
        <v>1702</v>
      </c>
      <c r="AO169" s="21">
        <v>45901</v>
      </c>
      <c r="AQ169" s="12">
        <v>0.4</v>
      </c>
      <c r="AR169" t="b">
        <v>0</v>
      </c>
      <c r="AS169" t="b">
        <v>0</v>
      </c>
      <c r="AT169" s="12" t="s">
        <v>1574</v>
      </c>
    </row>
    <row r="170" spans="1:47" x14ac:dyDescent="0.3">
      <c r="A170" s="57" t="str">
        <f t="shared" si="3"/>
        <v>WVP9107341291073412ATEASTCH45901</v>
      </c>
      <c r="B170" s="57">
        <f>COUNTIF(CONT_TEA[Unique Contract],CONT_TEA[[#This Row],[Unique Contract]])-1</f>
        <v>0</v>
      </c>
      <c r="C170" s="57">
        <f>IFERROR(IF(FIND(CONT_TEA[[#This Row],[SchoolCode]],_xlfn.XLOOKUP(CONT_TEA[[#This Row],[StaffMemberCode]],MEMBERS[StaffMemberCode],MEMBERS[SchoolCodes]))&gt;0,0,1),1)</f>
        <v>0</v>
      </c>
      <c r="D170" s="57" cm="1">
        <f t="array" ref="D170">IF(_xlfn.XLOOKUP(CONT_TEA[[#This Row],[StaffRoleCode]],ROLES[StaffRoleCode],ROLES[AvailableToAllSchools],1,0,)=TRUE,0,IF(ISERROR(FIND(CONT_TEA[[#This Row],[SchoolCode]],_xlfn.TEXTJOIN(",",TRUE,_xlfn.UNIQUE(IF(ROLES[StaffRoleCode]=CONT_TEA[[#This Row],[StaffRoleCode]],ROLES[SchoolCodes],""))))),1,0))</f>
        <v>0</v>
      </c>
      <c r="E170" s="57" cm="1">
        <f t="array" ref="E17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70" s="57" cm="1">
        <f t="array" ref="F170">IF(_xlfn.XLOOKUP(CONT_TEA[[#This Row],[PayScaleCode]],PAYSCALES[PayScaleCode],PAYSCALES[AvailableToAllSchools],1,0,)=TRUE,0,IF(ISERROR(FIND(CONT_TEA[[#This Row],[SchoolCode]],_xlfn.TEXTJOIN(",",TRUE,_xlfn.UNIQUE(IF(PAYSCALES[PayScaleCode]=CONT_TEA[[#This Row],[PayScaleCode]],PAYSCALES[SchoolCodes],""))))),1,0))</f>
        <v>0</v>
      </c>
      <c r="G170" s="57">
        <f>IF(_xlfn.XLOOKUP(CONT_TEA[[#This Row],[PayScaleGradeCode]],GRADES[PayScaleGradeCode],GRADES[AvailableToAllSchools])=TRUE,0,IFERROR(IF(FIND(CONT_TEA[[#This Row],[SchoolCode]],_xlfn.XLOOKUP(CONT_TEA[[#This Row],[PayScaleGradeCode]],GRADES[PayScaleGradeCode],GRADES[SchoolCodes]))&gt;=1,0,1),1))</f>
        <v>0</v>
      </c>
      <c r="H170" s="57">
        <f>IF(ISERROR(IF((_xlfn.XLOOKUP(CONT_TEA[[#This Row],[PayScaleGradeCode]],GRADES[PayScaleGradeCode],GRADES[PayScaleCode])=CONT_TEA[[#This Row],[PayScaleCode]]),0,1)),1,0)</f>
        <v>0</v>
      </c>
      <c r="I170" s="57" cm="1">
        <f t="array" ref="I170">IF(ISERROR(FIND(CONT_TEA[[#This Row],[PayScalePointCode]],_xlfn.TEXTJOIN(",",TRUE,IF(PSPOINTS[PayScaleCode]=CONT_TEA[[#This Row],[PayScaleCode]],PSPOINTS[PayScalePointCode])))),1,0)</f>
        <v>0</v>
      </c>
      <c r="J170" s="57" cm="1">
        <f t="array" ref="J17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70" s="57">
        <f>IF(_xlfn.XLOOKUP(CONT_TEA[[#This Row],[PayScalePointCode]],PSPOINTS[PayScalePointCode],PSPOINTS[PayScalePointEnabled])=TRUE,0,1)</f>
        <v>0</v>
      </c>
      <c r="L170" s="57" cm="1">
        <f t="array" ref="L170">IF(_xlfn.XLOOKUP(CONT_TEA[[#This Row],[DepartmentCode]],DEPTS[DepartmentCode],DEPTS[AvailableToAllSchools],1,0,)=TRUE,0,IF(ISERROR(FIND(CONT_TEA[[#This Row],[SchoolCode]],_xlfn.TEXTJOIN(",",TRUE,_xlfn.UNIQUE(IF(DEPTS[DepartmentCode]=CONT_TEA[[#This Row],[DepartmentCode]],DEPTS[SchoolCodes],""))))),1,0))</f>
        <v>0</v>
      </c>
      <c r="M170" s="57">
        <f>IFERROR(IF(_xlfn.XLOOKUP(CONT_TEA[[#This Row],[SRG Gross]],FinanceCodesBudget[FinanceCode],FinanceCodesBudget[LedgerCode])=_xlfn.XLOOKUP(CONT_TEA[[#This Row],[DepartmentCode]],DEPTS[DepartmentCode],DEPTS[LedgerCode]),0,1),1)</f>
        <v>1</v>
      </c>
      <c r="N170" s="57" cm="1">
        <f t="array" ref="N170">IF(_xlfn.XLOOKUP(CONT_TEA[[#This Row],[PensionCode]],PENS[PensionCode],PENS[AvailableToAllSchools],1,0,)=TRUE,0,IF(ISERROR(FIND(CONT_TEA[[#This Row],[SchoolCode]],_xlfn.TEXTJOIN(",",TRUE,_xlfn.UNIQUE(IF(PENS[PensionCode]=CONT_TEA[[#This Row],[PensionCode]],PENS[SchoolCodes],""))))),1,0))</f>
        <v>0</v>
      </c>
      <c r="O170" s="57" cm="1">
        <f t="array" ref="O170">IF(_xlfn.XLOOKUP(CONT_TEA[[#This Row],[EquatedWeekPatternCode]],EQW[EquatedWeekPatternCode],EQW[AvailableToAllSchools],1,0,)=TRUE,0,IF(ISERROR(FIND(CONT_TEA[[#This Row],[SchoolCode]],_xlfn.TEXTJOIN(",",TRUE,_xlfn.UNIQUE(IF(EQW[EquatedWeekPatternCode]=CONT_TEA[[#This Row],[EquatedWeekPatternCode]],EQW[SchoolCodes],""))))),1,0))</f>
        <v>0</v>
      </c>
      <c r="P170" s="57">
        <f>1-COUNTIF(ContractTypes[Code],CONT_TEA[[#This Row],[ContractTypeCode]])</f>
        <v>0</v>
      </c>
      <c r="Q170" s="57">
        <f>IF(VLOOKUP(CONT_TEA[[#This Row],[StaffMemberCode]],MEMBERS[[StaffMemberCode]:[ServiceStartDate]],5,0)&gt;CONT_TEA[[#This Row],[DateFrom]],1,0)</f>
        <v>0</v>
      </c>
      <c r="R170" s="57">
        <f>IF(_xlfn.XLOOKUP(CONT_TEA[[#This Row],[StaffMemberCode]],MEMBERS[StaffMemberCode],MEMBERS[ServiceEndDate])="",0,IF(CONT_TEA[[#This Row],[DateTo]]="",1,IF(_xlfn.XLOOKUP(CONT_TEA[[#This Row],[StaffMemberCode]],MEMBERS[StaffMemberCode],MEMBERS[ServiceEndDate])&lt;CONT_TEA[[#This Row],[DateTo]],1,0)))</f>
        <v>0</v>
      </c>
      <c r="S170" s="57">
        <f>IF(ISBLANK(CONT_TEA[[#This Row],[DateTo]]),0,IF(CONT_TEA[[#This Row],[DateFrom]]=CONT_TEA[[#This Row],[DateTo]],0,IF(CONT_TEA[[#This Row],[DateFrom]]&lt;CONT_TEA[[#This Row],[DateTo]],0,1)))</f>
        <v>0</v>
      </c>
      <c r="T170" s="57" cm="1">
        <f t="array" aca="1" ref="T170" ca="1">IF(CELL("format",CONT_TEA[[#This Row],[DateFrom]])="D1",0,1)+IF(CELL("format",CONT_TEA[[#This Row],[DateTo]])="D1",0,1)</f>
        <v>0</v>
      </c>
      <c r="U170" s="57">
        <f>IF(OR(CONT_TEA[[#This Row],[MatEditOnly]]=TRUE,CONT_TEA[[#This Row],[MatEditOnly]]=FALSE),IF(OR(CONT_TEA[[#This Row],[NoIncrement]]=TRUE,CONT_TEA[[#This Row],[NoIncrement]]=FALSE),0,1),1)</f>
        <v>0</v>
      </c>
      <c r="V170" s="57">
        <f>IF(ISBLANK(CONT_TEA[[#This Row],[FundCode]])=TRUE,0,IF(COUNTIF(FUNDS[FundCode],CONT_TEA[[#This Row],[FundCode]])=1,0,1))</f>
        <v>0</v>
      </c>
      <c r="W170" s="57">
        <f>IF(LEN(CONT_TEA[[#This Row],[Notes]])&lt;4000,0,1)</f>
        <v>0</v>
      </c>
      <c r="X170" s="57">
        <f>IF(SUBSTITUTE(TEXT(CONT_TEA[[#This Row],[Reference]],10)," ","")=TEXT(CONT_TEA[[#This Row],[Reference]],10),0,1)</f>
        <v>0</v>
      </c>
      <c r="Y170" s="57">
        <f ca="1">SUM(CONT_TEA[[#This Row],[Duplicate Contract]:[Space in Code]])</f>
        <v>1</v>
      </c>
      <c r="AA170" s="12" t="s">
        <v>2275</v>
      </c>
      <c r="AB170" s="15">
        <v>91073412</v>
      </c>
      <c r="AC170" s="12" t="s">
        <v>4518</v>
      </c>
      <c r="AD170" s="57" t="str">
        <f>_xlfn.XLOOKUP(CONT_TEA[[#This Row],[StaffMemberCode]],StaffMembers!O:O,StaffMembers!R:R)</f>
        <v>Jacqueline Whittaker</v>
      </c>
      <c r="AE170" s="12" t="s">
        <v>1178</v>
      </c>
      <c r="AF170" s="57">
        <f>_xlfn.XLOOKUP(CONT_TEA[[#This Row],[SRG]],SRG[StaffRoleGroupCode],SRG[GrossSalaryFinanceCode])</f>
        <v>612100</v>
      </c>
      <c r="AG170" s="57" t="str">
        <f>_xlfn.XLOOKUP(CONT_TEA[[#This Row],[StaffRoleCode]],ROLES[StaffRoleCode],ROLES[StaffRoleGroupCode])</f>
        <v>TEA</v>
      </c>
      <c r="AH170" s="57" t="str">
        <f>_xlfn.XLOOKUP(CONT_TEA[[#This Row],[StaffRoleCode]],ROLES[StaffRoleCode],ROLES[PayScaleCode])</f>
        <v>MAIN</v>
      </c>
      <c r="AI170" s="12" t="s">
        <v>1126</v>
      </c>
      <c r="AJ170" s="12" t="s">
        <v>1745</v>
      </c>
      <c r="AK170" s="12" t="s">
        <v>2499</v>
      </c>
      <c r="AM170" s="68" t="s">
        <v>1147</v>
      </c>
      <c r="AN170" s="13" t="s">
        <v>1702</v>
      </c>
      <c r="AO170" s="21">
        <v>45901</v>
      </c>
      <c r="AQ170" s="12">
        <v>1</v>
      </c>
      <c r="AR170" t="b">
        <v>0</v>
      </c>
      <c r="AS170" t="b">
        <v>0</v>
      </c>
      <c r="AT170" s="12" t="s">
        <v>1574</v>
      </c>
    </row>
    <row r="171" spans="1:47" x14ac:dyDescent="0.3">
      <c r="A171" s="57" t="str">
        <f t="shared" si="3"/>
        <v>ALS9107375391073753ATEASTCH45901</v>
      </c>
      <c r="B171" s="57">
        <f>COUNTIF(CONT_TEA[Unique Contract],CONT_TEA[[#This Row],[Unique Contract]])-1</f>
        <v>0</v>
      </c>
      <c r="C171" s="57">
        <f>IFERROR(IF(FIND(CONT_TEA[[#This Row],[SchoolCode]],_xlfn.XLOOKUP(CONT_TEA[[#This Row],[StaffMemberCode]],MEMBERS[StaffMemberCode],MEMBERS[SchoolCodes]))&gt;0,0,1),1)</f>
        <v>0</v>
      </c>
      <c r="D171" s="57" cm="1">
        <f t="array" ref="D171">IF(_xlfn.XLOOKUP(CONT_TEA[[#This Row],[StaffRoleCode]],ROLES[StaffRoleCode],ROLES[AvailableToAllSchools],1,0,)=TRUE,0,IF(ISERROR(FIND(CONT_TEA[[#This Row],[SchoolCode]],_xlfn.TEXTJOIN(",",TRUE,_xlfn.UNIQUE(IF(ROLES[StaffRoleCode]=CONT_TEA[[#This Row],[StaffRoleCode]],ROLES[SchoolCodes],""))))),1,0))</f>
        <v>0</v>
      </c>
      <c r="E171" s="57" cm="1">
        <f t="array" ref="E17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71" s="57" cm="1">
        <f t="array" ref="F171">IF(_xlfn.XLOOKUP(CONT_TEA[[#This Row],[PayScaleCode]],PAYSCALES[PayScaleCode],PAYSCALES[AvailableToAllSchools],1,0,)=TRUE,0,IF(ISERROR(FIND(CONT_TEA[[#This Row],[SchoolCode]],_xlfn.TEXTJOIN(",",TRUE,_xlfn.UNIQUE(IF(PAYSCALES[PayScaleCode]=CONT_TEA[[#This Row],[PayScaleCode]],PAYSCALES[SchoolCodes],""))))),1,0))</f>
        <v>0</v>
      </c>
      <c r="G171" s="57">
        <f>IF(_xlfn.XLOOKUP(CONT_TEA[[#This Row],[PayScaleGradeCode]],GRADES[PayScaleGradeCode],GRADES[AvailableToAllSchools])=TRUE,0,IFERROR(IF(FIND(CONT_TEA[[#This Row],[SchoolCode]],_xlfn.XLOOKUP(CONT_TEA[[#This Row],[PayScaleGradeCode]],GRADES[PayScaleGradeCode],GRADES[SchoolCodes]))&gt;=1,0,1),1))</f>
        <v>0</v>
      </c>
      <c r="H171" s="57">
        <f>IF(ISERROR(IF((_xlfn.XLOOKUP(CONT_TEA[[#This Row],[PayScaleGradeCode]],GRADES[PayScaleGradeCode],GRADES[PayScaleCode])=CONT_TEA[[#This Row],[PayScaleCode]]),0,1)),1,0)</f>
        <v>0</v>
      </c>
      <c r="I171" s="57" cm="1">
        <f t="array" ref="I171">IF(ISERROR(FIND(CONT_TEA[[#This Row],[PayScalePointCode]],_xlfn.TEXTJOIN(",",TRUE,IF(PSPOINTS[PayScaleCode]=CONT_TEA[[#This Row],[PayScaleCode]],PSPOINTS[PayScalePointCode])))),1,0)</f>
        <v>0</v>
      </c>
      <c r="J171" s="57" cm="1">
        <f t="array" ref="J17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71" s="57">
        <f>IF(_xlfn.XLOOKUP(CONT_TEA[[#This Row],[PayScalePointCode]],PSPOINTS[PayScalePointCode],PSPOINTS[PayScalePointEnabled])=TRUE,0,1)</f>
        <v>0</v>
      </c>
      <c r="L171" s="57" cm="1">
        <f t="array" ref="L171">IF(_xlfn.XLOOKUP(CONT_TEA[[#This Row],[DepartmentCode]],DEPTS[DepartmentCode],DEPTS[AvailableToAllSchools],1,0,)=TRUE,0,IF(ISERROR(FIND(CONT_TEA[[#This Row],[SchoolCode]],_xlfn.TEXTJOIN(",",TRUE,_xlfn.UNIQUE(IF(DEPTS[DepartmentCode]=CONT_TEA[[#This Row],[DepartmentCode]],DEPTS[SchoolCodes],""))))),1,0))</f>
        <v>0</v>
      </c>
      <c r="M171" s="57">
        <f>IFERROR(IF(_xlfn.XLOOKUP(CONT_TEA[[#This Row],[SRG Gross]],FinanceCodesBudget[FinanceCode],FinanceCodesBudget[LedgerCode])=_xlfn.XLOOKUP(CONT_TEA[[#This Row],[DepartmentCode]],DEPTS[DepartmentCode],DEPTS[LedgerCode]),0,1),1)</f>
        <v>1</v>
      </c>
      <c r="N171" s="57" cm="1">
        <f t="array" ref="N171">IF(_xlfn.XLOOKUP(CONT_TEA[[#This Row],[PensionCode]],PENS[PensionCode],PENS[AvailableToAllSchools],1,0,)=TRUE,0,IF(ISERROR(FIND(CONT_TEA[[#This Row],[SchoolCode]],_xlfn.TEXTJOIN(",",TRUE,_xlfn.UNIQUE(IF(PENS[PensionCode]=CONT_TEA[[#This Row],[PensionCode]],PENS[SchoolCodes],""))))),1,0))</f>
        <v>0</v>
      </c>
      <c r="O171" s="57" cm="1">
        <f t="array" ref="O171">IF(_xlfn.XLOOKUP(CONT_TEA[[#This Row],[EquatedWeekPatternCode]],EQW[EquatedWeekPatternCode],EQW[AvailableToAllSchools],1,0,)=TRUE,0,IF(ISERROR(FIND(CONT_TEA[[#This Row],[SchoolCode]],_xlfn.TEXTJOIN(",",TRUE,_xlfn.UNIQUE(IF(EQW[EquatedWeekPatternCode]=CONT_TEA[[#This Row],[EquatedWeekPatternCode]],EQW[SchoolCodes],""))))),1,0))</f>
        <v>0</v>
      </c>
      <c r="P171" s="57">
        <f>1-COUNTIF(ContractTypes[Code],CONT_TEA[[#This Row],[ContractTypeCode]])</f>
        <v>0</v>
      </c>
      <c r="Q171" s="57">
        <f>IF(VLOOKUP(CONT_TEA[[#This Row],[StaffMemberCode]],MEMBERS[[StaffMemberCode]:[ServiceStartDate]],5,0)&gt;CONT_TEA[[#This Row],[DateFrom]],1,0)</f>
        <v>0</v>
      </c>
      <c r="R171" s="57">
        <f>IF(_xlfn.XLOOKUP(CONT_TEA[[#This Row],[StaffMemberCode]],MEMBERS[StaffMemberCode],MEMBERS[ServiceEndDate])="",0,IF(CONT_TEA[[#This Row],[DateTo]]="",1,IF(_xlfn.XLOOKUP(CONT_TEA[[#This Row],[StaffMemberCode]],MEMBERS[StaffMemberCode],MEMBERS[ServiceEndDate])&lt;CONT_TEA[[#This Row],[DateTo]],1,0)))</f>
        <v>0</v>
      </c>
      <c r="S171" s="57">
        <f>IF(ISBLANK(CONT_TEA[[#This Row],[DateTo]]),0,IF(CONT_TEA[[#This Row],[DateFrom]]=CONT_TEA[[#This Row],[DateTo]],0,IF(CONT_TEA[[#This Row],[DateFrom]]&lt;CONT_TEA[[#This Row],[DateTo]],0,1)))</f>
        <v>0</v>
      </c>
      <c r="T171" s="57" cm="1">
        <f t="array" aca="1" ref="T171" ca="1">IF(CELL("format",CONT_TEA[[#This Row],[DateFrom]])="D1",0,1)+IF(CELL("format",CONT_TEA[[#This Row],[DateTo]])="D1",0,1)</f>
        <v>0</v>
      </c>
      <c r="U171" s="57">
        <f>IF(OR(CONT_TEA[[#This Row],[MatEditOnly]]=TRUE,CONT_TEA[[#This Row],[MatEditOnly]]=FALSE),IF(OR(CONT_TEA[[#This Row],[NoIncrement]]=TRUE,CONT_TEA[[#This Row],[NoIncrement]]=FALSE),0,1),1)</f>
        <v>0</v>
      </c>
      <c r="V171" s="57">
        <f>IF(ISBLANK(CONT_TEA[[#This Row],[FundCode]])=TRUE,0,IF(COUNTIF(FUNDS[FundCode],CONT_TEA[[#This Row],[FundCode]])=1,0,1))</f>
        <v>0</v>
      </c>
      <c r="W171" s="57">
        <f>IF(LEN(CONT_TEA[[#This Row],[Notes]])&lt;4000,0,1)</f>
        <v>0</v>
      </c>
      <c r="X171" s="57">
        <f>IF(SUBSTITUTE(TEXT(CONT_TEA[[#This Row],[Reference]],10)," ","")=TEXT(CONT_TEA[[#This Row],[Reference]],10),0,1)</f>
        <v>0</v>
      </c>
      <c r="Y171" s="57">
        <f ca="1">SUM(CONT_TEA[[#This Row],[Duplicate Contract]:[Space in Code]])</f>
        <v>1</v>
      </c>
      <c r="AA171" s="12" t="s">
        <v>2082</v>
      </c>
      <c r="AB171" s="15">
        <v>91073753</v>
      </c>
      <c r="AC171" s="12" t="s">
        <v>4519</v>
      </c>
      <c r="AD171" s="57" t="str">
        <f>_xlfn.XLOOKUP(CONT_TEA[[#This Row],[StaffMemberCode]],StaffMembers!O:O,StaffMembers!R:R)</f>
        <v>Jamie Ramsay</v>
      </c>
      <c r="AE171" s="12" t="s">
        <v>1178</v>
      </c>
      <c r="AF171" s="57">
        <f>_xlfn.XLOOKUP(CONT_TEA[[#This Row],[SRG]],SRG[StaffRoleGroupCode],SRG[GrossSalaryFinanceCode])</f>
        <v>612100</v>
      </c>
      <c r="AG171" s="57" t="str">
        <f>_xlfn.XLOOKUP(CONT_TEA[[#This Row],[StaffRoleCode]],ROLES[StaffRoleCode],ROLES[StaffRoleGroupCode])</f>
        <v>TEA</v>
      </c>
      <c r="AH171" s="57" t="str">
        <f>_xlfn.XLOOKUP(CONT_TEA[[#This Row],[StaffRoleCode]],ROLES[StaffRoleCode],ROLES[PayScaleCode])</f>
        <v>MAIN</v>
      </c>
      <c r="AI171" s="12" t="s">
        <v>1126</v>
      </c>
      <c r="AJ171" s="12" t="s">
        <v>1546</v>
      </c>
      <c r="AK171" s="12" t="s">
        <v>2499</v>
      </c>
      <c r="AM171" s="68" t="s">
        <v>1147</v>
      </c>
      <c r="AN171" s="13" t="s">
        <v>1702</v>
      </c>
      <c r="AO171" s="21">
        <v>45901</v>
      </c>
      <c r="AQ171" s="12">
        <v>1</v>
      </c>
      <c r="AR171" t="b">
        <v>0</v>
      </c>
      <c r="AS171" t="b">
        <v>0</v>
      </c>
      <c r="AT171" s="12" t="s">
        <v>1574</v>
      </c>
    </row>
    <row r="172" spans="1:47" x14ac:dyDescent="0.3">
      <c r="A172" s="57" t="str">
        <f t="shared" si="3"/>
        <v>HIG9107388591073885ATEASTCH45901</v>
      </c>
      <c r="B172" s="57">
        <f>COUNTIF(CONT_TEA[Unique Contract],CONT_TEA[[#This Row],[Unique Contract]])-1</f>
        <v>0</v>
      </c>
      <c r="C172" s="57">
        <f>IFERROR(IF(FIND(CONT_TEA[[#This Row],[SchoolCode]],_xlfn.XLOOKUP(CONT_TEA[[#This Row],[StaffMemberCode]],MEMBERS[StaffMemberCode],MEMBERS[SchoolCodes]))&gt;0,0,1),1)</f>
        <v>0</v>
      </c>
      <c r="D172" s="57" cm="1">
        <f t="array" ref="D172">IF(_xlfn.XLOOKUP(CONT_TEA[[#This Row],[StaffRoleCode]],ROLES[StaffRoleCode],ROLES[AvailableToAllSchools],1,0,)=TRUE,0,IF(ISERROR(FIND(CONT_TEA[[#This Row],[SchoolCode]],_xlfn.TEXTJOIN(",",TRUE,_xlfn.UNIQUE(IF(ROLES[StaffRoleCode]=CONT_TEA[[#This Row],[StaffRoleCode]],ROLES[SchoolCodes],""))))),1,0))</f>
        <v>0</v>
      </c>
      <c r="E172" s="57" cm="1">
        <f t="array" ref="E17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72" s="57" cm="1">
        <f t="array" ref="F172">IF(_xlfn.XLOOKUP(CONT_TEA[[#This Row],[PayScaleCode]],PAYSCALES[PayScaleCode],PAYSCALES[AvailableToAllSchools],1,0,)=TRUE,0,IF(ISERROR(FIND(CONT_TEA[[#This Row],[SchoolCode]],_xlfn.TEXTJOIN(",",TRUE,_xlfn.UNIQUE(IF(PAYSCALES[PayScaleCode]=CONT_TEA[[#This Row],[PayScaleCode]],PAYSCALES[SchoolCodes],""))))),1,0))</f>
        <v>0</v>
      </c>
      <c r="G172" s="57">
        <f>IF(_xlfn.XLOOKUP(CONT_TEA[[#This Row],[PayScaleGradeCode]],GRADES[PayScaleGradeCode],GRADES[AvailableToAllSchools])=TRUE,0,IFERROR(IF(FIND(CONT_TEA[[#This Row],[SchoolCode]],_xlfn.XLOOKUP(CONT_TEA[[#This Row],[PayScaleGradeCode]],GRADES[PayScaleGradeCode],GRADES[SchoolCodes]))&gt;=1,0,1),1))</f>
        <v>0</v>
      </c>
      <c r="H172" s="57">
        <f>IF(ISERROR(IF((_xlfn.XLOOKUP(CONT_TEA[[#This Row],[PayScaleGradeCode]],GRADES[PayScaleGradeCode],GRADES[PayScaleCode])=CONT_TEA[[#This Row],[PayScaleCode]]),0,1)),1,0)</f>
        <v>0</v>
      </c>
      <c r="I172" s="57" cm="1">
        <f t="array" ref="I172">IF(ISERROR(FIND(CONT_TEA[[#This Row],[PayScalePointCode]],_xlfn.TEXTJOIN(",",TRUE,IF(PSPOINTS[PayScaleCode]=CONT_TEA[[#This Row],[PayScaleCode]],PSPOINTS[PayScalePointCode])))),1,0)</f>
        <v>0</v>
      </c>
      <c r="J172" s="57" cm="1">
        <f t="array" ref="J17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72" s="57">
        <f>IF(_xlfn.XLOOKUP(CONT_TEA[[#This Row],[PayScalePointCode]],PSPOINTS[PayScalePointCode],PSPOINTS[PayScalePointEnabled])=TRUE,0,1)</f>
        <v>0</v>
      </c>
      <c r="L172" s="57" cm="1">
        <f t="array" ref="L172">IF(_xlfn.XLOOKUP(CONT_TEA[[#This Row],[DepartmentCode]],DEPTS[DepartmentCode],DEPTS[AvailableToAllSchools],1,0,)=TRUE,0,IF(ISERROR(FIND(CONT_TEA[[#This Row],[SchoolCode]],_xlfn.TEXTJOIN(",",TRUE,_xlfn.UNIQUE(IF(DEPTS[DepartmentCode]=CONT_TEA[[#This Row],[DepartmentCode]],DEPTS[SchoolCodes],""))))),1,0))</f>
        <v>0</v>
      </c>
      <c r="M172" s="57">
        <f>IFERROR(IF(_xlfn.XLOOKUP(CONT_TEA[[#This Row],[SRG Gross]],FinanceCodesBudget[FinanceCode],FinanceCodesBudget[LedgerCode])=_xlfn.XLOOKUP(CONT_TEA[[#This Row],[DepartmentCode]],DEPTS[DepartmentCode],DEPTS[LedgerCode]),0,1),1)</f>
        <v>1</v>
      </c>
      <c r="N172" s="57" cm="1">
        <f t="array" ref="N172">IF(_xlfn.XLOOKUP(CONT_TEA[[#This Row],[PensionCode]],PENS[PensionCode],PENS[AvailableToAllSchools],1,0,)=TRUE,0,IF(ISERROR(FIND(CONT_TEA[[#This Row],[SchoolCode]],_xlfn.TEXTJOIN(",",TRUE,_xlfn.UNIQUE(IF(PENS[PensionCode]=CONT_TEA[[#This Row],[PensionCode]],PENS[SchoolCodes],""))))),1,0))</f>
        <v>0</v>
      </c>
      <c r="O172" s="57" cm="1">
        <f t="array" ref="O172">IF(_xlfn.XLOOKUP(CONT_TEA[[#This Row],[EquatedWeekPatternCode]],EQW[EquatedWeekPatternCode],EQW[AvailableToAllSchools],1,0,)=TRUE,0,IF(ISERROR(FIND(CONT_TEA[[#This Row],[SchoolCode]],_xlfn.TEXTJOIN(",",TRUE,_xlfn.UNIQUE(IF(EQW[EquatedWeekPatternCode]=CONT_TEA[[#This Row],[EquatedWeekPatternCode]],EQW[SchoolCodes],""))))),1,0))</f>
        <v>0</v>
      </c>
      <c r="P172" s="57">
        <f>1-COUNTIF(ContractTypes[Code],CONT_TEA[[#This Row],[ContractTypeCode]])</f>
        <v>0</v>
      </c>
      <c r="Q172" s="57">
        <f>IF(VLOOKUP(CONT_TEA[[#This Row],[StaffMemberCode]],MEMBERS[[StaffMemberCode]:[ServiceStartDate]],5,0)&gt;CONT_TEA[[#This Row],[DateFrom]],1,0)</f>
        <v>0</v>
      </c>
      <c r="R172" s="57">
        <f>IF(_xlfn.XLOOKUP(CONT_TEA[[#This Row],[StaffMemberCode]],MEMBERS[StaffMemberCode],MEMBERS[ServiceEndDate])="",0,IF(CONT_TEA[[#This Row],[DateTo]]="",1,IF(_xlfn.XLOOKUP(CONT_TEA[[#This Row],[StaffMemberCode]],MEMBERS[StaffMemberCode],MEMBERS[ServiceEndDate])&lt;CONT_TEA[[#This Row],[DateTo]],1,0)))</f>
        <v>0</v>
      </c>
      <c r="S172" s="57">
        <f>IF(ISBLANK(CONT_TEA[[#This Row],[DateTo]]),0,IF(CONT_TEA[[#This Row],[DateFrom]]=CONT_TEA[[#This Row],[DateTo]],0,IF(CONT_TEA[[#This Row],[DateFrom]]&lt;CONT_TEA[[#This Row],[DateTo]],0,1)))</f>
        <v>0</v>
      </c>
      <c r="T172" s="57" cm="1">
        <f t="array" aca="1" ref="T172" ca="1">IF(CELL("format",CONT_TEA[[#This Row],[DateFrom]])="D1",0,1)+IF(CELL("format",CONT_TEA[[#This Row],[DateTo]])="D1",0,1)</f>
        <v>0</v>
      </c>
      <c r="U172" s="57">
        <f>IF(OR(CONT_TEA[[#This Row],[MatEditOnly]]=TRUE,CONT_TEA[[#This Row],[MatEditOnly]]=FALSE),IF(OR(CONT_TEA[[#This Row],[NoIncrement]]=TRUE,CONT_TEA[[#This Row],[NoIncrement]]=FALSE),0,1),1)</f>
        <v>0</v>
      </c>
      <c r="V172" s="57">
        <f>IF(ISBLANK(CONT_TEA[[#This Row],[FundCode]])=TRUE,0,IF(COUNTIF(FUNDS[FundCode],CONT_TEA[[#This Row],[FundCode]])=1,0,1))</f>
        <v>0</v>
      </c>
      <c r="W172" s="57">
        <f>IF(LEN(CONT_TEA[[#This Row],[Notes]])&lt;4000,0,1)</f>
        <v>0</v>
      </c>
      <c r="X172" s="57">
        <f>IF(SUBSTITUTE(TEXT(CONT_TEA[[#This Row],[Reference]],10)," ","")=TEXT(CONT_TEA[[#This Row],[Reference]],10),0,1)</f>
        <v>0</v>
      </c>
      <c r="Y172" s="57">
        <f ca="1">SUM(CONT_TEA[[#This Row],[Duplicate Contract]:[Space in Code]])</f>
        <v>1</v>
      </c>
      <c r="AA172" s="12" t="s">
        <v>2266</v>
      </c>
      <c r="AB172" s="15">
        <v>91073885</v>
      </c>
      <c r="AC172" s="12" t="s">
        <v>4520</v>
      </c>
      <c r="AD172" s="57" t="str">
        <f>_xlfn.XLOOKUP(CONT_TEA[[#This Row],[StaffMemberCode]],StaffMembers!O:O,StaffMembers!R:R)</f>
        <v>Jayne Harry</v>
      </c>
      <c r="AE172" s="12" t="s">
        <v>1178</v>
      </c>
      <c r="AF172" s="57">
        <f>_xlfn.XLOOKUP(CONT_TEA[[#This Row],[SRG]],SRG[StaffRoleGroupCode],SRG[GrossSalaryFinanceCode])</f>
        <v>612100</v>
      </c>
      <c r="AG172" s="57" t="str">
        <f>_xlfn.XLOOKUP(CONT_TEA[[#This Row],[StaffRoleCode]],ROLES[StaffRoleCode],ROLES[StaffRoleGroupCode])</f>
        <v>TEA</v>
      </c>
      <c r="AH172" s="57" t="str">
        <f>_xlfn.XLOOKUP(CONT_TEA[[#This Row],[StaffRoleCode]],ROLES[StaffRoleCode],ROLES[PayScaleCode])</f>
        <v>MAIN</v>
      </c>
      <c r="AI172" s="12" t="s">
        <v>1126</v>
      </c>
      <c r="AJ172" s="12" t="s">
        <v>3074</v>
      </c>
      <c r="AK172" s="12" t="s">
        <v>2499</v>
      </c>
      <c r="AM172" s="68" t="s">
        <v>1147</v>
      </c>
      <c r="AN172" s="13" t="s">
        <v>1702</v>
      </c>
      <c r="AO172" s="21">
        <v>45901</v>
      </c>
      <c r="AQ172" s="12">
        <v>1</v>
      </c>
      <c r="AR172" t="b">
        <v>0</v>
      </c>
      <c r="AS172" t="b">
        <v>0</v>
      </c>
      <c r="AT172" s="12" t="s">
        <v>1574</v>
      </c>
    </row>
    <row r="173" spans="1:47" x14ac:dyDescent="0.3">
      <c r="A173" s="57" t="str">
        <f t="shared" si="3"/>
        <v>BLS9107344291073442ATEASTCH45901</v>
      </c>
      <c r="B173" s="57">
        <f>COUNTIF(CONT_TEA[Unique Contract],CONT_TEA[[#This Row],[Unique Contract]])-1</f>
        <v>0</v>
      </c>
      <c r="C173" s="57">
        <f>IFERROR(IF(FIND(CONT_TEA[[#This Row],[SchoolCode]],_xlfn.XLOOKUP(CONT_TEA[[#This Row],[StaffMemberCode]],MEMBERS[StaffMemberCode],MEMBERS[SchoolCodes]))&gt;0,0,1),1)</f>
        <v>0</v>
      </c>
      <c r="D173" s="57" cm="1">
        <f t="array" ref="D173">IF(_xlfn.XLOOKUP(CONT_TEA[[#This Row],[StaffRoleCode]],ROLES[StaffRoleCode],ROLES[AvailableToAllSchools],1,0,)=TRUE,0,IF(ISERROR(FIND(CONT_TEA[[#This Row],[SchoolCode]],_xlfn.TEXTJOIN(",",TRUE,_xlfn.UNIQUE(IF(ROLES[StaffRoleCode]=CONT_TEA[[#This Row],[StaffRoleCode]],ROLES[SchoolCodes],""))))),1,0))</f>
        <v>0</v>
      </c>
      <c r="E173" s="57" cm="1">
        <f t="array" ref="E17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73" s="57" cm="1">
        <f t="array" ref="F173">IF(_xlfn.XLOOKUP(CONT_TEA[[#This Row],[PayScaleCode]],PAYSCALES[PayScaleCode],PAYSCALES[AvailableToAllSchools],1,0,)=TRUE,0,IF(ISERROR(FIND(CONT_TEA[[#This Row],[SchoolCode]],_xlfn.TEXTJOIN(",",TRUE,_xlfn.UNIQUE(IF(PAYSCALES[PayScaleCode]=CONT_TEA[[#This Row],[PayScaleCode]],PAYSCALES[SchoolCodes],""))))),1,0))</f>
        <v>0</v>
      </c>
      <c r="G173" s="57">
        <f>IF(_xlfn.XLOOKUP(CONT_TEA[[#This Row],[PayScaleGradeCode]],GRADES[PayScaleGradeCode],GRADES[AvailableToAllSchools])=TRUE,0,IFERROR(IF(FIND(CONT_TEA[[#This Row],[SchoolCode]],_xlfn.XLOOKUP(CONT_TEA[[#This Row],[PayScaleGradeCode]],GRADES[PayScaleGradeCode],GRADES[SchoolCodes]))&gt;=1,0,1),1))</f>
        <v>0</v>
      </c>
      <c r="H173" s="57">
        <f>IF(ISERROR(IF((_xlfn.XLOOKUP(CONT_TEA[[#This Row],[PayScaleGradeCode]],GRADES[PayScaleGradeCode],GRADES[PayScaleCode])=CONT_TEA[[#This Row],[PayScaleCode]]),0,1)),1,0)</f>
        <v>0</v>
      </c>
      <c r="I173" s="57" cm="1">
        <f t="array" ref="I173">IF(ISERROR(FIND(CONT_TEA[[#This Row],[PayScalePointCode]],_xlfn.TEXTJOIN(",",TRUE,IF(PSPOINTS[PayScaleCode]=CONT_TEA[[#This Row],[PayScaleCode]],PSPOINTS[PayScalePointCode])))),1,0)</f>
        <v>0</v>
      </c>
      <c r="J173" s="57" cm="1">
        <f t="array" ref="J17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73" s="57">
        <f>IF(_xlfn.XLOOKUP(CONT_TEA[[#This Row],[PayScalePointCode]],PSPOINTS[PayScalePointCode],PSPOINTS[PayScalePointEnabled])=TRUE,0,1)</f>
        <v>0</v>
      </c>
      <c r="L173" s="57" cm="1">
        <f t="array" ref="L173">IF(_xlfn.XLOOKUP(CONT_TEA[[#This Row],[DepartmentCode]],DEPTS[DepartmentCode],DEPTS[AvailableToAllSchools],1,0,)=TRUE,0,IF(ISERROR(FIND(CONT_TEA[[#This Row],[SchoolCode]],_xlfn.TEXTJOIN(",",TRUE,_xlfn.UNIQUE(IF(DEPTS[DepartmentCode]=CONT_TEA[[#This Row],[DepartmentCode]],DEPTS[SchoolCodes],""))))),1,0))</f>
        <v>0</v>
      </c>
      <c r="M173" s="57">
        <f>IFERROR(IF(_xlfn.XLOOKUP(CONT_TEA[[#This Row],[SRG Gross]],FinanceCodesBudget[FinanceCode],FinanceCodesBudget[LedgerCode])=_xlfn.XLOOKUP(CONT_TEA[[#This Row],[DepartmentCode]],DEPTS[DepartmentCode],DEPTS[LedgerCode]),0,1),1)</f>
        <v>1</v>
      </c>
      <c r="N173" s="57" cm="1">
        <f t="array" ref="N173">IF(_xlfn.XLOOKUP(CONT_TEA[[#This Row],[PensionCode]],PENS[PensionCode],PENS[AvailableToAllSchools],1,0,)=TRUE,0,IF(ISERROR(FIND(CONT_TEA[[#This Row],[SchoolCode]],_xlfn.TEXTJOIN(",",TRUE,_xlfn.UNIQUE(IF(PENS[PensionCode]=CONT_TEA[[#This Row],[PensionCode]],PENS[SchoolCodes],""))))),1,0))</f>
        <v>0</v>
      </c>
      <c r="O173" s="57" cm="1">
        <f t="array" ref="O173">IF(_xlfn.XLOOKUP(CONT_TEA[[#This Row],[EquatedWeekPatternCode]],EQW[EquatedWeekPatternCode],EQW[AvailableToAllSchools],1,0,)=TRUE,0,IF(ISERROR(FIND(CONT_TEA[[#This Row],[SchoolCode]],_xlfn.TEXTJOIN(",",TRUE,_xlfn.UNIQUE(IF(EQW[EquatedWeekPatternCode]=CONT_TEA[[#This Row],[EquatedWeekPatternCode]],EQW[SchoolCodes],""))))),1,0))</f>
        <v>0</v>
      </c>
      <c r="P173" s="57">
        <f>1-COUNTIF(ContractTypes[Code],CONT_TEA[[#This Row],[ContractTypeCode]])</f>
        <v>0</v>
      </c>
      <c r="Q173" s="57">
        <f>IF(VLOOKUP(CONT_TEA[[#This Row],[StaffMemberCode]],MEMBERS[[StaffMemberCode]:[ServiceStartDate]],5,0)&gt;CONT_TEA[[#This Row],[DateFrom]],1,0)</f>
        <v>0</v>
      </c>
      <c r="R173" s="57">
        <f>IF(_xlfn.XLOOKUP(CONT_TEA[[#This Row],[StaffMemberCode]],MEMBERS[StaffMemberCode],MEMBERS[ServiceEndDate])="",0,IF(CONT_TEA[[#This Row],[DateTo]]="",1,IF(_xlfn.XLOOKUP(CONT_TEA[[#This Row],[StaffMemberCode]],MEMBERS[StaffMemberCode],MEMBERS[ServiceEndDate])&lt;CONT_TEA[[#This Row],[DateTo]],1,0)))</f>
        <v>0</v>
      </c>
      <c r="S173" s="57">
        <f>IF(ISBLANK(CONT_TEA[[#This Row],[DateTo]]),0,IF(CONT_TEA[[#This Row],[DateFrom]]=CONT_TEA[[#This Row],[DateTo]],0,IF(CONT_TEA[[#This Row],[DateFrom]]&lt;CONT_TEA[[#This Row],[DateTo]],0,1)))</f>
        <v>0</v>
      </c>
      <c r="T173" s="57" cm="1">
        <f t="array" aca="1" ref="T173" ca="1">IF(CELL("format",CONT_TEA[[#This Row],[DateFrom]])="D1",0,1)+IF(CELL("format",CONT_TEA[[#This Row],[DateTo]])="D1",0,1)</f>
        <v>0</v>
      </c>
      <c r="U173" s="57">
        <f>IF(OR(CONT_TEA[[#This Row],[MatEditOnly]]=TRUE,CONT_TEA[[#This Row],[MatEditOnly]]=FALSE),IF(OR(CONT_TEA[[#This Row],[NoIncrement]]=TRUE,CONT_TEA[[#This Row],[NoIncrement]]=FALSE),0,1),1)</f>
        <v>0</v>
      </c>
      <c r="V173" s="57">
        <f>IF(ISBLANK(CONT_TEA[[#This Row],[FundCode]])=TRUE,0,IF(COUNTIF(FUNDS[FundCode],CONT_TEA[[#This Row],[FundCode]])=1,0,1))</f>
        <v>0</v>
      </c>
      <c r="W173" s="57">
        <f>IF(LEN(CONT_TEA[[#This Row],[Notes]])&lt;4000,0,1)</f>
        <v>0</v>
      </c>
      <c r="X173" s="57">
        <f>IF(SUBSTITUTE(TEXT(CONT_TEA[[#This Row],[Reference]],10)," ","")=TEXT(CONT_TEA[[#This Row],[Reference]],10),0,1)</f>
        <v>0</v>
      </c>
      <c r="Y173" s="57">
        <f ca="1">SUM(CONT_TEA[[#This Row],[Duplicate Contract]:[Space in Code]])</f>
        <v>1</v>
      </c>
      <c r="AA173" s="12" t="s">
        <v>2094</v>
      </c>
      <c r="AB173" s="15">
        <v>91073442</v>
      </c>
      <c r="AC173" s="12" t="s">
        <v>4521</v>
      </c>
      <c r="AD173" s="57" t="str">
        <f>_xlfn.XLOOKUP(CONT_TEA[[#This Row],[StaffMemberCode]],StaffMembers!O:O,StaffMembers!R:R)</f>
        <v>Jayne McEwan</v>
      </c>
      <c r="AE173" s="12" t="s">
        <v>1178</v>
      </c>
      <c r="AF173" s="57">
        <f>_xlfn.XLOOKUP(CONT_TEA[[#This Row],[SRG]],SRG[StaffRoleGroupCode],SRG[GrossSalaryFinanceCode])</f>
        <v>612100</v>
      </c>
      <c r="AG173" s="57" t="str">
        <f>_xlfn.XLOOKUP(CONT_TEA[[#This Row],[StaffRoleCode]],ROLES[StaffRoleCode],ROLES[StaffRoleGroupCode])</f>
        <v>TEA</v>
      </c>
      <c r="AH173" s="57" t="str">
        <f>_xlfn.XLOOKUP(CONT_TEA[[#This Row],[StaffRoleCode]],ROLES[StaffRoleCode],ROLES[PayScaleCode])</f>
        <v>MAIN</v>
      </c>
      <c r="AI173" s="12" t="s">
        <v>1126</v>
      </c>
      <c r="AJ173" s="12" t="s">
        <v>1546</v>
      </c>
      <c r="AK173" s="12" t="s">
        <v>2499</v>
      </c>
      <c r="AM173" s="68" t="s">
        <v>1147</v>
      </c>
      <c r="AN173" s="13" t="s">
        <v>1702</v>
      </c>
      <c r="AO173" s="21">
        <v>45901</v>
      </c>
      <c r="AQ173" s="12">
        <v>1</v>
      </c>
      <c r="AR173" t="b">
        <v>0</v>
      </c>
      <c r="AS173" t="b">
        <v>0</v>
      </c>
      <c r="AT173" s="12" t="s">
        <v>1574</v>
      </c>
    </row>
    <row r="174" spans="1:47" x14ac:dyDescent="0.3">
      <c r="A174" s="57" t="str">
        <f t="shared" si="3"/>
        <v>ALS9107377591073775ATEASTCH45901</v>
      </c>
      <c r="B174" s="57">
        <f>COUNTIF(CONT_TEA[Unique Contract],CONT_TEA[[#This Row],[Unique Contract]])-1</f>
        <v>0</v>
      </c>
      <c r="C174" s="57">
        <f>IFERROR(IF(FIND(CONT_TEA[[#This Row],[SchoolCode]],_xlfn.XLOOKUP(CONT_TEA[[#This Row],[StaffMemberCode]],MEMBERS[StaffMemberCode],MEMBERS[SchoolCodes]))&gt;0,0,1),1)</f>
        <v>0</v>
      </c>
      <c r="D174" s="57" cm="1">
        <f t="array" ref="D174">IF(_xlfn.XLOOKUP(CONT_TEA[[#This Row],[StaffRoleCode]],ROLES[StaffRoleCode],ROLES[AvailableToAllSchools],1,0,)=TRUE,0,IF(ISERROR(FIND(CONT_TEA[[#This Row],[SchoolCode]],_xlfn.TEXTJOIN(",",TRUE,_xlfn.UNIQUE(IF(ROLES[StaffRoleCode]=CONT_TEA[[#This Row],[StaffRoleCode]],ROLES[SchoolCodes],""))))),1,0))</f>
        <v>0</v>
      </c>
      <c r="E174" s="57" cm="1">
        <f t="array" ref="E17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74" s="57" cm="1">
        <f t="array" ref="F174">IF(_xlfn.XLOOKUP(CONT_TEA[[#This Row],[PayScaleCode]],PAYSCALES[PayScaleCode],PAYSCALES[AvailableToAllSchools],1,0,)=TRUE,0,IF(ISERROR(FIND(CONT_TEA[[#This Row],[SchoolCode]],_xlfn.TEXTJOIN(",",TRUE,_xlfn.UNIQUE(IF(PAYSCALES[PayScaleCode]=CONT_TEA[[#This Row],[PayScaleCode]],PAYSCALES[SchoolCodes],""))))),1,0))</f>
        <v>0</v>
      </c>
      <c r="G174" s="57">
        <f>IF(_xlfn.XLOOKUP(CONT_TEA[[#This Row],[PayScaleGradeCode]],GRADES[PayScaleGradeCode],GRADES[AvailableToAllSchools])=TRUE,0,IFERROR(IF(FIND(CONT_TEA[[#This Row],[SchoolCode]],_xlfn.XLOOKUP(CONT_TEA[[#This Row],[PayScaleGradeCode]],GRADES[PayScaleGradeCode],GRADES[SchoolCodes]))&gt;=1,0,1),1))</f>
        <v>0</v>
      </c>
      <c r="H174" s="57">
        <f>IF(ISERROR(IF((_xlfn.XLOOKUP(CONT_TEA[[#This Row],[PayScaleGradeCode]],GRADES[PayScaleGradeCode],GRADES[PayScaleCode])=CONT_TEA[[#This Row],[PayScaleCode]]),0,1)),1,0)</f>
        <v>0</v>
      </c>
      <c r="I174" s="57" cm="1">
        <f t="array" ref="I174">IF(ISERROR(FIND(CONT_TEA[[#This Row],[PayScalePointCode]],_xlfn.TEXTJOIN(",",TRUE,IF(PSPOINTS[PayScaleCode]=CONT_TEA[[#This Row],[PayScaleCode]],PSPOINTS[PayScalePointCode])))),1,0)</f>
        <v>0</v>
      </c>
      <c r="J174" s="57" cm="1">
        <f t="array" ref="J17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74" s="57">
        <f>IF(_xlfn.XLOOKUP(CONT_TEA[[#This Row],[PayScalePointCode]],PSPOINTS[PayScalePointCode],PSPOINTS[PayScalePointEnabled])=TRUE,0,1)</f>
        <v>0</v>
      </c>
      <c r="L174" s="57" cm="1">
        <f t="array" ref="L174">IF(_xlfn.XLOOKUP(CONT_TEA[[#This Row],[DepartmentCode]],DEPTS[DepartmentCode],DEPTS[AvailableToAllSchools],1,0,)=TRUE,0,IF(ISERROR(FIND(CONT_TEA[[#This Row],[SchoolCode]],_xlfn.TEXTJOIN(",",TRUE,_xlfn.UNIQUE(IF(DEPTS[DepartmentCode]=CONT_TEA[[#This Row],[DepartmentCode]],DEPTS[SchoolCodes],""))))),1,0))</f>
        <v>0</v>
      </c>
      <c r="M174" s="57">
        <f>IFERROR(IF(_xlfn.XLOOKUP(CONT_TEA[[#This Row],[SRG Gross]],FinanceCodesBudget[FinanceCode],FinanceCodesBudget[LedgerCode])=_xlfn.XLOOKUP(CONT_TEA[[#This Row],[DepartmentCode]],DEPTS[DepartmentCode],DEPTS[LedgerCode]),0,1),1)</f>
        <v>1</v>
      </c>
      <c r="N174" s="57" cm="1">
        <f t="array" ref="N174">IF(_xlfn.XLOOKUP(CONT_TEA[[#This Row],[PensionCode]],PENS[PensionCode],PENS[AvailableToAllSchools],1,0,)=TRUE,0,IF(ISERROR(FIND(CONT_TEA[[#This Row],[SchoolCode]],_xlfn.TEXTJOIN(",",TRUE,_xlfn.UNIQUE(IF(PENS[PensionCode]=CONT_TEA[[#This Row],[PensionCode]],PENS[SchoolCodes],""))))),1,0))</f>
        <v>0</v>
      </c>
      <c r="O174" s="57" cm="1">
        <f t="array" ref="O174">IF(_xlfn.XLOOKUP(CONT_TEA[[#This Row],[EquatedWeekPatternCode]],EQW[EquatedWeekPatternCode],EQW[AvailableToAllSchools],1,0,)=TRUE,0,IF(ISERROR(FIND(CONT_TEA[[#This Row],[SchoolCode]],_xlfn.TEXTJOIN(",",TRUE,_xlfn.UNIQUE(IF(EQW[EquatedWeekPatternCode]=CONT_TEA[[#This Row],[EquatedWeekPatternCode]],EQW[SchoolCodes],""))))),1,0))</f>
        <v>0</v>
      </c>
      <c r="P174" s="57">
        <f>1-COUNTIF(ContractTypes[Code],CONT_TEA[[#This Row],[ContractTypeCode]])</f>
        <v>0</v>
      </c>
      <c r="Q174" s="57">
        <f>IF(VLOOKUP(CONT_TEA[[#This Row],[StaffMemberCode]],MEMBERS[[StaffMemberCode]:[ServiceStartDate]],5,0)&gt;CONT_TEA[[#This Row],[DateFrom]],1,0)</f>
        <v>0</v>
      </c>
      <c r="R174" s="57">
        <f>IF(_xlfn.XLOOKUP(CONT_TEA[[#This Row],[StaffMemberCode]],MEMBERS[StaffMemberCode],MEMBERS[ServiceEndDate])="",0,IF(CONT_TEA[[#This Row],[DateTo]]="",1,IF(_xlfn.XLOOKUP(CONT_TEA[[#This Row],[StaffMemberCode]],MEMBERS[StaffMemberCode],MEMBERS[ServiceEndDate])&lt;CONT_TEA[[#This Row],[DateTo]],1,0)))</f>
        <v>0</v>
      </c>
      <c r="S174" s="57">
        <f>IF(ISBLANK(CONT_TEA[[#This Row],[DateTo]]),0,IF(CONT_TEA[[#This Row],[DateFrom]]=CONT_TEA[[#This Row],[DateTo]],0,IF(CONT_TEA[[#This Row],[DateFrom]]&lt;CONT_TEA[[#This Row],[DateTo]],0,1)))</f>
        <v>0</v>
      </c>
      <c r="T174" s="57" cm="1">
        <f t="array" aca="1" ref="T174" ca="1">IF(CELL("format",CONT_TEA[[#This Row],[DateFrom]])="D1",0,1)+IF(CELL("format",CONT_TEA[[#This Row],[DateTo]])="D1",0,1)</f>
        <v>0</v>
      </c>
      <c r="U174" s="57">
        <f>IF(OR(CONT_TEA[[#This Row],[MatEditOnly]]=TRUE,CONT_TEA[[#This Row],[MatEditOnly]]=FALSE),IF(OR(CONT_TEA[[#This Row],[NoIncrement]]=TRUE,CONT_TEA[[#This Row],[NoIncrement]]=FALSE),0,1),1)</f>
        <v>0</v>
      </c>
      <c r="V174" s="57">
        <f>IF(ISBLANK(CONT_TEA[[#This Row],[FundCode]])=TRUE,0,IF(COUNTIF(FUNDS[FundCode],CONT_TEA[[#This Row],[FundCode]])=1,0,1))</f>
        <v>0</v>
      </c>
      <c r="W174" s="57">
        <f>IF(LEN(CONT_TEA[[#This Row],[Notes]])&lt;4000,0,1)</f>
        <v>0</v>
      </c>
      <c r="X174" s="57">
        <f>IF(SUBSTITUTE(TEXT(CONT_TEA[[#This Row],[Reference]],10)," ","")=TEXT(CONT_TEA[[#This Row],[Reference]],10),0,1)</f>
        <v>0</v>
      </c>
      <c r="Y174" s="57">
        <f ca="1">SUM(CONT_TEA[[#This Row],[Duplicate Contract]:[Space in Code]])</f>
        <v>1</v>
      </c>
      <c r="AA174" s="12" t="s">
        <v>2082</v>
      </c>
      <c r="AB174" s="15">
        <v>91073775</v>
      </c>
      <c r="AC174" s="12" t="s">
        <v>4522</v>
      </c>
      <c r="AD174" s="57" t="str">
        <f>_xlfn.XLOOKUP(CONT_TEA[[#This Row],[StaffMemberCode]],StaffMembers!O:O,StaffMembers!R:R)</f>
        <v>Jennifer Bourne</v>
      </c>
      <c r="AE174" s="12" t="s">
        <v>1178</v>
      </c>
      <c r="AF174" s="57">
        <f>_xlfn.XLOOKUP(CONT_TEA[[#This Row],[SRG]],SRG[StaffRoleGroupCode],SRG[GrossSalaryFinanceCode])</f>
        <v>612100</v>
      </c>
      <c r="AG174" s="57" t="str">
        <f>_xlfn.XLOOKUP(CONT_TEA[[#This Row],[StaffRoleCode]],ROLES[StaffRoleCode],ROLES[StaffRoleGroupCode])</f>
        <v>TEA</v>
      </c>
      <c r="AH174" s="57" t="str">
        <f>_xlfn.XLOOKUP(CONT_TEA[[#This Row],[StaffRoleCode]],ROLES[StaffRoleCode],ROLES[PayScaleCode])</f>
        <v>MAIN</v>
      </c>
      <c r="AI174" s="12" t="s">
        <v>1126</v>
      </c>
      <c r="AJ174" s="12" t="s">
        <v>1745</v>
      </c>
      <c r="AK174" s="12" t="s">
        <v>2499</v>
      </c>
      <c r="AM174" s="68" t="s">
        <v>1147</v>
      </c>
      <c r="AN174" s="13" t="s">
        <v>1702</v>
      </c>
      <c r="AO174" s="21">
        <v>45901</v>
      </c>
      <c r="AQ174" s="12">
        <v>0.6</v>
      </c>
      <c r="AR174" t="b">
        <v>0</v>
      </c>
      <c r="AS174" t="b">
        <v>0</v>
      </c>
      <c r="AT174" s="12" t="s">
        <v>1574</v>
      </c>
    </row>
    <row r="175" spans="1:47" x14ac:dyDescent="0.3">
      <c r="A175" s="57" t="str">
        <f t="shared" si="3"/>
        <v>BLS9107343791073437ATEASTCH45901</v>
      </c>
      <c r="B175" s="57">
        <f>COUNTIF(CONT_TEA[Unique Contract],CONT_TEA[[#This Row],[Unique Contract]])-1</f>
        <v>0</v>
      </c>
      <c r="C175" s="57">
        <f>IFERROR(IF(FIND(CONT_TEA[[#This Row],[SchoolCode]],_xlfn.XLOOKUP(CONT_TEA[[#This Row],[StaffMemberCode]],MEMBERS[StaffMemberCode],MEMBERS[SchoolCodes]))&gt;0,0,1),1)</f>
        <v>0</v>
      </c>
      <c r="D175" s="57" cm="1">
        <f t="array" ref="D175">IF(_xlfn.XLOOKUP(CONT_TEA[[#This Row],[StaffRoleCode]],ROLES[StaffRoleCode],ROLES[AvailableToAllSchools],1,0,)=TRUE,0,IF(ISERROR(FIND(CONT_TEA[[#This Row],[SchoolCode]],_xlfn.TEXTJOIN(",",TRUE,_xlfn.UNIQUE(IF(ROLES[StaffRoleCode]=CONT_TEA[[#This Row],[StaffRoleCode]],ROLES[SchoolCodes],""))))),1,0))</f>
        <v>0</v>
      </c>
      <c r="E175" s="57" cm="1">
        <f t="array" ref="E17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75" s="57" cm="1">
        <f t="array" ref="F175">IF(_xlfn.XLOOKUP(CONT_TEA[[#This Row],[PayScaleCode]],PAYSCALES[PayScaleCode],PAYSCALES[AvailableToAllSchools],1,0,)=TRUE,0,IF(ISERROR(FIND(CONT_TEA[[#This Row],[SchoolCode]],_xlfn.TEXTJOIN(",",TRUE,_xlfn.UNIQUE(IF(PAYSCALES[PayScaleCode]=CONT_TEA[[#This Row],[PayScaleCode]],PAYSCALES[SchoolCodes],""))))),1,0))</f>
        <v>0</v>
      </c>
      <c r="G175" s="57">
        <f>IF(_xlfn.XLOOKUP(CONT_TEA[[#This Row],[PayScaleGradeCode]],GRADES[PayScaleGradeCode],GRADES[AvailableToAllSchools])=TRUE,0,IFERROR(IF(FIND(CONT_TEA[[#This Row],[SchoolCode]],_xlfn.XLOOKUP(CONT_TEA[[#This Row],[PayScaleGradeCode]],GRADES[PayScaleGradeCode],GRADES[SchoolCodes]))&gt;=1,0,1),1))</f>
        <v>0</v>
      </c>
      <c r="H175" s="57">
        <f>IF(ISERROR(IF((_xlfn.XLOOKUP(CONT_TEA[[#This Row],[PayScaleGradeCode]],GRADES[PayScaleGradeCode],GRADES[PayScaleCode])=CONT_TEA[[#This Row],[PayScaleCode]]),0,1)),1,0)</f>
        <v>0</v>
      </c>
      <c r="I175" s="57" cm="1">
        <f t="array" ref="I175">IF(ISERROR(FIND(CONT_TEA[[#This Row],[PayScalePointCode]],_xlfn.TEXTJOIN(",",TRUE,IF(PSPOINTS[PayScaleCode]=CONT_TEA[[#This Row],[PayScaleCode]],PSPOINTS[PayScalePointCode])))),1,0)</f>
        <v>0</v>
      </c>
      <c r="J175" s="57" cm="1">
        <f t="array" ref="J17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75" s="57">
        <f>IF(_xlfn.XLOOKUP(CONT_TEA[[#This Row],[PayScalePointCode]],PSPOINTS[PayScalePointCode],PSPOINTS[PayScalePointEnabled])=TRUE,0,1)</f>
        <v>0</v>
      </c>
      <c r="L175" s="57" cm="1">
        <f t="array" ref="L175">IF(_xlfn.XLOOKUP(CONT_TEA[[#This Row],[DepartmentCode]],DEPTS[DepartmentCode],DEPTS[AvailableToAllSchools],1,0,)=TRUE,0,IF(ISERROR(FIND(CONT_TEA[[#This Row],[SchoolCode]],_xlfn.TEXTJOIN(",",TRUE,_xlfn.UNIQUE(IF(DEPTS[DepartmentCode]=CONT_TEA[[#This Row],[DepartmentCode]],DEPTS[SchoolCodes],""))))),1,0))</f>
        <v>0</v>
      </c>
      <c r="M175" s="57">
        <f>IFERROR(IF(_xlfn.XLOOKUP(CONT_TEA[[#This Row],[SRG Gross]],FinanceCodesBudget[FinanceCode],FinanceCodesBudget[LedgerCode])=_xlfn.XLOOKUP(CONT_TEA[[#This Row],[DepartmentCode]],DEPTS[DepartmentCode],DEPTS[LedgerCode]),0,1),1)</f>
        <v>1</v>
      </c>
      <c r="N175" s="57" cm="1">
        <f t="array" ref="N175">IF(_xlfn.XLOOKUP(CONT_TEA[[#This Row],[PensionCode]],PENS[PensionCode],PENS[AvailableToAllSchools],1,0,)=TRUE,0,IF(ISERROR(FIND(CONT_TEA[[#This Row],[SchoolCode]],_xlfn.TEXTJOIN(",",TRUE,_xlfn.UNIQUE(IF(PENS[PensionCode]=CONT_TEA[[#This Row],[PensionCode]],PENS[SchoolCodes],""))))),1,0))</f>
        <v>0</v>
      </c>
      <c r="O175" s="57" cm="1">
        <f t="array" ref="O175">IF(_xlfn.XLOOKUP(CONT_TEA[[#This Row],[EquatedWeekPatternCode]],EQW[EquatedWeekPatternCode],EQW[AvailableToAllSchools],1,0,)=TRUE,0,IF(ISERROR(FIND(CONT_TEA[[#This Row],[SchoolCode]],_xlfn.TEXTJOIN(",",TRUE,_xlfn.UNIQUE(IF(EQW[EquatedWeekPatternCode]=CONT_TEA[[#This Row],[EquatedWeekPatternCode]],EQW[SchoolCodes],""))))),1,0))</f>
        <v>0</v>
      </c>
      <c r="P175" s="57">
        <f>1-COUNTIF(ContractTypes[Code],CONT_TEA[[#This Row],[ContractTypeCode]])</f>
        <v>0</v>
      </c>
      <c r="Q175" s="57">
        <f>IF(VLOOKUP(CONT_TEA[[#This Row],[StaffMemberCode]],MEMBERS[[StaffMemberCode]:[ServiceStartDate]],5,0)&gt;CONT_TEA[[#This Row],[DateFrom]],1,0)</f>
        <v>0</v>
      </c>
      <c r="R175" s="57">
        <f>IF(_xlfn.XLOOKUP(CONT_TEA[[#This Row],[StaffMemberCode]],MEMBERS[StaffMemberCode],MEMBERS[ServiceEndDate])="",0,IF(CONT_TEA[[#This Row],[DateTo]]="",1,IF(_xlfn.XLOOKUP(CONT_TEA[[#This Row],[StaffMemberCode]],MEMBERS[StaffMemberCode],MEMBERS[ServiceEndDate])&lt;CONT_TEA[[#This Row],[DateTo]],1,0)))</f>
        <v>0</v>
      </c>
      <c r="S175" s="57">
        <f>IF(ISBLANK(CONT_TEA[[#This Row],[DateTo]]),0,IF(CONT_TEA[[#This Row],[DateFrom]]=CONT_TEA[[#This Row],[DateTo]],0,IF(CONT_TEA[[#This Row],[DateFrom]]&lt;CONT_TEA[[#This Row],[DateTo]],0,1)))</f>
        <v>0</v>
      </c>
      <c r="T175" s="57" cm="1">
        <f t="array" aca="1" ref="T175" ca="1">IF(CELL("format",CONT_TEA[[#This Row],[DateFrom]])="D1",0,1)+IF(CELL("format",CONT_TEA[[#This Row],[DateTo]])="D1",0,1)</f>
        <v>0</v>
      </c>
      <c r="U175" s="57">
        <f>IF(OR(CONT_TEA[[#This Row],[MatEditOnly]]=TRUE,CONT_TEA[[#This Row],[MatEditOnly]]=FALSE),IF(OR(CONT_TEA[[#This Row],[NoIncrement]]=TRUE,CONT_TEA[[#This Row],[NoIncrement]]=FALSE),0,1),1)</f>
        <v>0</v>
      </c>
      <c r="V175" s="57">
        <f>IF(ISBLANK(CONT_TEA[[#This Row],[FundCode]])=TRUE,0,IF(COUNTIF(FUNDS[FundCode],CONT_TEA[[#This Row],[FundCode]])=1,0,1))</f>
        <v>0</v>
      </c>
      <c r="W175" s="57">
        <f>IF(LEN(CONT_TEA[[#This Row],[Notes]])&lt;4000,0,1)</f>
        <v>0</v>
      </c>
      <c r="X175" s="57">
        <f>IF(SUBSTITUTE(TEXT(CONT_TEA[[#This Row],[Reference]],10)," ","")=TEXT(CONT_TEA[[#This Row],[Reference]],10),0,1)</f>
        <v>0</v>
      </c>
      <c r="Y175" s="57">
        <f ca="1">SUM(CONT_TEA[[#This Row],[Duplicate Contract]:[Space in Code]])</f>
        <v>1</v>
      </c>
      <c r="AA175" s="12" t="s">
        <v>2094</v>
      </c>
      <c r="AB175" s="15">
        <v>91073437</v>
      </c>
      <c r="AC175" s="12" t="s">
        <v>4523</v>
      </c>
      <c r="AD175" s="57" t="str">
        <f>_xlfn.XLOOKUP(CONT_TEA[[#This Row],[StaffMemberCode]],StaffMembers!O:O,StaffMembers!R:R)</f>
        <v>Jennifer Elliot</v>
      </c>
      <c r="AE175" s="12" t="s">
        <v>1178</v>
      </c>
      <c r="AF175" s="57">
        <f>_xlfn.XLOOKUP(CONT_TEA[[#This Row],[SRG]],SRG[StaffRoleGroupCode],SRG[GrossSalaryFinanceCode])</f>
        <v>612100</v>
      </c>
      <c r="AG175" s="57" t="str">
        <f>_xlfn.XLOOKUP(CONT_TEA[[#This Row],[StaffRoleCode]],ROLES[StaffRoleCode],ROLES[StaffRoleGroupCode])</f>
        <v>TEA</v>
      </c>
      <c r="AH175" s="57" t="str">
        <f>_xlfn.XLOOKUP(CONT_TEA[[#This Row],[StaffRoleCode]],ROLES[StaffRoleCode],ROLES[PayScaleCode])</f>
        <v>MAIN</v>
      </c>
      <c r="AI175" s="12" t="s">
        <v>1126</v>
      </c>
      <c r="AJ175" s="12" t="s">
        <v>1066</v>
      </c>
      <c r="AK175" s="12" t="s">
        <v>2499</v>
      </c>
      <c r="AM175" s="68" t="s">
        <v>1147</v>
      </c>
      <c r="AN175" s="13" t="s">
        <v>1702</v>
      </c>
      <c r="AO175" s="21">
        <v>45901</v>
      </c>
      <c r="AQ175" s="12">
        <v>1</v>
      </c>
      <c r="AR175" t="b">
        <v>0</v>
      </c>
      <c r="AS175" t="b">
        <v>0</v>
      </c>
      <c r="AT175" s="12" t="s">
        <v>1574</v>
      </c>
    </row>
    <row r="176" spans="1:47" x14ac:dyDescent="0.3">
      <c r="A176" s="57" t="str">
        <f t="shared" si="3"/>
        <v>ALS9107377491073774ATEASTCH45901</v>
      </c>
      <c r="B176" s="57">
        <f>COUNTIF(CONT_TEA[Unique Contract],CONT_TEA[[#This Row],[Unique Contract]])-1</f>
        <v>0</v>
      </c>
      <c r="C176" s="57">
        <f>IFERROR(IF(FIND(CONT_TEA[[#This Row],[SchoolCode]],_xlfn.XLOOKUP(CONT_TEA[[#This Row],[StaffMemberCode]],MEMBERS[StaffMemberCode],MEMBERS[SchoolCodes]))&gt;0,0,1),1)</f>
        <v>0</v>
      </c>
      <c r="D176" s="57" cm="1">
        <f t="array" ref="D176">IF(_xlfn.XLOOKUP(CONT_TEA[[#This Row],[StaffRoleCode]],ROLES[StaffRoleCode],ROLES[AvailableToAllSchools],1,0,)=TRUE,0,IF(ISERROR(FIND(CONT_TEA[[#This Row],[SchoolCode]],_xlfn.TEXTJOIN(",",TRUE,_xlfn.UNIQUE(IF(ROLES[StaffRoleCode]=CONT_TEA[[#This Row],[StaffRoleCode]],ROLES[SchoolCodes],""))))),1,0))</f>
        <v>0</v>
      </c>
      <c r="E176" s="57" cm="1">
        <f t="array" ref="E17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76" s="57" cm="1">
        <f t="array" ref="F176">IF(_xlfn.XLOOKUP(CONT_TEA[[#This Row],[PayScaleCode]],PAYSCALES[PayScaleCode],PAYSCALES[AvailableToAllSchools],1,0,)=TRUE,0,IF(ISERROR(FIND(CONT_TEA[[#This Row],[SchoolCode]],_xlfn.TEXTJOIN(",",TRUE,_xlfn.UNIQUE(IF(PAYSCALES[PayScaleCode]=CONT_TEA[[#This Row],[PayScaleCode]],PAYSCALES[SchoolCodes],""))))),1,0))</f>
        <v>0</v>
      </c>
      <c r="G176" s="57">
        <f>IF(_xlfn.XLOOKUP(CONT_TEA[[#This Row],[PayScaleGradeCode]],GRADES[PayScaleGradeCode],GRADES[AvailableToAllSchools])=TRUE,0,IFERROR(IF(FIND(CONT_TEA[[#This Row],[SchoolCode]],_xlfn.XLOOKUP(CONT_TEA[[#This Row],[PayScaleGradeCode]],GRADES[PayScaleGradeCode],GRADES[SchoolCodes]))&gt;=1,0,1),1))</f>
        <v>0</v>
      </c>
      <c r="H176" s="57">
        <f>IF(ISERROR(IF((_xlfn.XLOOKUP(CONT_TEA[[#This Row],[PayScaleGradeCode]],GRADES[PayScaleGradeCode],GRADES[PayScaleCode])=CONT_TEA[[#This Row],[PayScaleCode]]),0,1)),1,0)</f>
        <v>0</v>
      </c>
      <c r="I176" s="57" cm="1">
        <f t="array" ref="I176">IF(ISERROR(FIND(CONT_TEA[[#This Row],[PayScalePointCode]],_xlfn.TEXTJOIN(",",TRUE,IF(PSPOINTS[PayScaleCode]=CONT_TEA[[#This Row],[PayScaleCode]],PSPOINTS[PayScalePointCode])))),1,0)</f>
        <v>0</v>
      </c>
      <c r="J176" s="57" cm="1">
        <f t="array" ref="J17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76" s="57">
        <f>IF(_xlfn.XLOOKUP(CONT_TEA[[#This Row],[PayScalePointCode]],PSPOINTS[PayScalePointCode],PSPOINTS[PayScalePointEnabled])=TRUE,0,1)</f>
        <v>0</v>
      </c>
      <c r="L176" s="57" cm="1">
        <f t="array" ref="L176">IF(_xlfn.XLOOKUP(CONT_TEA[[#This Row],[DepartmentCode]],DEPTS[DepartmentCode],DEPTS[AvailableToAllSchools],1,0,)=TRUE,0,IF(ISERROR(FIND(CONT_TEA[[#This Row],[SchoolCode]],_xlfn.TEXTJOIN(",",TRUE,_xlfn.UNIQUE(IF(DEPTS[DepartmentCode]=CONT_TEA[[#This Row],[DepartmentCode]],DEPTS[SchoolCodes],""))))),1,0))</f>
        <v>0</v>
      </c>
      <c r="M176" s="57">
        <f>IFERROR(IF(_xlfn.XLOOKUP(CONT_TEA[[#This Row],[SRG Gross]],FinanceCodesBudget[FinanceCode],FinanceCodesBudget[LedgerCode])=_xlfn.XLOOKUP(CONT_TEA[[#This Row],[DepartmentCode]],DEPTS[DepartmentCode],DEPTS[LedgerCode]),0,1),1)</f>
        <v>1</v>
      </c>
      <c r="N176" s="57" cm="1">
        <f t="array" ref="N176">IF(_xlfn.XLOOKUP(CONT_TEA[[#This Row],[PensionCode]],PENS[PensionCode],PENS[AvailableToAllSchools],1,0,)=TRUE,0,IF(ISERROR(FIND(CONT_TEA[[#This Row],[SchoolCode]],_xlfn.TEXTJOIN(",",TRUE,_xlfn.UNIQUE(IF(PENS[PensionCode]=CONT_TEA[[#This Row],[PensionCode]],PENS[SchoolCodes],""))))),1,0))</f>
        <v>0</v>
      </c>
      <c r="O176" s="57" cm="1">
        <f t="array" ref="O176">IF(_xlfn.XLOOKUP(CONT_TEA[[#This Row],[EquatedWeekPatternCode]],EQW[EquatedWeekPatternCode],EQW[AvailableToAllSchools],1,0,)=TRUE,0,IF(ISERROR(FIND(CONT_TEA[[#This Row],[SchoolCode]],_xlfn.TEXTJOIN(",",TRUE,_xlfn.UNIQUE(IF(EQW[EquatedWeekPatternCode]=CONT_TEA[[#This Row],[EquatedWeekPatternCode]],EQW[SchoolCodes],""))))),1,0))</f>
        <v>0</v>
      </c>
      <c r="P176" s="57">
        <f>1-COUNTIF(ContractTypes[Code],CONT_TEA[[#This Row],[ContractTypeCode]])</f>
        <v>0</v>
      </c>
      <c r="Q176" s="57">
        <f>IF(VLOOKUP(CONT_TEA[[#This Row],[StaffMemberCode]],MEMBERS[[StaffMemberCode]:[ServiceStartDate]],5,0)&gt;CONT_TEA[[#This Row],[DateFrom]],1,0)</f>
        <v>0</v>
      </c>
      <c r="R176" s="57">
        <f>IF(_xlfn.XLOOKUP(CONT_TEA[[#This Row],[StaffMemberCode]],MEMBERS[StaffMemberCode],MEMBERS[ServiceEndDate])="",0,IF(CONT_TEA[[#This Row],[DateTo]]="",1,IF(_xlfn.XLOOKUP(CONT_TEA[[#This Row],[StaffMemberCode]],MEMBERS[StaffMemberCode],MEMBERS[ServiceEndDate])&lt;CONT_TEA[[#This Row],[DateTo]],1,0)))</f>
        <v>0</v>
      </c>
      <c r="S176" s="57">
        <f>IF(ISBLANK(CONT_TEA[[#This Row],[DateTo]]),0,IF(CONT_TEA[[#This Row],[DateFrom]]=CONT_TEA[[#This Row],[DateTo]],0,IF(CONT_TEA[[#This Row],[DateFrom]]&lt;CONT_TEA[[#This Row],[DateTo]],0,1)))</f>
        <v>0</v>
      </c>
      <c r="T176" s="57" cm="1">
        <f t="array" aca="1" ref="T176" ca="1">IF(CELL("format",CONT_TEA[[#This Row],[DateFrom]])="D1",0,1)+IF(CELL("format",CONT_TEA[[#This Row],[DateTo]])="D1",0,1)</f>
        <v>0</v>
      </c>
      <c r="U176" s="57">
        <f>IF(OR(CONT_TEA[[#This Row],[MatEditOnly]]=TRUE,CONT_TEA[[#This Row],[MatEditOnly]]=FALSE),IF(OR(CONT_TEA[[#This Row],[NoIncrement]]=TRUE,CONT_TEA[[#This Row],[NoIncrement]]=FALSE),0,1),1)</f>
        <v>0</v>
      </c>
      <c r="V176" s="57">
        <f>IF(ISBLANK(CONT_TEA[[#This Row],[FundCode]])=TRUE,0,IF(COUNTIF(FUNDS[FundCode],CONT_TEA[[#This Row],[FundCode]])=1,0,1))</f>
        <v>0</v>
      </c>
      <c r="W176" s="57">
        <f>IF(LEN(CONT_TEA[[#This Row],[Notes]])&lt;4000,0,1)</f>
        <v>0</v>
      </c>
      <c r="X176" s="57">
        <f>IF(SUBSTITUTE(TEXT(CONT_TEA[[#This Row],[Reference]],10)," ","")=TEXT(CONT_TEA[[#This Row],[Reference]],10),0,1)</f>
        <v>0</v>
      </c>
      <c r="Y176" s="57">
        <f ca="1">SUM(CONT_TEA[[#This Row],[Duplicate Contract]:[Space in Code]])</f>
        <v>1</v>
      </c>
      <c r="AA176" s="12" t="s">
        <v>2082</v>
      </c>
      <c r="AB176" s="15">
        <v>91073774</v>
      </c>
      <c r="AC176" s="12" t="s">
        <v>4524</v>
      </c>
      <c r="AD176" s="57" t="str">
        <f>_xlfn.XLOOKUP(CONT_TEA[[#This Row],[StaffMemberCode]],StaffMembers!O:O,StaffMembers!R:R)</f>
        <v>Jennifer Kennerley</v>
      </c>
      <c r="AE176" s="12" t="s">
        <v>1178</v>
      </c>
      <c r="AF176" s="57">
        <f>_xlfn.XLOOKUP(CONT_TEA[[#This Row],[SRG]],SRG[StaffRoleGroupCode],SRG[GrossSalaryFinanceCode])</f>
        <v>612100</v>
      </c>
      <c r="AG176" s="57" t="str">
        <f>_xlfn.XLOOKUP(CONT_TEA[[#This Row],[StaffRoleCode]],ROLES[StaffRoleCode],ROLES[StaffRoleGroupCode])</f>
        <v>TEA</v>
      </c>
      <c r="AH176" s="57" t="str">
        <f>_xlfn.XLOOKUP(CONT_TEA[[#This Row],[StaffRoleCode]],ROLES[StaffRoleCode],ROLES[PayScaleCode])</f>
        <v>MAIN</v>
      </c>
      <c r="AI176" s="12" t="s">
        <v>1126</v>
      </c>
      <c r="AJ176" s="12" t="s">
        <v>1745</v>
      </c>
      <c r="AK176" s="12" t="s">
        <v>2499</v>
      </c>
      <c r="AM176" s="68" t="s">
        <v>1147</v>
      </c>
      <c r="AN176" s="13" t="s">
        <v>1702</v>
      </c>
      <c r="AO176" s="21">
        <v>45901</v>
      </c>
      <c r="AQ176" s="12">
        <v>0.95</v>
      </c>
      <c r="AR176" t="b">
        <v>0</v>
      </c>
      <c r="AS176" t="b">
        <v>0</v>
      </c>
      <c r="AT176" s="12" t="s">
        <v>1574</v>
      </c>
    </row>
    <row r="177" spans="1:46" x14ac:dyDescent="0.3">
      <c r="A177" s="57" t="str">
        <f t="shared" si="3"/>
        <v>ALS9107371691073716ATEASTCH45901</v>
      </c>
      <c r="B177" s="57">
        <f>COUNTIF(CONT_TEA[Unique Contract],CONT_TEA[[#This Row],[Unique Contract]])-1</f>
        <v>0</v>
      </c>
      <c r="C177" s="57">
        <f>IFERROR(IF(FIND(CONT_TEA[[#This Row],[SchoolCode]],_xlfn.XLOOKUP(CONT_TEA[[#This Row],[StaffMemberCode]],MEMBERS[StaffMemberCode],MEMBERS[SchoolCodes]))&gt;0,0,1),1)</f>
        <v>0</v>
      </c>
      <c r="D177" s="57" cm="1">
        <f t="array" ref="D177">IF(_xlfn.XLOOKUP(CONT_TEA[[#This Row],[StaffRoleCode]],ROLES[StaffRoleCode],ROLES[AvailableToAllSchools],1,0,)=TRUE,0,IF(ISERROR(FIND(CONT_TEA[[#This Row],[SchoolCode]],_xlfn.TEXTJOIN(",",TRUE,_xlfn.UNIQUE(IF(ROLES[StaffRoleCode]=CONT_TEA[[#This Row],[StaffRoleCode]],ROLES[SchoolCodes],""))))),1,0))</f>
        <v>0</v>
      </c>
      <c r="E177" s="57" cm="1">
        <f t="array" ref="E17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77" s="57" cm="1">
        <f t="array" ref="F177">IF(_xlfn.XLOOKUP(CONT_TEA[[#This Row],[PayScaleCode]],PAYSCALES[PayScaleCode],PAYSCALES[AvailableToAllSchools],1,0,)=TRUE,0,IF(ISERROR(FIND(CONT_TEA[[#This Row],[SchoolCode]],_xlfn.TEXTJOIN(",",TRUE,_xlfn.UNIQUE(IF(PAYSCALES[PayScaleCode]=CONT_TEA[[#This Row],[PayScaleCode]],PAYSCALES[SchoolCodes],""))))),1,0))</f>
        <v>0</v>
      </c>
      <c r="G177" s="57">
        <f>IF(_xlfn.XLOOKUP(CONT_TEA[[#This Row],[PayScaleGradeCode]],GRADES[PayScaleGradeCode],GRADES[AvailableToAllSchools])=TRUE,0,IFERROR(IF(FIND(CONT_TEA[[#This Row],[SchoolCode]],_xlfn.XLOOKUP(CONT_TEA[[#This Row],[PayScaleGradeCode]],GRADES[PayScaleGradeCode],GRADES[SchoolCodes]))&gt;=1,0,1),1))</f>
        <v>0</v>
      </c>
      <c r="H177" s="57">
        <f>IF(ISERROR(IF((_xlfn.XLOOKUP(CONT_TEA[[#This Row],[PayScaleGradeCode]],GRADES[PayScaleGradeCode],GRADES[PayScaleCode])=CONT_TEA[[#This Row],[PayScaleCode]]),0,1)),1,0)</f>
        <v>0</v>
      </c>
      <c r="I177" s="57" cm="1">
        <f t="array" ref="I177">IF(ISERROR(FIND(CONT_TEA[[#This Row],[PayScalePointCode]],_xlfn.TEXTJOIN(",",TRUE,IF(PSPOINTS[PayScaleCode]=CONT_TEA[[#This Row],[PayScaleCode]],PSPOINTS[PayScalePointCode])))),1,0)</f>
        <v>0</v>
      </c>
      <c r="J177" s="57" cm="1">
        <f t="array" ref="J17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77" s="57">
        <f>IF(_xlfn.XLOOKUP(CONT_TEA[[#This Row],[PayScalePointCode]],PSPOINTS[PayScalePointCode],PSPOINTS[PayScalePointEnabled])=TRUE,0,1)</f>
        <v>0</v>
      </c>
      <c r="L177" s="57" cm="1">
        <f t="array" ref="L177">IF(_xlfn.XLOOKUP(CONT_TEA[[#This Row],[DepartmentCode]],DEPTS[DepartmentCode],DEPTS[AvailableToAllSchools],1,0,)=TRUE,0,IF(ISERROR(FIND(CONT_TEA[[#This Row],[SchoolCode]],_xlfn.TEXTJOIN(",",TRUE,_xlfn.UNIQUE(IF(DEPTS[DepartmentCode]=CONT_TEA[[#This Row],[DepartmentCode]],DEPTS[SchoolCodes],""))))),1,0))</f>
        <v>0</v>
      </c>
      <c r="M177" s="57">
        <f>IFERROR(IF(_xlfn.XLOOKUP(CONT_TEA[[#This Row],[SRG Gross]],FinanceCodesBudget[FinanceCode],FinanceCodesBudget[LedgerCode])=_xlfn.XLOOKUP(CONT_TEA[[#This Row],[DepartmentCode]],DEPTS[DepartmentCode],DEPTS[LedgerCode]),0,1),1)</f>
        <v>1</v>
      </c>
      <c r="N177" s="57" cm="1">
        <f t="array" ref="N177">IF(_xlfn.XLOOKUP(CONT_TEA[[#This Row],[PensionCode]],PENS[PensionCode],PENS[AvailableToAllSchools],1,0,)=TRUE,0,IF(ISERROR(FIND(CONT_TEA[[#This Row],[SchoolCode]],_xlfn.TEXTJOIN(",",TRUE,_xlfn.UNIQUE(IF(PENS[PensionCode]=CONT_TEA[[#This Row],[PensionCode]],PENS[SchoolCodes],""))))),1,0))</f>
        <v>0</v>
      </c>
      <c r="O177" s="57" cm="1">
        <f t="array" ref="O177">IF(_xlfn.XLOOKUP(CONT_TEA[[#This Row],[EquatedWeekPatternCode]],EQW[EquatedWeekPatternCode],EQW[AvailableToAllSchools],1,0,)=TRUE,0,IF(ISERROR(FIND(CONT_TEA[[#This Row],[SchoolCode]],_xlfn.TEXTJOIN(",",TRUE,_xlfn.UNIQUE(IF(EQW[EquatedWeekPatternCode]=CONT_TEA[[#This Row],[EquatedWeekPatternCode]],EQW[SchoolCodes],""))))),1,0))</f>
        <v>0</v>
      </c>
      <c r="P177" s="57">
        <f>1-COUNTIF(ContractTypes[Code],CONT_TEA[[#This Row],[ContractTypeCode]])</f>
        <v>0</v>
      </c>
      <c r="Q177" s="57">
        <f>IF(VLOOKUP(CONT_TEA[[#This Row],[StaffMemberCode]],MEMBERS[[StaffMemberCode]:[ServiceStartDate]],5,0)&gt;CONT_TEA[[#This Row],[DateFrom]],1,0)</f>
        <v>0</v>
      </c>
      <c r="R177" s="57">
        <f>IF(_xlfn.XLOOKUP(CONT_TEA[[#This Row],[StaffMemberCode]],MEMBERS[StaffMemberCode],MEMBERS[ServiceEndDate])="",0,IF(CONT_TEA[[#This Row],[DateTo]]="",1,IF(_xlfn.XLOOKUP(CONT_TEA[[#This Row],[StaffMemberCode]],MEMBERS[StaffMemberCode],MEMBERS[ServiceEndDate])&lt;CONT_TEA[[#This Row],[DateTo]],1,0)))</f>
        <v>0</v>
      </c>
      <c r="S177" s="57">
        <f>IF(ISBLANK(CONT_TEA[[#This Row],[DateTo]]),0,IF(CONT_TEA[[#This Row],[DateFrom]]=CONT_TEA[[#This Row],[DateTo]],0,IF(CONT_TEA[[#This Row],[DateFrom]]&lt;CONT_TEA[[#This Row],[DateTo]],0,1)))</f>
        <v>0</v>
      </c>
      <c r="T177" s="57" cm="1">
        <f t="array" aca="1" ref="T177" ca="1">IF(CELL("format",CONT_TEA[[#This Row],[DateFrom]])="D1",0,1)+IF(CELL("format",CONT_TEA[[#This Row],[DateTo]])="D1",0,1)</f>
        <v>0</v>
      </c>
      <c r="U177" s="57">
        <f>IF(OR(CONT_TEA[[#This Row],[MatEditOnly]]=TRUE,CONT_TEA[[#This Row],[MatEditOnly]]=FALSE),IF(OR(CONT_TEA[[#This Row],[NoIncrement]]=TRUE,CONT_TEA[[#This Row],[NoIncrement]]=FALSE),0,1),1)</f>
        <v>0</v>
      </c>
      <c r="V177" s="57">
        <f>IF(ISBLANK(CONT_TEA[[#This Row],[FundCode]])=TRUE,0,IF(COUNTIF(FUNDS[FundCode],CONT_TEA[[#This Row],[FundCode]])=1,0,1))</f>
        <v>0</v>
      </c>
      <c r="W177" s="57">
        <f>IF(LEN(CONT_TEA[[#This Row],[Notes]])&lt;4000,0,1)</f>
        <v>0</v>
      </c>
      <c r="X177" s="57">
        <f>IF(SUBSTITUTE(TEXT(CONT_TEA[[#This Row],[Reference]],10)," ","")=TEXT(CONT_TEA[[#This Row],[Reference]],10),0,1)</f>
        <v>0</v>
      </c>
      <c r="Y177" s="57">
        <f ca="1">SUM(CONT_TEA[[#This Row],[Duplicate Contract]:[Space in Code]])</f>
        <v>1</v>
      </c>
      <c r="AA177" s="12" t="s">
        <v>2082</v>
      </c>
      <c r="AB177" s="15">
        <v>91073716</v>
      </c>
      <c r="AC177" s="12" t="s">
        <v>4525</v>
      </c>
      <c r="AD177" s="57" t="str">
        <f>_xlfn.XLOOKUP(CONT_TEA[[#This Row],[StaffMemberCode]],StaffMembers!O:O,StaffMembers!R:R)</f>
        <v>Jennifer Sisca</v>
      </c>
      <c r="AE177" s="12" t="s">
        <v>1178</v>
      </c>
      <c r="AF177" s="57">
        <f>_xlfn.XLOOKUP(CONT_TEA[[#This Row],[SRG]],SRG[StaffRoleGroupCode],SRG[GrossSalaryFinanceCode])</f>
        <v>612100</v>
      </c>
      <c r="AG177" s="57" t="str">
        <f>_xlfn.XLOOKUP(CONT_TEA[[#This Row],[StaffRoleCode]],ROLES[StaffRoleCode],ROLES[StaffRoleGroupCode])</f>
        <v>TEA</v>
      </c>
      <c r="AH177" s="57" t="str">
        <f>_xlfn.XLOOKUP(CONT_TEA[[#This Row],[StaffRoleCode]],ROLES[StaffRoleCode],ROLES[PayScaleCode])</f>
        <v>MAIN</v>
      </c>
      <c r="AI177" s="12" t="s">
        <v>1126</v>
      </c>
      <c r="AJ177" s="12" t="s">
        <v>1745</v>
      </c>
      <c r="AK177" s="12" t="s">
        <v>2499</v>
      </c>
      <c r="AM177" s="68" t="s">
        <v>1147</v>
      </c>
      <c r="AN177" s="13" t="s">
        <v>1702</v>
      </c>
      <c r="AO177" s="21">
        <v>45901</v>
      </c>
      <c r="AQ177" s="12">
        <v>1</v>
      </c>
      <c r="AR177" t="b">
        <v>0</v>
      </c>
      <c r="AS177" t="b">
        <v>0</v>
      </c>
      <c r="AT177" s="12" t="s">
        <v>1574</v>
      </c>
    </row>
    <row r="178" spans="1:46" x14ac:dyDescent="0.3">
      <c r="A178" s="57" t="str">
        <f t="shared" si="3"/>
        <v>WVP9107340891073408ATEASTCH45901</v>
      </c>
      <c r="B178" s="57">
        <f>COUNTIF(CONT_TEA[Unique Contract],CONT_TEA[[#This Row],[Unique Contract]])-1</f>
        <v>0</v>
      </c>
      <c r="C178" s="57">
        <f>IFERROR(IF(FIND(CONT_TEA[[#This Row],[SchoolCode]],_xlfn.XLOOKUP(CONT_TEA[[#This Row],[StaffMemberCode]],MEMBERS[StaffMemberCode],MEMBERS[SchoolCodes]))&gt;0,0,1),1)</f>
        <v>0</v>
      </c>
      <c r="D178" s="57" cm="1">
        <f t="array" ref="D178">IF(_xlfn.XLOOKUP(CONT_TEA[[#This Row],[StaffRoleCode]],ROLES[StaffRoleCode],ROLES[AvailableToAllSchools],1,0,)=TRUE,0,IF(ISERROR(FIND(CONT_TEA[[#This Row],[SchoolCode]],_xlfn.TEXTJOIN(",",TRUE,_xlfn.UNIQUE(IF(ROLES[StaffRoleCode]=CONT_TEA[[#This Row],[StaffRoleCode]],ROLES[SchoolCodes],""))))),1,0))</f>
        <v>0</v>
      </c>
      <c r="E178" s="57" cm="1">
        <f t="array" ref="E17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78" s="57" cm="1">
        <f t="array" ref="F178">IF(_xlfn.XLOOKUP(CONT_TEA[[#This Row],[PayScaleCode]],PAYSCALES[PayScaleCode],PAYSCALES[AvailableToAllSchools],1,0,)=TRUE,0,IF(ISERROR(FIND(CONT_TEA[[#This Row],[SchoolCode]],_xlfn.TEXTJOIN(",",TRUE,_xlfn.UNIQUE(IF(PAYSCALES[PayScaleCode]=CONT_TEA[[#This Row],[PayScaleCode]],PAYSCALES[SchoolCodes],""))))),1,0))</f>
        <v>0</v>
      </c>
      <c r="G178" s="57">
        <f>IF(_xlfn.XLOOKUP(CONT_TEA[[#This Row],[PayScaleGradeCode]],GRADES[PayScaleGradeCode],GRADES[AvailableToAllSchools])=TRUE,0,IFERROR(IF(FIND(CONT_TEA[[#This Row],[SchoolCode]],_xlfn.XLOOKUP(CONT_TEA[[#This Row],[PayScaleGradeCode]],GRADES[PayScaleGradeCode],GRADES[SchoolCodes]))&gt;=1,0,1),1))</f>
        <v>0</v>
      </c>
      <c r="H178" s="57">
        <f>IF(ISERROR(IF((_xlfn.XLOOKUP(CONT_TEA[[#This Row],[PayScaleGradeCode]],GRADES[PayScaleGradeCode],GRADES[PayScaleCode])=CONT_TEA[[#This Row],[PayScaleCode]]),0,1)),1,0)</f>
        <v>0</v>
      </c>
      <c r="I178" s="57" cm="1">
        <f t="array" ref="I178">IF(ISERROR(FIND(CONT_TEA[[#This Row],[PayScalePointCode]],_xlfn.TEXTJOIN(",",TRUE,IF(PSPOINTS[PayScaleCode]=CONT_TEA[[#This Row],[PayScaleCode]],PSPOINTS[PayScalePointCode])))),1,0)</f>
        <v>0</v>
      </c>
      <c r="J178" s="57" cm="1">
        <f t="array" ref="J17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78" s="57">
        <f>IF(_xlfn.XLOOKUP(CONT_TEA[[#This Row],[PayScalePointCode]],PSPOINTS[PayScalePointCode],PSPOINTS[PayScalePointEnabled])=TRUE,0,1)</f>
        <v>0</v>
      </c>
      <c r="L178" s="57" cm="1">
        <f t="array" ref="L178">IF(_xlfn.XLOOKUP(CONT_TEA[[#This Row],[DepartmentCode]],DEPTS[DepartmentCode],DEPTS[AvailableToAllSchools],1,0,)=TRUE,0,IF(ISERROR(FIND(CONT_TEA[[#This Row],[SchoolCode]],_xlfn.TEXTJOIN(",",TRUE,_xlfn.UNIQUE(IF(DEPTS[DepartmentCode]=CONT_TEA[[#This Row],[DepartmentCode]],DEPTS[SchoolCodes],""))))),1,0))</f>
        <v>0</v>
      </c>
      <c r="M178" s="57">
        <f>IFERROR(IF(_xlfn.XLOOKUP(CONT_TEA[[#This Row],[SRG Gross]],FinanceCodesBudget[FinanceCode],FinanceCodesBudget[LedgerCode])=_xlfn.XLOOKUP(CONT_TEA[[#This Row],[DepartmentCode]],DEPTS[DepartmentCode],DEPTS[LedgerCode]),0,1),1)</f>
        <v>1</v>
      </c>
      <c r="N178" s="57" cm="1">
        <f t="array" ref="N178">IF(_xlfn.XLOOKUP(CONT_TEA[[#This Row],[PensionCode]],PENS[PensionCode],PENS[AvailableToAllSchools],1,0,)=TRUE,0,IF(ISERROR(FIND(CONT_TEA[[#This Row],[SchoolCode]],_xlfn.TEXTJOIN(",",TRUE,_xlfn.UNIQUE(IF(PENS[PensionCode]=CONT_TEA[[#This Row],[PensionCode]],PENS[SchoolCodes],""))))),1,0))</f>
        <v>0</v>
      </c>
      <c r="O178" s="57" cm="1">
        <f t="array" ref="O178">IF(_xlfn.XLOOKUP(CONT_TEA[[#This Row],[EquatedWeekPatternCode]],EQW[EquatedWeekPatternCode],EQW[AvailableToAllSchools],1,0,)=TRUE,0,IF(ISERROR(FIND(CONT_TEA[[#This Row],[SchoolCode]],_xlfn.TEXTJOIN(",",TRUE,_xlfn.UNIQUE(IF(EQW[EquatedWeekPatternCode]=CONT_TEA[[#This Row],[EquatedWeekPatternCode]],EQW[SchoolCodes],""))))),1,0))</f>
        <v>0</v>
      </c>
      <c r="P178" s="57">
        <f>1-COUNTIF(ContractTypes[Code],CONT_TEA[[#This Row],[ContractTypeCode]])</f>
        <v>0</v>
      </c>
      <c r="Q178" s="57">
        <f>IF(VLOOKUP(CONT_TEA[[#This Row],[StaffMemberCode]],MEMBERS[[StaffMemberCode]:[ServiceStartDate]],5,0)&gt;CONT_TEA[[#This Row],[DateFrom]],1,0)</f>
        <v>0</v>
      </c>
      <c r="R178" s="57">
        <f>IF(_xlfn.XLOOKUP(CONT_TEA[[#This Row],[StaffMemberCode]],MEMBERS[StaffMemberCode],MEMBERS[ServiceEndDate])="",0,IF(CONT_TEA[[#This Row],[DateTo]]="",1,IF(_xlfn.XLOOKUP(CONT_TEA[[#This Row],[StaffMemberCode]],MEMBERS[StaffMemberCode],MEMBERS[ServiceEndDate])&lt;CONT_TEA[[#This Row],[DateTo]],1,0)))</f>
        <v>0</v>
      </c>
      <c r="S178" s="57">
        <f>IF(ISBLANK(CONT_TEA[[#This Row],[DateTo]]),0,IF(CONT_TEA[[#This Row],[DateFrom]]=CONT_TEA[[#This Row],[DateTo]],0,IF(CONT_TEA[[#This Row],[DateFrom]]&lt;CONT_TEA[[#This Row],[DateTo]],0,1)))</f>
        <v>0</v>
      </c>
      <c r="T178" s="57" cm="1">
        <f t="array" aca="1" ref="T178" ca="1">IF(CELL("format",CONT_TEA[[#This Row],[DateFrom]])="D1",0,1)+IF(CELL("format",CONT_TEA[[#This Row],[DateTo]])="D1",0,1)</f>
        <v>0</v>
      </c>
      <c r="U178" s="57">
        <f>IF(OR(CONT_TEA[[#This Row],[MatEditOnly]]=TRUE,CONT_TEA[[#This Row],[MatEditOnly]]=FALSE),IF(OR(CONT_TEA[[#This Row],[NoIncrement]]=TRUE,CONT_TEA[[#This Row],[NoIncrement]]=FALSE),0,1),1)</f>
        <v>0</v>
      </c>
      <c r="V178" s="57">
        <f>IF(ISBLANK(CONT_TEA[[#This Row],[FundCode]])=TRUE,0,IF(COUNTIF(FUNDS[FundCode],CONT_TEA[[#This Row],[FundCode]])=1,0,1))</f>
        <v>0</v>
      </c>
      <c r="W178" s="57">
        <f>IF(LEN(CONT_TEA[[#This Row],[Notes]])&lt;4000,0,1)</f>
        <v>0</v>
      </c>
      <c r="X178" s="57">
        <f>IF(SUBSTITUTE(TEXT(CONT_TEA[[#This Row],[Reference]],10)," ","")=TEXT(CONT_TEA[[#This Row],[Reference]],10),0,1)</f>
        <v>0</v>
      </c>
      <c r="Y178" s="57">
        <f ca="1">SUM(CONT_TEA[[#This Row],[Duplicate Contract]:[Space in Code]])</f>
        <v>1</v>
      </c>
      <c r="AA178" s="12" t="s">
        <v>2275</v>
      </c>
      <c r="AB178" s="15">
        <v>91073408</v>
      </c>
      <c r="AC178" s="12" t="s">
        <v>4526</v>
      </c>
      <c r="AD178" s="57" t="str">
        <f>_xlfn.XLOOKUP(CONT_TEA[[#This Row],[StaffMemberCode]],StaffMembers!O:O,StaffMembers!R:R)</f>
        <v>Jennifer Wright</v>
      </c>
      <c r="AE178" s="12" t="s">
        <v>1178</v>
      </c>
      <c r="AF178" s="57">
        <f>_xlfn.XLOOKUP(CONT_TEA[[#This Row],[SRG]],SRG[StaffRoleGroupCode],SRG[GrossSalaryFinanceCode])</f>
        <v>612100</v>
      </c>
      <c r="AG178" s="57" t="str">
        <f>_xlfn.XLOOKUP(CONT_TEA[[#This Row],[StaffRoleCode]],ROLES[StaffRoleCode],ROLES[StaffRoleGroupCode])</f>
        <v>TEA</v>
      </c>
      <c r="AH178" s="57" t="str">
        <f>_xlfn.XLOOKUP(CONT_TEA[[#This Row],[StaffRoleCode]],ROLES[StaffRoleCode],ROLES[PayScaleCode])</f>
        <v>MAIN</v>
      </c>
      <c r="AI178" s="12" t="s">
        <v>1126</v>
      </c>
      <c r="AJ178" s="12" t="s">
        <v>3074</v>
      </c>
      <c r="AK178" s="12" t="s">
        <v>2499</v>
      </c>
      <c r="AM178" s="68" t="s">
        <v>1147</v>
      </c>
      <c r="AN178" s="13" t="s">
        <v>1702</v>
      </c>
      <c r="AO178" s="21">
        <v>45901</v>
      </c>
      <c r="AQ178" s="12">
        <v>1</v>
      </c>
      <c r="AR178" t="b">
        <v>0</v>
      </c>
      <c r="AS178" t="b">
        <v>0</v>
      </c>
      <c r="AT178" s="12" t="s">
        <v>1574</v>
      </c>
    </row>
    <row r="179" spans="1:46" x14ac:dyDescent="0.3">
      <c r="A179" s="57" t="str">
        <f t="shared" si="3"/>
        <v>WVP9107340791073407ATEASTCH45901</v>
      </c>
      <c r="B179" s="57">
        <f>COUNTIF(CONT_TEA[Unique Contract],CONT_TEA[[#This Row],[Unique Contract]])-1</f>
        <v>0</v>
      </c>
      <c r="C179" s="57">
        <f>IFERROR(IF(FIND(CONT_TEA[[#This Row],[SchoolCode]],_xlfn.XLOOKUP(CONT_TEA[[#This Row],[StaffMemberCode]],MEMBERS[StaffMemberCode],MEMBERS[SchoolCodes]))&gt;0,0,1),1)</f>
        <v>0</v>
      </c>
      <c r="D179" s="57" cm="1">
        <f t="array" ref="D179">IF(_xlfn.XLOOKUP(CONT_TEA[[#This Row],[StaffRoleCode]],ROLES[StaffRoleCode],ROLES[AvailableToAllSchools],1,0,)=TRUE,0,IF(ISERROR(FIND(CONT_TEA[[#This Row],[SchoolCode]],_xlfn.TEXTJOIN(",",TRUE,_xlfn.UNIQUE(IF(ROLES[StaffRoleCode]=CONT_TEA[[#This Row],[StaffRoleCode]],ROLES[SchoolCodes],""))))),1,0))</f>
        <v>0</v>
      </c>
      <c r="E179" s="57" cm="1">
        <f t="array" ref="E17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79" s="57" cm="1">
        <f t="array" ref="F179">IF(_xlfn.XLOOKUP(CONT_TEA[[#This Row],[PayScaleCode]],PAYSCALES[PayScaleCode],PAYSCALES[AvailableToAllSchools],1,0,)=TRUE,0,IF(ISERROR(FIND(CONT_TEA[[#This Row],[SchoolCode]],_xlfn.TEXTJOIN(",",TRUE,_xlfn.UNIQUE(IF(PAYSCALES[PayScaleCode]=CONT_TEA[[#This Row],[PayScaleCode]],PAYSCALES[SchoolCodes],""))))),1,0))</f>
        <v>0</v>
      </c>
      <c r="G179" s="57">
        <f>IF(_xlfn.XLOOKUP(CONT_TEA[[#This Row],[PayScaleGradeCode]],GRADES[PayScaleGradeCode],GRADES[AvailableToAllSchools])=TRUE,0,IFERROR(IF(FIND(CONT_TEA[[#This Row],[SchoolCode]],_xlfn.XLOOKUP(CONT_TEA[[#This Row],[PayScaleGradeCode]],GRADES[PayScaleGradeCode],GRADES[SchoolCodes]))&gt;=1,0,1),1))</f>
        <v>0</v>
      </c>
      <c r="H179" s="57">
        <f>IF(ISERROR(IF((_xlfn.XLOOKUP(CONT_TEA[[#This Row],[PayScaleGradeCode]],GRADES[PayScaleGradeCode],GRADES[PayScaleCode])=CONT_TEA[[#This Row],[PayScaleCode]]),0,1)),1,0)</f>
        <v>0</v>
      </c>
      <c r="I179" s="57" cm="1">
        <f t="array" ref="I179">IF(ISERROR(FIND(CONT_TEA[[#This Row],[PayScalePointCode]],_xlfn.TEXTJOIN(",",TRUE,IF(PSPOINTS[PayScaleCode]=CONT_TEA[[#This Row],[PayScaleCode]],PSPOINTS[PayScalePointCode])))),1,0)</f>
        <v>0</v>
      </c>
      <c r="J179" s="57" cm="1">
        <f t="array" ref="J17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79" s="57">
        <f>IF(_xlfn.XLOOKUP(CONT_TEA[[#This Row],[PayScalePointCode]],PSPOINTS[PayScalePointCode],PSPOINTS[PayScalePointEnabled])=TRUE,0,1)</f>
        <v>0</v>
      </c>
      <c r="L179" s="57" cm="1">
        <f t="array" ref="L179">IF(_xlfn.XLOOKUP(CONT_TEA[[#This Row],[DepartmentCode]],DEPTS[DepartmentCode],DEPTS[AvailableToAllSchools],1,0,)=TRUE,0,IF(ISERROR(FIND(CONT_TEA[[#This Row],[SchoolCode]],_xlfn.TEXTJOIN(",",TRUE,_xlfn.UNIQUE(IF(DEPTS[DepartmentCode]=CONT_TEA[[#This Row],[DepartmentCode]],DEPTS[SchoolCodes],""))))),1,0))</f>
        <v>0</v>
      </c>
      <c r="M179" s="57">
        <f>IFERROR(IF(_xlfn.XLOOKUP(CONT_TEA[[#This Row],[SRG Gross]],FinanceCodesBudget[FinanceCode],FinanceCodesBudget[LedgerCode])=_xlfn.XLOOKUP(CONT_TEA[[#This Row],[DepartmentCode]],DEPTS[DepartmentCode],DEPTS[LedgerCode]),0,1),1)</f>
        <v>1</v>
      </c>
      <c r="N179" s="57" cm="1">
        <f t="array" ref="N179">IF(_xlfn.XLOOKUP(CONT_TEA[[#This Row],[PensionCode]],PENS[PensionCode],PENS[AvailableToAllSchools],1,0,)=TRUE,0,IF(ISERROR(FIND(CONT_TEA[[#This Row],[SchoolCode]],_xlfn.TEXTJOIN(",",TRUE,_xlfn.UNIQUE(IF(PENS[PensionCode]=CONT_TEA[[#This Row],[PensionCode]],PENS[SchoolCodes],""))))),1,0))</f>
        <v>0</v>
      </c>
      <c r="O179" s="57" cm="1">
        <f t="array" ref="O179">IF(_xlfn.XLOOKUP(CONT_TEA[[#This Row],[EquatedWeekPatternCode]],EQW[EquatedWeekPatternCode],EQW[AvailableToAllSchools],1,0,)=TRUE,0,IF(ISERROR(FIND(CONT_TEA[[#This Row],[SchoolCode]],_xlfn.TEXTJOIN(",",TRUE,_xlfn.UNIQUE(IF(EQW[EquatedWeekPatternCode]=CONT_TEA[[#This Row],[EquatedWeekPatternCode]],EQW[SchoolCodes],""))))),1,0))</f>
        <v>0</v>
      </c>
      <c r="P179" s="57">
        <f>1-COUNTIF(ContractTypes[Code],CONT_TEA[[#This Row],[ContractTypeCode]])</f>
        <v>0</v>
      </c>
      <c r="Q179" s="57">
        <f>IF(VLOOKUP(CONT_TEA[[#This Row],[StaffMemberCode]],MEMBERS[[StaffMemberCode]:[ServiceStartDate]],5,0)&gt;CONT_TEA[[#This Row],[DateFrom]],1,0)</f>
        <v>0</v>
      </c>
      <c r="R179" s="57">
        <f>IF(_xlfn.XLOOKUP(CONT_TEA[[#This Row],[StaffMemberCode]],MEMBERS[StaffMemberCode],MEMBERS[ServiceEndDate])="",0,IF(CONT_TEA[[#This Row],[DateTo]]="",1,IF(_xlfn.XLOOKUP(CONT_TEA[[#This Row],[StaffMemberCode]],MEMBERS[StaffMemberCode],MEMBERS[ServiceEndDate])&lt;CONT_TEA[[#This Row],[DateTo]],1,0)))</f>
        <v>0</v>
      </c>
      <c r="S179" s="57">
        <f>IF(ISBLANK(CONT_TEA[[#This Row],[DateTo]]),0,IF(CONT_TEA[[#This Row],[DateFrom]]=CONT_TEA[[#This Row],[DateTo]],0,IF(CONT_TEA[[#This Row],[DateFrom]]&lt;CONT_TEA[[#This Row],[DateTo]],0,1)))</f>
        <v>0</v>
      </c>
      <c r="T179" s="57" cm="1">
        <f t="array" aca="1" ref="T179" ca="1">IF(CELL("format",CONT_TEA[[#This Row],[DateFrom]])="D1",0,1)+IF(CELL("format",CONT_TEA[[#This Row],[DateTo]])="D1",0,1)</f>
        <v>0</v>
      </c>
      <c r="U179" s="57">
        <f>IF(OR(CONT_TEA[[#This Row],[MatEditOnly]]=TRUE,CONT_TEA[[#This Row],[MatEditOnly]]=FALSE),IF(OR(CONT_TEA[[#This Row],[NoIncrement]]=TRUE,CONT_TEA[[#This Row],[NoIncrement]]=FALSE),0,1),1)</f>
        <v>0</v>
      </c>
      <c r="V179" s="57">
        <f>IF(ISBLANK(CONT_TEA[[#This Row],[FundCode]])=TRUE,0,IF(COUNTIF(FUNDS[FundCode],CONT_TEA[[#This Row],[FundCode]])=1,0,1))</f>
        <v>0</v>
      </c>
      <c r="W179" s="57">
        <f>IF(LEN(CONT_TEA[[#This Row],[Notes]])&lt;4000,0,1)</f>
        <v>0</v>
      </c>
      <c r="X179" s="57">
        <f>IF(SUBSTITUTE(TEXT(CONT_TEA[[#This Row],[Reference]],10)," ","")=TEXT(CONT_TEA[[#This Row],[Reference]],10),0,1)</f>
        <v>0</v>
      </c>
      <c r="Y179" s="57">
        <f ca="1">SUM(CONT_TEA[[#This Row],[Duplicate Contract]:[Space in Code]])</f>
        <v>1</v>
      </c>
      <c r="AA179" s="12" t="s">
        <v>2275</v>
      </c>
      <c r="AB179" s="15">
        <v>91073407</v>
      </c>
      <c r="AC179" s="12" t="s">
        <v>4527</v>
      </c>
      <c r="AD179" s="57" t="str">
        <f>_xlfn.XLOOKUP(CONT_TEA[[#This Row],[StaffMemberCode]],StaffMembers!O:O,StaffMembers!R:R)</f>
        <v>Jenny Buckley</v>
      </c>
      <c r="AE179" s="12" t="s">
        <v>1178</v>
      </c>
      <c r="AF179" s="57">
        <f>_xlfn.XLOOKUP(CONT_TEA[[#This Row],[SRG]],SRG[StaffRoleGroupCode],SRG[GrossSalaryFinanceCode])</f>
        <v>612100</v>
      </c>
      <c r="AG179" s="57" t="str">
        <f>_xlfn.XLOOKUP(CONT_TEA[[#This Row],[StaffRoleCode]],ROLES[StaffRoleCode],ROLES[StaffRoleGroupCode])</f>
        <v>TEA</v>
      </c>
      <c r="AH179" s="57" t="str">
        <f>_xlfn.XLOOKUP(CONT_TEA[[#This Row],[StaffRoleCode]],ROLES[StaffRoleCode],ROLES[PayScaleCode])</f>
        <v>MAIN</v>
      </c>
      <c r="AI179" s="12" t="s">
        <v>1126</v>
      </c>
      <c r="AJ179" s="12" t="s">
        <v>1745</v>
      </c>
      <c r="AK179" s="12" t="s">
        <v>2499</v>
      </c>
      <c r="AM179" s="68" t="s">
        <v>1147</v>
      </c>
      <c r="AN179" s="13" t="s">
        <v>1702</v>
      </c>
      <c r="AO179" s="21">
        <v>45901</v>
      </c>
      <c r="AQ179" s="12">
        <v>0.66</v>
      </c>
      <c r="AR179" t="b">
        <v>0</v>
      </c>
      <c r="AS179" t="b">
        <v>0</v>
      </c>
      <c r="AT179" s="12" t="s">
        <v>1574</v>
      </c>
    </row>
    <row r="180" spans="1:46" x14ac:dyDescent="0.3">
      <c r="A180" s="57" t="str">
        <f t="shared" si="3"/>
        <v>ALS9107373191073731ATEASTCH45901</v>
      </c>
      <c r="B180" s="57">
        <f>COUNTIF(CONT_TEA[Unique Contract],CONT_TEA[[#This Row],[Unique Contract]])-1</f>
        <v>0</v>
      </c>
      <c r="C180" s="57">
        <f>IFERROR(IF(FIND(CONT_TEA[[#This Row],[SchoolCode]],_xlfn.XLOOKUP(CONT_TEA[[#This Row],[StaffMemberCode]],MEMBERS[StaffMemberCode],MEMBERS[SchoolCodes]))&gt;0,0,1),1)</f>
        <v>0</v>
      </c>
      <c r="D180" s="57" cm="1">
        <f t="array" ref="D180">IF(_xlfn.XLOOKUP(CONT_TEA[[#This Row],[StaffRoleCode]],ROLES[StaffRoleCode],ROLES[AvailableToAllSchools],1,0,)=TRUE,0,IF(ISERROR(FIND(CONT_TEA[[#This Row],[SchoolCode]],_xlfn.TEXTJOIN(",",TRUE,_xlfn.UNIQUE(IF(ROLES[StaffRoleCode]=CONT_TEA[[#This Row],[StaffRoleCode]],ROLES[SchoolCodes],""))))),1,0))</f>
        <v>0</v>
      </c>
      <c r="E180" s="57" cm="1">
        <f t="array" ref="E18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80" s="57" cm="1">
        <f t="array" ref="F180">IF(_xlfn.XLOOKUP(CONT_TEA[[#This Row],[PayScaleCode]],PAYSCALES[PayScaleCode],PAYSCALES[AvailableToAllSchools],1,0,)=TRUE,0,IF(ISERROR(FIND(CONT_TEA[[#This Row],[SchoolCode]],_xlfn.TEXTJOIN(",",TRUE,_xlfn.UNIQUE(IF(PAYSCALES[PayScaleCode]=CONT_TEA[[#This Row],[PayScaleCode]],PAYSCALES[SchoolCodes],""))))),1,0))</f>
        <v>0</v>
      </c>
      <c r="G180" s="57">
        <f>IF(_xlfn.XLOOKUP(CONT_TEA[[#This Row],[PayScaleGradeCode]],GRADES[PayScaleGradeCode],GRADES[AvailableToAllSchools])=TRUE,0,IFERROR(IF(FIND(CONT_TEA[[#This Row],[SchoolCode]],_xlfn.XLOOKUP(CONT_TEA[[#This Row],[PayScaleGradeCode]],GRADES[PayScaleGradeCode],GRADES[SchoolCodes]))&gt;=1,0,1),1))</f>
        <v>0</v>
      </c>
      <c r="H180" s="57">
        <f>IF(ISERROR(IF((_xlfn.XLOOKUP(CONT_TEA[[#This Row],[PayScaleGradeCode]],GRADES[PayScaleGradeCode],GRADES[PayScaleCode])=CONT_TEA[[#This Row],[PayScaleCode]]),0,1)),1,0)</f>
        <v>0</v>
      </c>
      <c r="I180" s="57" cm="1">
        <f t="array" ref="I180">IF(ISERROR(FIND(CONT_TEA[[#This Row],[PayScalePointCode]],_xlfn.TEXTJOIN(",",TRUE,IF(PSPOINTS[PayScaleCode]=CONT_TEA[[#This Row],[PayScaleCode]],PSPOINTS[PayScalePointCode])))),1,0)</f>
        <v>0</v>
      </c>
      <c r="J180" s="57" cm="1">
        <f t="array" ref="J18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80" s="57">
        <f>IF(_xlfn.XLOOKUP(CONT_TEA[[#This Row],[PayScalePointCode]],PSPOINTS[PayScalePointCode],PSPOINTS[PayScalePointEnabled])=TRUE,0,1)</f>
        <v>0</v>
      </c>
      <c r="L180" s="57" cm="1">
        <f t="array" ref="L180">IF(_xlfn.XLOOKUP(CONT_TEA[[#This Row],[DepartmentCode]],DEPTS[DepartmentCode],DEPTS[AvailableToAllSchools],1,0,)=TRUE,0,IF(ISERROR(FIND(CONT_TEA[[#This Row],[SchoolCode]],_xlfn.TEXTJOIN(",",TRUE,_xlfn.UNIQUE(IF(DEPTS[DepartmentCode]=CONT_TEA[[#This Row],[DepartmentCode]],DEPTS[SchoolCodes],""))))),1,0))</f>
        <v>0</v>
      </c>
      <c r="M180" s="57">
        <f>IFERROR(IF(_xlfn.XLOOKUP(CONT_TEA[[#This Row],[SRG Gross]],FinanceCodesBudget[FinanceCode],FinanceCodesBudget[LedgerCode])=_xlfn.XLOOKUP(CONT_TEA[[#This Row],[DepartmentCode]],DEPTS[DepartmentCode],DEPTS[LedgerCode]),0,1),1)</f>
        <v>1</v>
      </c>
      <c r="N180" s="57" cm="1">
        <f t="array" ref="N180">IF(_xlfn.XLOOKUP(CONT_TEA[[#This Row],[PensionCode]],PENS[PensionCode],PENS[AvailableToAllSchools],1,0,)=TRUE,0,IF(ISERROR(FIND(CONT_TEA[[#This Row],[SchoolCode]],_xlfn.TEXTJOIN(",",TRUE,_xlfn.UNIQUE(IF(PENS[PensionCode]=CONT_TEA[[#This Row],[PensionCode]],PENS[SchoolCodes],""))))),1,0))</f>
        <v>0</v>
      </c>
      <c r="O180" s="57" cm="1">
        <f t="array" ref="O180">IF(_xlfn.XLOOKUP(CONT_TEA[[#This Row],[EquatedWeekPatternCode]],EQW[EquatedWeekPatternCode],EQW[AvailableToAllSchools],1,0,)=TRUE,0,IF(ISERROR(FIND(CONT_TEA[[#This Row],[SchoolCode]],_xlfn.TEXTJOIN(",",TRUE,_xlfn.UNIQUE(IF(EQW[EquatedWeekPatternCode]=CONT_TEA[[#This Row],[EquatedWeekPatternCode]],EQW[SchoolCodes],""))))),1,0))</f>
        <v>0</v>
      </c>
      <c r="P180" s="57">
        <f>1-COUNTIF(ContractTypes[Code],CONT_TEA[[#This Row],[ContractTypeCode]])</f>
        <v>0</v>
      </c>
      <c r="Q180" s="57">
        <f>IF(VLOOKUP(CONT_TEA[[#This Row],[StaffMemberCode]],MEMBERS[[StaffMemberCode]:[ServiceStartDate]],5,0)&gt;CONT_TEA[[#This Row],[DateFrom]],1,0)</f>
        <v>0</v>
      </c>
      <c r="R180" s="57">
        <f>IF(_xlfn.XLOOKUP(CONT_TEA[[#This Row],[StaffMemberCode]],MEMBERS[StaffMemberCode],MEMBERS[ServiceEndDate])="",0,IF(CONT_TEA[[#This Row],[DateTo]]="",1,IF(_xlfn.XLOOKUP(CONT_TEA[[#This Row],[StaffMemberCode]],MEMBERS[StaffMemberCode],MEMBERS[ServiceEndDate])&lt;CONT_TEA[[#This Row],[DateTo]],1,0)))</f>
        <v>0</v>
      </c>
      <c r="S180" s="57">
        <f>IF(ISBLANK(CONT_TEA[[#This Row],[DateTo]]),0,IF(CONT_TEA[[#This Row],[DateFrom]]=CONT_TEA[[#This Row],[DateTo]],0,IF(CONT_TEA[[#This Row],[DateFrom]]&lt;CONT_TEA[[#This Row],[DateTo]],0,1)))</f>
        <v>0</v>
      </c>
      <c r="T180" s="57" cm="1">
        <f t="array" aca="1" ref="T180" ca="1">IF(CELL("format",CONT_TEA[[#This Row],[DateFrom]])="D1",0,1)+IF(CELL("format",CONT_TEA[[#This Row],[DateTo]])="D1",0,1)</f>
        <v>0</v>
      </c>
      <c r="U180" s="57">
        <f>IF(OR(CONT_TEA[[#This Row],[MatEditOnly]]=TRUE,CONT_TEA[[#This Row],[MatEditOnly]]=FALSE),IF(OR(CONT_TEA[[#This Row],[NoIncrement]]=TRUE,CONT_TEA[[#This Row],[NoIncrement]]=FALSE),0,1),1)</f>
        <v>0</v>
      </c>
      <c r="V180" s="57">
        <f>IF(ISBLANK(CONT_TEA[[#This Row],[FundCode]])=TRUE,0,IF(COUNTIF(FUNDS[FundCode],CONT_TEA[[#This Row],[FundCode]])=1,0,1))</f>
        <v>0</v>
      </c>
      <c r="W180" s="57">
        <f>IF(LEN(CONT_TEA[[#This Row],[Notes]])&lt;4000,0,1)</f>
        <v>0</v>
      </c>
      <c r="X180" s="57">
        <f>IF(SUBSTITUTE(TEXT(CONT_TEA[[#This Row],[Reference]],10)," ","")=TEXT(CONT_TEA[[#This Row],[Reference]],10),0,1)</f>
        <v>0</v>
      </c>
      <c r="Y180" s="57">
        <f ca="1">SUM(CONT_TEA[[#This Row],[Duplicate Contract]:[Space in Code]])</f>
        <v>1</v>
      </c>
      <c r="AA180" s="12" t="s">
        <v>2082</v>
      </c>
      <c r="AB180" s="15">
        <v>91073731</v>
      </c>
      <c r="AC180" s="12" t="s">
        <v>4528</v>
      </c>
      <c r="AD180" s="57" t="str">
        <f>_xlfn.XLOOKUP(CONT_TEA[[#This Row],[StaffMemberCode]],StaffMembers!O:O,StaffMembers!R:R)</f>
        <v>Jessica Hunt</v>
      </c>
      <c r="AE180" s="12" t="s">
        <v>1178</v>
      </c>
      <c r="AF180" s="57">
        <f>_xlfn.XLOOKUP(CONT_TEA[[#This Row],[SRG]],SRG[StaffRoleGroupCode],SRG[GrossSalaryFinanceCode])</f>
        <v>612100</v>
      </c>
      <c r="AG180" s="57" t="str">
        <f>_xlfn.XLOOKUP(CONT_TEA[[#This Row],[StaffRoleCode]],ROLES[StaffRoleCode],ROLES[StaffRoleGroupCode])</f>
        <v>TEA</v>
      </c>
      <c r="AH180" s="57" t="str">
        <f>_xlfn.XLOOKUP(CONT_TEA[[#This Row],[StaffRoleCode]],ROLES[StaffRoleCode],ROLES[PayScaleCode])</f>
        <v>MAIN</v>
      </c>
      <c r="AI180" s="12" t="s">
        <v>1126</v>
      </c>
      <c r="AJ180" s="12" t="s">
        <v>3074</v>
      </c>
      <c r="AK180" s="12" t="s">
        <v>2499</v>
      </c>
      <c r="AM180" s="68" t="s">
        <v>1147</v>
      </c>
      <c r="AN180" s="13" t="s">
        <v>1702</v>
      </c>
      <c r="AO180" s="21">
        <v>45901</v>
      </c>
      <c r="AQ180" s="12">
        <v>1</v>
      </c>
      <c r="AR180" t="b">
        <v>0</v>
      </c>
      <c r="AS180" t="b">
        <v>0</v>
      </c>
      <c r="AT180" s="12" t="s">
        <v>1574</v>
      </c>
    </row>
    <row r="181" spans="1:46" x14ac:dyDescent="0.3">
      <c r="A181" s="57" t="str">
        <f t="shared" si="3"/>
        <v>AUD9107365491073654ATEASTCH45901</v>
      </c>
      <c r="B181" s="57">
        <f>COUNTIF(CONT_TEA[Unique Contract],CONT_TEA[[#This Row],[Unique Contract]])-1</f>
        <v>0</v>
      </c>
      <c r="C181" s="57">
        <f>IFERROR(IF(FIND(CONT_TEA[[#This Row],[SchoolCode]],_xlfn.XLOOKUP(CONT_TEA[[#This Row],[StaffMemberCode]],MEMBERS[StaffMemberCode],MEMBERS[SchoolCodes]))&gt;0,0,1),1)</f>
        <v>0</v>
      </c>
      <c r="D181" s="57" cm="1">
        <f t="array" ref="D181">IF(_xlfn.XLOOKUP(CONT_TEA[[#This Row],[StaffRoleCode]],ROLES[StaffRoleCode],ROLES[AvailableToAllSchools],1,0,)=TRUE,0,IF(ISERROR(FIND(CONT_TEA[[#This Row],[SchoolCode]],_xlfn.TEXTJOIN(",",TRUE,_xlfn.UNIQUE(IF(ROLES[StaffRoleCode]=CONT_TEA[[#This Row],[StaffRoleCode]],ROLES[SchoolCodes],""))))),1,0))</f>
        <v>0</v>
      </c>
      <c r="E181" s="57" cm="1">
        <f t="array" ref="E18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81" s="57" cm="1">
        <f t="array" ref="F181">IF(_xlfn.XLOOKUP(CONT_TEA[[#This Row],[PayScaleCode]],PAYSCALES[PayScaleCode],PAYSCALES[AvailableToAllSchools],1,0,)=TRUE,0,IF(ISERROR(FIND(CONT_TEA[[#This Row],[SchoolCode]],_xlfn.TEXTJOIN(",",TRUE,_xlfn.UNIQUE(IF(PAYSCALES[PayScaleCode]=CONT_TEA[[#This Row],[PayScaleCode]],PAYSCALES[SchoolCodes],""))))),1,0))</f>
        <v>0</v>
      </c>
      <c r="G181" s="57">
        <f>IF(_xlfn.XLOOKUP(CONT_TEA[[#This Row],[PayScaleGradeCode]],GRADES[PayScaleGradeCode],GRADES[AvailableToAllSchools])=TRUE,0,IFERROR(IF(FIND(CONT_TEA[[#This Row],[SchoolCode]],_xlfn.XLOOKUP(CONT_TEA[[#This Row],[PayScaleGradeCode]],GRADES[PayScaleGradeCode],GRADES[SchoolCodes]))&gt;=1,0,1),1))</f>
        <v>0</v>
      </c>
      <c r="H181" s="57">
        <f>IF(ISERROR(IF((_xlfn.XLOOKUP(CONT_TEA[[#This Row],[PayScaleGradeCode]],GRADES[PayScaleGradeCode],GRADES[PayScaleCode])=CONT_TEA[[#This Row],[PayScaleCode]]),0,1)),1,0)</f>
        <v>0</v>
      </c>
      <c r="I181" s="57" cm="1">
        <f t="array" ref="I181">IF(ISERROR(FIND(CONT_TEA[[#This Row],[PayScalePointCode]],_xlfn.TEXTJOIN(",",TRUE,IF(PSPOINTS[PayScaleCode]=CONT_TEA[[#This Row],[PayScaleCode]],PSPOINTS[PayScalePointCode])))),1,0)</f>
        <v>0</v>
      </c>
      <c r="J181" s="57" cm="1">
        <f t="array" ref="J18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81" s="57">
        <f>IF(_xlfn.XLOOKUP(CONT_TEA[[#This Row],[PayScalePointCode]],PSPOINTS[PayScalePointCode],PSPOINTS[PayScalePointEnabled])=TRUE,0,1)</f>
        <v>0</v>
      </c>
      <c r="L181" s="57" cm="1">
        <f t="array" ref="L181">IF(_xlfn.XLOOKUP(CONT_TEA[[#This Row],[DepartmentCode]],DEPTS[DepartmentCode],DEPTS[AvailableToAllSchools],1,0,)=TRUE,0,IF(ISERROR(FIND(CONT_TEA[[#This Row],[SchoolCode]],_xlfn.TEXTJOIN(",",TRUE,_xlfn.UNIQUE(IF(DEPTS[DepartmentCode]=CONT_TEA[[#This Row],[DepartmentCode]],DEPTS[SchoolCodes],""))))),1,0))</f>
        <v>0</v>
      </c>
      <c r="M181" s="57">
        <f>IFERROR(IF(_xlfn.XLOOKUP(CONT_TEA[[#This Row],[SRG Gross]],FinanceCodesBudget[FinanceCode],FinanceCodesBudget[LedgerCode])=_xlfn.XLOOKUP(CONT_TEA[[#This Row],[DepartmentCode]],DEPTS[DepartmentCode],DEPTS[LedgerCode]),0,1),1)</f>
        <v>1</v>
      </c>
      <c r="N181" s="57" cm="1">
        <f t="array" ref="N181">IF(_xlfn.XLOOKUP(CONT_TEA[[#This Row],[PensionCode]],PENS[PensionCode],PENS[AvailableToAllSchools],1,0,)=TRUE,0,IF(ISERROR(FIND(CONT_TEA[[#This Row],[SchoolCode]],_xlfn.TEXTJOIN(",",TRUE,_xlfn.UNIQUE(IF(PENS[PensionCode]=CONT_TEA[[#This Row],[PensionCode]],PENS[SchoolCodes],""))))),1,0))</f>
        <v>0</v>
      </c>
      <c r="O181" s="57" cm="1">
        <f t="array" ref="O181">IF(_xlfn.XLOOKUP(CONT_TEA[[#This Row],[EquatedWeekPatternCode]],EQW[EquatedWeekPatternCode],EQW[AvailableToAllSchools],1,0,)=TRUE,0,IF(ISERROR(FIND(CONT_TEA[[#This Row],[SchoolCode]],_xlfn.TEXTJOIN(",",TRUE,_xlfn.UNIQUE(IF(EQW[EquatedWeekPatternCode]=CONT_TEA[[#This Row],[EquatedWeekPatternCode]],EQW[SchoolCodes],""))))),1,0))</f>
        <v>0</v>
      </c>
      <c r="P181" s="57">
        <f>1-COUNTIF(ContractTypes[Code],CONT_TEA[[#This Row],[ContractTypeCode]])</f>
        <v>0</v>
      </c>
      <c r="Q181" s="57">
        <f>IF(VLOOKUP(CONT_TEA[[#This Row],[StaffMemberCode]],MEMBERS[[StaffMemberCode]:[ServiceStartDate]],5,0)&gt;CONT_TEA[[#This Row],[DateFrom]],1,0)</f>
        <v>0</v>
      </c>
      <c r="R181" s="57">
        <f>IF(_xlfn.XLOOKUP(CONT_TEA[[#This Row],[StaffMemberCode]],MEMBERS[StaffMemberCode],MEMBERS[ServiceEndDate])="",0,IF(CONT_TEA[[#This Row],[DateTo]]="",1,IF(_xlfn.XLOOKUP(CONT_TEA[[#This Row],[StaffMemberCode]],MEMBERS[StaffMemberCode],MEMBERS[ServiceEndDate])&lt;CONT_TEA[[#This Row],[DateTo]],1,0)))</f>
        <v>0</v>
      </c>
      <c r="S181" s="57">
        <f>IF(ISBLANK(CONT_TEA[[#This Row],[DateTo]]),0,IF(CONT_TEA[[#This Row],[DateFrom]]=CONT_TEA[[#This Row],[DateTo]],0,IF(CONT_TEA[[#This Row],[DateFrom]]&lt;CONT_TEA[[#This Row],[DateTo]],0,1)))</f>
        <v>0</v>
      </c>
      <c r="T181" s="57" cm="1">
        <f t="array" aca="1" ref="T181" ca="1">IF(CELL("format",CONT_TEA[[#This Row],[DateFrom]])="D1",0,1)+IF(CELL("format",CONT_TEA[[#This Row],[DateTo]])="D1",0,1)</f>
        <v>0</v>
      </c>
      <c r="U181" s="57">
        <f>IF(OR(CONT_TEA[[#This Row],[MatEditOnly]]=TRUE,CONT_TEA[[#This Row],[MatEditOnly]]=FALSE),IF(OR(CONT_TEA[[#This Row],[NoIncrement]]=TRUE,CONT_TEA[[#This Row],[NoIncrement]]=FALSE),0,1),1)</f>
        <v>0</v>
      </c>
      <c r="V181" s="57">
        <f>IF(ISBLANK(CONT_TEA[[#This Row],[FundCode]])=TRUE,0,IF(COUNTIF(FUNDS[FundCode],CONT_TEA[[#This Row],[FundCode]])=1,0,1))</f>
        <v>0</v>
      </c>
      <c r="W181" s="57">
        <f>IF(LEN(CONT_TEA[[#This Row],[Notes]])&lt;4000,0,1)</f>
        <v>0</v>
      </c>
      <c r="X181" s="57">
        <f>IF(SUBSTITUTE(TEXT(CONT_TEA[[#This Row],[Reference]],10)," ","")=TEXT(CONT_TEA[[#This Row],[Reference]],10),0,1)</f>
        <v>0</v>
      </c>
      <c r="Y181" s="57">
        <f ca="1">SUM(CONT_TEA[[#This Row],[Duplicate Contract]:[Space in Code]])</f>
        <v>1</v>
      </c>
      <c r="AA181" s="12" t="s">
        <v>2089</v>
      </c>
      <c r="AB181" s="15">
        <v>91073654</v>
      </c>
      <c r="AC181" s="12" t="s">
        <v>4529</v>
      </c>
      <c r="AD181" s="57" t="str">
        <f>_xlfn.XLOOKUP(CONT_TEA[[#This Row],[StaffMemberCode]],StaffMembers!O:O,StaffMembers!R:R)</f>
        <v>Joanna Smith</v>
      </c>
      <c r="AE181" s="12" t="s">
        <v>1178</v>
      </c>
      <c r="AF181" s="57">
        <f>_xlfn.XLOOKUP(CONT_TEA[[#This Row],[SRG]],SRG[StaffRoleGroupCode],SRG[GrossSalaryFinanceCode])</f>
        <v>612100</v>
      </c>
      <c r="AG181" s="57" t="str">
        <f>_xlfn.XLOOKUP(CONT_TEA[[#This Row],[StaffRoleCode]],ROLES[StaffRoleCode],ROLES[StaffRoleGroupCode])</f>
        <v>TEA</v>
      </c>
      <c r="AH181" s="57" t="str">
        <f>_xlfn.XLOOKUP(CONT_TEA[[#This Row],[StaffRoleCode]],ROLES[StaffRoleCode],ROLES[PayScaleCode])</f>
        <v>MAIN</v>
      </c>
      <c r="AI181" s="12" t="s">
        <v>1126</v>
      </c>
      <c r="AJ181" s="12" t="s">
        <v>3074</v>
      </c>
      <c r="AK181" s="12" t="s">
        <v>2499</v>
      </c>
      <c r="AM181" s="68" t="s">
        <v>1147</v>
      </c>
      <c r="AN181" s="13" t="s">
        <v>1702</v>
      </c>
      <c r="AO181" s="21">
        <v>45901</v>
      </c>
      <c r="AQ181" s="12">
        <v>0.5</v>
      </c>
      <c r="AR181" t="b">
        <v>0</v>
      </c>
      <c r="AS181" t="b">
        <v>0</v>
      </c>
      <c r="AT181" s="12" t="s">
        <v>1574</v>
      </c>
    </row>
    <row r="182" spans="1:46" x14ac:dyDescent="0.3">
      <c r="A182" s="57" t="str">
        <f t="shared" si="3"/>
        <v>BLS9107361091073610ATEASTCH45901</v>
      </c>
      <c r="B182" s="57">
        <f>COUNTIF(CONT_TEA[Unique Contract],CONT_TEA[[#This Row],[Unique Contract]])-1</f>
        <v>0</v>
      </c>
      <c r="C182" s="57">
        <f>IFERROR(IF(FIND(CONT_TEA[[#This Row],[SchoolCode]],_xlfn.XLOOKUP(CONT_TEA[[#This Row],[StaffMemberCode]],MEMBERS[StaffMemberCode],MEMBERS[SchoolCodes]))&gt;0,0,1),1)</f>
        <v>0</v>
      </c>
      <c r="D182" s="57" cm="1">
        <f t="array" ref="D182">IF(_xlfn.XLOOKUP(CONT_TEA[[#This Row],[StaffRoleCode]],ROLES[StaffRoleCode],ROLES[AvailableToAllSchools],1,0,)=TRUE,0,IF(ISERROR(FIND(CONT_TEA[[#This Row],[SchoolCode]],_xlfn.TEXTJOIN(",",TRUE,_xlfn.UNIQUE(IF(ROLES[StaffRoleCode]=CONT_TEA[[#This Row],[StaffRoleCode]],ROLES[SchoolCodes],""))))),1,0))</f>
        <v>0</v>
      </c>
      <c r="E182" s="57" cm="1">
        <f t="array" ref="E18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82" s="57" cm="1">
        <f t="array" ref="F182">IF(_xlfn.XLOOKUP(CONT_TEA[[#This Row],[PayScaleCode]],PAYSCALES[PayScaleCode],PAYSCALES[AvailableToAllSchools],1,0,)=TRUE,0,IF(ISERROR(FIND(CONT_TEA[[#This Row],[SchoolCode]],_xlfn.TEXTJOIN(",",TRUE,_xlfn.UNIQUE(IF(PAYSCALES[PayScaleCode]=CONT_TEA[[#This Row],[PayScaleCode]],PAYSCALES[SchoolCodes],""))))),1,0))</f>
        <v>0</v>
      </c>
      <c r="G182" s="57">
        <f>IF(_xlfn.XLOOKUP(CONT_TEA[[#This Row],[PayScaleGradeCode]],GRADES[PayScaleGradeCode],GRADES[AvailableToAllSchools])=TRUE,0,IFERROR(IF(FIND(CONT_TEA[[#This Row],[SchoolCode]],_xlfn.XLOOKUP(CONT_TEA[[#This Row],[PayScaleGradeCode]],GRADES[PayScaleGradeCode],GRADES[SchoolCodes]))&gt;=1,0,1),1))</f>
        <v>0</v>
      </c>
      <c r="H182" s="57">
        <f>IF(ISERROR(IF((_xlfn.XLOOKUP(CONT_TEA[[#This Row],[PayScaleGradeCode]],GRADES[PayScaleGradeCode],GRADES[PayScaleCode])=CONT_TEA[[#This Row],[PayScaleCode]]),0,1)),1,0)</f>
        <v>0</v>
      </c>
      <c r="I182" s="57" cm="1">
        <f t="array" ref="I182">IF(ISERROR(FIND(CONT_TEA[[#This Row],[PayScalePointCode]],_xlfn.TEXTJOIN(",",TRUE,IF(PSPOINTS[PayScaleCode]=CONT_TEA[[#This Row],[PayScaleCode]],PSPOINTS[PayScalePointCode])))),1,0)</f>
        <v>0</v>
      </c>
      <c r="J182" s="57" cm="1">
        <f t="array" ref="J18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82" s="57">
        <f>IF(_xlfn.XLOOKUP(CONT_TEA[[#This Row],[PayScalePointCode]],PSPOINTS[PayScalePointCode],PSPOINTS[PayScalePointEnabled])=TRUE,0,1)</f>
        <v>0</v>
      </c>
      <c r="L182" s="57" cm="1">
        <f t="array" ref="L182">IF(_xlfn.XLOOKUP(CONT_TEA[[#This Row],[DepartmentCode]],DEPTS[DepartmentCode],DEPTS[AvailableToAllSchools],1,0,)=TRUE,0,IF(ISERROR(FIND(CONT_TEA[[#This Row],[SchoolCode]],_xlfn.TEXTJOIN(",",TRUE,_xlfn.UNIQUE(IF(DEPTS[DepartmentCode]=CONT_TEA[[#This Row],[DepartmentCode]],DEPTS[SchoolCodes],""))))),1,0))</f>
        <v>0</v>
      </c>
      <c r="M182" s="57">
        <f>IFERROR(IF(_xlfn.XLOOKUP(CONT_TEA[[#This Row],[SRG Gross]],FinanceCodesBudget[FinanceCode],FinanceCodesBudget[LedgerCode])=_xlfn.XLOOKUP(CONT_TEA[[#This Row],[DepartmentCode]],DEPTS[DepartmentCode],DEPTS[LedgerCode]),0,1),1)</f>
        <v>1</v>
      </c>
      <c r="N182" s="57" cm="1">
        <f t="array" ref="N182">IF(_xlfn.XLOOKUP(CONT_TEA[[#This Row],[PensionCode]],PENS[PensionCode],PENS[AvailableToAllSchools],1,0,)=TRUE,0,IF(ISERROR(FIND(CONT_TEA[[#This Row],[SchoolCode]],_xlfn.TEXTJOIN(",",TRUE,_xlfn.UNIQUE(IF(PENS[PensionCode]=CONT_TEA[[#This Row],[PensionCode]],PENS[SchoolCodes],""))))),1,0))</f>
        <v>0</v>
      </c>
      <c r="O182" s="57" cm="1">
        <f t="array" ref="O182">IF(_xlfn.XLOOKUP(CONT_TEA[[#This Row],[EquatedWeekPatternCode]],EQW[EquatedWeekPatternCode],EQW[AvailableToAllSchools],1,0,)=TRUE,0,IF(ISERROR(FIND(CONT_TEA[[#This Row],[SchoolCode]],_xlfn.TEXTJOIN(",",TRUE,_xlfn.UNIQUE(IF(EQW[EquatedWeekPatternCode]=CONT_TEA[[#This Row],[EquatedWeekPatternCode]],EQW[SchoolCodes],""))))),1,0))</f>
        <v>0</v>
      </c>
      <c r="P182" s="57">
        <f>1-COUNTIF(ContractTypes[Code],CONT_TEA[[#This Row],[ContractTypeCode]])</f>
        <v>0</v>
      </c>
      <c r="Q182" s="57">
        <f>IF(VLOOKUP(CONT_TEA[[#This Row],[StaffMemberCode]],MEMBERS[[StaffMemberCode]:[ServiceStartDate]],5,0)&gt;CONT_TEA[[#This Row],[DateFrom]],1,0)</f>
        <v>0</v>
      </c>
      <c r="R182" s="57">
        <f>IF(_xlfn.XLOOKUP(CONT_TEA[[#This Row],[StaffMemberCode]],MEMBERS[StaffMemberCode],MEMBERS[ServiceEndDate])="",0,IF(CONT_TEA[[#This Row],[DateTo]]="",1,IF(_xlfn.XLOOKUP(CONT_TEA[[#This Row],[StaffMemberCode]],MEMBERS[StaffMemberCode],MEMBERS[ServiceEndDate])&lt;CONT_TEA[[#This Row],[DateTo]],1,0)))</f>
        <v>0</v>
      </c>
      <c r="S182" s="57">
        <f>IF(ISBLANK(CONT_TEA[[#This Row],[DateTo]]),0,IF(CONT_TEA[[#This Row],[DateFrom]]=CONT_TEA[[#This Row],[DateTo]],0,IF(CONT_TEA[[#This Row],[DateFrom]]&lt;CONT_TEA[[#This Row],[DateTo]],0,1)))</f>
        <v>0</v>
      </c>
      <c r="T182" s="57" cm="1">
        <f t="array" aca="1" ref="T182" ca="1">IF(CELL("format",CONT_TEA[[#This Row],[DateFrom]])="D1",0,1)+IF(CELL("format",CONT_TEA[[#This Row],[DateTo]])="D1",0,1)</f>
        <v>0</v>
      </c>
      <c r="U182" s="57">
        <f>IF(OR(CONT_TEA[[#This Row],[MatEditOnly]]=TRUE,CONT_TEA[[#This Row],[MatEditOnly]]=FALSE),IF(OR(CONT_TEA[[#This Row],[NoIncrement]]=TRUE,CONT_TEA[[#This Row],[NoIncrement]]=FALSE),0,1),1)</f>
        <v>0</v>
      </c>
      <c r="V182" s="57">
        <f>IF(ISBLANK(CONT_TEA[[#This Row],[FundCode]])=TRUE,0,IF(COUNTIF(FUNDS[FundCode],CONT_TEA[[#This Row],[FundCode]])=1,0,1))</f>
        <v>0</v>
      </c>
      <c r="W182" s="57">
        <f>IF(LEN(CONT_TEA[[#This Row],[Notes]])&lt;4000,0,1)</f>
        <v>0</v>
      </c>
      <c r="X182" s="57">
        <f>IF(SUBSTITUTE(TEXT(CONT_TEA[[#This Row],[Reference]],10)," ","")=TEXT(CONT_TEA[[#This Row],[Reference]],10),0,1)</f>
        <v>0</v>
      </c>
      <c r="Y182" s="57">
        <f ca="1">SUM(CONT_TEA[[#This Row],[Duplicate Contract]:[Space in Code]])</f>
        <v>1</v>
      </c>
      <c r="AA182" s="12" t="s">
        <v>2094</v>
      </c>
      <c r="AB182" s="15">
        <v>91073610</v>
      </c>
      <c r="AC182" s="12" t="s">
        <v>4530</v>
      </c>
      <c r="AD182" s="57" t="str">
        <f>_xlfn.XLOOKUP(CONT_TEA[[#This Row],[StaffMemberCode]],StaffMembers!O:O,StaffMembers!R:R)</f>
        <v>Joanne Quinn</v>
      </c>
      <c r="AE182" s="12" t="s">
        <v>1178</v>
      </c>
      <c r="AF182" s="57">
        <f>_xlfn.XLOOKUP(CONT_TEA[[#This Row],[SRG]],SRG[StaffRoleGroupCode],SRG[GrossSalaryFinanceCode])</f>
        <v>612100</v>
      </c>
      <c r="AG182" s="57" t="str">
        <f>_xlfn.XLOOKUP(CONT_TEA[[#This Row],[StaffRoleCode]],ROLES[StaffRoleCode],ROLES[StaffRoleGroupCode])</f>
        <v>TEA</v>
      </c>
      <c r="AH182" s="57" t="str">
        <f>_xlfn.XLOOKUP(CONT_TEA[[#This Row],[StaffRoleCode]],ROLES[StaffRoleCode],ROLES[PayScaleCode])</f>
        <v>MAIN</v>
      </c>
      <c r="AI182" s="12" t="s">
        <v>1126</v>
      </c>
      <c r="AJ182" s="12" t="s">
        <v>1745</v>
      </c>
      <c r="AK182" s="12" t="s">
        <v>2499</v>
      </c>
      <c r="AM182" s="68" t="s">
        <v>1147</v>
      </c>
      <c r="AN182" s="13" t="s">
        <v>1702</v>
      </c>
      <c r="AO182" s="21">
        <v>45901</v>
      </c>
      <c r="AQ182" s="12">
        <v>0.5</v>
      </c>
      <c r="AR182" t="b">
        <v>0</v>
      </c>
      <c r="AS182" t="b">
        <v>0</v>
      </c>
      <c r="AT182" s="12" t="s">
        <v>1574</v>
      </c>
    </row>
    <row r="183" spans="1:46" x14ac:dyDescent="0.3">
      <c r="A183" s="57" t="str">
        <f t="shared" si="3"/>
        <v>AUD9107364691073646ATEASTCH45901</v>
      </c>
      <c r="B183" s="57">
        <f>COUNTIF(CONT_TEA[Unique Contract],CONT_TEA[[#This Row],[Unique Contract]])-1</f>
        <v>0</v>
      </c>
      <c r="C183" s="57">
        <f>IFERROR(IF(FIND(CONT_TEA[[#This Row],[SchoolCode]],_xlfn.XLOOKUP(CONT_TEA[[#This Row],[StaffMemberCode]],MEMBERS[StaffMemberCode],MEMBERS[SchoolCodes]))&gt;0,0,1),1)</f>
        <v>0</v>
      </c>
      <c r="D183" s="57" cm="1">
        <f t="array" ref="D183">IF(_xlfn.XLOOKUP(CONT_TEA[[#This Row],[StaffRoleCode]],ROLES[StaffRoleCode],ROLES[AvailableToAllSchools],1,0,)=TRUE,0,IF(ISERROR(FIND(CONT_TEA[[#This Row],[SchoolCode]],_xlfn.TEXTJOIN(",",TRUE,_xlfn.UNIQUE(IF(ROLES[StaffRoleCode]=CONT_TEA[[#This Row],[StaffRoleCode]],ROLES[SchoolCodes],""))))),1,0))</f>
        <v>0</v>
      </c>
      <c r="E183" s="57" cm="1">
        <f t="array" ref="E18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83" s="57" cm="1">
        <f t="array" ref="F183">IF(_xlfn.XLOOKUP(CONT_TEA[[#This Row],[PayScaleCode]],PAYSCALES[PayScaleCode],PAYSCALES[AvailableToAllSchools],1,0,)=TRUE,0,IF(ISERROR(FIND(CONT_TEA[[#This Row],[SchoolCode]],_xlfn.TEXTJOIN(",",TRUE,_xlfn.UNIQUE(IF(PAYSCALES[PayScaleCode]=CONT_TEA[[#This Row],[PayScaleCode]],PAYSCALES[SchoolCodes],""))))),1,0))</f>
        <v>0</v>
      </c>
      <c r="G183" s="57">
        <f>IF(_xlfn.XLOOKUP(CONT_TEA[[#This Row],[PayScaleGradeCode]],GRADES[PayScaleGradeCode],GRADES[AvailableToAllSchools])=TRUE,0,IFERROR(IF(FIND(CONT_TEA[[#This Row],[SchoolCode]],_xlfn.XLOOKUP(CONT_TEA[[#This Row],[PayScaleGradeCode]],GRADES[PayScaleGradeCode],GRADES[SchoolCodes]))&gt;=1,0,1),1))</f>
        <v>0</v>
      </c>
      <c r="H183" s="57">
        <f>IF(ISERROR(IF((_xlfn.XLOOKUP(CONT_TEA[[#This Row],[PayScaleGradeCode]],GRADES[PayScaleGradeCode],GRADES[PayScaleCode])=CONT_TEA[[#This Row],[PayScaleCode]]),0,1)),1,0)</f>
        <v>0</v>
      </c>
      <c r="I183" s="57" cm="1">
        <f t="array" ref="I183">IF(ISERROR(FIND(CONT_TEA[[#This Row],[PayScalePointCode]],_xlfn.TEXTJOIN(",",TRUE,IF(PSPOINTS[PayScaleCode]=CONT_TEA[[#This Row],[PayScaleCode]],PSPOINTS[PayScalePointCode])))),1,0)</f>
        <v>0</v>
      </c>
      <c r="J183" s="57" cm="1">
        <f t="array" ref="J18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83" s="57">
        <f>IF(_xlfn.XLOOKUP(CONT_TEA[[#This Row],[PayScalePointCode]],PSPOINTS[PayScalePointCode],PSPOINTS[PayScalePointEnabled])=TRUE,0,1)</f>
        <v>0</v>
      </c>
      <c r="L183" s="57" cm="1">
        <f t="array" ref="L183">IF(_xlfn.XLOOKUP(CONT_TEA[[#This Row],[DepartmentCode]],DEPTS[DepartmentCode],DEPTS[AvailableToAllSchools],1,0,)=TRUE,0,IF(ISERROR(FIND(CONT_TEA[[#This Row],[SchoolCode]],_xlfn.TEXTJOIN(",",TRUE,_xlfn.UNIQUE(IF(DEPTS[DepartmentCode]=CONT_TEA[[#This Row],[DepartmentCode]],DEPTS[SchoolCodes],""))))),1,0))</f>
        <v>0</v>
      </c>
      <c r="M183" s="57">
        <f>IFERROR(IF(_xlfn.XLOOKUP(CONT_TEA[[#This Row],[SRG Gross]],FinanceCodesBudget[FinanceCode],FinanceCodesBudget[LedgerCode])=_xlfn.XLOOKUP(CONT_TEA[[#This Row],[DepartmentCode]],DEPTS[DepartmentCode],DEPTS[LedgerCode]),0,1),1)</f>
        <v>1</v>
      </c>
      <c r="N183" s="57" cm="1">
        <f t="array" ref="N183">IF(_xlfn.XLOOKUP(CONT_TEA[[#This Row],[PensionCode]],PENS[PensionCode],PENS[AvailableToAllSchools],1,0,)=TRUE,0,IF(ISERROR(FIND(CONT_TEA[[#This Row],[SchoolCode]],_xlfn.TEXTJOIN(",",TRUE,_xlfn.UNIQUE(IF(PENS[PensionCode]=CONT_TEA[[#This Row],[PensionCode]],PENS[SchoolCodes],""))))),1,0))</f>
        <v>0</v>
      </c>
      <c r="O183" s="57" cm="1">
        <f t="array" ref="O183">IF(_xlfn.XLOOKUP(CONT_TEA[[#This Row],[EquatedWeekPatternCode]],EQW[EquatedWeekPatternCode],EQW[AvailableToAllSchools],1,0,)=TRUE,0,IF(ISERROR(FIND(CONT_TEA[[#This Row],[SchoolCode]],_xlfn.TEXTJOIN(",",TRUE,_xlfn.UNIQUE(IF(EQW[EquatedWeekPatternCode]=CONT_TEA[[#This Row],[EquatedWeekPatternCode]],EQW[SchoolCodes],""))))),1,0))</f>
        <v>0</v>
      </c>
      <c r="P183" s="57">
        <f>1-COUNTIF(ContractTypes[Code],CONT_TEA[[#This Row],[ContractTypeCode]])</f>
        <v>0</v>
      </c>
      <c r="Q183" s="57">
        <f>IF(VLOOKUP(CONT_TEA[[#This Row],[StaffMemberCode]],MEMBERS[[StaffMemberCode]:[ServiceStartDate]],5,0)&gt;CONT_TEA[[#This Row],[DateFrom]],1,0)</f>
        <v>0</v>
      </c>
      <c r="R183" s="57">
        <f>IF(_xlfn.XLOOKUP(CONT_TEA[[#This Row],[StaffMemberCode]],MEMBERS[StaffMemberCode],MEMBERS[ServiceEndDate])="",0,IF(CONT_TEA[[#This Row],[DateTo]]="",1,IF(_xlfn.XLOOKUP(CONT_TEA[[#This Row],[StaffMemberCode]],MEMBERS[StaffMemberCode],MEMBERS[ServiceEndDate])&lt;CONT_TEA[[#This Row],[DateTo]],1,0)))</f>
        <v>0</v>
      </c>
      <c r="S183" s="57">
        <f>IF(ISBLANK(CONT_TEA[[#This Row],[DateTo]]),0,IF(CONT_TEA[[#This Row],[DateFrom]]=CONT_TEA[[#This Row],[DateTo]],0,IF(CONT_TEA[[#This Row],[DateFrom]]&lt;CONT_TEA[[#This Row],[DateTo]],0,1)))</f>
        <v>0</v>
      </c>
      <c r="T183" s="57" cm="1">
        <f t="array" aca="1" ref="T183" ca="1">IF(CELL("format",CONT_TEA[[#This Row],[DateFrom]])="D1",0,1)+IF(CELL("format",CONT_TEA[[#This Row],[DateTo]])="D1",0,1)</f>
        <v>0</v>
      </c>
      <c r="U183" s="57">
        <f>IF(OR(CONT_TEA[[#This Row],[MatEditOnly]]=TRUE,CONT_TEA[[#This Row],[MatEditOnly]]=FALSE),IF(OR(CONT_TEA[[#This Row],[NoIncrement]]=TRUE,CONT_TEA[[#This Row],[NoIncrement]]=FALSE),0,1),1)</f>
        <v>0</v>
      </c>
      <c r="V183" s="57">
        <f>IF(ISBLANK(CONT_TEA[[#This Row],[FundCode]])=TRUE,0,IF(COUNTIF(FUNDS[FundCode],CONT_TEA[[#This Row],[FundCode]])=1,0,1))</f>
        <v>0</v>
      </c>
      <c r="W183" s="57">
        <f>IF(LEN(CONT_TEA[[#This Row],[Notes]])&lt;4000,0,1)</f>
        <v>0</v>
      </c>
      <c r="X183" s="57">
        <f>IF(SUBSTITUTE(TEXT(CONT_TEA[[#This Row],[Reference]],10)," ","")=TEXT(CONT_TEA[[#This Row],[Reference]],10),0,1)</f>
        <v>0</v>
      </c>
      <c r="Y183" s="57">
        <f ca="1">SUM(CONT_TEA[[#This Row],[Duplicate Contract]:[Space in Code]])</f>
        <v>1</v>
      </c>
      <c r="AA183" s="12" t="s">
        <v>2089</v>
      </c>
      <c r="AB183" s="15">
        <v>91073646</v>
      </c>
      <c r="AC183" s="12" t="s">
        <v>4531</v>
      </c>
      <c r="AD183" s="57" t="str">
        <f>_xlfn.XLOOKUP(CONT_TEA[[#This Row],[StaffMemberCode]],StaffMembers!O:O,StaffMembers!R:R)</f>
        <v>Jodie Burgess</v>
      </c>
      <c r="AE183" s="12" t="s">
        <v>1178</v>
      </c>
      <c r="AF183" s="57">
        <f>_xlfn.XLOOKUP(CONT_TEA[[#This Row],[SRG]],SRG[StaffRoleGroupCode],SRG[GrossSalaryFinanceCode])</f>
        <v>612100</v>
      </c>
      <c r="AG183" s="57" t="str">
        <f>_xlfn.XLOOKUP(CONT_TEA[[#This Row],[StaffRoleCode]],ROLES[StaffRoleCode],ROLES[StaffRoleGroupCode])</f>
        <v>TEA</v>
      </c>
      <c r="AH183" s="57" t="str">
        <f>_xlfn.XLOOKUP(CONT_TEA[[#This Row],[StaffRoleCode]],ROLES[StaffRoleCode],ROLES[PayScaleCode])</f>
        <v>MAIN</v>
      </c>
      <c r="AI183" s="12" t="s">
        <v>1126</v>
      </c>
      <c r="AJ183" s="12" t="s">
        <v>1745</v>
      </c>
      <c r="AK183" s="12" t="s">
        <v>2499</v>
      </c>
      <c r="AM183" s="68" t="s">
        <v>1147</v>
      </c>
      <c r="AN183" s="13" t="s">
        <v>1702</v>
      </c>
      <c r="AO183" s="21">
        <v>45901</v>
      </c>
      <c r="AQ183" s="12">
        <v>0.6</v>
      </c>
      <c r="AR183" t="b">
        <v>0</v>
      </c>
      <c r="AS183" t="b">
        <v>0</v>
      </c>
      <c r="AT183" s="12" t="s">
        <v>1574</v>
      </c>
    </row>
    <row r="184" spans="1:46" x14ac:dyDescent="0.3">
      <c r="A184" s="57" t="str">
        <f t="shared" si="3"/>
        <v>BLS9107358291073582ATEASTCH45901</v>
      </c>
      <c r="B184" s="57">
        <f>COUNTIF(CONT_TEA[Unique Contract],CONT_TEA[[#This Row],[Unique Contract]])-1</f>
        <v>0</v>
      </c>
      <c r="C184" s="57">
        <f>IFERROR(IF(FIND(CONT_TEA[[#This Row],[SchoolCode]],_xlfn.XLOOKUP(CONT_TEA[[#This Row],[StaffMemberCode]],MEMBERS[StaffMemberCode],MEMBERS[SchoolCodes]))&gt;0,0,1),1)</f>
        <v>0</v>
      </c>
      <c r="D184" s="57" cm="1">
        <f t="array" ref="D184">IF(_xlfn.XLOOKUP(CONT_TEA[[#This Row],[StaffRoleCode]],ROLES[StaffRoleCode],ROLES[AvailableToAllSchools],1,0,)=TRUE,0,IF(ISERROR(FIND(CONT_TEA[[#This Row],[SchoolCode]],_xlfn.TEXTJOIN(",",TRUE,_xlfn.UNIQUE(IF(ROLES[StaffRoleCode]=CONT_TEA[[#This Row],[StaffRoleCode]],ROLES[SchoolCodes],""))))),1,0))</f>
        <v>0</v>
      </c>
      <c r="E184" s="57" cm="1">
        <f t="array" ref="E18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84" s="57" cm="1">
        <f t="array" ref="F184">IF(_xlfn.XLOOKUP(CONT_TEA[[#This Row],[PayScaleCode]],PAYSCALES[PayScaleCode],PAYSCALES[AvailableToAllSchools],1,0,)=TRUE,0,IF(ISERROR(FIND(CONT_TEA[[#This Row],[SchoolCode]],_xlfn.TEXTJOIN(",",TRUE,_xlfn.UNIQUE(IF(PAYSCALES[PayScaleCode]=CONT_TEA[[#This Row],[PayScaleCode]],PAYSCALES[SchoolCodes],""))))),1,0))</f>
        <v>0</v>
      </c>
      <c r="G184" s="57">
        <f>IF(_xlfn.XLOOKUP(CONT_TEA[[#This Row],[PayScaleGradeCode]],GRADES[PayScaleGradeCode],GRADES[AvailableToAllSchools])=TRUE,0,IFERROR(IF(FIND(CONT_TEA[[#This Row],[SchoolCode]],_xlfn.XLOOKUP(CONT_TEA[[#This Row],[PayScaleGradeCode]],GRADES[PayScaleGradeCode],GRADES[SchoolCodes]))&gt;=1,0,1),1))</f>
        <v>0</v>
      </c>
      <c r="H184" s="57">
        <f>IF(ISERROR(IF((_xlfn.XLOOKUP(CONT_TEA[[#This Row],[PayScaleGradeCode]],GRADES[PayScaleGradeCode],GRADES[PayScaleCode])=CONT_TEA[[#This Row],[PayScaleCode]]),0,1)),1,0)</f>
        <v>0</v>
      </c>
      <c r="I184" s="57" cm="1">
        <f t="array" ref="I184">IF(ISERROR(FIND(CONT_TEA[[#This Row],[PayScalePointCode]],_xlfn.TEXTJOIN(",",TRUE,IF(PSPOINTS[PayScaleCode]=CONT_TEA[[#This Row],[PayScaleCode]],PSPOINTS[PayScalePointCode])))),1,0)</f>
        <v>0</v>
      </c>
      <c r="J184" s="57" cm="1">
        <f t="array" ref="J18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84" s="57">
        <f>IF(_xlfn.XLOOKUP(CONT_TEA[[#This Row],[PayScalePointCode]],PSPOINTS[PayScalePointCode],PSPOINTS[PayScalePointEnabled])=TRUE,0,1)</f>
        <v>0</v>
      </c>
      <c r="L184" s="57" cm="1">
        <f t="array" ref="L184">IF(_xlfn.XLOOKUP(CONT_TEA[[#This Row],[DepartmentCode]],DEPTS[DepartmentCode],DEPTS[AvailableToAllSchools],1,0,)=TRUE,0,IF(ISERROR(FIND(CONT_TEA[[#This Row],[SchoolCode]],_xlfn.TEXTJOIN(",",TRUE,_xlfn.UNIQUE(IF(DEPTS[DepartmentCode]=CONT_TEA[[#This Row],[DepartmentCode]],DEPTS[SchoolCodes],""))))),1,0))</f>
        <v>0</v>
      </c>
      <c r="M184" s="57">
        <f>IFERROR(IF(_xlfn.XLOOKUP(CONT_TEA[[#This Row],[SRG Gross]],FinanceCodesBudget[FinanceCode],FinanceCodesBudget[LedgerCode])=_xlfn.XLOOKUP(CONT_TEA[[#This Row],[DepartmentCode]],DEPTS[DepartmentCode],DEPTS[LedgerCode]),0,1),1)</f>
        <v>1</v>
      </c>
      <c r="N184" s="57" cm="1">
        <f t="array" ref="N184">IF(_xlfn.XLOOKUP(CONT_TEA[[#This Row],[PensionCode]],PENS[PensionCode],PENS[AvailableToAllSchools],1,0,)=TRUE,0,IF(ISERROR(FIND(CONT_TEA[[#This Row],[SchoolCode]],_xlfn.TEXTJOIN(",",TRUE,_xlfn.UNIQUE(IF(PENS[PensionCode]=CONT_TEA[[#This Row],[PensionCode]],PENS[SchoolCodes],""))))),1,0))</f>
        <v>0</v>
      </c>
      <c r="O184" s="57" cm="1">
        <f t="array" ref="O184">IF(_xlfn.XLOOKUP(CONT_TEA[[#This Row],[EquatedWeekPatternCode]],EQW[EquatedWeekPatternCode],EQW[AvailableToAllSchools],1,0,)=TRUE,0,IF(ISERROR(FIND(CONT_TEA[[#This Row],[SchoolCode]],_xlfn.TEXTJOIN(",",TRUE,_xlfn.UNIQUE(IF(EQW[EquatedWeekPatternCode]=CONT_TEA[[#This Row],[EquatedWeekPatternCode]],EQW[SchoolCodes],""))))),1,0))</f>
        <v>0</v>
      </c>
      <c r="P184" s="57">
        <f>1-COUNTIF(ContractTypes[Code],CONT_TEA[[#This Row],[ContractTypeCode]])</f>
        <v>0</v>
      </c>
      <c r="Q184" s="57">
        <f>IF(VLOOKUP(CONT_TEA[[#This Row],[StaffMemberCode]],MEMBERS[[StaffMemberCode]:[ServiceStartDate]],5,0)&gt;CONT_TEA[[#This Row],[DateFrom]],1,0)</f>
        <v>0</v>
      </c>
      <c r="R184" s="57">
        <f>IF(_xlfn.XLOOKUP(CONT_TEA[[#This Row],[StaffMemberCode]],MEMBERS[StaffMemberCode],MEMBERS[ServiceEndDate])="",0,IF(CONT_TEA[[#This Row],[DateTo]]="",1,IF(_xlfn.XLOOKUP(CONT_TEA[[#This Row],[StaffMemberCode]],MEMBERS[StaffMemberCode],MEMBERS[ServiceEndDate])&lt;CONT_TEA[[#This Row],[DateTo]],1,0)))</f>
        <v>0</v>
      </c>
      <c r="S184" s="57">
        <f>IF(ISBLANK(CONT_TEA[[#This Row],[DateTo]]),0,IF(CONT_TEA[[#This Row],[DateFrom]]=CONT_TEA[[#This Row],[DateTo]],0,IF(CONT_TEA[[#This Row],[DateFrom]]&lt;CONT_TEA[[#This Row],[DateTo]],0,1)))</f>
        <v>0</v>
      </c>
      <c r="T184" s="57" cm="1">
        <f t="array" aca="1" ref="T184" ca="1">IF(CELL("format",CONT_TEA[[#This Row],[DateFrom]])="D1",0,1)+IF(CELL("format",CONT_TEA[[#This Row],[DateTo]])="D1",0,1)</f>
        <v>0</v>
      </c>
      <c r="U184" s="57">
        <f>IF(OR(CONT_TEA[[#This Row],[MatEditOnly]]=TRUE,CONT_TEA[[#This Row],[MatEditOnly]]=FALSE),IF(OR(CONT_TEA[[#This Row],[NoIncrement]]=TRUE,CONT_TEA[[#This Row],[NoIncrement]]=FALSE),0,1),1)</f>
        <v>0</v>
      </c>
      <c r="V184" s="57">
        <f>IF(ISBLANK(CONT_TEA[[#This Row],[FundCode]])=TRUE,0,IF(COUNTIF(FUNDS[FundCode],CONT_TEA[[#This Row],[FundCode]])=1,0,1))</f>
        <v>0</v>
      </c>
      <c r="W184" s="57">
        <f>IF(LEN(CONT_TEA[[#This Row],[Notes]])&lt;4000,0,1)</f>
        <v>0</v>
      </c>
      <c r="X184" s="57">
        <f>IF(SUBSTITUTE(TEXT(CONT_TEA[[#This Row],[Reference]],10)," ","")=TEXT(CONT_TEA[[#This Row],[Reference]],10),0,1)</f>
        <v>0</v>
      </c>
      <c r="Y184" s="57">
        <f ca="1">SUM(CONT_TEA[[#This Row],[Duplicate Contract]:[Space in Code]])</f>
        <v>1</v>
      </c>
      <c r="AA184" s="12" t="s">
        <v>2094</v>
      </c>
      <c r="AB184" s="15">
        <v>91073582</v>
      </c>
      <c r="AC184" s="12" t="s">
        <v>4532</v>
      </c>
      <c r="AD184" s="57" t="str">
        <f>_xlfn.XLOOKUP(CONT_TEA[[#This Row],[StaffMemberCode]],StaffMembers!O:O,StaffMembers!R:R)</f>
        <v>Josephine Andersen</v>
      </c>
      <c r="AE184" s="12" t="s">
        <v>1178</v>
      </c>
      <c r="AF184" s="57">
        <f>_xlfn.XLOOKUP(CONT_TEA[[#This Row],[SRG]],SRG[StaffRoleGroupCode],SRG[GrossSalaryFinanceCode])</f>
        <v>612100</v>
      </c>
      <c r="AG184" s="57" t="str">
        <f>_xlfn.XLOOKUP(CONT_TEA[[#This Row],[StaffRoleCode]],ROLES[StaffRoleCode],ROLES[StaffRoleGroupCode])</f>
        <v>TEA</v>
      </c>
      <c r="AH184" s="57" t="str">
        <f>_xlfn.XLOOKUP(CONT_TEA[[#This Row],[StaffRoleCode]],ROLES[StaffRoleCode],ROLES[PayScaleCode])</f>
        <v>MAIN</v>
      </c>
      <c r="AI184" s="12" t="s">
        <v>1126</v>
      </c>
      <c r="AJ184" s="12" t="s">
        <v>1745</v>
      </c>
      <c r="AK184" s="12" t="s">
        <v>2499</v>
      </c>
      <c r="AM184" s="68" t="s">
        <v>1147</v>
      </c>
      <c r="AN184" s="13" t="s">
        <v>1702</v>
      </c>
      <c r="AO184" s="21">
        <v>45901</v>
      </c>
      <c r="AQ184" s="12">
        <v>1</v>
      </c>
      <c r="AR184" t="b">
        <v>0</v>
      </c>
      <c r="AS184" t="b">
        <v>0</v>
      </c>
      <c r="AT184" s="12" t="s">
        <v>1574</v>
      </c>
    </row>
    <row r="185" spans="1:46" x14ac:dyDescent="0.3">
      <c r="A185" s="57" t="str">
        <f t="shared" si="3"/>
        <v>HIG9107389991073899ATEASTCH45901</v>
      </c>
      <c r="B185" s="57">
        <f>COUNTIF(CONT_TEA[Unique Contract],CONT_TEA[[#This Row],[Unique Contract]])-1</f>
        <v>0</v>
      </c>
      <c r="C185" s="57">
        <f>IFERROR(IF(FIND(CONT_TEA[[#This Row],[SchoolCode]],_xlfn.XLOOKUP(CONT_TEA[[#This Row],[StaffMemberCode]],MEMBERS[StaffMemberCode],MEMBERS[SchoolCodes]))&gt;0,0,1),1)</f>
        <v>0</v>
      </c>
      <c r="D185" s="57" cm="1">
        <f t="array" ref="D185">IF(_xlfn.XLOOKUP(CONT_TEA[[#This Row],[StaffRoleCode]],ROLES[StaffRoleCode],ROLES[AvailableToAllSchools],1,0,)=TRUE,0,IF(ISERROR(FIND(CONT_TEA[[#This Row],[SchoolCode]],_xlfn.TEXTJOIN(",",TRUE,_xlfn.UNIQUE(IF(ROLES[StaffRoleCode]=CONT_TEA[[#This Row],[StaffRoleCode]],ROLES[SchoolCodes],""))))),1,0))</f>
        <v>0</v>
      </c>
      <c r="E185" s="57" cm="1">
        <f t="array" ref="E18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85" s="57" cm="1">
        <f t="array" ref="F185">IF(_xlfn.XLOOKUP(CONT_TEA[[#This Row],[PayScaleCode]],PAYSCALES[PayScaleCode],PAYSCALES[AvailableToAllSchools],1,0,)=TRUE,0,IF(ISERROR(FIND(CONT_TEA[[#This Row],[SchoolCode]],_xlfn.TEXTJOIN(",",TRUE,_xlfn.UNIQUE(IF(PAYSCALES[PayScaleCode]=CONT_TEA[[#This Row],[PayScaleCode]],PAYSCALES[SchoolCodes],""))))),1,0))</f>
        <v>0</v>
      </c>
      <c r="G185" s="57">
        <f>IF(_xlfn.XLOOKUP(CONT_TEA[[#This Row],[PayScaleGradeCode]],GRADES[PayScaleGradeCode],GRADES[AvailableToAllSchools])=TRUE,0,IFERROR(IF(FIND(CONT_TEA[[#This Row],[SchoolCode]],_xlfn.XLOOKUP(CONT_TEA[[#This Row],[PayScaleGradeCode]],GRADES[PayScaleGradeCode],GRADES[SchoolCodes]))&gt;=1,0,1),1))</f>
        <v>0</v>
      </c>
      <c r="H185" s="57">
        <f>IF(ISERROR(IF((_xlfn.XLOOKUP(CONT_TEA[[#This Row],[PayScaleGradeCode]],GRADES[PayScaleGradeCode],GRADES[PayScaleCode])=CONT_TEA[[#This Row],[PayScaleCode]]),0,1)),1,0)</f>
        <v>0</v>
      </c>
      <c r="I185" s="57" cm="1">
        <f t="array" ref="I185">IF(ISERROR(FIND(CONT_TEA[[#This Row],[PayScalePointCode]],_xlfn.TEXTJOIN(",",TRUE,IF(PSPOINTS[PayScaleCode]=CONT_TEA[[#This Row],[PayScaleCode]],PSPOINTS[PayScalePointCode])))),1,0)</f>
        <v>0</v>
      </c>
      <c r="J185" s="57" cm="1">
        <f t="array" ref="J18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85" s="57">
        <f>IF(_xlfn.XLOOKUP(CONT_TEA[[#This Row],[PayScalePointCode]],PSPOINTS[PayScalePointCode],PSPOINTS[PayScalePointEnabled])=TRUE,0,1)</f>
        <v>0</v>
      </c>
      <c r="L185" s="57" cm="1">
        <f t="array" ref="L185">IF(_xlfn.XLOOKUP(CONT_TEA[[#This Row],[DepartmentCode]],DEPTS[DepartmentCode],DEPTS[AvailableToAllSchools],1,0,)=TRUE,0,IF(ISERROR(FIND(CONT_TEA[[#This Row],[SchoolCode]],_xlfn.TEXTJOIN(",",TRUE,_xlfn.UNIQUE(IF(DEPTS[DepartmentCode]=CONT_TEA[[#This Row],[DepartmentCode]],DEPTS[SchoolCodes],""))))),1,0))</f>
        <v>0</v>
      </c>
      <c r="M185" s="57">
        <f>IFERROR(IF(_xlfn.XLOOKUP(CONT_TEA[[#This Row],[SRG Gross]],FinanceCodesBudget[FinanceCode],FinanceCodesBudget[LedgerCode])=_xlfn.XLOOKUP(CONT_TEA[[#This Row],[DepartmentCode]],DEPTS[DepartmentCode],DEPTS[LedgerCode]),0,1),1)</f>
        <v>1</v>
      </c>
      <c r="N185" s="57" cm="1">
        <f t="array" ref="N185">IF(_xlfn.XLOOKUP(CONT_TEA[[#This Row],[PensionCode]],PENS[PensionCode],PENS[AvailableToAllSchools],1,0,)=TRUE,0,IF(ISERROR(FIND(CONT_TEA[[#This Row],[SchoolCode]],_xlfn.TEXTJOIN(",",TRUE,_xlfn.UNIQUE(IF(PENS[PensionCode]=CONT_TEA[[#This Row],[PensionCode]],PENS[SchoolCodes],""))))),1,0))</f>
        <v>0</v>
      </c>
      <c r="O185" s="57" cm="1">
        <f t="array" ref="O185">IF(_xlfn.XLOOKUP(CONT_TEA[[#This Row],[EquatedWeekPatternCode]],EQW[EquatedWeekPatternCode],EQW[AvailableToAllSchools],1,0,)=TRUE,0,IF(ISERROR(FIND(CONT_TEA[[#This Row],[SchoolCode]],_xlfn.TEXTJOIN(",",TRUE,_xlfn.UNIQUE(IF(EQW[EquatedWeekPatternCode]=CONT_TEA[[#This Row],[EquatedWeekPatternCode]],EQW[SchoolCodes],""))))),1,0))</f>
        <v>0</v>
      </c>
      <c r="P185" s="57">
        <f>1-COUNTIF(ContractTypes[Code],CONT_TEA[[#This Row],[ContractTypeCode]])</f>
        <v>0</v>
      </c>
      <c r="Q185" s="57">
        <f>IF(VLOOKUP(CONT_TEA[[#This Row],[StaffMemberCode]],MEMBERS[[StaffMemberCode]:[ServiceStartDate]],5,0)&gt;CONT_TEA[[#This Row],[DateFrom]],1,0)</f>
        <v>0</v>
      </c>
      <c r="R185" s="57">
        <f>IF(_xlfn.XLOOKUP(CONT_TEA[[#This Row],[StaffMemberCode]],MEMBERS[StaffMemberCode],MEMBERS[ServiceEndDate])="",0,IF(CONT_TEA[[#This Row],[DateTo]]="",1,IF(_xlfn.XLOOKUP(CONT_TEA[[#This Row],[StaffMemberCode]],MEMBERS[StaffMemberCode],MEMBERS[ServiceEndDate])&lt;CONT_TEA[[#This Row],[DateTo]],1,0)))</f>
        <v>0</v>
      </c>
      <c r="S185" s="57">
        <f>IF(ISBLANK(CONT_TEA[[#This Row],[DateTo]]),0,IF(CONT_TEA[[#This Row],[DateFrom]]=CONT_TEA[[#This Row],[DateTo]],0,IF(CONT_TEA[[#This Row],[DateFrom]]&lt;CONT_TEA[[#This Row],[DateTo]],0,1)))</f>
        <v>0</v>
      </c>
      <c r="T185" s="57" cm="1">
        <f t="array" aca="1" ref="T185" ca="1">IF(CELL("format",CONT_TEA[[#This Row],[DateFrom]])="D1",0,1)+IF(CELL("format",CONT_TEA[[#This Row],[DateTo]])="D1",0,1)</f>
        <v>0</v>
      </c>
      <c r="U185" s="57">
        <f>IF(OR(CONT_TEA[[#This Row],[MatEditOnly]]=TRUE,CONT_TEA[[#This Row],[MatEditOnly]]=FALSE),IF(OR(CONT_TEA[[#This Row],[NoIncrement]]=TRUE,CONT_TEA[[#This Row],[NoIncrement]]=FALSE),0,1),1)</f>
        <v>0</v>
      </c>
      <c r="V185" s="57">
        <f>IF(ISBLANK(CONT_TEA[[#This Row],[FundCode]])=TRUE,0,IF(COUNTIF(FUNDS[FundCode],CONT_TEA[[#This Row],[FundCode]])=1,0,1))</f>
        <v>0</v>
      </c>
      <c r="W185" s="57">
        <f>IF(LEN(CONT_TEA[[#This Row],[Notes]])&lt;4000,0,1)</f>
        <v>0</v>
      </c>
      <c r="X185" s="57">
        <f>IF(SUBSTITUTE(TEXT(CONT_TEA[[#This Row],[Reference]],10)," ","")=TEXT(CONT_TEA[[#This Row],[Reference]],10),0,1)</f>
        <v>0</v>
      </c>
      <c r="Y185" s="57">
        <f ca="1">SUM(CONT_TEA[[#This Row],[Duplicate Contract]:[Space in Code]])</f>
        <v>1</v>
      </c>
      <c r="AA185" s="12" t="s">
        <v>2266</v>
      </c>
      <c r="AB185" s="15">
        <v>91073899</v>
      </c>
      <c r="AC185" s="12" t="s">
        <v>4533</v>
      </c>
      <c r="AD185" s="57" t="str">
        <f>_xlfn.XLOOKUP(CONT_TEA[[#This Row],[StaffMemberCode]],StaffMembers!O:O,StaffMembers!R:R)</f>
        <v>Julie Harrison</v>
      </c>
      <c r="AE185" s="12" t="s">
        <v>1178</v>
      </c>
      <c r="AF185" s="57">
        <f>_xlfn.XLOOKUP(CONT_TEA[[#This Row],[SRG]],SRG[StaffRoleGroupCode],SRG[GrossSalaryFinanceCode])</f>
        <v>612100</v>
      </c>
      <c r="AG185" s="57" t="str">
        <f>_xlfn.XLOOKUP(CONT_TEA[[#This Row],[StaffRoleCode]],ROLES[StaffRoleCode],ROLES[StaffRoleGroupCode])</f>
        <v>TEA</v>
      </c>
      <c r="AH185" s="57" t="str">
        <f>_xlfn.XLOOKUP(CONT_TEA[[#This Row],[StaffRoleCode]],ROLES[StaffRoleCode],ROLES[PayScaleCode])</f>
        <v>MAIN</v>
      </c>
      <c r="AI185" s="12" t="s">
        <v>1126</v>
      </c>
      <c r="AJ185" s="12" t="s">
        <v>1745</v>
      </c>
      <c r="AK185" s="12" t="s">
        <v>2499</v>
      </c>
      <c r="AM185" s="68" t="s">
        <v>1147</v>
      </c>
      <c r="AN185" s="13" t="s">
        <v>1702</v>
      </c>
      <c r="AO185" s="21">
        <v>45901</v>
      </c>
      <c r="AQ185" s="12">
        <v>1</v>
      </c>
      <c r="AR185" t="b">
        <v>0</v>
      </c>
      <c r="AS185" t="b">
        <v>0</v>
      </c>
      <c r="AT185" s="12" t="s">
        <v>1574</v>
      </c>
    </row>
    <row r="186" spans="1:46" x14ac:dyDescent="0.3">
      <c r="A186" s="57" t="str">
        <f t="shared" si="3"/>
        <v>BLS9107344091073440ATEASTCH45901</v>
      </c>
      <c r="B186" s="57">
        <f>COUNTIF(CONT_TEA[Unique Contract],CONT_TEA[[#This Row],[Unique Contract]])-1</f>
        <v>0</v>
      </c>
      <c r="C186" s="57">
        <f>IFERROR(IF(FIND(CONT_TEA[[#This Row],[SchoolCode]],_xlfn.XLOOKUP(CONT_TEA[[#This Row],[StaffMemberCode]],MEMBERS[StaffMemberCode],MEMBERS[SchoolCodes]))&gt;0,0,1),1)</f>
        <v>0</v>
      </c>
      <c r="D186" s="57" cm="1">
        <f t="array" ref="D186">IF(_xlfn.XLOOKUP(CONT_TEA[[#This Row],[StaffRoleCode]],ROLES[StaffRoleCode],ROLES[AvailableToAllSchools],1,0,)=TRUE,0,IF(ISERROR(FIND(CONT_TEA[[#This Row],[SchoolCode]],_xlfn.TEXTJOIN(",",TRUE,_xlfn.UNIQUE(IF(ROLES[StaffRoleCode]=CONT_TEA[[#This Row],[StaffRoleCode]],ROLES[SchoolCodes],""))))),1,0))</f>
        <v>0</v>
      </c>
      <c r="E186" s="57" cm="1">
        <f t="array" ref="E18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86" s="57" cm="1">
        <f t="array" ref="F186">IF(_xlfn.XLOOKUP(CONT_TEA[[#This Row],[PayScaleCode]],PAYSCALES[PayScaleCode],PAYSCALES[AvailableToAllSchools],1,0,)=TRUE,0,IF(ISERROR(FIND(CONT_TEA[[#This Row],[SchoolCode]],_xlfn.TEXTJOIN(",",TRUE,_xlfn.UNIQUE(IF(PAYSCALES[PayScaleCode]=CONT_TEA[[#This Row],[PayScaleCode]],PAYSCALES[SchoolCodes],""))))),1,0))</f>
        <v>0</v>
      </c>
      <c r="G186" s="57">
        <f>IF(_xlfn.XLOOKUP(CONT_TEA[[#This Row],[PayScaleGradeCode]],GRADES[PayScaleGradeCode],GRADES[AvailableToAllSchools])=TRUE,0,IFERROR(IF(FIND(CONT_TEA[[#This Row],[SchoolCode]],_xlfn.XLOOKUP(CONT_TEA[[#This Row],[PayScaleGradeCode]],GRADES[PayScaleGradeCode],GRADES[SchoolCodes]))&gt;=1,0,1),1))</f>
        <v>0</v>
      </c>
      <c r="H186" s="57">
        <f>IF(ISERROR(IF((_xlfn.XLOOKUP(CONT_TEA[[#This Row],[PayScaleGradeCode]],GRADES[PayScaleGradeCode],GRADES[PayScaleCode])=CONT_TEA[[#This Row],[PayScaleCode]]),0,1)),1,0)</f>
        <v>0</v>
      </c>
      <c r="I186" s="57" cm="1">
        <f t="array" ref="I186">IF(ISERROR(FIND(CONT_TEA[[#This Row],[PayScalePointCode]],_xlfn.TEXTJOIN(",",TRUE,IF(PSPOINTS[PayScaleCode]=CONT_TEA[[#This Row],[PayScaleCode]],PSPOINTS[PayScalePointCode])))),1,0)</f>
        <v>0</v>
      </c>
      <c r="J186" s="57" cm="1">
        <f t="array" ref="J18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86" s="57">
        <f>IF(_xlfn.XLOOKUP(CONT_TEA[[#This Row],[PayScalePointCode]],PSPOINTS[PayScalePointCode],PSPOINTS[PayScalePointEnabled])=TRUE,0,1)</f>
        <v>0</v>
      </c>
      <c r="L186" s="57" cm="1">
        <f t="array" ref="L186">IF(_xlfn.XLOOKUP(CONT_TEA[[#This Row],[DepartmentCode]],DEPTS[DepartmentCode],DEPTS[AvailableToAllSchools],1,0,)=TRUE,0,IF(ISERROR(FIND(CONT_TEA[[#This Row],[SchoolCode]],_xlfn.TEXTJOIN(",",TRUE,_xlfn.UNIQUE(IF(DEPTS[DepartmentCode]=CONT_TEA[[#This Row],[DepartmentCode]],DEPTS[SchoolCodes],""))))),1,0))</f>
        <v>0</v>
      </c>
      <c r="M186" s="57">
        <f>IFERROR(IF(_xlfn.XLOOKUP(CONT_TEA[[#This Row],[SRG Gross]],FinanceCodesBudget[FinanceCode],FinanceCodesBudget[LedgerCode])=_xlfn.XLOOKUP(CONT_TEA[[#This Row],[DepartmentCode]],DEPTS[DepartmentCode],DEPTS[LedgerCode]),0,1),1)</f>
        <v>1</v>
      </c>
      <c r="N186" s="57" cm="1">
        <f t="array" ref="N186">IF(_xlfn.XLOOKUP(CONT_TEA[[#This Row],[PensionCode]],PENS[PensionCode],PENS[AvailableToAllSchools],1,0,)=TRUE,0,IF(ISERROR(FIND(CONT_TEA[[#This Row],[SchoolCode]],_xlfn.TEXTJOIN(",",TRUE,_xlfn.UNIQUE(IF(PENS[PensionCode]=CONT_TEA[[#This Row],[PensionCode]],PENS[SchoolCodes],""))))),1,0))</f>
        <v>0</v>
      </c>
      <c r="O186" s="57" cm="1">
        <f t="array" ref="O186">IF(_xlfn.XLOOKUP(CONT_TEA[[#This Row],[EquatedWeekPatternCode]],EQW[EquatedWeekPatternCode],EQW[AvailableToAllSchools],1,0,)=TRUE,0,IF(ISERROR(FIND(CONT_TEA[[#This Row],[SchoolCode]],_xlfn.TEXTJOIN(",",TRUE,_xlfn.UNIQUE(IF(EQW[EquatedWeekPatternCode]=CONT_TEA[[#This Row],[EquatedWeekPatternCode]],EQW[SchoolCodes],""))))),1,0))</f>
        <v>0</v>
      </c>
      <c r="P186" s="57">
        <f>1-COUNTIF(ContractTypes[Code],CONT_TEA[[#This Row],[ContractTypeCode]])</f>
        <v>0</v>
      </c>
      <c r="Q186" s="57">
        <f>IF(VLOOKUP(CONT_TEA[[#This Row],[StaffMemberCode]],MEMBERS[[StaffMemberCode]:[ServiceStartDate]],5,0)&gt;CONT_TEA[[#This Row],[DateFrom]],1,0)</f>
        <v>0</v>
      </c>
      <c r="R186" s="57">
        <f>IF(_xlfn.XLOOKUP(CONT_TEA[[#This Row],[StaffMemberCode]],MEMBERS[StaffMemberCode],MEMBERS[ServiceEndDate])="",0,IF(CONT_TEA[[#This Row],[DateTo]]="",1,IF(_xlfn.XLOOKUP(CONT_TEA[[#This Row],[StaffMemberCode]],MEMBERS[StaffMemberCode],MEMBERS[ServiceEndDate])&lt;CONT_TEA[[#This Row],[DateTo]],1,0)))</f>
        <v>0</v>
      </c>
      <c r="S186" s="57">
        <f>IF(ISBLANK(CONT_TEA[[#This Row],[DateTo]]),0,IF(CONT_TEA[[#This Row],[DateFrom]]=CONT_TEA[[#This Row],[DateTo]],0,IF(CONT_TEA[[#This Row],[DateFrom]]&lt;CONT_TEA[[#This Row],[DateTo]],0,1)))</f>
        <v>0</v>
      </c>
      <c r="T186" s="57" cm="1">
        <f t="array" aca="1" ref="T186" ca="1">IF(CELL("format",CONT_TEA[[#This Row],[DateFrom]])="D1",0,1)+IF(CELL("format",CONT_TEA[[#This Row],[DateTo]])="D1",0,1)</f>
        <v>0</v>
      </c>
      <c r="U186" s="57">
        <f>IF(OR(CONT_TEA[[#This Row],[MatEditOnly]]=TRUE,CONT_TEA[[#This Row],[MatEditOnly]]=FALSE),IF(OR(CONT_TEA[[#This Row],[NoIncrement]]=TRUE,CONT_TEA[[#This Row],[NoIncrement]]=FALSE),0,1),1)</f>
        <v>0</v>
      </c>
      <c r="V186" s="57">
        <f>IF(ISBLANK(CONT_TEA[[#This Row],[FundCode]])=TRUE,0,IF(COUNTIF(FUNDS[FundCode],CONT_TEA[[#This Row],[FundCode]])=1,0,1))</f>
        <v>0</v>
      </c>
      <c r="W186" s="57">
        <f>IF(LEN(CONT_TEA[[#This Row],[Notes]])&lt;4000,0,1)</f>
        <v>0</v>
      </c>
      <c r="X186" s="57">
        <f>IF(SUBSTITUTE(TEXT(CONT_TEA[[#This Row],[Reference]],10)," ","")=TEXT(CONT_TEA[[#This Row],[Reference]],10),0,1)</f>
        <v>0</v>
      </c>
      <c r="Y186" s="57">
        <f ca="1">SUM(CONT_TEA[[#This Row],[Duplicate Contract]:[Space in Code]])</f>
        <v>1</v>
      </c>
      <c r="AA186" s="12" t="s">
        <v>2094</v>
      </c>
      <c r="AB186" s="15">
        <v>91073440</v>
      </c>
      <c r="AC186" s="12" t="s">
        <v>4534</v>
      </c>
      <c r="AD186" s="57" t="str">
        <f>_xlfn.XLOOKUP(CONT_TEA[[#This Row],[StaffMemberCode]],StaffMembers!O:O,StaffMembers!R:R)</f>
        <v>Kate Thorne</v>
      </c>
      <c r="AE186" s="12" t="s">
        <v>1178</v>
      </c>
      <c r="AF186" s="57">
        <f>_xlfn.XLOOKUP(CONT_TEA[[#This Row],[SRG]],SRG[StaffRoleGroupCode],SRG[GrossSalaryFinanceCode])</f>
        <v>612100</v>
      </c>
      <c r="AG186" s="57" t="str">
        <f>_xlfn.XLOOKUP(CONT_TEA[[#This Row],[StaffRoleCode]],ROLES[StaffRoleCode],ROLES[StaffRoleGroupCode])</f>
        <v>TEA</v>
      </c>
      <c r="AH186" s="57" t="str">
        <f>_xlfn.XLOOKUP(CONT_TEA[[#This Row],[StaffRoleCode]],ROLES[StaffRoleCode],ROLES[PayScaleCode])</f>
        <v>MAIN</v>
      </c>
      <c r="AI186" s="12" t="s">
        <v>1126</v>
      </c>
      <c r="AJ186" s="12" t="s">
        <v>1067</v>
      </c>
      <c r="AK186" s="12" t="s">
        <v>2499</v>
      </c>
      <c r="AM186" s="68" t="s">
        <v>1147</v>
      </c>
      <c r="AN186" s="13" t="s">
        <v>1702</v>
      </c>
      <c r="AO186" s="21">
        <v>45901</v>
      </c>
      <c r="AQ186" s="12">
        <v>0.3</v>
      </c>
      <c r="AR186" t="b">
        <v>0</v>
      </c>
      <c r="AS186" t="b">
        <v>0</v>
      </c>
      <c r="AT186" s="12" t="s">
        <v>1574</v>
      </c>
    </row>
    <row r="187" spans="1:46" x14ac:dyDescent="0.3">
      <c r="A187" s="57" t="str">
        <f t="shared" si="3"/>
        <v>ALS9107375591073755ATEASTCH45901</v>
      </c>
      <c r="B187" s="57">
        <f>COUNTIF(CONT_TEA[Unique Contract],CONT_TEA[[#This Row],[Unique Contract]])-1</f>
        <v>0</v>
      </c>
      <c r="C187" s="57">
        <f>IFERROR(IF(FIND(CONT_TEA[[#This Row],[SchoolCode]],_xlfn.XLOOKUP(CONT_TEA[[#This Row],[StaffMemberCode]],MEMBERS[StaffMemberCode],MEMBERS[SchoolCodes]))&gt;0,0,1),1)</f>
        <v>0</v>
      </c>
      <c r="D187" s="57" cm="1">
        <f t="array" ref="D187">IF(_xlfn.XLOOKUP(CONT_TEA[[#This Row],[StaffRoleCode]],ROLES[StaffRoleCode],ROLES[AvailableToAllSchools],1,0,)=TRUE,0,IF(ISERROR(FIND(CONT_TEA[[#This Row],[SchoolCode]],_xlfn.TEXTJOIN(",",TRUE,_xlfn.UNIQUE(IF(ROLES[StaffRoleCode]=CONT_TEA[[#This Row],[StaffRoleCode]],ROLES[SchoolCodes],""))))),1,0))</f>
        <v>0</v>
      </c>
      <c r="E187" s="57" cm="1">
        <f t="array" ref="E18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87" s="57" cm="1">
        <f t="array" ref="F187">IF(_xlfn.XLOOKUP(CONT_TEA[[#This Row],[PayScaleCode]],PAYSCALES[PayScaleCode],PAYSCALES[AvailableToAllSchools],1,0,)=TRUE,0,IF(ISERROR(FIND(CONT_TEA[[#This Row],[SchoolCode]],_xlfn.TEXTJOIN(",",TRUE,_xlfn.UNIQUE(IF(PAYSCALES[PayScaleCode]=CONT_TEA[[#This Row],[PayScaleCode]],PAYSCALES[SchoolCodes],""))))),1,0))</f>
        <v>0</v>
      </c>
      <c r="G187" s="57">
        <f>IF(_xlfn.XLOOKUP(CONT_TEA[[#This Row],[PayScaleGradeCode]],GRADES[PayScaleGradeCode],GRADES[AvailableToAllSchools])=TRUE,0,IFERROR(IF(FIND(CONT_TEA[[#This Row],[SchoolCode]],_xlfn.XLOOKUP(CONT_TEA[[#This Row],[PayScaleGradeCode]],GRADES[PayScaleGradeCode],GRADES[SchoolCodes]))&gt;=1,0,1),1))</f>
        <v>0</v>
      </c>
      <c r="H187" s="57">
        <f>IF(ISERROR(IF((_xlfn.XLOOKUP(CONT_TEA[[#This Row],[PayScaleGradeCode]],GRADES[PayScaleGradeCode],GRADES[PayScaleCode])=CONT_TEA[[#This Row],[PayScaleCode]]),0,1)),1,0)</f>
        <v>0</v>
      </c>
      <c r="I187" s="57" cm="1">
        <f t="array" ref="I187">IF(ISERROR(FIND(CONT_TEA[[#This Row],[PayScalePointCode]],_xlfn.TEXTJOIN(",",TRUE,IF(PSPOINTS[PayScaleCode]=CONT_TEA[[#This Row],[PayScaleCode]],PSPOINTS[PayScalePointCode])))),1,0)</f>
        <v>0</v>
      </c>
      <c r="J187" s="57" cm="1">
        <f t="array" ref="J18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87" s="57">
        <f>IF(_xlfn.XLOOKUP(CONT_TEA[[#This Row],[PayScalePointCode]],PSPOINTS[PayScalePointCode],PSPOINTS[PayScalePointEnabled])=TRUE,0,1)</f>
        <v>0</v>
      </c>
      <c r="L187" s="57" cm="1">
        <f t="array" ref="L187">IF(_xlfn.XLOOKUP(CONT_TEA[[#This Row],[DepartmentCode]],DEPTS[DepartmentCode],DEPTS[AvailableToAllSchools],1,0,)=TRUE,0,IF(ISERROR(FIND(CONT_TEA[[#This Row],[SchoolCode]],_xlfn.TEXTJOIN(",",TRUE,_xlfn.UNIQUE(IF(DEPTS[DepartmentCode]=CONT_TEA[[#This Row],[DepartmentCode]],DEPTS[SchoolCodes],""))))),1,0))</f>
        <v>0</v>
      </c>
      <c r="M187" s="57">
        <f>IFERROR(IF(_xlfn.XLOOKUP(CONT_TEA[[#This Row],[SRG Gross]],FinanceCodesBudget[FinanceCode],FinanceCodesBudget[LedgerCode])=_xlfn.XLOOKUP(CONT_TEA[[#This Row],[DepartmentCode]],DEPTS[DepartmentCode],DEPTS[LedgerCode]),0,1),1)</f>
        <v>1</v>
      </c>
      <c r="N187" s="57" cm="1">
        <f t="array" ref="N187">IF(_xlfn.XLOOKUP(CONT_TEA[[#This Row],[PensionCode]],PENS[PensionCode],PENS[AvailableToAllSchools],1,0,)=TRUE,0,IF(ISERROR(FIND(CONT_TEA[[#This Row],[SchoolCode]],_xlfn.TEXTJOIN(",",TRUE,_xlfn.UNIQUE(IF(PENS[PensionCode]=CONT_TEA[[#This Row],[PensionCode]],PENS[SchoolCodes],""))))),1,0))</f>
        <v>0</v>
      </c>
      <c r="O187" s="57" cm="1">
        <f t="array" ref="O187">IF(_xlfn.XLOOKUP(CONT_TEA[[#This Row],[EquatedWeekPatternCode]],EQW[EquatedWeekPatternCode],EQW[AvailableToAllSchools],1,0,)=TRUE,0,IF(ISERROR(FIND(CONT_TEA[[#This Row],[SchoolCode]],_xlfn.TEXTJOIN(",",TRUE,_xlfn.UNIQUE(IF(EQW[EquatedWeekPatternCode]=CONT_TEA[[#This Row],[EquatedWeekPatternCode]],EQW[SchoolCodes],""))))),1,0))</f>
        <v>0</v>
      </c>
      <c r="P187" s="57">
        <f>1-COUNTIF(ContractTypes[Code],CONT_TEA[[#This Row],[ContractTypeCode]])</f>
        <v>0</v>
      </c>
      <c r="Q187" s="57">
        <f>IF(VLOOKUP(CONT_TEA[[#This Row],[StaffMemberCode]],MEMBERS[[StaffMemberCode]:[ServiceStartDate]],5,0)&gt;CONT_TEA[[#This Row],[DateFrom]],1,0)</f>
        <v>0</v>
      </c>
      <c r="R187" s="57">
        <f>IF(_xlfn.XLOOKUP(CONT_TEA[[#This Row],[StaffMemberCode]],MEMBERS[StaffMemberCode],MEMBERS[ServiceEndDate])="",0,IF(CONT_TEA[[#This Row],[DateTo]]="",1,IF(_xlfn.XLOOKUP(CONT_TEA[[#This Row],[StaffMemberCode]],MEMBERS[StaffMemberCode],MEMBERS[ServiceEndDate])&lt;CONT_TEA[[#This Row],[DateTo]],1,0)))</f>
        <v>0</v>
      </c>
      <c r="S187" s="57">
        <f>IF(ISBLANK(CONT_TEA[[#This Row],[DateTo]]),0,IF(CONT_TEA[[#This Row],[DateFrom]]=CONT_TEA[[#This Row],[DateTo]],0,IF(CONT_TEA[[#This Row],[DateFrom]]&lt;CONT_TEA[[#This Row],[DateTo]],0,1)))</f>
        <v>0</v>
      </c>
      <c r="T187" s="57" cm="1">
        <f t="array" aca="1" ref="T187" ca="1">IF(CELL("format",CONT_TEA[[#This Row],[DateFrom]])="D1",0,1)+IF(CELL("format",CONT_TEA[[#This Row],[DateTo]])="D1",0,1)</f>
        <v>0</v>
      </c>
      <c r="U187" s="57">
        <f>IF(OR(CONT_TEA[[#This Row],[MatEditOnly]]=TRUE,CONT_TEA[[#This Row],[MatEditOnly]]=FALSE),IF(OR(CONT_TEA[[#This Row],[NoIncrement]]=TRUE,CONT_TEA[[#This Row],[NoIncrement]]=FALSE),0,1),1)</f>
        <v>0</v>
      </c>
      <c r="V187" s="57">
        <f>IF(ISBLANK(CONT_TEA[[#This Row],[FundCode]])=TRUE,0,IF(COUNTIF(FUNDS[FundCode],CONT_TEA[[#This Row],[FundCode]])=1,0,1))</f>
        <v>0</v>
      </c>
      <c r="W187" s="57">
        <f>IF(LEN(CONT_TEA[[#This Row],[Notes]])&lt;4000,0,1)</f>
        <v>0</v>
      </c>
      <c r="X187" s="57">
        <f>IF(SUBSTITUTE(TEXT(CONT_TEA[[#This Row],[Reference]],10)," ","")=TEXT(CONT_TEA[[#This Row],[Reference]],10),0,1)</f>
        <v>0</v>
      </c>
      <c r="Y187" s="57">
        <f ca="1">SUM(CONT_TEA[[#This Row],[Duplicate Contract]:[Space in Code]])</f>
        <v>1</v>
      </c>
      <c r="AA187" s="12" t="s">
        <v>2082</v>
      </c>
      <c r="AB187" s="15">
        <v>91073755</v>
      </c>
      <c r="AC187" s="12" t="s">
        <v>4535</v>
      </c>
      <c r="AD187" s="57" t="str">
        <f>_xlfn.XLOOKUP(CONT_TEA[[#This Row],[StaffMemberCode]],StaffMembers!O:O,StaffMembers!R:R)</f>
        <v>Katharine Campbell</v>
      </c>
      <c r="AE187" s="12" t="s">
        <v>1178</v>
      </c>
      <c r="AF187" s="57">
        <f>_xlfn.XLOOKUP(CONT_TEA[[#This Row],[SRG]],SRG[StaffRoleGroupCode],SRG[GrossSalaryFinanceCode])</f>
        <v>612100</v>
      </c>
      <c r="AG187" s="57" t="str">
        <f>_xlfn.XLOOKUP(CONT_TEA[[#This Row],[StaffRoleCode]],ROLES[StaffRoleCode],ROLES[StaffRoleGroupCode])</f>
        <v>TEA</v>
      </c>
      <c r="AH187" s="57" t="str">
        <f>_xlfn.XLOOKUP(CONT_TEA[[#This Row],[StaffRoleCode]],ROLES[StaffRoleCode],ROLES[PayScaleCode])</f>
        <v>MAIN</v>
      </c>
      <c r="AI187" s="12" t="s">
        <v>1126</v>
      </c>
      <c r="AJ187" s="12" t="s">
        <v>1745</v>
      </c>
      <c r="AK187" s="12" t="s">
        <v>2499</v>
      </c>
      <c r="AM187" s="68" t="s">
        <v>1147</v>
      </c>
      <c r="AN187" s="13" t="s">
        <v>1702</v>
      </c>
      <c r="AO187" s="21">
        <v>45901</v>
      </c>
      <c r="AQ187" s="12">
        <v>0.5</v>
      </c>
      <c r="AR187" t="b">
        <v>0</v>
      </c>
      <c r="AS187" t="b">
        <v>0</v>
      </c>
      <c r="AT187" s="12" t="s">
        <v>1574</v>
      </c>
    </row>
    <row r="188" spans="1:46" x14ac:dyDescent="0.3">
      <c r="A188" s="57" t="str">
        <f t="shared" si="3"/>
        <v>ALS9107376791073767ATEASTCH45901</v>
      </c>
      <c r="B188" s="57">
        <f>COUNTIF(CONT_TEA[Unique Contract],CONT_TEA[[#This Row],[Unique Contract]])-1</f>
        <v>0</v>
      </c>
      <c r="C188" s="57">
        <f>IFERROR(IF(FIND(CONT_TEA[[#This Row],[SchoolCode]],_xlfn.XLOOKUP(CONT_TEA[[#This Row],[StaffMemberCode]],MEMBERS[StaffMemberCode],MEMBERS[SchoolCodes]))&gt;0,0,1),1)</f>
        <v>0</v>
      </c>
      <c r="D188" s="57" cm="1">
        <f t="array" ref="D188">IF(_xlfn.XLOOKUP(CONT_TEA[[#This Row],[StaffRoleCode]],ROLES[StaffRoleCode],ROLES[AvailableToAllSchools],1,0,)=TRUE,0,IF(ISERROR(FIND(CONT_TEA[[#This Row],[SchoolCode]],_xlfn.TEXTJOIN(",",TRUE,_xlfn.UNIQUE(IF(ROLES[StaffRoleCode]=CONT_TEA[[#This Row],[StaffRoleCode]],ROLES[SchoolCodes],""))))),1,0))</f>
        <v>0</v>
      </c>
      <c r="E188" s="57" cm="1">
        <f t="array" ref="E18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88" s="57" cm="1">
        <f t="array" ref="F188">IF(_xlfn.XLOOKUP(CONT_TEA[[#This Row],[PayScaleCode]],PAYSCALES[PayScaleCode],PAYSCALES[AvailableToAllSchools],1,0,)=TRUE,0,IF(ISERROR(FIND(CONT_TEA[[#This Row],[SchoolCode]],_xlfn.TEXTJOIN(",",TRUE,_xlfn.UNIQUE(IF(PAYSCALES[PayScaleCode]=CONT_TEA[[#This Row],[PayScaleCode]],PAYSCALES[SchoolCodes],""))))),1,0))</f>
        <v>0</v>
      </c>
      <c r="G188" s="57">
        <f>IF(_xlfn.XLOOKUP(CONT_TEA[[#This Row],[PayScaleGradeCode]],GRADES[PayScaleGradeCode],GRADES[AvailableToAllSchools])=TRUE,0,IFERROR(IF(FIND(CONT_TEA[[#This Row],[SchoolCode]],_xlfn.XLOOKUP(CONT_TEA[[#This Row],[PayScaleGradeCode]],GRADES[PayScaleGradeCode],GRADES[SchoolCodes]))&gt;=1,0,1),1))</f>
        <v>0</v>
      </c>
      <c r="H188" s="57">
        <f>IF(ISERROR(IF((_xlfn.XLOOKUP(CONT_TEA[[#This Row],[PayScaleGradeCode]],GRADES[PayScaleGradeCode],GRADES[PayScaleCode])=CONT_TEA[[#This Row],[PayScaleCode]]),0,1)),1,0)</f>
        <v>0</v>
      </c>
      <c r="I188" s="57" cm="1">
        <f t="array" ref="I188">IF(ISERROR(FIND(CONT_TEA[[#This Row],[PayScalePointCode]],_xlfn.TEXTJOIN(",",TRUE,IF(PSPOINTS[PayScaleCode]=CONT_TEA[[#This Row],[PayScaleCode]],PSPOINTS[PayScalePointCode])))),1,0)</f>
        <v>0</v>
      </c>
      <c r="J188" s="57" cm="1">
        <f t="array" ref="J18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88" s="57">
        <f>IF(_xlfn.XLOOKUP(CONT_TEA[[#This Row],[PayScalePointCode]],PSPOINTS[PayScalePointCode],PSPOINTS[PayScalePointEnabled])=TRUE,0,1)</f>
        <v>0</v>
      </c>
      <c r="L188" s="57" cm="1">
        <f t="array" ref="L188">IF(_xlfn.XLOOKUP(CONT_TEA[[#This Row],[DepartmentCode]],DEPTS[DepartmentCode],DEPTS[AvailableToAllSchools],1,0,)=TRUE,0,IF(ISERROR(FIND(CONT_TEA[[#This Row],[SchoolCode]],_xlfn.TEXTJOIN(",",TRUE,_xlfn.UNIQUE(IF(DEPTS[DepartmentCode]=CONT_TEA[[#This Row],[DepartmentCode]],DEPTS[SchoolCodes],""))))),1,0))</f>
        <v>0</v>
      </c>
      <c r="M188" s="57">
        <f>IFERROR(IF(_xlfn.XLOOKUP(CONT_TEA[[#This Row],[SRG Gross]],FinanceCodesBudget[FinanceCode],FinanceCodesBudget[LedgerCode])=_xlfn.XLOOKUP(CONT_TEA[[#This Row],[DepartmentCode]],DEPTS[DepartmentCode],DEPTS[LedgerCode]),0,1),1)</f>
        <v>1</v>
      </c>
      <c r="N188" s="57" cm="1">
        <f t="array" ref="N188">IF(_xlfn.XLOOKUP(CONT_TEA[[#This Row],[PensionCode]],PENS[PensionCode],PENS[AvailableToAllSchools],1,0,)=TRUE,0,IF(ISERROR(FIND(CONT_TEA[[#This Row],[SchoolCode]],_xlfn.TEXTJOIN(",",TRUE,_xlfn.UNIQUE(IF(PENS[PensionCode]=CONT_TEA[[#This Row],[PensionCode]],PENS[SchoolCodes],""))))),1,0))</f>
        <v>0</v>
      </c>
      <c r="O188" s="57" cm="1">
        <f t="array" ref="O188">IF(_xlfn.XLOOKUP(CONT_TEA[[#This Row],[EquatedWeekPatternCode]],EQW[EquatedWeekPatternCode],EQW[AvailableToAllSchools],1,0,)=TRUE,0,IF(ISERROR(FIND(CONT_TEA[[#This Row],[SchoolCode]],_xlfn.TEXTJOIN(",",TRUE,_xlfn.UNIQUE(IF(EQW[EquatedWeekPatternCode]=CONT_TEA[[#This Row],[EquatedWeekPatternCode]],EQW[SchoolCodes],""))))),1,0))</f>
        <v>0</v>
      </c>
      <c r="P188" s="57">
        <f>1-COUNTIF(ContractTypes[Code],CONT_TEA[[#This Row],[ContractTypeCode]])</f>
        <v>0</v>
      </c>
      <c r="Q188" s="57">
        <f>IF(VLOOKUP(CONT_TEA[[#This Row],[StaffMemberCode]],MEMBERS[[StaffMemberCode]:[ServiceStartDate]],5,0)&gt;CONT_TEA[[#This Row],[DateFrom]],1,0)</f>
        <v>0</v>
      </c>
      <c r="R188" s="57">
        <f>IF(_xlfn.XLOOKUP(CONT_TEA[[#This Row],[StaffMemberCode]],MEMBERS[StaffMemberCode],MEMBERS[ServiceEndDate])="",0,IF(CONT_TEA[[#This Row],[DateTo]]="",1,IF(_xlfn.XLOOKUP(CONT_TEA[[#This Row],[StaffMemberCode]],MEMBERS[StaffMemberCode],MEMBERS[ServiceEndDate])&lt;CONT_TEA[[#This Row],[DateTo]],1,0)))</f>
        <v>0</v>
      </c>
      <c r="S188" s="57">
        <f>IF(ISBLANK(CONT_TEA[[#This Row],[DateTo]]),0,IF(CONT_TEA[[#This Row],[DateFrom]]=CONT_TEA[[#This Row],[DateTo]],0,IF(CONT_TEA[[#This Row],[DateFrom]]&lt;CONT_TEA[[#This Row],[DateTo]],0,1)))</f>
        <v>0</v>
      </c>
      <c r="T188" s="57" cm="1">
        <f t="array" aca="1" ref="T188" ca="1">IF(CELL("format",CONT_TEA[[#This Row],[DateFrom]])="D1",0,1)+IF(CELL("format",CONT_TEA[[#This Row],[DateTo]])="D1",0,1)</f>
        <v>0</v>
      </c>
      <c r="U188" s="57">
        <f>IF(OR(CONT_TEA[[#This Row],[MatEditOnly]]=TRUE,CONT_TEA[[#This Row],[MatEditOnly]]=FALSE),IF(OR(CONT_TEA[[#This Row],[NoIncrement]]=TRUE,CONT_TEA[[#This Row],[NoIncrement]]=FALSE),0,1),1)</f>
        <v>0</v>
      </c>
      <c r="V188" s="57">
        <f>IF(ISBLANK(CONT_TEA[[#This Row],[FundCode]])=TRUE,0,IF(COUNTIF(FUNDS[FundCode],CONT_TEA[[#This Row],[FundCode]])=1,0,1))</f>
        <v>0</v>
      </c>
      <c r="W188" s="57">
        <f>IF(LEN(CONT_TEA[[#This Row],[Notes]])&lt;4000,0,1)</f>
        <v>0</v>
      </c>
      <c r="X188" s="57">
        <f>IF(SUBSTITUTE(TEXT(CONT_TEA[[#This Row],[Reference]],10)," ","")=TEXT(CONT_TEA[[#This Row],[Reference]],10),0,1)</f>
        <v>0</v>
      </c>
      <c r="Y188" s="57">
        <f ca="1">SUM(CONT_TEA[[#This Row],[Duplicate Contract]:[Space in Code]])</f>
        <v>1</v>
      </c>
      <c r="AA188" s="12" t="s">
        <v>2082</v>
      </c>
      <c r="AB188" s="15">
        <v>91073767</v>
      </c>
      <c r="AC188" s="12" t="s">
        <v>4536</v>
      </c>
      <c r="AD188" s="57" t="str">
        <f>_xlfn.XLOOKUP(CONT_TEA[[#This Row],[StaffMemberCode]],StaffMembers!O:O,StaffMembers!R:R)</f>
        <v>Katherine Woolliscroft</v>
      </c>
      <c r="AE188" s="12" t="s">
        <v>1178</v>
      </c>
      <c r="AF188" s="57">
        <f>_xlfn.XLOOKUP(CONT_TEA[[#This Row],[SRG]],SRG[StaffRoleGroupCode],SRG[GrossSalaryFinanceCode])</f>
        <v>612100</v>
      </c>
      <c r="AG188" s="57" t="str">
        <f>_xlfn.XLOOKUP(CONT_TEA[[#This Row],[StaffRoleCode]],ROLES[StaffRoleCode],ROLES[StaffRoleGroupCode])</f>
        <v>TEA</v>
      </c>
      <c r="AH188" s="57" t="str">
        <f>_xlfn.XLOOKUP(CONT_TEA[[#This Row],[StaffRoleCode]],ROLES[StaffRoleCode],ROLES[PayScaleCode])</f>
        <v>MAIN</v>
      </c>
      <c r="AI188" s="12" t="s">
        <v>1126</v>
      </c>
      <c r="AJ188" s="12" t="s">
        <v>1546</v>
      </c>
      <c r="AK188" s="12" t="s">
        <v>2499</v>
      </c>
      <c r="AM188" s="68" t="s">
        <v>1147</v>
      </c>
      <c r="AN188" s="13" t="s">
        <v>1702</v>
      </c>
      <c r="AO188" s="21">
        <v>45901</v>
      </c>
      <c r="AQ188" s="12">
        <v>1</v>
      </c>
      <c r="AR188" t="b">
        <v>0</v>
      </c>
      <c r="AS188" t="b">
        <v>0</v>
      </c>
      <c r="AT188" s="12" t="s">
        <v>1574</v>
      </c>
    </row>
    <row r="189" spans="1:46" x14ac:dyDescent="0.3">
      <c r="A189" s="57" t="str">
        <f t="shared" si="3"/>
        <v>HIG9107388291073882ATEASTCH45901</v>
      </c>
      <c r="B189" s="57">
        <f>COUNTIF(CONT_TEA[Unique Contract],CONT_TEA[[#This Row],[Unique Contract]])-1</f>
        <v>0</v>
      </c>
      <c r="C189" s="57">
        <f>IFERROR(IF(FIND(CONT_TEA[[#This Row],[SchoolCode]],_xlfn.XLOOKUP(CONT_TEA[[#This Row],[StaffMemberCode]],MEMBERS[StaffMemberCode],MEMBERS[SchoolCodes]))&gt;0,0,1),1)</f>
        <v>0</v>
      </c>
      <c r="D189" s="57" cm="1">
        <f t="array" ref="D189">IF(_xlfn.XLOOKUP(CONT_TEA[[#This Row],[StaffRoleCode]],ROLES[StaffRoleCode],ROLES[AvailableToAllSchools],1,0,)=TRUE,0,IF(ISERROR(FIND(CONT_TEA[[#This Row],[SchoolCode]],_xlfn.TEXTJOIN(",",TRUE,_xlfn.UNIQUE(IF(ROLES[StaffRoleCode]=CONT_TEA[[#This Row],[StaffRoleCode]],ROLES[SchoolCodes],""))))),1,0))</f>
        <v>0</v>
      </c>
      <c r="E189" s="57" cm="1">
        <f t="array" ref="E18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89" s="57" cm="1">
        <f t="array" ref="F189">IF(_xlfn.XLOOKUP(CONT_TEA[[#This Row],[PayScaleCode]],PAYSCALES[PayScaleCode],PAYSCALES[AvailableToAllSchools],1,0,)=TRUE,0,IF(ISERROR(FIND(CONT_TEA[[#This Row],[SchoolCode]],_xlfn.TEXTJOIN(",",TRUE,_xlfn.UNIQUE(IF(PAYSCALES[PayScaleCode]=CONT_TEA[[#This Row],[PayScaleCode]],PAYSCALES[SchoolCodes],""))))),1,0))</f>
        <v>0</v>
      </c>
      <c r="G189" s="57">
        <f>IF(_xlfn.XLOOKUP(CONT_TEA[[#This Row],[PayScaleGradeCode]],GRADES[PayScaleGradeCode],GRADES[AvailableToAllSchools])=TRUE,0,IFERROR(IF(FIND(CONT_TEA[[#This Row],[SchoolCode]],_xlfn.XLOOKUP(CONT_TEA[[#This Row],[PayScaleGradeCode]],GRADES[PayScaleGradeCode],GRADES[SchoolCodes]))&gt;=1,0,1),1))</f>
        <v>0</v>
      </c>
      <c r="H189" s="57">
        <f>IF(ISERROR(IF((_xlfn.XLOOKUP(CONT_TEA[[#This Row],[PayScaleGradeCode]],GRADES[PayScaleGradeCode],GRADES[PayScaleCode])=CONT_TEA[[#This Row],[PayScaleCode]]),0,1)),1,0)</f>
        <v>0</v>
      </c>
      <c r="I189" s="57" cm="1">
        <f t="array" ref="I189">IF(ISERROR(FIND(CONT_TEA[[#This Row],[PayScalePointCode]],_xlfn.TEXTJOIN(",",TRUE,IF(PSPOINTS[PayScaleCode]=CONT_TEA[[#This Row],[PayScaleCode]],PSPOINTS[PayScalePointCode])))),1,0)</f>
        <v>0</v>
      </c>
      <c r="J189" s="57" cm="1">
        <f t="array" ref="J18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89" s="57">
        <f>IF(_xlfn.XLOOKUP(CONT_TEA[[#This Row],[PayScalePointCode]],PSPOINTS[PayScalePointCode],PSPOINTS[PayScalePointEnabled])=TRUE,0,1)</f>
        <v>0</v>
      </c>
      <c r="L189" s="57" cm="1">
        <f t="array" ref="L189">IF(_xlfn.XLOOKUP(CONT_TEA[[#This Row],[DepartmentCode]],DEPTS[DepartmentCode],DEPTS[AvailableToAllSchools],1,0,)=TRUE,0,IF(ISERROR(FIND(CONT_TEA[[#This Row],[SchoolCode]],_xlfn.TEXTJOIN(",",TRUE,_xlfn.UNIQUE(IF(DEPTS[DepartmentCode]=CONT_TEA[[#This Row],[DepartmentCode]],DEPTS[SchoolCodes],""))))),1,0))</f>
        <v>0</v>
      </c>
      <c r="M189" s="57">
        <f>IFERROR(IF(_xlfn.XLOOKUP(CONT_TEA[[#This Row],[SRG Gross]],FinanceCodesBudget[FinanceCode],FinanceCodesBudget[LedgerCode])=_xlfn.XLOOKUP(CONT_TEA[[#This Row],[DepartmentCode]],DEPTS[DepartmentCode],DEPTS[LedgerCode]),0,1),1)</f>
        <v>1</v>
      </c>
      <c r="N189" s="57" cm="1">
        <f t="array" ref="N189">IF(_xlfn.XLOOKUP(CONT_TEA[[#This Row],[PensionCode]],PENS[PensionCode],PENS[AvailableToAllSchools],1,0,)=TRUE,0,IF(ISERROR(FIND(CONT_TEA[[#This Row],[SchoolCode]],_xlfn.TEXTJOIN(",",TRUE,_xlfn.UNIQUE(IF(PENS[PensionCode]=CONT_TEA[[#This Row],[PensionCode]],PENS[SchoolCodes],""))))),1,0))</f>
        <v>0</v>
      </c>
      <c r="O189" s="57" cm="1">
        <f t="array" ref="O189">IF(_xlfn.XLOOKUP(CONT_TEA[[#This Row],[EquatedWeekPatternCode]],EQW[EquatedWeekPatternCode],EQW[AvailableToAllSchools],1,0,)=TRUE,0,IF(ISERROR(FIND(CONT_TEA[[#This Row],[SchoolCode]],_xlfn.TEXTJOIN(",",TRUE,_xlfn.UNIQUE(IF(EQW[EquatedWeekPatternCode]=CONT_TEA[[#This Row],[EquatedWeekPatternCode]],EQW[SchoolCodes],""))))),1,0))</f>
        <v>0</v>
      </c>
      <c r="P189" s="57">
        <f>1-COUNTIF(ContractTypes[Code],CONT_TEA[[#This Row],[ContractTypeCode]])</f>
        <v>0</v>
      </c>
      <c r="Q189" s="57">
        <f>IF(VLOOKUP(CONT_TEA[[#This Row],[StaffMemberCode]],MEMBERS[[StaffMemberCode]:[ServiceStartDate]],5,0)&gt;CONT_TEA[[#This Row],[DateFrom]],1,0)</f>
        <v>0</v>
      </c>
      <c r="R189" s="57">
        <f>IF(_xlfn.XLOOKUP(CONT_TEA[[#This Row],[StaffMemberCode]],MEMBERS[StaffMemberCode],MEMBERS[ServiceEndDate])="",0,IF(CONT_TEA[[#This Row],[DateTo]]="",1,IF(_xlfn.XLOOKUP(CONT_TEA[[#This Row],[StaffMemberCode]],MEMBERS[StaffMemberCode],MEMBERS[ServiceEndDate])&lt;CONT_TEA[[#This Row],[DateTo]],1,0)))</f>
        <v>0</v>
      </c>
      <c r="S189" s="57">
        <f>IF(ISBLANK(CONT_TEA[[#This Row],[DateTo]]),0,IF(CONT_TEA[[#This Row],[DateFrom]]=CONT_TEA[[#This Row],[DateTo]],0,IF(CONT_TEA[[#This Row],[DateFrom]]&lt;CONT_TEA[[#This Row],[DateTo]],0,1)))</f>
        <v>0</v>
      </c>
      <c r="T189" s="57" cm="1">
        <f t="array" aca="1" ref="T189" ca="1">IF(CELL("format",CONT_TEA[[#This Row],[DateFrom]])="D1",0,1)+IF(CELL("format",CONT_TEA[[#This Row],[DateTo]])="D1",0,1)</f>
        <v>0</v>
      </c>
      <c r="U189" s="57">
        <f>IF(OR(CONT_TEA[[#This Row],[MatEditOnly]]=TRUE,CONT_TEA[[#This Row],[MatEditOnly]]=FALSE),IF(OR(CONT_TEA[[#This Row],[NoIncrement]]=TRUE,CONT_TEA[[#This Row],[NoIncrement]]=FALSE),0,1),1)</f>
        <v>0</v>
      </c>
      <c r="V189" s="57">
        <f>IF(ISBLANK(CONT_TEA[[#This Row],[FundCode]])=TRUE,0,IF(COUNTIF(FUNDS[FundCode],CONT_TEA[[#This Row],[FundCode]])=1,0,1))</f>
        <v>0</v>
      </c>
      <c r="W189" s="57">
        <f>IF(LEN(CONT_TEA[[#This Row],[Notes]])&lt;4000,0,1)</f>
        <v>0</v>
      </c>
      <c r="X189" s="57">
        <f>IF(SUBSTITUTE(TEXT(CONT_TEA[[#This Row],[Reference]],10)," ","")=TEXT(CONT_TEA[[#This Row],[Reference]],10),0,1)</f>
        <v>0</v>
      </c>
      <c r="Y189" s="57">
        <f ca="1">SUM(CONT_TEA[[#This Row],[Duplicate Contract]:[Space in Code]])</f>
        <v>1</v>
      </c>
      <c r="AA189" s="12" t="s">
        <v>2266</v>
      </c>
      <c r="AB189" s="15">
        <v>91073882</v>
      </c>
      <c r="AC189" s="12" t="s">
        <v>4537</v>
      </c>
      <c r="AD189" s="57" t="str">
        <f>_xlfn.XLOOKUP(CONT_TEA[[#This Row],[StaffMemberCode]],StaffMembers!O:O,StaffMembers!R:R)</f>
        <v>Kathryn Lindblad</v>
      </c>
      <c r="AE189" s="12" t="s">
        <v>1178</v>
      </c>
      <c r="AF189" s="57">
        <f>_xlfn.XLOOKUP(CONT_TEA[[#This Row],[SRG]],SRG[StaffRoleGroupCode],SRG[GrossSalaryFinanceCode])</f>
        <v>612100</v>
      </c>
      <c r="AG189" s="57" t="str">
        <f>_xlfn.XLOOKUP(CONT_TEA[[#This Row],[StaffRoleCode]],ROLES[StaffRoleCode],ROLES[StaffRoleGroupCode])</f>
        <v>TEA</v>
      </c>
      <c r="AH189" s="57" t="str">
        <f>_xlfn.XLOOKUP(CONT_TEA[[#This Row],[StaffRoleCode]],ROLES[StaffRoleCode],ROLES[PayScaleCode])</f>
        <v>MAIN</v>
      </c>
      <c r="AI189" s="12" t="s">
        <v>1126</v>
      </c>
      <c r="AJ189" s="12" t="s">
        <v>1745</v>
      </c>
      <c r="AK189" s="12" t="s">
        <v>2499</v>
      </c>
      <c r="AM189" s="68" t="s">
        <v>1147</v>
      </c>
      <c r="AN189" s="13" t="s">
        <v>1702</v>
      </c>
      <c r="AO189" s="21">
        <v>45901</v>
      </c>
      <c r="AQ189" s="12">
        <v>1</v>
      </c>
      <c r="AR189" t="b">
        <v>0</v>
      </c>
      <c r="AS189" t="b">
        <v>0</v>
      </c>
      <c r="AT189" s="12" t="s">
        <v>1574</v>
      </c>
    </row>
    <row r="190" spans="1:46" x14ac:dyDescent="0.3">
      <c r="A190" s="57" t="str">
        <f t="shared" si="3"/>
        <v>BLS9107360391073603ATEASTCH45901</v>
      </c>
      <c r="B190" s="57">
        <f>COUNTIF(CONT_TEA[Unique Contract],CONT_TEA[[#This Row],[Unique Contract]])-1</f>
        <v>0</v>
      </c>
      <c r="C190" s="57">
        <f>IFERROR(IF(FIND(CONT_TEA[[#This Row],[SchoolCode]],_xlfn.XLOOKUP(CONT_TEA[[#This Row],[StaffMemberCode]],MEMBERS[StaffMemberCode],MEMBERS[SchoolCodes]))&gt;0,0,1),1)</f>
        <v>0</v>
      </c>
      <c r="D190" s="57" cm="1">
        <f t="array" ref="D190">IF(_xlfn.XLOOKUP(CONT_TEA[[#This Row],[StaffRoleCode]],ROLES[StaffRoleCode],ROLES[AvailableToAllSchools],1,0,)=TRUE,0,IF(ISERROR(FIND(CONT_TEA[[#This Row],[SchoolCode]],_xlfn.TEXTJOIN(",",TRUE,_xlfn.UNIQUE(IF(ROLES[StaffRoleCode]=CONT_TEA[[#This Row],[StaffRoleCode]],ROLES[SchoolCodes],""))))),1,0))</f>
        <v>0</v>
      </c>
      <c r="E190" s="57" cm="1">
        <f t="array" ref="E19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90" s="57" cm="1">
        <f t="array" ref="F190">IF(_xlfn.XLOOKUP(CONT_TEA[[#This Row],[PayScaleCode]],PAYSCALES[PayScaleCode],PAYSCALES[AvailableToAllSchools],1,0,)=TRUE,0,IF(ISERROR(FIND(CONT_TEA[[#This Row],[SchoolCode]],_xlfn.TEXTJOIN(",",TRUE,_xlfn.UNIQUE(IF(PAYSCALES[PayScaleCode]=CONT_TEA[[#This Row],[PayScaleCode]],PAYSCALES[SchoolCodes],""))))),1,0))</f>
        <v>0</v>
      </c>
      <c r="G190" s="57">
        <f>IF(_xlfn.XLOOKUP(CONT_TEA[[#This Row],[PayScaleGradeCode]],GRADES[PayScaleGradeCode],GRADES[AvailableToAllSchools])=TRUE,0,IFERROR(IF(FIND(CONT_TEA[[#This Row],[SchoolCode]],_xlfn.XLOOKUP(CONT_TEA[[#This Row],[PayScaleGradeCode]],GRADES[PayScaleGradeCode],GRADES[SchoolCodes]))&gt;=1,0,1),1))</f>
        <v>0</v>
      </c>
      <c r="H190" s="57">
        <f>IF(ISERROR(IF((_xlfn.XLOOKUP(CONT_TEA[[#This Row],[PayScaleGradeCode]],GRADES[PayScaleGradeCode],GRADES[PayScaleCode])=CONT_TEA[[#This Row],[PayScaleCode]]),0,1)),1,0)</f>
        <v>0</v>
      </c>
      <c r="I190" s="57" cm="1">
        <f t="array" ref="I190">IF(ISERROR(FIND(CONT_TEA[[#This Row],[PayScalePointCode]],_xlfn.TEXTJOIN(",",TRUE,IF(PSPOINTS[PayScaleCode]=CONT_TEA[[#This Row],[PayScaleCode]],PSPOINTS[PayScalePointCode])))),1,0)</f>
        <v>0</v>
      </c>
      <c r="J190" s="57" cm="1">
        <f t="array" ref="J19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90" s="57">
        <f>IF(_xlfn.XLOOKUP(CONT_TEA[[#This Row],[PayScalePointCode]],PSPOINTS[PayScalePointCode],PSPOINTS[PayScalePointEnabled])=TRUE,0,1)</f>
        <v>0</v>
      </c>
      <c r="L190" s="57" cm="1">
        <f t="array" ref="L190">IF(_xlfn.XLOOKUP(CONT_TEA[[#This Row],[DepartmentCode]],DEPTS[DepartmentCode],DEPTS[AvailableToAllSchools],1,0,)=TRUE,0,IF(ISERROR(FIND(CONT_TEA[[#This Row],[SchoolCode]],_xlfn.TEXTJOIN(",",TRUE,_xlfn.UNIQUE(IF(DEPTS[DepartmentCode]=CONT_TEA[[#This Row],[DepartmentCode]],DEPTS[SchoolCodes],""))))),1,0))</f>
        <v>0</v>
      </c>
      <c r="M190" s="57">
        <f>IFERROR(IF(_xlfn.XLOOKUP(CONT_TEA[[#This Row],[SRG Gross]],FinanceCodesBudget[FinanceCode],FinanceCodesBudget[LedgerCode])=_xlfn.XLOOKUP(CONT_TEA[[#This Row],[DepartmentCode]],DEPTS[DepartmentCode],DEPTS[LedgerCode]),0,1),1)</f>
        <v>1</v>
      </c>
      <c r="N190" s="57" cm="1">
        <f t="array" ref="N190">IF(_xlfn.XLOOKUP(CONT_TEA[[#This Row],[PensionCode]],PENS[PensionCode],PENS[AvailableToAllSchools],1,0,)=TRUE,0,IF(ISERROR(FIND(CONT_TEA[[#This Row],[SchoolCode]],_xlfn.TEXTJOIN(",",TRUE,_xlfn.UNIQUE(IF(PENS[PensionCode]=CONT_TEA[[#This Row],[PensionCode]],PENS[SchoolCodes],""))))),1,0))</f>
        <v>0</v>
      </c>
      <c r="O190" s="57" cm="1">
        <f t="array" ref="O190">IF(_xlfn.XLOOKUP(CONT_TEA[[#This Row],[EquatedWeekPatternCode]],EQW[EquatedWeekPatternCode],EQW[AvailableToAllSchools],1,0,)=TRUE,0,IF(ISERROR(FIND(CONT_TEA[[#This Row],[SchoolCode]],_xlfn.TEXTJOIN(",",TRUE,_xlfn.UNIQUE(IF(EQW[EquatedWeekPatternCode]=CONT_TEA[[#This Row],[EquatedWeekPatternCode]],EQW[SchoolCodes],""))))),1,0))</f>
        <v>0</v>
      </c>
      <c r="P190" s="57">
        <f>1-COUNTIF(ContractTypes[Code],CONT_TEA[[#This Row],[ContractTypeCode]])</f>
        <v>0</v>
      </c>
      <c r="Q190" s="57">
        <f>IF(VLOOKUP(CONT_TEA[[#This Row],[StaffMemberCode]],MEMBERS[[StaffMemberCode]:[ServiceStartDate]],5,0)&gt;CONT_TEA[[#This Row],[DateFrom]],1,0)</f>
        <v>0</v>
      </c>
      <c r="R190" s="57">
        <f>IF(_xlfn.XLOOKUP(CONT_TEA[[#This Row],[StaffMemberCode]],MEMBERS[StaffMemberCode],MEMBERS[ServiceEndDate])="",0,IF(CONT_TEA[[#This Row],[DateTo]]="",1,IF(_xlfn.XLOOKUP(CONT_TEA[[#This Row],[StaffMemberCode]],MEMBERS[StaffMemberCode],MEMBERS[ServiceEndDate])&lt;CONT_TEA[[#This Row],[DateTo]],1,0)))</f>
        <v>0</v>
      </c>
      <c r="S190" s="57">
        <f>IF(ISBLANK(CONT_TEA[[#This Row],[DateTo]]),0,IF(CONT_TEA[[#This Row],[DateFrom]]=CONT_TEA[[#This Row],[DateTo]],0,IF(CONT_TEA[[#This Row],[DateFrom]]&lt;CONT_TEA[[#This Row],[DateTo]],0,1)))</f>
        <v>0</v>
      </c>
      <c r="T190" s="57" cm="1">
        <f t="array" aca="1" ref="T190" ca="1">IF(CELL("format",CONT_TEA[[#This Row],[DateFrom]])="D1",0,1)+IF(CELL("format",CONT_TEA[[#This Row],[DateTo]])="D1",0,1)</f>
        <v>0</v>
      </c>
      <c r="U190" s="57">
        <f>IF(OR(CONT_TEA[[#This Row],[MatEditOnly]]=TRUE,CONT_TEA[[#This Row],[MatEditOnly]]=FALSE),IF(OR(CONT_TEA[[#This Row],[NoIncrement]]=TRUE,CONT_TEA[[#This Row],[NoIncrement]]=FALSE),0,1),1)</f>
        <v>0</v>
      </c>
      <c r="V190" s="57">
        <f>IF(ISBLANK(CONT_TEA[[#This Row],[FundCode]])=TRUE,0,IF(COUNTIF(FUNDS[FundCode],CONT_TEA[[#This Row],[FundCode]])=1,0,1))</f>
        <v>0</v>
      </c>
      <c r="W190" s="57">
        <f>IF(LEN(CONT_TEA[[#This Row],[Notes]])&lt;4000,0,1)</f>
        <v>0</v>
      </c>
      <c r="X190" s="57">
        <f>IF(SUBSTITUTE(TEXT(CONT_TEA[[#This Row],[Reference]],10)," ","")=TEXT(CONT_TEA[[#This Row],[Reference]],10),0,1)</f>
        <v>0</v>
      </c>
      <c r="Y190" s="57">
        <f ca="1">SUM(CONT_TEA[[#This Row],[Duplicate Contract]:[Space in Code]])</f>
        <v>1</v>
      </c>
      <c r="AA190" s="12" t="s">
        <v>2094</v>
      </c>
      <c r="AB190" s="15">
        <v>91073603</v>
      </c>
      <c r="AC190" s="12" t="s">
        <v>4538</v>
      </c>
      <c r="AD190" s="57" t="str">
        <f>_xlfn.XLOOKUP(CONT_TEA[[#This Row],[StaffMemberCode]],StaffMembers!O:O,StaffMembers!R:R)</f>
        <v>Katie Maclellan</v>
      </c>
      <c r="AE190" s="12" t="s">
        <v>1178</v>
      </c>
      <c r="AF190" s="57">
        <f>_xlfn.XLOOKUP(CONT_TEA[[#This Row],[SRG]],SRG[StaffRoleGroupCode],SRG[GrossSalaryFinanceCode])</f>
        <v>612100</v>
      </c>
      <c r="AG190" s="57" t="str">
        <f>_xlfn.XLOOKUP(CONT_TEA[[#This Row],[StaffRoleCode]],ROLES[StaffRoleCode],ROLES[StaffRoleGroupCode])</f>
        <v>TEA</v>
      </c>
      <c r="AH190" s="57" t="str">
        <f>_xlfn.XLOOKUP(CONT_TEA[[#This Row],[StaffRoleCode]],ROLES[StaffRoleCode],ROLES[PayScaleCode])</f>
        <v>MAIN</v>
      </c>
      <c r="AI190" s="12" t="s">
        <v>1126</v>
      </c>
      <c r="AJ190" s="12" t="s">
        <v>3073</v>
      </c>
      <c r="AK190" s="12" t="s">
        <v>2499</v>
      </c>
      <c r="AM190" s="68" t="s">
        <v>1147</v>
      </c>
      <c r="AN190" s="13" t="s">
        <v>1702</v>
      </c>
      <c r="AO190" s="21">
        <v>45901</v>
      </c>
      <c r="AQ190" s="12">
        <v>1</v>
      </c>
      <c r="AR190" t="b">
        <v>0</v>
      </c>
      <c r="AS190" t="b">
        <v>0</v>
      </c>
      <c r="AT190" s="12" t="s">
        <v>1574</v>
      </c>
    </row>
    <row r="191" spans="1:46" x14ac:dyDescent="0.3">
      <c r="A191" s="57" t="str">
        <f t="shared" si="3"/>
        <v>ALS9107383991073839ATEASTCH45901</v>
      </c>
      <c r="B191" s="57">
        <f>COUNTIF(CONT_TEA[Unique Contract],CONT_TEA[[#This Row],[Unique Contract]])-1</f>
        <v>0</v>
      </c>
      <c r="C191" s="57">
        <f>IFERROR(IF(FIND(CONT_TEA[[#This Row],[SchoolCode]],_xlfn.XLOOKUP(CONT_TEA[[#This Row],[StaffMemberCode]],MEMBERS[StaffMemberCode],MEMBERS[SchoolCodes]))&gt;0,0,1),1)</f>
        <v>0</v>
      </c>
      <c r="D191" s="57" cm="1">
        <f t="array" ref="D191">IF(_xlfn.XLOOKUP(CONT_TEA[[#This Row],[StaffRoleCode]],ROLES[StaffRoleCode],ROLES[AvailableToAllSchools],1,0,)=TRUE,0,IF(ISERROR(FIND(CONT_TEA[[#This Row],[SchoolCode]],_xlfn.TEXTJOIN(",",TRUE,_xlfn.UNIQUE(IF(ROLES[StaffRoleCode]=CONT_TEA[[#This Row],[StaffRoleCode]],ROLES[SchoolCodes],""))))),1,0))</f>
        <v>0</v>
      </c>
      <c r="E191" s="57" cm="1">
        <f t="array" ref="E19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91" s="57" cm="1">
        <f t="array" ref="F191">IF(_xlfn.XLOOKUP(CONT_TEA[[#This Row],[PayScaleCode]],PAYSCALES[PayScaleCode],PAYSCALES[AvailableToAllSchools],1,0,)=TRUE,0,IF(ISERROR(FIND(CONT_TEA[[#This Row],[SchoolCode]],_xlfn.TEXTJOIN(",",TRUE,_xlfn.UNIQUE(IF(PAYSCALES[PayScaleCode]=CONT_TEA[[#This Row],[PayScaleCode]],PAYSCALES[SchoolCodes],""))))),1,0))</f>
        <v>0</v>
      </c>
      <c r="G191" s="57">
        <f>IF(_xlfn.XLOOKUP(CONT_TEA[[#This Row],[PayScaleGradeCode]],GRADES[PayScaleGradeCode],GRADES[AvailableToAllSchools])=TRUE,0,IFERROR(IF(FIND(CONT_TEA[[#This Row],[SchoolCode]],_xlfn.XLOOKUP(CONT_TEA[[#This Row],[PayScaleGradeCode]],GRADES[PayScaleGradeCode],GRADES[SchoolCodes]))&gt;=1,0,1),1))</f>
        <v>0</v>
      </c>
      <c r="H191" s="57">
        <f>IF(ISERROR(IF((_xlfn.XLOOKUP(CONT_TEA[[#This Row],[PayScaleGradeCode]],GRADES[PayScaleGradeCode],GRADES[PayScaleCode])=CONT_TEA[[#This Row],[PayScaleCode]]),0,1)),1,0)</f>
        <v>0</v>
      </c>
      <c r="I191" s="57" cm="1">
        <f t="array" ref="I191">IF(ISERROR(FIND(CONT_TEA[[#This Row],[PayScalePointCode]],_xlfn.TEXTJOIN(",",TRUE,IF(PSPOINTS[PayScaleCode]=CONT_TEA[[#This Row],[PayScaleCode]],PSPOINTS[PayScalePointCode])))),1,0)</f>
        <v>0</v>
      </c>
      <c r="J191" s="57" cm="1">
        <f t="array" ref="J19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91" s="57">
        <f>IF(_xlfn.XLOOKUP(CONT_TEA[[#This Row],[PayScalePointCode]],PSPOINTS[PayScalePointCode],PSPOINTS[PayScalePointEnabled])=TRUE,0,1)</f>
        <v>0</v>
      </c>
      <c r="L191" s="57" cm="1">
        <f t="array" ref="L191">IF(_xlfn.XLOOKUP(CONT_TEA[[#This Row],[DepartmentCode]],DEPTS[DepartmentCode],DEPTS[AvailableToAllSchools],1,0,)=TRUE,0,IF(ISERROR(FIND(CONT_TEA[[#This Row],[SchoolCode]],_xlfn.TEXTJOIN(",",TRUE,_xlfn.UNIQUE(IF(DEPTS[DepartmentCode]=CONT_TEA[[#This Row],[DepartmentCode]],DEPTS[SchoolCodes],""))))),1,0))</f>
        <v>0</v>
      </c>
      <c r="M191" s="57">
        <f>IFERROR(IF(_xlfn.XLOOKUP(CONT_TEA[[#This Row],[SRG Gross]],FinanceCodesBudget[FinanceCode],FinanceCodesBudget[LedgerCode])=_xlfn.XLOOKUP(CONT_TEA[[#This Row],[DepartmentCode]],DEPTS[DepartmentCode],DEPTS[LedgerCode]),0,1),1)</f>
        <v>1</v>
      </c>
      <c r="N191" s="57" cm="1">
        <f t="array" ref="N191">IF(_xlfn.XLOOKUP(CONT_TEA[[#This Row],[PensionCode]],PENS[PensionCode],PENS[AvailableToAllSchools],1,0,)=TRUE,0,IF(ISERROR(FIND(CONT_TEA[[#This Row],[SchoolCode]],_xlfn.TEXTJOIN(",",TRUE,_xlfn.UNIQUE(IF(PENS[PensionCode]=CONT_TEA[[#This Row],[PensionCode]],PENS[SchoolCodes],""))))),1,0))</f>
        <v>0</v>
      </c>
      <c r="O191" s="57" cm="1">
        <f t="array" ref="O191">IF(_xlfn.XLOOKUP(CONT_TEA[[#This Row],[EquatedWeekPatternCode]],EQW[EquatedWeekPatternCode],EQW[AvailableToAllSchools],1,0,)=TRUE,0,IF(ISERROR(FIND(CONT_TEA[[#This Row],[SchoolCode]],_xlfn.TEXTJOIN(",",TRUE,_xlfn.UNIQUE(IF(EQW[EquatedWeekPatternCode]=CONT_TEA[[#This Row],[EquatedWeekPatternCode]],EQW[SchoolCodes],""))))),1,0))</f>
        <v>0</v>
      </c>
      <c r="P191" s="57">
        <f>1-COUNTIF(ContractTypes[Code],CONT_TEA[[#This Row],[ContractTypeCode]])</f>
        <v>0</v>
      </c>
      <c r="Q191" s="57">
        <f>IF(VLOOKUP(CONT_TEA[[#This Row],[StaffMemberCode]],MEMBERS[[StaffMemberCode]:[ServiceStartDate]],5,0)&gt;CONT_TEA[[#This Row],[DateFrom]],1,0)</f>
        <v>0</v>
      </c>
      <c r="R191" s="57">
        <f>IF(_xlfn.XLOOKUP(CONT_TEA[[#This Row],[StaffMemberCode]],MEMBERS[StaffMemberCode],MEMBERS[ServiceEndDate])="",0,IF(CONT_TEA[[#This Row],[DateTo]]="",1,IF(_xlfn.XLOOKUP(CONT_TEA[[#This Row],[StaffMemberCode]],MEMBERS[StaffMemberCode],MEMBERS[ServiceEndDate])&lt;CONT_TEA[[#This Row],[DateTo]],1,0)))</f>
        <v>0</v>
      </c>
      <c r="S191" s="57">
        <f>IF(ISBLANK(CONT_TEA[[#This Row],[DateTo]]),0,IF(CONT_TEA[[#This Row],[DateFrom]]=CONT_TEA[[#This Row],[DateTo]],0,IF(CONT_TEA[[#This Row],[DateFrom]]&lt;CONT_TEA[[#This Row],[DateTo]],0,1)))</f>
        <v>0</v>
      </c>
      <c r="T191" s="57" cm="1">
        <f t="array" aca="1" ref="T191" ca="1">IF(CELL("format",CONT_TEA[[#This Row],[DateFrom]])="D1",0,1)+IF(CELL("format",CONT_TEA[[#This Row],[DateTo]])="D1",0,1)</f>
        <v>0</v>
      </c>
      <c r="U191" s="57">
        <f>IF(OR(CONT_TEA[[#This Row],[MatEditOnly]]=TRUE,CONT_TEA[[#This Row],[MatEditOnly]]=FALSE),IF(OR(CONT_TEA[[#This Row],[NoIncrement]]=TRUE,CONT_TEA[[#This Row],[NoIncrement]]=FALSE),0,1),1)</f>
        <v>0</v>
      </c>
      <c r="V191" s="57">
        <f>IF(ISBLANK(CONT_TEA[[#This Row],[FundCode]])=TRUE,0,IF(COUNTIF(FUNDS[FundCode],CONT_TEA[[#This Row],[FundCode]])=1,0,1))</f>
        <v>0</v>
      </c>
      <c r="W191" s="57">
        <f>IF(LEN(CONT_TEA[[#This Row],[Notes]])&lt;4000,0,1)</f>
        <v>0</v>
      </c>
      <c r="X191" s="57">
        <f>IF(SUBSTITUTE(TEXT(CONT_TEA[[#This Row],[Reference]],10)," ","")=TEXT(CONT_TEA[[#This Row],[Reference]],10),0,1)</f>
        <v>0</v>
      </c>
      <c r="Y191" s="57">
        <f ca="1">SUM(CONT_TEA[[#This Row],[Duplicate Contract]:[Space in Code]])</f>
        <v>1</v>
      </c>
      <c r="AA191" s="12" t="s">
        <v>2082</v>
      </c>
      <c r="AB191" s="15">
        <v>91073839</v>
      </c>
      <c r="AC191" s="12" t="s">
        <v>4539</v>
      </c>
      <c r="AD191" s="57" t="str">
        <f>_xlfn.XLOOKUP(CONT_TEA[[#This Row],[StaffMemberCode]],StaffMembers!O:O,StaffMembers!R:R)</f>
        <v>Keira D'Angelo</v>
      </c>
      <c r="AE191" s="12" t="s">
        <v>1178</v>
      </c>
      <c r="AF191" s="57">
        <f>_xlfn.XLOOKUP(CONT_TEA[[#This Row],[SRG]],SRG[StaffRoleGroupCode],SRG[GrossSalaryFinanceCode])</f>
        <v>612100</v>
      </c>
      <c r="AG191" s="57" t="str">
        <f>_xlfn.XLOOKUP(CONT_TEA[[#This Row],[StaffRoleCode]],ROLES[StaffRoleCode],ROLES[StaffRoleGroupCode])</f>
        <v>TEA</v>
      </c>
      <c r="AH191" s="57" t="str">
        <f>_xlfn.XLOOKUP(CONT_TEA[[#This Row],[StaffRoleCode]],ROLES[StaffRoleCode],ROLES[PayScaleCode])</f>
        <v>MAIN</v>
      </c>
      <c r="AI191" s="12" t="s">
        <v>1126</v>
      </c>
      <c r="AJ191" s="12" t="s">
        <v>3073</v>
      </c>
      <c r="AK191" s="12" t="s">
        <v>2499</v>
      </c>
      <c r="AM191" s="68" t="s">
        <v>1147</v>
      </c>
      <c r="AN191" s="13" t="s">
        <v>1702</v>
      </c>
      <c r="AO191" s="21">
        <v>45901</v>
      </c>
      <c r="AQ191" s="12">
        <v>1</v>
      </c>
      <c r="AR191" t="b">
        <v>0</v>
      </c>
      <c r="AS191" t="b">
        <v>0</v>
      </c>
      <c r="AT191" s="12" t="s">
        <v>1574</v>
      </c>
    </row>
    <row r="192" spans="1:46" x14ac:dyDescent="0.3">
      <c r="A192" s="57" t="str">
        <f t="shared" si="3"/>
        <v>HIG9185004091850040ATEASTCH45901</v>
      </c>
      <c r="B192" s="57">
        <f>COUNTIF(CONT_TEA[Unique Contract],CONT_TEA[[#This Row],[Unique Contract]])-1</f>
        <v>0</v>
      </c>
      <c r="C192" s="57">
        <f>IFERROR(IF(FIND(CONT_TEA[[#This Row],[SchoolCode]],_xlfn.XLOOKUP(CONT_TEA[[#This Row],[StaffMemberCode]],MEMBERS[StaffMemberCode],MEMBERS[SchoolCodes]))&gt;0,0,1),1)</f>
        <v>0</v>
      </c>
      <c r="D192" s="57" cm="1">
        <f t="array" ref="D192">IF(_xlfn.XLOOKUP(CONT_TEA[[#This Row],[StaffRoleCode]],ROLES[StaffRoleCode],ROLES[AvailableToAllSchools],1,0,)=TRUE,0,IF(ISERROR(FIND(CONT_TEA[[#This Row],[SchoolCode]],_xlfn.TEXTJOIN(",",TRUE,_xlfn.UNIQUE(IF(ROLES[StaffRoleCode]=CONT_TEA[[#This Row],[StaffRoleCode]],ROLES[SchoolCodes],""))))),1,0))</f>
        <v>0</v>
      </c>
      <c r="E192" s="57" cm="1">
        <f t="array" ref="E19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92" s="57" cm="1">
        <f t="array" ref="F192">IF(_xlfn.XLOOKUP(CONT_TEA[[#This Row],[PayScaleCode]],PAYSCALES[PayScaleCode],PAYSCALES[AvailableToAllSchools],1,0,)=TRUE,0,IF(ISERROR(FIND(CONT_TEA[[#This Row],[SchoolCode]],_xlfn.TEXTJOIN(",",TRUE,_xlfn.UNIQUE(IF(PAYSCALES[PayScaleCode]=CONT_TEA[[#This Row],[PayScaleCode]],PAYSCALES[SchoolCodes],""))))),1,0))</f>
        <v>0</v>
      </c>
      <c r="G192" s="57">
        <f>IF(_xlfn.XLOOKUP(CONT_TEA[[#This Row],[PayScaleGradeCode]],GRADES[PayScaleGradeCode],GRADES[AvailableToAllSchools])=TRUE,0,IFERROR(IF(FIND(CONT_TEA[[#This Row],[SchoolCode]],_xlfn.XLOOKUP(CONT_TEA[[#This Row],[PayScaleGradeCode]],GRADES[PayScaleGradeCode],GRADES[SchoolCodes]))&gt;=1,0,1),1))</f>
        <v>0</v>
      </c>
      <c r="H192" s="57">
        <f>IF(ISERROR(IF((_xlfn.XLOOKUP(CONT_TEA[[#This Row],[PayScaleGradeCode]],GRADES[PayScaleGradeCode],GRADES[PayScaleCode])=CONT_TEA[[#This Row],[PayScaleCode]]),0,1)),1,0)</f>
        <v>0</v>
      </c>
      <c r="I192" s="57" cm="1">
        <f t="array" ref="I192">IF(ISERROR(FIND(CONT_TEA[[#This Row],[PayScalePointCode]],_xlfn.TEXTJOIN(",",TRUE,IF(PSPOINTS[PayScaleCode]=CONT_TEA[[#This Row],[PayScaleCode]],PSPOINTS[PayScalePointCode])))),1,0)</f>
        <v>0</v>
      </c>
      <c r="J192" s="57" cm="1">
        <f t="array" ref="J19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92" s="57">
        <f>IF(_xlfn.XLOOKUP(CONT_TEA[[#This Row],[PayScalePointCode]],PSPOINTS[PayScalePointCode],PSPOINTS[PayScalePointEnabled])=TRUE,0,1)</f>
        <v>0</v>
      </c>
      <c r="L192" s="57" cm="1">
        <f t="array" ref="L192">IF(_xlfn.XLOOKUP(CONT_TEA[[#This Row],[DepartmentCode]],DEPTS[DepartmentCode],DEPTS[AvailableToAllSchools],1,0,)=TRUE,0,IF(ISERROR(FIND(CONT_TEA[[#This Row],[SchoolCode]],_xlfn.TEXTJOIN(",",TRUE,_xlfn.UNIQUE(IF(DEPTS[DepartmentCode]=CONT_TEA[[#This Row],[DepartmentCode]],DEPTS[SchoolCodes],""))))),1,0))</f>
        <v>0</v>
      </c>
      <c r="M192" s="57">
        <f>IFERROR(IF(_xlfn.XLOOKUP(CONT_TEA[[#This Row],[SRG Gross]],FinanceCodesBudget[FinanceCode],FinanceCodesBudget[LedgerCode])=_xlfn.XLOOKUP(CONT_TEA[[#This Row],[DepartmentCode]],DEPTS[DepartmentCode],DEPTS[LedgerCode]),0,1),1)</f>
        <v>1</v>
      </c>
      <c r="N192" s="57" cm="1">
        <f t="array" ref="N192">IF(_xlfn.XLOOKUP(CONT_TEA[[#This Row],[PensionCode]],PENS[PensionCode],PENS[AvailableToAllSchools],1,0,)=TRUE,0,IF(ISERROR(FIND(CONT_TEA[[#This Row],[SchoolCode]],_xlfn.TEXTJOIN(",",TRUE,_xlfn.UNIQUE(IF(PENS[PensionCode]=CONT_TEA[[#This Row],[PensionCode]],PENS[SchoolCodes],""))))),1,0))</f>
        <v>0</v>
      </c>
      <c r="O192" s="57" cm="1">
        <f t="array" ref="O192">IF(_xlfn.XLOOKUP(CONT_TEA[[#This Row],[EquatedWeekPatternCode]],EQW[EquatedWeekPatternCode],EQW[AvailableToAllSchools],1,0,)=TRUE,0,IF(ISERROR(FIND(CONT_TEA[[#This Row],[SchoolCode]],_xlfn.TEXTJOIN(",",TRUE,_xlfn.UNIQUE(IF(EQW[EquatedWeekPatternCode]=CONT_TEA[[#This Row],[EquatedWeekPatternCode]],EQW[SchoolCodes],""))))),1,0))</f>
        <v>0</v>
      </c>
      <c r="P192" s="57">
        <f>1-COUNTIF(ContractTypes[Code],CONT_TEA[[#This Row],[ContractTypeCode]])</f>
        <v>0</v>
      </c>
      <c r="Q192" s="57">
        <f>IF(VLOOKUP(CONT_TEA[[#This Row],[StaffMemberCode]],MEMBERS[[StaffMemberCode]:[ServiceStartDate]],5,0)&gt;CONT_TEA[[#This Row],[DateFrom]],1,0)</f>
        <v>0</v>
      </c>
      <c r="R192" s="57">
        <f>IF(_xlfn.XLOOKUP(CONT_TEA[[#This Row],[StaffMemberCode]],MEMBERS[StaffMemberCode],MEMBERS[ServiceEndDate])="",0,IF(CONT_TEA[[#This Row],[DateTo]]="",1,IF(_xlfn.XLOOKUP(CONT_TEA[[#This Row],[StaffMemberCode]],MEMBERS[StaffMemberCode],MEMBERS[ServiceEndDate])&lt;CONT_TEA[[#This Row],[DateTo]],1,0)))</f>
        <v>0</v>
      </c>
      <c r="S192" s="57">
        <f>IF(ISBLANK(CONT_TEA[[#This Row],[DateTo]]),0,IF(CONT_TEA[[#This Row],[DateFrom]]=CONT_TEA[[#This Row],[DateTo]],0,IF(CONT_TEA[[#This Row],[DateFrom]]&lt;CONT_TEA[[#This Row],[DateTo]],0,1)))</f>
        <v>0</v>
      </c>
      <c r="T192" s="57" cm="1">
        <f t="array" aca="1" ref="T192" ca="1">IF(CELL("format",CONT_TEA[[#This Row],[DateFrom]])="D1",0,1)+IF(CELL("format",CONT_TEA[[#This Row],[DateTo]])="D1",0,1)</f>
        <v>0</v>
      </c>
      <c r="U192" s="57">
        <f>IF(OR(CONT_TEA[[#This Row],[MatEditOnly]]=TRUE,CONT_TEA[[#This Row],[MatEditOnly]]=FALSE),IF(OR(CONT_TEA[[#This Row],[NoIncrement]]=TRUE,CONT_TEA[[#This Row],[NoIncrement]]=FALSE),0,1),1)</f>
        <v>0</v>
      </c>
      <c r="V192" s="57">
        <f>IF(ISBLANK(CONT_TEA[[#This Row],[FundCode]])=TRUE,0,IF(COUNTIF(FUNDS[FundCode],CONT_TEA[[#This Row],[FundCode]])=1,0,1))</f>
        <v>0</v>
      </c>
      <c r="W192" s="57">
        <f>IF(LEN(CONT_TEA[[#This Row],[Notes]])&lt;4000,0,1)</f>
        <v>0</v>
      </c>
      <c r="X192" s="57">
        <f>IF(SUBSTITUTE(TEXT(CONT_TEA[[#This Row],[Reference]],10)," ","")=TEXT(CONT_TEA[[#This Row],[Reference]],10),0,1)</f>
        <v>0</v>
      </c>
      <c r="Y192" s="57">
        <f ca="1">SUM(CONT_TEA[[#This Row],[Duplicate Contract]:[Space in Code]])</f>
        <v>1</v>
      </c>
      <c r="AA192" s="12" t="s">
        <v>2266</v>
      </c>
      <c r="AB192" s="15">
        <v>91850040</v>
      </c>
      <c r="AC192" s="12" t="s">
        <v>4540</v>
      </c>
      <c r="AD192" s="57" t="str">
        <f>_xlfn.XLOOKUP(CONT_TEA[[#This Row],[StaffMemberCode]],StaffMembers!O:O,StaffMembers!R:R)</f>
        <v>Kelsey Cooper</v>
      </c>
      <c r="AE192" s="12" t="s">
        <v>1178</v>
      </c>
      <c r="AF192" s="57">
        <f>_xlfn.XLOOKUP(CONT_TEA[[#This Row],[SRG]],SRG[StaffRoleGroupCode],SRG[GrossSalaryFinanceCode])</f>
        <v>612100</v>
      </c>
      <c r="AG192" s="57" t="str">
        <f>_xlfn.XLOOKUP(CONT_TEA[[#This Row],[StaffRoleCode]],ROLES[StaffRoleCode],ROLES[StaffRoleGroupCode])</f>
        <v>TEA</v>
      </c>
      <c r="AH192" s="57" t="str">
        <f>_xlfn.XLOOKUP(CONT_TEA[[#This Row],[StaffRoleCode]],ROLES[StaffRoleCode],ROLES[PayScaleCode])</f>
        <v>MAIN</v>
      </c>
      <c r="AI192" s="12" t="s">
        <v>1126</v>
      </c>
      <c r="AJ192" s="12" t="s">
        <v>1064</v>
      </c>
      <c r="AK192" s="12" t="s">
        <v>2499</v>
      </c>
      <c r="AM192" s="68" t="s">
        <v>1147</v>
      </c>
      <c r="AN192" s="13" t="s">
        <v>1702</v>
      </c>
      <c r="AO192" s="21">
        <v>45901</v>
      </c>
      <c r="AQ192" s="12">
        <v>1</v>
      </c>
      <c r="AR192" t="b">
        <v>0</v>
      </c>
      <c r="AS192" t="b">
        <v>0</v>
      </c>
      <c r="AT192" s="12" t="s">
        <v>1575</v>
      </c>
    </row>
    <row r="193" spans="1:46" x14ac:dyDescent="0.3">
      <c r="A193" s="57" t="str">
        <f t="shared" si="3"/>
        <v>ALS9107381291073812ATEASTCH45901</v>
      </c>
      <c r="B193" s="57">
        <f>COUNTIF(CONT_TEA[Unique Contract],CONT_TEA[[#This Row],[Unique Contract]])-1</f>
        <v>0</v>
      </c>
      <c r="C193" s="57">
        <f>IFERROR(IF(FIND(CONT_TEA[[#This Row],[SchoolCode]],_xlfn.XLOOKUP(CONT_TEA[[#This Row],[StaffMemberCode]],MEMBERS[StaffMemberCode],MEMBERS[SchoolCodes]))&gt;0,0,1),1)</f>
        <v>0</v>
      </c>
      <c r="D193" s="57" cm="1">
        <f t="array" ref="D193">IF(_xlfn.XLOOKUP(CONT_TEA[[#This Row],[StaffRoleCode]],ROLES[StaffRoleCode],ROLES[AvailableToAllSchools],1,0,)=TRUE,0,IF(ISERROR(FIND(CONT_TEA[[#This Row],[SchoolCode]],_xlfn.TEXTJOIN(",",TRUE,_xlfn.UNIQUE(IF(ROLES[StaffRoleCode]=CONT_TEA[[#This Row],[StaffRoleCode]],ROLES[SchoolCodes],""))))),1,0))</f>
        <v>0</v>
      </c>
      <c r="E193" s="57" cm="1">
        <f t="array" ref="E19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93" s="57" cm="1">
        <f t="array" ref="F193">IF(_xlfn.XLOOKUP(CONT_TEA[[#This Row],[PayScaleCode]],PAYSCALES[PayScaleCode],PAYSCALES[AvailableToAllSchools],1,0,)=TRUE,0,IF(ISERROR(FIND(CONT_TEA[[#This Row],[SchoolCode]],_xlfn.TEXTJOIN(",",TRUE,_xlfn.UNIQUE(IF(PAYSCALES[PayScaleCode]=CONT_TEA[[#This Row],[PayScaleCode]],PAYSCALES[SchoolCodes],""))))),1,0))</f>
        <v>0</v>
      </c>
      <c r="G193" s="57">
        <f>IF(_xlfn.XLOOKUP(CONT_TEA[[#This Row],[PayScaleGradeCode]],GRADES[PayScaleGradeCode],GRADES[AvailableToAllSchools])=TRUE,0,IFERROR(IF(FIND(CONT_TEA[[#This Row],[SchoolCode]],_xlfn.XLOOKUP(CONT_TEA[[#This Row],[PayScaleGradeCode]],GRADES[PayScaleGradeCode],GRADES[SchoolCodes]))&gt;=1,0,1),1))</f>
        <v>0</v>
      </c>
      <c r="H193" s="57">
        <f>IF(ISERROR(IF((_xlfn.XLOOKUP(CONT_TEA[[#This Row],[PayScaleGradeCode]],GRADES[PayScaleGradeCode],GRADES[PayScaleCode])=CONT_TEA[[#This Row],[PayScaleCode]]),0,1)),1,0)</f>
        <v>0</v>
      </c>
      <c r="I193" s="57" cm="1">
        <f t="array" ref="I193">IF(ISERROR(FIND(CONT_TEA[[#This Row],[PayScalePointCode]],_xlfn.TEXTJOIN(",",TRUE,IF(PSPOINTS[PayScaleCode]=CONT_TEA[[#This Row],[PayScaleCode]],PSPOINTS[PayScalePointCode])))),1,0)</f>
        <v>0</v>
      </c>
      <c r="J193" s="57" cm="1">
        <f t="array" ref="J19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93" s="57">
        <f>IF(_xlfn.XLOOKUP(CONT_TEA[[#This Row],[PayScalePointCode]],PSPOINTS[PayScalePointCode],PSPOINTS[PayScalePointEnabled])=TRUE,0,1)</f>
        <v>0</v>
      </c>
      <c r="L193" s="57" cm="1">
        <f t="array" ref="L193">IF(_xlfn.XLOOKUP(CONT_TEA[[#This Row],[DepartmentCode]],DEPTS[DepartmentCode],DEPTS[AvailableToAllSchools],1,0,)=TRUE,0,IF(ISERROR(FIND(CONT_TEA[[#This Row],[SchoolCode]],_xlfn.TEXTJOIN(",",TRUE,_xlfn.UNIQUE(IF(DEPTS[DepartmentCode]=CONT_TEA[[#This Row],[DepartmentCode]],DEPTS[SchoolCodes],""))))),1,0))</f>
        <v>0</v>
      </c>
      <c r="M193" s="57">
        <f>IFERROR(IF(_xlfn.XLOOKUP(CONT_TEA[[#This Row],[SRG Gross]],FinanceCodesBudget[FinanceCode],FinanceCodesBudget[LedgerCode])=_xlfn.XLOOKUP(CONT_TEA[[#This Row],[DepartmentCode]],DEPTS[DepartmentCode],DEPTS[LedgerCode]),0,1),1)</f>
        <v>1</v>
      </c>
      <c r="N193" s="57" cm="1">
        <f t="array" ref="N193">IF(_xlfn.XLOOKUP(CONT_TEA[[#This Row],[PensionCode]],PENS[PensionCode],PENS[AvailableToAllSchools],1,0,)=TRUE,0,IF(ISERROR(FIND(CONT_TEA[[#This Row],[SchoolCode]],_xlfn.TEXTJOIN(",",TRUE,_xlfn.UNIQUE(IF(PENS[PensionCode]=CONT_TEA[[#This Row],[PensionCode]],PENS[SchoolCodes],""))))),1,0))</f>
        <v>0</v>
      </c>
      <c r="O193" s="57" cm="1">
        <f t="array" ref="O193">IF(_xlfn.XLOOKUP(CONT_TEA[[#This Row],[EquatedWeekPatternCode]],EQW[EquatedWeekPatternCode],EQW[AvailableToAllSchools],1,0,)=TRUE,0,IF(ISERROR(FIND(CONT_TEA[[#This Row],[SchoolCode]],_xlfn.TEXTJOIN(",",TRUE,_xlfn.UNIQUE(IF(EQW[EquatedWeekPatternCode]=CONT_TEA[[#This Row],[EquatedWeekPatternCode]],EQW[SchoolCodes],""))))),1,0))</f>
        <v>0</v>
      </c>
      <c r="P193" s="57">
        <f>1-COUNTIF(ContractTypes[Code],CONT_TEA[[#This Row],[ContractTypeCode]])</f>
        <v>0</v>
      </c>
      <c r="Q193" s="57">
        <f>IF(VLOOKUP(CONT_TEA[[#This Row],[StaffMemberCode]],MEMBERS[[StaffMemberCode]:[ServiceStartDate]],5,0)&gt;CONT_TEA[[#This Row],[DateFrom]],1,0)</f>
        <v>0</v>
      </c>
      <c r="R193" s="57">
        <f>IF(_xlfn.XLOOKUP(CONT_TEA[[#This Row],[StaffMemberCode]],MEMBERS[StaffMemberCode],MEMBERS[ServiceEndDate])="",0,IF(CONT_TEA[[#This Row],[DateTo]]="",1,IF(_xlfn.XLOOKUP(CONT_TEA[[#This Row],[StaffMemberCode]],MEMBERS[StaffMemberCode],MEMBERS[ServiceEndDate])&lt;CONT_TEA[[#This Row],[DateTo]],1,0)))</f>
        <v>0</v>
      </c>
      <c r="S193" s="57">
        <f>IF(ISBLANK(CONT_TEA[[#This Row],[DateTo]]),0,IF(CONT_TEA[[#This Row],[DateFrom]]=CONT_TEA[[#This Row],[DateTo]],0,IF(CONT_TEA[[#This Row],[DateFrom]]&lt;CONT_TEA[[#This Row],[DateTo]],0,1)))</f>
        <v>0</v>
      </c>
      <c r="T193" s="57" cm="1">
        <f t="array" aca="1" ref="T193" ca="1">IF(CELL("format",CONT_TEA[[#This Row],[DateFrom]])="D1",0,1)+IF(CELL("format",CONT_TEA[[#This Row],[DateTo]])="D1",0,1)</f>
        <v>0</v>
      </c>
      <c r="U193" s="57">
        <f>IF(OR(CONT_TEA[[#This Row],[MatEditOnly]]=TRUE,CONT_TEA[[#This Row],[MatEditOnly]]=FALSE),IF(OR(CONT_TEA[[#This Row],[NoIncrement]]=TRUE,CONT_TEA[[#This Row],[NoIncrement]]=FALSE),0,1),1)</f>
        <v>0</v>
      </c>
      <c r="V193" s="57">
        <f>IF(ISBLANK(CONT_TEA[[#This Row],[FundCode]])=TRUE,0,IF(COUNTIF(FUNDS[FundCode],CONT_TEA[[#This Row],[FundCode]])=1,0,1))</f>
        <v>0</v>
      </c>
      <c r="W193" s="57">
        <f>IF(LEN(CONT_TEA[[#This Row],[Notes]])&lt;4000,0,1)</f>
        <v>0</v>
      </c>
      <c r="X193" s="57">
        <f>IF(SUBSTITUTE(TEXT(CONT_TEA[[#This Row],[Reference]],10)," ","")=TEXT(CONT_TEA[[#This Row],[Reference]],10),0,1)</f>
        <v>0</v>
      </c>
      <c r="Y193" s="57">
        <f ca="1">SUM(CONT_TEA[[#This Row],[Duplicate Contract]:[Space in Code]])</f>
        <v>1</v>
      </c>
      <c r="AA193" s="12" t="s">
        <v>2082</v>
      </c>
      <c r="AB193" s="15">
        <v>91073812</v>
      </c>
      <c r="AC193" s="12" t="s">
        <v>4541</v>
      </c>
      <c r="AD193" s="57" t="str">
        <f>_xlfn.XLOOKUP(CONT_TEA[[#This Row],[StaffMemberCode]],StaffMembers!O:O,StaffMembers!R:R)</f>
        <v>Laura Jolley</v>
      </c>
      <c r="AE193" s="12" t="s">
        <v>1178</v>
      </c>
      <c r="AF193" s="57">
        <f>_xlfn.XLOOKUP(CONT_TEA[[#This Row],[SRG]],SRG[StaffRoleGroupCode],SRG[GrossSalaryFinanceCode])</f>
        <v>612100</v>
      </c>
      <c r="AG193" s="57" t="str">
        <f>_xlfn.XLOOKUP(CONT_TEA[[#This Row],[StaffRoleCode]],ROLES[StaffRoleCode],ROLES[StaffRoleGroupCode])</f>
        <v>TEA</v>
      </c>
      <c r="AH193" s="57" t="str">
        <f>_xlfn.XLOOKUP(CONT_TEA[[#This Row],[StaffRoleCode]],ROLES[StaffRoleCode],ROLES[PayScaleCode])</f>
        <v>MAIN</v>
      </c>
      <c r="AI193" s="12" t="s">
        <v>1126</v>
      </c>
      <c r="AJ193" s="12" t="s">
        <v>1745</v>
      </c>
      <c r="AK193" s="12" t="s">
        <v>2499</v>
      </c>
      <c r="AM193" s="68" t="s">
        <v>1147</v>
      </c>
      <c r="AN193" s="13" t="s">
        <v>1702</v>
      </c>
      <c r="AO193" s="21">
        <v>45901</v>
      </c>
      <c r="AQ193" s="12">
        <v>0.8</v>
      </c>
      <c r="AR193" t="b">
        <v>0</v>
      </c>
      <c r="AS193" t="b">
        <v>0</v>
      </c>
      <c r="AT193" s="12" t="s">
        <v>1574</v>
      </c>
    </row>
    <row r="194" spans="1:46" x14ac:dyDescent="0.3">
      <c r="A194" s="57" t="str">
        <f t="shared" si="3"/>
        <v>HIG9107389891073898ATEASTCH45901</v>
      </c>
      <c r="B194" s="57">
        <f>COUNTIF(CONT_TEA[Unique Contract],CONT_TEA[[#This Row],[Unique Contract]])-1</f>
        <v>0</v>
      </c>
      <c r="C194" s="57">
        <f>IFERROR(IF(FIND(CONT_TEA[[#This Row],[SchoolCode]],_xlfn.XLOOKUP(CONT_TEA[[#This Row],[StaffMemberCode]],MEMBERS[StaffMemberCode],MEMBERS[SchoolCodes]))&gt;0,0,1),1)</f>
        <v>0</v>
      </c>
      <c r="D194" s="57" cm="1">
        <f t="array" ref="D194">IF(_xlfn.XLOOKUP(CONT_TEA[[#This Row],[StaffRoleCode]],ROLES[StaffRoleCode],ROLES[AvailableToAllSchools],1,0,)=TRUE,0,IF(ISERROR(FIND(CONT_TEA[[#This Row],[SchoolCode]],_xlfn.TEXTJOIN(",",TRUE,_xlfn.UNIQUE(IF(ROLES[StaffRoleCode]=CONT_TEA[[#This Row],[StaffRoleCode]],ROLES[SchoolCodes],""))))),1,0))</f>
        <v>0</v>
      </c>
      <c r="E194" s="57" cm="1">
        <f t="array" ref="E19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94" s="57" cm="1">
        <f t="array" ref="F194">IF(_xlfn.XLOOKUP(CONT_TEA[[#This Row],[PayScaleCode]],PAYSCALES[PayScaleCode],PAYSCALES[AvailableToAllSchools],1,0,)=TRUE,0,IF(ISERROR(FIND(CONT_TEA[[#This Row],[SchoolCode]],_xlfn.TEXTJOIN(",",TRUE,_xlfn.UNIQUE(IF(PAYSCALES[PayScaleCode]=CONT_TEA[[#This Row],[PayScaleCode]],PAYSCALES[SchoolCodes],""))))),1,0))</f>
        <v>0</v>
      </c>
      <c r="G194" s="57">
        <f>IF(_xlfn.XLOOKUP(CONT_TEA[[#This Row],[PayScaleGradeCode]],GRADES[PayScaleGradeCode],GRADES[AvailableToAllSchools])=TRUE,0,IFERROR(IF(FIND(CONT_TEA[[#This Row],[SchoolCode]],_xlfn.XLOOKUP(CONT_TEA[[#This Row],[PayScaleGradeCode]],GRADES[PayScaleGradeCode],GRADES[SchoolCodes]))&gt;=1,0,1),1))</f>
        <v>0</v>
      </c>
      <c r="H194" s="57">
        <f>IF(ISERROR(IF((_xlfn.XLOOKUP(CONT_TEA[[#This Row],[PayScaleGradeCode]],GRADES[PayScaleGradeCode],GRADES[PayScaleCode])=CONT_TEA[[#This Row],[PayScaleCode]]),0,1)),1,0)</f>
        <v>0</v>
      </c>
      <c r="I194" s="57" cm="1">
        <f t="array" ref="I194">IF(ISERROR(FIND(CONT_TEA[[#This Row],[PayScalePointCode]],_xlfn.TEXTJOIN(",",TRUE,IF(PSPOINTS[PayScaleCode]=CONT_TEA[[#This Row],[PayScaleCode]],PSPOINTS[PayScalePointCode])))),1,0)</f>
        <v>0</v>
      </c>
      <c r="J194" s="57" cm="1">
        <f t="array" ref="J19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94" s="57">
        <f>IF(_xlfn.XLOOKUP(CONT_TEA[[#This Row],[PayScalePointCode]],PSPOINTS[PayScalePointCode],PSPOINTS[PayScalePointEnabled])=TRUE,0,1)</f>
        <v>0</v>
      </c>
      <c r="L194" s="57" cm="1">
        <f t="array" ref="L194">IF(_xlfn.XLOOKUP(CONT_TEA[[#This Row],[DepartmentCode]],DEPTS[DepartmentCode],DEPTS[AvailableToAllSchools],1,0,)=TRUE,0,IF(ISERROR(FIND(CONT_TEA[[#This Row],[SchoolCode]],_xlfn.TEXTJOIN(",",TRUE,_xlfn.UNIQUE(IF(DEPTS[DepartmentCode]=CONT_TEA[[#This Row],[DepartmentCode]],DEPTS[SchoolCodes],""))))),1,0))</f>
        <v>0</v>
      </c>
      <c r="M194" s="57">
        <f>IFERROR(IF(_xlfn.XLOOKUP(CONT_TEA[[#This Row],[SRG Gross]],FinanceCodesBudget[FinanceCode],FinanceCodesBudget[LedgerCode])=_xlfn.XLOOKUP(CONT_TEA[[#This Row],[DepartmentCode]],DEPTS[DepartmentCode],DEPTS[LedgerCode]),0,1),1)</f>
        <v>1</v>
      </c>
      <c r="N194" s="57" cm="1">
        <f t="array" ref="N194">IF(_xlfn.XLOOKUP(CONT_TEA[[#This Row],[PensionCode]],PENS[PensionCode],PENS[AvailableToAllSchools],1,0,)=TRUE,0,IF(ISERROR(FIND(CONT_TEA[[#This Row],[SchoolCode]],_xlfn.TEXTJOIN(",",TRUE,_xlfn.UNIQUE(IF(PENS[PensionCode]=CONT_TEA[[#This Row],[PensionCode]],PENS[SchoolCodes],""))))),1,0))</f>
        <v>0</v>
      </c>
      <c r="O194" s="57" cm="1">
        <f t="array" ref="O194">IF(_xlfn.XLOOKUP(CONT_TEA[[#This Row],[EquatedWeekPatternCode]],EQW[EquatedWeekPatternCode],EQW[AvailableToAllSchools],1,0,)=TRUE,0,IF(ISERROR(FIND(CONT_TEA[[#This Row],[SchoolCode]],_xlfn.TEXTJOIN(",",TRUE,_xlfn.UNIQUE(IF(EQW[EquatedWeekPatternCode]=CONT_TEA[[#This Row],[EquatedWeekPatternCode]],EQW[SchoolCodes],""))))),1,0))</f>
        <v>0</v>
      </c>
      <c r="P194" s="57">
        <f>1-COUNTIF(ContractTypes[Code],CONT_TEA[[#This Row],[ContractTypeCode]])</f>
        <v>0</v>
      </c>
      <c r="Q194" s="57">
        <f>IF(VLOOKUP(CONT_TEA[[#This Row],[StaffMemberCode]],MEMBERS[[StaffMemberCode]:[ServiceStartDate]],5,0)&gt;CONT_TEA[[#This Row],[DateFrom]],1,0)</f>
        <v>0</v>
      </c>
      <c r="R194" s="57">
        <f>IF(_xlfn.XLOOKUP(CONT_TEA[[#This Row],[StaffMemberCode]],MEMBERS[StaffMemberCode],MEMBERS[ServiceEndDate])="",0,IF(CONT_TEA[[#This Row],[DateTo]]="",1,IF(_xlfn.XLOOKUP(CONT_TEA[[#This Row],[StaffMemberCode]],MEMBERS[StaffMemberCode],MEMBERS[ServiceEndDate])&lt;CONT_TEA[[#This Row],[DateTo]],1,0)))</f>
        <v>0</v>
      </c>
      <c r="S194" s="57">
        <f>IF(ISBLANK(CONT_TEA[[#This Row],[DateTo]]),0,IF(CONT_TEA[[#This Row],[DateFrom]]=CONT_TEA[[#This Row],[DateTo]],0,IF(CONT_TEA[[#This Row],[DateFrom]]&lt;CONT_TEA[[#This Row],[DateTo]],0,1)))</f>
        <v>0</v>
      </c>
      <c r="T194" s="57" cm="1">
        <f t="array" aca="1" ref="T194" ca="1">IF(CELL("format",CONT_TEA[[#This Row],[DateFrom]])="D1",0,1)+IF(CELL("format",CONT_TEA[[#This Row],[DateTo]])="D1",0,1)</f>
        <v>0</v>
      </c>
      <c r="U194" s="57">
        <f>IF(OR(CONT_TEA[[#This Row],[MatEditOnly]]=TRUE,CONT_TEA[[#This Row],[MatEditOnly]]=FALSE),IF(OR(CONT_TEA[[#This Row],[NoIncrement]]=TRUE,CONT_TEA[[#This Row],[NoIncrement]]=FALSE),0,1),1)</f>
        <v>0</v>
      </c>
      <c r="V194" s="57">
        <f>IF(ISBLANK(CONT_TEA[[#This Row],[FundCode]])=TRUE,0,IF(COUNTIF(FUNDS[FundCode],CONT_TEA[[#This Row],[FundCode]])=1,0,1))</f>
        <v>0</v>
      </c>
      <c r="W194" s="57">
        <f>IF(LEN(CONT_TEA[[#This Row],[Notes]])&lt;4000,0,1)</f>
        <v>0</v>
      </c>
      <c r="X194" s="57">
        <f>IF(SUBSTITUTE(TEXT(CONT_TEA[[#This Row],[Reference]],10)," ","")=TEXT(CONT_TEA[[#This Row],[Reference]],10),0,1)</f>
        <v>0</v>
      </c>
      <c r="Y194" s="57">
        <f ca="1">SUM(CONT_TEA[[#This Row],[Duplicate Contract]:[Space in Code]])</f>
        <v>1</v>
      </c>
      <c r="AA194" s="12" t="s">
        <v>2266</v>
      </c>
      <c r="AB194" s="15">
        <v>91073898</v>
      </c>
      <c r="AC194" s="12" t="s">
        <v>4542</v>
      </c>
      <c r="AD194" s="57" t="str">
        <f>_xlfn.XLOOKUP(CONT_TEA[[#This Row],[StaffMemberCode]],StaffMembers!O:O,StaffMembers!R:R)</f>
        <v>Laura Matthew</v>
      </c>
      <c r="AE194" s="12" t="s">
        <v>1178</v>
      </c>
      <c r="AF194" s="57">
        <f>_xlfn.XLOOKUP(CONT_TEA[[#This Row],[SRG]],SRG[StaffRoleGroupCode],SRG[GrossSalaryFinanceCode])</f>
        <v>612100</v>
      </c>
      <c r="AG194" s="57" t="str">
        <f>_xlfn.XLOOKUP(CONT_TEA[[#This Row],[StaffRoleCode]],ROLES[StaffRoleCode],ROLES[StaffRoleGroupCode])</f>
        <v>TEA</v>
      </c>
      <c r="AH194" s="57" t="str">
        <f>_xlfn.XLOOKUP(CONT_TEA[[#This Row],[StaffRoleCode]],ROLES[StaffRoleCode],ROLES[PayScaleCode])</f>
        <v>MAIN</v>
      </c>
      <c r="AI194" s="12" t="s">
        <v>1126</v>
      </c>
      <c r="AJ194" s="12" t="s">
        <v>3074</v>
      </c>
      <c r="AK194" s="12" t="s">
        <v>2499</v>
      </c>
      <c r="AM194" s="68" t="s">
        <v>1147</v>
      </c>
      <c r="AN194" s="13" t="s">
        <v>1702</v>
      </c>
      <c r="AO194" s="21">
        <v>45901</v>
      </c>
      <c r="AQ194" s="12">
        <v>1</v>
      </c>
      <c r="AR194" t="b">
        <v>0</v>
      </c>
      <c r="AS194" t="b">
        <v>0</v>
      </c>
      <c r="AT194" s="12" t="s">
        <v>1574</v>
      </c>
    </row>
    <row r="195" spans="1:46" x14ac:dyDescent="0.3">
      <c r="A195" s="57" t="str">
        <f t="shared" si="3"/>
        <v>ALS9107373391073733ATEASTCH45901</v>
      </c>
      <c r="B195" s="57">
        <f>COUNTIF(CONT_TEA[Unique Contract],CONT_TEA[[#This Row],[Unique Contract]])-1</f>
        <v>0</v>
      </c>
      <c r="C195" s="57">
        <f>IFERROR(IF(FIND(CONT_TEA[[#This Row],[SchoolCode]],_xlfn.XLOOKUP(CONT_TEA[[#This Row],[StaffMemberCode]],MEMBERS[StaffMemberCode],MEMBERS[SchoolCodes]))&gt;0,0,1),1)</f>
        <v>0</v>
      </c>
      <c r="D195" s="57" cm="1">
        <f t="array" ref="D195">IF(_xlfn.XLOOKUP(CONT_TEA[[#This Row],[StaffRoleCode]],ROLES[StaffRoleCode],ROLES[AvailableToAllSchools],1,0,)=TRUE,0,IF(ISERROR(FIND(CONT_TEA[[#This Row],[SchoolCode]],_xlfn.TEXTJOIN(",",TRUE,_xlfn.UNIQUE(IF(ROLES[StaffRoleCode]=CONT_TEA[[#This Row],[StaffRoleCode]],ROLES[SchoolCodes],""))))),1,0))</f>
        <v>0</v>
      </c>
      <c r="E195" s="57" cm="1">
        <f t="array" ref="E19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95" s="57" cm="1">
        <f t="array" ref="F195">IF(_xlfn.XLOOKUP(CONT_TEA[[#This Row],[PayScaleCode]],PAYSCALES[PayScaleCode],PAYSCALES[AvailableToAllSchools],1,0,)=TRUE,0,IF(ISERROR(FIND(CONT_TEA[[#This Row],[SchoolCode]],_xlfn.TEXTJOIN(",",TRUE,_xlfn.UNIQUE(IF(PAYSCALES[PayScaleCode]=CONT_TEA[[#This Row],[PayScaleCode]],PAYSCALES[SchoolCodes],""))))),1,0))</f>
        <v>0</v>
      </c>
      <c r="G195" s="57">
        <f>IF(_xlfn.XLOOKUP(CONT_TEA[[#This Row],[PayScaleGradeCode]],GRADES[PayScaleGradeCode],GRADES[AvailableToAllSchools])=TRUE,0,IFERROR(IF(FIND(CONT_TEA[[#This Row],[SchoolCode]],_xlfn.XLOOKUP(CONT_TEA[[#This Row],[PayScaleGradeCode]],GRADES[PayScaleGradeCode],GRADES[SchoolCodes]))&gt;=1,0,1),1))</f>
        <v>0</v>
      </c>
      <c r="H195" s="57">
        <f>IF(ISERROR(IF((_xlfn.XLOOKUP(CONT_TEA[[#This Row],[PayScaleGradeCode]],GRADES[PayScaleGradeCode],GRADES[PayScaleCode])=CONT_TEA[[#This Row],[PayScaleCode]]),0,1)),1,0)</f>
        <v>0</v>
      </c>
      <c r="I195" s="57" cm="1">
        <f t="array" ref="I195">IF(ISERROR(FIND(CONT_TEA[[#This Row],[PayScalePointCode]],_xlfn.TEXTJOIN(",",TRUE,IF(PSPOINTS[PayScaleCode]=CONT_TEA[[#This Row],[PayScaleCode]],PSPOINTS[PayScalePointCode])))),1,0)</f>
        <v>0</v>
      </c>
      <c r="J195" s="57" cm="1">
        <f t="array" ref="J19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95" s="57">
        <f>IF(_xlfn.XLOOKUP(CONT_TEA[[#This Row],[PayScalePointCode]],PSPOINTS[PayScalePointCode],PSPOINTS[PayScalePointEnabled])=TRUE,0,1)</f>
        <v>0</v>
      </c>
      <c r="L195" s="57" cm="1">
        <f t="array" ref="L195">IF(_xlfn.XLOOKUP(CONT_TEA[[#This Row],[DepartmentCode]],DEPTS[DepartmentCode],DEPTS[AvailableToAllSchools],1,0,)=TRUE,0,IF(ISERROR(FIND(CONT_TEA[[#This Row],[SchoolCode]],_xlfn.TEXTJOIN(",",TRUE,_xlfn.UNIQUE(IF(DEPTS[DepartmentCode]=CONT_TEA[[#This Row],[DepartmentCode]],DEPTS[SchoolCodes],""))))),1,0))</f>
        <v>0</v>
      </c>
      <c r="M195" s="57">
        <f>IFERROR(IF(_xlfn.XLOOKUP(CONT_TEA[[#This Row],[SRG Gross]],FinanceCodesBudget[FinanceCode],FinanceCodesBudget[LedgerCode])=_xlfn.XLOOKUP(CONT_TEA[[#This Row],[DepartmentCode]],DEPTS[DepartmentCode],DEPTS[LedgerCode]),0,1),1)</f>
        <v>1</v>
      </c>
      <c r="N195" s="57" cm="1">
        <f t="array" ref="N195">IF(_xlfn.XLOOKUP(CONT_TEA[[#This Row],[PensionCode]],PENS[PensionCode],PENS[AvailableToAllSchools],1,0,)=TRUE,0,IF(ISERROR(FIND(CONT_TEA[[#This Row],[SchoolCode]],_xlfn.TEXTJOIN(",",TRUE,_xlfn.UNIQUE(IF(PENS[PensionCode]=CONT_TEA[[#This Row],[PensionCode]],PENS[SchoolCodes],""))))),1,0))</f>
        <v>0</v>
      </c>
      <c r="O195" s="57" cm="1">
        <f t="array" ref="O195">IF(_xlfn.XLOOKUP(CONT_TEA[[#This Row],[EquatedWeekPatternCode]],EQW[EquatedWeekPatternCode],EQW[AvailableToAllSchools],1,0,)=TRUE,0,IF(ISERROR(FIND(CONT_TEA[[#This Row],[SchoolCode]],_xlfn.TEXTJOIN(",",TRUE,_xlfn.UNIQUE(IF(EQW[EquatedWeekPatternCode]=CONT_TEA[[#This Row],[EquatedWeekPatternCode]],EQW[SchoolCodes],""))))),1,0))</f>
        <v>0</v>
      </c>
      <c r="P195" s="57">
        <f>1-COUNTIF(ContractTypes[Code],CONT_TEA[[#This Row],[ContractTypeCode]])</f>
        <v>0</v>
      </c>
      <c r="Q195" s="57">
        <f>IF(VLOOKUP(CONT_TEA[[#This Row],[StaffMemberCode]],MEMBERS[[StaffMemberCode]:[ServiceStartDate]],5,0)&gt;CONT_TEA[[#This Row],[DateFrom]],1,0)</f>
        <v>0</v>
      </c>
      <c r="R195" s="57">
        <f>IF(_xlfn.XLOOKUP(CONT_TEA[[#This Row],[StaffMemberCode]],MEMBERS[StaffMemberCode],MEMBERS[ServiceEndDate])="",0,IF(CONT_TEA[[#This Row],[DateTo]]="",1,IF(_xlfn.XLOOKUP(CONT_TEA[[#This Row],[StaffMemberCode]],MEMBERS[StaffMemberCode],MEMBERS[ServiceEndDate])&lt;CONT_TEA[[#This Row],[DateTo]],1,0)))</f>
        <v>0</v>
      </c>
      <c r="S195" s="57">
        <f>IF(ISBLANK(CONT_TEA[[#This Row],[DateTo]]),0,IF(CONT_TEA[[#This Row],[DateFrom]]=CONT_TEA[[#This Row],[DateTo]],0,IF(CONT_TEA[[#This Row],[DateFrom]]&lt;CONT_TEA[[#This Row],[DateTo]],0,1)))</f>
        <v>0</v>
      </c>
      <c r="T195" s="57" cm="1">
        <f t="array" aca="1" ref="T195" ca="1">IF(CELL("format",CONT_TEA[[#This Row],[DateFrom]])="D1",0,1)+IF(CELL("format",CONT_TEA[[#This Row],[DateTo]])="D1",0,1)</f>
        <v>0</v>
      </c>
      <c r="U195" s="57">
        <f>IF(OR(CONT_TEA[[#This Row],[MatEditOnly]]=TRUE,CONT_TEA[[#This Row],[MatEditOnly]]=FALSE),IF(OR(CONT_TEA[[#This Row],[NoIncrement]]=TRUE,CONT_TEA[[#This Row],[NoIncrement]]=FALSE),0,1),1)</f>
        <v>0</v>
      </c>
      <c r="V195" s="57">
        <f>IF(ISBLANK(CONT_TEA[[#This Row],[FundCode]])=TRUE,0,IF(COUNTIF(FUNDS[FundCode],CONT_TEA[[#This Row],[FundCode]])=1,0,1))</f>
        <v>0</v>
      </c>
      <c r="W195" s="57">
        <f>IF(LEN(CONT_TEA[[#This Row],[Notes]])&lt;4000,0,1)</f>
        <v>0</v>
      </c>
      <c r="X195" s="57">
        <f>IF(SUBSTITUTE(TEXT(CONT_TEA[[#This Row],[Reference]],10)," ","")=TEXT(CONT_TEA[[#This Row],[Reference]],10),0,1)</f>
        <v>0</v>
      </c>
      <c r="Y195" s="57">
        <f ca="1">SUM(CONT_TEA[[#This Row],[Duplicate Contract]:[Space in Code]])</f>
        <v>1</v>
      </c>
      <c r="AA195" s="12" t="s">
        <v>2082</v>
      </c>
      <c r="AB195" s="15">
        <v>91073733</v>
      </c>
      <c r="AC195" s="12" t="s">
        <v>4543</v>
      </c>
      <c r="AD195" s="57" t="str">
        <f>_xlfn.XLOOKUP(CONT_TEA[[#This Row],[StaffMemberCode]],StaffMembers!O:O,StaffMembers!R:R)</f>
        <v>Laura Nolan</v>
      </c>
      <c r="AE195" s="12" t="s">
        <v>1178</v>
      </c>
      <c r="AF195" s="57">
        <f>_xlfn.XLOOKUP(CONT_TEA[[#This Row],[SRG]],SRG[StaffRoleGroupCode],SRG[GrossSalaryFinanceCode])</f>
        <v>612100</v>
      </c>
      <c r="AG195" s="57" t="str">
        <f>_xlfn.XLOOKUP(CONT_TEA[[#This Row],[StaffRoleCode]],ROLES[StaffRoleCode],ROLES[StaffRoleGroupCode])</f>
        <v>TEA</v>
      </c>
      <c r="AH195" s="57" t="str">
        <f>_xlfn.XLOOKUP(CONT_TEA[[#This Row],[StaffRoleCode]],ROLES[StaffRoleCode],ROLES[PayScaleCode])</f>
        <v>MAIN</v>
      </c>
      <c r="AI195" s="12" t="s">
        <v>1126</v>
      </c>
      <c r="AJ195" s="12" t="s">
        <v>1745</v>
      </c>
      <c r="AK195" s="12" t="s">
        <v>2499</v>
      </c>
      <c r="AM195" s="68" t="s">
        <v>1147</v>
      </c>
      <c r="AN195" s="13" t="s">
        <v>1702</v>
      </c>
      <c r="AO195" s="21">
        <v>45901</v>
      </c>
      <c r="AQ195" s="12">
        <v>0.6</v>
      </c>
      <c r="AR195" t="b">
        <v>0</v>
      </c>
      <c r="AS195" t="b">
        <v>0</v>
      </c>
      <c r="AT195" s="12" t="s">
        <v>1574</v>
      </c>
    </row>
    <row r="196" spans="1:46" x14ac:dyDescent="0.3">
      <c r="A196" s="57" t="str">
        <f t="shared" si="3"/>
        <v>ALS9107373091073730ATEASTCH45901</v>
      </c>
      <c r="B196" s="57">
        <f>COUNTIF(CONT_TEA[Unique Contract],CONT_TEA[[#This Row],[Unique Contract]])-1</f>
        <v>0</v>
      </c>
      <c r="C196" s="57">
        <f>IFERROR(IF(FIND(CONT_TEA[[#This Row],[SchoolCode]],_xlfn.XLOOKUP(CONT_TEA[[#This Row],[StaffMemberCode]],MEMBERS[StaffMemberCode],MEMBERS[SchoolCodes]))&gt;0,0,1),1)</f>
        <v>0</v>
      </c>
      <c r="D196" s="57" cm="1">
        <f t="array" ref="D196">IF(_xlfn.XLOOKUP(CONT_TEA[[#This Row],[StaffRoleCode]],ROLES[StaffRoleCode],ROLES[AvailableToAllSchools],1,0,)=TRUE,0,IF(ISERROR(FIND(CONT_TEA[[#This Row],[SchoolCode]],_xlfn.TEXTJOIN(",",TRUE,_xlfn.UNIQUE(IF(ROLES[StaffRoleCode]=CONT_TEA[[#This Row],[StaffRoleCode]],ROLES[SchoolCodes],""))))),1,0))</f>
        <v>0</v>
      </c>
      <c r="E196" s="57" cm="1">
        <f t="array" ref="E19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96" s="57" cm="1">
        <f t="array" ref="F196">IF(_xlfn.XLOOKUP(CONT_TEA[[#This Row],[PayScaleCode]],PAYSCALES[PayScaleCode],PAYSCALES[AvailableToAllSchools],1,0,)=TRUE,0,IF(ISERROR(FIND(CONT_TEA[[#This Row],[SchoolCode]],_xlfn.TEXTJOIN(",",TRUE,_xlfn.UNIQUE(IF(PAYSCALES[PayScaleCode]=CONT_TEA[[#This Row],[PayScaleCode]],PAYSCALES[SchoolCodes],""))))),1,0))</f>
        <v>0</v>
      </c>
      <c r="G196" s="57">
        <f>IF(_xlfn.XLOOKUP(CONT_TEA[[#This Row],[PayScaleGradeCode]],GRADES[PayScaleGradeCode],GRADES[AvailableToAllSchools])=TRUE,0,IFERROR(IF(FIND(CONT_TEA[[#This Row],[SchoolCode]],_xlfn.XLOOKUP(CONT_TEA[[#This Row],[PayScaleGradeCode]],GRADES[PayScaleGradeCode],GRADES[SchoolCodes]))&gt;=1,0,1),1))</f>
        <v>0</v>
      </c>
      <c r="H196" s="57">
        <f>IF(ISERROR(IF((_xlfn.XLOOKUP(CONT_TEA[[#This Row],[PayScaleGradeCode]],GRADES[PayScaleGradeCode],GRADES[PayScaleCode])=CONT_TEA[[#This Row],[PayScaleCode]]),0,1)),1,0)</f>
        <v>0</v>
      </c>
      <c r="I196" s="57" cm="1">
        <f t="array" ref="I196">IF(ISERROR(FIND(CONT_TEA[[#This Row],[PayScalePointCode]],_xlfn.TEXTJOIN(",",TRUE,IF(PSPOINTS[PayScaleCode]=CONT_TEA[[#This Row],[PayScaleCode]],PSPOINTS[PayScalePointCode])))),1,0)</f>
        <v>0</v>
      </c>
      <c r="J196" s="57" cm="1">
        <f t="array" ref="J19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96" s="57">
        <f>IF(_xlfn.XLOOKUP(CONT_TEA[[#This Row],[PayScalePointCode]],PSPOINTS[PayScalePointCode],PSPOINTS[PayScalePointEnabled])=TRUE,0,1)</f>
        <v>0</v>
      </c>
      <c r="L196" s="57" cm="1">
        <f t="array" ref="L196">IF(_xlfn.XLOOKUP(CONT_TEA[[#This Row],[DepartmentCode]],DEPTS[DepartmentCode],DEPTS[AvailableToAllSchools],1,0,)=TRUE,0,IF(ISERROR(FIND(CONT_TEA[[#This Row],[SchoolCode]],_xlfn.TEXTJOIN(",",TRUE,_xlfn.UNIQUE(IF(DEPTS[DepartmentCode]=CONT_TEA[[#This Row],[DepartmentCode]],DEPTS[SchoolCodes],""))))),1,0))</f>
        <v>0</v>
      </c>
      <c r="M196" s="57">
        <f>IFERROR(IF(_xlfn.XLOOKUP(CONT_TEA[[#This Row],[SRG Gross]],FinanceCodesBudget[FinanceCode],FinanceCodesBudget[LedgerCode])=_xlfn.XLOOKUP(CONT_TEA[[#This Row],[DepartmentCode]],DEPTS[DepartmentCode],DEPTS[LedgerCode]),0,1),1)</f>
        <v>1</v>
      </c>
      <c r="N196" s="57" cm="1">
        <f t="array" ref="N196">IF(_xlfn.XLOOKUP(CONT_TEA[[#This Row],[PensionCode]],PENS[PensionCode],PENS[AvailableToAllSchools],1,0,)=TRUE,0,IF(ISERROR(FIND(CONT_TEA[[#This Row],[SchoolCode]],_xlfn.TEXTJOIN(",",TRUE,_xlfn.UNIQUE(IF(PENS[PensionCode]=CONT_TEA[[#This Row],[PensionCode]],PENS[SchoolCodes],""))))),1,0))</f>
        <v>0</v>
      </c>
      <c r="O196" s="57" cm="1">
        <f t="array" ref="O196">IF(_xlfn.XLOOKUP(CONT_TEA[[#This Row],[EquatedWeekPatternCode]],EQW[EquatedWeekPatternCode],EQW[AvailableToAllSchools],1,0,)=TRUE,0,IF(ISERROR(FIND(CONT_TEA[[#This Row],[SchoolCode]],_xlfn.TEXTJOIN(",",TRUE,_xlfn.UNIQUE(IF(EQW[EquatedWeekPatternCode]=CONT_TEA[[#This Row],[EquatedWeekPatternCode]],EQW[SchoolCodes],""))))),1,0))</f>
        <v>0</v>
      </c>
      <c r="P196" s="57">
        <f>1-COUNTIF(ContractTypes[Code],CONT_TEA[[#This Row],[ContractTypeCode]])</f>
        <v>0</v>
      </c>
      <c r="Q196" s="57">
        <f>IF(VLOOKUP(CONT_TEA[[#This Row],[StaffMemberCode]],MEMBERS[[StaffMemberCode]:[ServiceStartDate]],5,0)&gt;CONT_TEA[[#This Row],[DateFrom]],1,0)</f>
        <v>0</v>
      </c>
      <c r="R196" s="57">
        <f>IF(_xlfn.XLOOKUP(CONT_TEA[[#This Row],[StaffMemberCode]],MEMBERS[StaffMemberCode],MEMBERS[ServiceEndDate])="",0,IF(CONT_TEA[[#This Row],[DateTo]]="",1,IF(_xlfn.XLOOKUP(CONT_TEA[[#This Row],[StaffMemberCode]],MEMBERS[StaffMemberCode],MEMBERS[ServiceEndDate])&lt;CONT_TEA[[#This Row],[DateTo]],1,0)))</f>
        <v>0</v>
      </c>
      <c r="S196" s="57">
        <f>IF(ISBLANK(CONT_TEA[[#This Row],[DateTo]]),0,IF(CONT_TEA[[#This Row],[DateFrom]]=CONT_TEA[[#This Row],[DateTo]],0,IF(CONT_TEA[[#This Row],[DateFrom]]&lt;CONT_TEA[[#This Row],[DateTo]],0,1)))</f>
        <v>0</v>
      </c>
      <c r="T196" s="57" cm="1">
        <f t="array" aca="1" ref="T196" ca="1">IF(CELL("format",CONT_TEA[[#This Row],[DateFrom]])="D1",0,1)+IF(CELL("format",CONT_TEA[[#This Row],[DateTo]])="D1",0,1)</f>
        <v>0</v>
      </c>
      <c r="U196" s="57">
        <f>IF(OR(CONT_TEA[[#This Row],[MatEditOnly]]=TRUE,CONT_TEA[[#This Row],[MatEditOnly]]=FALSE),IF(OR(CONT_TEA[[#This Row],[NoIncrement]]=TRUE,CONT_TEA[[#This Row],[NoIncrement]]=FALSE),0,1),1)</f>
        <v>0</v>
      </c>
      <c r="V196" s="57">
        <f>IF(ISBLANK(CONT_TEA[[#This Row],[FundCode]])=TRUE,0,IF(COUNTIF(FUNDS[FundCode],CONT_TEA[[#This Row],[FundCode]])=1,0,1))</f>
        <v>0</v>
      </c>
      <c r="W196" s="57">
        <f>IF(LEN(CONT_TEA[[#This Row],[Notes]])&lt;4000,0,1)</f>
        <v>0</v>
      </c>
      <c r="X196" s="57">
        <f>IF(SUBSTITUTE(TEXT(CONT_TEA[[#This Row],[Reference]],10)," ","")=TEXT(CONT_TEA[[#This Row],[Reference]],10),0,1)</f>
        <v>0</v>
      </c>
      <c r="Y196" s="57">
        <f ca="1">SUM(CONT_TEA[[#This Row],[Duplicate Contract]:[Space in Code]])</f>
        <v>1</v>
      </c>
      <c r="AA196" s="12" t="s">
        <v>2082</v>
      </c>
      <c r="AB196" s="15">
        <v>91073730</v>
      </c>
      <c r="AC196" s="12" t="s">
        <v>4544</v>
      </c>
      <c r="AD196" s="57" t="str">
        <f>_xlfn.XLOOKUP(CONT_TEA[[#This Row],[StaffMemberCode]],StaffMembers!O:O,StaffMembers!R:R)</f>
        <v>Laura Parr</v>
      </c>
      <c r="AE196" s="12" t="s">
        <v>1178</v>
      </c>
      <c r="AF196" s="57">
        <f>_xlfn.XLOOKUP(CONT_TEA[[#This Row],[SRG]],SRG[StaffRoleGroupCode],SRG[GrossSalaryFinanceCode])</f>
        <v>612100</v>
      </c>
      <c r="AG196" s="57" t="str">
        <f>_xlfn.XLOOKUP(CONT_TEA[[#This Row],[StaffRoleCode]],ROLES[StaffRoleCode],ROLES[StaffRoleGroupCode])</f>
        <v>TEA</v>
      </c>
      <c r="AH196" s="57" t="str">
        <f>_xlfn.XLOOKUP(CONT_TEA[[#This Row],[StaffRoleCode]],ROLES[StaffRoleCode],ROLES[PayScaleCode])</f>
        <v>MAIN</v>
      </c>
      <c r="AI196" s="12" t="s">
        <v>1126</v>
      </c>
      <c r="AJ196" s="12" t="s">
        <v>3074</v>
      </c>
      <c r="AK196" s="12" t="s">
        <v>2499</v>
      </c>
      <c r="AM196" s="68" t="s">
        <v>1147</v>
      </c>
      <c r="AN196" s="13" t="s">
        <v>1702</v>
      </c>
      <c r="AO196" s="21">
        <v>45901</v>
      </c>
      <c r="AQ196" s="12">
        <v>1</v>
      </c>
      <c r="AR196" t="b">
        <v>0</v>
      </c>
      <c r="AS196" t="b">
        <v>0</v>
      </c>
      <c r="AT196" s="12" t="s">
        <v>1574</v>
      </c>
    </row>
    <row r="197" spans="1:46" x14ac:dyDescent="0.3">
      <c r="A197" s="57" t="str">
        <f t="shared" si="3"/>
        <v>ALS9107381591073815ATEASTCH45901</v>
      </c>
      <c r="B197" s="57">
        <f>COUNTIF(CONT_TEA[Unique Contract],CONT_TEA[[#This Row],[Unique Contract]])-1</f>
        <v>0</v>
      </c>
      <c r="C197" s="57">
        <f>IFERROR(IF(FIND(CONT_TEA[[#This Row],[SchoolCode]],_xlfn.XLOOKUP(CONT_TEA[[#This Row],[StaffMemberCode]],MEMBERS[StaffMemberCode],MEMBERS[SchoolCodes]))&gt;0,0,1),1)</f>
        <v>0</v>
      </c>
      <c r="D197" s="57" cm="1">
        <f t="array" ref="D197">IF(_xlfn.XLOOKUP(CONT_TEA[[#This Row],[StaffRoleCode]],ROLES[StaffRoleCode],ROLES[AvailableToAllSchools],1,0,)=TRUE,0,IF(ISERROR(FIND(CONT_TEA[[#This Row],[SchoolCode]],_xlfn.TEXTJOIN(",",TRUE,_xlfn.UNIQUE(IF(ROLES[StaffRoleCode]=CONT_TEA[[#This Row],[StaffRoleCode]],ROLES[SchoolCodes],""))))),1,0))</f>
        <v>0</v>
      </c>
      <c r="E197" s="57" cm="1">
        <f t="array" ref="E19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97" s="57" cm="1">
        <f t="array" ref="F197">IF(_xlfn.XLOOKUP(CONT_TEA[[#This Row],[PayScaleCode]],PAYSCALES[PayScaleCode],PAYSCALES[AvailableToAllSchools],1,0,)=TRUE,0,IF(ISERROR(FIND(CONT_TEA[[#This Row],[SchoolCode]],_xlfn.TEXTJOIN(",",TRUE,_xlfn.UNIQUE(IF(PAYSCALES[PayScaleCode]=CONT_TEA[[#This Row],[PayScaleCode]],PAYSCALES[SchoolCodes],""))))),1,0))</f>
        <v>0</v>
      </c>
      <c r="G197" s="57">
        <f>IF(_xlfn.XLOOKUP(CONT_TEA[[#This Row],[PayScaleGradeCode]],GRADES[PayScaleGradeCode],GRADES[AvailableToAllSchools])=TRUE,0,IFERROR(IF(FIND(CONT_TEA[[#This Row],[SchoolCode]],_xlfn.XLOOKUP(CONT_TEA[[#This Row],[PayScaleGradeCode]],GRADES[PayScaleGradeCode],GRADES[SchoolCodes]))&gt;=1,0,1),1))</f>
        <v>0</v>
      </c>
      <c r="H197" s="57">
        <f>IF(ISERROR(IF((_xlfn.XLOOKUP(CONT_TEA[[#This Row],[PayScaleGradeCode]],GRADES[PayScaleGradeCode],GRADES[PayScaleCode])=CONT_TEA[[#This Row],[PayScaleCode]]),0,1)),1,0)</f>
        <v>0</v>
      </c>
      <c r="I197" s="57" cm="1">
        <f t="array" ref="I197">IF(ISERROR(FIND(CONT_TEA[[#This Row],[PayScalePointCode]],_xlfn.TEXTJOIN(",",TRUE,IF(PSPOINTS[PayScaleCode]=CONT_TEA[[#This Row],[PayScaleCode]],PSPOINTS[PayScalePointCode])))),1,0)</f>
        <v>0</v>
      </c>
      <c r="J197" s="57" cm="1">
        <f t="array" ref="J19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97" s="57">
        <f>IF(_xlfn.XLOOKUP(CONT_TEA[[#This Row],[PayScalePointCode]],PSPOINTS[PayScalePointCode],PSPOINTS[PayScalePointEnabled])=TRUE,0,1)</f>
        <v>0</v>
      </c>
      <c r="L197" s="57" cm="1">
        <f t="array" ref="L197">IF(_xlfn.XLOOKUP(CONT_TEA[[#This Row],[DepartmentCode]],DEPTS[DepartmentCode],DEPTS[AvailableToAllSchools],1,0,)=TRUE,0,IF(ISERROR(FIND(CONT_TEA[[#This Row],[SchoolCode]],_xlfn.TEXTJOIN(",",TRUE,_xlfn.UNIQUE(IF(DEPTS[DepartmentCode]=CONT_TEA[[#This Row],[DepartmentCode]],DEPTS[SchoolCodes],""))))),1,0))</f>
        <v>0</v>
      </c>
      <c r="M197" s="57">
        <f>IFERROR(IF(_xlfn.XLOOKUP(CONT_TEA[[#This Row],[SRG Gross]],FinanceCodesBudget[FinanceCode],FinanceCodesBudget[LedgerCode])=_xlfn.XLOOKUP(CONT_TEA[[#This Row],[DepartmentCode]],DEPTS[DepartmentCode],DEPTS[LedgerCode]),0,1),1)</f>
        <v>1</v>
      </c>
      <c r="N197" s="57" cm="1">
        <f t="array" ref="N197">IF(_xlfn.XLOOKUP(CONT_TEA[[#This Row],[PensionCode]],PENS[PensionCode],PENS[AvailableToAllSchools],1,0,)=TRUE,0,IF(ISERROR(FIND(CONT_TEA[[#This Row],[SchoolCode]],_xlfn.TEXTJOIN(",",TRUE,_xlfn.UNIQUE(IF(PENS[PensionCode]=CONT_TEA[[#This Row],[PensionCode]],PENS[SchoolCodes],""))))),1,0))</f>
        <v>0</v>
      </c>
      <c r="O197" s="57" cm="1">
        <f t="array" ref="O197">IF(_xlfn.XLOOKUP(CONT_TEA[[#This Row],[EquatedWeekPatternCode]],EQW[EquatedWeekPatternCode],EQW[AvailableToAllSchools],1,0,)=TRUE,0,IF(ISERROR(FIND(CONT_TEA[[#This Row],[SchoolCode]],_xlfn.TEXTJOIN(",",TRUE,_xlfn.UNIQUE(IF(EQW[EquatedWeekPatternCode]=CONT_TEA[[#This Row],[EquatedWeekPatternCode]],EQW[SchoolCodes],""))))),1,0))</f>
        <v>0</v>
      </c>
      <c r="P197" s="57">
        <f>1-COUNTIF(ContractTypes[Code],CONT_TEA[[#This Row],[ContractTypeCode]])</f>
        <v>0</v>
      </c>
      <c r="Q197" s="57">
        <f>IF(VLOOKUP(CONT_TEA[[#This Row],[StaffMemberCode]],MEMBERS[[StaffMemberCode]:[ServiceStartDate]],5,0)&gt;CONT_TEA[[#This Row],[DateFrom]],1,0)</f>
        <v>0</v>
      </c>
      <c r="R197" s="57">
        <f>IF(_xlfn.XLOOKUP(CONT_TEA[[#This Row],[StaffMemberCode]],MEMBERS[StaffMemberCode],MEMBERS[ServiceEndDate])="",0,IF(CONT_TEA[[#This Row],[DateTo]]="",1,IF(_xlfn.XLOOKUP(CONT_TEA[[#This Row],[StaffMemberCode]],MEMBERS[StaffMemberCode],MEMBERS[ServiceEndDate])&lt;CONT_TEA[[#This Row],[DateTo]],1,0)))</f>
        <v>0</v>
      </c>
      <c r="S197" s="57">
        <f>IF(ISBLANK(CONT_TEA[[#This Row],[DateTo]]),0,IF(CONT_TEA[[#This Row],[DateFrom]]=CONT_TEA[[#This Row],[DateTo]],0,IF(CONT_TEA[[#This Row],[DateFrom]]&lt;CONT_TEA[[#This Row],[DateTo]],0,1)))</f>
        <v>0</v>
      </c>
      <c r="T197" s="57" cm="1">
        <f t="array" aca="1" ref="T197" ca="1">IF(CELL("format",CONT_TEA[[#This Row],[DateFrom]])="D1",0,1)+IF(CELL("format",CONT_TEA[[#This Row],[DateTo]])="D1",0,1)</f>
        <v>0</v>
      </c>
      <c r="U197" s="57">
        <f>IF(OR(CONT_TEA[[#This Row],[MatEditOnly]]=TRUE,CONT_TEA[[#This Row],[MatEditOnly]]=FALSE),IF(OR(CONT_TEA[[#This Row],[NoIncrement]]=TRUE,CONT_TEA[[#This Row],[NoIncrement]]=FALSE),0,1),1)</f>
        <v>0</v>
      </c>
      <c r="V197" s="57">
        <f>IF(ISBLANK(CONT_TEA[[#This Row],[FundCode]])=TRUE,0,IF(COUNTIF(FUNDS[FundCode],CONT_TEA[[#This Row],[FundCode]])=1,0,1))</f>
        <v>0</v>
      </c>
      <c r="W197" s="57">
        <f>IF(LEN(CONT_TEA[[#This Row],[Notes]])&lt;4000,0,1)</f>
        <v>0</v>
      </c>
      <c r="X197" s="57">
        <f>IF(SUBSTITUTE(TEXT(CONT_TEA[[#This Row],[Reference]],10)," ","")=TEXT(CONT_TEA[[#This Row],[Reference]],10),0,1)</f>
        <v>0</v>
      </c>
      <c r="Y197" s="57">
        <f ca="1">SUM(CONT_TEA[[#This Row],[Duplicate Contract]:[Space in Code]])</f>
        <v>1</v>
      </c>
      <c r="AA197" s="12" t="s">
        <v>2082</v>
      </c>
      <c r="AB197" s="15">
        <v>91073815</v>
      </c>
      <c r="AC197" s="12" t="s">
        <v>4545</v>
      </c>
      <c r="AD197" s="57" t="str">
        <f>_xlfn.XLOOKUP(CONT_TEA[[#This Row],[StaffMemberCode]],StaffMembers!O:O,StaffMembers!R:R)</f>
        <v>Lauren Brown</v>
      </c>
      <c r="AE197" s="12" t="s">
        <v>1178</v>
      </c>
      <c r="AF197" s="57">
        <f>_xlfn.XLOOKUP(CONT_TEA[[#This Row],[SRG]],SRG[StaffRoleGroupCode],SRG[GrossSalaryFinanceCode])</f>
        <v>612100</v>
      </c>
      <c r="AG197" s="57" t="str">
        <f>_xlfn.XLOOKUP(CONT_TEA[[#This Row],[StaffRoleCode]],ROLES[StaffRoleCode],ROLES[StaffRoleGroupCode])</f>
        <v>TEA</v>
      </c>
      <c r="AH197" s="57" t="str">
        <f>_xlfn.XLOOKUP(CONT_TEA[[#This Row],[StaffRoleCode]],ROLES[StaffRoleCode],ROLES[PayScaleCode])</f>
        <v>MAIN</v>
      </c>
      <c r="AI197" s="12" t="s">
        <v>1126</v>
      </c>
      <c r="AJ197" s="12" t="s">
        <v>1066</v>
      </c>
      <c r="AK197" s="12" t="s">
        <v>2499</v>
      </c>
      <c r="AM197" s="68" t="s">
        <v>1147</v>
      </c>
      <c r="AN197" s="13" t="s">
        <v>1702</v>
      </c>
      <c r="AO197" s="21">
        <v>45901</v>
      </c>
      <c r="AQ197" s="12">
        <v>1</v>
      </c>
      <c r="AR197" t="b">
        <v>0</v>
      </c>
      <c r="AS197" t="b">
        <v>0</v>
      </c>
      <c r="AT197" s="12" t="s">
        <v>1574</v>
      </c>
    </row>
    <row r="198" spans="1:46" x14ac:dyDescent="0.3">
      <c r="A198" s="57" t="str">
        <f t="shared" si="3"/>
        <v>ALS9107376191073761ATEASTCH45901</v>
      </c>
      <c r="B198" s="57">
        <f>COUNTIF(CONT_TEA[Unique Contract],CONT_TEA[[#This Row],[Unique Contract]])-1</f>
        <v>0</v>
      </c>
      <c r="C198" s="57">
        <f>IFERROR(IF(FIND(CONT_TEA[[#This Row],[SchoolCode]],_xlfn.XLOOKUP(CONT_TEA[[#This Row],[StaffMemberCode]],MEMBERS[StaffMemberCode],MEMBERS[SchoolCodes]))&gt;0,0,1),1)</f>
        <v>0</v>
      </c>
      <c r="D198" s="57" cm="1">
        <f t="array" ref="D198">IF(_xlfn.XLOOKUP(CONT_TEA[[#This Row],[StaffRoleCode]],ROLES[StaffRoleCode],ROLES[AvailableToAllSchools],1,0,)=TRUE,0,IF(ISERROR(FIND(CONT_TEA[[#This Row],[SchoolCode]],_xlfn.TEXTJOIN(",",TRUE,_xlfn.UNIQUE(IF(ROLES[StaffRoleCode]=CONT_TEA[[#This Row],[StaffRoleCode]],ROLES[SchoolCodes],""))))),1,0))</f>
        <v>0</v>
      </c>
      <c r="E198" s="57" cm="1">
        <f t="array" ref="E19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98" s="57" cm="1">
        <f t="array" ref="F198">IF(_xlfn.XLOOKUP(CONT_TEA[[#This Row],[PayScaleCode]],PAYSCALES[PayScaleCode],PAYSCALES[AvailableToAllSchools],1,0,)=TRUE,0,IF(ISERROR(FIND(CONT_TEA[[#This Row],[SchoolCode]],_xlfn.TEXTJOIN(",",TRUE,_xlfn.UNIQUE(IF(PAYSCALES[PayScaleCode]=CONT_TEA[[#This Row],[PayScaleCode]],PAYSCALES[SchoolCodes],""))))),1,0))</f>
        <v>0</v>
      </c>
      <c r="G198" s="57">
        <f>IF(_xlfn.XLOOKUP(CONT_TEA[[#This Row],[PayScaleGradeCode]],GRADES[PayScaleGradeCode],GRADES[AvailableToAllSchools])=TRUE,0,IFERROR(IF(FIND(CONT_TEA[[#This Row],[SchoolCode]],_xlfn.XLOOKUP(CONT_TEA[[#This Row],[PayScaleGradeCode]],GRADES[PayScaleGradeCode],GRADES[SchoolCodes]))&gt;=1,0,1),1))</f>
        <v>0</v>
      </c>
      <c r="H198" s="57">
        <f>IF(ISERROR(IF((_xlfn.XLOOKUP(CONT_TEA[[#This Row],[PayScaleGradeCode]],GRADES[PayScaleGradeCode],GRADES[PayScaleCode])=CONT_TEA[[#This Row],[PayScaleCode]]),0,1)),1,0)</f>
        <v>0</v>
      </c>
      <c r="I198" s="57" cm="1">
        <f t="array" ref="I198">IF(ISERROR(FIND(CONT_TEA[[#This Row],[PayScalePointCode]],_xlfn.TEXTJOIN(",",TRUE,IF(PSPOINTS[PayScaleCode]=CONT_TEA[[#This Row],[PayScaleCode]],PSPOINTS[PayScalePointCode])))),1,0)</f>
        <v>0</v>
      </c>
      <c r="J198" s="57" cm="1">
        <f t="array" ref="J19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98" s="57">
        <f>IF(_xlfn.XLOOKUP(CONT_TEA[[#This Row],[PayScalePointCode]],PSPOINTS[PayScalePointCode],PSPOINTS[PayScalePointEnabled])=TRUE,0,1)</f>
        <v>0</v>
      </c>
      <c r="L198" s="57" cm="1">
        <f t="array" ref="L198">IF(_xlfn.XLOOKUP(CONT_TEA[[#This Row],[DepartmentCode]],DEPTS[DepartmentCode],DEPTS[AvailableToAllSchools],1,0,)=TRUE,0,IF(ISERROR(FIND(CONT_TEA[[#This Row],[SchoolCode]],_xlfn.TEXTJOIN(",",TRUE,_xlfn.UNIQUE(IF(DEPTS[DepartmentCode]=CONT_TEA[[#This Row],[DepartmentCode]],DEPTS[SchoolCodes],""))))),1,0))</f>
        <v>0</v>
      </c>
      <c r="M198" s="57">
        <f>IFERROR(IF(_xlfn.XLOOKUP(CONT_TEA[[#This Row],[SRG Gross]],FinanceCodesBudget[FinanceCode],FinanceCodesBudget[LedgerCode])=_xlfn.XLOOKUP(CONT_TEA[[#This Row],[DepartmentCode]],DEPTS[DepartmentCode],DEPTS[LedgerCode]),0,1),1)</f>
        <v>1</v>
      </c>
      <c r="N198" s="57" cm="1">
        <f t="array" ref="N198">IF(_xlfn.XLOOKUP(CONT_TEA[[#This Row],[PensionCode]],PENS[PensionCode],PENS[AvailableToAllSchools],1,0,)=TRUE,0,IF(ISERROR(FIND(CONT_TEA[[#This Row],[SchoolCode]],_xlfn.TEXTJOIN(",",TRUE,_xlfn.UNIQUE(IF(PENS[PensionCode]=CONT_TEA[[#This Row],[PensionCode]],PENS[SchoolCodes],""))))),1,0))</f>
        <v>0</v>
      </c>
      <c r="O198" s="57" cm="1">
        <f t="array" ref="O198">IF(_xlfn.XLOOKUP(CONT_TEA[[#This Row],[EquatedWeekPatternCode]],EQW[EquatedWeekPatternCode],EQW[AvailableToAllSchools],1,0,)=TRUE,0,IF(ISERROR(FIND(CONT_TEA[[#This Row],[SchoolCode]],_xlfn.TEXTJOIN(",",TRUE,_xlfn.UNIQUE(IF(EQW[EquatedWeekPatternCode]=CONT_TEA[[#This Row],[EquatedWeekPatternCode]],EQW[SchoolCodes],""))))),1,0))</f>
        <v>0</v>
      </c>
      <c r="P198" s="57">
        <f>1-COUNTIF(ContractTypes[Code],CONT_TEA[[#This Row],[ContractTypeCode]])</f>
        <v>0</v>
      </c>
      <c r="Q198" s="57">
        <f>IF(VLOOKUP(CONT_TEA[[#This Row],[StaffMemberCode]],MEMBERS[[StaffMemberCode]:[ServiceStartDate]],5,0)&gt;CONT_TEA[[#This Row],[DateFrom]],1,0)</f>
        <v>0</v>
      </c>
      <c r="R198" s="57">
        <f>IF(_xlfn.XLOOKUP(CONT_TEA[[#This Row],[StaffMemberCode]],MEMBERS[StaffMemberCode],MEMBERS[ServiceEndDate])="",0,IF(CONT_TEA[[#This Row],[DateTo]]="",1,IF(_xlfn.XLOOKUP(CONT_TEA[[#This Row],[StaffMemberCode]],MEMBERS[StaffMemberCode],MEMBERS[ServiceEndDate])&lt;CONT_TEA[[#This Row],[DateTo]],1,0)))</f>
        <v>0</v>
      </c>
      <c r="S198" s="57">
        <f>IF(ISBLANK(CONT_TEA[[#This Row],[DateTo]]),0,IF(CONT_TEA[[#This Row],[DateFrom]]=CONT_TEA[[#This Row],[DateTo]],0,IF(CONT_TEA[[#This Row],[DateFrom]]&lt;CONT_TEA[[#This Row],[DateTo]],0,1)))</f>
        <v>0</v>
      </c>
      <c r="T198" s="57" cm="1">
        <f t="array" aca="1" ref="T198" ca="1">IF(CELL("format",CONT_TEA[[#This Row],[DateFrom]])="D1",0,1)+IF(CELL("format",CONT_TEA[[#This Row],[DateTo]])="D1",0,1)</f>
        <v>0</v>
      </c>
      <c r="U198" s="57">
        <f>IF(OR(CONT_TEA[[#This Row],[MatEditOnly]]=TRUE,CONT_TEA[[#This Row],[MatEditOnly]]=FALSE),IF(OR(CONT_TEA[[#This Row],[NoIncrement]]=TRUE,CONT_TEA[[#This Row],[NoIncrement]]=FALSE),0,1),1)</f>
        <v>0</v>
      </c>
      <c r="V198" s="57">
        <f>IF(ISBLANK(CONT_TEA[[#This Row],[FundCode]])=TRUE,0,IF(COUNTIF(FUNDS[FundCode],CONT_TEA[[#This Row],[FundCode]])=1,0,1))</f>
        <v>0</v>
      </c>
      <c r="W198" s="57">
        <f>IF(LEN(CONT_TEA[[#This Row],[Notes]])&lt;4000,0,1)</f>
        <v>0</v>
      </c>
      <c r="X198" s="57">
        <f>IF(SUBSTITUTE(TEXT(CONT_TEA[[#This Row],[Reference]],10)," ","")=TEXT(CONT_TEA[[#This Row],[Reference]],10),0,1)</f>
        <v>0</v>
      </c>
      <c r="Y198" s="57">
        <f ca="1">SUM(CONT_TEA[[#This Row],[Duplicate Contract]:[Space in Code]])</f>
        <v>1</v>
      </c>
      <c r="AA198" s="12" t="s">
        <v>2082</v>
      </c>
      <c r="AB198" s="15">
        <v>91073761</v>
      </c>
      <c r="AC198" s="12" t="s">
        <v>4546</v>
      </c>
      <c r="AD198" s="57" t="str">
        <f>_xlfn.XLOOKUP(CONT_TEA[[#This Row],[StaffMemberCode]],StaffMembers!O:O,StaffMembers!R:R)</f>
        <v>Lauren Taylor</v>
      </c>
      <c r="AE198" s="12" t="s">
        <v>1178</v>
      </c>
      <c r="AF198" s="57">
        <f>_xlfn.XLOOKUP(CONT_TEA[[#This Row],[SRG]],SRG[StaffRoleGroupCode],SRG[GrossSalaryFinanceCode])</f>
        <v>612100</v>
      </c>
      <c r="AG198" s="57" t="str">
        <f>_xlfn.XLOOKUP(CONT_TEA[[#This Row],[StaffRoleCode]],ROLES[StaffRoleCode],ROLES[StaffRoleGroupCode])</f>
        <v>TEA</v>
      </c>
      <c r="AH198" s="57" t="str">
        <f>_xlfn.XLOOKUP(CONT_TEA[[#This Row],[StaffRoleCode]],ROLES[StaffRoleCode],ROLES[PayScaleCode])</f>
        <v>MAIN</v>
      </c>
      <c r="AI198" s="12" t="s">
        <v>1126</v>
      </c>
      <c r="AJ198" s="12" t="s">
        <v>1745</v>
      </c>
      <c r="AK198" s="12" t="s">
        <v>2499</v>
      </c>
      <c r="AM198" s="68" t="s">
        <v>1147</v>
      </c>
      <c r="AN198" s="13" t="s">
        <v>1702</v>
      </c>
      <c r="AO198" s="21">
        <v>45901</v>
      </c>
      <c r="AQ198" s="12">
        <v>1</v>
      </c>
      <c r="AR198" t="b">
        <v>0</v>
      </c>
      <c r="AS198" t="b">
        <v>0</v>
      </c>
      <c r="AT198" s="12" t="s">
        <v>1574</v>
      </c>
    </row>
    <row r="199" spans="1:46" x14ac:dyDescent="0.3">
      <c r="A199" s="57" t="str">
        <f t="shared" si="3"/>
        <v>ALS9107373891073738ATEASTCH45901</v>
      </c>
      <c r="B199" s="57">
        <f>COUNTIF(CONT_TEA[Unique Contract],CONT_TEA[[#This Row],[Unique Contract]])-1</f>
        <v>0</v>
      </c>
      <c r="C199" s="57">
        <f>IFERROR(IF(FIND(CONT_TEA[[#This Row],[SchoolCode]],_xlfn.XLOOKUP(CONT_TEA[[#This Row],[StaffMemberCode]],MEMBERS[StaffMemberCode],MEMBERS[SchoolCodes]))&gt;0,0,1),1)</f>
        <v>0</v>
      </c>
      <c r="D199" s="57" cm="1">
        <f t="array" ref="D199">IF(_xlfn.XLOOKUP(CONT_TEA[[#This Row],[StaffRoleCode]],ROLES[StaffRoleCode],ROLES[AvailableToAllSchools],1,0,)=TRUE,0,IF(ISERROR(FIND(CONT_TEA[[#This Row],[SchoolCode]],_xlfn.TEXTJOIN(",",TRUE,_xlfn.UNIQUE(IF(ROLES[StaffRoleCode]=CONT_TEA[[#This Row],[StaffRoleCode]],ROLES[SchoolCodes],""))))),1,0))</f>
        <v>0</v>
      </c>
      <c r="E199" s="57" cm="1">
        <f t="array" ref="E19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199" s="57" cm="1">
        <f t="array" ref="F199">IF(_xlfn.XLOOKUP(CONT_TEA[[#This Row],[PayScaleCode]],PAYSCALES[PayScaleCode],PAYSCALES[AvailableToAllSchools],1,0,)=TRUE,0,IF(ISERROR(FIND(CONT_TEA[[#This Row],[SchoolCode]],_xlfn.TEXTJOIN(",",TRUE,_xlfn.UNIQUE(IF(PAYSCALES[PayScaleCode]=CONT_TEA[[#This Row],[PayScaleCode]],PAYSCALES[SchoolCodes],""))))),1,0))</f>
        <v>0</v>
      </c>
      <c r="G199" s="57">
        <f>IF(_xlfn.XLOOKUP(CONT_TEA[[#This Row],[PayScaleGradeCode]],GRADES[PayScaleGradeCode],GRADES[AvailableToAllSchools])=TRUE,0,IFERROR(IF(FIND(CONT_TEA[[#This Row],[SchoolCode]],_xlfn.XLOOKUP(CONT_TEA[[#This Row],[PayScaleGradeCode]],GRADES[PayScaleGradeCode],GRADES[SchoolCodes]))&gt;=1,0,1),1))</f>
        <v>0</v>
      </c>
      <c r="H199" s="57">
        <f>IF(ISERROR(IF((_xlfn.XLOOKUP(CONT_TEA[[#This Row],[PayScaleGradeCode]],GRADES[PayScaleGradeCode],GRADES[PayScaleCode])=CONT_TEA[[#This Row],[PayScaleCode]]),0,1)),1,0)</f>
        <v>0</v>
      </c>
      <c r="I199" s="57" cm="1">
        <f t="array" ref="I199">IF(ISERROR(FIND(CONT_TEA[[#This Row],[PayScalePointCode]],_xlfn.TEXTJOIN(",",TRUE,IF(PSPOINTS[PayScaleCode]=CONT_TEA[[#This Row],[PayScaleCode]],PSPOINTS[PayScalePointCode])))),1,0)</f>
        <v>0</v>
      </c>
      <c r="J199" s="57" cm="1">
        <f t="array" ref="J19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199" s="57">
        <f>IF(_xlfn.XLOOKUP(CONT_TEA[[#This Row],[PayScalePointCode]],PSPOINTS[PayScalePointCode],PSPOINTS[PayScalePointEnabled])=TRUE,0,1)</f>
        <v>0</v>
      </c>
      <c r="L199" s="57" cm="1">
        <f t="array" ref="L199">IF(_xlfn.XLOOKUP(CONT_TEA[[#This Row],[DepartmentCode]],DEPTS[DepartmentCode],DEPTS[AvailableToAllSchools],1,0,)=TRUE,0,IF(ISERROR(FIND(CONT_TEA[[#This Row],[SchoolCode]],_xlfn.TEXTJOIN(",",TRUE,_xlfn.UNIQUE(IF(DEPTS[DepartmentCode]=CONT_TEA[[#This Row],[DepartmentCode]],DEPTS[SchoolCodes],""))))),1,0))</f>
        <v>0</v>
      </c>
      <c r="M199" s="57">
        <f>IFERROR(IF(_xlfn.XLOOKUP(CONT_TEA[[#This Row],[SRG Gross]],FinanceCodesBudget[FinanceCode],FinanceCodesBudget[LedgerCode])=_xlfn.XLOOKUP(CONT_TEA[[#This Row],[DepartmentCode]],DEPTS[DepartmentCode],DEPTS[LedgerCode]),0,1),1)</f>
        <v>1</v>
      </c>
      <c r="N199" s="57" cm="1">
        <f t="array" ref="N199">IF(_xlfn.XLOOKUP(CONT_TEA[[#This Row],[PensionCode]],PENS[PensionCode],PENS[AvailableToAllSchools],1,0,)=TRUE,0,IF(ISERROR(FIND(CONT_TEA[[#This Row],[SchoolCode]],_xlfn.TEXTJOIN(",",TRUE,_xlfn.UNIQUE(IF(PENS[PensionCode]=CONT_TEA[[#This Row],[PensionCode]],PENS[SchoolCodes],""))))),1,0))</f>
        <v>0</v>
      </c>
      <c r="O199" s="57" cm="1">
        <f t="array" ref="O199">IF(_xlfn.XLOOKUP(CONT_TEA[[#This Row],[EquatedWeekPatternCode]],EQW[EquatedWeekPatternCode],EQW[AvailableToAllSchools],1,0,)=TRUE,0,IF(ISERROR(FIND(CONT_TEA[[#This Row],[SchoolCode]],_xlfn.TEXTJOIN(",",TRUE,_xlfn.UNIQUE(IF(EQW[EquatedWeekPatternCode]=CONT_TEA[[#This Row],[EquatedWeekPatternCode]],EQW[SchoolCodes],""))))),1,0))</f>
        <v>0</v>
      </c>
      <c r="P199" s="57">
        <f>1-COUNTIF(ContractTypes[Code],CONT_TEA[[#This Row],[ContractTypeCode]])</f>
        <v>0</v>
      </c>
      <c r="Q199" s="57">
        <f>IF(VLOOKUP(CONT_TEA[[#This Row],[StaffMemberCode]],MEMBERS[[StaffMemberCode]:[ServiceStartDate]],5,0)&gt;CONT_TEA[[#This Row],[DateFrom]],1,0)</f>
        <v>0</v>
      </c>
      <c r="R199" s="57">
        <f>IF(_xlfn.XLOOKUP(CONT_TEA[[#This Row],[StaffMemberCode]],MEMBERS[StaffMemberCode],MEMBERS[ServiceEndDate])="",0,IF(CONT_TEA[[#This Row],[DateTo]]="",1,IF(_xlfn.XLOOKUP(CONT_TEA[[#This Row],[StaffMemberCode]],MEMBERS[StaffMemberCode],MEMBERS[ServiceEndDate])&lt;CONT_TEA[[#This Row],[DateTo]],1,0)))</f>
        <v>0</v>
      </c>
      <c r="S199" s="57">
        <f>IF(ISBLANK(CONT_TEA[[#This Row],[DateTo]]),0,IF(CONT_TEA[[#This Row],[DateFrom]]=CONT_TEA[[#This Row],[DateTo]],0,IF(CONT_TEA[[#This Row],[DateFrom]]&lt;CONT_TEA[[#This Row],[DateTo]],0,1)))</f>
        <v>0</v>
      </c>
      <c r="T199" s="57" cm="1">
        <f t="array" aca="1" ref="T199" ca="1">IF(CELL("format",CONT_TEA[[#This Row],[DateFrom]])="D1",0,1)+IF(CELL("format",CONT_TEA[[#This Row],[DateTo]])="D1",0,1)</f>
        <v>0</v>
      </c>
      <c r="U199" s="57">
        <f>IF(OR(CONT_TEA[[#This Row],[MatEditOnly]]=TRUE,CONT_TEA[[#This Row],[MatEditOnly]]=FALSE),IF(OR(CONT_TEA[[#This Row],[NoIncrement]]=TRUE,CONT_TEA[[#This Row],[NoIncrement]]=FALSE),0,1),1)</f>
        <v>0</v>
      </c>
      <c r="V199" s="57">
        <f>IF(ISBLANK(CONT_TEA[[#This Row],[FundCode]])=TRUE,0,IF(COUNTIF(FUNDS[FundCode],CONT_TEA[[#This Row],[FundCode]])=1,0,1))</f>
        <v>0</v>
      </c>
      <c r="W199" s="57">
        <f>IF(LEN(CONT_TEA[[#This Row],[Notes]])&lt;4000,0,1)</f>
        <v>0</v>
      </c>
      <c r="X199" s="57">
        <f>IF(SUBSTITUTE(TEXT(CONT_TEA[[#This Row],[Reference]],10)," ","")=TEXT(CONT_TEA[[#This Row],[Reference]],10),0,1)</f>
        <v>0</v>
      </c>
      <c r="Y199" s="57">
        <f ca="1">SUM(CONT_TEA[[#This Row],[Duplicate Contract]:[Space in Code]])</f>
        <v>1</v>
      </c>
      <c r="AA199" s="12" t="s">
        <v>2082</v>
      </c>
      <c r="AB199" s="15">
        <v>91073738</v>
      </c>
      <c r="AC199" s="12" t="s">
        <v>4547</v>
      </c>
      <c r="AD199" s="57" t="str">
        <f>_xlfn.XLOOKUP(CONT_TEA[[#This Row],[StaffMemberCode]],StaffMembers!O:O,StaffMembers!R:R)</f>
        <v>Lauren Whitewalker</v>
      </c>
      <c r="AE199" s="12" t="s">
        <v>1178</v>
      </c>
      <c r="AF199" s="57">
        <f>_xlfn.XLOOKUP(CONT_TEA[[#This Row],[SRG]],SRG[StaffRoleGroupCode],SRG[GrossSalaryFinanceCode])</f>
        <v>612100</v>
      </c>
      <c r="AG199" s="57" t="str">
        <f>_xlfn.XLOOKUP(CONT_TEA[[#This Row],[StaffRoleCode]],ROLES[StaffRoleCode],ROLES[StaffRoleGroupCode])</f>
        <v>TEA</v>
      </c>
      <c r="AH199" s="57" t="str">
        <f>_xlfn.XLOOKUP(CONT_TEA[[#This Row],[StaffRoleCode]],ROLES[StaffRoleCode],ROLES[PayScaleCode])</f>
        <v>MAIN</v>
      </c>
      <c r="AI199" s="12" t="s">
        <v>1126</v>
      </c>
      <c r="AJ199" s="12" t="s">
        <v>3073</v>
      </c>
      <c r="AK199" s="12" t="s">
        <v>2499</v>
      </c>
      <c r="AM199" s="68" t="s">
        <v>1147</v>
      </c>
      <c r="AN199" s="13" t="s">
        <v>1702</v>
      </c>
      <c r="AO199" s="21">
        <v>45901</v>
      </c>
      <c r="AQ199" s="12">
        <v>0.8</v>
      </c>
      <c r="AR199" t="b">
        <v>0</v>
      </c>
      <c r="AS199" t="b">
        <v>0</v>
      </c>
      <c r="AT199" s="12" t="s">
        <v>1574</v>
      </c>
    </row>
    <row r="200" spans="1:46" x14ac:dyDescent="0.3">
      <c r="A200" s="57" t="str">
        <f t="shared" si="3"/>
        <v>PTP9107393591073935ATEASTCH45901</v>
      </c>
      <c r="B200" s="57">
        <f>COUNTIF(CONT_TEA[Unique Contract],CONT_TEA[[#This Row],[Unique Contract]])-1</f>
        <v>0</v>
      </c>
      <c r="C200" s="57">
        <f>IFERROR(IF(FIND(CONT_TEA[[#This Row],[SchoolCode]],_xlfn.XLOOKUP(CONT_TEA[[#This Row],[StaffMemberCode]],MEMBERS[StaffMemberCode],MEMBERS[SchoolCodes]))&gt;0,0,1),1)</f>
        <v>0</v>
      </c>
      <c r="D200" s="57" cm="1">
        <f t="array" ref="D200">IF(_xlfn.XLOOKUP(CONT_TEA[[#This Row],[StaffRoleCode]],ROLES[StaffRoleCode],ROLES[AvailableToAllSchools],1,0,)=TRUE,0,IF(ISERROR(FIND(CONT_TEA[[#This Row],[SchoolCode]],_xlfn.TEXTJOIN(",",TRUE,_xlfn.UNIQUE(IF(ROLES[StaffRoleCode]=CONT_TEA[[#This Row],[StaffRoleCode]],ROLES[SchoolCodes],""))))),1,0))</f>
        <v>0</v>
      </c>
      <c r="E200" s="57" cm="1">
        <f t="array" ref="E20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00" s="57" cm="1">
        <f t="array" ref="F200">IF(_xlfn.XLOOKUP(CONT_TEA[[#This Row],[PayScaleCode]],PAYSCALES[PayScaleCode],PAYSCALES[AvailableToAllSchools],1,0,)=TRUE,0,IF(ISERROR(FIND(CONT_TEA[[#This Row],[SchoolCode]],_xlfn.TEXTJOIN(",",TRUE,_xlfn.UNIQUE(IF(PAYSCALES[PayScaleCode]=CONT_TEA[[#This Row],[PayScaleCode]],PAYSCALES[SchoolCodes],""))))),1,0))</f>
        <v>0</v>
      </c>
      <c r="G200" s="57">
        <f>IF(_xlfn.XLOOKUP(CONT_TEA[[#This Row],[PayScaleGradeCode]],GRADES[PayScaleGradeCode],GRADES[AvailableToAllSchools])=TRUE,0,IFERROR(IF(FIND(CONT_TEA[[#This Row],[SchoolCode]],_xlfn.XLOOKUP(CONT_TEA[[#This Row],[PayScaleGradeCode]],GRADES[PayScaleGradeCode],GRADES[SchoolCodes]))&gt;=1,0,1),1))</f>
        <v>0</v>
      </c>
      <c r="H200" s="57">
        <f>IF(ISERROR(IF((_xlfn.XLOOKUP(CONT_TEA[[#This Row],[PayScaleGradeCode]],GRADES[PayScaleGradeCode],GRADES[PayScaleCode])=CONT_TEA[[#This Row],[PayScaleCode]]),0,1)),1,0)</f>
        <v>0</v>
      </c>
      <c r="I200" s="57" cm="1">
        <f t="array" ref="I200">IF(ISERROR(FIND(CONT_TEA[[#This Row],[PayScalePointCode]],_xlfn.TEXTJOIN(",",TRUE,IF(PSPOINTS[PayScaleCode]=CONT_TEA[[#This Row],[PayScaleCode]],PSPOINTS[PayScalePointCode])))),1,0)</f>
        <v>0</v>
      </c>
      <c r="J200" s="57" cm="1">
        <f t="array" ref="J20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00" s="57">
        <f>IF(_xlfn.XLOOKUP(CONT_TEA[[#This Row],[PayScalePointCode]],PSPOINTS[PayScalePointCode],PSPOINTS[PayScalePointEnabled])=TRUE,0,1)</f>
        <v>0</v>
      </c>
      <c r="L200" s="57" cm="1">
        <f t="array" ref="L200">IF(_xlfn.XLOOKUP(CONT_TEA[[#This Row],[DepartmentCode]],DEPTS[DepartmentCode],DEPTS[AvailableToAllSchools],1,0,)=TRUE,0,IF(ISERROR(FIND(CONT_TEA[[#This Row],[SchoolCode]],_xlfn.TEXTJOIN(",",TRUE,_xlfn.UNIQUE(IF(DEPTS[DepartmentCode]=CONT_TEA[[#This Row],[DepartmentCode]],DEPTS[SchoolCodes],""))))),1,0))</f>
        <v>0</v>
      </c>
      <c r="M200" s="57">
        <f>IFERROR(IF(_xlfn.XLOOKUP(CONT_TEA[[#This Row],[SRG Gross]],FinanceCodesBudget[FinanceCode],FinanceCodesBudget[LedgerCode])=_xlfn.XLOOKUP(CONT_TEA[[#This Row],[DepartmentCode]],DEPTS[DepartmentCode],DEPTS[LedgerCode]),0,1),1)</f>
        <v>1</v>
      </c>
      <c r="N200" s="57" cm="1">
        <f t="array" ref="N200">IF(_xlfn.XLOOKUP(CONT_TEA[[#This Row],[PensionCode]],PENS[PensionCode],PENS[AvailableToAllSchools],1,0,)=TRUE,0,IF(ISERROR(FIND(CONT_TEA[[#This Row],[SchoolCode]],_xlfn.TEXTJOIN(",",TRUE,_xlfn.UNIQUE(IF(PENS[PensionCode]=CONT_TEA[[#This Row],[PensionCode]],PENS[SchoolCodes],""))))),1,0))</f>
        <v>0</v>
      </c>
      <c r="O200" s="57" cm="1">
        <f t="array" ref="O200">IF(_xlfn.XLOOKUP(CONT_TEA[[#This Row],[EquatedWeekPatternCode]],EQW[EquatedWeekPatternCode],EQW[AvailableToAllSchools],1,0,)=TRUE,0,IF(ISERROR(FIND(CONT_TEA[[#This Row],[SchoolCode]],_xlfn.TEXTJOIN(",",TRUE,_xlfn.UNIQUE(IF(EQW[EquatedWeekPatternCode]=CONT_TEA[[#This Row],[EquatedWeekPatternCode]],EQW[SchoolCodes],""))))),1,0))</f>
        <v>0</v>
      </c>
      <c r="P200" s="57">
        <f>1-COUNTIF(ContractTypes[Code],CONT_TEA[[#This Row],[ContractTypeCode]])</f>
        <v>0</v>
      </c>
      <c r="Q200" s="57">
        <f>IF(VLOOKUP(CONT_TEA[[#This Row],[StaffMemberCode]],MEMBERS[[StaffMemberCode]:[ServiceStartDate]],5,0)&gt;CONT_TEA[[#This Row],[DateFrom]],1,0)</f>
        <v>0</v>
      </c>
      <c r="R200" s="57">
        <f>IF(_xlfn.XLOOKUP(CONT_TEA[[#This Row],[StaffMemberCode]],MEMBERS[StaffMemberCode],MEMBERS[ServiceEndDate])="",0,IF(CONT_TEA[[#This Row],[DateTo]]="",1,IF(_xlfn.XLOOKUP(CONT_TEA[[#This Row],[StaffMemberCode]],MEMBERS[StaffMemberCode],MEMBERS[ServiceEndDate])&lt;CONT_TEA[[#This Row],[DateTo]],1,0)))</f>
        <v>0</v>
      </c>
      <c r="S200" s="57">
        <f>IF(ISBLANK(CONT_TEA[[#This Row],[DateTo]]),0,IF(CONT_TEA[[#This Row],[DateFrom]]=CONT_TEA[[#This Row],[DateTo]],0,IF(CONT_TEA[[#This Row],[DateFrom]]&lt;CONT_TEA[[#This Row],[DateTo]],0,1)))</f>
        <v>0</v>
      </c>
      <c r="T200" s="57" cm="1">
        <f t="array" aca="1" ref="T200" ca="1">IF(CELL("format",CONT_TEA[[#This Row],[DateFrom]])="D1",0,1)+IF(CELL("format",CONT_TEA[[#This Row],[DateTo]])="D1",0,1)</f>
        <v>0</v>
      </c>
      <c r="U200" s="57">
        <f>IF(OR(CONT_TEA[[#This Row],[MatEditOnly]]=TRUE,CONT_TEA[[#This Row],[MatEditOnly]]=FALSE),IF(OR(CONT_TEA[[#This Row],[NoIncrement]]=TRUE,CONT_TEA[[#This Row],[NoIncrement]]=FALSE),0,1),1)</f>
        <v>0</v>
      </c>
      <c r="V200" s="57">
        <f>IF(ISBLANK(CONT_TEA[[#This Row],[FundCode]])=TRUE,0,IF(COUNTIF(FUNDS[FundCode],CONT_TEA[[#This Row],[FundCode]])=1,0,1))</f>
        <v>0</v>
      </c>
      <c r="W200" s="57">
        <f>IF(LEN(CONT_TEA[[#This Row],[Notes]])&lt;4000,0,1)</f>
        <v>0</v>
      </c>
      <c r="X200" s="57">
        <f>IF(SUBSTITUTE(TEXT(CONT_TEA[[#This Row],[Reference]],10)," ","")=TEXT(CONT_TEA[[#This Row],[Reference]],10),0,1)</f>
        <v>0</v>
      </c>
      <c r="Y200" s="57">
        <f ca="1">SUM(CONT_TEA[[#This Row],[Duplicate Contract]:[Space in Code]])</f>
        <v>1</v>
      </c>
      <c r="AA200" s="12" t="s">
        <v>2299</v>
      </c>
      <c r="AB200" s="15">
        <v>91073935</v>
      </c>
      <c r="AC200" s="12" t="s">
        <v>4548</v>
      </c>
      <c r="AD200" s="57" t="str">
        <f>_xlfn.XLOOKUP(CONT_TEA[[#This Row],[StaffMemberCode]],StaffMembers!O:O,StaffMembers!R:R)</f>
        <v>Leanie O'Connor</v>
      </c>
      <c r="AE200" s="12" t="s">
        <v>1178</v>
      </c>
      <c r="AF200" s="57">
        <f>_xlfn.XLOOKUP(CONT_TEA[[#This Row],[SRG]],SRG[StaffRoleGroupCode],SRG[GrossSalaryFinanceCode])</f>
        <v>612100</v>
      </c>
      <c r="AG200" s="57" t="str">
        <f>_xlfn.XLOOKUP(CONT_TEA[[#This Row],[StaffRoleCode]],ROLES[StaffRoleCode],ROLES[StaffRoleGroupCode])</f>
        <v>TEA</v>
      </c>
      <c r="AH200" s="57" t="str">
        <f>_xlfn.XLOOKUP(CONT_TEA[[#This Row],[StaffRoleCode]],ROLES[StaffRoleCode],ROLES[PayScaleCode])</f>
        <v>MAIN</v>
      </c>
      <c r="AI200" s="12" t="s">
        <v>1126</v>
      </c>
      <c r="AJ200" s="12" t="s">
        <v>3074</v>
      </c>
      <c r="AK200" s="12" t="s">
        <v>2499</v>
      </c>
      <c r="AM200" s="68" t="s">
        <v>1147</v>
      </c>
      <c r="AN200" s="13" t="s">
        <v>1702</v>
      </c>
      <c r="AO200" s="21">
        <v>45901</v>
      </c>
      <c r="AQ200" s="12">
        <v>1</v>
      </c>
      <c r="AR200" t="b">
        <v>0</v>
      </c>
      <c r="AS200" t="b">
        <v>0</v>
      </c>
      <c r="AT200" s="12" t="s">
        <v>1574</v>
      </c>
    </row>
    <row r="201" spans="1:46" x14ac:dyDescent="0.3">
      <c r="A201" s="57" t="str">
        <f t="shared" si="3"/>
        <v>SBL9107577491075774ATEASTCH45901</v>
      </c>
      <c r="B201" s="57">
        <f>COUNTIF(CONT_TEA[Unique Contract],CONT_TEA[[#This Row],[Unique Contract]])-1</f>
        <v>0</v>
      </c>
      <c r="C201" s="57">
        <f>IFERROR(IF(FIND(CONT_TEA[[#This Row],[SchoolCode]],_xlfn.XLOOKUP(CONT_TEA[[#This Row],[StaffMemberCode]],MEMBERS[StaffMemberCode],MEMBERS[SchoolCodes]))&gt;0,0,1),1)</f>
        <v>0</v>
      </c>
      <c r="D201" s="57" cm="1">
        <f t="array" ref="D201">IF(_xlfn.XLOOKUP(CONT_TEA[[#This Row],[StaffRoleCode]],ROLES[StaffRoleCode],ROLES[AvailableToAllSchools],1,0,)=TRUE,0,IF(ISERROR(FIND(CONT_TEA[[#This Row],[SchoolCode]],_xlfn.TEXTJOIN(",",TRUE,_xlfn.UNIQUE(IF(ROLES[StaffRoleCode]=CONT_TEA[[#This Row],[StaffRoleCode]],ROLES[SchoolCodes],""))))),1,0))</f>
        <v>0</v>
      </c>
      <c r="E201" s="57" cm="1">
        <f t="array" ref="E20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01" s="57" cm="1">
        <f t="array" ref="F201">IF(_xlfn.XLOOKUP(CONT_TEA[[#This Row],[PayScaleCode]],PAYSCALES[PayScaleCode],PAYSCALES[AvailableToAllSchools],1,0,)=TRUE,0,IF(ISERROR(FIND(CONT_TEA[[#This Row],[SchoolCode]],_xlfn.TEXTJOIN(",",TRUE,_xlfn.UNIQUE(IF(PAYSCALES[PayScaleCode]=CONT_TEA[[#This Row],[PayScaleCode]],PAYSCALES[SchoolCodes],""))))),1,0))</f>
        <v>0</v>
      </c>
      <c r="G201" s="57">
        <f>IF(_xlfn.XLOOKUP(CONT_TEA[[#This Row],[PayScaleGradeCode]],GRADES[PayScaleGradeCode],GRADES[AvailableToAllSchools])=TRUE,0,IFERROR(IF(FIND(CONT_TEA[[#This Row],[SchoolCode]],_xlfn.XLOOKUP(CONT_TEA[[#This Row],[PayScaleGradeCode]],GRADES[PayScaleGradeCode],GRADES[SchoolCodes]))&gt;=1,0,1),1))</f>
        <v>0</v>
      </c>
      <c r="H201" s="57">
        <f>IF(ISERROR(IF((_xlfn.XLOOKUP(CONT_TEA[[#This Row],[PayScaleGradeCode]],GRADES[PayScaleGradeCode],GRADES[PayScaleCode])=CONT_TEA[[#This Row],[PayScaleCode]]),0,1)),1,0)</f>
        <v>0</v>
      </c>
      <c r="I201" s="57" cm="1">
        <f t="array" ref="I201">IF(ISERROR(FIND(CONT_TEA[[#This Row],[PayScalePointCode]],_xlfn.TEXTJOIN(",",TRUE,IF(PSPOINTS[PayScaleCode]=CONT_TEA[[#This Row],[PayScaleCode]],PSPOINTS[PayScalePointCode])))),1,0)</f>
        <v>0</v>
      </c>
      <c r="J201" s="57" cm="1">
        <f t="array" ref="J20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01" s="57">
        <f>IF(_xlfn.XLOOKUP(CONT_TEA[[#This Row],[PayScalePointCode]],PSPOINTS[PayScalePointCode],PSPOINTS[PayScalePointEnabled])=TRUE,0,1)</f>
        <v>0</v>
      </c>
      <c r="L201" s="57" cm="1">
        <f t="array" ref="L201">IF(_xlfn.XLOOKUP(CONT_TEA[[#This Row],[DepartmentCode]],DEPTS[DepartmentCode],DEPTS[AvailableToAllSchools],1,0,)=TRUE,0,IF(ISERROR(FIND(CONT_TEA[[#This Row],[SchoolCode]],_xlfn.TEXTJOIN(",",TRUE,_xlfn.UNIQUE(IF(DEPTS[DepartmentCode]=CONT_TEA[[#This Row],[DepartmentCode]],DEPTS[SchoolCodes],""))))),1,0))</f>
        <v>0</v>
      </c>
      <c r="M201" s="57">
        <f>IFERROR(IF(_xlfn.XLOOKUP(CONT_TEA[[#This Row],[SRG Gross]],FinanceCodesBudget[FinanceCode],FinanceCodesBudget[LedgerCode])=_xlfn.XLOOKUP(CONT_TEA[[#This Row],[DepartmentCode]],DEPTS[DepartmentCode],DEPTS[LedgerCode]),0,1),1)</f>
        <v>1</v>
      </c>
      <c r="N201" s="57" cm="1">
        <f t="array" ref="N201">IF(_xlfn.XLOOKUP(CONT_TEA[[#This Row],[PensionCode]],PENS[PensionCode],PENS[AvailableToAllSchools],1,0,)=TRUE,0,IF(ISERROR(FIND(CONT_TEA[[#This Row],[SchoolCode]],_xlfn.TEXTJOIN(",",TRUE,_xlfn.UNIQUE(IF(PENS[PensionCode]=CONT_TEA[[#This Row],[PensionCode]],PENS[SchoolCodes],""))))),1,0))</f>
        <v>0</v>
      </c>
      <c r="O201" s="57" cm="1">
        <f t="array" ref="O201">IF(_xlfn.XLOOKUP(CONT_TEA[[#This Row],[EquatedWeekPatternCode]],EQW[EquatedWeekPatternCode],EQW[AvailableToAllSchools],1,0,)=TRUE,0,IF(ISERROR(FIND(CONT_TEA[[#This Row],[SchoolCode]],_xlfn.TEXTJOIN(",",TRUE,_xlfn.UNIQUE(IF(EQW[EquatedWeekPatternCode]=CONT_TEA[[#This Row],[EquatedWeekPatternCode]],EQW[SchoolCodes],""))))),1,0))</f>
        <v>0</v>
      </c>
      <c r="P201" s="57">
        <f>1-COUNTIF(ContractTypes[Code],CONT_TEA[[#This Row],[ContractTypeCode]])</f>
        <v>0</v>
      </c>
      <c r="Q201" s="57">
        <f>IF(VLOOKUP(CONT_TEA[[#This Row],[StaffMemberCode]],MEMBERS[[StaffMemberCode]:[ServiceStartDate]],5,0)&gt;CONT_TEA[[#This Row],[DateFrom]],1,0)</f>
        <v>0</v>
      </c>
      <c r="R201" s="57">
        <f>IF(_xlfn.XLOOKUP(CONT_TEA[[#This Row],[StaffMemberCode]],MEMBERS[StaffMemberCode],MEMBERS[ServiceEndDate])="",0,IF(CONT_TEA[[#This Row],[DateTo]]="",1,IF(_xlfn.XLOOKUP(CONT_TEA[[#This Row],[StaffMemberCode]],MEMBERS[StaffMemberCode],MEMBERS[ServiceEndDate])&lt;CONT_TEA[[#This Row],[DateTo]],1,0)))</f>
        <v>0</v>
      </c>
      <c r="S201" s="57">
        <f>IF(ISBLANK(CONT_TEA[[#This Row],[DateTo]]),0,IF(CONT_TEA[[#This Row],[DateFrom]]=CONT_TEA[[#This Row],[DateTo]],0,IF(CONT_TEA[[#This Row],[DateFrom]]&lt;CONT_TEA[[#This Row],[DateTo]],0,1)))</f>
        <v>0</v>
      </c>
      <c r="T201" s="57" cm="1">
        <f t="array" aca="1" ref="T201" ca="1">IF(CELL("format",CONT_TEA[[#This Row],[DateFrom]])="D1",0,1)+IF(CELL("format",CONT_TEA[[#This Row],[DateTo]])="D1",0,1)</f>
        <v>0</v>
      </c>
      <c r="U201" s="57">
        <f>IF(OR(CONT_TEA[[#This Row],[MatEditOnly]]=TRUE,CONT_TEA[[#This Row],[MatEditOnly]]=FALSE),IF(OR(CONT_TEA[[#This Row],[NoIncrement]]=TRUE,CONT_TEA[[#This Row],[NoIncrement]]=FALSE),0,1),1)</f>
        <v>0</v>
      </c>
      <c r="V201" s="57">
        <f>IF(ISBLANK(CONT_TEA[[#This Row],[FundCode]])=TRUE,0,IF(COUNTIF(FUNDS[FundCode],CONT_TEA[[#This Row],[FundCode]])=1,0,1))</f>
        <v>0</v>
      </c>
      <c r="W201" s="57">
        <f>IF(LEN(CONT_TEA[[#This Row],[Notes]])&lt;4000,0,1)</f>
        <v>0</v>
      </c>
      <c r="X201" s="57">
        <f>IF(SUBSTITUTE(TEXT(CONT_TEA[[#This Row],[Reference]],10)," ","")=TEXT(CONT_TEA[[#This Row],[Reference]],10),0,1)</f>
        <v>0</v>
      </c>
      <c r="Y201" s="57">
        <f ca="1">SUM(CONT_TEA[[#This Row],[Duplicate Contract]:[Space in Code]])</f>
        <v>1</v>
      </c>
      <c r="AA201" s="12" t="s">
        <v>2200</v>
      </c>
      <c r="AB201" s="15">
        <v>91075774</v>
      </c>
      <c r="AC201" s="12" t="s">
        <v>4549</v>
      </c>
      <c r="AD201" s="57" t="str">
        <f>_xlfn.XLOOKUP(CONT_TEA[[#This Row],[StaffMemberCode]],StaffMembers!O:O,StaffMembers!R:R)</f>
        <v>Louise Keenan</v>
      </c>
      <c r="AE201" s="12" t="s">
        <v>1178</v>
      </c>
      <c r="AF201" s="57">
        <f>_xlfn.XLOOKUP(CONT_TEA[[#This Row],[SRG]],SRG[StaffRoleGroupCode],SRG[GrossSalaryFinanceCode])</f>
        <v>612100</v>
      </c>
      <c r="AG201" s="57" t="str">
        <f>_xlfn.XLOOKUP(CONT_TEA[[#This Row],[StaffRoleCode]],ROLES[StaffRoleCode],ROLES[StaffRoleGroupCode])</f>
        <v>TEA</v>
      </c>
      <c r="AH201" s="57" t="str">
        <f>_xlfn.XLOOKUP(CONT_TEA[[#This Row],[StaffRoleCode]],ROLES[StaffRoleCode],ROLES[PayScaleCode])</f>
        <v>MAIN</v>
      </c>
      <c r="AI201" s="12" t="s">
        <v>1126</v>
      </c>
      <c r="AJ201" s="12" t="s">
        <v>1546</v>
      </c>
      <c r="AK201" s="12" t="s">
        <v>2499</v>
      </c>
      <c r="AM201" s="68" t="s">
        <v>1147</v>
      </c>
      <c r="AN201" s="13" t="s">
        <v>1702</v>
      </c>
      <c r="AO201" s="21">
        <v>45901</v>
      </c>
      <c r="AQ201" s="12">
        <v>0.2</v>
      </c>
      <c r="AR201" t="b">
        <v>0</v>
      </c>
      <c r="AS201" t="b">
        <v>0</v>
      </c>
      <c r="AT201" s="12" t="s">
        <v>1574</v>
      </c>
    </row>
    <row r="202" spans="1:46" x14ac:dyDescent="0.3">
      <c r="A202" s="57" t="str">
        <f t="shared" si="3"/>
        <v>ALS9107384391073843ATEASTCH45901</v>
      </c>
      <c r="B202" s="57">
        <f>COUNTIF(CONT_TEA[Unique Contract],CONT_TEA[[#This Row],[Unique Contract]])-1</f>
        <v>0</v>
      </c>
      <c r="C202" s="57">
        <f>IFERROR(IF(FIND(CONT_TEA[[#This Row],[SchoolCode]],_xlfn.XLOOKUP(CONT_TEA[[#This Row],[StaffMemberCode]],MEMBERS[StaffMemberCode],MEMBERS[SchoolCodes]))&gt;0,0,1),1)</f>
        <v>0</v>
      </c>
      <c r="D202" s="57" cm="1">
        <f t="array" ref="D202">IF(_xlfn.XLOOKUP(CONT_TEA[[#This Row],[StaffRoleCode]],ROLES[StaffRoleCode],ROLES[AvailableToAllSchools],1,0,)=TRUE,0,IF(ISERROR(FIND(CONT_TEA[[#This Row],[SchoolCode]],_xlfn.TEXTJOIN(",",TRUE,_xlfn.UNIQUE(IF(ROLES[StaffRoleCode]=CONT_TEA[[#This Row],[StaffRoleCode]],ROLES[SchoolCodes],""))))),1,0))</f>
        <v>0</v>
      </c>
      <c r="E202" s="57" cm="1">
        <f t="array" ref="E20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02" s="57" cm="1">
        <f t="array" ref="F202">IF(_xlfn.XLOOKUP(CONT_TEA[[#This Row],[PayScaleCode]],PAYSCALES[PayScaleCode],PAYSCALES[AvailableToAllSchools],1,0,)=TRUE,0,IF(ISERROR(FIND(CONT_TEA[[#This Row],[SchoolCode]],_xlfn.TEXTJOIN(",",TRUE,_xlfn.UNIQUE(IF(PAYSCALES[PayScaleCode]=CONT_TEA[[#This Row],[PayScaleCode]],PAYSCALES[SchoolCodes],""))))),1,0))</f>
        <v>0</v>
      </c>
      <c r="G202" s="57">
        <f>IF(_xlfn.XLOOKUP(CONT_TEA[[#This Row],[PayScaleGradeCode]],GRADES[PayScaleGradeCode],GRADES[AvailableToAllSchools])=TRUE,0,IFERROR(IF(FIND(CONT_TEA[[#This Row],[SchoolCode]],_xlfn.XLOOKUP(CONT_TEA[[#This Row],[PayScaleGradeCode]],GRADES[PayScaleGradeCode],GRADES[SchoolCodes]))&gt;=1,0,1),1))</f>
        <v>0</v>
      </c>
      <c r="H202" s="57">
        <f>IF(ISERROR(IF((_xlfn.XLOOKUP(CONT_TEA[[#This Row],[PayScaleGradeCode]],GRADES[PayScaleGradeCode],GRADES[PayScaleCode])=CONT_TEA[[#This Row],[PayScaleCode]]),0,1)),1,0)</f>
        <v>0</v>
      </c>
      <c r="I202" s="57" cm="1">
        <f t="array" ref="I202">IF(ISERROR(FIND(CONT_TEA[[#This Row],[PayScalePointCode]],_xlfn.TEXTJOIN(",",TRUE,IF(PSPOINTS[PayScaleCode]=CONT_TEA[[#This Row],[PayScaleCode]],PSPOINTS[PayScalePointCode])))),1,0)</f>
        <v>0</v>
      </c>
      <c r="J202" s="57" cm="1">
        <f t="array" ref="J20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02" s="57">
        <f>IF(_xlfn.XLOOKUP(CONT_TEA[[#This Row],[PayScalePointCode]],PSPOINTS[PayScalePointCode],PSPOINTS[PayScalePointEnabled])=TRUE,0,1)</f>
        <v>0</v>
      </c>
      <c r="L202" s="57" cm="1">
        <f t="array" ref="L202">IF(_xlfn.XLOOKUP(CONT_TEA[[#This Row],[DepartmentCode]],DEPTS[DepartmentCode],DEPTS[AvailableToAllSchools],1,0,)=TRUE,0,IF(ISERROR(FIND(CONT_TEA[[#This Row],[SchoolCode]],_xlfn.TEXTJOIN(",",TRUE,_xlfn.UNIQUE(IF(DEPTS[DepartmentCode]=CONT_TEA[[#This Row],[DepartmentCode]],DEPTS[SchoolCodes],""))))),1,0))</f>
        <v>0</v>
      </c>
      <c r="M202" s="57">
        <f>IFERROR(IF(_xlfn.XLOOKUP(CONT_TEA[[#This Row],[SRG Gross]],FinanceCodesBudget[FinanceCode],FinanceCodesBudget[LedgerCode])=_xlfn.XLOOKUP(CONT_TEA[[#This Row],[DepartmentCode]],DEPTS[DepartmentCode],DEPTS[LedgerCode]),0,1),1)</f>
        <v>1</v>
      </c>
      <c r="N202" s="57" cm="1">
        <f t="array" ref="N202">IF(_xlfn.XLOOKUP(CONT_TEA[[#This Row],[PensionCode]],PENS[PensionCode],PENS[AvailableToAllSchools],1,0,)=TRUE,0,IF(ISERROR(FIND(CONT_TEA[[#This Row],[SchoolCode]],_xlfn.TEXTJOIN(",",TRUE,_xlfn.UNIQUE(IF(PENS[PensionCode]=CONT_TEA[[#This Row],[PensionCode]],PENS[SchoolCodes],""))))),1,0))</f>
        <v>0</v>
      </c>
      <c r="O202" s="57" cm="1">
        <f t="array" ref="O202">IF(_xlfn.XLOOKUP(CONT_TEA[[#This Row],[EquatedWeekPatternCode]],EQW[EquatedWeekPatternCode],EQW[AvailableToAllSchools],1,0,)=TRUE,0,IF(ISERROR(FIND(CONT_TEA[[#This Row],[SchoolCode]],_xlfn.TEXTJOIN(",",TRUE,_xlfn.UNIQUE(IF(EQW[EquatedWeekPatternCode]=CONT_TEA[[#This Row],[EquatedWeekPatternCode]],EQW[SchoolCodes],""))))),1,0))</f>
        <v>0</v>
      </c>
      <c r="P202" s="57">
        <f>1-COUNTIF(ContractTypes[Code],CONT_TEA[[#This Row],[ContractTypeCode]])</f>
        <v>0</v>
      </c>
      <c r="Q202" s="57">
        <f>IF(VLOOKUP(CONT_TEA[[#This Row],[StaffMemberCode]],MEMBERS[[StaffMemberCode]:[ServiceStartDate]],5,0)&gt;CONT_TEA[[#This Row],[DateFrom]],1,0)</f>
        <v>0</v>
      </c>
      <c r="R202" s="57">
        <f>IF(_xlfn.XLOOKUP(CONT_TEA[[#This Row],[StaffMemberCode]],MEMBERS[StaffMemberCode],MEMBERS[ServiceEndDate])="",0,IF(CONT_TEA[[#This Row],[DateTo]]="",1,IF(_xlfn.XLOOKUP(CONT_TEA[[#This Row],[StaffMemberCode]],MEMBERS[StaffMemberCode],MEMBERS[ServiceEndDate])&lt;CONT_TEA[[#This Row],[DateTo]],1,0)))</f>
        <v>0</v>
      </c>
      <c r="S202" s="57">
        <f>IF(ISBLANK(CONT_TEA[[#This Row],[DateTo]]),0,IF(CONT_TEA[[#This Row],[DateFrom]]=CONT_TEA[[#This Row],[DateTo]],0,IF(CONT_TEA[[#This Row],[DateFrom]]&lt;CONT_TEA[[#This Row],[DateTo]],0,1)))</f>
        <v>0</v>
      </c>
      <c r="T202" s="57" cm="1">
        <f t="array" aca="1" ref="T202" ca="1">IF(CELL("format",CONT_TEA[[#This Row],[DateFrom]])="D1",0,1)+IF(CELL("format",CONT_TEA[[#This Row],[DateTo]])="D1",0,1)</f>
        <v>0</v>
      </c>
      <c r="U202" s="57">
        <f>IF(OR(CONT_TEA[[#This Row],[MatEditOnly]]=TRUE,CONT_TEA[[#This Row],[MatEditOnly]]=FALSE),IF(OR(CONT_TEA[[#This Row],[NoIncrement]]=TRUE,CONT_TEA[[#This Row],[NoIncrement]]=FALSE),0,1),1)</f>
        <v>0</v>
      </c>
      <c r="V202" s="57">
        <f>IF(ISBLANK(CONT_TEA[[#This Row],[FundCode]])=TRUE,0,IF(COUNTIF(FUNDS[FundCode],CONT_TEA[[#This Row],[FundCode]])=1,0,1))</f>
        <v>0</v>
      </c>
      <c r="W202" s="57">
        <f>IF(LEN(CONT_TEA[[#This Row],[Notes]])&lt;4000,0,1)</f>
        <v>0</v>
      </c>
      <c r="X202" s="57">
        <f>IF(SUBSTITUTE(TEXT(CONT_TEA[[#This Row],[Reference]],10)," ","")=TEXT(CONT_TEA[[#This Row],[Reference]],10),0,1)</f>
        <v>0</v>
      </c>
      <c r="Y202" s="57">
        <f ca="1">SUM(CONT_TEA[[#This Row],[Duplicate Contract]:[Space in Code]])</f>
        <v>1</v>
      </c>
      <c r="AA202" s="12" t="s">
        <v>2082</v>
      </c>
      <c r="AB202" s="15">
        <v>91073843</v>
      </c>
      <c r="AC202" s="12" t="s">
        <v>4550</v>
      </c>
      <c r="AD202" s="57" t="str">
        <f>_xlfn.XLOOKUP(CONT_TEA[[#This Row],[StaffMemberCode]],StaffMembers!O:O,StaffMembers!R:R)</f>
        <v>Louise Read</v>
      </c>
      <c r="AE202" s="12" t="s">
        <v>1178</v>
      </c>
      <c r="AF202" s="57">
        <f>_xlfn.XLOOKUP(CONT_TEA[[#This Row],[SRG]],SRG[StaffRoleGroupCode],SRG[GrossSalaryFinanceCode])</f>
        <v>612100</v>
      </c>
      <c r="AG202" s="57" t="str">
        <f>_xlfn.XLOOKUP(CONT_TEA[[#This Row],[StaffRoleCode]],ROLES[StaffRoleCode],ROLES[StaffRoleGroupCode])</f>
        <v>TEA</v>
      </c>
      <c r="AH202" s="57" t="str">
        <f>_xlfn.XLOOKUP(CONT_TEA[[#This Row],[StaffRoleCode]],ROLES[StaffRoleCode],ROLES[PayScaleCode])</f>
        <v>MAIN</v>
      </c>
      <c r="AI202" s="12" t="s">
        <v>1126</v>
      </c>
      <c r="AJ202" s="12" t="s">
        <v>1745</v>
      </c>
      <c r="AK202" s="12" t="s">
        <v>2499</v>
      </c>
      <c r="AM202" s="68" t="s">
        <v>1147</v>
      </c>
      <c r="AN202" s="13" t="s">
        <v>1702</v>
      </c>
      <c r="AO202" s="21">
        <v>45901</v>
      </c>
      <c r="AQ202" s="12">
        <v>1</v>
      </c>
      <c r="AR202" t="b">
        <v>0</v>
      </c>
      <c r="AS202" t="b">
        <v>0</v>
      </c>
      <c r="AT202" s="12" t="s">
        <v>1574</v>
      </c>
    </row>
    <row r="203" spans="1:46" x14ac:dyDescent="0.3">
      <c r="A203" s="57" t="str">
        <f t="shared" si="3"/>
        <v>ALS9107376991073769ATEASTCH45901</v>
      </c>
      <c r="B203" s="57">
        <f>COUNTIF(CONT_TEA[Unique Contract],CONT_TEA[[#This Row],[Unique Contract]])-1</f>
        <v>0</v>
      </c>
      <c r="C203" s="57">
        <f>IFERROR(IF(FIND(CONT_TEA[[#This Row],[SchoolCode]],_xlfn.XLOOKUP(CONT_TEA[[#This Row],[StaffMemberCode]],MEMBERS[StaffMemberCode],MEMBERS[SchoolCodes]))&gt;0,0,1),1)</f>
        <v>0</v>
      </c>
      <c r="D203" s="57" cm="1">
        <f t="array" ref="D203">IF(_xlfn.XLOOKUP(CONT_TEA[[#This Row],[StaffRoleCode]],ROLES[StaffRoleCode],ROLES[AvailableToAllSchools],1,0,)=TRUE,0,IF(ISERROR(FIND(CONT_TEA[[#This Row],[SchoolCode]],_xlfn.TEXTJOIN(",",TRUE,_xlfn.UNIQUE(IF(ROLES[StaffRoleCode]=CONT_TEA[[#This Row],[StaffRoleCode]],ROLES[SchoolCodes],""))))),1,0))</f>
        <v>0</v>
      </c>
      <c r="E203" s="57" cm="1">
        <f t="array" ref="E20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03" s="57" cm="1">
        <f t="array" ref="F203">IF(_xlfn.XLOOKUP(CONT_TEA[[#This Row],[PayScaleCode]],PAYSCALES[PayScaleCode],PAYSCALES[AvailableToAllSchools],1,0,)=TRUE,0,IF(ISERROR(FIND(CONT_TEA[[#This Row],[SchoolCode]],_xlfn.TEXTJOIN(",",TRUE,_xlfn.UNIQUE(IF(PAYSCALES[PayScaleCode]=CONT_TEA[[#This Row],[PayScaleCode]],PAYSCALES[SchoolCodes],""))))),1,0))</f>
        <v>0</v>
      </c>
      <c r="G203" s="57">
        <f>IF(_xlfn.XLOOKUP(CONT_TEA[[#This Row],[PayScaleGradeCode]],GRADES[PayScaleGradeCode],GRADES[AvailableToAllSchools])=TRUE,0,IFERROR(IF(FIND(CONT_TEA[[#This Row],[SchoolCode]],_xlfn.XLOOKUP(CONT_TEA[[#This Row],[PayScaleGradeCode]],GRADES[PayScaleGradeCode],GRADES[SchoolCodes]))&gt;=1,0,1),1))</f>
        <v>0</v>
      </c>
      <c r="H203" s="57">
        <f>IF(ISERROR(IF((_xlfn.XLOOKUP(CONT_TEA[[#This Row],[PayScaleGradeCode]],GRADES[PayScaleGradeCode],GRADES[PayScaleCode])=CONT_TEA[[#This Row],[PayScaleCode]]),0,1)),1,0)</f>
        <v>0</v>
      </c>
      <c r="I203" s="57" cm="1">
        <f t="array" ref="I203">IF(ISERROR(FIND(CONT_TEA[[#This Row],[PayScalePointCode]],_xlfn.TEXTJOIN(",",TRUE,IF(PSPOINTS[PayScaleCode]=CONT_TEA[[#This Row],[PayScaleCode]],PSPOINTS[PayScalePointCode])))),1,0)</f>
        <v>0</v>
      </c>
      <c r="J203" s="57" cm="1">
        <f t="array" ref="J20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03" s="57">
        <f>IF(_xlfn.XLOOKUP(CONT_TEA[[#This Row],[PayScalePointCode]],PSPOINTS[PayScalePointCode],PSPOINTS[PayScalePointEnabled])=TRUE,0,1)</f>
        <v>0</v>
      </c>
      <c r="L203" s="57" cm="1">
        <f t="array" ref="L203">IF(_xlfn.XLOOKUP(CONT_TEA[[#This Row],[DepartmentCode]],DEPTS[DepartmentCode],DEPTS[AvailableToAllSchools],1,0,)=TRUE,0,IF(ISERROR(FIND(CONT_TEA[[#This Row],[SchoolCode]],_xlfn.TEXTJOIN(",",TRUE,_xlfn.UNIQUE(IF(DEPTS[DepartmentCode]=CONT_TEA[[#This Row],[DepartmentCode]],DEPTS[SchoolCodes],""))))),1,0))</f>
        <v>0</v>
      </c>
      <c r="M203" s="57">
        <f>IFERROR(IF(_xlfn.XLOOKUP(CONT_TEA[[#This Row],[SRG Gross]],FinanceCodesBudget[FinanceCode],FinanceCodesBudget[LedgerCode])=_xlfn.XLOOKUP(CONT_TEA[[#This Row],[DepartmentCode]],DEPTS[DepartmentCode],DEPTS[LedgerCode]),0,1),1)</f>
        <v>1</v>
      </c>
      <c r="N203" s="57" cm="1">
        <f t="array" ref="N203">IF(_xlfn.XLOOKUP(CONT_TEA[[#This Row],[PensionCode]],PENS[PensionCode],PENS[AvailableToAllSchools],1,0,)=TRUE,0,IF(ISERROR(FIND(CONT_TEA[[#This Row],[SchoolCode]],_xlfn.TEXTJOIN(",",TRUE,_xlfn.UNIQUE(IF(PENS[PensionCode]=CONT_TEA[[#This Row],[PensionCode]],PENS[SchoolCodes],""))))),1,0))</f>
        <v>0</v>
      </c>
      <c r="O203" s="57" cm="1">
        <f t="array" ref="O203">IF(_xlfn.XLOOKUP(CONT_TEA[[#This Row],[EquatedWeekPatternCode]],EQW[EquatedWeekPatternCode],EQW[AvailableToAllSchools],1,0,)=TRUE,0,IF(ISERROR(FIND(CONT_TEA[[#This Row],[SchoolCode]],_xlfn.TEXTJOIN(",",TRUE,_xlfn.UNIQUE(IF(EQW[EquatedWeekPatternCode]=CONT_TEA[[#This Row],[EquatedWeekPatternCode]],EQW[SchoolCodes],""))))),1,0))</f>
        <v>0</v>
      </c>
      <c r="P203" s="57">
        <f>1-COUNTIF(ContractTypes[Code],CONT_TEA[[#This Row],[ContractTypeCode]])</f>
        <v>0</v>
      </c>
      <c r="Q203" s="57">
        <f>IF(VLOOKUP(CONT_TEA[[#This Row],[StaffMemberCode]],MEMBERS[[StaffMemberCode]:[ServiceStartDate]],5,0)&gt;CONT_TEA[[#This Row],[DateFrom]],1,0)</f>
        <v>0</v>
      </c>
      <c r="R203" s="57">
        <f>IF(_xlfn.XLOOKUP(CONT_TEA[[#This Row],[StaffMemberCode]],MEMBERS[StaffMemberCode],MEMBERS[ServiceEndDate])="",0,IF(CONT_TEA[[#This Row],[DateTo]]="",1,IF(_xlfn.XLOOKUP(CONT_TEA[[#This Row],[StaffMemberCode]],MEMBERS[StaffMemberCode],MEMBERS[ServiceEndDate])&lt;CONT_TEA[[#This Row],[DateTo]],1,0)))</f>
        <v>0</v>
      </c>
      <c r="S203" s="57">
        <f>IF(ISBLANK(CONT_TEA[[#This Row],[DateTo]]),0,IF(CONT_TEA[[#This Row],[DateFrom]]=CONT_TEA[[#This Row],[DateTo]],0,IF(CONT_TEA[[#This Row],[DateFrom]]&lt;CONT_TEA[[#This Row],[DateTo]],0,1)))</f>
        <v>0</v>
      </c>
      <c r="T203" s="57" cm="1">
        <f t="array" aca="1" ref="T203" ca="1">IF(CELL("format",CONT_TEA[[#This Row],[DateFrom]])="D1",0,1)+IF(CELL("format",CONT_TEA[[#This Row],[DateTo]])="D1",0,1)</f>
        <v>0</v>
      </c>
      <c r="U203" s="57">
        <f>IF(OR(CONT_TEA[[#This Row],[MatEditOnly]]=TRUE,CONT_TEA[[#This Row],[MatEditOnly]]=FALSE),IF(OR(CONT_TEA[[#This Row],[NoIncrement]]=TRUE,CONT_TEA[[#This Row],[NoIncrement]]=FALSE),0,1),1)</f>
        <v>0</v>
      </c>
      <c r="V203" s="57">
        <f>IF(ISBLANK(CONT_TEA[[#This Row],[FundCode]])=TRUE,0,IF(COUNTIF(FUNDS[FundCode],CONT_TEA[[#This Row],[FundCode]])=1,0,1))</f>
        <v>0</v>
      </c>
      <c r="W203" s="57">
        <f>IF(LEN(CONT_TEA[[#This Row],[Notes]])&lt;4000,0,1)</f>
        <v>0</v>
      </c>
      <c r="X203" s="57">
        <f>IF(SUBSTITUTE(TEXT(CONT_TEA[[#This Row],[Reference]],10)," ","")=TEXT(CONT_TEA[[#This Row],[Reference]],10),0,1)</f>
        <v>0</v>
      </c>
      <c r="Y203" s="57">
        <f ca="1">SUM(CONT_TEA[[#This Row],[Duplicate Contract]:[Space in Code]])</f>
        <v>1</v>
      </c>
      <c r="AA203" s="12" t="s">
        <v>2082</v>
      </c>
      <c r="AB203" s="15">
        <v>91073769</v>
      </c>
      <c r="AC203" s="12" t="s">
        <v>4551</v>
      </c>
      <c r="AD203" s="57" t="str">
        <f>_xlfn.XLOOKUP(CONT_TEA[[#This Row],[StaffMemberCode]],StaffMembers!O:O,StaffMembers!R:R)</f>
        <v>Louise Wilmore</v>
      </c>
      <c r="AE203" s="12" t="s">
        <v>1178</v>
      </c>
      <c r="AF203" s="57">
        <f>_xlfn.XLOOKUP(CONT_TEA[[#This Row],[SRG]],SRG[StaffRoleGroupCode],SRG[GrossSalaryFinanceCode])</f>
        <v>612100</v>
      </c>
      <c r="AG203" s="57" t="str">
        <f>_xlfn.XLOOKUP(CONT_TEA[[#This Row],[StaffRoleCode]],ROLES[StaffRoleCode],ROLES[StaffRoleGroupCode])</f>
        <v>TEA</v>
      </c>
      <c r="AH203" s="57" t="str">
        <f>_xlfn.XLOOKUP(CONT_TEA[[#This Row],[StaffRoleCode]],ROLES[StaffRoleCode],ROLES[PayScaleCode])</f>
        <v>MAIN</v>
      </c>
      <c r="AI203" s="12" t="s">
        <v>1126</v>
      </c>
      <c r="AJ203" s="12" t="s">
        <v>1745</v>
      </c>
      <c r="AK203" s="12" t="s">
        <v>2499</v>
      </c>
      <c r="AM203" s="68" t="s">
        <v>1147</v>
      </c>
      <c r="AN203" s="13" t="s">
        <v>1702</v>
      </c>
      <c r="AO203" s="21">
        <v>45901</v>
      </c>
      <c r="AQ203" s="12">
        <v>1</v>
      </c>
      <c r="AR203" t="b">
        <v>0</v>
      </c>
      <c r="AS203" t="b">
        <v>0</v>
      </c>
      <c r="AT203" s="12" t="s">
        <v>1574</v>
      </c>
    </row>
    <row r="204" spans="1:46" x14ac:dyDescent="0.3">
      <c r="A204" s="57" t="str">
        <f t="shared" si="3"/>
        <v>ALS9107380891073808ATEASTCH45901</v>
      </c>
      <c r="B204" s="57">
        <f>COUNTIF(CONT_TEA[Unique Contract],CONT_TEA[[#This Row],[Unique Contract]])-1</f>
        <v>0</v>
      </c>
      <c r="C204" s="57">
        <f>IFERROR(IF(FIND(CONT_TEA[[#This Row],[SchoolCode]],_xlfn.XLOOKUP(CONT_TEA[[#This Row],[StaffMemberCode]],MEMBERS[StaffMemberCode],MEMBERS[SchoolCodes]))&gt;0,0,1),1)</f>
        <v>0</v>
      </c>
      <c r="D204" s="57" cm="1">
        <f t="array" ref="D204">IF(_xlfn.XLOOKUP(CONT_TEA[[#This Row],[StaffRoleCode]],ROLES[StaffRoleCode],ROLES[AvailableToAllSchools],1,0,)=TRUE,0,IF(ISERROR(FIND(CONT_TEA[[#This Row],[SchoolCode]],_xlfn.TEXTJOIN(",",TRUE,_xlfn.UNIQUE(IF(ROLES[StaffRoleCode]=CONT_TEA[[#This Row],[StaffRoleCode]],ROLES[SchoolCodes],""))))),1,0))</f>
        <v>0</v>
      </c>
      <c r="E204" s="57" cm="1">
        <f t="array" ref="E20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04" s="57" cm="1">
        <f t="array" ref="F204">IF(_xlfn.XLOOKUP(CONT_TEA[[#This Row],[PayScaleCode]],PAYSCALES[PayScaleCode],PAYSCALES[AvailableToAllSchools],1,0,)=TRUE,0,IF(ISERROR(FIND(CONT_TEA[[#This Row],[SchoolCode]],_xlfn.TEXTJOIN(",",TRUE,_xlfn.UNIQUE(IF(PAYSCALES[PayScaleCode]=CONT_TEA[[#This Row],[PayScaleCode]],PAYSCALES[SchoolCodes],""))))),1,0))</f>
        <v>0</v>
      </c>
      <c r="G204" s="57">
        <f>IF(_xlfn.XLOOKUP(CONT_TEA[[#This Row],[PayScaleGradeCode]],GRADES[PayScaleGradeCode],GRADES[AvailableToAllSchools])=TRUE,0,IFERROR(IF(FIND(CONT_TEA[[#This Row],[SchoolCode]],_xlfn.XLOOKUP(CONT_TEA[[#This Row],[PayScaleGradeCode]],GRADES[PayScaleGradeCode],GRADES[SchoolCodes]))&gt;=1,0,1),1))</f>
        <v>0</v>
      </c>
      <c r="H204" s="57">
        <f>IF(ISERROR(IF((_xlfn.XLOOKUP(CONT_TEA[[#This Row],[PayScaleGradeCode]],GRADES[PayScaleGradeCode],GRADES[PayScaleCode])=CONT_TEA[[#This Row],[PayScaleCode]]),0,1)),1,0)</f>
        <v>0</v>
      </c>
      <c r="I204" s="57" cm="1">
        <f t="array" ref="I204">IF(ISERROR(FIND(CONT_TEA[[#This Row],[PayScalePointCode]],_xlfn.TEXTJOIN(",",TRUE,IF(PSPOINTS[PayScaleCode]=CONT_TEA[[#This Row],[PayScaleCode]],PSPOINTS[PayScalePointCode])))),1,0)</f>
        <v>0</v>
      </c>
      <c r="J204" s="57" cm="1">
        <f t="array" ref="J20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04" s="57">
        <f>IF(_xlfn.XLOOKUP(CONT_TEA[[#This Row],[PayScalePointCode]],PSPOINTS[PayScalePointCode],PSPOINTS[PayScalePointEnabled])=TRUE,0,1)</f>
        <v>0</v>
      </c>
      <c r="L204" s="57" cm="1">
        <f t="array" ref="L204">IF(_xlfn.XLOOKUP(CONT_TEA[[#This Row],[DepartmentCode]],DEPTS[DepartmentCode],DEPTS[AvailableToAllSchools],1,0,)=TRUE,0,IF(ISERROR(FIND(CONT_TEA[[#This Row],[SchoolCode]],_xlfn.TEXTJOIN(",",TRUE,_xlfn.UNIQUE(IF(DEPTS[DepartmentCode]=CONT_TEA[[#This Row],[DepartmentCode]],DEPTS[SchoolCodes],""))))),1,0))</f>
        <v>0</v>
      </c>
      <c r="M204" s="57">
        <f>IFERROR(IF(_xlfn.XLOOKUP(CONT_TEA[[#This Row],[SRG Gross]],FinanceCodesBudget[FinanceCode],FinanceCodesBudget[LedgerCode])=_xlfn.XLOOKUP(CONT_TEA[[#This Row],[DepartmentCode]],DEPTS[DepartmentCode],DEPTS[LedgerCode]),0,1),1)</f>
        <v>1</v>
      </c>
      <c r="N204" s="57" cm="1">
        <f t="array" ref="N204">IF(_xlfn.XLOOKUP(CONT_TEA[[#This Row],[PensionCode]],PENS[PensionCode],PENS[AvailableToAllSchools],1,0,)=TRUE,0,IF(ISERROR(FIND(CONT_TEA[[#This Row],[SchoolCode]],_xlfn.TEXTJOIN(",",TRUE,_xlfn.UNIQUE(IF(PENS[PensionCode]=CONT_TEA[[#This Row],[PensionCode]],PENS[SchoolCodes],""))))),1,0))</f>
        <v>0</v>
      </c>
      <c r="O204" s="57" cm="1">
        <f t="array" ref="O204">IF(_xlfn.XLOOKUP(CONT_TEA[[#This Row],[EquatedWeekPatternCode]],EQW[EquatedWeekPatternCode],EQW[AvailableToAllSchools],1,0,)=TRUE,0,IF(ISERROR(FIND(CONT_TEA[[#This Row],[SchoolCode]],_xlfn.TEXTJOIN(",",TRUE,_xlfn.UNIQUE(IF(EQW[EquatedWeekPatternCode]=CONT_TEA[[#This Row],[EquatedWeekPatternCode]],EQW[SchoolCodes],""))))),1,0))</f>
        <v>0</v>
      </c>
      <c r="P204" s="57">
        <f>1-COUNTIF(ContractTypes[Code],CONT_TEA[[#This Row],[ContractTypeCode]])</f>
        <v>0</v>
      </c>
      <c r="Q204" s="57">
        <f>IF(VLOOKUP(CONT_TEA[[#This Row],[StaffMemberCode]],MEMBERS[[StaffMemberCode]:[ServiceStartDate]],5,0)&gt;CONT_TEA[[#This Row],[DateFrom]],1,0)</f>
        <v>0</v>
      </c>
      <c r="R204" s="57">
        <f>IF(_xlfn.XLOOKUP(CONT_TEA[[#This Row],[StaffMemberCode]],MEMBERS[StaffMemberCode],MEMBERS[ServiceEndDate])="",0,IF(CONT_TEA[[#This Row],[DateTo]]="",1,IF(_xlfn.XLOOKUP(CONT_TEA[[#This Row],[StaffMemberCode]],MEMBERS[StaffMemberCode],MEMBERS[ServiceEndDate])&lt;CONT_TEA[[#This Row],[DateTo]],1,0)))</f>
        <v>0</v>
      </c>
      <c r="S204" s="57">
        <f>IF(ISBLANK(CONT_TEA[[#This Row],[DateTo]]),0,IF(CONT_TEA[[#This Row],[DateFrom]]=CONT_TEA[[#This Row],[DateTo]],0,IF(CONT_TEA[[#This Row],[DateFrom]]&lt;CONT_TEA[[#This Row],[DateTo]],0,1)))</f>
        <v>0</v>
      </c>
      <c r="T204" s="57" cm="1">
        <f t="array" aca="1" ref="T204" ca="1">IF(CELL("format",CONT_TEA[[#This Row],[DateFrom]])="D1",0,1)+IF(CELL("format",CONT_TEA[[#This Row],[DateTo]])="D1",0,1)</f>
        <v>0</v>
      </c>
      <c r="U204" s="57">
        <f>IF(OR(CONT_TEA[[#This Row],[MatEditOnly]]=TRUE,CONT_TEA[[#This Row],[MatEditOnly]]=FALSE),IF(OR(CONT_TEA[[#This Row],[NoIncrement]]=TRUE,CONT_TEA[[#This Row],[NoIncrement]]=FALSE),0,1),1)</f>
        <v>0</v>
      </c>
      <c r="V204" s="57">
        <f>IF(ISBLANK(CONT_TEA[[#This Row],[FundCode]])=TRUE,0,IF(COUNTIF(FUNDS[FundCode],CONT_TEA[[#This Row],[FundCode]])=1,0,1))</f>
        <v>0</v>
      </c>
      <c r="W204" s="57">
        <f>IF(LEN(CONT_TEA[[#This Row],[Notes]])&lt;4000,0,1)</f>
        <v>0</v>
      </c>
      <c r="X204" s="57">
        <f>IF(SUBSTITUTE(TEXT(CONT_TEA[[#This Row],[Reference]],10)," ","")=TEXT(CONT_TEA[[#This Row],[Reference]],10),0,1)</f>
        <v>0</v>
      </c>
      <c r="Y204" s="57">
        <f ca="1">SUM(CONT_TEA[[#This Row],[Duplicate Contract]:[Space in Code]])</f>
        <v>1</v>
      </c>
      <c r="AA204" s="12" t="s">
        <v>2082</v>
      </c>
      <c r="AB204" s="15">
        <v>91073808</v>
      </c>
      <c r="AC204" s="12" t="s">
        <v>4552</v>
      </c>
      <c r="AD204" s="57" t="str">
        <f>_xlfn.XLOOKUP(CONT_TEA[[#This Row],[StaffMemberCode]],StaffMembers!O:O,StaffMembers!R:R)</f>
        <v>Margaret Ellis</v>
      </c>
      <c r="AE204" s="12" t="s">
        <v>1178</v>
      </c>
      <c r="AF204" s="57">
        <f>_xlfn.XLOOKUP(CONT_TEA[[#This Row],[SRG]],SRG[StaffRoleGroupCode],SRG[GrossSalaryFinanceCode])</f>
        <v>612100</v>
      </c>
      <c r="AG204" s="57" t="str">
        <f>_xlfn.XLOOKUP(CONT_TEA[[#This Row],[StaffRoleCode]],ROLES[StaffRoleCode],ROLES[StaffRoleGroupCode])</f>
        <v>TEA</v>
      </c>
      <c r="AH204" s="57" t="str">
        <f>_xlfn.XLOOKUP(CONT_TEA[[#This Row],[StaffRoleCode]],ROLES[StaffRoleCode],ROLES[PayScaleCode])</f>
        <v>MAIN</v>
      </c>
      <c r="AI204" s="12" t="s">
        <v>1126</v>
      </c>
      <c r="AJ204" s="12" t="s">
        <v>1745</v>
      </c>
      <c r="AK204" s="12" t="s">
        <v>2499</v>
      </c>
      <c r="AM204" s="68" t="s">
        <v>1147</v>
      </c>
      <c r="AN204" s="13" t="s">
        <v>1702</v>
      </c>
      <c r="AO204" s="21">
        <v>45901</v>
      </c>
      <c r="AQ204" s="12">
        <v>0.6</v>
      </c>
      <c r="AR204" t="b">
        <v>0</v>
      </c>
      <c r="AS204" t="b">
        <v>0</v>
      </c>
      <c r="AT204" s="12" t="s">
        <v>1574</v>
      </c>
    </row>
    <row r="205" spans="1:46" x14ac:dyDescent="0.3">
      <c r="A205" s="57" t="str">
        <f t="shared" si="3"/>
        <v>WVP9107340191073401ATEASTCH45901</v>
      </c>
      <c r="B205" s="57">
        <f>COUNTIF(CONT_TEA[Unique Contract],CONT_TEA[[#This Row],[Unique Contract]])-1</f>
        <v>0</v>
      </c>
      <c r="C205" s="57">
        <f>IFERROR(IF(FIND(CONT_TEA[[#This Row],[SchoolCode]],_xlfn.XLOOKUP(CONT_TEA[[#This Row],[StaffMemberCode]],MEMBERS[StaffMemberCode],MEMBERS[SchoolCodes]))&gt;0,0,1),1)</f>
        <v>0</v>
      </c>
      <c r="D205" s="57" cm="1">
        <f t="array" ref="D205">IF(_xlfn.XLOOKUP(CONT_TEA[[#This Row],[StaffRoleCode]],ROLES[StaffRoleCode],ROLES[AvailableToAllSchools],1,0,)=TRUE,0,IF(ISERROR(FIND(CONT_TEA[[#This Row],[SchoolCode]],_xlfn.TEXTJOIN(",",TRUE,_xlfn.UNIQUE(IF(ROLES[StaffRoleCode]=CONT_TEA[[#This Row],[StaffRoleCode]],ROLES[SchoolCodes],""))))),1,0))</f>
        <v>0</v>
      </c>
      <c r="E205" s="57" cm="1">
        <f t="array" ref="E20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05" s="57" cm="1">
        <f t="array" ref="F205">IF(_xlfn.XLOOKUP(CONT_TEA[[#This Row],[PayScaleCode]],PAYSCALES[PayScaleCode],PAYSCALES[AvailableToAllSchools],1,0,)=TRUE,0,IF(ISERROR(FIND(CONT_TEA[[#This Row],[SchoolCode]],_xlfn.TEXTJOIN(",",TRUE,_xlfn.UNIQUE(IF(PAYSCALES[PayScaleCode]=CONT_TEA[[#This Row],[PayScaleCode]],PAYSCALES[SchoolCodes],""))))),1,0))</f>
        <v>0</v>
      </c>
      <c r="G205" s="57">
        <f>IF(_xlfn.XLOOKUP(CONT_TEA[[#This Row],[PayScaleGradeCode]],GRADES[PayScaleGradeCode],GRADES[AvailableToAllSchools])=TRUE,0,IFERROR(IF(FIND(CONT_TEA[[#This Row],[SchoolCode]],_xlfn.XLOOKUP(CONT_TEA[[#This Row],[PayScaleGradeCode]],GRADES[PayScaleGradeCode],GRADES[SchoolCodes]))&gt;=1,0,1),1))</f>
        <v>0</v>
      </c>
      <c r="H205" s="57">
        <f>IF(ISERROR(IF((_xlfn.XLOOKUP(CONT_TEA[[#This Row],[PayScaleGradeCode]],GRADES[PayScaleGradeCode],GRADES[PayScaleCode])=CONT_TEA[[#This Row],[PayScaleCode]]),0,1)),1,0)</f>
        <v>0</v>
      </c>
      <c r="I205" s="57" cm="1">
        <f t="array" ref="I205">IF(ISERROR(FIND(CONT_TEA[[#This Row],[PayScalePointCode]],_xlfn.TEXTJOIN(",",TRUE,IF(PSPOINTS[PayScaleCode]=CONT_TEA[[#This Row],[PayScaleCode]],PSPOINTS[PayScalePointCode])))),1,0)</f>
        <v>0</v>
      </c>
      <c r="J205" s="57" cm="1">
        <f t="array" ref="J20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05" s="57">
        <f>IF(_xlfn.XLOOKUP(CONT_TEA[[#This Row],[PayScalePointCode]],PSPOINTS[PayScalePointCode],PSPOINTS[PayScalePointEnabled])=TRUE,0,1)</f>
        <v>0</v>
      </c>
      <c r="L205" s="57" cm="1">
        <f t="array" ref="L205">IF(_xlfn.XLOOKUP(CONT_TEA[[#This Row],[DepartmentCode]],DEPTS[DepartmentCode],DEPTS[AvailableToAllSchools],1,0,)=TRUE,0,IF(ISERROR(FIND(CONT_TEA[[#This Row],[SchoolCode]],_xlfn.TEXTJOIN(",",TRUE,_xlfn.UNIQUE(IF(DEPTS[DepartmentCode]=CONT_TEA[[#This Row],[DepartmentCode]],DEPTS[SchoolCodes],""))))),1,0))</f>
        <v>0</v>
      </c>
      <c r="M205" s="57">
        <f>IFERROR(IF(_xlfn.XLOOKUP(CONT_TEA[[#This Row],[SRG Gross]],FinanceCodesBudget[FinanceCode],FinanceCodesBudget[LedgerCode])=_xlfn.XLOOKUP(CONT_TEA[[#This Row],[DepartmentCode]],DEPTS[DepartmentCode],DEPTS[LedgerCode]),0,1),1)</f>
        <v>1</v>
      </c>
      <c r="N205" s="57" cm="1">
        <f t="array" ref="N205">IF(_xlfn.XLOOKUP(CONT_TEA[[#This Row],[PensionCode]],PENS[PensionCode],PENS[AvailableToAllSchools],1,0,)=TRUE,0,IF(ISERROR(FIND(CONT_TEA[[#This Row],[SchoolCode]],_xlfn.TEXTJOIN(",",TRUE,_xlfn.UNIQUE(IF(PENS[PensionCode]=CONT_TEA[[#This Row],[PensionCode]],PENS[SchoolCodes],""))))),1,0))</f>
        <v>0</v>
      </c>
      <c r="O205" s="57" cm="1">
        <f t="array" ref="O205">IF(_xlfn.XLOOKUP(CONT_TEA[[#This Row],[EquatedWeekPatternCode]],EQW[EquatedWeekPatternCode],EQW[AvailableToAllSchools],1,0,)=TRUE,0,IF(ISERROR(FIND(CONT_TEA[[#This Row],[SchoolCode]],_xlfn.TEXTJOIN(",",TRUE,_xlfn.UNIQUE(IF(EQW[EquatedWeekPatternCode]=CONT_TEA[[#This Row],[EquatedWeekPatternCode]],EQW[SchoolCodes],""))))),1,0))</f>
        <v>0</v>
      </c>
      <c r="P205" s="57">
        <f>1-COUNTIF(ContractTypes[Code],CONT_TEA[[#This Row],[ContractTypeCode]])</f>
        <v>0</v>
      </c>
      <c r="Q205" s="57">
        <f>IF(VLOOKUP(CONT_TEA[[#This Row],[StaffMemberCode]],MEMBERS[[StaffMemberCode]:[ServiceStartDate]],5,0)&gt;CONT_TEA[[#This Row],[DateFrom]],1,0)</f>
        <v>0</v>
      </c>
      <c r="R205" s="57">
        <f>IF(_xlfn.XLOOKUP(CONT_TEA[[#This Row],[StaffMemberCode]],MEMBERS[StaffMemberCode],MEMBERS[ServiceEndDate])="",0,IF(CONT_TEA[[#This Row],[DateTo]]="",1,IF(_xlfn.XLOOKUP(CONT_TEA[[#This Row],[StaffMemberCode]],MEMBERS[StaffMemberCode],MEMBERS[ServiceEndDate])&lt;CONT_TEA[[#This Row],[DateTo]],1,0)))</f>
        <v>0</v>
      </c>
      <c r="S205" s="57">
        <f>IF(ISBLANK(CONT_TEA[[#This Row],[DateTo]]),0,IF(CONT_TEA[[#This Row],[DateFrom]]=CONT_TEA[[#This Row],[DateTo]],0,IF(CONT_TEA[[#This Row],[DateFrom]]&lt;CONT_TEA[[#This Row],[DateTo]],0,1)))</f>
        <v>0</v>
      </c>
      <c r="T205" s="57" cm="1">
        <f t="array" aca="1" ref="T205" ca="1">IF(CELL("format",CONT_TEA[[#This Row],[DateFrom]])="D1",0,1)+IF(CELL("format",CONT_TEA[[#This Row],[DateTo]])="D1",0,1)</f>
        <v>0</v>
      </c>
      <c r="U205" s="57">
        <f>IF(OR(CONT_TEA[[#This Row],[MatEditOnly]]=TRUE,CONT_TEA[[#This Row],[MatEditOnly]]=FALSE),IF(OR(CONT_TEA[[#This Row],[NoIncrement]]=TRUE,CONT_TEA[[#This Row],[NoIncrement]]=FALSE),0,1),1)</f>
        <v>0</v>
      </c>
      <c r="V205" s="57">
        <f>IF(ISBLANK(CONT_TEA[[#This Row],[FundCode]])=TRUE,0,IF(COUNTIF(FUNDS[FundCode],CONT_TEA[[#This Row],[FundCode]])=1,0,1))</f>
        <v>0</v>
      </c>
      <c r="W205" s="57">
        <f>IF(LEN(CONT_TEA[[#This Row],[Notes]])&lt;4000,0,1)</f>
        <v>0</v>
      </c>
      <c r="X205" s="57">
        <f>IF(SUBSTITUTE(TEXT(CONT_TEA[[#This Row],[Reference]],10)," ","")=TEXT(CONT_TEA[[#This Row],[Reference]],10),0,1)</f>
        <v>0</v>
      </c>
      <c r="Y205" s="57">
        <f ca="1">SUM(CONT_TEA[[#This Row],[Duplicate Contract]:[Space in Code]])</f>
        <v>1</v>
      </c>
      <c r="AA205" s="12" t="s">
        <v>2275</v>
      </c>
      <c r="AB205" s="15">
        <v>91073401</v>
      </c>
      <c r="AC205" s="12" t="s">
        <v>4553</v>
      </c>
      <c r="AD205" s="57" t="str">
        <f>_xlfn.XLOOKUP(CONT_TEA[[#This Row],[StaffMemberCode]],StaffMembers!O:O,StaffMembers!R:R)</f>
        <v>Maria McKenzie</v>
      </c>
      <c r="AE205" s="12" t="s">
        <v>1178</v>
      </c>
      <c r="AF205" s="57">
        <f>_xlfn.XLOOKUP(CONT_TEA[[#This Row],[SRG]],SRG[StaffRoleGroupCode],SRG[GrossSalaryFinanceCode])</f>
        <v>612100</v>
      </c>
      <c r="AG205" s="57" t="str">
        <f>_xlfn.XLOOKUP(CONT_TEA[[#This Row],[StaffRoleCode]],ROLES[StaffRoleCode],ROLES[StaffRoleGroupCode])</f>
        <v>TEA</v>
      </c>
      <c r="AH205" s="57" t="str">
        <f>_xlfn.XLOOKUP(CONT_TEA[[#This Row],[StaffRoleCode]],ROLES[StaffRoleCode],ROLES[PayScaleCode])</f>
        <v>MAIN</v>
      </c>
      <c r="AI205" s="12" t="s">
        <v>1126</v>
      </c>
      <c r="AJ205" s="12" t="s">
        <v>1745</v>
      </c>
      <c r="AK205" s="12" t="s">
        <v>2499</v>
      </c>
      <c r="AM205" s="68" t="s">
        <v>1147</v>
      </c>
      <c r="AN205" s="13" t="s">
        <v>1702</v>
      </c>
      <c r="AO205" s="21">
        <v>45901</v>
      </c>
      <c r="AQ205" s="12">
        <v>0.8</v>
      </c>
      <c r="AR205" t="b">
        <v>0</v>
      </c>
      <c r="AS205" t="b">
        <v>0</v>
      </c>
      <c r="AT205" s="12" t="s">
        <v>1574</v>
      </c>
    </row>
    <row r="206" spans="1:46" x14ac:dyDescent="0.3">
      <c r="A206" s="57" t="str">
        <f t="shared" si="3"/>
        <v>BLS9107348291073482ATEASTCH45901</v>
      </c>
      <c r="B206" s="57">
        <f>COUNTIF(CONT_TEA[Unique Contract],CONT_TEA[[#This Row],[Unique Contract]])-1</f>
        <v>0</v>
      </c>
      <c r="C206" s="57">
        <f>IFERROR(IF(FIND(CONT_TEA[[#This Row],[SchoolCode]],_xlfn.XLOOKUP(CONT_TEA[[#This Row],[StaffMemberCode]],MEMBERS[StaffMemberCode],MEMBERS[SchoolCodes]))&gt;0,0,1),1)</f>
        <v>0</v>
      </c>
      <c r="D206" s="57" cm="1">
        <f t="array" ref="D206">IF(_xlfn.XLOOKUP(CONT_TEA[[#This Row],[StaffRoleCode]],ROLES[StaffRoleCode],ROLES[AvailableToAllSchools],1,0,)=TRUE,0,IF(ISERROR(FIND(CONT_TEA[[#This Row],[SchoolCode]],_xlfn.TEXTJOIN(",",TRUE,_xlfn.UNIQUE(IF(ROLES[StaffRoleCode]=CONT_TEA[[#This Row],[StaffRoleCode]],ROLES[SchoolCodes],""))))),1,0))</f>
        <v>0</v>
      </c>
      <c r="E206" s="57" cm="1">
        <f t="array" ref="E20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06" s="57" cm="1">
        <f t="array" ref="F206">IF(_xlfn.XLOOKUP(CONT_TEA[[#This Row],[PayScaleCode]],PAYSCALES[PayScaleCode],PAYSCALES[AvailableToAllSchools],1,0,)=TRUE,0,IF(ISERROR(FIND(CONT_TEA[[#This Row],[SchoolCode]],_xlfn.TEXTJOIN(",",TRUE,_xlfn.UNIQUE(IF(PAYSCALES[PayScaleCode]=CONT_TEA[[#This Row],[PayScaleCode]],PAYSCALES[SchoolCodes],""))))),1,0))</f>
        <v>0</v>
      </c>
      <c r="G206" s="57">
        <f>IF(_xlfn.XLOOKUP(CONT_TEA[[#This Row],[PayScaleGradeCode]],GRADES[PayScaleGradeCode],GRADES[AvailableToAllSchools])=TRUE,0,IFERROR(IF(FIND(CONT_TEA[[#This Row],[SchoolCode]],_xlfn.XLOOKUP(CONT_TEA[[#This Row],[PayScaleGradeCode]],GRADES[PayScaleGradeCode],GRADES[SchoolCodes]))&gt;=1,0,1),1))</f>
        <v>0</v>
      </c>
      <c r="H206" s="57">
        <f>IF(ISERROR(IF((_xlfn.XLOOKUP(CONT_TEA[[#This Row],[PayScaleGradeCode]],GRADES[PayScaleGradeCode],GRADES[PayScaleCode])=CONT_TEA[[#This Row],[PayScaleCode]]),0,1)),1,0)</f>
        <v>0</v>
      </c>
      <c r="I206" s="57" cm="1">
        <f t="array" ref="I206">IF(ISERROR(FIND(CONT_TEA[[#This Row],[PayScalePointCode]],_xlfn.TEXTJOIN(",",TRUE,IF(PSPOINTS[PayScaleCode]=CONT_TEA[[#This Row],[PayScaleCode]],PSPOINTS[PayScalePointCode])))),1,0)</f>
        <v>0</v>
      </c>
      <c r="J206" s="57" cm="1">
        <f t="array" ref="J20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06" s="57">
        <f>IF(_xlfn.XLOOKUP(CONT_TEA[[#This Row],[PayScalePointCode]],PSPOINTS[PayScalePointCode],PSPOINTS[PayScalePointEnabled])=TRUE,0,1)</f>
        <v>0</v>
      </c>
      <c r="L206" s="57" cm="1">
        <f t="array" ref="L206">IF(_xlfn.XLOOKUP(CONT_TEA[[#This Row],[DepartmentCode]],DEPTS[DepartmentCode],DEPTS[AvailableToAllSchools],1,0,)=TRUE,0,IF(ISERROR(FIND(CONT_TEA[[#This Row],[SchoolCode]],_xlfn.TEXTJOIN(",",TRUE,_xlfn.UNIQUE(IF(DEPTS[DepartmentCode]=CONT_TEA[[#This Row],[DepartmentCode]],DEPTS[SchoolCodes],""))))),1,0))</f>
        <v>0</v>
      </c>
      <c r="M206" s="57">
        <f>IFERROR(IF(_xlfn.XLOOKUP(CONT_TEA[[#This Row],[SRG Gross]],FinanceCodesBudget[FinanceCode],FinanceCodesBudget[LedgerCode])=_xlfn.XLOOKUP(CONT_TEA[[#This Row],[DepartmentCode]],DEPTS[DepartmentCode],DEPTS[LedgerCode]),0,1),1)</f>
        <v>1</v>
      </c>
      <c r="N206" s="57" cm="1">
        <f t="array" ref="N206">IF(_xlfn.XLOOKUP(CONT_TEA[[#This Row],[PensionCode]],PENS[PensionCode],PENS[AvailableToAllSchools],1,0,)=TRUE,0,IF(ISERROR(FIND(CONT_TEA[[#This Row],[SchoolCode]],_xlfn.TEXTJOIN(",",TRUE,_xlfn.UNIQUE(IF(PENS[PensionCode]=CONT_TEA[[#This Row],[PensionCode]],PENS[SchoolCodes],""))))),1,0))</f>
        <v>0</v>
      </c>
      <c r="O206" s="57" cm="1">
        <f t="array" ref="O206">IF(_xlfn.XLOOKUP(CONT_TEA[[#This Row],[EquatedWeekPatternCode]],EQW[EquatedWeekPatternCode],EQW[AvailableToAllSchools],1,0,)=TRUE,0,IF(ISERROR(FIND(CONT_TEA[[#This Row],[SchoolCode]],_xlfn.TEXTJOIN(",",TRUE,_xlfn.UNIQUE(IF(EQW[EquatedWeekPatternCode]=CONT_TEA[[#This Row],[EquatedWeekPatternCode]],EQW[SchoolCodes],""))))),1,0))</f>
        <v>0</v>
      </c>
      <c r="P206" s="57">
        <f>1-COUNTIF(ContractTypes[Code],CONT_TEA[[#This Row],[ContractTypeCode]])</f>
        <v>0</v>
      </c>
      <c r="Q206" s="57">
        <f>IF(VLOOKUP(CONT_TEA[[#This Row],[StaffMemberCode]],MEMBERS[[StaffMemberCode]:[ServiceStartDate]],5,0)&gt;CONT_TEA[[#This Row],[DateFrom]],1,0)</f>
        <v>0</v>
      </c>
      <c r="R206" s="57">
        <f>IF(_xlfn.XLOOKUP(CONT_TEA[[#This Row],[StaffMemberCode]],MEMBERS[StaffMemberCode],MEMBERS[ServiceEndDate])="",0,IF(CONT_TEA[[#This Row],[DateTo]]="",1,IF(_xlfn.XLOOKUP(CONT_TEA[[#This Row],[StaffMemberCode]],MEMBERS[StaffMemberCode],MEMBERS[ServiceEndDate])&lt;CONT_TEA[[#This Row],[DateTo]],1,0)))</f>
        <v>0</v>
      </c>
      <c r="S206" s="57">
        <f>IF(ISBLANK(CONT_TEA[[#This Row],[DateTo]]),0,IF(CONT_TEA[[#This Row],[DateFrom]]=CONT_TEA[[#This Row],[DateTo]],0,IF(CONT_TEA[[#This Row],[DateFrom]]&lt;CONT_TEA[[#This Row],[DateTo]],0,1)))</f>
        <v>0</v>
      </c>
      <c r="T206" s="57" cm="1">
        <f t="array" aca="1" ref="T206" ca="1">IF(CELL("format",CONT_TEA[[#This Row],[DateFrom]])="D1",0,1)+IF(CELL("format",CONT_TEA[[#This Row],[DateTo]])="D1",0,1)</f>
        <v>0</v>
      </c>
      <c r="U206" s="57">
        <f>IF(OR(CONT_TEA[[#This Row],[MatEditOnly]]=TRUE,CONT_TEA[[#This Row],[MatEditOnly]]=FALSE),IF(OR(CONT_TEA[[#This Row],[NoIncrement]]=TRUE,CONT_TEA[[#This Row],[NoIncrement]]=FALSE),0,1),1)</f>
        <v>0</v>
      </c>
      <c r="V206" s="57">
        <f>IF(ISBLANK(CONT_TEA[[#This Row],[FundCode]])=TRUE,0,IF(COUNTIF(FUNDS[FundCode],CONT_TEA[[#This Row],[FundCode]])=1,0,1))</f>
        <v>0</v>
      </c>
      <c r="W206" s="57">
        <f>IF(LEN(CONT_TEA[[#This Row],[Notes]])&lt;4000,0,1)</f>
        <v>0</v>
      </c>
      <c r="X206" s="57">
        <f>IF(SUBSTITUTE(TEXT(CONT_TEA[[#This Row],[Reference]],10)," ","")=TEXT(CONT_TEA[[#This Row],[Reference]],10),0,1)</f>
        <v>0</v>
      </c>
      <c r="Y206" s="57">
        <f ca="1">SUM(CONT_TEA[[#This Row],[Duplicate Contract]:[Space in Code]])</f>
        <v>1</v>
      </c>
      <c r="AA206" s="12" t="s">
        <v>2094</v>
      </c>
      <c r="AB206" s="15">
        <v>91073482</v>
      </c>
      <c r="AC206" s="12" t="s">
        <v>4554</v>
      </c>
      <c r="AD206" s="57" t="str">
        <f>_xlfn.XLOOKUP(CONT_TEA[[#This Row],[StaffMemberCode]],StaffMembers!O:O,StaffMembers!R:R)</f>
        <v>Mark Price</v>
      </c>
      <c r="AE206" s="12" t="s">
        <v>1178</v>
      </c>
      <c r="AF206" s="57">
        <f>_xlfn.XLOOKUP(CONT_TEA[[#This Row],[SRG]],SRG[StaffRoleGroupCode],SRG[GrossSalaryFinanceCode])</f>
        <v>612100</v>
      </c>
      <c r="AG206" s="57" t="str">
        <f>_xlfn.XLOOKUP(CONT_TEA[[#This Row],[StaffRoleCode]],ROLES[StaffRoleCode],ROLES[StaffRoleGroupCode])</f>
        <v>TEA</v>
      </c>
      <c r="AH206" s="57" t="str">
        <f>_xlfn.XLOOKUP(CONT_TEA[[#This Row],[StaffRoleCode]],ROLES[StaffRoleCode],ROLES[PayScaleCode])</f>
        <v>MAIN</v>
      </c>
      <c r="AI206" s="12" t="s">
        <v>1126</v>
      </c>
      <c r="AJ206" s="12" t="s">
        <v>1745</v>
      </c>
      <c r="AK206" s="12" t="s">
        <v>2499</v>
      </c>
      <c r="AM206" s="68" t="s">
        <v>1147</v>
      </c>
      <c r="AN206" s="13" t="s">
        <v>1702</v>
      </c>
      <c r="AO206" s="21">
        <v>45901</v>
      </c>
      <c r="AQ206" s="12">
        <v>0.8</v>
      </c>
      <c r="AR206" t="b">
        <v>0</v>
      </c>
      <c r="AS206" t="b">
        <v>0</v>
      </c>
      <c r="AT206" s="12" t="s">
        <v>1574</v>
      </c>
    </row>
    <row r="207" spans="1:46" x14ac:dyDescent="0.3">
      <c r="A207" s="57" t="str">
        <f t="shared" si="3"/>
        <v>SBL9107577091075770ATEASTCH45901</v>
      </c>
      <c r="B207" s="57">
        <f>COUNTIF(CONT_TEA[Unique Contract],CONT_TEA[[#This Row],[Unique Contract]])-1</f>
        <v>0</v>
      </c>
      <c r="C207" s="57">
        <f>IFERROR(IF(FIND(CONT_TEA[[#This Row],[SchoolCode]],_xlfn.XLOOKUP(CONT_TEA[[#This Row],[StaffMemberCode]],MEMBERS[StaffMemberCode],MEMBERS[SchoolCodes]))&gt;0,0,1),1)</f>
        <v>0</v>
      </c>
      <c r="D207" s="57" cm="1">
        <f t="array" ref="D207">IF(_xlfn.XLOOKUP(CONT_TEA[[#This Row],[StaffRoleCode]],ROLES[StaffRoleCode],ROLES[AvailableToAllSchools],1,0,)=TRUE,0,IF(ISERROR(FIND(CONT_TEA[[#This Row],[SchoolCode]],_xlfn.TEXTJOIN(",",TRUE,_xlfn.UNIQUE(IF(ROLES[StaffRoleCode]=CONT_TEA[[#This Row],[StaffRoleCode]],ROLES[SchoolCodes],""))))),1,0))</f>
        <v>0</v>
      </c>
      <c r="E207" s="57" cm="1">
        <f t="array" ref="E20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07" s="57" cm="1">
        <f t="array" ref="F207">IF(_xlfn.XLOOKUP(CONT_TEA[[#This Row],[PayScaleCode]],PAYSCALES[PayScaleCode],PAYSCALES[AvailableToAllSchools],1,0,)=TRUE,0,IF(ISERROR(FIND(CONT_TEA[[#This Row],[SchoolCode]],_xlfn.TEXTJOIN(",",TRUE,_xlfn.UNIQUE(IF(PAYSCALES[PayScaleCode]=CONT_TEA[[#This Row],[PayScaleCode]],PAYSCALES[SchoolCodes],""))))),1,0))</f>
        <v>0</v>
      </c>
      <c r="G207" s="57">
        <f>IF(_xlfn.XLOOKUP(CONT_TEA[[#This Row],[PayScaleGradeCode]],GRADES[PayScaleGradeCode],GRADES[AvailableToAllSchools])=TRUE,0,IFERROR(IF(FIND(CONT_TEA[[#This Row],[SchoolCode]],_xlfn.XLOOKUP(CONT_TEA[[#This Row],[PayScaleGradeCode]],GRADES[PayScaleGradeCode],GRADES[SchoolCodes]))&gt;=1,0,1),1))</f>
        <v>0</v>
      </c>
      <c r="H207" s="57">
        <f>IF(ISERROR(IF((_xlfn.XLOOKUP(CONT_TEA[[#This Row],[PayScaleGradeCode]],GRADES[PayScaleGradeCode],GRADES[PayScaleCode])=CONT_TEA[[#This Row],[PayScaleCode]]),0,1)),1,0)</f>
        <v>0</v>
      </c>
      <c r="I207" s="57" cm="1">
        <f t="array" ref="I207">IF(ISERROR(FIND(CONT_TEA[[#This Row],[PayScalePointCode]],_xlfn.TEXTJOIN(",",TRUE,IF(PSPOINTS[PayScaleCode]=CONT_TEA[[#This Row],[PayScaleCode]],PSPOINTS[PayScalePointCode])))),1,0)</f>
        <v>0</v>
      </c>
      <c r="J207" s="57" cm="1">
        <f t="array" ref="J20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07" s="57">
        <f>IF(_xlfn.XLOOKUP(CONT_TEA[[#This Row],[PayScalePointCode]],PSPOINTS[PayScalePointCode],PSPOINTS[PayScalePointEnabled])=TRUE,0,1)</f>
        <v>0</v>
      </c>
      <c r="L207" s="57" cm="1">
        <f t="array" ref="L207">IF(_xlfn.XLOOKUP(CONT_TEA[[#This Row],[DepartmentCode]],DEPTS[DepartmentCode],DEPTS[AvailableToAllSchools],1,0,)=TRUE,0,IF(ISERROR(FIND(CONT_TEA[[#This Row],[SchoolCode]],_xlfn.TEXTJOIN(",",TRUE,_xlfn.UNIQUE(IF(DEPTS[DepartmentCode]=CONT_TEA[[#This Row],[DepartmentCode]],DEPTS[SchoolCodes],""))))),1,0))</f>
        <v>0</v>
      </c>
      <c r="M207" s="57">
        <f>IFERROR(IF(_xlfn.XLOOKUP(CONT_TEA[[#This Row],[SRG Gross]],FinanceCodesBudget[FinanceCode],FinanceCodesBudget[LedgerCode])=_xlfn.XLOOKUP(CONT_TEA[[#This Row],[DepartmentCode]],DEPTS[DepartmentCode],DEPTS[LedgerCode]),0,1),1)</f>
        <v>1</v>
      </c>
      <c r="N207" s="57" cm="1">
        <f t="array" ref="N207">IF(_xlfn.XLOOKUP(CONT_TEA[[#This Row],[PensionCode]],PENS[PensionCode],PENS[AvailableToAllSchools],1,0,)=TRUE,0,IF(ISERROR(FIND(CONT_TEA[[#This Row],[SchoolCode]],_xlfn.TEXTJOIN(",",TRUE,_xlfn.UNIQUE(IF(PENS[PensionCode]=CONT_TEA[[#This Row],[PensionCode]],PENS[SchoolCodes],""))))),1,0))</f>
        <v>0</v>
      </c>
      <c r="O207" s="57" cm="1">
        <f t="array" ref="O207">IF(_xlfn.XLOOKUP(CONT_TEA[[#This Row],[EquatedWeekPatternCode]],EQW[EquatedWeekPatternCode],EQW[AvailableToAllSchools],1,0,)=TRUE,0,IF(ISERROR(FIND(CONT_TEA[[#This Row],[SchoolCode]],_xlfn.TEXTJOIN(",",TRUE,_xlfn.UNIQUE(IF(EQW[EquatedWeekPatternCode]=CONT_TEA[[#This Row],[EquatedWeekPatternCode]],EQW[SchoolCodes],""))))),1,0))</f>
        <v>0</v>
      </c>
      <c r="P207" s="57">
        <f>1-COUNTIF(ContractTypes[Code],CONT_TEA[[#This Row],[ContractTypeCode]])</f>
        <v>0</v>
      </c>
      <c r="Q207" s="57">
        <f>IF(VLOOKUP(CONT_TEA[[#This Row],[StaffMemberCode]],MEMBERS[[StaffMemberCode]:[ServiceStartDate]],5,0)&gt;CONT_TEA[[#This Row],[DateFrom]],1,0)</f>
        <v>0</v>
      </c>
      <c r="R207" s="57">
        <f>IF(_xlfn.XLOOKUP(CONT_TEA[[#This Row],[StaffMemberCode]],MEMBERS[StaffMemberCode],MEMBERS[ServiceEndDate])="",0,IF(CONT_TEA[[#This Row],[DateTo]]="",1,IF(_xlfn.XLOOKUP(CONT_TEA[[#This Row],[StaffMemberCode]],MEMBERS[StaffMemberCode],MEMBERS[ServiceEndDate])&lt;CONT_TEA[[#This Row],[DateTo]],1,0)))</f>
        <v>0</v>
      </c>
      <c r="S207" s="57">
        <f>IF(ISBLANK(CONT_TEA[[#This Row],[DateTo]]),0,IF(CONT_TEA[[#This Row],[DateFrom]]=CONT_TEA[[#This Row],[DateTo]],0,IF(CONT_TEA[[#This Row],[DateFrom]]&lt;CONT_TEA[[#This Row],[DateTo]],0,1)))</f>
        <v>0</v>
      </c>
      <c r="T207" s="57" cm="1">
        <f t="array" aca="1" ref="T207" ca="1">IF(CELL("format",CONT_TEA[[#This Row],[DateFrom]])="D1",0,1)+IF(CELL("format",CONT_TEA[[#This Row],[DateTo]])="D1",0,1)</f>
        <v>0</v>
      </c>
      <c r="U207" s="57">
        <f>IF(OR(CONT_TEA[[#This Row],[MatEditOnly]]=TRUE,CONT_TEA[[#This Row],[MatEditOnly]]=FALSE),IF(OR(CONT_TEA[[#This Row],[NoIncrement]]=TRUE,CONT_TEA[[#This Row],[NoIncrement]]=FALSE),0,1),1)</f>
        <v>0</v>
      </c>
      <c r="V207" s="57">
        <f>IF(ISBLANK(CONT_TEA[[#This Row],[FundCode]])=TRUE,0,IF(COUNTIF(FUNDS[FundCode],CONT_TEA[[#This Row],[FundCode]])=1,0,1))</f>
        <v>0</v>
      </c>
      <c r="W207" s="57">
        <f>IF(LEN(CONT_TEA[[#This Row],[Notes]])&lt;4000,0,1)</f>
        <v>0</v>
      </c>
      <c r="X207" s="57">
        <f>IF(SUBSTITUTE(TEXT(CONT_TEA[[#This Row],[Reference]],10)," ","")=TEXT(CONT_TEA[[#This Row],[Reference]],10),0,1)</f>
        <v>0</v>
      </c>
      <c r="Y207" s="57">
        <f ca="1">SUM(CONT_TEA[[#This Row],[Duplicate Contract]:[Space in Code]])</f>
        <v>1</v>
      </c>
      <c r="AA207" s="12" t="s">
        <v>2200</v>
      </c>
      <c r="AB207" s="15">
        <v>91075770</v>
      </c>
      <c r="AC207" s="12" t="s">
        <v>4555</v>
      </c>
      <c r="AD207" s="57" t="str">
        <f>_xlfn.XLOOKUP(CONT_TEA[[#This Row],[StaffMemberCode]],StaffMembers!O:O,StaffMembers!R:R)</f>
        <v>Megan Lawton</v>
      </c>
      <c r="AE207" s="12" t="s">
        <v>1178</v>
      </c>
      <c r="AF207" s="57">
        <f>_xlfn.XLOOKUP(CONT_TEA[[#This Row],[SRG]],SRG[StaffRoleGroupCode],SRG[GrossSalaryFinanceCode])</f>
        <v>612100</v>
      </c>
      <c r="AG207" s="57" t="str">
        <f>_xlfn.XLOOKUP(CONT_TEA[[#This Row],[StaffRoleCode]],ROLES[StaffRoleCode],ROLES[StaffRoleGroupCode])</f>
        <v>TEA</v>
      </c>
      <c r="AH207" s="57" t="str">
        <f>_xlfn.XLOOKUP(CONT_TEA[[#This Row],[StaffRoleCode]],ROLES[StaffRoleCode],ROLES[PayScaleCode])</f>
        <v>MAIN</v>
      </c>
      <c r="AI207" s="12" t="s">
        <v>1126</v>
      </c>
      <c r="AJ207" s="12" t="s">
        <v>3073</v>
      </c>
      <c r="AK207" s="12" t="s">
        <v>2499</v>
      </c>
      <c r="AM207" s="68" t="s">
        <v>1147</v>
      </c>
      <c r="AN207" s="13" t="s">
        <v>1702</v>
      </c>
      <c r="AO207" s="21">
        <v>45901</v>
      </c>
      <c r="AQ207" s="12">
        <v>1</v>
      </c>
      <c r="AR207" t="b">
        <v>0</v>
      </c>
      <c r="AS207" t="b">
        <v>0</v>
      </c>
      <c r="AT207" s="12" t="s">
        <v>1574</v>
      </c>
    </row>
    <row r="208" spans="1:46" x14ac:dyDescent="0.3">
      <c r="A208" s="57" t="str">
        <f t="shared" si="3"/>
        <v>ALS9107385091073850ATEASTCH45901</v>
      </c>
      <c r="B208" s="57">
        <f>COUNTIF(CONT_TEA[Unique Contract],CONT_TEA[[#This Row],[Unique Contract]])-1</f>
        <v>0</v>
      </c>
      <c r="C208" s="57">
        <f>IFERROR(IF(FIND(CONT_TEA[[#This Row],[SchoolCode]],_xlfn.XLOOKUP(CONT_TEA[[#This Row],[StaffMemberCode]],MEMBERS[StaffMemberCode],MEMBERS[SchoolCodes]))&gt;0,0,1),1)</f>
        <v>0</v>
      </c>
      <c r="D208" s="57" cm="1">
        <f t="array" ref="D208">IF(_xlfn.XLOOKUP(CONT_TEA[[#This Row],[StaffRoleCode]],ROLES[StaffRoleCode],ROLES[AvailableToAllSchools],1,0,)=TRUE,0,IF(ISERROR(FIND(CONT_TEA[[#This Row],[SchoolCode]],_xlfn.TEXTJOIN(",",TRUE,_xlfn.UNIQUE(IF(ROLES[StaffRoleCode]=CONT_TEA[[#This Row],[StaffRoleCode]],ROLES[SchoolCodes],""))))),1,0))</f>
        <v>0</v>
      </c>
      <c r="E208" s="57" cm="1">
        <f t="array" ref="E20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08" s="57" cm="1">
        <f t="array" ref="F208">IF(_xlfn.XLOOKUP(CONT_TEA[[#This Row],[PayScaleCode]],PAYSCALES[PayScaleCode],PAYSCALES[AvailableToAllSchools],1,0,)=TRUE,0,IF(ISERROR(FIND(CONT_TEA[[#This Row],[SchoolCode]],_xlfn.TEXTJOIN(",",TRUE,_xlfn.UNIQUE(IF(PAYSCALES[PayScaleCode]=CONT_TEA[[#This Row],[PayScaleCode]],PAYSCALES[SchoolCodes],""))))),1,0))</f>
        <v>0</v>
      </c>
      <c r="G208" s="57">
        <f>IF(_xlfn.XLOOKUP(CONT_TEA[[#This Row],[PayScaleGradeCode]],GRADES[PayScaleGradeCode],GRADES[AvailableToAllSchools])=TRUE,0,IFERROR(IF(FIND(CONT_TEA[[#This Row],[SchoolCode]],_xlfn.XLOOKUP(CONT_TEA[[#This Row],[PayScaleGradeCode]],GRADES[PayScaleGradeCode],GRADES[SchoolCodes]))&gt;=1,0,1),1))</f>
        <v>0</v>
      </c>
      <c r="H208" s="57">
        <f>IF(ISERROR(IF((_xlfn.XLOOKUP(CONT_TEA[[#This Row],[PayScaleGradeCode]],GRADES[PayScaleGradeCode],GRADES[PayScaleCode])=CONT_TEA[[#This Row],[PayScaleCode]]),0,1)),1,0)</f>
        <v>0</v>
      </c>
      <c r="I208" s="57" cm="1">
        <f t="array" ref="I208">IF(ISERROR(FIND(CONT_TEA[[#This Row],[PayScalePointCode]],_xlfn.TEXTJOIN(",",TRUE,IF(PSPOINTS[PayScaleCode]=CONT_TEA[[#This Row],[PayScaleCode]],PSPOINTS[PayScalePointCode])))),1,0)</f>
        <v>0</v>
      </c>
      <c r="J208" s="57" cm="1">
        <f t="array" ref="J20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08" s="57">
        <f>IF(_xlfn.XLOOKUP(CONT_TEA[[#This Row],[PayScalePointCode]],PSPOINTS[PayScalePointCode],PSPOINTS[PayScalePointEnabled])=TRUE,0,1)</f>
        <v>0</v>
      </c>
      <c r="L208" s="57" cm="1">
        <f t="array" ref="L208">IF(_xlfn.XLOOKUP(CONT_TEA[[#This Row],[DepartmentCode]],DEPTS[DepartmentCode],DEPTS[AvailableToAllSchools],1,0,)=TRUE,0,IF(ISERROR(FIND(CONT_TEA[[#This Row],[SchoolCode]],_xlfn.TEXTJOIN(",",TRUE,_xlfn.UNIQUE(IF(DEPTS[DepartmentCode]=CONT_TEA[[#This Row],[DepartmentCode]],DEPTS[SchoolCodes],""))))),1,0))</f>
        <v>0</v>
      </c>
      <c r="M208" s="57">
        <f>IFERROR(IF(_xlfn.XLOOKUP(CONT_TEA[[#This Row],[SRG Gross]],FinanceCodesBudget[FinanceCode],FinanceCodesBudget[LedgerCode])=_xlfn.XLOOKUP(CONT_TEA[[#This Row],[DepartmentCode]],DEPTS[DepartmentCode],DEPTS[LedgerCode]),0,1),1)</f>
        <v>1</v>
      </c>
      <c r="N208" s="57" cm="1">
        <f t="array" ref="N208">IF(_xlfn.XLOOKUP(CONT_TEA[[#This Row],[PensionCode]],PENS[PensionCode],PENS[AvailableToAllSchools],1,0,)=TRUE,0,IF(ISERROR(FIND(CONT_TEA[[#This Row],[SchoolCode]],_xlfn.TEXTJOIN(",",TRUE,_xlfn.UNIQUE(IF(PENS[PensionCode]=CONT_TEA[[#This Row],[PensionCode]],PENS[SchoolCodes],""))))),1,0))</f>
        <v>0</v>
      </c>
      <c r="O208" s="57" cm="1">
        <f t="array" ref="O208">IF(_xlfn.XLOOKUP(CONT_TEA[[#This Row],[EquatedWeekPatternCode]],EQW[EquatedWeekPatternCode],EQW[AvailableToAllSchools],1,0,)=TRUE,0,IF(ISERROR(FIND(CONT_TEA[[#This Row],[SchoolCode]],_xlfn.TEXTJOIN(",",TRUE,_xlfn.UNIQUE(IF(EQW[EquatedWeekPatternCode]=CONT_TEA[[#This Row],[EquatedWeekPatternCode]],EQW[SchoolCodes],""))))),1,0))</f>
        <v>0</v>
      </c>
      <c r="P208" s="57">
        <f>1-COUNTIF(ContractTypes[Code],CONT_TEA[[#This Row],[ContractTypeCode]])</f>
        <v>0</v>
      </c>
      <c r="Q208" s="57">
        <f>IF(VLOOKUP(CONT_TEA[[#This Row],[StaffMemberCode]],MEMBERS[[StaffMemberCode]:[ServiceStartDate]],5,0)&gt;CONT_TEA[[#This Row],[DateFrom]],1,0)</f>
        <v>0</v>
      </c>
      <c r="R208" s="57">
        <f>IF(_xlfn.XLOOKUP(CONT_TEA[[#This Row],[StaffMemberCode]],MEMBERS[StaffMemberCode],MEMBERS[ServiceEndDate])="",0,IF(CONT_TEA[[#This Row],[DateTo]]="",1,IF(_xlfn.XLOOKUP(CONT_TEA[[#This Row],[StaffMemberCode]],MEMBERS[StaffMemberCode],MEMBERS[ServiceEndDate])&lt;CONT_TEA[[#This Row],[DateTo]],1,0)))</f>
        <v>0</v>
      </c>
      <c r="S208" s="57">
        <f>IF(ISBLANK(CONT_TEA[[#This Row],[DateTo]]),0,IF(CONT_TEA[[#This Row],[DateFrom]]=CONT_TEA[[#This Row],[DateTo]],0,IF(CONT_TEA[[#This Row],[DateFrom]]&lt;CONT_TEA[[#This Row],[DateTo]],0,1)))</f>
        <v>0</v>
      </c>
      <c r="T208" s="57" cm="1">
        <f t="array" aca="1" ref="T208" ca="1">IF(CELL("format",CONT_TEA[[#This Row],[DateFrom]])="D1",0,1)+IF(CELL("format",CONT_TEA[[#This Row],[DateTo]])="D1",0,1)</f>
        <v>0</v>
      </c>
      <c r="U208" s="57">
        <f>IF(OR(CONT_TEA[[#This Row],[MatEditOnly]]=TRUE,CONT_TEA[[#This Row],[MatEditOnly]]=FALSE),IF(OR(CONT_TEA[[#This Row],[NoIncrement]]=TRUE,CONT_TEA[[#This Row],[NoIncrement]]=FALSE),0,1),1)</f>
        <v>0</v>
      </c>
      <c r="V208" s="57">
        <f>IF(ISBLANK(CONT_TEA[[#This Row],[FundCode]])=TRUE,0,IF(COUNTIF(FUNDS[FundCode],CONT_TEA[[#This Row],[FundCode]])=1,0,1))</f>
        <v>0</v>
      </c>
      <c r="W208" s="57">
        <f>IF(LEN(CONT_TEA[[#This Row],[Notes]])&lt;4000,0,1)</f>
        <v>0</v>
      </c>
      <c r="X208" s="57">
        <f>IF(SUBSTITUTE(TEXT(CONT_TEA[[#This Row],[Reference]],10)," ","")=TEXT(CONT_TEA[[#This Row],[Reference]],10),0,1)</f>
        <v>0</v>
      </c>
      <c r="Y208" s="57">
        <f ca="1">SUM(CONT_TEA[[#This Row],[Duplicate Contract]:[Space in Code]])</f>
        <v>1</v>
      </c>
      <c r="AA208" s="12" t="s">
        <v>2082</v>
      </c>
      <c r="AB208" s="15">
        <v>91073850</v>
      </c>
      <c r="AC208" s="12" t="s">
        <v>4556</v>
      </c>
      <c r="AD208" s="57" t="str">
        <f>_xlfn.XLOOKUP(CONT_TEA[[#This Row],[StaffMemberCode]],StaffMembers!O:O,StaffMembers!R:R)</f>
        <v>Melanie Lang</v>
      </c>
      <c r="AE208" s="12" t="s">
        <v>1178</v>
      </c>
      <c r="AF208" s="57">
        <f>_xlfn.XLOOKUP(CONT_TEA[[#This Row],[SRG]],SRG[StaffRoleGroupCode],SRG[GrossSalaryFinanceCode])</f>
        <v>612100</v>
      </c>
      <c r="AG208" s="57" t="str">
        <f>_xlfn.XLOOKUP(CONT_TEA[[#This Row],[StaffRoleCode]],ROLES[StaffRoleCode],ROLES[StaffRoleGroupCode])</f>
        <v>TEA</v>
      </c>
      <c r="AH208" s="57" t="str">
        <f>_xlfn.XLOOKUP(CONT_TEA[[#This Row],[StaffRoleCode]],ROLES[StaffRoleCode],ROLES[PayScaleCode])</f>
        <v>MAIN</v>
      </c>
      <c r="AI208" s="12" t="s">
        <v>1126</v>
      </c>
      <c r="AJ208" s="12" t="s">
        <v>3073</v>
      </c>
      <c r="AK208" s="12" t="s">
        <v>2499</v>
      </c>
      <c r="AM208" s="68" t="s">
        <v>1147</v>
      </c>
      <c r="AN208" s="13" t="s">
        <v>1702</v>
      </c>
      <c r="AO208" s="21">
        <v>45901</v>
      </c>
      <c r="AQ208" s="12">
        <v>0.7</v>
      </c>
      <c r="AR208" t="b">
        <v>0</v>
      </c>
      <c r="AS208" t="b">
        <v>0</v>
      </c>
      <c r="AT208" s="12" t="s">
        <v>1574</v>
      </c>
    </row>
    <row r="209" spans="1:47" x14ac:dyDescent="0.3">
      <c r="A209" s="57" t="str">
        <f t="shared" si="3"/>
        <v>ALS9107380091073800ATEASTCH45901</v>
      </c>
      <c r="B209" s="57">
        <f>COUNTIF(CONT_TEA[Unique Contract],CONT_TEA[[#This Row],[Unique Contract]])-1</f>
        <v>0</v>
      </c>
      <c r="C209" s="57">
        <f>IFERROR(IF(FIND(CONT_TEA[[#This Row],[SchoolCode]],_xlfn.XLOOKUP(CONT_TEA[[#This Row],[StaffMemberCode]],MEMBERS[StaffMemberCode],MEMBERS[SchoolCodes]))&gt;0,0,1),1)</f>
        <v>0</v>
      </c>
      <c r="D209" s="57" cm="1">
        <f t="array" ref="D209">IF(_xlfn.XLOOKUP(CONT_TEA[[#This Row],[StaffRoleCode]],ROLES[StaffRoleCode],ROLES[AvailableToAllSchools],1,0,)=TRUE,0,IF(ISERROR(FIND(CONT_TEA[[#This Row],[SchoolCode]],_xlfn.TEXTJOIN(",",TRUE,_xlfn.UNIQUE(IF(ROLES[StaffRoleCode]=CONT_TEA[[#This Row],[StaffRoleCode]],ROLES[SchoolCodes],""))))),1,0))</f>
        <v>0</v>
      </c>
      <c r="E209" s="57" cm="1">
        <f t="array" ref="E20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09" s="57" cm="1">
        <f t="array" ref="F209">IF(_xlfn.XLOOKUP(CONT_TEA[[#This Row],[PayScaleCode]],PAYSCALES[PayScaleCode],PAYSCALES[AvailableToAllSchools],1,0,)=TRUE,0,IF(ISERROR(FIND(CONT_TEA[[#This Row],[SchoolCode]],_xlfn.TEXTJOIN(",",TRUE,_xlfn.UNIQUE(IF(PAYSCALES[PayScaleCode]=CONT_TEA[[#This Row],[PayScaleCode]],PAYSCALES[SchoolCodes],""))))),1,0))</f>
        <v>0</v>
      </c>
      <c r="G209" s="57">
        <f>IF(_xlfn.XLOOKUP(CONT_TEA[[#This Row],[PayScaleGradeCode]],GRADES[PayScaleGradeCode],GRADES[AvailableToAllSchools])=TRUE,0,IFERROR(IF(FIND(CONT_TEA[[#This Row],[SchoolCode]],_xlfn.XLOOKUP(CONT_TEA[[#This Row],[PayScaleGradeCode]],GRADES[PayScaleGradeCode],GRADES[SchoolCodes]))&gt;=1,0,1),1))</f>
        <v>0</v>
      </c>
      <c r="H209" s="57">
        <f>IF(ISERROR(IF((_xlfn.XLOOKUP(CONT_TEA[[#This Row],[PayScaleGradeCode]],GRADES[PayScaleGradeCode],GRADES[PayScaleCode])=CONT_TEA[[#This Row],[PayScaleCode]]),0,1)),1,0)</f>
        <v>0</v>
      </c>
      <c r="I209" s="57" cm="1">
        <f t="array" ref="I209">IF(ISERROR(FIND(CONT_TEA[[#This Row],[PayScalePointCode]],_xlfn.TEXTJOIN(",",TRUE,IF(PSPOINTS[PayScaleCode]=CONT_TEA[[#This Row],[PayScaleCode]],PSPOINTS[PayScalePointCode])))),1,0)</f>
        <v>0</v>
      </c>
      <c r="J209" s="57" cm="1">
        <f t="array" ref="J20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09" s="57">
        <f>IF(_xlfn.XLOOKUP(CONT_TEA[[#This Row],[PayScalePointCode]],PSPOINTS[PayScalePointCode],PSPOINTS[PayScalePointEnabled])=TRUE,0,1)</f>
        <v>0</v>
      </c>
      <c r="L209" s="57" cm="1">
        <f t="array" ref="L209">IF(_xlfn.XLOOKUP(CONT_TEA[[#This Row],[DepartmentCode]],DEPTS[DepartmentCode],DEPTS[AvailableToAllSchools],1,0,)=TRUE,0,IF(ISERROR(FIND(CONT_TEA[[#This Row],[SchoolCode]],_xlfn.TEXTJOIN(",",TRUE,_xlfn.UNIQUE(IF(DEPTS[DepartmentCode]=CONT_TEA[[#This Row],[DepartmentCode]],DEPTS[SchoolCodes],""))))),1,0))</f>
        <v>0</v>
      </c>
      <c r="M209" s="57">
        <f>IFERROR(IF(_xlfn.XLOOKUP(CONT_TEA[[#This Row],[SRG Gross]],FinanceCodesBudget[FinanceCode],FinanceCodesBudget[LedgerCode])=_xlfn.XLOOKUP(CONT_TEA[[#This Row],[DepartmentCode]],DEPTS[DepartmentCode],DEPTS[LedgerCode]),0,1),1)</f>
        <v>1</v>
      </c>
      <c r="N209" s="57" cm="1">
        <f t="array" ref="N209">IF(_xlfn.XLOOKUP(CONT_TEA[[#This Row],[PensionCode]],PENS[PensionCode],PENS[AvailableToAllSchools],1,0,)=TRUE,0,IF(ISERROR(FIND(CONT_TEA[[#This Row],[SchoolCode]],_xlfn.TEXTJOIN(",",TRUE,_xlfn.UNIQUE(IF(PENS[PensionCode]=CONT_TEA[[#This Row],[PensionCode]],PENS[SchoolCodes],""))))),1,0))</f>
        <v>0</v>
      </c>
      <c r="O209" s="57" cm="1">
        <f t="array" ref="O209">IF(_xlfn.XLOOKUP(CONT_TEA[[#This Row],[EquatedWeekPatternCode]],EQW[EquatedWeekPatternCode],EQW[AvailableToAllSchools],1,0,)=TRUE,0,IF(ISERROR(FIND(CONT_TEA[[#This Row],[SchoolCode]],_xlfn.TEXTJOIN(",",TRUE,_xlfn.UNIQUE(IF(EQW[EquatedWeekPatternCode]=CONT_TEA[[#This Row],[EquatedWeekPatternCode]],EQW[SchoolCodes],""))))),1,0))</f>
        <v>0</v>
      </c>
      <c r="P209" s="57">
        <f>1-COUNTIF(ContractTypes[Code],CONT_TEA[[#This Row],[ContractTypeCode]])</f>
        <v>0</v>
      </c>
      <c r="Q209" s="57">
        <f>IF(VLOOKUP(CONT_TEA[[#This Row],[StaffMemberCode]],MEMBERS[[StaffMemberCode]:[ServiceStartDate]],5,0)&gt;CONT_TEA[[#This Row],[DateFrom]],1,0)</f>
        <v>0</v>
      </c>
      <c r="R209" s="57">
        <f>IF(_xlfn.XLOOKUP(CONT_TEA[[#This Row],[StaffMemberCode]],MEMBERS[StaffMemberCode],MEMBERS[ServiceEndDate])="",0,IF(CONT_TEA[[#This Row],[DateTo]]="",1,IF(_xlfn.XLOOKUP(CONT_TEA[[#This Row],[StaffMemberCode]],MEMBERS[StaffMemberCode],MEMBERS[ServiceEndDate])&lt;CONT_TEA[[#This Row],[DateTo]],1,0)))</f>
        <v>0</v>
      </c>
      <c r="S209" s="57">
        <f>IF(ISBLANK(CONT_TEA[[#This Row],[DateTo]]),0,IF(CONT_TEA[[#This Row],[DateFrom]]=CONT_TEA[[#This Row],[DateTo]],0,IF(CONT_TEA[[#This Row],[DateFrom]]&lt;CONT_TEA[[#This Row],[DateTo]],0,1)))</f>
        <v>0</v>
      </c>
      <c r="T209" s="57" cm="1">
        <f t="array" aca="1" ref="T209" ca="1">IF(CELL("format",CONT_TEA[[#This Row],[DateFrom]])="D1",0,1)+IF(CELL("format",CONT_TEA[[#This Row],[DateTo]])="D1",0,1)</f>
        <v>0</v>
      </c>
      <c r="U209" s="57">
        <f>IF(OR(CONT_TEA[[#This Row],[MatEditOnly]]=TRUE,CONT_TEA[[#This Row],[MatEditOnly]]=FALSE),IF(OR(CONT_TEA[[#This Row],[NoIncrement]]=TRUE,CONT_TEA[[#This Row],[NoIncrement]]=FALSE),0,1),1)</f>
        <v>0</v>
      </c>
      <c r="V209" s="57">
        <f>IF(ISBLANK(CONT_TEA[[#This Row],[FundCode]])=TRUE,0,IF(COUNTIF(FUNDS[FundCode],CONT_TEA[[#This Row],[FundCode]])=1,0,1))</f>
        <v>0</v>
      </c>
      <c r="W209" s="57">
        <f>IF(LEN(CONT_TEA[[#This Row],[Notes]])&lt;4000,0,1)</f>
        <v>0</v>
      </c>
      <c r="X209" s="57">
        <f>IF(SUBSTITUTE(TEXT(CONT_TEA[[#This Row],[Reference]],10)," ","")=TEXT(CONT_TEA[[#This Row],[Reference]],10),0,1)</f>
        <v>0</v>
      </c>
      <c r="Y209" s="57">
        <f ca="1">SUM(CONT_TEA[[#This Row],[Duplicate Contract]:[Space in Code]])</f>
        <v>1</v>
      </c>
      <c r="AA209" s="12" t="s">
        <v>2082</v>
      </c>
      <c r="AB209" s="15">
        <v>91073800</v>
      </c>
      <c r="AC209" s="12" t="s">
        <v>4557</v>
      </c>
      <c r="AD209" s="57" t="str">
        <f>_xlfn.XLOOKUP(CONT_TEA[[#This Row],[StaffMemberCode]],StaffMembers!O:O,StaffMembers!R:R)</f>
        <v>Michael Potts</v>
      </c>
      <c r="AE209" s="12" t="s">
        <v>1178</v>
      </c>
      <c r="AF209" s="57">
        <f>_xlfn.XLOOKUP(CONT_TEA[[#This Row],[SRG]],SRG[StaffRoleGroupCode],SRG[GrossSalaryFinanceCode])</f>
        <v>612100</v>
      </c>
      <c r="AG209" s="57" t="str">
        <f>_xlfn.XLOOKUP(CONT_TEA[[#This Row],[StaffRoleCode]],ROLES[StaffRoleCode],ROLES[StaffRoleGroupCode])</f>
        <v>TEA</v>
      </c>
      <c r="AH209" s="57" t="str">
        <f>_xlfn.XLOOKUP(CONT_TEA[[#This Row],[StaffRoleCode]],ROLES[StaffRoleCode],ROLES[PayScaleCode])</f>
        <v>MAIN</v>
      </c>
      <c r="AI209" s="12" t="s">
        <v>1126</v>
      </c>
      <c r="AJ209" s="12" t="s">
        <v>1745</v>
      </c>
      <c r="AK209" s="12" t="s">
        <v>2499</v>
      </c>
      <c r="AM209" s="68" t="s">
        <v>1147</v>
      </c>
      <c r="AN209" s="13" t="s">
        <v>1702</v>
      </c>
      <c r="AO209" s="21">
        <v>45901</v>
      </c>
      <c r="AQ209" s="12">
        <v>0.6</v>
      </c>
      <c r="AR209" t="b">
        <v>0</v>
      </c>
      <c r="AS209" t="b">
        <v>0</v>
      </c>
      <c r="AT209" s="12" t="s">
        <v>1574</v>
      </c>
    </row>
    <row r="210" spans="1:47" x14ac:dyDescent="0.3">
      <c r="A210" s="57" t="str">
        <f t="shared" si="3"/>
        <v>ALS9107372891073728ATEASTCH45901</v>
      </c>
      <c r="B210" s="57">
        <f>COUNTIF(CONT_TEA[Unique Contract],CONT_TEA[[#This Row],[Unique Contract]])-1</f>
        <v>0</v>
      </c>
      <c r="C210" s="57">
        <f>IFERROR(IF(FIND(CONT_TEA[[#This Row],[SchoolCode]],_xlfn.XLOOKUP(CONT_TEA[[#This Row],[StaffMemberCode]],MEMBERS[StaffMemberCode],MEMBERS[SchoolCodes]))&gt;0,0,1),1)</f>
        <v>0</v>
      </c>
      <c r="D210" s="57" cm="1">
        <f t="array" ref="D210">IF(_xlfn.XLOOKUP(CONT_TEA[[#This Row],[StaffRoleCode]],ROLES[StaffRoleCode],ROLES[AvailableToAllSchools],1,0,)=TRUE,0,IF(ISERROR(FIND(CONT_TEA[[#This Row],[SchoolCode]],_xlfn.TEXTJOIN(",",TRUE,_xlfn.UNIQUE(IF(ROLES[StaffRoleCode]=CONT_TEA[[#This Row],[StaffRoleCode]],ROLES[SchoolCodes],""))))),1,0))</f>
        <v>0</v>
      </c>
      <c r="E210" s="57" cm="1">
        <f t="array" ref="E21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10" s="57" cm="1">
        <f t="array" ref="F210">IF(_xlfn.XLOOKUP(CONT_TEA[[#This Row],[PayScaleCode]],PAYSCALES[PayScaleCode],PAYSCALES[AvailableToAllSchools],1,0,)=TRUE,0,IF(ISERROR(FIND(CONT_TEA[[#This Row],[SchoolCode]],_xlfn.TEXTJOIN(",",TRUE,_xlfn.UNIQUE(IF(PAYSCALES[PayScaleCode]=CONT_TEA[[#This Row],[PayScaleCode]],PAYSCALES[SchoolCodes],""))))),1,0))</f>
        <v>0</v>
      </c>
      <c r="G210" s="57">
        <f>IF(_xlfn.XLOOKUP(CONT_TEA[[#This Row],[PayScaleGradeCode]],GRADES[PayScaleGradeCode],GRADES[AvailableToAllSchools])=TRUE,0,IFERROR(IF(FIND(CONT_TEA[[#This Row],[SchoolCode]],_xlfn.XLOOKUP(CONT_TEA[[#This Row],[PayScaleGradeCode]],GRADES[PayScaleGradeCode],GRADES[SchoolCodes]))&gt;=1,0,1),1))</f>
        <v>0</v>
      </c>
      <c r="H210" s="57">
        <f>IF(ISERROR(IF((_xlfn.XLOOKUP(CONT_TEA[[#This Row],[PayScaleGradeCode]],GRADES[PayScaleGradeCode],GRADES[PayScaleCode])=CONT_TEA[[#This Row],[PayScaleCode]]),0,1)),1,0)</f>
        <v>0</v>
      </c>
      <c r="I210" s="57" cm="1">
        <f t="array" ref="I210">IF(ISERROR(FIND(CONT_TEA[[#This Row],[PayScalePointCode]],_xlfn.TEXTJOIN(",",TRUE,IF(PSPOINTS[PayScaleCode]=CONT_TEA[[#This Row],[PayScaleCode]],PSPOINTS[PayScalePointCode])))),1,0)</f>
        <v>0</v>
      </c>
      <c r="J210" s="57" cm="1">
        <f t="array" ref="J21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10" s="57">
        <f>IF(_xlfn.XLOOKUP(CONT_TEA[[#This Row],[PayScalePointCode]],PSPOINTS[PayScalePointCode],PSPOINTS[PayScalePointEnabled])=TRUE,0,1)</f>
        <v>0</v>
      </c>
      <c r="L210" s="57" cm="1">
        <f t="array" ref="L210">IF(_xlfn.XLOOKUP(CONT_TEA[[#This Row],[DepartmentCode]],DEPTS[DepartmentCode],DEPTS[AvailableToAllSchools],1,0,)=TRUE,0,IF(ISERROR(FIND(CONT_TEA[[#This Row],[SchoolCode]],_xlfn.TEXTJOIN(",",TRUE,_xlfn.UNIQUE(IF(DEPTS[DepartmentCode]=CONT_TEA[[#This Row],[DepartmentCode]],DEPTS[SchoolCodes],""))))),1,0))</f>
        <v>0</v>
      </c>
      <c r="M210" s="57">
        <f>IFERROR(IF(_xlfn.XLOOKUP(CONT_TEA[[#This Row],[SRG Gross]],FinanceCodesBudget[FinanceCode],FinanceCodesBudget[LedgerCode])=_xlfn.XLOOKUP(CONT_TEA[[#This Row],[DepartmentCode]],DEPTS[DepartmentCode],DEPTS[LedgerCode]),0,1),1)</f>
        <v>1</v>
      </c>
      <c r="N210" s="57" cm="1">
        <f t="array" ref="N210">IF(_xlfn.XLOOKUP(CONT_TEA[[#This Row],[PensionCode]],PENS[PensionCode],PENS[AvailableToAllSchools],1,0,)=TRUE,0,IF(ISERROR(FIND(CONT_TEA[[#This Row],[SchoolCode]],_xlfn.TEXTJOIN(",",TRUE,_xlfn.UNIQUE(IF(PENS[PensionCode]=CONT_TEA[[#This Row],[PensionCode]],PENS[SchoolCodes],""))))),1,0))</f>
        <v>0</v>
      </c>
      <c r="O210" s="57" cm="1">
        <f t="array" ref="O210">IF(_xlfn.XLOOKUP(CONT_TEA[[#This Row],[EquatedWeekPatternCode]],EQW[EquatedWeekPatternCode],EQW[AvailableToAllSchools],1,0,)=TRUE,0,IF(ISERROR(FIND(CONT_TEA[[#This Row],[SchoolCode]],_xlfn.TEXTJOIN(",",TRUE,_xlfn.UNIQUE(IF(EQW[EquatedWeekPatternCode]=CONT_TEA[[#This Row],[EquatedWeekPatternCode]],EQW[SchoolCodes],""))))),1,0))</f>
        <v>0</v>
      </c>
      <c r="P210" s="57">
        <f>1-COUNTIF(ContractTypes[Code],CONT_TEA[[#This Row],[ContractTypeCode]])</f>
        <v>0</v>
      </c>
      <c r="Q210" s="57">
        <f>IF(VLOOKUP(CONT_TEA[[#This Row],[StaffMemberCode]],MEMBERS[[StaffMemberCode]:[ServiceStartDate]],5,0)&gt;CONT_TEA[[#This Row],[DateFrom]],1,0)</f>
        <v>0</v>
      </c>
      <c r="R210" s="57">
        <f>IF(_xlfn.XLOOKUP(CONT_TEA[[#This Row],[StaffMemberCode]],MEMBERS[StaffMemberCode],MEMBERS[ServiceEndDate])="",0,IF(CONT_TEA[[#This Row],[DateTo]]="",1,IF(_xlfn.XLOOKUP(CONT_TEA[[#This Row],[StaffMemberCode]],MEMBERS[StaffMemberCode],MEMBERS[ServiceEndDate])&lt;CONT_TEA[[#This Row],[DateTo]],1,0)))</f>
        <v>0</v>
      </c>
      <c r="S210" s="57">
        <f>IF(ISBLANK(CONT_TEA[[#This Row],[DateTo]]),0,IF(CONT_TEA[[#This Row],[DateFrom]]=CONT_TEA[[#This Row],[DateTo]],0,IF(CONT_TEA[[#This Row],[DateFrom]]&lt;CONT_TEA[[#This Row],[DateTo]],0,1)))</f>
        <v>0</v>
      </c>
      <c r="T210" s="57" cm="1">
        <f t="array" aca="1" ref="T210" ca="1">IF(CELL("format",CONT_TEA[[#This Row],[DateFrom]])="D1",0,1)+IF(CELL("format",CONT_TEA[[#This Row],[DateTo]])="D1",0,1)</f>
        <v>0</v>
      </c>
      <c r="U210" s="57">
        <f>IF(OR(CONT_TEA[[#This Row],[MatEditOnly]]=TRUE,CONT_TEA[[#This Row],[MatEditOnly]]=FALSE),IF(OR(CONT_TEA[[#This Row],[NoIncrement]]=TRUE,CONT_TEA[[#This Row],[NoIncrement]]=FALSE),0,1),1)</f>
        <v>0</v>
      </c>
      <c r="V210" s="57">
        <f>IF(ISBLANK(CONT_TEA[[#This Row],[FundCode]])=TRUE,0,IF(COUNTIF(FUNDS[FundCode],CONT_TEA[[#This Row],[FundCode]])=1,0,1))</f>
        <v>0</v>
      </c>
      <c r="W210" s="57">
        <f>IF(LEN(CONT_TEA[[#This Row],[Notes]])&lt;4000,0,1)</f>
        <v>0</v>
      </c>
      <c r="X210" s="57">
        <f>IF(SUBSTITUTE(TEXT(CONT_TEA[[#This Row],[Reference]],10)," ","")=TEXT(CONT_TEA[[#This Row],[Reference]],10),0,1)</f>
        <v>0</v>
      </c>
      <c r="Y210" s="57">
        <f ca="1">SUM(CONT_TEA[[#This Row],[Duplicate Contract]:[Space in Code]])</f>
        <v>1</v>
      </c>
      <c r="AA210" s="12" t="s">
        <v>2082</v>
      </c>
      <c r="AB210" s="15">
        <v>91073728</v>
      </c>
      <c r="AC210" s="12" t="s">
        <v>4558</v>
      </c>
      <c r="AD210" s="57" t="str">
        <f>_xlfn.XLOOKUP(CONT_TEA[[#This Row],[StaffMemberCode]],StaffMembers!O:O,StaffMembers!R:R)</f>
        <v>Michaela Buckle</v>
      </c>
      <c r="AE210" s="12" t="s">
        <v>1178</v>
      </c>
      <c r="AF210" s="57">
        <f>_xlfn.XLOOKUP(CONT_TEA[[#This Row],[SRG]],SRG[StaffRoleGroupCode],SRG[GrossSalaryFinanceCode])</f>
        <v>612100</v>
      </c>
      <c r="AG210" s="57" t="str">
        <f>_xlfn.XLOOKUP(CONT_TEA[[#This Row],[StaffRoleCode]],ROLES[StaffRoleCode],ROLES[StaffRoleGroupCode])</f>
        <v>TEA</v>
      </c>
      <c r="AH210" s="57" t="str">
        <f>_xlfn.XLOOKUP(CONT_TEA[[#This Row],[StaffRoleCode]],ROLES[StaffRoleCode],ROLES[PayScaleCode])</f>
        <v>MAIN</v>
      </c>
      <c r="AI210" s="12" t="s">
        <v>1126</v>
      </c>
      <c r="AJ210" s="12" t="s">
        <v>1745</v>
      </c>
      <c r="AK210" s="12" t="s">
        <v>2499</v>
      </c>
      <c r="AM210" s="68" t="s">
        <v>1147</v>
      </c>
      <c r="AN210" s="13" t="s">
        <v>1702</v>
      </c>
      <c r="AO210" s="21">
        <v>45901</v>
      </c>
      <c r="AQ210" s="12">
        <v>1</v>
      </c>
      <c r="AR210" t="b">
        <v>0</v>
      </c>
      <c r="AS210" t="b">
        <v>0</v>
      </c>
      <c r="AT210" s="12" t="s">
        <v>1574</v>
      </c>
    </row>
    <row r="211" spans="1:47" x14ac:dyDescent="0.3">
      <c r="A211" s="57" t="str">
        <f t="shared" si="3"/>
        <v>ALS9107372591073725ATEASTCH45901</v>
      </c>
      <c r="B211" s="57">
        <f>COUNTIF(CONT_TEA[Unique Contract],CONT_TEA[[#This Row],[Unique Contract]])-1</f>
        <v>0</v>
      </c>
      <c r="C211" s="57">
        <f>IFERROR(IF(FIND(CONT_TEA[[#This Row],[SchoolCode]],_xlfn.XLOOKUP(CONT_TEA[[#This Row],[StaffMemberCode]],MEMBERS[StaffMemberCode],MEMBERS[SchoolCodes]))&gt;0,0,1),1)</f>
        <v>0</v>
      </c>
      <c r="D211" s="57" cm="1">
        <f t="array" ref="D211">IF(_xlfn.XLOOKUP(CONT_TEA[[#This Row],[StaffRoleCode]],ROLES[StaffRoleCode],ROLES[AvailableToAllSchools],1,0,)=TRUE,0,IF(ISERROR(FIND(CONT_TEA[[#This Row],[SchoolCode]],_xlfn.TEXTJOIN(",",TRUE,_xlfn.UNIQUE(IF(ROLES[StaffRoleCode]=CONT_TEA[[#This Row],[StaffRoleCode]],ROLES[SchoolCodes],""))))),1,0))</f>
        <v>0</v>
      </c>
      <c r="E211" s="57" cm="1">
        <f t="array" ref="E21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11" s="57" cm="1">
        <f t="array" ref="F211">IF(_xlfn.XLOOKUP(CONT_TEA[[#This Row],[PayScaleCode]],PAYSCALES[PayScaleCode],PAYSCALES[AvailableToAllSchools],1,0,)=TRUE,0,IF(ISERROR(FIND(CONT_TEA[[#This Row],[SchoolCode]],_xlfn.TEXTJOIN(",",TRUE,_xlfn.UNIQUE(IF(PAYSCALES[PayScaleCode]=CONT_TEA[[#This Row],[PayScaleCode]],PAYSCALES[SchoolCodes],""))))),1,0))</f>
        <v>0</v>
      </c>
      <c r="G211" s="57">
        <f>IF(_xlfn.XLOOKUP(CONT_TEA[[#This Row],[PayScaleGradeCode]],GRADES[PayScaleGradeCode],GRADES[AvailableToAllSchools])=TRUE,0,IFERROR(IF(FIND(CONT_TEA[[#This Row],[SchoolCode]],_xlfn.XLOOKUP(CONT_TEA[[#This Row],[PayScaleGradeCode]],GRADES[PayScaleGradeCode],GRADES[SchoolCodes]))&gt;=1,0,1),1))</f>
        <v>0</v>
      </c>
      <c r="H211" s="57">
        <f>IF(ISERROR(IF((_xlfn.XLOOKUP(CONT_TEA[[#This Row],[PayScaleGradeCode]],GRADES[PayScaleGradeCode],GRADES[PayScaleCode])=CONT_TEA[[#This Row],[PayScaleCode]]),0,1)),1,0)</f>
        <v>0</v>
      </c>
      <c r="I211" s="57" cm="1">
        <f t="array" ref="I211">IF(ISERROR(FIND(CONT_TEA[[#This Row],[PayScalePointCode]],_xlfn.TEXTJOIN(",",TRUE,IF(PSPOINTS[PayScaleCode]=CONT_TEA[[#This Row],[PayScaleCode]],PSPOINTS[PayScalePointCode])))),1,0)</f>
        <v>0</v>
      </c>
      <c r="J211" s="57" cm="1">
        <f t="array" ref="J21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11" s="57">
        <f>IF(_xlfn.XLOOKUP(CONT_TEA[[#This Row],[PayScalePointCode]],PSPOINTS[PayScalePointCode],PSPOINTS[PayScalePointEnabled])=TRUE,0,1)</f>
        <v>0</v>
      </c>
      <c r="L211" s="57" cm="1">
        <f t="array" ref="L211">IF(_xlfn.XLOOKUP(CONT_TEA[[#This Row],[DepartmentCode]],DEPTS[DepartmentCode],DEPTS[AvailableToAllSchools],1,0,)=TRUE,0,IF(ISERROR(FIND(CONT_TEA[[#This Row],[SchoolCode]],_xlfn.TEXTJOIN(",",TRUE,_xlfn.UNIQUE(IF(DEPTS[DepartmentCode]=CONT_TEA[[#This Row],[DepartmentCode]],DEPTS[SchoolCodes],""))))),1,0))</f>
        <v>0</v>
      </c>
      <c r="M211" s="57">
        <f>IFERROR(IF(_xlfn.XLOOKUP(CONT_TEA[[#This Row],[SRG Gross]],FinanceCodesBudget[FinanceCode],FinanceCodesBudget[LedgerCode])=_xlfn.XLOOKUP(CONT_TEA[[#This Row],[DepartmentCode]],DEPTS[DepartmentCode],DEPTS[LedgerCode]),0,1),1)</f>
        <v>1</v>
      </c>
      <c r="N211" s="57" cm="1">
        <f t="array" ref="N211">IF(_xlfn.XLOOKUP(CONT_TEA[[#This Row],[PensionCode]],PENS[PensionCode],PENS[AvailableToAllSchools],1,0,)=TRUE,0,IF(ISERROR(FIND(CONT_TEA[[#This Row],[SchoolCode]],_xlfn.TEXTJOIN(",",TRUE,_xlfn.UNIQUE(IF(PENS[PensionCode]=CONT_TEA[[#This Row],[PensionCode]],PENS[SchoolCodes],""))))),1,0))</f>
        <v>0</v>
      </c>
      <c r="O211" s="57" cm="1">
        <f t="array" ref="O211">IF(_xlfn.XLOOKUP(CONT_TEA[[#This Row],[EquatedWeekPatternCode]],EQW[EquatedWeekPatternCode],EQW[AvailableToAllSchools],1,0,)=TRUE,0,IF(ISERROR(FIND(CONT_TEA[[#This Row],[SchoolCode]],_xlfn.TEXTJOIN(",",TRUE,_xlfn.UNIQUE(IF(EQW[EquatedWeekPatternCode]=CONT_TEA[[#This Row],[EquatedWeekPatternCode]],EQW[SchoolCodes],""))))),1,0))</f>
        <v>0</v>
      </c>
      <c r="P211" s="57">
        <f>1-COUNTIF(ContractTypes[Code],CONT_TEA[[#This Row],[ContractTypeCode]])</f>
        <v>0</v>
      </c>
      <c r="Q211" s="57">
        <f>IF(VLOOKUP(CONT_TEA[[#This Row],[StaffMemberCode]],MEMBERS[[StaffMemberCode]:[ServiceStartDate]],5,0)&gt;CONT_TEA[[#This Row],[DateFrom]],1,0)</f>
        <v>0</v>
      </c>
      <c r="R211" s="57">
        <f>IF(_xlfn.XLOOKUP(CONT_TEA[[#This Row],[StaffMemberCode]],MEMBERS[StaffMemberCode],MEMBERS[ServiceEndDate])="",0,IF(CONT_TEA[[#This Row],[DateTo]]="",1,IF(_xlfn.XLOOKUP(CONT_TEA[[#This Row],[StaffMemberCode]],MEMBERS[StaffMemberCode],MEMBERS[ServiceEndDate])&lt;CONT_TEA[[#This Row],[DateTo]],1,0)))</f>
        <v>0</v>
      </c>
      <c r="S211" s="57">
        <f>IF(ISBLANK(CONT_TEA[[#This Row],[DateTo]]),0,IF(CONT_TEA[[#This Row],[DateFrom]]=CONT_TEA[[#This Row],[DateTo]],0,IF(CONT_TEA[[#This Row],[DateFrom]]&lt;CONT_TEA[[#This Row],[DateTo]],0,1)))</f>
        <v>0</v>
      </c>
      <c r="T211" s="57" cm="1">
        <f t="array" aca="1" ref="T211" ca="1">IF(CELL("format",CONT_TEA[[#This Row],[DateFrom]])="D1",0,1)+IF(CELL("format",CONT_TEA[[#This Row],[DateTo]])="D1",0,1)</f>
        <v>0</v>
      </c>
      <c r="U211" s="57">
        <f>IF(OR(CONT_TEA[[#This Row],[MatEditOnly]]=TRUE,CONT_TEA[[#This Row],[MatEditOnly]]=FALSE),IF(OR(CONT_TEA[[#This Row],[NoIncrement]]=TRUE,CONT_TEA[[#This Row],[NoIncrement]]=FALSE),0,1),1)</f>
        <v>0</v>
      </c>
      <c r="V211" s="57">
        <f>IF(ISBLANK(CONT_TEA[[#This Row],[FundCode]])=TRUE,0,IF(COUNTIF(FUNDS[FundCode],CONT_TEA[[#This Row],[FundCode]])=1,0,1))</f>
        <v>0</v>
      </c>
      <c r="W211" s="57">
        <f>IF(LEN(CONT_TEA[[#This Row],[Notes]])&lt;4000,0,1)</f>
        <v>0</v>
      </c>
      <c r="X211" s="57">
        <f>IF(SUBSTITUTE(TEXT(CONT_TEA[[#This Row],[Reference]],10)," ","")=TEXT(CONT_TEA[[#This Row],[Reference]],10),0,1)</f>
        <v>0</v>
      </c>
      <c r="Y211" s="57">
        <f ca="1">SUM(CONT_TEA[[#This Row],[Duplicate Contract]:[Space in Code]])</f>
        <v>1</v>
      </c>
      <c r="AA211" s="12" t="s">
        <v>2082</v>
      </c>
      <c r="AB211" s="15">
        <v>91073725</v>
      </c>
      <c r="AC211" s="12" t="s">
        <v>4559</v>
      </c>
      <c r="AD211" s="57" t="str">
        <f>_xlfn.XLOOKUP(CONT_TEA[[#This Row],[StaffMemberCode]],StaffMembers!O:O,StaffMembers!R:R)</f>
        <v>Mitchel Pattison</v>
      </c>
      <c r="AE211" s="12" t="s">
        <v>1178</v>
      </c>
      <c r="AF211" s="57">
        <f>_xlfn.XLOOKUP(CONT_TEA[[#This Row],[SRG]],SRG[StaffRoleGroupCode],SRG[GrossSalaryFinanceCode])</f>
        <v>612100</v>
      </c>
      <c r="AG211" s="57" t="str">
        <f>_xlfn.XLOOKUP(CONT_TEA[[#This Row],[StaffRoleCode]],ROLES[StaffRoleCode],ROLES[StaffRoleGroupCode])</f>
        <v>TEA</v>
      </c>
      <c r="AH211" s="57" t="str">
        <f>_xlfn.XLOOKUP(CONT_TEA[[#This Row],[StaffRoleCode]],ROLES[StaffRoleCode],ROLES[PayScaleCode])</f>
        <v>MAIN</v>
      </c>
      <c r="AI211" s="12" t="s">
        <v>1126</v>
      </c>
      <c r="AJ211" s="12" t="s">
        <v>3074</v>
      </c>
      <c r="AK211" s="12" t="s">
        <v>2499</v>
      </c>
      <c r="AM211" s="68" t="s">
        <v>1147</v>
      </c>
      <c r="AN211" s="13" t="s">
        <v>1702</v>
      </c>
      <c r="AO211" s="21">
        <v>45901</v>
      </c>
      <c r="AQ211" s="12">
        <v>1</v>
      </c>
      <c r="AR211" t="b">
        <v>0</v>
      </c>
      <c r="AS211" t="b">
        <v>0</v>
      </c>
      <c r="AT211" s="12" t="s">
        <v>1574</v>
      </c>
    </row>
    <row r="212" spans="1:47" x14ac:dyDescent="0.3">
      <c r="A212" s="57" t="str">
        <f t="shared" si="3"/>
        <v>ALS9185003091850030BTEASTCH45901</v>
      </c>
      <c r="B212" s="57">
        <f>COUNTIF(CONT_TEA[Unique Contract],CONT_TEA[[#This Row],[Unique Contract]])-1</f>
        <v>0</v>
      </c>
      <c r="C212" s="57">
        <f>IFERROR(IF(FIND(CONT_TEA[[#This Row],[SchoolCode]],_xlfn.XLOOKUP(CONT_TEA[[#This Row],[StaffMemberCode]],MEMBERS[StaffMemberCode],MEMBERS[SchoolCodes]))&gt;0,0,1),1)</f>
        <v>0</v>
      </c>
      <c r="D212" s="57" cm="1">
        <f t="array" ref="D212">IF(_xlfn.XLOOKUP(CONT_TEA[[#This Row],[StaffRoleCode]],ROLES[StaffRoleCode],ROLES[AvailableToAllSchools],1,0,)=TRUE,0,IF(ISERROR(FIND(CONT_TEA[[#This Row],[SchoolCode]],_xlfn.TEXTJOIN(",",TRUE,_xlfn.UNIQUE(IF(ROLES[StaffRoleCode]=CONT_TEA[[#This Row],[StaffRoleCode]],ROLES[SchoolCodes],""))))),1,0))</f>
        <v>0</v>
      </c>
      <c r="E212" s="57" cm="1">
        <f t="array" ref="E21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12" s="57" cm="1">
        <f t="array" ref="F212">IF(_xlfn.XLOOKUP(CONT_TEA[[#This Row],[PayScaleCode]],PAYSCALES[PayScaleCode],PAYSCALES[AvailableToAllSchools],1,0,)=TRUE,0,IF(ISERROR(FIND(CONT_TEA[[#This Row],[SchoolCode]],_xlfn.TEXTJOIN(",",TRUE,_xlfn.UNIQUE(IF(PAYSCALES[PayScaleCode]=CONT_TEA[[#This Row],[PayScaleCode]],PAYSCALES[SchoolCodes],""))))),1,0))</f>
        <v>0</v>
      </c>
      <c r="G212" s="57">
        <f>IF(_xlfn.XLOOKUP(CONT_TEA[[#This Row],[PayScaleGradeCode]],GRADES[PayScaleGradeCode],GRADES[AvailableToAllSchools])=TRUE,0,IFERROR(IF(FIND(CONT_TEA[[#This Row],[SchoolCode]],_xlfn.XLOOKUP(CONT_TEA[[#This Row],[PayScaleGradeCode]],GRADES[PayScaleGradeCode],GRADES[SchoolCodes]))&gt;=1,0,1),1))</f>
        <v>0</v>
      </c>
      <c r="H212" s="57">
        <f>IF(ISERROR(IF((_xlfn.XLOOKUP(CONT_TEA[[#This Row],[PayScaleGradeCode]],GRADES[PayScaleGradeCode],GRADES[PayScaleCode])=CONT_TEA[[#This Row],[PayScaleCode]]),0,1)),1,0)</f>
        <v>0</v>
      </c>
      <c r="I212" s="57" cm="1">
        <f t="array" ref="I212">IF(ISERROR(FIND(CONT_TEA[[#This Row],[PayScalePointCode]],_xlfn.TEXTJOIN(",",TRUE,IF(PSPOINTS[PayScaleCode]=CONT_TEA[[#This Row],[PayScaleCode]],PSPOINTS[PayScalePointCode])))),1,0)</f>
        <v>0</v>
      </c>
      <c r="J212" s="57" cm="1">
        <f t="array" ref="J21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12" s="57">
        <f>IF(_xlfn.XLOOKUP(CONT_TEA[[#This Row],[PayScalePointCode]],PSPOINTS[PayScalePointCode],PSPOINTS[PayScalePointEnabled])=TRUE,0,1)</f>
        <v>0</v>
      </c>
      <c r="L212" s="57" cm="1">
        <f t="array" ref="L212">IF(_xlfn.XLOOKUP(CONT_TEA[[#This Row],[DepartmentCode]],DEPTS[DepartmentCode],DEPTS[AvailableToAllSchools],1,0,)=TRUE,0,IF(ISERROR(FIND(CONT_TEA[[#This Row],[SchoolCode]],_xlfn.TEXTJOIN(",",TRUE,_xlfn.UNIQUE(IF(DEPTS[DepartmentCode]=CONT_TEA[[#This Row],[DepartmentCode]],DEPTS[SchoolCodes],""))))),1,0))</f>
        <v>0</v>
      </c>
      <c r="M212" s="57">
        <f>IFERROR(IF(_xlfn.XLOOKUP(CONT_TEA[[#This Row],[SRG Gross]],FinanceCodesBudget[FinanceCode],FinanceCodesBudget[LedgerCode])=_xlfn.XLOOKUP(CONT_TEA[[#This Row],[DepartmentCode]],DEPTS[DepartmentCode],DEPTS[LedgerCode]),0,1),1)</f>
        <v>1</v>
      </c>
      <c r="N212" s="57" cm="1">
        <f t="array" ref="N212">IF(_xlfn.XLOOKUP(CONT_TEA[[#This Row],[PensionCode]],PENS[PensionCode],PENS[AvailableToAllSchools],1,0,)=TRUE,0,IF(ISERROR(FIND(CONT_TEA[[#This Row],[SchoolCode]],_xlfn.TEXTJOIN(",",TRUE,_xlfn.UNIQUE(IF(PENS[PensionCode]=CONT_TEA[[#This Row],[PensionCode]],PENS[SchoolCodes],""))))),1,0))</f>
        <v>0</v>
      </c>
      <c r="O212" s="57" cm="1">
        <f t="array" ref="O212">IF(_xlfn.XLOOKUP(CONT_TEA[[#This Row],[EquatedWeekPatternCode]],EQW[EquatedWeekPatternCode],EQW[AvailableToAllSchools],1,0,)=TRUE,0,IF(ISERROR(FIND(CONT_TEA[[#This Row],[SchoolCode]],_xlfn.TEXTJOIN(",",TRUE,_xlfn.UNIQUE(IF(EQW[EquatedWeekPatternCode]=CONT_TEA[[#This Row],[EquatedWeekPatternCode]],EQW[SchoolCodes],""))))),1,0))</f>
        <v>0</v>
      </c>
      <c r="P212" s="57">
        <f>1-COUNTIF(ContractTypes[Code],CONT_TEA[[#This Row],[ContractTypeCode]])</f>
        <v>0</v>
      </c>
      <c r="Q212" s="57">
        <f>IF(VLOOKUP(CONT_TEA[[#This Row],[StaffMemberCode]],MEMBERS[[StaffMemberCode]:[ServiceStartDate]],5,0)&gt;CONT_TEA[[#This Row],[DateFrom]],1,0)</f>
        <v>0</v>
      </c>
      <c r="R212" s="57">
        <f>IF(_xlfn.XLOOKUP(CONT_TEA[[#This Row],[StaffMemberCode]],MEMBERS[StaffMemberCode],MEMBERS[ServiceEndDate])="",0,IF(CONT_TEA[[#This Row],[DateTo]]="",1,IF(_xlfn.XLOOKUP(CONT_TEA[[#This Row],[StaffMemberCode]],MEMBERS[StaffMemberCode],MEMBERS[ServiceEndDate])&lt;CONT_TEA[[#This Row],[DateTo]],1,0)))</f>
        <v>0</v>
      </c>
      <c r="S212" s="57">
        <f>IF(ISBLANK(CONT_TEA[[#This Row],[DateTo]]),0,IF(CONT_TEA[[#This Row],[DateFrom]]=CONT_TEA[[#This Row],[DateTo]],0,IF(CONT_TEA[[#This Row],[DateFrom]]&lt;CONT_TEA[[#This Row],[DateTo]],0,1)))</f>
        <v>0</v>
      </c>
      <c r="T212" s="57" cm="1">
        <f t="array" aca="1" ref="T212" ca="1">IF(CELL("format",CONT_TEA[[#This Row],[DateFrom]])="D1",0,1)+IF(CELL("format",CONT_TEA[[#This Row],[DateTo]])="D1",0,1)</f>
        <v>0</v>
      </c>
      <c r="U212" s="57">
        <f>IF(OR(CONT_TEA[[#This Row],[MatEditOnly]]=TRUE,CONT_TEA[[#This Row],[MatEditOnly]]=FALSE),IF(OR(CONT_TEA[[#This Row],[NoIncrement]]=TRUE,CONT_TEA[[#This Row],[NoIncrement]]=FALSE),0,1),1)</f>
        <v>0</v>
      </c>
      <c r="V212" s="57">
        <f>IF(ISBLANK(CONT_TEA[[#This Row],[FundCode]])=TRUE,0,IF(COUNTIF(FUNDS[FundCode],CONT_TEA[[#This Row],[FundCode]])=1,0,1))</f>
        <v>0</v>
      </c>
      <c r="W212" s="57">
        <f>IF(LEN(CONT_TEA[[#This Row],[Notes]])&lt;4000,0,1)</f>
        <v>0</v>
      </c>
      <c r="X212" s="57">
        <f>IF(SUBSTITUTE(TEXT(CONT_TEA[[#This Row],[Reference]],10)," ","")=TEXT(CONT_TEA[[#This Row],[Reference]],10),0,1)</f>
        <v>0</v>
      </c>
      <c r="Y212" s="57">
        <f ca="1">SUM(CONT_TEA[[#This Row],[Duplicate Contract]:[Space in Code]])</f>
        <v>1</v>
      </c>
      <c r="AA212" s="12" t="s">
        <v>2082</v>
      </c>
      <c r="AB212" s="15">
        <v>91850030</v>
      </c>
      <c r="AC212" s="12" t="s">
        <v>4560</v>
      </c>
      <c r="AD212" s="57" t="str">
        <f>_xlfn.XLOOKUP(CONT_TEA[[#This Row],[StaffMemberCode]],StaffMembers!O:O,StaffMembers!R:R)</f>
        <v>Nadiye Caglar</v>
      </c>
      <c r="AE212" s="12" t="s">
        <v>1178</v>
      </c>
      <c r="AF212" s="57">
        <f>_xlfn.XLOOKUP(CONT_TEA[[#This Row],[SRG]],SRG[StaffRoleGroupCode],SRG[GrossSalaryFinanceCode])</f>
        <v>612100</v>
      </c>
      <c r="AG212" s="57" t="str">
        <f>_xlfn.XLOOKUP(CONT_TEA[[#This Row],[StaffRoleCode]],ROLES[StaffRoleCode],ROLES[StaffRoleGroupCode])</f>
        <v>TEA</v>
      </c>
      <c r="AH212" s="57" t="str">
        <f>_xlfn.XLOOKUP(CONT_TEA[[#This Row],[StaffRoleCode]],ROLES[StaffRoleCode],ROLES[PayScaleCode])</f>
        <v>MAIN</v>
      </c>
      <c r="AI212" s="12" t="s">
        <v>1126</v>
      </c>
      <c r="AJ212" s="12" t="s">
        <v>1064</v>
      </c>
      <c r="AK212" s="12" t="s">
        <v>2499</v>
      </c>
      <c r="AM212" s="68" t="s">
        <v>1147</v>
      </c>
      <c r="AN212" s="13" t="s">
        <v>1702</v>
      </c>
      <c r="AO212" s="21">
        <v>45901</v>
      </c>
      <c r="AQ212" s="12">
        <v>1</v>
      </c>
      <c r="AR212" t="b">
        <v>0</v>
      </c>
      <c r="AS212" t="b">
        <v>0</v>
      </c>
      <c r="AT212" s="12" t="s">
        <v>1574</v>
      </c>
    </row>
    <row r="213" spans="1:47" x14ac:dyDescent="0.3">
      <c r="A213" s="57" t="str">
        <f t="shared" si="3"/>
        <v>ALS9107385291073852ATEASTCH45901</v>
      </c>
      <c r="B213" s="57">
        <f>COUNTIF(CONT_TEA[Unique Contract],CONT_TEA[[#This Row],[Unique Contract]])-1</f>
        <v>0</v>
      </c>
      <c r="C213" s="57">
        <f>IFERROR(IF(FIND(CONT_TEA[[#This Row],[SchoolCode]],_xlfn.XLOOKUP(CONT_TEA[[#This Row],[StaffMemberCode]],MEMBERS[StaffMemberCode],MEMBERS[SchoolCodes]))&gt;0,0,1),1)</f>
        <v>0</v>
      </c>
      <c r="D213" s="57" cm="1">
        <f t="array" ref="D213">IF(_xlfn.XLOOKUP(CONT_TEA[[#This Row],[StaffRoleCode]],ROLES[StaffRoleCode],ROLES[AvailableToAllSchools],1,0,)=TRUE,0,IF(ISERROR(FIND(CONT_TEA[[#This Row],[SchoolCode]],_xlfn.TEXTJOIN(",",TRUE,_xlfn.UNIQUE(IF(ROLES[StaffRoleCode]=CONT_TEA[[#This Row],[StaffRoleCode]],ROLES[SchoolCodes],""))))),1,0))</f>
        <v>0</v>
      </c>
      <c r="E213" s="57" cm="1">
        <f t="array" ref="E21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13" s="57" cm="1">
        <f t="array" ref="F213">IF(_xlfn.XLOOKUP(CONT_TEA[[#This Row],[PayScaleCode]],PAYSCALES[PayScaleCode],PAYSCALES[AvailableToAllSchools],1,0,)=TRUE,0,IF(ISERROR(FIND(CONT_TEA[[#This Row],[SchoolCode]],_xlfn.TEXTJOIN(",",TRUE,_xlfn.UNIQUE(IF(PAYSCALES[PayScaleCode]=CONT_TEA[[#This Row],[PayScaleCode]],PAYSCALES[SchoolCodes],""))))),1,0))</f>
        <v>0</v>
      </c>
      <c r="G213" s="57">
        <f>IF(_xlfn.XLOOKUP(CONT_TEA[[#This Row],[PayScaleGradeCode]],GRADES[PayScaleGradeCode],GRADES[AvailableToAllSchools])=TRUE,0,IFERROR(IF(FIND(CONT_TEA[[#This Row],[SchoolCode]],_xlfn.XLOOKUP(CONT_TEA[[#This Row],[PayScaleGradeCode]],GRADES[PayScaleGradeCode],GRADES[SchoolCodes]))&gt;=1,0,1),1))</f>
        <v>0</v>
      </c>
      <c r="H213" s="57">
        <f>IF(ISERROR(IF((_xlfn.XLOOKUP(CONT_TEA[[#This Row],[PayScaleGradeCode]],GRADES[PayScaleGradeCode],GRADES[PayScaleCode])=CONT_TEA[[#This Row],[PayScaleCode]]),0,1)),1,0)</f>
        <v>0</v>
      </c>
      <c r="I213" s="57" cm="1">
        <f t="array" ref="I213">IF(ISERROR(FIND(CONT_TEA[[#This Row],[PayScalePointCode]],_xlfn.TEXTJOIN(",",TRUE,IF(PSPOINTS[PayScaleCode]=CONT_TEA[[#This Row],[PayScaleCode]],PSPOINTS[PayScalePointCode])))),1,0)</f>
        <v>0</v>
      </c>
      <c r="J213" s="57" cm="1">
        <f t="array" ref="J21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13" s="57">
        <f>IF(_xlfn.XLOOKUP(CONT_TEA[[#This Row],[PayScalePointCode]],PSPOINTS[PayScalePointCode],PSPOINTS[PayScalePointEnabled])=TRUE,0,1)</f>
        <v>0</v>
      </c>
      <c r="L213" s="57" cm="1">
        <f t="array" ref="L213">IF(_xlfn.XLOOKUP(CONT_TEA[[#This Row],[DepartmentCode]],DEPTS[DepartmentCode],DEPTS[AvailableToAllSchools],1,0,)=TRUE,0,IF(ISERROR(FIND(CONT_TEA[[#This Row],[SchoolCode]],_xlfn.TEXTJOIN(",",TRUE,_xlfn.UNIQUE(IF(DEPTS[DepartmentCode]=CONT_TEA[[#This Row],[DepartmentCode]],DEPTS[SchoolCodes],""))))),1,0))</f>
        <v>0</v>
      </c>
      <c r="M213" s="57">
        <f>IFERROR(IF(_xlfn.XLOOKUP(CONT_TEA[[#This Row],[SRG Gross]],FinanceCodesBudget[FinanceCode],FinanceCodesBudget[LedgerCode])=_xlfn.XLOOKUP(CONT_TEA[[#This Row],[DepartmentCode]],DEPTS[DepartmentCode],DEPTS[LedgerCode]),0,1),1)</f>
        <v>1</v>
      </c>
      <c r="N213" s="57" cm="1">
        <f t="array" ref="N213">IF(_xlfn.XLOOKUP(CONT_TEA[[#This Row],[PensionCode]],PENS[PensionCode],PENS[AvailableToAllSchools],1,0,)=TRUE,0,IF(ISERROR(FIND(CONT_TEA[[#This Row],[SchoolCode]],_xlfn.TEXTJOIN(",",TRUE,_xlfn.UNIQUE(IF(PENS[PensionCode]=CONT_TEA[[#This Row],[PensionCode]],PENS[SchoolCodes],""))))),1,0))</f>
        <v>0</v>
      </c>
      <c r="O213" s="57" cm="1">
        <f t="array" ref="O213">IF(_xlfn.XLOOKUP(CONT_TEA[[#This Row],[EquatedWeekPatternCode]],EQW[EquatedWeekPatternCode],EQW[AvailableToAllSchools],1,0,)=TRUE,0,IF(ISERROR(FIND(CONT_TEA[[#This Row],[SchoolCode]],_xlfn.TEXTJOIN(",",TRUE,_xlfn.UNIQUE(IF(EQW[EquatedWeekPatternCode]=CONT_TEA[[#This Row],[EquatedWeekPatternCode]],EQW[SchoolCodes],""))))),1,0))</f>
        <v>0</v>
      </c>
      <c r="P213" s="57">
        <f>1-COUNTIF(ContractTypes[Code],CONT_TEA[[#This Row],[ContractTypeCode]])</f>
        <v>0</v>
      </c>
      <c r="Q213" s="57">
        <f>IF(VLOOKUP(CONT_TEA[[#This Row],[StaffMemberCode]],MEMBERS[[StaffMemberCode]:[ServiceStartDate]],5,0)&gt;CONT_TEA[[#This Row],[DateFrom]],1,0)</f>
        <v>0</v>
      </c>
      <c r="R213" s="57">
        <f>IF(_xlfn.XLOOKUP(CONT_TEA[[#This Row],[StaffMemberCode]],MEMBERS[StaffMemberCode],MEMBERS[ServiceEndDate])="",0,IF(CONT_TEA[[#This Row],[DateTo]]="",1,IF(_xlfn.XLOOKUP(CONT_TEA[[#This Row],[StaffMemberCode]],MEMBERS[StaffMemberCode],MEMBERS[ServiceEndDate])&lt;CONT_TEA[[#This Row],[DateTo]],1,0)))</f>
        <v>0</v>
      </c>
      <c r="S213" s="57">
        <f>IF(ISBLANK(CONT_TEA[[#This Row],[DateTo]]),0,IF(CONT_TEA[[#This Row],[DateFrom]]=CONT_TEA[[#This Row],[DateTo]],0,IF(CONT_TEA[[#This Row],[DateFrom]]&lt;CONT_TEA[[#This Row],[DateTo]],0,1)))</f>
        <v>0</v>
      </c>
      <c r="T213" s="57" cm="1">
        <f t="array" aca="1" ref="T213" ca="1">IF(CELL("format",CONT_TEA[[#This Row],[DateFrom]])="D1",0,1)+IF(CELL("format",CONT_TEA[[#This Row],[DateTo]])="D1",0,1)</f>
        <v>0</v>
      </c>
      <c r="U213" s="57">
        <f>IF(OR(CONT_TEA[[#This Row],[MatEditOnly]]=TRUE,CONT_TEA[[#This Row],[MatEditOnly]]=FALSE),IF(OR(CONT_TEA[[#This Row],[NoIncrement]]=TRUE,CONT_TEA[[#This Row],[NoIncrement]]=FALSE),0,1),1)</f>
        <v>0</v>
      </c>
      <c r="V213" s="57">
        <f>IF(ISBLANK(CONT_TEA[[#This Row],[FundCode]])=TRUE,0,IF(COUNTIF(FUNDS[FundCode],CONT_TEA[[#This Row],[FundCode]])=1,0,1))</f>
        <v>0</v>
      </c>
      <c r="W213" s="57">
        <f>IF(LEN(CONT_TEA[[#This Row],[Notes]])&lt;4000,0,1)</f>
        <v>0</v>
      </c>
      <c r="X213" s="57">
        <f>IF(SUBSTITUTE(TEXT(CONT_TEA[[#This Row],[Reference]],10)," ","")=TEXT(CONT_TEA[[#This Row],[Reference]],10),0,1)</f>
        <v>0</v>
      </c>
      <c r="Y213" s="57">
        <f ca="1">SUM(CONT_TEA[[#This Row],[Duplicate Contract]:[Space in Code]])</f>
        <v>1</v>
      </c>
      <c r="AA213" s="12" t="s">
        <v>2082</v>
      </c>
      <c r="AB213" s="15">
        <v>91073852</v>
      </c>
      <c r="AC213" s="12" t="s">
        <v>4561</v>
      </c>
      <c r="AD213" s="57" t="str">
        <f>_xlfn.XLOOKUP(CONT_TEA[[#This Row],[StaffMemberCode]],StaffMembers!O:O,StaffMembers!R:R)</f>
        <v>Naomi Waters</v>
      </c>
      <c r="AE213" s="12" t="s">
        <v>1178</v>
      </c>
      <c r="AF213" s="57">
        <f>_xlfn.XLOOKUP(CONT_TEA[[#This Row],[SRG]],SRG[StaffRoleGroupCode],SRG[GrossSalaryFinanceCode])</f>
        <v>612100</v>
      </c>
      <c r="AG213" s="57" t="str">
        <f>_xlfn.XLOOKUP(CONT_TEA[[#This Row],[StaffRoleCode]],ROLES[StaffRoleCode],ROLES[StaffRoleGroupCode])</f>
        <v>TEA</v>
      </c>
      <c r="AH213" s="57" t="str">
        <f>_xlfn.XLOOKUP(CONT_TEA[[#This Row],[StaffRoleCode]],ROLES[StaffRoleCode],ROLES[PayScaleCode])</f>
        <v>MAIN</v>
      </c>
      <c r="AI213" s="12" t="s">
        <v>1126</v>
      </c>
      <c r="AJ213" s="12" t="s">
        <v>1067</v>
      </c>
      <c r="AK213" s="12" t="s">
        <v>2499</v>
      </c>
      <c r="AM213" s="68" t="s">
        <v>1147</v>
      </c>
      <c r="AN213" s="13" t="s">
        <v>1702</v>
      </c>
      <c r="AO213" s="21">
        <v>45901</v>
      </c>
      <c r="AQ213" s="12">
        <v>1</v>
      </c>
      <c r="AR213" t="b">
        <v>0</v>
      </c>
      <c r="AS213" t="b">
        <v>0</v>
      </c>
      <c r="AT213" s="12" t="s">
        <v>1574</v>
      </c>
    </row>
    <row r="214" spans="1:47" x14ac:dyDescent="0.3">
      <c r="A214" s="57" t="str">
        <f t="shared" si="3"/>
        <v>ALS9107384691073846ATEASTCH45901</v>
      </c>
      <c r="B214" s="57">
        <f>COUNTIF(CONT_TEA[Unique Contract],CONT_TEA[[#This Row],[Unique Contract]])-1</f>
        <v>0</v>
      </c>
      <c r="C214" s="57">
        <f>IFERROR(IF(FIND(CONT_TEA[[#This Row],[SchoolCode]],_xlfn.XLOOKUP(CONT_TEA[[#This Row],[StaffMemberCode]],MEMBERS[StaffMemberCode],MEMBERS[SchoolCodes]))&gt;0,0,1),1)</f>
        <v>0</v>
      </c>
      <c r="D214" s="57" cm="1">
        <f t="array" ref="D214">IF(_xlfn.XLOOKUP(CONT_TEA[[#This Row],[StaffRoleCode]],ROLES[StaffRoleCode],ROLES[AvailableToAllSchools],1,0,)=TRUE,0,IF(ISERROR(FIND(CONT_TEA[[#This Row],[SchoolCode]],_xlfn.TEXTJOIN(",",TRUE,_xlfn.UNIQUE(IF(ROLES[StaffRoleCode]=CONT_TEA[[#This Row],[StaffRoleCode]],ROLES[SchoolCodes],""))))),1,0))</f>
        <v>0</v>
      </c>
      <c r="E214" s="57" cm="1">
        <f t="array" ref="E21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14" s="57" cm="1">
        <f t="array" ref="F214">IF(_xlfn.XLOOKUP(CONT_TEA[[#This Row],[PayScaleCode]],PAYSCALES[PayScaleCode],PAYSCALES[AvailableToAllSchools],1,0,)=TRUE,0,IF(ISERROR(FIND(CONT_TEA[[#This Row],[SchoolCode]],_xlfn.TEXTJOIN(",",TRUE,_xlfn.UNIQUE(IF(PAYSCALES[PayScaleCode]=CONT_TEA[[#This Row],[PayScaleCode]],PAYSCALES[SchoolCodes],""))))),1,0))</f>
        <v>0</v>
      </c>
      <c r="G214" s="57">
        <f>IF(_xlfn.XLOOKUP(CONT_TEA[[#This Row],[PayScaleGradeCode]],GRADES[PayScaleGradeCode],GRADES[AvailableToAllSchools])=TRUE,0,IFERROR(IF(FIND(CONT_TEA[[#This Row],[SchoolCode]],_xlfn.XLOOKUP(CONT_TEA[[#This Row],[PayScaleGradeCode]],GRADES[PayScaleGradeCode],GRADES[SchoolCodes]))&gt;=1,0,1),1))</f>
        <v>0</v>
      </c>
      <c r="H214" s="57">
        <f>IF(ISERROR(IF((_xlfn.XLOOKUP(CONT_TEA[[#This Row],[PayScaleGradeCode]],GRADES[PayScaleGradeCode],GRADES[PayScaleCode])=CONT_TEA[[#This Row],[PayScaleCode]]),0,1)),1,0)</f>
        <v>0</v>
      </c>
      <c r="I214" s="57" cm="1">
        <f t="array" ref="I214">IF(ISERROR(FIND(CONT_TEA[[#This Row],[PayScalePointCode]],_xlfn.TEXTJOIN(",",TRUE,IF(PSPOINTS[PayScaleCode]=CONT_TEA[[#This Row],[PayScaleCode]],PSPOINTS[PayScalePointCode])))),1,0)</f>
        <v>0</v>
      </c>
      <c r="J214" s="57" cm="1">
        <f t="array" ref="J21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14" s="57">
        <f>IF(_xlfn.XLOOKUP(CONT_TEA[[#This Row],[PayScalePointCode]],PSPOINTS[PayScalePointCode],PSPOINTS[PayScalePointEnabled])=TRUE,0,1)</f>
        <v>0</v>
      </c>
      <c r="L214" s="57" cm="1">
        <f t="array" ref="L214">IF(_xlfn.XLOOKUP(CONT_TEA[[#This Row],[DepartmentCode]],DEPTS[DepartmentCode],DEPTS[AvailableToAllSchools],1,0,)=TRUE,0,IF(ISERROR(FIND(CONT_TEA[[#This Row],[SchoolCode]],_xlfn.TEXTJOIN(",",TRUE,_xlfn.UNIQUE(IF(DEPTS[DepartmentCode]=CONT_TEA[[#This Row],[DepartmentCode]],DEPTS[SchoolCodes],""))))),1,0))</f>
        <v>0</v>
      </c>
      <c r="M214" s="57">
        <f>IFERROR(IF(_xlfn.XLOOKUP(CONT_TEA[[#This Row],[SRG Gross]],FinanceCodesBudget[FinanceCode],FinanceCodesBudget[LedgerCode])=_xlfn.XLOOKUP(CONT_TEA[[#This Row],[DepartmentCode]],DEPTS[DepartmentCode],DEPTS[LedgerCode]),0,1),1)</f>
        <v>1</v>
      </c>
      <c r="N214" s="57" cm="1">
        <f t="array" ref="N214">IF(_xlfn.XLOOKUP(CONT_TEA[[#This Row],[PensionCode]],PENS[PensionCode],PENS[AvailableToAllSchools],1,0,)=TRUE,0,IF(ISERROR(FIND(CONT_TEA[[#This Row],[SchoolCode]],_xlfn.TEXTJOIN(",",TRUE,_xlfn.UNIQUE(IF(PENS[PensionCode]=CONT_TEA[[#This Row],[PensionCode]],PENS[SchoolCodes],""))))),1,0))</f>
        <v>0</v>
      </c>
      <c r="O214" s="57" cm="1">
        <f t="array" ref="O214">IF(_xlfn.XLOOKUP(CONT_TEA[[#This Row],[EquatedWeekPatternCode]],EQW[EquatedWeekPatternCode],EQW[AvailableToAllSchools],1,0,)=TRUE,0,IF(ISERROR(FIND(CONT_TEA[[#This Row],[SchoolCode]],_xlfn.TEXTJOIN(",",TRUE,_xlfn.UNIQUE(IF(EQW[EquatedWeekPatternCode]=CONT_TEA[[#This Row],[EquatedWeekPatternCode]],EQW[SchoolCodes],""))))),1,0))</f>
        <v>0</v>
      </c>
      <c r="P214" s="57">
        <f>1-COUNTIF(ContractTypes[Code],CONT_TEA[[#This Row],[ContractTypeCode]])</f>
        <v>0</v>
      </c>
      <c r="Q214" s="57">
        <f>IF(VLOOKUP(CONT_TEA[[#This Row],[StaffMemberCode]],MEMBERS[[StaffMemberCode]:[ServiceStartDate]],5,0)&gt;CONT_TEA[[#This Row],[DateFrom]],1,0)</f>
        <v>0</v>
      </c>
      <c r="R214" s="57">
        <f>IF(_xlfn.XLOOKUP(CONT_TEA[[#This Row],[StaffMemberCode]],MEMBERS[StaffMemberCode],MEMBERS[ServiceEndDate])="",0,IF(CONT_TEA[[#This Row],[DateTo]]="",1,IF(_xlfn.XLOOKUP(CONT_TEA[[#This Row],[StaffMemberCode]],MEMBERS[StaffMemberCode],MEMBERS[ServiceEndDate])&lt;CONT_TEA[[#This Row],[DateTo]],1,0)))</f>
        <v>0</v>
      </c>
      <c r="S214" s="57">
        <f>IF(ISBLANK(CONT_TEA[[#This Row],[DateTo]]),0,IF(CONT_TEA[[#This Row],[DateFrom]]=CONT_TEA[[#This Row],[DateTo]],0,IF(CONT_TEA[[#This Row],[DateFrom]]&lt;CONT_TEA[[#This Row],[DateTo]],0,1)))</f>
        <v>0</v>
      </c>
      <c r="T214" s="57" cm="1">
        <f t="array" aca="1" ref="T214" ca="1">IF(CELL("format",CONT_TEA[[#This Row],[DateFrom]])="D1",0,1)+IF(CELL("format",CONT_TEA[[#This Row],[DateTo]])="D1",0,1)</f>
        <v>0</v>
      </c>
      <c r="U214" s="57">
        <f>IF(OR(CONT_TEA[[#This Row],[MatEditOnly]]=TRUE,CONT_TEA[[#This Row],[MatEditOnly]]=FALSE),IF(OR(CONT_TEA[[#This Row],[NoIncrement]]=TRUE,CONT_TEA[[#This Row],[NoIncrement]]=FALSE),0,1),1)</f>
        <v>0</v>
      </c>
      <c r="V214" s="57">
        <f>IF(ISBLANK(CONT_TEA[[#This Row],[FundCode]])=TRUE,0,IF(COUNTIF(FUNDS[FundCode],CONT_TEA[[#This Row],[FundCode]])=1,0,1))</f>
        <v>0</v>
      </c>
      <c r="W214" s="57">
        <f>IF(LEN(CONT_TEA[[#This Row],[Notes]])&lt;4000,0,1)</f>
        <v>0</v>
      </c>
      <c r="X214" s="57">
        <f>IF(SUBSTITUTE(TEXT(CONT_TEA[[#This Row],[Reference]],10)," ","")=TEXT(CONT_TEA[[#This Row],[Reference]],10),0,1)</f>
        <v>0</v>
      </c>
      <c r="Y214" s="57">
        <f ca="1">SUM(CONT_TEA[[#This Row],[Duplicate Contract]:[Space in Code]])</f>
        <v>1</v>
      </c>
      <c r="AA214" s="12" t="s">
        <v>2082</v>
      </c>
      <c r="AB214" s="15">
        <v>91073846</v>
      </c>
      <c r="AC214" s="12" t="s">
        <v>4562</v>
      </c>
      <c r="AD214" s="57" t="str">
        <f>_xlfn.XLOOKUP(CONT_TEA[[#This Row],[StaffMemberCode]],StaffMembers!O:O,StaffMembers!R:R)</f>
        <v>Natalie Daniels</v>
      </c>
      <c r="AE214" s="12" t="s">
        <v>1178</v>
      </c>
      <c r="AF214" s="57">
        <f>_xlfn.XLOOKUP(CONT_TEA[[#This Row],[SRG]],SRG[StaffRoleGroupCode],SRG[GrossSalaryFinanceCode])</f>
        <v>612100</v>
      </c>
      <c r="AG214" s="57" t="str">
        <f>_xlfn.XLOOKUP(CONT_TEA[[#This Row],[StaffRoleCode]],ROLES[StaffRoleCode],ROLES[StaffRoleGroupCode])</f>
        <v>TEA</v>
      </c>
      <c r="AH214" s="57" t="str">
        <f>_xlfn.XLOOKUP(CONT_TEA[[#This Row],[StaffRoleCode]],ROLES[StaffRoleCode],ROLES[PayScaleCode])</f>
        <v>MAIN</v>
      </c>
      <c r="AI214" s="12" t="s">
        <v>1126</v>
      </c>
      <c r="AJ214" s="12" t="s">
        <v>1745</v>
      </c>
      <c r="AK214" s="12" t="s">
        <v>2499</v>
      </c>
      <c r="AM214" s="68" t="s">
        <v>1147</v>
      </c>
      <c r="AN214" s="13" t="s">
        <v>1702</v>
      </c>
      <c r="AO214" s="21">
        <v>45901</v>
      </c>
      <c r="AQ214" s="12">
        <v>0.9</v>
      </c>
      <c r="AR214" t="b">
        <v>0</v>
      </c>
      <c r="AS214" t="b">
        <v>0</v>
      </c>
      <c r="AT214" s="12" t="s">
        <v>1574</v>
      </c>
    </row>
    <row r="215" spans="1:47" x14ac:dyDescent="0.3">
      <c r="A215" s="57" t="str">
        <f t="shared" si="3"/>
        <v>SBL9107576991075769ATEASTCH45901</v>
      </c>
      <c r="B215" s="57">
        <f>COUNTIF(CONT_TEA[Unique Contract],CONT_TEA[[#This Row],[Unique Contract]])-1</f>
        <v>0</v>
      </c>
      <c r="C215" s="57">
        <f>IFERROR(IF(FIND(CONT_TEA[[#This Row],[SchoolCode]],_xlfn.XLOOKUP(CONT_TEA[[#This Row],[StaffMemberCode]],MEMBERS[StaffMemberCode],MEMBERS[SchoolCodes]))&gt;0,0,1),1)</f>
        <v>0</v>
      </c>
      <c r="D215" s="57" cm="1">
        <f t="array" ref="D215">IF(_xlfn.XLOOKUP(CONT_TEA[[#This Row],[StaffRoleCode]],ROLES[StaffRoleCode],ROLES[AvailableToAllSchools],1,0,)=TRUE,0,IF(ISERROR(FIND(CONT_TEA[[#This Row],[SchoolCode]],_xlfn.TEXTJOIN(",",TRUE,_xlfn.UNIQUE(IF(ROLES[StaffRoleCode]=CONT_TEA[[#This Row],[StaffRoleCode]],ROLES[SchoolCodes],""))))),1,0))</f>
        <v>0</v>
      </c>
      <c r="E215" s="57" cm="1">
        <f t="array" ref="E21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15" s="57" cm="1">
        <f t="array" ref="F215">IF(_xlfn.XLOOKUP(CONT_TEA[[#This Row],[PayScaleCode]],PAYSCALES[PayScaleCode],PAYSCALES[AvailableToAllSchools],1,0,)=TRUE,0,IF(ISERROR(FIND(CONT_TEA[[#This Row],[SchoolCode]],_xlfn.TEXTJOIN(",",TRUE,_xlfn.UNIQUE(IF(PAYSCALES[PayScaleCode]=CONT_TEA[[#This Row],[PayScaleCode]],PAYSCALES[SchoolCodes],""))))),1,0))</f>
        <v>0</v>
      </c>
      <c r="G215" s="57">
        <f>IF(_xlfn.XLOOKUP(CONT_TEA[[#This Row],[PayScaleGradeCode]],GRADES[PayScaleGradeCode],GRADES[AvailableToAllSchools])=TRUE,0,IFERROR(IF(FIND(CONT_TEA[[#This Row],[SchoolCode]],_xlfn.XLOOKUP(CONT_TEA[[#This Row],[PayScaleGradeCode]],GRADES[PayScaleGradeCode],GRADES[SchoolCodes]))&gt;=1,0,1),1))</f>
        <v>0</v>
      </c>
      <c r="H215" s="57">
        <f>IF(ISERROR(IF((_xlfn.XLOOKUP(CONT_TEA[[#This Row],[PayScaleGradeCode]],GRADES[PayScaleGradeCode],GRADES[PayScaleCode])=CONT_TEA[[#This Row],[PayScaleCode]]),0,1)),1,0)</f>
        <v>0</v>
      </c>
      <c r="I215" s="57" cm="1">
        <f t="array" ref="I215">IF(ISERROR(FIND(CONT_TEA[[#This Row],[PayScalePointCode]],_xlfn.TEXTJOIN(",",TRUE,IF(PSPOINTS[PayScaleCode]=CONT_TEA[[#This Row],[PayScaleCode]],PSPOINTS[PayScalePointCode])))),1,0)</f>
        <v>0</v>
      </c>
      <c r="J215" s="57" cm="1">
        <f t="array" ref="J21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15" s="57">
        <f>IF(_xlfn.XLOOKUP(CONT_TEA[[#This Row],[PayScalePointCode]],PSPOINTS[PayScalePointCode],PSPOINTS[PayScalePointEnabled])=TRUE,0,1)</f>
        <v>0</v>
      </c>
      <c r="L215" s="57" cm="1">
        <f t="array" ref="L215">IF(_xlfn.XLOOKUP(CONT_TEA[[#This Row],[DepartmentCode]],DEPTS[DepartmentCode],DEPTS[AvailableToAllSchools],1,0,)=TRUE,0,IF(ISERROR(FIND(CONT_TEA[[#This Row],[SchoolCode]],_xlfn.TEXTJOIN(",",TRUE,_xlfn.UNIQUE(IF(DEPTS[DepartmentCode]=CONT_TEA[[#This Row],[DepartmentCode]],DEPTS[SchoolCodes],""))))),1,0))</f>
        <v>0</v>
      </c>
      <c r="M215" s="57">
        <f>IFERROR(IF(_xlfn.XLOOKUP(CONT_TEA[[#This Row],[SRG Gross]],FinanceCodesBudget[FinanceCode],FinanceCodesBudget[LedgerCode])=_xlfn.XLOOKUP(CONT_TEA[[#This Row],[DepartmentCode]],DEPTS[DepartmentCode],DEPTS[LedgerCode]),0,1),1)</f>
        <v>1</v>
      </c>
      <c r="N215" s="57" cm="1">
        <f t="array" ref="N215">IF(_xlfn.XLOOKUP(CONT_TEA[[#This Row],[PensionCode]],PENS[PensionCode],PENS[AvailableToAllSchools],1,0,)=TRUE,0,IF(ISERROR(FIND(CONT_TEA[[#This Row],[SchoolCode]],_xlfn.TEXTJOIN(",",TRUE,_xlfn.UNIQUE(IF(PENS[PensionCode]=CONT_TEA[[#This Row],[PensionCode]],PENS[SchoolCodes],""))))),1,0))</f>
        <v>0</v>
      </c>
      <c r="O215" s="57" cm="1">
        <f t="array" ref="O215">IF(_xlfn.XLOOKUP(CONT_TEA[[#This Row],[EquatedWeekPatternCode]],EQW[EquatedWeekPatternCode],EQW[AvailableToAllSchools],1,0,)=TRUE,0,IF(ISERROR(FIND(CONT_TEA[[#This Row],[SchoolCode]],_xlfn.TEXTJOIN(",",TRUE,_xlfn.UNIQUE(IF(EQW[EquatedWeekPatternCode]=CONT_TEA[[#This Row],[EquatedWeekPatternCode]],EQW[SchoolCodes],""))))),1,0))</f>
        <v>0</v>
      </c>
      <c r="P215" s="57">
        <f>1-COUNTIF(ContractTypes[Code],CONT_TEA[[#This Row],[ContractTypeCode]])</f>
        <v>0</v>
      </c>
      <c r="Q215" s="57">
        <f>IF(VLOOKUP(CONT_TEA[[#This Row],[StaffMemberCode]],MEMBERS[[StaffMemberCode]:[ServiceStartDate]],5,0)&gt;CONT_TEA[[#This Row],[DateFrom]],1,0)</f>
        <v>0</v>
      </c>
      <c r="R215" s="57">
        <f>IF(_xlfn.XLOOKUP(CONT_TEA[[#This Row],[StaffMemberCode]],MEMBERS[StaffMemberCode],MEMBERS[ServiceEndDate])="",0,IF(CONT_TEA[[#This Row],[DateTo]]="",1,IF(_xlfn.XLOOKUP(CONT_TEA[[#This Row],[StaffMemberCode]],MEMBERS[StaffMemberCode],MEMBERS[ServiceEndDate])&lt;CONT_TEA[[#This Row],[DateTo]],1,0)))</f>
        <v>0</v>
      </c>
      <c r="S215" s="57">
        <f>IF(ISBLANK(CONT_TEA[[#This Row],[DateTo]]),0,IF(CONT_TEA[[#This Row],[DateFrom]]=CONT_TEA[[#This Row],[DateTo]],0,IF(CONT_TEA[[#This Row],[DateFrom]]&lt;CONT_TEA[[#This Row],[DateTo]],0,1)))</f>
        <v>0</v>
      </c>
      <c r="T215" s="57" cm="1">
        <f t="array" aca="1" ref="T215" ca="1">IF(CELL("format",CONT_TEA[[#This Row],[DateFrom]])="D1",0,1)+IF(CELL("format",CONT_TEA[[#This Row],[DateTo]])="D1",0,1)</f>
        <v>0</v>
      </c>
      <c r="U215" s="57">
        <f>IF(OR(CONT_TEA[[#This Row],[MatEditOnly]]=TRUE,CONT_TEA[[#This Row],[MatEditOnly]]=FALSE),IF(OR(CONT_TEA[[#This Row],[NoIncrement]]=TRUE,CONT_TEA[[#This Row],[NoIncrement]]=FALSE),0,1),1)</f>
        <v>0</v>
      </c>
      <c r="V215" s="57">
        <f>IF(ISBLANK(CONT_TEA[[#This Row],[FundCode]])=TRUE,0,IF(COUNTIF(FUNDS[FundCode],CONT_TEA[[#This Row],[FundCode]])=1,0,1))</f>
        <v>0</v>
      </c>
      <c r="W215" s="57">
        <f>IF(LEN(CONT_TEA[[#This Row],[Notes]])&lt;4000,0,1)</f>
        <v>0</v>
      </c>
      <c r="X215" s="57">
        <f>IF(SUBSTITUTE(TEXT(CONT_TEA[[#This Row],[Reference]],10)," ","")=TEXT(CONT_TEA[[#This Row],[Reference]],10),0,1)</f>
        <v>0</v>
      </c>
      <c r="Y215" s="57">
        <f ca="1">SUM(CONT_TEA[[#This Row],[Duplicate Contract]:[Space in Code]])</f>
        <v>1</v>
      </c>
      <c r="AA215" s="12" t="s">
        <v>2200</v>
      </c>
      <c r="AB215" s="15">
        <v>91075769</v>
      </c>
      <c r="AC215" s="12" t="s">
        <v>4563</v>
      </c>
      <c r="AD215" s="57" t="str">
        <f>_xlfn.XLOOKUP(CONT_TEA[[#This Row],[StaffMemberCode]],StaffMembers!O:O,StaffMembers!R:R)</f>
        <v>Natalie Newson</v>
      </c>
      <c r="AE215" s="12" t="s">
        <v>1178</v>
      </c>
      <c r="AF215" s="57">
        <f>_xlfn.XLOOKUP(CONT_TEA[[#This Row],[SRG]],SRG[StaffRoleGroupCode],SRG[GrossSalaryFinanceCode])</f>
        <v>612100</v>
      </c>
      <c r="AG215" s="57" t="str">
        <f>_xlfn.XLOOKUP(CONT_TEA[[#This Row],[StaffRoleCode]],ROLES[StaffRoleCode],ROLES[StaffRoleGroupCode])</f>
        <v>TEA</v>
      </c>
      <c r="AH215" s="57" t="str">
        <f>_xlfn.XLOOKUP(CONT_TEA[[#This Row],[StaffRoleCode]],ROLES[StaffRoleCode],ROLES[PayScaleCode])</f>
        <v>MAIN</v>
      </c>
      <c r="AI215" s="12" t="s">
        <v>1126</v>
      </c>
      <c r="AJ215" s="12" t="s">
        <v>1745</v>
      </c>
      <c r="AK215" s="12" t="s">
        <v>2499</v>
      </c>
      <c r="AM215" s="68" t="s">
        <v>1147</v>
      </c>
      <c r="AN215" s="13" t="s">
        <v>1702</v>
      </c>
      <c r="AO215" s="21">
        <v>45901</v>
      </c>
      <c r="AQ215" s="12">
        <v>0.68</v>
      </c>
      <c r="AR215" t="b">
        <v>0</v>
      </c>
      <c r="AS215" t="b">
        <v>0</v>
      </c>
      <c r="AT215" s="12" t="s">
        <v>1574</v>
      </c>
    </row>
    <row r="216" spans="1:47" x14ac:dyDescent="0.3">
      <c r="A216" s="57" t="str">
        <f t="shared" si="3"/>
        <v>PTP9132467291324672ATEASTCH45901</v>
      </c>
      <c r="B216" s="57">
        <f>COUNTIF(CONT_TEA[Unique Contract],CONT_TEA[[#This Row],[Unique Contract]])-1</f>
        <v>0</v>
      </c>
      <c r="C216" s="57">
        <f>IFERROR(IF(FIND(CONT_TEA[[#This Row],[SchoolCode]],_xlfn.XLOOKUP(CONT_TEA[[#This Row],[StaffMemberCode]],MEMBERS[StaffMemberCode],MEMBERS[SchoolCodes]))&gt;0,0,1),1)</f>
        <v>0</v>
      </c>
      <c r="D216" s="57" cm="1">
        <f t="array" ref="D216">IF(_xlfn.XLOOKUP(CONT_TEA[[#This Row],[StaffRoleCode]],ROLES[StaffRoleCode],ROLES[AvailableToAllSchools],1,0,)=TRUE,0,IF(ISERROR(FIND(CONT_TEA[[#This Row],[SchoolCode]],_xlfn.TEXTJOIN(",",TRUE,_xlfn.UNIQUE(IF(ROLES[StaffRoleCode]=CONT_TEA[[#This Row],[StaffRoleCode]],ROLES[SchoolCodes],""))))),1,0))</f>
        <v>0</v>
      </c>
      <c r="E216" s="57" cm="1">
        <f t="array" ref="E21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16" s="57" cm="1">
        <f t="array" ref="F216">IF(_xlfn.XLOOKUP(CONT_TEA[[#This Row],[PayScaleCode]],PAYSCALES[PayScaleCode],PAYSCALES[AvailableToAllSchools],1,0,)=TRUE,0,IF(ISERROR(FIND(CONT_TEA[[#This Row],[SchoolCode]],_xlfn.TEXTJOIN(",",TRUE,_xlfn.UNIQUE(IF(PAYSCALES[PayScaleCode]=CONT_TEA[[#This Row],[PayScaleCode]],PAYSCALES[SchoolCodes],""))))),1,0))</f>
        <v>0</v>
      </c>
      <c r="G216" s="57">
        <f>IF(_xlfn.XLOOKUP(CONT_TEA[[#This Row],[PayScaleGradeCode]],GRADES[PayScaleGradeCode],GRADES[AvailableToAllSchools])=TRUE,0,IFERROR(IF(FIND(CONT_TEA[[#This Row],[SchoolCode]],_xlfn.XLOOKUP(CONT_TEA[[#This Row],[PayScaleGradeCode]],GRADES[PayScaleGradeCode],GRADES[SchoolCodes]))&gt;=1,0,1),1))</f>
        <v>0</v>
      </c>
      <c r="H216" s="57">
        <f>IF(ISERROR(IF((_xlfn.XLOOKUP(CONT_TEA[[#This Row],[PayScaleGradeCode]],GRADES[PayScaleGradeCode],GRADES[PayScaleCode])=CONT_TEA[[#This Row],[PayScaleCode]]),0,1)),1,0)</f>
        <v>0</v>
      </c>
      <c r="I216" s="57" cm="1">
        <f t="array" ref="I216">IF(ISERROR(FIND(CONT_TEA[[#This Row],[PayScalePointCode]],_xlfn.TEXTJOIN(",",TRUE,IF(PSPOINTS[PayScaleCode]=CONT_TEA[[#This Row],[PayScaleCode]],PSPOINTS[PayScalePointCode])))),1,0)</f>
        <v>0</v>
      </c>
      <c r="J216" s="57" cm="1">
        <f t="array" ref="J21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16" s="57">
        <f>IF(_xlfn.XLOOKUP(CONT_TEA[[#This Row],[PayScalePointCode]],PSPOINTS[PayScalePointCode],PSPOINTS[PayScalePointEnabled])=TRUE,0,1)</f>
        <v>0</v>
      </c>
      <c r="L216" s="57" cm="1">
        <f t="array" ref="L216">IF(_xlfn.XLOOKUP(CONT_TEA[[#This Row],[DepartmentCode]],DEPTS[DepartmentCode],DEPTS[AvailableToAllSchools],1,0,)=TRUE,0,IF(ISERROR(FIND(CONT_TEA[[#This Row],[SchoolCode]],_xlfn.TEXTJOIN(",",TRUE,_xlfn.UNIQUE(IF(DEPTS[DepartmentCode]=CONT_TEA[[#This Row],[DepartmentCode]],DEPTS[SchoolCodes],""))))),1,0))</f>
        <v>0</v>
      </c>
      <c r="M216" s="57">
        <f>IFERROR(IF(_xlfn.XLOOKUP(CONT_TEA[[#This Row],[SRG Gross]],FinanceCodesBudget[FinanceCode],FinanceCodesBudget[LedgerCode])=_xlfn.XLOOKUP(CONT_TEA[[#This Row],[DepartmentCode]],DEPTS[DepartmentCode],DEPTS[LedgerCode]),0,1),1)</f>
        <v>1</v>
      </c>
      <c r="N216" s="57" cm="1">
        <f t="array" ref="N216">IF(_xlfn.XLOOKUP(CONT_TEA[[#This Row],[PensionCode]],PENS[PensionCode],PENS[AvailableToAllSchools],1,0,)=TRUE,0,IF(ISERROR(FIND(CONT_TEA[[#This Row],[SchoolCode]],_xlfn.TEXTJOIN(",",TRUE,_xlfn.UNIQUE(IF(PENS[PensionCode]=CONT_TEA[[#This Row],[PensionCode]],PENS[SchoolCodes],""))))),1,0))</f>
        <v>0</v>
      </c>
      <c r="O216" s="57" cm="1">
        <f t="array" ref="O216">IF(_xlfn.XLOOKUP(CONT_TEA[[#This Row],[EquatedWeekPatternCode]],EQW[EquatedWeekPatternCode],EQW[AvailableToAllSchools],1,0,)=TRUE,0,IF(ISERROR(FIND(CONT_TEA[[#This Row],[SchoolCode]],_xlfn.TEXTJOIN(",",TRUE,_xlfn.UNIQUE(IF(EQW[EquatedWeekPatternCode]=CONT_TEA[[#This Row],[EquatedWeekPatternCode]],EQW[SchoolCodes],""))))),1,0))</f>
        <v>0</v>
      </c>
      <c r="P216" s="57">
        <f>1-COUNTIF(ContractTypes[Code],CONT_TEA[[#This Row],[ContractTypeCode]])</f>
        <v>0</v>
      </c>
      <c r="Q216" s="57">
        <f>IF(VLOOKUP(CONT_TEA[[#This Row],[StaffMemberCode]],MEMBERS[[StaffMemberCode]:[ServiceStartDate]],5,0)&gt;CONT_TEA[[#This Row],[DateFrom]],1,0)</f>
        <v>0</v>
      </c>
      <c r="R216" s="57">
        <f>IF(_xlfn.XLOOKUP(CONT_TEA[[#This Row],[StaffMemberCode]],MEMBERS[StaffMemberCode],MEMBERS[ServiceEndDate])="",0,IF(CONT_TEA[[#This Row],[DateTo]]="",1,IF(_xlfn.XLOOKUP(CONT_TEA[[#This Row],[StaffMemberCode]],MEMBERS[StaffMemberCode],MEMBERS[ServiceEndDate])&lt;CONT_TEA[[#This Row],[DateTo]],1,0)))</f>
        <v>0</v>
      </c>
      <c r="S216" s="57">
        <f>IF(ISBLANK(CONT_TEA[[#This Row],[DateTo]]),0,IF(CONT_TEA[[#This Row],[DateFrom]]=CONT_TEA[[#This Row],[DateTo]],0,IF(CONT_TEA[[#This Row],[DateFrom]]&lt;CONT_TEA[[#This Row],[DateTo]],0,1)))</f>
        <v>0</v>
      </c>
      <c r="T216" s="57" cm="1">
        <f t="array" aca="1" ref="T216" ca="1">IF(CELL("format",CONT_TEA[[#This Row],[DateFrom]])="D1",0,1)+IF(CELL("format",CONT_TEA[[#This Row],[DateTo]])="D1",0,1)</f>
        <v>0</v>
      </c>
      <c r="U216" s="57">
        <f>IF(OR(CONT_TEA[[#This Row],[MatEditOnly]]=TRUE,CONT_TEA[[#This Row],[MatEditOnly]]=FALSE),IF(OR(CONT_TEA[[#This Row],[NoIncrement]]=TRUE,CONT_TEA[[#This Row],[NoIncrement]]=FALSE),0,1),1)</f>
        <v>0</v>
      </c>
      <c r="V216" s="57">
        <f>IF(ISBLANK(CONT_TEA[[#This Row],[FundCode]])=TRUE,0,IF(COUNTIF(FUNDS[FundCode],CONT_TEA[[#This Row],[FundCode]])=1,0,1))</f>
        <v>0</v>
      </c>
      <c r="W216" s="57">
        <f>IF(LEN(CONT_TEA[[#This Row],[Notes]])&lt;4000,0,1)</f>
        <v>0</v>
      </c>
      <c r="X216" s="57">
        <f>IF(SUBSTITUTE(TEXT(CONT_TEA[[#This Row],[Reference]],10)," ","")=TEXT(CONT_TEA[[#This Row],[Reference]],10),0,1)</f>
        <v>0</v>
      </c>
      <c r="Y216" s="57">
        <f ca="1">SUM(CONT_TEA[[#This Row],[Duplicate Contract]:[Space in Code]])</f>
        <v>1</v>
      </c>
      <c r="AA216" s="12" t="s">
        <v>2299</v>
      </c>
      <c r="AB216" s="15">
        <v>91324672</v>
      </c>
      <c r="AC216" s="12" t="s">
        <v>4564</v>
      </c>
      <c r="AD216" s="57" t="str">
        <f>_xlfn.XLOOKUP(CONT_TEA[[#This Row],[StaffMemberCode]],StaffMembers!O:O,StaffMembers!R:R)</f>
        <v>Natalie Zatrakova</v>
      </c>
      <c r="AE216" s="12" t="s">
        <v>1178</v>
      </c>
      <c r="AF216" s="57">
        <f>_xlfn.XLOOKUP(CONT_TEA[[#This Row],[SRG]],SRG[StaffRoleGroupCode],SRG[GrossSalaryFinanceCode])</f>
        <v>612100</v>
      </c>
      <c r="AG216" s="57" t="str">
        <f>_xlfn.XLOOKUP(CONT_TEA[[#This Row],[StaffRoleCode]],ROLES[StaffRoleCode],ROLES[StaffRoleGroupCode])</f>
        <v>TEA</v>
      </c>
      <c r="AH216" s="57" t="str">
        <f>_xlfn.XLOOKUP(CONT_TEA[[#This Row],[StaffRoleCode]],ROLES[StaffRoleCode],ROLES[PayScaleCode])</f>
        <v>MAIN</v>
      </c>
      <c r="AI216" s="12" t="s">
        <v>1126</v>
      </c>
      <c r="AJ216" s="12" t="s">
        <v>3074</v>
      </c>
      <c r="AK216" s="12" t="s">
        <v>2499</v>
      </c>
      <c r="AM216" s="68" t="s">
        <v>1147</v>
      </c>
      <c r="AN216" s="13" t="s">
        <v>1702</v>
      </c>
      <c r="AO216" s="21">
        <v>45901</v>
      </c>
      <c r="AQ216" s="12">
        <v>0.8</v>
      </c>
      <c r="AR216" t="b">
        <v>0</v>
      </c>
      <c r="AS216" t="b">
        <v>0</v>
      </c>
      <c r="AT216" s="12" t="s">
        <v>1574</v>
      </c>
      <c r="AU216" s="12" t="s">
        <v>4347</v>
      </c>
    </row>
    <row r="217" spans="1:47" x14ac:dyDescent="0.3">
      <c r="A217" s="57" t="str">
        <f t="shared" si="3"/>
        <v>WVP9107342091073420ATEASTCH45901</v>
      </c>
      <c r="B217" s="57">
        <f>COUNTIF(CONT_TEA[Unique Contract],CONT_TEA[[#This Row],[Unique Contract]])-1</f>
        <v>0</v>
      </c>
      <c r="C217" s="57">
        <f>IFERROR(IF(FIND(CONT_TEA[[#This Row],[SchoolCode]],_xlfn.XLOOKUP(CONT_TEA[[#This Row],[StaffMemberCode]],MEMBERS[StaffMemberCode],MEMBERS[SchoolCodes]))&gt;0,0,1),1)</f>
        <v>0</v>
      </c>
      <c r="D217" s="57" cm="1">
        <f t="array" ref="D217">IF(_xlfn.XLOOKUP(CONT_TEA[[#This Row],[StaffRoleCode]],ROLES[StaffRoleCode],ROLES[AvailableToAllSchools],1,0,)=TRUE,0,IF(ISERROR(FIND(CONT_TEA[[#This Row],[SchoolCode]],_xlfn.TEXTJOIN(",",TRUE,_xlfn.UNIQUE(IF(ROLES[StaffRoleCode]=CONT_TEA[[#This Row],[StaffRoleCode]],ROLES[SchoolCodes],""))))),1,0))</f>
        <v>0</v>
      </c>
      <c r="E217" s="57" cm="1">
        <f t="array" ref="E21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17" s="57" cm="1">
        <f t="array" ref="F217">IF(_xlfn.XLOOKUP(CONT_TEA[[#This Row],[PayScaleCode]],PAYSCALES[PayScaleCode],PAYSCALES[AvailableToAllSchools],1,0,)=TRUE,0,IF(ISERROR(FIND(CONT_TEA[[#This Row],[SchoolCode]],_xlfn.TEXTJOIN(",",TRUE,_xlfn.UNIQUE(IF(PAYSCALES[PayScaleCode]=CONT_TEA[[#This Row],[PayScaleCode]],PAYSCALES[SchoolCodes],""))))),1,0))</f>
        <v>0</v>
      </c>
      <c r="G217" s="57">
        <f>IF(_xlfn.XLOOKUP(CONT_TEA[[#This Row],[PayScaleGradeCode]],GRADES[PayScaleGradeCode],GRADES[AvailableToAllSchools])=TRUE,0,IFERROR(IF(FIND(CONT_TEA[[#This Row],[SchoolCode]],_xlfn.XLOOKUP(CONT_TEA[[#This Row],[PayScaleGradeCode]],GRADES[PayScaleGradeCode],GRADES[SchoolCodes]))&gt;=1,0,1),1))</f>
        <v>0</v>
      </c>
      <c r="H217" s="57">
        <f>IF(ISERROR(IF((_xlfn.XLOOKUP(CONT_TEA[[#This Row],[PayScaleGradeCode]],GRADES[PayScaleGradeCode],GRADES[PayScaleCode])=CONT_TEA[[#This Row],[PayScaleCode]]),0,1)),1,0)</f>
        <v>0</v>
      </c>
      <c r="I217" s="57" cm="1">
        <f t="array" ref="I217">IF(ISERROR(FIND(CONT_TEA[[#This Row],[PayScalePointCode]],_xlfn.TEXTJOIN(",",TRUE,IF(PSPOINTS[PayScaleCode]=CONT_TEA[[#This Row],[PayScaleCode]],PSPOINTS[PayScalePointCode])))),1,0)</f>
        <v>0</v>
      </c>
      <c r="J217" s="57" cm="1">
        <f t="array" ref="J21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17" s="57">
        <f>IF(_xlfn.XLOOKUP(CONT_TEA[[#This Row],[PayScalePointCode]],PSPOINTS[PayScalePointCode],PSPOINTS[PayScalePointEnabled])=TRUE,0,1)</f>
        <v>0</v>
      </c>
      <c r="L217" s="57" cm="1">
        <f t="array" ref="L217">IF(_xlfn.XLOOKUP(CONT_TEA[[#This Row],[DepartmentCode]],DEPTS[DepartmentCode],DEPTS[AvailableToAllSchools],1,0,)=TRUE,0,IF(ISERROR(FIND(CONT_TEA[[#This Row],[SchoolCode]],_xlfn.TEXTJOIN(",",TRUE,_xlfn.UNIQUE(IF(DEPTS[DepartmentCode]=CONT_TEA[[#This Row],[DepartmentCode]],DEPTS[SchoolCodes],""))))),1,0))</f>
        <v>0</v>
      </c>
      <c r="M217" s="57">
        <f>IFERROR(IF(_xlfn.XLOOKUP(CONT_TEA[[#This Row],[SRG Gross]],FinanceCodesBudget[FinanceCode],FinanceCodesBudget[LedgerCode])=_xlfn.XLOOKUP(CONT_TEA[[#This Row],[DepartmentCode]],DEPTS[DepartmentCode],DEPTS[LedgerCode]),0,1),1)</f>
        <v>1</v>
      </c>
      <c r="N217" s="57" cm="1">
        <f t="array" ref="N217">IF(_xlfn.XLOOKUP(CONT_TEA[[#This Row],[PensionCode]],PENS[PensionCode],PENS[AvailableToAllSchools],1,0,)=TRUE,0,IF(ISERROR(FIND(CONT_TEA[[#This Row],[SchoolCode]],_xlfn.TEXTJOIN(",",TRUE,_xlfn.UNIQUE(IF(PENS[PensionCode]=CONT_TEA[[#This Row],[PensionCode]],PENS[SchoolCodes],""))))),1,0))</f>
        <v>0</v>
      </c>
      <c r="O217" s="57" cm="1">
        <f t="array" ref="O217">IF(_xlfn.XLOOKUP(CONT_TEA[[#This Row],[EquatedWeekPatternCode]],EQW[EquatedWeekPatternCode],EQW[AvailableToAllSchools],1,0,)=TRUE,0,IF(ISERROR(FIND(CONT_TEA[[#This Row],[SchoolCode]],_xlfn.TEXTJOIN(",",TRUE,_xlfn.UNIQUE(IF(EQW[EquatedWeekPatternCode]=CONT_TEA[[#This Row],[EquatedWeekPatternCode]],EQW[SchoolCodes],""))))),1,0))</f>
        <v>0</v>
      </c>
      <c r="P217" s="57">
        <f>1-COUNTIF(ContractTypes[Code],CONT_TEA[[#This Row],[ContractTypeCode]])</f>
        <v>0</v>
      </c>
      <c r="Q217" s="57">
        <f>IF(VLOOKUP(CONT_TEA[[#This Row],[StaffMemberCode]],MEMBERS[[StaffMemberCode]:[ServiceStartDate]],5,0)&gt;CONT_TEA[[#This Row],[DateFrom]],1,0)</f>
        <v>0</v>
      </c>
      <c r="R217" s="57">
        <f>IF(_xlfn.XLOOKUP(CONT_TEA[[#This Row],[StaffMemberCode]],MEMBERS[StaffMemberCode],MEMBERS[ServiceEndDate])="",0,IF(CONT_TEA[[#This Row],[DateTo]]="",1,IF(_xlfn.XLOOKUP(CONT_TEA[[#This Row],[StaffMemberCode]],MEMBERS[StaffMemberCode],MEMBERS[ServiceEndDate])&lt;CONT_TEA[[#This Row],[DateTo]],1,0)))</f>
        <v>0</v>
      </c>
      <c r="S217" s="57">
        <f>IF(ISBLANK(CONT_TEA[[#This Row],[DateTo]]),0,IF(CONT_TEA[[#This Row],[DateFrom]]=CONT_TEA[[#This Row],[DateTo]],0,IF(CONT_TEA[[#This Row],[DateFrom]]&lt;CONT_TEA[[#This Row],[DateTo]],0,1)))</f>
        <v>0</v>
      </c>
      <c r="T217" s="57" cm="1">
        <f t="array" aca="1" ref="T217" ca="1">IF(CELL("format",CONT_TEA[[#This Row],[DateFrom]])="D1",0,1)+IF(CELL("format",CONT_TEA[[#This Row],[DateTo]])="D1",0,1)</f>
        <v>0</v>
      </c>
      <c r="U217" s="57">
        <f>IF(OR(CONT_TEA[[#This Row],[MatEditOnly]]=TRUE,CONT_TEA[[#This Row],[MatEditOnly]]=FALSE),IF(OR(CONT_TEA[[#This Row],[NoIncrement]]=TRUE,CONT_TEA[[#This Row],[NoIncrement]]=FALSE),0,1),1)</f>
        <v>0</v>
      </c>
      <c r="V217" s="57">
        <f>IF(ISBLANK(CONT_TEA[[#This Row],[FundCode]])=TRUE,0,IF(COUNTIF(FUNDS[FundCode],CONT_TEA[[#This Row],[FundCode]])=1,0,1))</f>
        <v>0</v>
      </c>
      <c r="W217" s="57">
        <f>IF(LEN(CONT_TEA[[#This Row],[Notes]])&lt;4000,0,1)</f>
        <v>0</v>
      </c>
      <c r="X217" s="57">
        <f>IF(SUBSTITUTE(TEXT(CONT_TEA[[#This Row],[Reference]],10)," ","")=TEXT(CONT_TEA[[#This Row],[Reference]],10),0,1)</f>
        <v>0</v>
      </c>
      <c r="Y217" s="57">
        <f ca="1">SUM(CONT_TEA[[#This Row],[Duplicate Contract]:[Space in Code]])</f>
        <v>1</v>
      </c>
      <c r="AA217" s="12" t="s">
        <v>2275</v>
      </c>
      <c r="AB217" s="15">
        <v>91073420</v>
      </c>
      <c r="AC217" s="12" t="s">
        <v>4565</v>
      </c>
      <c r="AD217" s="57" t="str">
        <f>_xlfn.XLOOKUP(CONT_TEA[[#This Row],[StaffMemberCode]],StaffMembers!O:O,StaffMembers!R:R)</f>
        <v>Natasha Griffiths</v>
      </c>
      <c r="AE217" s="12" t="s">
        <v>1178</v>
      </c>
      <c r="AF217" s="57">
        <f>_xlfn.XLOOKUP(CONT_TEA[[#This Row],[SRG]],SRG[StaffRoleGroupCode],SRG[GrossSalaryFinanceCode])</f>
        <v>612100</v>
      </c>
      <c r="AG217" s="57" t="str">
        <f>_xlfn.XLOOKUP(CONT_TEA[[#This Row],[StaffRoleCode]],ROLES[StaffRoleCode],ROLES[StaffRoleGroupCode])</f>
        <v>TEA</v>
      </c>
      <c r="AH217" s="57" t="str">
        <f>_xlfn.XLOOKUP(CONT_TEA[[#This Row],[StaffRoleCode]],ROLES[StaffRoleCode],ROLES[PayScaleCode])</f>
        <v>MAIN</v>
      </c>
      <c r="AI217" s="12" t="s">
        <v>1126</v>
      </c>
      <c r="AJ217" s="12" t="s">
        <v>1068</v>
      </c>
      <c r="AK217" s="12" t="s">
        <v>2499</v>
      </c>
      <c r="AM217" s="68" t="s">
        <v>1147</v>
      </c>
      <c r="AN217" s="13" t="s">
        <v>1702</v>
      </c>
      <c r="AO217" s="21">
        <v>45901</v>
      </c>
      <c r="AQ217" s="12">
        <v>1</v>
      </c>
      <c r="AR217" t="b">
        <v>0</v>
      </c>
      <c r="AS217" t="b">
        <v>0</v>
      </c>
      <c r="AT217" s="12" t="s">
        <v>1574</v>
      </c>
    </row>
    <row r="218" spans="1:47" x14ac:dyDescent="0.3">
      <c r="A218" s="57" t="str">
        <f t="shared" ref="A218:A252" si="4">AA218&amp;AB218&amp;AC218&amp;AE218&amp;AK218&amp;AO218</f>
        <v>ALS9132475391324753ATEASTCH45901</v>
      </c>
      <c r="B218" s="57">
        <f>COUNTIF(CONT_TEA[Unique Contract],CONT_TEA[[#This Row],[Unique Contract]])-1</f>
        <v>0</v>
      </c>
      <c r="C218" s="57">
        <f>IFERROR(IF(FIND(CONT_TEA[[#This Row],[SchoolCode]],_xlfn.XLOOKUP(CONT_TEA[[#This Row],[StaffMemberCode]],MEMBERS[StaffMemberCode],MEMBERS[SchoolCodes]))&gt;0,0,1),1)</f>
        <v>0</v>
      </c>
      <c r="D218" s="57" cm="1">
        <f t="array" ref="D218">IF(_xlfn.XLOOKUP(CONT_TEA[[#This Row],[StaffRoleCode]],ROLES[StaffRoleCode],ROLES[AvailableToAllSchools],1,0,)=TRUE,0,IF(ISERROR(FIND(CONT_TEA[[#This Row],[SchoolCode]],_xlfn.TEXTJOIN(",",TRUE,_xlfn.UNIQUE(IF(ROLES[StaffRoleCode]=CONT_TEA[[#This Row],[StaffRoleCode]],ROLES[SchoolCodes],""))))),1,0))</f>
        <v>0</v>
      </c>
      <c r="E218" s="57" cm="1">
        <f t="array" ref="E21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18" s="57" cm="1">
        <f t="array" ref="F218">IF(_xlfn.XLOOKUP(CONT_TEA[[#This Row],[PayScaleCode]],PAYSCALES[PayScaleCode],PAYSCALES[AvailableToAllSchools],1,0,)=TRUE,0,IF(ISERROR(FIND(CONT_TEA[[#This Row],[SchoolCode]],_xlfn.TEXTJOIN(",",TRUE,_xlfn.UNIQUE(IF(PAYSCALES[PayScaleCode]=CONT_TEA[[#This Row],[PayScaleCode]],PAYSCALES[SchoolCodes],""))))),1,0))</f>
        <v>0</v>
      </c>
      <c r="G218" s="57">
        <f>IF(_xlfn.XLOOKUP(CONT_TEA[[#This Row],[PayScaleGradeCode]],GRADES[PayScaleGradeCode],GRADES[AvailableToAllSchools])=TRUE,0,IFERROR(IF(FIND(CONT_TEA[[#This Row],[SchoolCode]],_xlfn.XLOOKUP(CONT_TEA[[#This Row],[PayScaleGradeCode]],GRADES[PayScaleGradeCode],GRADES[SchoolCodes]))&gt;=1,0,1),1))</f>
        <v>0</v>
      </c>
      <c r="H218" s="57">
        <f>IF(ISERROR(IF((_xlfn.XLOOKUP(CONT_TEA[[#This Row],[PayScaleGradeCode]],GRADES[PayScaleGradeCode],GRADES[PayScaleCode])=CONT_TEA[[#This Row],[PayScaleCode]]),0,1)),1,0)</f>
        <v>0</v>
      </c>
      <c r="I218" s="57" cm="1">
        <f t="array" ref="I218">IF(ISERROR(FIND(CONT_TEA[[#This Row],[PayScalePointCode]],_xlfn.TEXTJOIN(",",TRUE,IF(PSPOINTS[PayScaleCode]=CONT_TEA[[#This Row],[PayScaleCode]],PSPOINTS[PayScalePointCode])))),1,0)</f>
        <v>0</v>
      </c>
      <c r="J218" s="57" cm="1">
        <f t="array" ref="J21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18" s="57">
        <f>IF(_xlfn.XLOOKUP(CONT_TEA[[#This Row],[PayScalePointCode]],PSPOINTS[PayScalePointCode],PSPOINTS[PayScalePointEnabled])=TRUE,0,1)</f>
        <v>0</v>
      </c>
      <c r="L218" s="57" cm="1">
        <f t="array" ref="L218">IF(_xlfn.XLOOKUP(CONT_TEA[[#This Row],[DepartmentCode]],DEPTS[DepartmentCode],DEPTS[AvailableToAllSchools],1,0,)=TRUE,0,IF(ISERROR(FIND(CONT_TEA[[#This Row],[SchoolCode]],_xlfn.TEXTJOIN(",",TRUE,_xlfn.UNIQUE(IF(DEPTS[DepartmentCode]=CONT_TEA[[#This Row],[DepartmentCode]],DEPTS[SchoolCodes],""))))),1,0))</f>
        <v>0</v>
      </c>
      <c r="M218" s="57">
        <f>IFERROR(IF(_xlfn.XLOOKUP(CONT_TEA[[#This Row],[SRG Gross]],FinanceCodesBudget[FinanceCode],FinanceCodesBudget[LedgerCode])=_xlfn.XLOOKUP(CONT_TEA[[#This Row],[DepartmentCode]],DEPTS[DepartmentCode],DEPTS[LedgerCode]),0,1),1)</f>
        <v>1</v>
      </c>
      <c r="N218" s="57" cm="1">
        <f t="array" ref="N218">IF(_xlfn.XLOOKUP(CONT_TEA[[#This Row],[PensionCode]],PENS[PensionCode],PENS[AvailableToAllSchools],1,0,)=TRUE,0,IF(ISERROR(FIND(CONT_TEA[[#This Row],[SchoolCode]],_xlfn.TEXTJOIN(",",TRUE,_xlfn.UNIQUE(IF(PENS[PensionCode]=CONT_TEA[[#This Row],[PensionCode]],PENS[SchoolCodes],""))))),1,0))</f>
        <v>0</v>
      </c>
      <c r="O218" s="57" cm="1">
        <f t="array" ref="O218">IF(_xlfn.XLOOKUP(CONT_TEA[[#This Row],[EquatedWeekPatternCode]],EQW[EquatedWeekPatternCode],EQW[AvailableToAllSchools],1,0,)=TRUE,0,IF(ISERROR(FIND(CONT_TEA[[#This Row],[SchoolCode]],_xlfn.TEXTJOIN(",",TRUE,_xlfn.UNIQUE(IF(EQW[EquatedWeekPatternCode]=CONT_TEA[[#This Row],[EquatedWeekPatternCode]],EQW[SchoolCodes],""))))),1,0))</f>
        <v>0</v>
      </c>
      <c r="P218" s="57">
        <f>1-COUNTIF(ContractTypes[Code],CONT_TEA[[#This Row],[ContractTypeCode]])</f>
        <v>0</v>
      </c>
      <c r="Q218" s="57">
        <f>IF(VLOOKUP(CONT_TEA[[#This Row],[StaffMemberCode]],MEMBERS[[StaffMemberCode]:[ServiceStartDate]],5,0)&gt;CONT_TEA[[#This Row],[DateFrom]],1,0)</f>
        <v>0</v>
      </c>
      <c r="R218" s="57">
        <f>IF(_xlfn.XLOOKUP(CONT_TEA[[#This Row],[StaffMemberCode]],MEMBERS[StaffMemberCode],MEMBERS[ServiceEndDate])="",0,IF(CONT_TEA[[#This Row],[DateTo]]="",1,IF(_xlfn.XLOOKUP(CONT_TEA[[#This Row],[StaffMemberCode]],MEMBERS[StaffMemberCode],MEMBERS[ServiceEndDate])&lt;CONT_TEA[[#This Row],[DateTo]],1,0)))</f>
        <v>0</v>
      </c>
      <c r="S218" s="57">
        <f>IF(ISBLANK(CONT_TEA[[#This Row],[DateTo]]),0,IF(CONT_TEA[[#This Row],[DateFrom]]=CONT_TEA[[#This Row],[DateTo]],0,IF(CONT_TEA[[#This Row],[DateFrom]]&lt;CONT_TEA[[#This Row],[DateTo]],0,1)))</f>
        <v>0</v>
      </c>
      <c r="T218" s="57" cm="1">
        <f t="array" aca="1" ref="T218" ca="1">IF(CELL("format",CONT_TEA[[#This Row],[DateFrom]])="D1",0,1)+IF(CELL("format",CONT_TEA[[#This Row],[DateTo]])="D1",0,1)</f>
        <v>0</v>
      </c>
      <c r="U218" s="57">
        <f>IF(OR(CONT_TEA[[#This Row],[MatEditOnly]]=TRUE,CONT_TEA[[#This Row],[MatEditOnly]]=FALSE),IF(OR(CONT_TEA[[#This Row],[NoIncrement]]=TRUE,CONT_TEA[[#This Row],[NoIncrement]]=FALSE),0,1),1)</f>
        <v>0</v>
      </c>
      <c r="V218" s="57">
        <f>IF(ISBLANK(CONT_TEA[[#This Row],[FundCode]])=TRUE,0,IF(COUNTIF(FUNDS[FundCode],CONT_TEA[[#This Row],[FundCode]])=1,0,1))</f>
        <v>0</v>
      </c>
      <c r="W218" s="57">
        <f>IF(LEN(CONT_TEA[[#This Row],[Notes]])&lt;4000,0,1)</f>
        <v>0</v>
      </c>
      <c r="X218" s="57">
        <f>IF(SUBSTITUTE(TEXT(CONT_TEA[[#This Row],[Reference]],10)," ","")=TEXT(CONT_TEA[[#This Row],[Reference]],10),0,1)</f>
        <v>0</v>
      </c>
      <c r="Y218" s="57">
        <f ca="1">SUM(CONT_TEA[[#This Row],[Duplicate Contract]:[Space in Code]])</f>
        <v>1</v>
      </c>
      <c r="AA218" s="12" t="s">
        <v>2082</v>
      </c>
      <c r="AB218" s="15">
        <v>91324753</v>
      </c>
      <c r="AC218" s="12" t="s">
        <v>4566</v>
      </c>
      <c r="AD218" s="57" t="str">
        <f>_xlfn.XLOOKUP(CONT_TEA[[#This Row],[StaffMemberCode]],StaffMembers!O:O,StaffMembers!R:R)</f>
        <v>Natercia Dos Santos Marques</v>
      </c>
      <c r="AE218" s="12" t="s">
        <v>1178</v>
      </c>
      <c r="AF218" s="57">
        <f>_xlfn.XLOOKUP(CONT_TEA[[#This Row],[SRG]],SRG[StaffRoleGroupCode],SRG[GrossSalaryFinanceCode])</f>
        <v>612100</v>
      </c>
      <c r="AG218" s="57" t="str">
        <f>_xlfn.XLOOKUP(CONT_TEA[[#This Row],[StaffRoleCode]],ROLES[StaffRoleCode],ROLES[StaffRoleGroupCode])</f>
        <v>TEA</v>
      </c>
      <c r="AH218" s="57" t="str">
        <f>_xlfn.XLOOKUP(CONT_TEA[[#This Row],[StaffRoleCode]],ROLES[StaffRoleCode],ROLES[PayScaleCode])</f>
        <v>MAIN</v>
      </c>
      <c r="AI218" s="12" t="s">
        <v>1126</v>
      </c>
      <c r="AJ218" s="12" t="s">
        <v>1066</v>
      </c>
      <c r="AK218" s="12" t="s">
        <v>2499</v>
      </c>
      <c r="AM218" s="68" t="s">
        <v>1147</v>
      </c>
      <c r="AN218" s="13" t="s">
        <v>1702</v>
      </c>
      <c r="AO218" s="21">
        <v>45901</v>
      </c>
      <c r="AQ218" s="12">
        <v>0.9</v>
      </c>
      <c r="AR218" t="b">
        <v>0</v>
      </c>
      <c r="AS218" t="b">
        <v>0</v>
      </c>
      <c r="AT218" s="12" t="s">
        <v>1574</v>
      </c>
    </row>
    <row r="219" spans="1:47" x14ac:dyDescent="0.3">
      <c r="A219" s="57" t="str">
        <f t="shared" si="4"/>
        <v>PTP9107366091073660BTEASTCH45901</v>
      </c>
      <c r="B219" s="57">
        <f>COUNTIF(CONT_TEA[Unique Contract],CONT_TEA[[#This Row],[Unique Contract]])-1</f>
        <v>0</v>
      </c>
      <c r="C219" s="57">
        <f>IFERROR(IF(FIND(CONT_TEA[[#This Row],[SchoolCode]],_xlfn.XLOOKUP(CONT_TEA[[#This Row],[StaffMemberCode]],MEMBERS[StaffMemberCode],MEMBERS[SchoolCodes]))&gt;0,0,1),1)</f>
        <v>0</v>
      </c>
      <c r="D219" s="57" cm="1">
        <f t="array" ref="D219">IF(_xlfn.XLOOKUP(CONT_TEA[[#This Row],[StaffRoleCode]],ROLES[StaffRoleCode],ROLES[AvailableToAllSchools],1,0,)=TRUE,0,IF(ISERROR(FIND(CONT_TEA[[#This Row],[SchoolCode]],_xlfn.TEXTJOIN(",",TRUE,_xlfn.UNIQUE(IF(ROLES[StaffRoleCode]=CONT_TEA[[#This Row],[StaffRoleCode]],ROLES[SchoolCodes],""))))),1,0))</f>
        <v>0</v>
      </c>
      <c r="E219" s="57" cm="1">
        <f t="array" ref="E21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19" s="57" cm="1">
        <f t="array" ref="F219">IF(_xlfn.XLOOKUP(CONT_TEA[[#This Row],[PayScaleCode]],PAYSCALES[PayScaleCode],PAYSCALES[AvailableToAllSchools],1,0,)=TRUE,0,IF(ISERROR(FIND(CONT_TEA[[#This Row],[SchoolCode]],_xlfn.TEXTJOIN(",",TRUE,_xlfn.UNIQUE(IF(PAYSCALES[PayScaleCode]=CONT_TEA[[#This Row],[PayScaleCode]],PAYSCALES[SchoolCodes],""))))),1,0))</f>
        <v>0</v>
      </c>
      <c r="G219" s="57">
        <f>IF(_xlfn.XLOOKUP(CONT_TEA[[#This Row],[PayScaleGradeCode]],GRADES[PayScaleGradeCode],GRADES[AvailableToAllSchools])=TRUE,0,IFERROR(IF(FIND(CONT_TEA[[#This Row],[SchoolCode]],_xlfn.XLOOKUP(CONT_TEA[[#This Row],[PayScaleGradeCode]],GRADES[PayScaleGradeCode],GRADES[SchoolCodes]))&gt;=1,0,1),1))</f>
        <v>0</v>
      </c>
      <c r="H219" s="57">
        <f>IF(ISERROR(IF((_xlfn.XLOOKUP(CONT_TEA[[#This Row],[PayScaleGradeCode]],GRADES[PayScaleGradeCode],GRADES[PayScaleCode])=CONT_TEA[[#This Row],[PayScaleCode]]),0,1)),1,0)</f>
        <v>0</v>
      </c>
      <c r="I219" s="57" cm="1">
        <f t="array" ref="I219">IF(ISERROR(FIND(CONT_TEA[[#This Row],[PayScalePointCode]],_xlfn.TEXTJOIN(",",TRUE,IF(PSPOINTS[PayScaleCode]=CONT_TEA[[#This Row],[PayScaleCode]],PSPOINTS[PayScalePointCode])))),1,0)</f>
        <v>0</v>
      </c>
      <c r="J219" s="57" cm="1">
        <f t="array" ref="J21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19" s="57">
        <f>IF(_xlfn.XLOOKUP(CONT_TEA[[#This Row],[PayScalePointCode]],PSPOINTS[PayScalePointCode],PSPOINTS[PayScalePointEnabled])=TRUE,0,1)</f>
        <v>0</v>
      </c>
      <c r="L219" s="57" cm="1">
        <f t="array" ref="L219">IF(_xlfn.XLOOKUP(CONT_TEA[[#This Row],[DepartmentCode]],DEPTS[DepartmentCode],DEPTS[AvailableToAllSchools],1,0,)=TRUE,0,IF(ISERROR(FIND(CONT_TEA[[#This Row],[SchoolCode]],_xlfn.TEXTJOIN(",",TRUE,_xlfn.UNIQUE(IF(DEPTS[DepartmentCode]=CONT_TEA[[#This Row],[DepartmentCode]],DEPTS[SchoolCodes],""))))),1,0))</f>
        <v>0</v>
      </c>
      <c r="M219" s="57">
        <f>IFERROR(IF(_xlfn.XLOOKUP(CONT_TEA[[#This Row],[SRG Gross]],FinanceCodesBudget[FinanceCode],FinanceCodesBudget[LedgerCode])=_xlfn.XLOOKUP(CONT_TEA[[#This Row],[DepartmentCode]],DEPTS[DepartmentCode],DEPTS[LedgerCode]),0,1),1)</f>
        <v>1</v>
      </c>
      <c r="N219" s="57" cm="1">
        <f t="array" ref="N219">IF(_xlfn.XLOOKUP(CONT_TEA[[#This Row],[PensionCode]],PENS[PensionCode],PENS[AvailableToAllSchools],1,0,)=TRUE,0,IF(ISERROR(FIND(CONT_TEA[[#This Row],[SchoolCode]],_xlfn.TEXTJOIN(",",TRUE,_xlfn.UNIQUE(IF(PENS[PensionCode]=CONT_TEA[[#This Row],[PensionCode]],PENS[SchoolCodes],""))))),1,0))</f>
        <v>0</v>
      </c>
      <c r="O219" s="57" cm="1">
        <f t="array" ref="O219">IF(_xlfn.XLOOKUP(CONT_TEA[[#This Row],[EquatedWeekPatternCode]],EQW[EquatedWeekPatternCode],EQW[AvailableToAllSchools],1,0,)=TRUE,0,IF(ISERROR(FIND(CONT_TEA[[#This Row],[SchoolCode]],_xlfn.TEXTJOIN(",",TRUE,_xlfn.UNIQUE(IF(EQW[EquatedWeekPatternCode]=CONT_TEA[[#This Row],[EquatedWeekPatternCode]],EQW[SchoolCodes],""))))),1,0))</f>
        <v>0</v>
      </c>
      <c r="P219" s="57">
        <f>1-COUNTIF(ContractTypes[Code],CONT_TEA[[#This Row],[ContractTypeCode]])</f>
        <v>0</v>
      </c>
      <c r="Q219" s="57">
        <f>IF(VLOOKUP(CONT_TEA[[#This Row],[StaffMemberCode]],MEMBERS[[StaffMemberCode]:[ServiceStartDate]],5,0)&gt;CONT_TEA[[#This Row],[DateFrom]],1,0)</f>
        <v>0</v>
      </c>
      <c r="R219" s="57">
        <f>IF(_xlfn.XLOOKUP(CONT_TEA[[#This Row],[StaffMemberCode]],MEMBERS[StaffMemberCode],MEMBERS[ServiceEndDate])="",0,IF(CONT_TEA[[#This Row],[DateTo]]="",1,IF(_xlfn.XLOOKUP(CONT_TEA[[#This Row],[StaffMemberCode]],MEMBERS[StaffMemberCode],MEMBERS[ServiceEndDate])&lt;CONT_TEA[[#This Row],[DateTo]],1,0)))</f>
        <v>0</v>
      </c>
      <c r="S219" s="57">
        <f>IF(ISBLANK(CONT_TEA[[#This Row],[DateTo]]),0,IF(CONT_TEA[[#This Row],[DateFrom]]=CONT_TEA[[#This Row],[DateTo]],0,IF(CONT_TEA[[#This Row],[DateFrom]]&lt;CONT_TEA[[#This Row],[DateTo]],0,1)))</f>
        <v>0</v>
      </c>
      <c r="T219" s="57" cm="1">
        <f t="array" aca="1" ref="T219" ca="1">IF(CELL("format",CONT_TEA[[#This Row],[DateFrom]])="D1",0,1)+IF(CELL("format",CONT_TEA[[#This Row],[DateTo]])="D1",0,1)</f>
        <v>0</v>
      </c>
      <c r="U219" s="57">
        <f>IF(OR(CONT_TEA[[#This Row],[MatEditOnly]]=TRUE,CONT_TEA[[#This Row],[MatEditOnly]]=FALSE),IF(OR(CONT_TEA[[#This Row],[NoIncrement]]=TRUE,CONT_TEA[[#This Row],[NoIncrement]]=FALSE),0,1),1)</f>
        <v>0</v>
      </c>
      <c r="V219" s="57">
        <f>IF(ISBLANK(CONT_TEA[[#This Row],[FundCode]])=TRUE,0,IF(COUNTIF(FUNDS[FundCode],CONT_TEA[[#This Row],[FundCode]])=1,0,1))</f>
        <v>0</v>
      </c>
      <c r="W219" s="57">
        <f>IF(LEN(CONT_TEA[[#This Row],[Notes]])&lt;4000,0,1)</f>
        <v>0</v>
      </c>
      <c r="X219" s="57">
        <f>IF(SUBSTITUTE(TEXT(CONT_TEA[[#This Row],[Reference]],10)," ","")=TEXT(CONT_TEA[[#This Row],[Reference]],10),0,1)</f>
        <v>0</v>
      </c>
      <c r="Y219" s="57">
        <f ca="1">SUM(CONT_TEA[[#This Row],[Duplicate Contract]:[Space in Code]])</f>
        <v>1</v>
      </c>
      <c r="AA219" s="12" t="s">
        <v>2299</v>
      </c>
      <c r="AB219" s="15">
        <v>91073660</v>
      </c>
      <c r="AC219" s="12" t="s">
        <v>4567</v>
      </c>
      <c r="AD219" s="57" t="str">
        <f>_xlfn.XLOOKUP(CONT_TEA[[#This Row],[StaffMemberCode]],StaffMembers!O:O,StaffMembers!R:R)</f>
        <v>Nicholas Trude</v>
      </c>
      <c r="AE219" s="12" t="s">
        <v>1178</v>
      </c>
      <c r="AF219" s="57">
        <f>_xlfn.XLOOKUP(CONT_TEA[[#This Row],[SRG]],SRG[StaffRoleGroupCode],SRG[GrossSalaryFinanceCode])</f>
        <v>612100</v>
      </c>
      <c r="AG219" s="57" t="str">
        <f>_xlfn.XLOOKUP(CONT_TEA[[#This Row],[StaffRoleCode]],ROLES[StaffRoleCode],ROLES[StaffRoleGroupCode])</f>
        <v>TEA</v>
      </c>
      <c r="AH219" s="57" t="str">
        <f>_xlfn.XLOOKUP(CONT_TEA[[#This Row],[StaffRoleCode]],ROLES[StaffRoleCode],ROLES[PayScaleCode])</f>
        <v>MAIN</v>
      </c>
      <c r="AI219" s="12" t="s">
        <v>1126</v>
      </c>
      <c r="AJ219" s="12" t="s">
        <v>1745</v>
      </c>
      <c r="AK219" s="12" t="s">
        <v>2499</v>
      </c>
      <c r="AM219" s="68" t="s">
        <v>1147</v>
      </c>
      <c r="AN219" s="13" t="s">
        <v>1702</v>
      </c>
      <c r="AO219" s="21">
        <v>45901</v>
      </c>
      <c r="AQ219" s="12">
        <v>1</v>
      </c>
      <c r="AR219" t="b">
        <v>0</v>
      </c>
      <c r="AS219" t="b">
        <v>0</v>
      </c>
      <c r="AT219" s="12" t="s">
        <v>1574</v>
      </c>
    </row>
    <row r="220" spans="1:47" x14ac:dyDescent="0.3">
      <c r="A220" s="57" t="str">
        <f t="shared" si="4"/>
        <v>BLS9107363891073638ATEASTCH45901</v>
      </c>
      <c r="B220" s="57">
        <f>COUNTIF(CONT_TEA[Unique Contract],CONT_TEA[[#This Row],[Unique Contract]])-1</f>
        <v>0</v>
      </c>
      <c r="C220" s="57">
        <f>IFERROR(IF(FIND(CONT_TEA[[#This Row],[SchoolCode]],_xlfn.XLOOKUP(CONT_TEA[[#This Row],[StaffMemberCode]],MEMBERS[StaffMemberCode],MEMBERS[SchoolCodes]))&gt;0,0,1),1)</f>
        <v>0</v>
      </c>
      <c r="D220" s="57" cm="1">
        <f t="array" ref="D220">IF(_xlfn.XLOOKUP(CONT_TEA[[#This Row],[StaffRoleCode]],ROLES[StaffRoleCode],ROLES[AvailableToAllSchools],1,0,)=TRUE,0,IF(ISERROR(FIND(CONT_TEA[[#This Row],[SchoolCode]],_xlfn.TEXTJOIN(",",TRUE,_xlfn.UNIQUE(IF(ROLES[StaffRoleCode]=CONT_TEA[[#This Row],[StaffRoleCode]],ROLES[SchoolCodes],""))))),1,0))</f>
        <v>0</v>
      </c>
      <c r="E220" s="57" cm="1">
        <f t="array" ref="E22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20" s="57" cm="1">
        <f t="array" ref="F220">IF(_xlfn.XLOOKUP(CONT_TEA[[#This Row],[PayScaleCode]],PAYSCALES[PayScaleCode],PAYSCALES[AvailableToAllSchools],1,0,)=TRUE,0,IF(ISERROR(FIND(CONT_TEA[[#This Row],[SchoolCode]],_xlfn.TEXTJOIN(",",TRUE,_xlfn.UNIQUE(IF(PAYSCALES[PayScaleCode]=CONT_TEA[[#This Row],[PayScaleCode]],PAYSCALES[SchoolCodes],""))))),1,0))</f>
        <v>0</v>
      </c>
      <c r="G220" s="57">
        <f>IF(_xlfn.XLOOKUP(CONT_TEA[[#This Row],[PayScaleGradeCode]],GRADES[PayScaleGradeCode],GRADES[AvailableToAllSchools])=TRUE,0,IFERROR(IF(FIND(CONT_TEA[[#This Row],[SchoolCode]],_xlfn.XLOOKUP(CONT_TEA[[#This Row],[PayScaleGradeCode]],GRADES[PayScaleGradeCode],GRADES[SchoolCodes]))&gt;=1,0,1),1))</f>
        <v>0</v>
      </c>
      <c r="H220" s="57">
        <f>IF(ISERROR(IF((_xlfn.XLOOKUP(CONT_TEA[[#This Row],[PayScaleGradeCode]],GRADES[PayScaleGradeCode],GRADES[PayScaleCode])=CONT_TEA[[#This Row],[PayScaleCode]]),0,1)),1,0)</f>
        <v>0</v>
      </c>
      <c r="I220" s="57" cm="1">
        <f t="array" ref="I220">IF(ISERROR(FIND(CONT_TEA[[#This Row],[PayScalePointCode]],_xlfn.TEXTJOIN(",",TRUE,IF(PSPOINTS[PayScaleCode]=CONT_TEA[[#This Row],[PayScaleCode]],PSPOINTS[PayScalePointCode])))),1,0)</f>
        <v>0</v>
      </c>
      <c r="J220" s="57" cm="1">
        <f t="array" ref="J22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20" s="57">
        <f>IF(_xlfn.XLOOKUP(CONT_TEA[[#This Row],[PayScalePointCode]],PSPOINTS[PayScalePointCode],PSPOINTS[PayScalePointEnabled])=TRUE,0,1)</f>
        <v>0</v>
      </c>
      <c r="L220" s="57" cm="1">
        <f t="array" ref="L220">IF(_xlfn.XLOOKUP(CONT_TEA[[#This Row],[DepartmentCode]],DEPTS[DepartmentCode],DEPTS[AvailableToAllSchools],1,0,)=TRUE,0,IF(ISERROR(FIND(CONT_TEA[[#This Row],[SchoolCode]],_xlfn.TEXTJOIN(",",TRUE,_xlfn.UNIQUE(IF(DEPTS[DepartmentCode]=CONT_TEA[[#This Row],[DepartmentCode]],DEPTS[SchoolCodes],""))))),1,0))</f>
        <v>0</v>
      </c>
      <c r="M220" s="57">
        <f>IFERROR(IF(_xlfn.XLOOKUP(CONT_TEA[[#This Row],[SRG Gross]],FinanceCodesBudget[FinanceCode],FinanceCodesBudget[LedgerCode])=_xlfn.XLOOKUP(CONT_TEA[[#This Row],[DepartmentCode]],DEPTS[DepartmentCode],DEPTS[LedgerCode]),0,1),1)</f>
        <v>1</v>
      </c>
      <c r="N220" s="57" cm="1">
        <f t="array" ref="N220">IF(_xlfn.XLOOKUP(CONT_TEA[[#This Row],[PensionCode]],PENS[PensionCode],PENS[AvailableToAllSchools],1,0,)=TRUE,0,IF(ISERROR(FIND(CONT_TEA[[#This Row],[SchoolCode]],_xlfn.TEXTJOIN(",",TRUE,_xlfn.UNIQUE(IF(PENS[PensionCode]=CONT_TEA[[#This Row],[PensionCode]],PENS[SchoolCodes],""))))),1,0))</f>
        <v>0</v>
      </c>
      <c r="O220" s="57" cm="1">
        <f t="array" ref="O220">IF(_xlfn.XLOOKUP(CONT_TEA[[#This Row],[EquatedWeekPatternCode]],EQW[EquatedWeekPatternCode],EQW[AvailableToAllSchools],1,0,)=TRUE,0,IF(ISERROR(FIND(CONT_TEA[[#This Row],[SchoolCode]],_xlfn.TEXTJOIN(",",TRUE,_xlfn.UNIQUE(IF(EQW[EquatedWeekPatternCode]=CONT_TEA[[#This Row],[EquatedWeekPatternCode]],EQW[SchoolCodes],""))))),1,0))</f>
        <v>0</v>
      </c>
      <c r="P220" s="57">
        <f>1-COUNTIF(ContractTypes[Code],CONT_TEA[[#This Row],[ContractTypeCode]])</f>
        <v>0</v>
      </c>
      <c r="Q220" s="57">
        <f>IF(VLOOKUP(CONT_TEA[[#This Row],[StaffMemberCode]],MEMBERS[[StaffMemberCode]:[ServiceStartDate]],5,0)&gt;CONT_TEA[[#This Row],[DateFrom]],1,0)</f>
        <v>0</v>
      </c>
      <c r="R220" s="57">
        <f>IF(_xlfn.XLOOKUP(CONT_TEA[[#This Row],[StaffMemberCode]],MEMBERS[StaffMemberCode],MEMBERS[ServiceEndDate])="",0,IF(CONT_TEA[[#This Row],[DateTo]]="",1,IF(_xlfn.XLOOKUP(CONT_TEA[[#This Row],[StaffMemberCode]],MEMBERS[StaffMemberCode],MEMBERS[ServiceEndDate])&lt;CONT_TEA[[#This Row],[DateTo]],1,0)))</f>
        <v>0</v>
      </c>
      <c r="S220" s="57">
        <f>IF(ISBLANK(CONT_TEA[[#This Row],[DateTo]]),0,IF(CONT_TEA[[#This Row],[DateFrom]]=CONT_TEA[[#This Row],[DateTo]],0,IF(CONT_TEA[[#This Row],[DateFrom]]&lt;CONT_TEA[[#This Row],[DateTo]],0,1)))</f>
        <v>0</v>
      </c>
      <c r="T220" s="57" cm="1">
        <f t="array" aca="1" ref="T220" ca="1">IF(CELL("format",CONT_TEA[[#This Row],[DateFrom]])="D1",0,1)+IF(CELL("format",CONT_TEA[[#This Row],[DateTo]])="D1",0,1)</f>
        <v>0</v>
      </c>
      <c r="U220" s="57">
        <f>IF(OR(CONT_TEA[[#This Row],[MatEditOnly]]=TRUE,CONT_TEA[[#This Row],[MatEditOnly]]=FALSE),IF(OR(CONT_TEA[[#This Row],[NoIncrement]]=TRUE,CONT_TEA[[#This Row],[NoIncrement]]=FALSE),0,1),1)</f>
        <v>0</v>
      </c>
      <c r="V220" s="57">
        <f>IF(ISBLANK(CONT_TEA[[#This Row],[FundCode]])=TRUE,0,IF(COUNTIF(FUNDS[FundCode],CONT_TEA[[#This Row],[FundCode]])=1,0,1))</f>
        <v>0</v>
      </c>
      <c r="W220" s="57">
        <f>IF(LEN(CONT_TEA[[#This Row],[Notes]])&lt;4000,0,1)</f>
        <v>0</v>
      </c>
      <c r="X220" s="57">
        <f>IF(SUBSTITUTE(TEXT(CONT_TEA[[#This Row],[Reference]],10)," ","")=TEXT(CONT_TEA[[#This Row],[Reference]],10),0,1)</f>
        <v>0</v>
      </c>
      <c r="Y220" s="57">
        <f ca="1">SUM(CONT_TEA[[#This Row],[Duplicate Contract]:[Space in Code]])</f>
        <v>1</v>
      </c>
      <c r="AA220" s="12" t="s">
        <v>2094</v>
      </c>
      <c r="AB220" s="15">
        <v>91073638</v>
      </c>
      <c r="AC220" s="12" t="s">
        <v>4568</v>
      </c>
      <c r="AD220" s="57" t="str">
        <f>_xlfn.XLOOKUP(CONT_TEA[[#This Row],[StaffMemberCode]],StaffMembers!O:O,StaffMembers!R:R)</f>
        <v>Nikki Hughes</v>
      </c>
      <c r="AE220" s="12" t="s">
        <v>1178</v>
      </c>
      <c r="AF220" s="57">
        <f>_xlfn.XLOOKUP(CONT_TEA[[#This Row],[SRG]],SRG[StaffRoleGroupCode],SRG[GrossSalaryFinanceCode])</f>
        <v>612100</v>
      </c>
      <c r="AG220" s="57" t="str">
        <f>_xlfn.XLOOKUP(CONT_TEA[[#This Row],[StaffRoleCode]],ROLES[StaffRoleCode],ROLES[StaffRoleGroupCode])</f>
        <v>TEA</v>
      </c>
      <c r="AH220" s="57" t="str">
        <f>_xlfn.XLOOKUP(CONT_TEA[[#This Row],[StaffRoleCode]],ROLES[StaffRoleCode],ROLES[PayScaleCode])</f>
        <v>MAIN</v>
      </c>
      <c r="AI220" s="12" t="s">
        <v>1126</v>
      </c>
      <c r="AJ220" s="12" t="s">
        <v>1745</v>
      </c>
      <c r="AK220" s="12" t="s">
        <v>2499</v>
      </c>
      <c r="AM220" s="68" t="s">
        <v>1147</v>
      </c>
      <c r="AN220" s="13" t="s">
        <v>1702</v>
      </c>
      <c r="AO220" s="21">
        <v>45901</v>
      </c>
      <c r="AQ220" s="12">
        <v>1</v>
      </c>
      <c r="AR220" t="b">
        <v>0</v>
      </c>
      <c r="AS220" t="b">
        <v>0</v>
      </c>
      <c r="AT220" s="12" t="s">
        <v>1574</v>
      </c>
    </row>
    <row r="221" spans="1:47" x14ac:dyDescent="0.3">
      <c r="A221" s="57" t="str">
        <f t="shared" si="4"/>
        <v>BLS9185005591850055ATEASTCH45901</v>
      </c>
      <c r="B221" s="57">
        <f>COUNTIF(CONT_TEA[Unique Contract],CONT_TEA[[#This Row],[Unique Contract]])-1</f>
        <v>0</v>
      </c>
      <c r="C221" s="57">
        <f>IFERROR(IF(FIND(CONT_TEA[[#This Row],[SchoolCode]],_xlfn.XLOOKUP(CONT_TEA[[#This Row],[StaffMemberCode]],MEMBERS[StaffMemberCode],MEMBERS[SchoolCodes]))&gt;0,0,1),1)</f>
        <v>0</v>
      </c>
      <c r="D221" s="57" cm="1">
        <f t="array" ref="D221">IF(_xlfn.XLOOKUP(CONT_TEA[[#This Row],[StaffRoleCode]],ROLES[StaffRoleCode],ROLES[AvailableToAllSchools],1,0,)=TRUE,0,IF(ISERROR(FIND(CONT_TEA[[#This Row],[SchoolCode]],_xlfn.TEXTJOIN(",",TRUE,_xlfn.UNIQUE(IF(ROLES[StaffRoleCode]=CONT_TEA[[#This Row],[StaffRoleCode]],ROLES[SchoolCodes],""))))),1,0))</f>
        <v>0</v>
      </c>
      <c r="E221" s="57" cm="1">
        <f t="array" ref="E22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21" s="57" cm="1">
        <f t="array" ref="F221">IF(_xlfn.XLOOKUP(CONT_TEA[[#This Row],[PayScaleCode]],PAYSCALES[PayScaleCode],PAYSCALES[AvailableToAllSchools],1,0,)=TRUE,0,IF(ISERROR(FIND(CONT_TEA[[#This Row],[SchoolCode]],_xlfn.TEXTJOIN(",",TRUE,_xlfn.UNIQUE(IF(PAYSCALES[PayScaleCode]=CONT_TEA[[#This Row],[PayScaleCode]],PAYSCALES[SchoolCodes],""))))),1,0))</f>
        <v>0</v>
      </c>
      <c r="G221" s="57">
        <f>IF(_xlfn.XLOOKUP(CONT_TEA[[#This Row],[PayScaleGradeCode]],GRADES[PayScaleGradeCode],GRADES[AvailableToAllSchools])=TRUE,0,IFERROR(IF(FIND(CONT_TEA[[#This Row],[SchoolCode]],_xlfn.XLOOKUP(CONT_TEA[[#This Row],[PayScaleGradeCode]],GRADES[PayScaleGradeCode],GRADES[SchoolCodes]))&gt;=1,0,1),1))</f>
        <v>0</v>
      </c>
      <c r="H221" s="57">
        <f>IF(ISERROR(IF((_xlfn.XLOOKUP(CONT_TEA[[#This Row],[PayScaleGradeCode]],GRADES[PayScaleGradeCode],GRADES[PayScaleCode])=CONT_TEA[[#This Row],[PayScaleCode]]),0,1)),1,0)</f>
        <v>0</v>
      </c>
      <c r="I221" s="57" cm="1">
        <f t="array" ref="I221">IF(ISERROR(FIND(CONT_TEA[[#This Row],[PayScalePointCode]],_xlfn.TEXTJOIN(",",TRUE,IF(PSPOINTS[PayScaleCode]=CONT_TEA[[#This Row],[PayScaleCode]],PSPOINTS[PayScalePointCode])))),1,0)</f>
        <v>0</v>
      </c>
      <c r="J221" s="57" cm="1">
        <f t="array" ref="J22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21" s="57">
        <f>IF(_xlfn.XLOOKUP(CONT_TEA[[#This Row],[PayScalePointCode]],PSPOINTS[PayScalePointCode],PSPOINTS[PayScalePointEnabled])=TRUE,0,1)</f>
        <v>0</v>
      </c>
      <c r="L221" s="57" cm="1">
        <f t="array" ref="L221">IF(_xlfn.XLOOKUP(CONT_TEA[[#This Row],[DepartmentCode]],DEPTS[DepartmentCode],DEPTS[AvailableToAllSchools],1,0,)=TRUE,0,IF(ISERROR(FIND(CONT_TEA[[#This Row],[SchoolCode]],_xlfn.TEXTJOIN(",",TRUE,_xlfn.UNIQUE(IF(DEPTS[DepartmentCode]=CONT_TEA[[#This Row],[DepartmentCode]],DEPTS[SchoolCodes],""))))),1,0))</f>
        <v>0</v>
      </c>
      <c r="M221" s="57">
        <f>IFERROR(IF(_xlfn.XLOOKUP(CONT_TEA[[#This Row],[SRG Gross]],FinanceCodesBudget[FinanceCode],FinanceCodesBudget[LedgerCode])=_xlfn.XLOOKUP(CONT_TEA[[#This Row],[DepartmentCode]],DEPTS[DepartmentCode],DEPTS[LedgerCode]),0,1),1)</f>
        <v>1</v>
      </c>
      <c r="N221" s="57" cm="1">
        <f t="array" ref="N221">IF(_xlfn.XLOOKUP(CONT_TEA[[#This Row],[PensionCode]],PENS[PensionCode],PENS[AvailableToAllSchools],1,0,)=TRUE,0,IF(ISERROR(FIND(CONT_TEA[[#This Row],[SchoolCode]],_xlfn.TEXTJOIN(",",TRUE,_xlfn.UNIQUE(IF(PENS[PensionCode]=CONT_TEA[[#This Row],[PensionCode]],PENS[SchoolCodes],""))))),1,0))</f>
        <v>0</v>
      </c>
      <c r="O221" s="57" cm="1">
        <f t="array" ref="O221">IF(_xlfn.XLOOKUP(CONT_TEA[[#This Row],[EquatedWeekPatternCode]],EQW[EquatedWeekPatternCode],EQW[AvailableToAllSchools],1,0,)=TRUE,0,IF(ISERROR(FIND(CONT_TEA[[#This Row],[SchoolCode]],_xlfn.TEXTJOIN(",",TRUE,_xlfn.UNIQUE(IF(EQW[EquatedWeekPatternCode]=CONT_TEA[[#This Row],[EquatedWeekPatternCode]],EQW[SchoolCodes],""))))),1,0))</f>
        <v>0</v>
      </c>
      <c r="P221" s="57">
        <f>1-COUNTIF(ContractTypes[Code],CONT_TEA[[#This Row],[ContractTypeCode]])</f>
        <v>0</v>
      </c>
      <c r="Q221" s="57">
        <f>IF(VLOOKUP(CONT_TEA[[#This Row],[StaffMemberCode]],MEMBERS[[StaffMemberCode]:[ServiceStartDate]],5,0)&gt;CONT_TEA[[#This Row],[DateFrom]],1,0)</f>
        <v>0</v>
      </c>
      <c r="R221" s="57">
        <f>IF(_xlfn.XLOOKUP(CONT_TEA[[#This Row],[StaffMemberCode]],MEMBERS[StaffMemberCode],MEMBERS[ServiceEndDate])="",0,IF(CONT_TEA[[#This Row],[DateTo]]="",1,IF(_xlfn.XLOOKUP(CONT_TEA[[#This Row],[StaffMemberCode]],MEMBERS[StaffMemberCode],MEMBERS[ServiceEndDate])&lt;CONT_TEA[[#This Row],[DateTo]],1,0)))</f>
        <v>0</v>
      </c>
      <c r="S221" s="57">
        <f>IF(ISBLANK(CONT_TEA[[#This Row],[DateTo]]),0,IF(CONT_TEA[[#This Row],[DateFrom]]=CONT_TEA[[#This Row],[DateTo]],0,IF(CONT_TEA[[#This Row],[DateFrom]]&lt;CONT_TEA[[#This Row],[DateTo]],0,1)))</f>
        <v>0</v>
      </c>
      <c r="T221" s="57" cm="1">
        <f t="array" aca="1" ref="T221" ca="1">IF(CELL("format",CONT_TEA[[#This Row],[DateFrom]])="D1",0,1)+IF(CELL("format",CONT_TEA[[#This Row],[DateTo]])="D1",0,1)</f>
        <v>0</v>
      </c>
      <c r="U221" s="57">
        <f>IF(OR(CONT_TEA[[#This Row],[MatEditOnly]]=TRUE,CONT_TEA[[#This Row],[MatEditOnly]]=FALSE),IF(OR(CONT_TEA[[#This Row],[NoIncrement]]=TRUE,CONT_TEA[[#This Row],[NoIncrement]]=FALSE),0,1),1)</f>
        <v>0</v>
      </c>
      <c r="V221" s="57">
        <f>IF(ISBLANK(CONT_TEA[[#This Row],[FundCode]])=TRUE,0,IF(COUNTIF(FUNDS[FundCode],CONT_TEA[[#This Row],[FundCode]])=1,0,1))</f>
        <v>0</v>
      </c>
      <c r="W221" s="57">
        <f>IF(LEN(CONT_TEA[[#This Row],[Notes]])&lt;4000,0,1)</f>
        <v>0</v>
      </c>
      <c r="X221" s="57">
        <f>IF(SUBSTITUTE(TEXT(CONT_TEA[[#This Row],[Reference]],10)," ","")=TEXT(CONT_TEA[[#This Row],[Reference]],10),0,1)</f>
        <v>0</v>
      </c>
      <c r="Y221" s="57">
        <f ca="1">SUM(CONT_TEA[[#This Row],[Duplicate Contract]:[Space in Code]])</f>
        <v>1</v>
      </c>
      <c r="AA221" s="12" t="s">
        <v>2094</v>
      </c>
      <c r="AB221" s="15">
        <v>91850055</v>
      </c>
      <c r="AC221" s="12" t="s">
        <v>4569</v>
      </c>
      <c r="AD221" s="57" t="str">
        <f>_xlfn.XLOOKUP(CONT_TEA[[#This Row],[StaffMemberCode]],StaffMembers!O:O,StaffMembers!R:R)</f>
        <v>Olivia Fealey</v>
      </c>
      <c r="AE221" s="12" t="s">
        <v>1178</v>
      </c>
      <c r="AF221" s="57">
        <f>_xlfn.XLOOKUP(CONT_TEA[[#This Row],[SRG]],SRG[StaffRoleGroupCode],SRG[GrossSalaryFinanceCode])</f>
        <v>612100</v>
      </c>
      <c r="AG221" s="57" t="str">
        <f>_xlfn.XLOOKUP(CONT_TEA[[#This Row],[StaffRoleCode]],ROLES[StaffRoleCode],ROLES[StaffRoleGroupCode])</f>
        <v>TEA</v>
      </c>
      <c r="AH221" s="57" t="str">
        <f>_xlfn.XLOOKUP(CONT_TEA[[#This Row],[StaffRoleCode]],ROLES[StaffRoleCode],ROLES[PayScaleCode])</f>
        <v>MAIN</v>
      </c>
      <c r="AI221" s="12" t="s">
        <v>1126</v>
      </c>
      <c r="AJ221" s="12" t="s">
        <v>1064</v>
      </c>
      <c r="AK221" s="12" t="s">
        <v>2499</v>
      </c>
      <c r="AM221" s="68" t="s">
        <v>1147</v>
      </c>
      <c r="AN221" s="13" t="s">
        <v>1702</v>
      </c>
      <c r="AO221" s="21">
        <v>45901</v>
      </c>
      <c r="AQ221" s="12">
        <v>1</v>
      </c>
      <c r="AR221" t="b">
        <v>0</v>
      </c>
      <c r="AS221" t="b">
        <v>0</v>
      </c>
      <c r="AT221" s="12" t="s">
        <v>1574</v>
      </c>
    </row>
    <row r="222" spans="1:47" x14ac:dyDescent="0.3">
      <c r="A222" s="57" t="str">
        <f t="shared" si="4"/>
        <v>ALS9107371891073718ATEASTCH45901</v>
      </c>
      <c r="B222" s="57">
        <f>COUNTIF(CONT_TEA[Unique Contract],CONT_TEA[[#This Row],[Unique Contract]])-1</f>
        <v>0</v>
      </c>
      <c r="C222" s="57">
        <f>IFERROR(IF(FIND(CONT_TEA[[#This Row],[SchoolCode]],_xlfn.XLOOKUP(CONT_TEA[[#This Row],[StaffMemberCode]],MEMBERS[StaffMemberCode],MEMBERS[SchoolCodes]))&gt;0,0,1),1)</f>
        <v>0</v>
      </c>
      <c r="D222" s="57" cm="1">
        <f t="array" ref="D222">IF(_xlfn.XLOOKUP(CONT_TEA[[#This Row],[StaffRoleCode]],ROLES[StaffRoleCode],ROLES[AvailableToAllSchools],1,0,)=TRUE,0,IF(ISERROR(FIND(CONT_TEA[[#This Row],[SchoolCode]],_xlfn.TEXTJOIN(",",TRUE,_xlfn.UNIQUE(IF(ROLES[StaffRoleCode]=CONT_TEA[[#This Row],[StaffRoleCode]],ROLES[SchoolCodes],""))))),1,0))</f>
        <v>0</v>
      </c>
      <c r="E222" s="57" cm="1">
        <f t="array" ref="E22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22" s="57" cm="1">
        <f t="array" ref="F222">IF(_xlfn.XLOOKUP(CONT_TEA[[#This Row],[PayScaleCode]],PAYSCALES[PayScaleCode],PAYSCALES[AvailableToAllSchools],1,0,)=TRUE,0,IF(ISERROR(FIND(CONT_TEA[[#This Row],[SchoolCode]],_xlfn.TEXTJOIN(",",TRUE,_xlfn.UNIQUE(IF(PAYSCALES[PayScaleCode]=CONT_TEA[[#This Row],[PayScaleCode]],PAYSCALES[SchoolCodes],""))))),1,0))</f>
        <v>0</v>
      </c>
      <c r="G222" s="57">
        <f>IF(_xlfn.XLOOKUP(CONT_TEA[[#This Row],[PayScaleGradeCode]],GRADES[PayScaleGradeCode],GRADES[AvailableToAllSchools])=TRUE,0,IFERROR(IF(FIND(CONT_TEA[[#This Row],[SchoolCode]],_xlfn.XLOOKUP(CONT_TEA[[#This Row],[PayScaleGradeCode]],GRADES[PayScaleGradeCode],GRADES[SchoolCodes]))&gt;=1,0,1),1))</f>
        <v>0</v>
      </c>
      <c r="H222" s="57">
        <f>IF(ISERROR(IF((_xlfn.XLOOKUP(CONT_TEA[[#This Row],[PayScaleGradeCode]],GRADES[PayScaleGradeCode],GRADES[PayScaleCode])=CONT_TEA[[#This Row],[PayScaleCode]]),0,1)),1,0)</f>
        <v>0</v>
      </c>
      <c r="I222" s="57" cm="1">
        <f t="array" ref="I222">IF(ISERROR(FIND(CONT_TEA[[#This Row],[PayScalePointCode]],_xlfn.TEXTJOIN(",",TRUE,IF(PSPOINTS[PayScaleCode]=CONT_TEA[[#This Row],[PayScaleCode]],PSPOINTS[PayScalePointCode])))),1,0)</f>
        <v>0</v>
      </c>
      <c r="J222" s="57" cm="1">
        <f t="array" ref="J22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22" s="57">
        <f>IF(_xlfn.XLOOKUP(CONT_TEA[[#This Row],[PayScalePointCode]],PSPOINTS[PayScalePointCode],PSPOINTS[PayScalePointEnabled])=TRUE,0,1)</f>
        <v>0</v>
      </c>
      <c r="L222" s="57" cm="1">
        <f t="array" ref="L222">IF(_xlfn.XLOOKUP(CONT_TEA[[#This Row],[DepartmentCode]],DEPTS[DepartmentCode],DEPTS[AvailableToAllSchools],1,0,)=TRUE,0,IF(ISERROR(FIND(CONT_TEA[[#This Row],[SchoolCode]],_xlfn.TEXTJOIN(",",TRUE,_xlfn.UNIQUE(IF(DEPTS[DepartmentCode]=CONT_TEA[[#This Row],[DepartmentCode]],DEPTS[SchoolCodes],""))))),1,0))</f>
        <v>0</v>
      </c>
      <c r="M222" s="57">
        <f>IFERROR(IF(_xlfn.XLOOKUP(CONT_TEA[[#This Row],[SRG Gross]],FinanceCodesBudget[FinanceCode],FinanceCodesBudget[LedgerCode])=_xlfn.XLOOKUP(CONT_TEA[[#This Row],[DepartmentCode]],DEPTS[DepartmentCode],DEPTS[LedgerCode]),0,1),1)</f>
        <v>1</v>
      </c>
      <c r="N222" s="57" cm="1">
        <f t="array" ref="N222">IF(_xlfn.XLOOKUP(CONT_TEA[[#This Row],[PensionCode]],PENS[PensionCode],PENS[AvailableToAllSchools],1,0,)=TRUE,0,IF(ISERROR(FIND(CONT_TEA[[#This Row],[SchoolCode]],_xlfn.TEXTJOIN(",",TRUE,_xlfn.UNIQUE(IF(PENS[PensionCode]=CONT_TEA[[#This Row],[PensionCode]],PENS[SchoolCodes],""))))),1,0))</f>
        <v>0</v>
      </c>
      <c r="O222" s="57" cm="1">
        <f t="array" ref="O222">IF(_xlfn.XLOOKUP(CONT_TEA[[#This Row],[EquatedWeekPatternCode]],EQW[EquatedWeekPatternCode],EQW[AvailableToAllSchools],1,0,)=TRUE,0,IF(ISERROR(FIND(CONT_TEA[[#This Row],[SchoolCode]],_xlfn.TEXTJOIN(",",TRUE,_xlfn.UNIQUE(IF(EQW[EquatedWeekPatternCode]=CONT_TEA[[#This Row],[EquatedWeekPatternCode]],EQW[SchoolCodes],""))))),1,0))</f>
        <v>0</v>
      </c>
      <c r="P222" s="57">
        <f>1-COUNTIF(ContractTypes[Code],CONT_TEA[[#This Row],[ContractTypeCode]])</f>
        <v>0</v>
      </c>
      <c r="Q222" s="57">
        <f>IF(VLOOKUP(CONT_TEA[[#This Row],[StaffMemberCode]],MEMBERS[[StaffMemberCode]:[ServiceStartDate]],5,0)&gt;CONT_TEA[[#This Row],[DateFrom]],1,0)</f>
        <v>0</v>
      </c>
      <c r="R222" s="57">
        <f>IF(_xlfn.XLOOKUP(CONT_TEA[[#This Row],[StaffMemberCode]],MEMBERS[StaffMemberCode],MEMBERS[ServiceEndDate])="",0,IF(CONT_TEA[[#This Row],[DateTo]]="",1,IF(_xlfn.XLOOKUP(CONT_TEA[[#This Row],[StaffMemberCode]],MEMBERS[StaffMemberCode],MEMBERS[ServiceEndDate])&lt;CONT_TEA[[#This Row],[DateTo]],1,0)))</f>
        <v>0</v>
      </c>
      <c r="S222" s="57">
        <f>IF(ISBLANK(CONT_TEA[[#This Row],[DateTo]]),0,IF(CONT_TEA[[#This Row],[DateFrom]]=CONT_TEA[[#This Row],[DateTo]],0,IF(CONT_TEA[[#This Row],[DateFrom]]&lt;CONT_TEA[[#This Row],[DateTo]],0,1)))</f>
        <v>0</v>
      </c>
      <c r="T222" s="57" cm="1">
        <f t="array" aca="1" ref="T222" ca="1">IF(CELL("format",CONT_TEA[[#This Row],[DateFrom]])="D1",0,1)+IF(CELL("format",CONT_TEA[[#This Row],[DateTo]])="D1",0,1)</f>
        <v>0</v>
      </c>
      <c r="U222" s="57">
        <f>IF(OR(CONT_TEA[[#This Row],[MatEditOnly]]=TRUE,CONT_TEA[[#This Row],[MatEditOnly]]=FALSE),IF(OR(CONT_TEA[[#This Row],[NoIncrement]]=TRUE,CONT_TEA[[#This Row],[NoIncrement]]=FALSE),0,1),1)</f>
        <v>0</v>
      </c>
      <c r="V222" s="57">
        <f>IF(ISBLANK(CONT_TEA[[#This Row],[FundCode]])=TRUE,0,IF(COUNTIF(FUNDS[FundCode],CONT_TEA[[#This Row],[FundCode]])=1,0,1))</f>
        <v>0</v>
      </c>
      <c r="W222" s="57">
        <f>IF(LEN(CONT_TEA[[#This Row],[Notes]])&lt;4000,0,1)</f>
        <v>0</v>
      </c>
      <c r="X222" s="57">
        <f>IF(SUBSTITUTE(TEXT(CONT_TEA[[#This Row],[Reference]],10)," ","")=TEXT(CONT_TEA[[#This Row],[Reference]],10),0,1)</f>
        <v>0</v>
      </c>
      <c r="Y222" s="57">
        <f ca="1">SUM(CONT_TEA[[#This Row],[Duplicate Contract]:[Space in Code]])</f>
        <v>1</v>
      </c>
      <c r="AA222" s="12" t="s">
        <v>2082</v>
      </c>
      <c r="AB222" s="15">
        <v>91073718</v>
      </c>
      <c r="AC222" s="12" t="s">
        <v>4570</v>
      </c>
      <c r="AD222" s="57" t="str">
        <f>_xlfn.XLOOKUP(CONT_TEA[[#This Row],[StaffMemberCode]],StaffMembers!O:O,StaffMembers!R:R)</f>
        <v>Owen Barley</v>
      </c>
      <c r="AE222" s="12" t="s">
        <v>1178</v>
      </c>
      <c r="AF222" s="57">
        <f>_xlfn.XLOOKUP(CONT_TEA[[#This Row],[SRG]],SRG[StaffRoleGroupCode],SRG[GrossSalaryFinanceCode])</f>
        <v>612100</v>
      </c>
      <c r="AG222" s="57" t="str">
        <f>_xlfn.XLOOKUP(CONT_TEA[[#This Row],[StaffRoleCode]],ROLES[StaffRoleCode],ROLES[StaffRoleGroupCode])</f>
        <v>TEA</v>
      </c>
      <c r="AH222" s="57" t="str">
        <f>_xlfn.XLOOKUP(CONT_TEA[[#This Row],[StaffRoleCode]],ROLES[StaffRoleCode],ROLES[PayScaleCode])</f>
        <v>MAIN</v>
      </c>
      <c r="AI222" s="12" t="s">
        <v>1126</v>
      </c>
      <c r="AJ222" s="12" t="s">
        <v>1745</v>
      </c>
      <c r="AK222" s="12" t="s">
        <v>2499</v>
      </c>
      <c r="AM222" s="68" t="s">
        <v>1147</v>
      </c>
      <c r="AN222" s="13" t="s">
        <v>1702</v>
      </c>
      <c r="AO222" s="21">
        <v>45901</v>
      </c>
      <c r="AQ222" s="12">
        <v>1</v>
      </c>
      <c r="AR222" t="b">
        <v>0</v>
      </c>
      <c r="AS222" t="b">
        <v>0</v>
      </c>
      <c r="AT222" s="12" t="s">
        <v>1574</v>
      </c>
    </row>
    <row r="223" spans="1:47" x14ac:dyDescent="0.3">
      <c r="A223" s="57" t="str">
        <f t="shared" si="4"/>
        <v>BLS9107352391073523ATEASTCH45901</v>
      </c>
      <c r="B223" s="57">
        <f>COUNTIF(CONT_TEA[Unique Contract],CONT_TEA[[#This Row],[Unique Contract]])-1</f>
        <v>0</v>
      </c>
      <c r="C223" s="57">
        <f>IFERROR(IF(FIND(CONT_TEA[[#This Row],[SchoolCode]],_xlfn.XLOOKUP(CONT_TEA[[#This Row],[StaffMemberCode]],MEMBERS[StaffMemberCode],MEMBERS[SchoolCodes]))&gt;0,0,1),1)</f>
        <v>0</v>
      </c>
      <c r="D223" s="57" cm="1">
        <f t="array" ref="D223">IF(_xlfn.XLOOKUP(CONT_TEA[[#This Row],[StaffRoleCode]],ROLES[StaffRoleCode],ROLES[AvailableToAllSchools],1,0,)=TRUE,0,IF(ISERROR(FIND(CONT_TEA[[#This Row],[SchoolCode]],_xlfn.TEXTJOIN(",",TRUE,_xlfn.UNIQUE(IF(ROLES[StaffRoleCode]=CONT_TEA[[#This Row],[StaffRoleCode]],ROLES[SchoolCodes],""))))),1,0))</f>
        <v>0</v>
      </c>
      <c r="E223" s="57" cm="1">
        <f t="array" ref="E22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23" s="57" cm="1">
        <f t="array" ref="F223">IF(_xlfn.XLOOKUP(CONT_TEA[[#This Row],[PayScaleCode]],PAYSCALES[PayScaleCode],PAYSCALES[AvailableToAllSchools],1,0,)=TRUE,0,IF(ISERROR(FIND(CONT_TEA[[#This Row],[SchoolCode]],_xlfn.TEXTJOIN(",",TRUE,_xlfn.UNIQUE(IF(PAYSCALES[PayScaleCode]=CONT_TEA[[#This Row],[PayScaleCode]],PAYSCALES[SchoolCodes],""))))),1,0))</f>
        <v>0</v>
      </c>
      <c r="G223" s="57">
        <f>IF(_xlfn.XLOOKUP(CONT_TEA[[#This Row],[PayScaleGradeCode]],GRADES[PayScaleGradeCode],GRADES[AvailableToAllSchools])=TRUE,0,IFERROR(IF(FIND(CONT_TEA[[#This Row],[SchoolCode]],_xlfn.XLOOKUP(CONT_TEA[[#This Row],[PayScaleGradeCode]],GRADES[PayScaleGradeCode],GRADES[SchoolCodes]))&gt;=1,0,1),1))</f>
        <v>0</v>
      </c>
      <c r="H223" s="57">
        <f>IF(ISERROR(IF((_xlfn.XLOOKUP(CONT_TEA[[#This Row],[PayScaleGradeCode]],GRADES[PayScaleGradeCode],GRADES[PayScaleCode])=CONT_TEA[[#This Row],[PayScaleCode]]),0,1)),1,0)</f>
        <v>0</v>
      </c>
      <c r="I223" s="57" cm="1">
        <f t="array" ref="I223">IF(ISERROR(FIND(CONT_TEA[[#This Row],[PayScalePointCode]],_xlfn.TEXTJOIN(",",TRUE,IF(PSPOINTS[PayScaleCode]=CONT_TEA[[#This Row],[PayScaleCode]],PSPOINTS[PayScalePointCode])))),1,0)</f>
        <v>0</v>
      </c>
      <c r="J223" s="57" cm="1">
        <f t="array" ref="J22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23" s="57">
        <f>IF(_xlfn.XLOOKUP(CONT_TEA[[#This Row],[PayScalePointCode]],PSPOINTS[PayScalePointCode],PSPOINTS[PayScalePointEnabled])=TRUE,0,1)</f>
        <v>0</v>
      </c>
      <c r="L223" s="57" cm="1">
        <f t="array" ref="L223">IF(_xlfn.XLOOKUP(CONT_TEA[[#This Row],[DepartmentCode]],DEPTS[DepartmentCode],DEPTS[AvailableToAllSchools],1,0,)=TRUE,0,IF(ISERROR(FIND(CONT_TEA[[#This Row],[SchoolCode]],_xlfn.TEXTJOIN(",",TRUE,_xlfn.UNIQUE(IF(DEPTS[DepartmentCode]=CONT_TEA[[#This Row],[DepartmentCode]],DEPTS[SchoolCodes],""))))),1,0))</f>
        <v>0</v>
      </c>
      <c r="M223" s="57">
        <f>IFERROR(IF(_xlfn.XLOOKUP(CONT_TEA[[#This Row],[SRG Gross]],FinanceCodesBudget[FinanceCode],FinanceCodesBudget[LedgerCode])=_xlfn.XLOOKUP(CONT_TEA[[#This Row],[DepartmentCode]],DEPTS[DepartmentCode],DEPTS[LedgerCode]),0,1),1)</f>
        <v>1</v>
      </c>
      <c r="N223" s="57" cm="1">
        <f t="array" ref="N223">IF(_xlfn.XLOOKUP(CONT_TEA[[#This Row],[PensionCode]],PENS[PensionCode],PENS[AvailableToAllSchools],1,0,)=TRUE,0,IF(ISERROR(FIND(CONT_TEA[[#This Row],[SchoolCode]],_xlfn.TEXTJOIN(",",TRUE,_xlfn.UNIQUE(IF(PENS[PensionCode]=CONT_TEA[[#This Row],[PensionCode]],PENS[SchoolCodes],""))))),1,0))</f>
        <v>0</v>
      </c>
      <c r="O223" s="57" cm="1">
        <f t="array" ref="O223">IF(_xlfn.XLOOKUP(CONT_TEA[[#This Row],[EquatedWeekPatternCode]],EQW[EquatedWeekPatternCode],EQW[AvailableToAllSchools],1,0,)=TRUE,0,IF(ISERROR(FIND(CONT_TEA[[#This Row],[SchoolCode]],_xlfn.TEXTJOIN(",",TRUE,_xlfn.UNIQUE(IF(EQW[EquatedWeekPatternCode]=CONT_TEA[[#This Row],[EquatedWeekPatternCode]],EQW[SchoolCodes],""))))),1,0))</f>
        <v>0</v>
      </c>
      <c r="P223" s="57">
        <f>1-COUNTIF(ContractTypes[Code],CONT_TEA[[#This Row],[ContractTypeCode]])</f>
        <v>0</v>
      </c>
      <c r="Q223" s="57">
        <f>IF(VLOOKUP(CONT_TEA[[#This Row],[StaffMemberCode]],MEMBERS[[StaffMemberCode]:[ServiceStartDate]],5,0)&gt;CONT_TEA[[#This Row],[DateFrom]],1,0)</f>
        <v>0</v>
      </c>
      <c r="R223" s="57">
        <f>IF(_xlfn.XLOOKUP(CONT_TEA[[#This Row],[StaffMemberCode]],MEMBERS[StaffMemberCode],MEMBERS[ServiceEndDate])="",0,IF(CONT_TEA[[#This Row],[DateTo]]="",1,IF(_xlfn.XLOOKUP(CONT_TEA[[#This Row],[StaffMemberCode]],MEMBERS[StaffMemberCode],MEMBERS[ServiceEndDate])&lt;CONT_TEA[[#This Row],[DateTo]],1,0)))</f>
        <v>0</v>
      </c>
      <c r="S223" s="57">
        <f>IF(ISBLANK(CONT_TEA[[#This Row],[DateTo]]),0,IF(CONT_TEA[[#This Row],[DateFrom]]=CONT_TEA[[#This Row],[DateTo]],0,IF(CONT_TEA[[#This Row],[DateFrom]]&lt;CONT_TEA[[#This Row],[DateTo]],0,1)))</f>
        <v>0</v>
      </c>
      <c r="T223" s="57" cm="1">
        <f t="array" aca="1" ref="T223" ca="1">IF(CELL("format",CONT_TEA[[#This Row],[DateFrom]])="D1",0,1)+IF(CELL("format",CONT_TEA[[#This Row],[DateTo]])="D1",0,1)</f>
        <v>0</v>
      </c>
      <c r="U223" s="57">
        <f>IF(OR(CONT_TEA[[#This Row],[MatEditOnly]]=TRUE,CONT_TEA[[#This Row],[MatEditOnly]]=FALSE),IF(OR(CONT_TEA[[#This Row],[NoIncrement]]=TRUE,CONT_TEA[[#This Row],[NoIncrement]]=FALSE),0,1),1)</f>
        <v>0</v>
      </c>
      <c r="V223" s="57">
        <f>IF(ISBLANK(CONT_TEA[[#This Row],[FundCode]])=TRUE,0,IF(COUNTIF(FUNDS[FundCode],CONT_TEA[[#This Row],[FundCode]])=1,0,1))</f>
        <v>0</v>
      </c>
      <c r="W223" s="57">
        <f>IF(LEN(CONT_TEA[[#This Row],[Notes]])&lt;4000,0,1)</f>
        <v>0</v>
      </c>
      <c r="X223" s="57">
        <f>IF(SUBSTITUTE(TEXT(CONT_TEA[[#This Row],[Reference]],10)," ","")=TEXT(CONT_TEA[[#This Row],[Reference]],10),0,1)</f>
        <v>0</v>
      </c>
      <c r="Y223" s="57">
        <f ca="1">SUM(CONT_TEA[[#This Row],[Duplicate Contract]:[Space in Code]])</f>
        <v>1</v>
      </c>
      <c r="AA223" s="12" t="s">
        <v>2094</v>
      </c>
      <c r="AB223" s="15">
        <v>91073523</v>
      </c>
      <c r="AC223" s="12" t="s">
        <v>4571</v>
      </c>
      <c r="AD223" s="57" t="str">
        <f>_xlfn.XLOOKUP(CONT_TEA[[#This Row],[StaffMemberCode]],StaffMembers!O:O,StaffMembers!R:R)</f>
        <v>Paul Davis</v>
      </c>
      <c r="AE223" s="12" t="s">
        <v>1178</v>
      </c>
      <c r="AF223" s="57">
        <f>_xlfn.XLOOKUP(CONT_TEA[[#This Row],[SRG]],SRG[StaffRoleGroupCode],SRG[GrossSalaryFinanceCode])</f>
        <v>612100</v>
      </c>
      <c r="AG223" s="57" t="str">
        <f>_xlfn.XLOOKUP(CONT_TEA[[#This Row],[StaffRoleCode]],ROLES[StaffRoleCode],ROLES[StaffRoleGroupCode])</f>
        <v>TEA</v>
      </c>
      <c r="AH223" s="57" t="str">
        <f>_xlfn.XLOOKUP(CONT_TEA[[#This Row],[StaffRoleCode]],ROLES[StaffRoleCode],ROLES[PayScaleCode])</f>
        <v>MAIN</v>
      </c>
      <c r="AI223" s="12" t="s">
        <v>1126</v>
      </c>
      <c r="AJ223" s="12" t="s">
        <v>1745</v>
      </c>
      <c r="AK223" s="12" t="s">
        <v>2499</v>
      </c>
      <c r="AM223" s="68" t="s">
        <v>1147</v>
      </c>
      <c r="AN223" s="13" t="s">
        <v>1702</v>
      </c>
      <c r="AO223" s="21">
        <v>45901</v>
      </c>
      <c r="AQ223" s="12">
        <v>0.6</v>
      </c>
      <c r="AR223" t="b">
        <v>0</v>
      </c>
      <c r="AS223" t="b">
        <v>0</v>
      </c>
      <c r="AT223" s="12" t="s">
        <v>1574</v>
      </c>
    </row>
    <row r="224" spans="1:47" x14ac:dyDescent="0.3">
      <c r="A224" s="57" t="str">
        <f t="shared" si="4"/>
        <v>ALS9107384091073840ATEASTCH45901</v>
      </c>
      <c r="B224" s="57">
        <f>COUNTIF(CONT_TEA[Unique Contract],CONT_TEA[[#This Row],[Unique Contract]])-1</f>
        <v>0</v>
      </c>
      <c r="C224" s="57">
        <f>IFERROR(IF(FIND(CONT_TEA[[#This Row],[SchoolCode]],_xlfn.XLOOKUP(CONT_TEA[[#This Row],[StaffMemberCode]],MEMBERS[StaffMemberCode],MEMBERS[SchoolCodes]))&gt;0,0,1),1)</f>
        <v>0</v>
      </c>
      <c r="D224" s="57" cm="1">
        <f t="array" ref="D224">IF(_xlfn.XLOOKUP(CONT_TEA[[#This Row],[StaffRoleCode]],ROLES[StaffRoleCode],ROLES[AvailableToAllSchools],1,0,)=TRUE,0,IF(ISERROR(FIND(CONT_TEA[[#This Row],[SchoolCode]],_xlfn.TEXTJOIN(",",TRUE,_xlfn.UNIQUE(IF(ROLES[StaffRoleCode]=CONT_TEA[[#This Row],[StaffRoleCode]],ROLES[SchoolCodes],""))))),1,0))</f>
        <v>0</v>
      </c>
      <c r="E224" s="57" cm="1">
        <f t="array" ref="E22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24" s="57" cm="1">
        <f t="array" ref="F224">IF(_xlfn.XLOOKUP(CONT_TEA[[#This Row],[PayScaleCode]],PAYSCALES[PayScaleCode],PAYSCALES[AvailableToAllSchools],1,0,)=TRUE,0,IF(ISERROR(FIND(CONT_TEA[[#This Row],[SchoolCode]],_xlfn.TEXTJOIN(",",TRUE,_xlfn.UNIQUE(IF(PAYSCALES[PayScaleCode]=CONT_TEA[[#This Row],[PayScaleCode]],PAYSCALES[SchoolCodes],""))))),1,0))</f>
        <v>0</v>
      </c>
      <c r="G224" s="57">
        <f>IF(_xlfn.XLOOKUP(CONT_TEA[[#This Row],[PayScaleGradeCode]],GRADES[PayScaleGradeCode],GRADES[AvailableToAllSchools])=TRUE,0,IFERROR(IF(FIND(CONT_TEA[[#This Row],[SchoolCode]],_xlfn.XLOOKUP(CONT_TEA[[#This Row],[PayScaleGradeCode]],GRADES[PayScaleGradeCode],GRADES[SchoolCodes]))&gt;=1,0,1),1))</f>
        <v>0</v>
      </c>
      <c r="H224" s="57">
        <f>IF(ISERROR(IF((_xlfn.XLOOKUP(CONT_TEA[[#This Row],[PayScaleGradeCode]],GRADES[PayScaleGradeCode],GRADES[PayScaleCode])=CONT_TEA[[#This Row],[PayScaleCode]]),0,1)),1,0)</f>
        <v>0</v>
      </c>
      <c r="I224" s="57" cm="1">
        <f t="array" ref="I224">IF(ISERROR(FIND(CONT_TEA[[#This Row],[PayScalePointCode]],_xlfn.TEXTJOIN(",",TRUE,IF(PSPOINTS[PayScaleCode]=CONT_TEA[[#This Row],[PayScaleCode]],PSPOINTS[PayScalePointCode])))),1,0)</f>
        <v>0</v>
      </c>
      <c r="J224" s="57" cm="1">
        <f t="array" ref="J22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24" s="57">
        <f>IF(_xlfn.XLOOKUP(CONT_TEA[[#This Row],[PayScalePointCode]],PSPOINTS[PayScalePointCode],PSPOINTS[PayScalePointEnabled])=TRUE,0,1)</f>
        <v>0</v>
      </c>
      <c r="L224" s="57" cm="1">
        <f t="array" ref="L224">IF(_xlfn.XLOOKUP(CONT_TEA[[#This Row],[DepartmentCode]],DEPTS[DepartmentCode],DEPTS[AvailableToAllSchools],1,0,)=TRUE,0,IF(ISERROR(FIND(CONT_TEA[[#This Row],[SchoolCode]],_xlfn.TEXTJOIN(",",TRUE,_xlfn.UNIQUE(IF(DEPTS[DepartmentCode]=CONT_TEA[[#This Row],[DepartmentCode]],DEPTS[SchoolCodes],""))))),1,0))</f>
        <v>0</v>
      </c>
      <c r="M224" s="57">
        <f>IFERROR(IF(_xlfn.XLOOKUP(CONT_TEA[[#This Row],[SRG Gross]],FinanceCodesBudget[FinanceCode],FinanceCodesBudget[LedgerCode])=_xlfn.XLOOKUP(CONT_TEA[[#This Row],[DepartmentCode]],DEPTS[DepartmentCode],DEPTS[LedgerCode]),0,1),1)</f>
        <v>1</v>
      </c>
      <c r="N224" s="57" cm="1">
        <f t="array" ref="N224">IF(_xlfn.XLOOKUP(CONT_TEA[[#This Row],[PensionCode]],PENS[PensionCode],PENS[AvailableToAllSchools],1,0,)=TRUE,0,IF(ISERROR(FIND(CONT_TEA[[#This Row],[SchoolCode]],_xlfn.TEXTJOIN(",",TRUE,_xlfn.UNIQUE(IF(PENS[PensionCode]=CONT_TEA[[#This Row],[PensionCode]],PENS[SchoolCodes],""))))),1,0))</f>
        <v>0</v>
      </c>
      <c r="O224" s="57" cm="1">
        <f t="array" ref="O224">IF(_xlfn.XLOOKUP(CONT_TEA[[#This Row],[EquatedWeekPatternCode]],EQW[EquatedWeekPatternCode],EQW[AvailableToAllSchools],1,0,)=TRUE,0,IF(ISERROR(FIND(CONT_TEA[[#This Row],[SchoolCode]],_xlfn.TEXTJOIN(",",TRUE,_xlfn.UNIQUE(IF(EQW[EquatedWeekPatternCode]=CONT_TEA[[#This Row],[EquatedWeekPatternCode]],EQW[SchoolCodes],""))))),1,0))</f>
        <v>0</v>
      </c>
      <c r="P224" s="57">
        <f>1-COUNTIF(ContractTypes[Code],CONT_TEA[[#This Row],[ContractTypeCode]])</f>
        <v>0</v>
      </c>
      <c r="Q224" s="57">
        <f>IF(VLOOKUP(CONT_TEA[[#This Row],[StaffMemberCode]],MEMBERS[[StaffMemberCode]:[ServiceStartDate]],5,0)&gt;CONT_TEA[[#This Row],[DateFrom]],1,0)</f>
        <v>0</v>
      </c>
      <c r="R224" s="57">
        <f>IF(_xlfn.XLOOKUP(CONT_TEA[[#This Row],[StaffMemberCode]],MEMBERS[StaffMemberCode],MEMBERS[ServiceEndDate])="",0,IF(CONT_TEA[[#This Row],[DateTo]]="",1,IF(_xlfn.XLOOKUP(CONT_TEA[[#This Row],[StaffMemberCode]],MEMBERS[StaffMemberCode],MEMBERS[ServiceEndDate])&lt;CONT_TEA[[#This Row],[DateTo]],1,0)))</f>
        <v>0</v>
      </c>
      <c r="S224" s="57">
        <f>IF(ISBLANK(CONT_TEA[[#This Row],[DateTo]]),0,IF(CONT_TEA[[#This Row],[DateFrom]]=CONT_TEA[[#This Row],[DateTo]],0,IF(CONT_TEA[[#This Row],[DateFrom]]&lt;CONT_TEA[[#This Row],[DateTo]],0,1)))</f>
        <v>0</v>
      </c>
      <c r="T224" s="57" cm="1">
        <f t="array" aca="1" ref="T224" ca="1">IF(CELL("format",CONT_TEA[[#This Row],[DateFrom]])="D1",0,1)+IF(CELL("format",CONT_TEA[[#This Row],[DateTo]])="D1",0,1)</f>
        <v>0</v>
      </c>
      <c r="U224" s="57">
        <f>IF(OR(CONT_TEA[[#This Row],[MatEditOnly]]=TRUE,CONT_TEA[[#This Row],[MatEditOnly]]=FALSE),IF(OR(CONT_TEA[[#This Row],[NoIncrement]]=TRUE,CONT_TEA[[#This Row],[NoIncrement]]=FALSE),0,1),1)</f>
        <v>0</v>
      </c>
      <c r="V224" s="57">
        <f>IF(ISBLANK(CONT_TEA[[#This Row],[FundCode]])=TRUE,0,IF(COUNTIF(FUNDS[FundCode],CONT_TEA[[#This Row],[FundCode]])=1,0,1))</f>
        <v>0</v>
      </c>
      <c r="W224" s="57">
        <f>IF(LEN(CONT_TEA[[#This Row],[Notes]])&lt;4000,0,1)</f>
        <v>0</v>
      </c>
      <c r="X224" s="57">
        <f>IF(SUBSTITUTE(TEXT(CONT_TEA[[#This Row],[Reference]],10)," ","")=TEXT(CONT_TEA[[#This Row],[Reference]],10),0,1)</f>
        <v>0</v>
      </c>
      <c r="Y224" s="57">
        <f ca="1">SUM(CONT_TEA[[#This Row],[Duplicate Contract]:[Space in Code]])</f>
        <v>1</v>
      </c>
      <c r="AA224" s="12" t="s">
        <v>2082</v>
      </c>
      <c r="AB224" s="15">
        <v>91073840</v>
      </c>
      <c r="AC224" s="12" t="s">
        <v>4572</v>
      </c>
      <c r="AD224" s="57" t="str">
        <f>_xlfn.XLOOKUP(CONT_TEA[[#This Row],[StaffMemberCode]],StaffMembers!O:O,StaffMembers!R:R)</f>
        <v>Philippa Dutton</v>
      </c>
      <c r="AE224" s="12" t="s">
        <v>1178</v>
      </c>
      <c r="AF224" s="57">
        <f>_xlfn.XLOOKUP(CONT_TEA[[#This Row],[SRG]],SRG[StaffRoleGroupCode],SRG[GrossSalaryFinanceCode])</f>
        <v>612100</v>
      </c>
      <c r="AG224" s="57" t="str">
        <f>_xlfn.XLOOKUP(CONT_TEA[[#This Row],[StaffRoleCode]],ROLES[StaffRoleCode],ROLES[StaffRoleGroupCode])</f>
        <v>TEA</v>
      </c>
      <c r="AH224" s="57" t="str">
        <f>_xlfn.XLOOKUP(CONT_TEA[[#This Row],[StaffRoleCode]],ROLES[StaffRoleCode],ROLES[PayScaleCode])</f>
        <v>MAIN</v>
      </c>
      <c r="AI224" s="12" t="s">
        <v>1126</v>
      </c>
      <c r="AJ224" s="12" t="s">
        <v>1546</v>
      </c>
      <c r="AK224" s="12" t="s">
        <v>2499</v>
      </c>
      <c r="AM224" s="68" t="s">
        <v>1147</v>
      </c>
      <c r="AN224" s="13" t="s">
        <v>1702</v>
      </c>
      <c r="AO224" s="21">
        <v>45901</v>
      </c>
      <c r="AQ224" s="12">
        <v>1</v>
      </c>
      <c r="AR224" t="b">
        <v>0</v>
      </c>
      <c r="AS224" t="b">
        <v>0</v>
      </c>
      <c r="AT224" s="12" t="s">
        <v>1574</v>
      </c>
    </row>
    <row r="225" spans="1:46" x14ac:dyDescent="0.3">
      <c r="A225" s="57" t="str">
        <f t="shared" si="4"/>
        <v>AUD9107364991073649ATEASTCH45901</v>
      </c>
      <c r="B225" s="57">
        <f>COUNTIF(CONT_TEA[Unique Contract],CONT_TEA[[#This Row],[Unique Contract]])-1</f>
        <v>0</v>
      </c>
      <c r="C225" s="57">
        <f>IFERROR(IF(FIND(CONT_TEA[[#This Row],[SchoolCode]],_xlfn.XLOOKUP(CONT_TEA[[#This Row],[StaffMemberCode]],MEMBERS[StaffMemberCode],MEMBERS[SchoolCodes]))&gt;0,0,1),1)</f>
        <v>0</v>
      </c>
      <c r="D225" s="57" cm="1">
        <f t="array" ref="D225">IF(_xlfn.XLOOKUP(CONT_TEA[[#This Row],[StaffRoleCode]],ROLES[StaffRoleCode],ROLES[AvailableToAllSchools],1,0,)=TRUE,0,IF(ISERROR(FIND(CONT_TEA[[#This Row],[SchoolCode]],_xlfn.TEXTJOIN(",",TRUE,_xlfn.UNIQUE(IF(ROLES[StaffRoleCode]=CONT_TEA[[#This Row],[StaffRoleCode]],ROLES[SchoolCodes],""))))),1,0))</f>
        <v>0</v>
      </c>
      <c r="E225" s="57" cm="1">
        <f t="array" ref="E22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25" s="57" cm="1">
        <f t="array" ref="F225">IF(_xlfn.XLOOKUP(CONT_TEA[[#This Row],[PayScaleCode]],PAYSCALES[PayScaleCode],PAYSCALES[AvailableToAllSchools],1,0,)=TRUE,0,IF(ISERROR(FIND(CONT_TEA[[#This Row],[SchoolCode]],_xlfn.TEXTJOIN(",",TRUE,_xlfn.UNIQUE(IF(PAYSCALES[PayScaleCode]=CONT_TEA[[#This Row],[PayScaleCode]],PAYSCALES[SchoolCodes],""))))),1,0))</f>
        <v>0</v>
      </c>
      <c r="G225" s="57">
        <f>IF(_xlfn.XLOOKUP(CONT_TEA[[#This Row],[PayScaleGradeCode]],GRADES[PayScaleGradeCode],GRADES[AvailableToAllSchools])=TRUE,0,IFERROR(IF(FIND(CONT_TEA[[#This Row],[SchoolCode]],_xlfn.XLOOKUP(CONT_TEA[[#This Row],[PayScaleGradeCode]],GRADES[PayScaleGradeCode],GRADES[SchoolCodes]))&gt;=1,0,1),1))</f>
        <v>0</v>
      </c>
      <c r="H225" s="57">
        <f>IF(ISERROR(IF((_xlfn.XLOOKUP(CONT_TEA[[#This Row],[PayScaleGradeCode]],GRADES[PayScaleGradeCode],GRADES[PayScaleCode])=CONT_TEA[[#This Row],[PayScaleCode]]),0,1)),1,0)</f>
        <v>0</v>
      </c>
      <c r="I225" s="57" cm="1">
        <f t="array" ref="I225">IF(ISERROR(FIND(CONT_TEA[[#This Row],[PayScalePointCode]],_xlfn.TEXTJOIN(",",TRUE,IF(PSPOINTS[PayScaleCode]=CONT_TEA[[#This Row],[PayScaleCode]],PSPOINTS[PayScalePointCode])))),1,0)</f>
        <v>0</v>
      </c>
      <c r="J225" s="57" cm="1">
        <f t="array" ref="J22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25" s="57">
        <f>IF(_xlfn.XLOOKUP(CONT_TEA[[#This Row],[PayScalePointCode]],PSPOINTS[PayScalePointCode],PSPOINTS[PayScalePointEnabled])=TRUE,0,1)</f>
        <v>0</v>
      </c>
      <c r="L225" s="57" cm="1">
        <f t="array" ref="L225">IF(_xlfn.XLOOKUP(CONT_TEA[[#This Row],[DepartmentCode]],DEPTS[DepartmentCode],DEPTS[AvailableToAllSchools],1,0,)=TRUE,0,IF(ISERROR(FIND(CONT_TEA[[#This Row],[SchoolCode]],_xlfn.TEXTJOIN(",",TRUE,_xlfn.UNIQUE(IF(DEPTS[DepartmentCode]=CONT_TEA[[#This Row],[DepartmentCode]],DEPTS[SchoolCodes],""))))),1,0))</f>
        <v>0</v>
      </c>
      <c r="M225" s="57">
        <f>IFERROR(IF(_xlfn.XLOOKUP(CONT_TEA[[#This Row],[SRG Gross]],FinanceCodesBudget[FinanceCode],FinanceCodesBudget[LedgerCode])=_xlfn.XLOOKUP(CONT_TEA[[#This Row],[DepartmentCode]],DEPTS[DepartmentCode],DEPTS[LedgerCode]),0,1),1)</f>
        <v>1</v>
      </c>
      <c r="N225" s="57" cm="1">
        <f t="array" ref="N225">IF(_xlfn.XLOOKUP(CONT_TEA[[#This Row],[PensionCode]],PENS[PensionCode],PENS[AvailableToAllSchools],1,0,)=TRUE,0,IF(ISERROR(FIND(CONT_TEA[[#This Row],[SchoolCode]],_xlfn.TEXTJOIN(",",TRUE,_xlfn.UNIQUE(IF(PENS[PensionCode]=CONT_TEA[[#This Row],[PensionCode]],PENS[SchoolCodes],""))))),1,0))</f>
        <v>0</v>
      </c>
      <c r="O225" s="57" cm="1">
        <f t="array" ref="O225">IF(_xlfn.XLOOKUP(CONT_TEA[[#This Row],[EquatedWeekPatternCode]],EQW[EquatedWeekPatternCode],EQW[AvailableToAllSchools],1,0,)=TRUE,0,IF(ISERROR(FIND(CONT_TEA[[#This Row],[SchoolCode]],_xlfn.TEXTJOIN(",",TRUE,_xlfn.UNIQUE(IF(EQW[EquatedWeekPatternCode]=CONT_TEA[[#This Row],[EquatedWeekPatternCode]],EQW[SchoolCodes],""))))),1,0))</f>
        <v>0</v>
      </c>
      <c r="P225" s="57">
        <f>1-COUNTIF(ContractTypes[Code],CONT_TEA[[#This Row],[ContractTypeCode]])</f>
        <v>0</v>
      </c>
      <c r="Q225" s="57">
        <f>IF(VLOOKUP(CONT_TEA[[#This Row],[StaffMemberCode]],MEMBERS[[StaffMemberCode]:[ServiceStartDate]],5,0)&gt;CONT_TEA[[#This Row],[DateFrom]],1,0)</f>
        <v>0</v>
      </c>
      <c r="R225" s="57">
        <f>IF(_xlfn.XLOOKUP(CONT_TEA[[#This Row],[StaffMemberCode]],MEMBERS[StaffMemberCode],MEMBERS[ServiceEndDate])="",0,IF(CONT_TEA[[#This Row],[DateTo]]="",1,IF(_xlfn.XLOOKUP(CONT_TEA[[#This Row],[StaffMemberCode]],MEMBERS[StaffMemberCode],MEMBERS[ServiceEndDate])&lt;CONT_TEA[[#This Row],[DateTo]],1,0)))</f>
        <v>0</v>
      </c>
      <c r="S225" s="57">
        <f>IF(ISBLANK(CONT_TEA[[#This Row],[DateTo]]),0,IF(CONT_TEA[[#This Row],[DateFrom]]=CONT_TEA[[#This Row],[DateTo]],0,IF(CONT_TEA[[#This Row],[DateFrom]]&lt;CONT_TEA[[#This Row],[DateTo]],0,1)))</f>
        <v>0</v>
      </c>
      <c r="T225" s="57" cm="1">
        <f t="array" aca="1" ref="T225" ca="1">IF(CELL("format",CONT_TEA[[#This Row],[DateFrom]])="D1",0,1)+IF(CELL("format",CONT_TEA[[#This Row],[DateTo]])="D1",0,1)</f>
        <v>0</v>
      </c>
      <c r="U225" s="57">
        <f>IF(OR(CONT_TEA[[#This Row],[MatEditOnly]]=TRUE,CONT_TEA[[#This Row],[MatEditOnly]]=FALSE),IF(OR(CONT_TEA[[#This Row],[NoIncrement]]=TRUE,CONT_TEA[[#This Row],[NoIncrement]]=FALSE),0,1),1)</f>
        <v>0</v>
      </c>
      <c r="V225" s="57">
        <f>IF(ISBLANK(CONT_TEA[[#This Row],[FundCode]])=TRUE,0,IF(COUNTIF(FUNDS[FundCode],CONT_TEA[[#This Row],[FundCode]])=1,0,1))</f>
        <v>0</v>
      </c>
      <c r="W225" s="57">
        <f>IF(LEN(CONT_TEA[[#This Row],[Notes]])&lt;4000,0,1)</f>
        <v>0</v>
      </c>
      <c r="X225" s="57">
        <f>IF(SUBSTITUTE(TEXT(CONT_TEA[[#This Row],[Reference]],10)," ","")=TEXT(CONT_TEA[[#This Row],[Reference]],10),0,1)</f>
        <v>0</v>
      </c>
      <c r="Y225" s="57">
        <f ca="1">SUM(CONT_TEA[[#This Row],[Duplicate Contract]:[Space in Code]])</f>
        <v>1</v>
      </c>
      <c r="AA225" s="12" t="s">
        <v>2089</v>
      </c>
      <c r="AB225" s="15">
        <v>91073649</v>
      </c>
      <c r="AC225" s="12" t="s">
        <v>4573</v>
      </c>
      <c r="AD225" s="57" t="str">
        <f>_xlfn.XLOOKUP(CONT_TEA[[#This Row],[StaffMemberCode]],StaffMembers!O:O,StaffMembers!R:R)</f>
        <v>Philippe Blenkiron</v>
      </c>
      <c r="AE225" s="12" t="s">
        <v>1178</v>
      </c>
      <c r="AF225" s="57">
        <f>_xlfn.XLOOKUP(CONT_TEA[[#This Row],[SRG]],SRG[StaffRoleGroupCode],SRG[GrossSalaryFinanceCode])</f>
        <v>612100</v>
      </c>
      <c r="AG225" s="57" t="str">
        <f>_xlfn.XLOOKUP(CONT_TEA[[#This Row],[StaffRoleCode]],ROLES[StaffRoleCode],ROLES[StaffRoleGroupCode])</f>
        <v>TEA</v>
      </c>
      <c r="AH225" s="57" t="str">
        <f>_xlfn.XLOOKUP(CONT_TEA[[#This Row],[StaffRoleCode]],ROLES[StaffRoleCode],ROLES[PayScaleCode])</f>
        <v>MAIN</v>
      </c>
      <c r="AI225" s="12" t="s">
        <v>1126</v>
      </c>
      <c r="AJ225" s="12" t="s">
        <v>3073</v>
      </c>
      <c r="AK225" s="12" t="s">
        <v>2499</v>
      </c>
      <c r="AM225" s="68" t="s">
        <v>1147</v>
      </c>
      <c r="AN225" s="13" t="s">
        <v>1702</v>
      </c>
      <c r="AO225" s="21">
        <v>45901</v>
      </c>
      <c r="AQ225" s="12">
        <v>1</v>
      </c>
      <c r="AR225" t="b">
        <v>0</v>
      </c>
      <c r="AS225" t="b">
        <v>0</v>
      </c>
      <c r="AT225" s="12" t="s">
        <v>1574</v>
      </c>
    </row>
    <row r="226" spans="1:46" x14ac:dyDescent="0.3">
      <c r="A226" s="57" t="str">
        <f t="shared" si="4"/>
        <v>ALS9107381891073818ATEASTCH45901</v>
      </c>
      <c r="B226" s="57">
        <f>COUNTIF(CONT_TEA[Unique Contract],CONT_TEA[[#This Row],[Unique Contract]])-1</f>
        <v>0</v>
      </c>
      <c r="C226" s="57">
        <f>IFERROR(IF(FIND(CONT_TEA[[#This Row],[SchoolCode]],_xlfn.XLOOKUP(CONT_TEA[[#This Row],[StaffMemberCode]],MEMBERS[StaffMemberCode],MEMBERS[SchoolCodes]))&gt;0,0,1),1)</f>
        <v>0</v>
      </c>
      <c r="D226" s="57" cm="1">
        <f t="array" ref="D226">IF(_xlfn.XLOOKUP(CONT_TEA[[#This Row],[StaffRoleCode]],ROLES[StaffRoleCode],ROLES[AvailableToAllSchools],1,0,)=TRUE,0,IF(ISERROR(FIND(CONT_TEA[[#This Row],[SchoolCode]],_xlfn.TEXTJOIN(",",TRUE,_xlfn.UNIQUE(IF(ROLES[StaffRoleCode]=CONT_TEA[[#This Row],[StaffRoleCode]],ROLES[SchoolCodes],""))))),1,0))</f>
        <v>0</v>
      </c>
      <c r="E226" s="57" cm="1">
        <f t="array" ref="E22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26" s="57" cm="1">
        <f t="array" ref="F226">IF(_xlfn.XLOOKUP(CONT_TEA[[#This Row],[PayScaleCode]],PAYSCALES[PayScaleCode],PAYSCALES[AvailableToAllSchools],1,0,)=TRUE,0,IF(ISERROR(FIND(CONT_TEA[[#This Row],[SchoolCode]],_xlfn.TEXTJOIN(",",TRUE,_xlfn.UNIQUE(IF(PAYSCALES[PayScaleCode]=CONT_TEA[[#This Row],[PayScaleCode]],PAYSCALES[SchoolCodes],""))))),1,0))</f>
        <v>0</v>
      </c>
      <c r="G226" s="57">
        <f>IF(_xlfn.XLOOKUP(CONT_TEA[[#This Row],[PayScaleGradeCode]],GRADES[PayScaleGradeCode],GRADES[AvailableToAllSchools])=TRUE,0,IFERROR(IF(FIND(CONT_TEA[[#This Row],[SchoolCode]],_xlfn.XLOOKUP(CONT_TEA[[#This Row],[PayScaleGradeCode]],GRADES[PayScaleGradeCode],GRADES[SchoolCodes]))&gt;=1,0,1),1))</f>
        <v>0</v>
      </c>
      <c r="H226" s="57">
        <f>IF(ISERROR(IF((_xlfn.XLOOKUP(CONT_TEA[[#This Row],[PayScaleGradeCode]],GRADES[PayScaleGradeCode],GRADES[PayScaleCode])=CONT_TEA[[#This Row],[PayScaleCode]]),0,1)),1,0)</f>
        <v>0</v>
      </c>
      <c r="I226" s="57" cm="1">
        <f t="array" ref="I226">IF(ISERROR(FIND(CONT_TEA[[#This Row],[PayScalePointCode]],_xlfn.TEXTJOIN(",",TRUE,IF(PSPOINTS[PayScaleCode]=CONT_TEA[[#This Row],[PayScaleCode]],PSPOINTS[PayScalePointCode])))),1,0)</f>
        <v>0</v>
      </c>
      <c r="J226" s="57" cm="1">
        <f t="array" ref="J22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26" s="57">
        <f>IF(_xlfn.XLOOKUP(CONT_TEA[[#This Row],[PayScalePointCode]],PSPOINTS[PayScalePointCode],PSPOINTS[PayScalePointEnabled])=TRUE,0,1)</f>
        <v>0</v>
      </c>
      <c r="L226" s="57" cm="1">
        <f t="array" ref="L226">IF(_xlfn.XLOOKUP(CONT_TEA[[#This Row],[DepartmentCode]],DEPTS[DepartmentCode],DEPTS[AvailableToAllSchools],1,0,)=TRUE,0,IF(ISERROR(FIND(CONT_TEA[[#This Row],[SchoolCode]],_xlfn.TEXTJOIN(",",TRUE,_xlfn.UNIQUE(IF(DEPTS[DepartmentCode]=CONT_TEA[[#This Row],[DepartmentCode]],DEPTS[SchoolCodes],""))))),1,0))</f>
        <v>0</v>
      </c>
      <c r="M226" s="57">
        <f>IFERROR(IF(_xlfn.XLOOKUP(CONT_TEA[[#This Row],[SRG Gross]],FinanceCodesBudget[FinanceCode],FinanceCodesBudget[LedgerCode])=_xlfn.XLOOKUP(CONT_TEA[[#This Row],[DepartmentCode]],DEPTS[DepartmentCode],DEPTS[LedgerCode]),0,1),1)</f>
        <v>1</v>
      </c>
      <c r="N226" s="57" cm="1">
        <f t="array" ref="N226">IF(_xlfn.XLOOKUP(CONT_TEA[[#This Row],[PensionCode]],PENS[PensionCode],PENS[AvailableToAllSchools],1,0,)=TRUE,0,IF(ISERROR(FIND(CONT_TEA[[#This Row],[SchoolCode]],_xlfn.TEXTJOIN(",",TRUE,_xlfn.UNIQUE(IF(PENS[PensionCode]=CONT_TEA[[#This Row],[PensionCode]],PENS[SchoolCodes],""))))),1,0))</f>
        <v>0</v>
      </c>
      <c r="O226" s="57" cm="1">
        <f t="array" ref="O226">IF(_xlfn.XLOOKUP(CONT_TEA[[#This Row],[EquatedWeekPatternCode]],EQW[EquatedWeekPatternCode],EQW[AvailableToAllSchools],1,0,)=TRUE,0,IF(ISERROR(FIND(CONT_TEA[[#This Row],[SchoolCode]],_xlfn.TEXTJOIN(",",TRUE,_xlfn.UNIQUE(IF(EQW[EquatedWeekPatternCode]=CONT_TEA[[#This Row],[EquatedWeekPatternCode]],EQW[SchoolCodes],""))))),1,0))</f>
        <v>0</v>
      </c>
      <c r="P226" s="57">
        <f>1-COUNTIF(ContractTypes[Code],CONT_TEA[[#This Row],[ContractTypeCode]])</f>
        <v>0</v>
      </c>
      <c r="Q226" s="57">
        <f>IF(VLOOKUP(CONT_TEA[[#This Row],[StaffMemberCode]],MEMBERS[[StaffMemberCode]:[ServiceStartDate]],5,0)&gt;CONT_TEA[[#This Row],[DateFrom]],1,0)</f>
        <v>0</v>
      </c>
      <c r="R226" s="57">
        <f>IF(_xlfn.XLOOKUP(CONT_TEA[[#This Row],[StaffMemberCode]],MEMBERS[StaffMemberCode],MEMBERS[ServiceEndDate])="",0,IF(CONT_TEA[[#This Row],[DateTo]]="",1,IF(_xlfn.XLOOKUP(CONT_TEA[[#This Row],[StaffMemberCode]],MEMBERS[StaffMemberCode],MEMBERS[ServiceEndDate])&lt;CONT_TEA[[#This Row],[DateTo]],1,0)))</f>
        <v>0</v>
      </c>
      <c r="S226" s="57">
        <f>IF(ISBLANK(CONT_TEA[[#This Row],[DateTo]]),0,IF(CONT_TEA[[#This Row],[DateFrom]]=CONT_TEA[[#This Row],[DateTo]],0,IF(CONT_TEA[[#This Row],[DateFrom]]&lt;CONT_TEA[[#This Row],[DateTo]],0,1)))</f>
        <v>0</v>
      </c>
      <c r="T226" s="57" cm="1">
        <f t="array" aca="1" ref="T226" ca="1">IF(CELL("format",CONT_TEA[[#This Row],[DateFrom]])="D1",0,1)+IF(CELL("format",CONT_TEA[[#This Row],[DateTo]])="D1",0,1)</f>
        <v>0</v>
      </c>
      <c r="U226" s="57">
        <f>IF(OR(CONT_TEA[[#This Row],[MatEditOnly]]=TRUE,CONT_TEA[[#This Row],[MatEditOnly]]=FALSE),IF(OR(CONT_TEA[[#This Row],[NoIncrement]]=TRUE,CONT_TEA[[#This Row],[NoIncrement]]=FALSE),0,1),1)</f>
        <v>0</v>
      </c>
      <c r="V226" s="57">
        <f>IF(ISBLANK(CONT_TEA[[#This Row],[FundCode]])=TRUE,0,IF(COUNTIF(FUNDS[FundCode],CONT_TEA[[#This Row],[FundCode]])=1,0,1))</f>
        <v>0</v>
      </c>
      <c r="W226" s="57">
        <f>IF(LEN(CONT_TEA[[#This Row],[Notes]])&lt;4000,0,1)</f>
        <v>0</v>
      </c>
      <c r="X226" s="57">
        <f>IF(SUBSTITUTE(TEXT(CONT_TEA[[#This Row],[Reference]],10)," ","")=TEXT(CONT_TEA[[#This Row],[Reference]],10),0,1)</f>
        <v>0</v>
      </c>
      <c r="Y226" s="57">
        <f ca="1">SUM(CONT_TEA[[#This Row],[Duplicate Contract]:[Space in Code]])</f>
        <v>1</v>
      </c>
      <c r="AA226" s="12" t="s">
        <v>2082</v>
      </c>
      <c r="AB226" s="15">
        <v>91073818</v>
      </c>
      <c r="AC226" s="12" t="s">
        <v>4574</v>
      </c>
      <c r="AD226" s="57" t="str">
        <f>_xlfn.XLOOKUP(CONT_TEA[[#This Row],[StaffMemberCode]],StaffMembers!O:O,StaffMembers!R:R)</f>
        <v>Polly Holden</v>
      </c>
      <c r="AE226" s="12" t="s">
        <v>1178</v>
      </c>
      <c r="AF226" s="57">
        <f>_xlfn.XLOOKUP(CONT_TEA[[#This Row],[SRG]],SRG[StaffRoleGroupCode],SRG[GrossSalaryFinanceCode])</f>
        <v>612100</v>
      </c>
      <c r="AG226" s="57" t="str">
        <f>_xlfn.XLOOKUP(CONT_TEA[[#This Row],[StaffRoleCode]],ROLES[StaffRoleCode],ROLES[StaffRoleGroupCode])</f>
        <v>TEA</v>
      </c>
      <c r="AH226" s="57" t="str">
        <f>_xlfn.XLOOKUP(CONT_TEA[[#This Row],[StaffRoleCode]],ROLES[StaffRoleCode],ROLES[PayScaleCode])</f>
        <v>MAIN</v>
      </c>
      <c r="AI226" s="12" t="s">
        <v>1126</v>
      </c>
      <c r="AJ226" s="12" t="s">
        <v>1066</v>
      </c>
      <c r="AK226" s="12" t="s">
        <v>2499</v>
      </c>
      <c r="AM226" s="68" t="s">
        <v>1147</v>
      </c>
      <c r="AN226" s="13" t="s">
        <v>1702</v>
      </c>
      <c r="AO226" s="21">
        <v>45901</v>
      </c>
      <c r="AQ226" s="12">
        <v>0.8</v>
      </c>
      <c r="AR226" t="b">
        <v>0</v>
      </c>
      <c r="AS226" t="b">
        <v>0</v>
      </c>
      <c r="AT226" s="12" t="s">
        <v>1574</v>
      </c>
    </row>
    <row r="227" spans="1:46" x14ac:dyDescent="0.3">
      <c r="A227" s="57" t="str">
        <f t="shared" si="4"/>
        <v>ALS9107375791073757ATEASTCH45901</v>
      </c>
      <c r="B227" s="57">
        <f>COUNTIF(CONT_TEA[Unique Contract],CONT_TEA[[#This Row],[Unique Contract]])-1</f>
        <v>0</v>
      </c>
      <c r="C227" s="57">
        <f>IFERROR(IF(FIND(CONT_TEA[[#This Row],[SchoolCode]],_xlfn.XLOOKUP(CONT_TEA[[#This Row],[StaffMemberCode]],MEMBERS[StaffMemberCode],MEMBERS[SchoolCodes]))&gt;0,0,1),1)</f>
        <v>0</v>
      </c>
      <c r="D227" s="57" cm="1">
        <f t="array" ref="D227">IF(_xlfn.XLOOKUP(CONT_TEA[[#This Row],[StaffRoleCode]],ROLES[StaffRoleCode],ROLES[AvailableToAllSchools],1,0,)=TRUE,0,IF(ISERROR(FIND(CONT_TEA[[#This Row],[SchoolCode]],_xlfn.TEXTJOIN(",",TRUE,_xlfn.UNIQUE(IF(ROLES[StaffRoleCode]=CONT_TEA[[#This Row],[StaffRoleCode]],ROLES[SchoolCodes],""))))),1,0))</f>
        <v>0</v>
      </c>
      <c r="E227" s="57" cm="1">
        <f t="array" ref="E22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27" s="57" cm="1">
        <f t="array" ref="F227">IF(_xlfn.XLOOKUP(CONT_TEA[[#This Row],[PayScaleCode]],PAYSCALES[PayScaleCode],PAYSCALES[AvailableToAllSchools],1,0,)=TRUE,0,IF(ISERROR(FIND(CONT_TEA[[#This Row],[SchoolCode]],_xlfn.TEXTJOIN(",",TRUE,_xlfn.UNIQUE(IF(PAYSCALES[PayScaleCode]=CONT_TEA[[#This Row],[PayScaleCode]],PAYSCALES[SchoolCodes],""))))),1,0))</f>
        <v>0</v>
      </c>
      <c r="G227" s="57">
        <f>IF(_xlfn.XLOOKUP(CONT_TEA[[#This Row],[PayScaleGradeCode]],GRADES[PayScaleGradeCode],GRADES[AvailableToAllSchools])=TRUE,0,IFERROR(IF(FIND(CONT_TEA[[#This Row],[SchoolCode]],_xlfn.XLOOKUP(CONT_TEA[[#This Row],[PayScaleGradeCode]],GRADES[PayScaleGradeCode],GRADES[SchoolCodes]))&gt;=1,0,1),1))</f>
        <v>0</v>
      </c>
      <c r="H227" s="57">
        <f>IF(ISERROR(IF((_xlfn.XLOOKUP(CONT_TEA[[#This Row],[PayScaleGradeCode]],GRADES[PayScaleGradeCode],GRADES[PayScaleCode])=CONT_TEA[[#This Row],[PayScaleCode]]),0,1)),1,0)</f>
        <v>0</v>
      </c>
      <c r="I227" s="57" cm="1">
        <f t="array" ref="I227">IF(ISERROR(FIND(CONT_TEA[[#This Row],[PayScalePointCode]],_xlfn.TEXTJOIN(",",TRUE,IF(PSPOINTS[PayScaleCode]=CONT_TEA[[#This Row],[PayScaleCode]],PSPOINTS[PayScalePointCode])))),1,0)</f>
        <v>0</v>
      </c>
      <c r="J227" s="57" cm="1">
        <f t="array" ref="J22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27" s="57">
        <f>IF(_xlfn.XLOOKUP(CONT_TEA[[#This Row],[PayScalePointCode]],PSPOINTS[PayScalePointCode],PSPOINTS[PayScalePointEnabled])=TRUE,0,1)</f>
        <v>0</v>
      </c>
      <c r="L227" s="57" cm="1">
        <f t="array" ref="L227">IF(_xlfn.XLOOKUP(CONT_TEA[[#This Row],[DepartmentCode]],DEPTS[DepartmentCode],DEPTS[AvailableToAllSchools],1,0,)=TRUE,0,IF(ISERROR(FIND(CONT_TEA[[#This Row],[SchoolCode]],_xlfn.TEXTJOIN(",",TRUE,_xlfn.UNIQUE(IF(DEPTS[DepartmentCode]=CONT_TEA[[#This Row],[DepartmentCode]],DEPTS[SchoolCodes],""))))),1,0))</f>
        <v>0</v>
      </c>
      <c r="M227" s="57">
        <f>IFERROR(IF(_xlfn.XLOOKUP(CONT_TEA[[#This Row],[SRG Gross]],FinanceCodesBudget[FinanceCode],FinanceCodesBudget[LedgerCode])=_xlfn.XLOOKUP(CONT_TEA[[#This Row],[DepartmentCode]],DEPTS[DepartmentCode],DEPTS[LedgerCode]),0,1),1)</f>
        <v>1</v>
      </c>
      <c r="N227" s="57" cm="1">
        <f t="array" ref="N227">IF(_xlfn.XLOOKUP(CONT_TEA[[#This Row],[PensionCode]],PENS[PensionCode],PENS[AvailableToAllSchools],1,0,)=TRUE,0,IF(ISERROR(FIND(CONT_TEA[[#This Row],[SchoolCode]],_xlfn.TEXTJOIN(",",TRUE,_xlfn.UNIQUE(IF(PENS[PensionCode]=CONT_TEA[[#This Row],[PensionCode]],PENS[SchoolCodes],""))))),1,0))</f>
        <v>0</v>
      </c>
      <c r="O227" s="57" cm="1">
        <f t="array" ref="O227">IF(_xlfn.XLOOKUP(CONT_TEA[[#This Row],[EquatedWeekPatternCode]],EQW[EquatedWeekPatternCode],EQW[AvailableToAllSchools],1,0,)=TRUE,0,IF(ISERROR(FIND(CONT_TEA[[#This Row],[SchoolCode]],_xlfn.TEXTJOIN(",",TRUE,_xlfn.UNIQUE(IF(EQW[EquatedWeekPatternCode]=CONT_TEA[[#This Row],[EquatedWeekPatternCode]],EQW[SchoolCodes],""))))),1,0))</f>
        <v>0</v>
      </c>
      <c r="P227" s="57">
        <f>1-COUNTIF(ContractTypes[Code],CONT_TEA[[#This Row],[ContractTypeCode]])</f>
        <v>0</v>
      </c>
      <c r="Q227" s="57">
        <f>IF(VLOOKUP(CONT_TEA[[#This Row],[StaffMemberCode]],MEMBERS[[StaffMemberCode]:[ServiceStartDate]],5,0)&gt;CONT_TEA[[#This Row],[DateFrom]],1,0)</f>
        <v>0</v>
      </c>
      <c r="R227" s="57">
        <f>IF(_xlfn.XLOOKUP(CONT_TEA[[#This Row],[StaffMemberCode]],MEMBERS[StaffMemberCode],MEMBERS[ServiceEndDate])="",0,IF(CONT_TEA[[#This Row],[DateTo]]="",1,IF(_xlfn.XLOOKUP(CONT_TEA[[#This Row],[StaffMemberCode]],MEMBERS[StaffMemberCode],MEMBERS[ServiceEndDate])&lt;CONT_TEA[[#This Row],[DateTo]],1,0)))</f>
        <v>0</v>
      </c>
      <c r="S227" s="57">
        <f>IF(ISBLANK(CONT_TEA[[#This Row],[DateTo]]),0,IF(CONT_TEA[[#This Row],[DateFrom]]=CONT_TEA[[#This Row],[DateTo]],0,IF(CONT_TEA[[#This Row],[DateFrom]]&lt;CONT_TEA[[#This Row],[DateTo]],0,1)))</f>
        <v>0</v>
      </c>
      <c r="T227" s="57" cm="1">
        <f t="array" aca="1" ref="T227" ca="1">IF(CELL("format",CONT_TEA[[#This Row],[DateFrom]])="D1",0,1)+IF(CELL("format",CONT_TEA[[#This Row],[DateTo]])="D1",0,1)</f>
        <v>0</v>
      </c>
      <c r="U227" s="57">
        <f>IF(OR(CONT_TEA[[#This Row],[MatEditOnly]]=TRUE,CONT_TEA[[#This Row],[MatEditOnly]]=FALSE),IF(OR(CONT_TEA[[#This Row],[NoIncrement]]=TRUE,CONT_TEA[[#This Row],[NoIncrement]]=FALSE),0,1),1)</f>
        <v>0</v>
      </c>
      <c r="V227" s="57">
        <f>IF(ISBLANK(CONT_TEA[[#This Row],[FundCode]])=TRUE,0,IF(COUNTIF(FUNDS[FundCode],CONT_TEA[[#This Row],[FundCode]])=1,0,1))</f>
        <v>0</v>
      </c>
      <c r="W227" s="57">
        <f>IF(LEN(CONT_TEA[[#This Row],[Notes]])&lt;4000,0,1)</f>
        <v>0</v>
      </c>
      <c r="X227" s="57">
        <f>IF(SUBSTITUTE(TEXT(CONT_TEA[[#This Row],[Reference]],10)," ","")=TEXT(CONT_TEA[[#This Row],[Reference]],10),0,1)</f>
        <v>0</v>
      </c>
      <c r="Y227" s="57">
        <f ca="1">SUM(CONT_TEA[[#This Row],[Duplicate Contract]:[Space in Code]])</f>
        <v>1</v>
      </c>
      <c r="AA227" s="12" t="s">
        <v>2082</v>
      </c>
      <c r="AB227" s="15">
        <v>91073757</v>
      </c>
      <c r="AC227" s="12" t="s">
        <v>4575</v>
      </c>
      <c r="AD227" s="57" t="str">
        <f>_xlfn.XLOOKUP(CONT_TEA[[#This Row],[StaffMemberCode]],StaffMembers!O:O,StaffMembers!R:R)</f>
        <v>Rachel Kelly</v>
      </c>
      <c r="AE227" s="12" t="s">
        <v>1178</v>
      </c>
      <c r="AF227" s="57">
        <f>_xlfn.XLOOKUP(CONT_TEA[[#This Row],[SRG]],SRG[StaffRoleGroupCode],SRG[GrossSalaryFinanceCode])</f>
        <v>612100</v>
      </c>
      <c r="AG227" s="57" t="str">
        <f>_xlfn.XLOOKUP(CONT_TEA[[#This Row],[StaffRoleCode]],ROLES[StaffRoleCode],ROLES[StaffRoleGroupCode])</f>
        <v>TEA</v>
      </c>
      <c r="AH227" s="57" t="str">
        <f>_xlfn.XLOOKUP(CONT_TEA[[#This Row],[StaffRoleCode]],ROLES[StaffRoleCode],ROLES[PayScaleCode])</f>
        <v>MAIN</v>
      </c>
      <c r="AI227" s="12" t="s">
        <v>1126</v>
      </c>
      <c r="AJ227" s="12" t="s">
        <v>1745</v>
      </c>
      <c r="AK227" s="12" t="s">
        <v>2499</v>
      </c>
      <c r="AM227" s="68" t="s">
        <v>1147</v>
      </c>
      <c r="AN227" s="13" t="s">
        <v>1702</v>
      </c>
      <c r="AO227" s="21">
        <v>45901</v>
      </c>
      <c r="AQ227" s="12">
        <v>1</v>
      </c>
      <c r="AR227" t="b">
        <v>0</v>
      </c>
      <c r="AS227" t="b">
        <v>0</v>
      </c>
      <c r="AT227" s="12" t="s">
        <v>1574</v>
      </c>
    </row>
    <row r="228" spans="1:46" x14ac:dyDescent="0.3">
      <c r="A228" s="57" t="str">
        <f t="shared" si="4"/>
        <v>HIG9107387891073878ATEASTCH45901</v>
      </c>
      <c r="B228" s="57">
        <f>COUNTIF(CONT_TEA[Unique Contract],CONT_TEA[[#This Row],[Unique Contract]])-1</f>
        <v>0</v>
      </c>
      <c r="C228" s="57">
        <f>IFERROR(IF(FIND(CONT_TEA[[#This Row],[SchoolCode]],_xlfn.XLOOKUP(CONT_TEA[[#This Row],[StaffMemberCode]],MEMBERS[StaffMemberCode],MEMBERS[SchoolCodes]))&gt;0,0,1),1)</f>
        <v>0</v>
      </c>
      <c r="D228" s="57" cm="1">
        <f t="array" ref="D228">IF(_xlfn.XLOOKUP(CONT_TEA[[#This Row],[StaffRoleCode]],ROLES[StaffRoleCode],ROLES[AvailableToAllSchools],1,0,)=TRUE,0,IF(ISERROR(FIND(CONT_TEA[[#This Row],[SchoolCode]],_xlfn.TEXTJOIN(",",TRUE,_xlfn.UNIQUE(IF(ROLES[StaffRoleCode]=CONT_TEA[[#This Row],[StaffRoleCode]],ROLES[SchoolCodes],""))))),1,0))</f>
        <v>0</v>
      </c>
      <c r="E228" s="57" cm="1">
        <f t="array" ref="E22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28" s="57" cm="1">
        <f t="array" ref="F228">IF(_xlfn.XLOOKUP(CONT_TEA[[#This Row],[PayScaleCode]],PAYSCALES[PayScaleCode],PAYSCALES[AvailableToAllSchools],1,0,)=TRUE,0,IF(ISERROR(FIND(CONT_TEA[[#This Row],[SchoolCode]],_xlfn.TEXTJOIN(",",TRUE,_xlfn.UNIQUE(IF(PAYSCALES[PayScaleCode]=CONT_TEA[[#This Row],[PayScaleCode]],PAYSCALES[SchoolCodes],""))))),1,0))</f>
        <v>0</v>
      </c>
      <c r="G228" s="57">
        <f>IF(_xlfn.XLOOKUP(CONT_TEA[[#This Row],[PayScaleGradeCode]],GRADES[PayScaleGradeCode],GRADES[AvailableToAllSchools])=TRUE,0,IFERROR(IF(FIND(CONT_TEA[[#This Row],[SchoolCode]],_xlfn.XLOOKUP(CONT_TEA[[#This Row],[PayScaleGradeCode]],GRADES[PayScaleGradeCode],GRADES[SchoolCodes]))&gt;=1,0,1),1))</f>
        <v>0</v>
      </c>
      <c r="H228" s="57">
        <f>IF(ISERROR(IF((_xlfn.XLOOKUP(CONT_TEA[[#This Row],[PayScaleGradeCode]],GRADES[PayScaleGradeCode],GRADES[PayScaleCode])=CONT_TEA[[#This Row],[PayScaleCode]]),0,1)),1,0)</f>
        <v>0</v>
      </c>
      <c r="I228" s="57" cm="1">
        <f t="array" ref="I228">IF(ISERROR(FIND(CONT_TEA[[#This Row],[PayScalePointCode]],_xlfn.TEXTJOIN(",",TRUE,IF(PSPOINTS[PayScaleCode]=CONT_TEA[[#This Row],[PayScaleCode]],PSPOINTS[PayScalePointCode])))),1,0)</f>
        <v>0</v>
      </c>
      <c r="J228" s="57" cm="1">
        <f t="array" ref="J22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28" s="57">
        <f>IF(_xlfn.XLOOKUP(CONT_TEA[[#This Row],[PayScalePointCode]],PSPOINTS[PayScalePointCode],PSPOINTS[PayScalePointEnabled])=TRUE,0,1)</f>
        <v>0</v>
      </c>
      <c r="L228" s="57" cm="1">
        <f t="array" ref="L228">IF(_xlfn.XLOOKUP(CONT_TEA[[#This Row],[DepartmentCode]],DEPTS[DepartmentCode],DEPTS[AvailableToAllSchools],1,0,)=TRUE,0,IF(ISERROR(FIND(CONT_TEA[[#This Row],[SchoolCode]],_xlfn.TEXTJOIN(",",TRUE,_xlfn.UNIQUE(IF(DEPTS[DepartmentCode]=CONT_TEA[[#This Row],[DepartmentCode]],DEPTS[SchoolCodes],""))))),1,0))</f>
        <v>0</v>
      </c>
      <c r="M228" s="57">
        <f>IFERROR(IF(_xlfn.XLOOKUP(CONT_TEA[[#This Row],[SRG Gross]],FinanceCodesBudget[FinanceCode],FinanceCodesBudget[LedgerCode])=_xlfn.XLOOKUP(CONT_TEA[[#This Row],[DepartmentCode]],DEPTS[DepartmentCode],DEPTS[LedgerCode]),0,1),1)</f>
        <v>1</v>
      </c>
      <c r="N228" s="57" cm="1">
        <f t="array" ref="N228">IF(_xlfn.XLOOKUP(CONT_TEA[[#This Row],[PensionCode]],PENS[PensionCode],PENS[AvailableToAllSchools],1,0,)=TRUE,0,IF(ISERROR(FIND(CONT_TEA[[#This Row],[SchoolCode]],_xlfn.TEXTJOIN(",",TRUE,_xlfn.UNIQUE(IF(PENS[PensionCode]=CONT_TEA[[#This Row],[PensionCode]],PENS[SchoolCodes],""))))),1,0))</f>
        <v>0</v>
      </c>
      <c r="O228" s="57" cm="1">
        <f t="array" ref="O228">IF(_xlfn.XLOOKUP(CONT_TEA[[#This Row],[EquatedWeekPatternCode]],EQW[EquatedWeekPatternCode],EQW[AvailableToAllSchools],1,0,)=TRUE,0,IF(ISERROR(FIND(CONT_TEA[[#This Row],[SchoolCode]],_xlfn.TEXTJOIN(",",TRUE,_xlfn.UNIQUE(IF(EQW[EquatedWeekPatternCode]=CONT_TEA[[#This Row],[EquatedWeekPatternCode]],EQW[SchoolCodes],""))))),1,0))</f>
        <v>0</v>
      </c>
      <c r="P228" s="57">
        <f>1-COUNTIF(ContractTypes[Code],CONT_TEA[[#This Row],[ContractTypeCode]])</f>
        <v>0</v>
      </c>
      <c r="Q228" s="57">
        <f>IF(VLOOKUP(CONT_TEA[[#This Row],[StaffMemberCode]],MEMBERS[[StaffMemberCode]:[ServiceStartDate]],5,0)&gt;CONT_TEA[[#This Row],[DateFrom]],1,0)</f>
        <v>0</v>
      </c>
      <c r="R228" s="57">
        <f>IF(_xlfn.XLOOKUP(CONT_TEA[[#This Row],[StaffMemberCode]],MEMBERS[StaffMemberCode],MEMBERS[ServiceEndDate])="",0,IF(CONT_TEA[[#This Row],[DateTo]]="",1,IF(_xlfn.XLOOKUP(CONT_TEA[[#This Row],[StaffMemberCode]],MEMBERS[StaffMemberCode],MEMBERS[ServiceEndDate])&lt;CONT_TEA[[#This Row],[DateTo]],1,0)))</f>
        <v>0</v>
      </c>
      <c r="S228" s="57">
        <f>IF(ISBLANK(CONT_TEA[[#This Row],[DateTo]]),0,IF(CONT_TEA[[#This Row],[DateFrom]]=CONT_TEA[[#This Row],[DateTo]],0,IF(CONT_TEA[[#This Row],[DateFrom]]&lt;CONT_TEA[[#This Row],[DateTo]],0,1)))</f>
        <v>0</v>
      </c>
      <c r="T228" s="57" cm="1">
        <f t="array" aca="1" ref="T228" ca="1">IF(CELL("format",CONT_TEA[[#This Row],[DateFrom]])="D1",0,1)+IF(CELL("format",CONT_TEA[[#This Row],[DateTo]])="D1",0,1)</f>
        <v>0</v>
      </c>
      <c r="U228" s="57">
        <f>IF(OR(CONT_TEA[[#This Row],[MatEditOnly]]=TRUE,CONT_TEA[[#This Row],[MatEditOnly]]=FALSE),IF(OR(CONT_TEA[[#This Row],[NoIncrement]]=TRUE,CONT_TEA[[#This Row],[NoIncrement]]=FALSE),0,1),1)</f>
        <v>0</v>
      </c>
      <c r="V228" s="57">
        <f>IF(ISBLANK(CONT_TEA[[#This Row],[FundCode]])=TRUE,0,IF(COUNTIF(FUNDS[FundCode],CONT_TEA[[#This Row],[FundCode]])=1,0,1))</f>
        <v>0</v>
      </c>
      <c r="W228" s="57">
        <f>IF(LEN(CONT_TEA[[#This Row],[Notes]])&lt;4000,0,1)</f>
        <v>0</v>
      </c>
      <c r="X228" s="57">
        <f>IF(SUBSTITUTE(TEXT(CONT_TEA[[#This Row],[Reference]],10)," ","")=TEXT(CONT_TEA[[#This Row],[Reference]],10),0,1)</f>
        <v>0</v>
      </c>
      <c r="Y228" s="57">
        <f ca="1">SUM(CONT_TEA[[#This Row],[Duplicate Contract]:[Space in Code]])</f>
        <v>1</v>
      </c>
      <c r="AA228" s="12" t="s">
        <v>2266</v>
      </c>
      <c r="AB228" s="15">
        <v>91073878</v>
      </c>
      <c r="AC228" s="12" t="s">
        <v>4576</v>
      </c>
      <c r="AD228" s="57" t="str">
        <f>_xlfn.XLOOKUP(CONT_TEA[[#This Row],[StaffMemberCode]],StaffMembers!O:O,StaffMembers!R:R)</f>
        <v>Rachel Millichap</v>
      </c>
      <c r="AE228" s="12" t="s">
        <v>1178</v>
      </c>
      <c r="AF228" s="57">
        <f>_xlfn.XLOOKUP(CONT_TEA[[#This Row],[SRG]],SRG[StaffRoleGroupCode],SRG[GrossSalaryFinanceCode])</f>
        <v>612100</v>
      </c>
      <c r="AG228" s="57" t="str">
        <f>_xlfn.XLOOKUP(CONT_TEA[[#This Row],[StaffRoleCode]],ROLES[StaffRoleCode],ROLES[StaffRoleGroupCode])</f>
        <v>TEA</v>
      </c>
      <c r="AH228" s="57" t="str">
        <f>_xlfn.XLOOKUP(CONT_TEA[[#This Row],[StaffRoleCode]],ROLES[StaffRoleCode],ROLES[PayScaleCode])</f>
        <v>MAIN</v>
      </c>
      <c r="AI228" s="12" t="s">
        <v>1126</v>
      </c>
      <c r="AJ228" s="12" t="s">
        <v>1745</v>
      </c>
      <c r="AK228" s="12" t="s">
        <v>2499</v>
      </c>
      <c r="AM228" s="68" t="s">
        <v>1147</v>
      </c>
      <c r="AN228" s="13" t="s">
        <v>1702</v>
      </c>
      <c r="AO228" s="21">
        <v>45901</v>
      </c>
      <c r="AQ228" s="12">
        <v>0.4</v>
      </c>
      <c r="AR228" t="b">
        <v>0</v>
      </c>
      <c r="AS228" t="b">
        <v>0</v>
      </c>
      <c r="AT228" s="12" t="s">
        <v>1574</v>
      </c>
    </row>
    <row r="229" spans="1:46" x14ac:dyDescent="0.3">
      <c r="A229" s="57" t="str">
        <f t="shared" si="4"/>
        <v>SBL9107575091075750BTEASTCH45901</v>
      </c>
      <c r="B229" s="57">
        <f>COUNTIF(CONT_TEA[Unique Contract],CONT_TEA[[#This Row],[Unique Contract]])-1</f>
        <v>0</v>
      </c>
      <c r="C229" s="57">
        <f>IFERROR(IF(FIND(CONT_TEA[[#This Row],[SchoolCode]],_xlfn.XLOOKUP(CONT_TEA[[#This Row],[StaffMemberCode]],MEMBERS[StaffMemberCode],MEMBERS[SchoolCodes]))&gt;0,0,1),1)</f>
        <v>0</v>
      </c>
      <c r="D229" s="57" cm="1">
        <f t="array" ref="D229">IF(_xlfn.XLOOKUP(CONT_TEA[[#This Row],[StaffRoleCode]],ROLES[StaffRoleCode],ROLES[AvailableToAllSchools],1,0,)=TRUE,0,IF(ISERROR(FIND(CONT_TEA[[#This Row],[SchoolCode]],_xlfn.TEXTJOIN(",",TRUE,_xlfn.UNIQUE(IF(ROLES[StaffRoleCode]=CONT_TEA[[#This Row],[StaffRoleCode]],ROLES[SchoolCodes],""))))),1,0))</f>
        <v>0</v>
      </c>
      <c r="E229" s="57" cm="1">
        <f t="array" ref="E22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29" s="57" cm="1">
        <f t="array" ref="F229">IF(_xlfn.XLOOKUP(CONT_TEA[[#This Row],[PayScaleCode]],PAYSCALES[PayScaleCode],PAYSCALES[AvailableToAllSchools],1,0,)=TRUE,0,IF(ISERROR(FIND(CONT_TEA[[#This Row],[SchoolCode]],_xlfn.TEXTJOIN(",",TRUE,_xlfn.UNIQUE(IF(PAYSCALES[PayScaleCode]=CONT_TEA[[#This Row],[PayScaleCode]],PAYSCALES[SchoolCodes],""))))),1,0))</f>
        <v>0</v>
      </c>
      <c r="G229" s="57">
        <f>IF(_xlfn.XLOOKUP(CONT_TEA[[#This Row],[PayScaleGradeCode]],GRADES[PayScaleGradeCode],GRADES[AvailableToAllSchools])=TRUE,0,IFERROR(IF(FIND(CONT_TEA[[#This Row],[SchoolCode]],_xlfn.XLOOKUP(CONT_TEA[[#This Row],[PayScaleGradeCode]],GRADES[PayScaleGradeCode],GRADES[SchoolCodes]))&gt;=1,0,1),1))</f>
        <v>0</v>
      </c>
      <c r="H229" s="57">
        <f>IF(ISERROR(IF((_xlfn.XLOOKUP(CONT_TEA[[#This Row],[PayScaleGradeCode]],GRADES[PayScaleGradeCode],GRADES[PayScaleCode])=CONT_TEA[[#This Row],[PayScaleCode]]),0,1)),1,0)</f>
        <v>0</v>
      </c>
      <c r="I229" s="57" cm="1">
        <f t="array" ref="I229">IF(ISERROR(FIND(CONT_TEA[[#This Row],[PayScalePointCode]],_xlfn.TEXTJOIN(",",TRUE,IF(PSPOINTS[PayScaleCode]=CONT_TEA[[#This Row],[PayScaleCode]],PSPOINTS[PayScalePointCode])))),1,0)</f>
        <v>0</v>
      </c>
      <c r="J229" s="57" cm="1">
        <f t="array" ref="J22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29" s="57">
        <f>IF(_xlfn.XLOOKUP(CONT_TEA[[#This Row],[PayScalePointCode]],PSPOINTS[PayScalePointCode],PSPOINTS[PayScalePointEnabled])=TRUE,0,1)</f>
        <v>0</v>
      </c>
      <c r="L229" s="57" cm="1">
        <f t="array" ref="L229">IF(_xlfn.XLOOKUP(CONT_TEA[[#This Row],[DepartmentCode]],DEPTS[DepartmentCode],DEPTS[AvailableToAllSchools],1,0,)=TRUE,0,IF(ISERROR(FIND(CONT_TEA[[#This Row],[SchoolCode]],_xlfn.TEXTJOIN(",",TRUE,_xlfn.UNIQUE(IF(DEPTS[DepartmentCode]=CONT_TEA[[#This Row],[DepartmentCode]],DEPTS[SchoolCodes],""))))),1,0))</f>
        <v>0</v>
      </c>
      <c r="M229" s="57">
        <f>IFERROR(IF(_xlfn.XLOOKUP(CONT_TEA[[#This Row],[SRG Gross]],FinanceCodesBudget[FinanceCode],FinanceCodesBudget[LedgerCode])=_xlfn.XLOOKUP(CONT_TEA[[#This Row],[DepartmentCode]],DEPTS[DepartmentCode],DEPTS[LedgerCode]),0,1),1)</f>
        <v>1</v>
      </c>
      <c r="N229" s="57" cm="1">
        <f t="array" ref="N229">IF(_xlfn.XLOOKUP(CONT_TEA[[#This Row],[PensionCode]],PENS[PensionCode],PENS[AvailableToAllSchools],1,0,)=TRUE,0,IF(ISERROR(FIND(CONT_TEA[[#This Row],[SchoolCode]],_xlfn.TEXTJOIN(",",TRUE,_xlfn.UNIQUE(IF(PENS[PensionCode]=CONT_TEA[[#This Row],[PensionCode]],PENS[SchoolCodes],""))))),1,0))</f>
        <v>0</v>
      </c>
      <c r="O229" s="57" cm="1">
        <f t="array" ref="O229">IF(_xlfn.XLOOKUP(CONT_TEA[[#This Row],[EquatedWeekPatternCode]],EQW[EquatedWeekPatternCode],EQW[AvailableToAllSchools],1,0,)=TRUE,0,IF(ISERROR(FIND(CONT_TEA[[#This Row],[SchoolCode]],_xlfn.TEXTJOIN(",",TRUE,_xlfn.UNIQUE(IF(EQW[EquatedWeekPatternCode]=CONT_TEA[[#This Row],[EquatedWeekPatternCode]],EQW[SchoolCodes],""))))),1,0))</f>
        <v>0</v>
      </c>
      <c r="P229" s="57">
        <f>1-COUNTIF(ContractTypes[Code],CONT_TEA[[#This Row],[ContractTypeCode]])</f>
        <v>0</v>
      </c>
      <c r="Q229" s="57">
        <f>IF(VLOOKUP(CONT_TEA[[#This Row],[StaffMemberCode]],MEMBERS[[StaffMemberCode]:[ServiceStartDate]],5,0)&gt;CONT_TEA[[#This Row],[DateFrom]],1,0)</f>
        <v>0</v>
      </c>
      <c r="R229" s="57">
        <f>IF(_xlfn.XLOOKUP(CONT_TEA[[#This Row],[StaffMemberCode]],MEMBERS[StaffMemberCode],MEMBERS[ServiceEndDate])="",0,IF(CONT_TEA[[#This Row],[DateTo]]="",1,IF(_xlfn.XLOOKUP(CONT_TEA[[#This Row],[StaffMemberCode]],MEMBERS[StaffMemberCode],MEMBERS[ServiceEndDate])&lt;CONT_TEA[[#This Row],[DateTo]],1,0)))</f>
        <v>0</v>
      </c>
      <c r="S229" s="57">
        <f>IF(ISBLANK(CONT_TEA[[#This Row],[DateTo]]),0,IF(CONT_TEA[[#This Row],[DateFrom]]=CONT_TEA[[#This Row],[DateTo]],0,IF(CONT_TEA[[#This Row],[DateFrom]]&lt;CONT_TEA[[#This Row],[DateTo]],0,1)))</f>
        <v>0</v>
      </c>
      <c r="T229" s="57" cm="1">
        <f t="array" aca="1" ref="T229" ca="1">IF(CELL("format",CONT_TEA[[#This Row],[DateFrom]])="D1",0,1)+IF(CELL("format",CONT_TEA[[#This Row],[DateTo]])="D1",0,1)</f>
        <v>0</v>
      </c>
      <c r="U229" s="57">
        <f>IF(OR(CONT_TEA[[#This Row],[MatEditOnly]]=TRUE,CONT_TEA[[#This Row],[MatEditOnly]]=FALSE),IF(OR(CONT_TEA[[#This Row],[NoIncrement]]=TRUE,CONT_TEA[[#This Row],[NoIncrement]]=FALSE),0,1),1)</f>
        <v>0</v>
      </c>
      <c r="V229" s="57">
        <f>IF(ISBLANK(CONT_TEA[[#This Row],[FundCode]])=TRUE,0,IF(COUNTIF(FUNDS[FundCode],CONT_TEA[[#This Row],[FundCode]])=1,0,1))</f>
        <v>0</v>
      </c>
      <c r="W229" s="57">
        <f>IF(LEN(CONT_TEA[[#This Row],[Notes]])&lt;4000,0,1)</f>
        <v>0</v>
      </c>
      <c r="X229" s="57">
        <f>IF(SUBSTITUTE(TEXT(CONT_TEA[[#This Row],[Reference]],10)," ","")=TEXT(CONT_TEA[[#This Row],[Reference]],10),0,1)</f>
        <v>0</v>
      </c>
      <c r="Y229" s="57">
        <f ca="1">SUM(CONT_TEA[[#This Row],[Duplicate Contract]:[Space in Code]])</f>
        <v>1</v>
      </c>
      <c r="AA229" s="12" t="s">
        <v>2200</v>
      </c>
      <c r="AB229" s="15">
        <v>91075750</v>
      </c>
      <c r="AC229" s="12" t="s">
        <v>4577</v>
      </c>
      <c r="AD229" s="57" t="str">
        <f>_xlfn.XLOOKUP(CONT_TEA[[#This Row],[StaffMemberCode]],StaffMembers!O:O,StaffMembers!R:R)</f>
        <v>Rachel Payne</v>
      </c>
      <c r="AE229" s="12" t="s">
        <v>1178</v>
      </c>
      <c r="AF229" s="57">
        <f>_xlfn.XLOOKUP(CONT_TEA[[#This Row],[SRG]],SRG[StaffRoleGroupCode],SRG[GrossSalaryFinanceCode])</f>
        <v>612100</v>
      </c>
      <c r="AG229" s="57" t="str">
        <f>_xlfn.XLOOKUP(CONT_TEA[[#This Row],[StaffRoleCode]],ROLES[StaffRoleCode],ROLES[StaffRoleGroupCode])</f>
        <v>TEA</v>
      </c>
      <c r="AH229" s="57" t="str">
        <f>_xlfn.XLOOKUP(CONT_TEA[[#This Row],[StaffRoleCode]],ROLES[StaffRoleCode],ROLES[PayScaleCode])</f>
        <v>MAIN</v>
      </c>
      <c r="AI229" s="12" t="s">
        <v>1126</v>
      </c>
      <c r="AJ229" s="12" t="s">
        <v>1546</v>
      </c>
      <c r="AK229" s="12" t="s">
        <v>2499</v>
      </c>
      <c r="AM229" s="68" t="s">
        <v>1147</v>
      </c>
      <c r="AN229" s="13" t="s">
        <v>1702</v>
      </c>
      <c r="AO229" s="21">
        <v>45901</v>
      </c>
      <c r="AQ229" s="12">
        <v>0.3</v>
      </c>
      <c r="AR229" t="b">
        <v>0</v>
      </c>
      <c r="AS229" t="b">
        <v>0</v>
      </c>
      <c r="AT229" s="12" t="s">
        <v>1574</v>
      </c>
    </row>
    <row r="230" spans="1:46" x14ac:dyDescent="0.3">
      <c r="A230" s="57" t="str">
        <f t="shared" si="4"/>
        <v>SBL9107577691075776ATEASTCH45901</v>
      </c>
      <c r="B230" s="57">
        <f>COUNTIF(CONT_TEA[Unique Contract],CONT_TEA[[#This Row],[Unique Contract]])-1</f>
        <v>0</v>
      </c>
      <c r="C230" s="57">
        <f>IFERROR(IF(FIND(CONT_TEA[[#This Row],[SchoolCode]],_xlfn.XLOOKUP(CONT_TEA[[#This Row],[StaffMemberCode]],MEMBERS[StaffMemberCode],MEMBERS[SchoolCodes]))&gt;0,0,1),1)</f>
        <v>0</v>
      </c>
      <c r="D230" s="57" cm="1">
        <f t="array" ref="D230">IF(_xlfn.XLOOKUP(CONT_TEA[[#This Row],[StaffRoleCode]],ROLES[StaffRoleCode],ROLES[AvailableToAllSchools],1,0,)=TRUE,0,IF(ISERROR(FIND(CONT_TEA[[#This Row],[SchoolCode]],_xlfn.TEXTJOIN(",",TRUE,_xlfn.UNIQUE(IF(ROLES[StaffRoleCode]=CONT_TEA[[#This Row],[StaffRoleCode]],ROLES[SchoolCodes],""))))),1,0))</f>
        <v>0</v>
      </c>
      <c r="E230" s="57" cm="1">
        <f t="array" ref="E23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30" s="57" cm="1">
        <f t="array" ref="F230">IF(_xlfn.XLOOKUP(CONT_TEA[[#This Row],[PayScaleCode]],PAYSCALES[PayScaleCode],PAYSCALES[AvailableToAllSchools],1,0,)=TRUE,0,IF(ISERROR(FIND(CONT_TEA[[#This Row],[SchoolCode]],_xlfn.TEXTJOIN(",",TRUE,_xlfn.UNIQUE(IF(PAYSCALES[PayScaleCode]=CONT_TEA[[#This Row],[PayScaleCode]],PAYSCALES[SchoolCodes],""))))),1,0))</f>
        <v>0</v>
      </c>
      <c r="G230" s="57">
        <f>IF(_xlfn.XLOOKUP(CONT_TEA[[#This Row],[PayScaleGradeCode]],GRADES[PayScaleGradeCode],GRADES[AvailableToAllSchools])=TRUE,0,IFERROR(IF(FIND(CONT_TEA[[#This Row],[SchoolCode]],_xlfn.XLOOKUP(CONT_TEA[[#This Row],[PayScaleGradeCode]],GRADES[PayScaleGradeCode],GRADES[SchoolCodes]))&gt;=1,0,1),1))</f>
        <v>0</v>
      </c>
      <c r="H230" s="57">
        <f>IF(ISERROR(IF((_xlfn.XLOOKUP(CONT_TEA[[#This Row],[PayScaleGradeCode]],GRADES[PayScaleGradeCode],GRADES[PayScaleCode])=CONT_TEA[[#This Row],[PayScaleCode]]),0,1)),1,0)</f>
        <v>0</v>
      </c>
      <c r="I230" s="57" cm="1">
        <f t="array" ref="I230">IF(ISERROR(FIND(CONT_TEA[[#This Row],[PayScalePointCode]],_xlfn.TEXTJOIN(",",TRUE,IF(PSPOINTS[PayScaleCode]=CONT_TEA[[#This Row],[PayScaleCode]],PSPOINTS[PayScalePointCode])))),1,0)</f>
        <v>0</v>
      </c>
      <c r="J230" s="57" cm="1">
        <f t="array" ref="J23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30" s="57">
        <f>IF(_xlfn.XLOOKUP(CONT_TEA[[#This Row],[PayScalePointCode]],PSPOINTS[PayScalePointCode],PSPOINTS[PayScalePointEnabled])=TRUE,0,1)</f>
        <v>0</v>
      </c>
      <c r="L230" s="57" cm="1">
        <f t="array" ref="L230">IF(_xlfn.XLOOKUP(CONT_TEA[[#This Row],[DepartmentCode]],DEPTS[DepartmentCode],DEPTS[AvailableToAllSchools],1,0,)=TRUE,0,IF(ISERROR(FIND(CONT_TEA[[#This Row],[SchoolCode]],_xlfn.TEXTJOIN(",",TRUE,_xlfn.UNIQUE(IF(DEPTS[DepartmentCode]=CONT_TEA[[#This Row],[DepartmentCode]],DEPTS[SchoolCodes],""))))),1,0))</f>
        <v>0</v>
      </c>
      <c r="M230" s="57">
        <f>IFERROR(IF(_xlfn.XLOOKUP(CONT_TEA[[#This Row],[SRG Gross]],FinanceCodesBudget[FinanceCode],FinanceCodesBudget[LedgerCode])=_xlfn.XLOOKUP(CONT_TEA[[#This Row],[DepartmentCode]],DEPTS[DepartmentCode],DEPTS[LedgerCode]),0,1),1)</f>
        <v>1</v>
      </c>
      <c r="N230" s="57" cm="1">
        <f t="array" ref="N230">IF(_xlfn.XLOOKUP(CONT_TEA[[#This Row],[PensionCode]],PENS[PensionCode],PENS[AvailableToAllSchools],1,0,)=TRUE,0,IF(ISERROR(FIND(CONT_TEA[[#This Row],[SchoolCode]],_xlfn.TEXTJOIN(",",TRUE,_xlfn.UNIQUE(IF(PENS[PensionCode]=CONT_TEA[[#This Row],[PensionCode]],PENS[SchoolCodes],""))))),1,0))</f>
        <v>0</v>
      </c>
      <c r="O230" s="57" cm="1">
        <f t="array" ref="O230">IF(_xlfn.XLOOKUP(CONT_TEA[[#This Row],[EquatedWeekPatternCode]],EQW[EquatedWeekPatternCode],EQW[AvailableToAllSchools],1,0,)=TRUE,0,IF(ISERROR(FIND(CONT_TEA[[#This Row],[SchoolCode]],_xlfn.TEXTJOIN(",",TRUE,_xlfn.UNIQUE(IF(EQW[EquatedWeekPatternCode]=CONT_TEA[[#This Row],[EquatedWeekPatternCode]],EQW[SchoolCodes],""))))),1,0))</f>
        <v>0</v>
      </c>
      <c r="P230" s="57">
        <f>1-COUNTIF(ContractTypes[Code],CONT_TEA[[#This Row],[ContractTypeCode]])</f>
        <v>0</v>
      </c>
      <c r="Q230" s="57">
        <f>IF(VLOOKUP(CONT_TEA[[#This Row],[StaffMemberCode]],MEMBERS[[StaffMemberCode]:[ServiceStartDate]],5,0)&gt;CONT_TEA[[#This Row],[DateFrom]],1,0)</f>
        <v>0</v>
      </c>
      <c r="R230" s="57">
        <f>IF(_xlfn.XLOOKUP(CONT_TEA[[#This Row],[StaffMemberCode]],MEMBERS[StaffMemberCode],MEMBERS[ServiceEndDate])="",0,IF(CONT_TEA[[#This Row],[DateTo]]="",1,IF(_xlfn.XLOOKUP(CONT_TEA[[#This Row],[StaffMemberCode]],MEMBERS[StaffMemberCode],MEMBERS[ServiceEndDate])&lt;CONT_TEA[[#This Row],[DateTo]],1,0)))</f>
        <v>0</v>
      </c>
      <c r="S230" s="57">
        <f>IF(ISBLANK(CONT_TEA[[#This Row],[DateTo]]),0,IF(CONT_TEA[[#This Row],[DateFrom]]=CONT_TEA[[#This Row],[DateTo]],0,IF(CONT_TEA[[#This Row],[DateFrom]]&lt;CONT_TEA[[#This Row],[DateTo]],0,1)))</f>
        <v>0</v>
      </c>
      <c r="T230" s="57" cm="1">
        <f t="array" aca="1" ref="T230" ca="1">IF(CELL("format",CONT_TEA[[#This Row],[DateFrom]])="D1",0,1)+IF(CELL("format",CONT_TEA[[#This Row],[DateTo]])="D1",0,1)</f>
        <v>0</v>
      </c>
      <c r="U230" s="57">
        <f>IF(OR(CONT_TEA[[#This Row],[MatEditOnly]]=TRUE,CONT_TEA[[#This Row],[MatEditOnly]]=FALSE),IF(OR(CONT_TEA[[#This Row],[NoIncrement]]=TRUE,CONT_TEA[[#This Row],[NoIncrement]]=FALSE),0,1),1)</f>
        <v>0</v>
      </c>
      <c r="V230" s="57">
        <f>IF(ISBLANK(CONT_TEA[[#This Row],[FundCode]])=TRUE,0,IF(COUNTIF(FUNDS[FundCode],CONT_TEA[[#This Row],[FundCode]])=1,0,1))</f>
        <v>0</v>
      </c>
      <c r="W230" s="57">
        <f>IF(LEN(CONT_TEA[[#This Row],[Notes]])&lt;4000,0,1)</f>
        <v>0</v>
      </c>
      <c r="X230" s="57">
        <f>IF(SUBSTITUTE(TEXT(CONT_TEA[[#This Row],[Reference]],10)," ","")=TEXT(CONT_TEA[[#This Row],[Reference]],10),0,1)</f>
        <v>0</v>
      </c>
      <c r="Y230" s="57">
        <f ca="1">SUM(CONT_TEA[[#This Row],[Duplicate Contract]:[Space in Code]])</f>
        <v>1</v>
      </c>
      <c r="AA230" s="12" t="s">
        <v>2200</v>
      </c>
      <c r="AB230" s="15">
        <v>91075776</v>
      </c>
      <c r="AC230" s="12" t="s">
        <v>4578</v>
      </c>
      <c r="AD230" s="57" t="str">
        <f>_xlfn.XLOOKUP(CONT_TEA[[#This Row],[StaffMemberCode]],StaffMembers!O:O,StaffMembers!R:R)</f>
        <v>Rebecca Livesey</v>
      </c>
      <c r="AE230" s="12" t="s">
        <v>1178</v>
      </c>
      <c r="AF230" s="57">
        <f>_xlfn.XLOOKUP(CONT_TEA[[#This Row],[SRG]],SRG[StaffRoleGroupCode],SRG[GrossSalaryFinanceCode])</f>
        <v>612100</v>
      </c>
      <c r="AG230" s="57" t="str">
        <f>_xlfn.XLOOKUP(CONT_TEA[[#This Row],[StaffRoleCode]],ROLES[StaffRoleCode],ROLES[StaffRoleGroupCode])</f>
        <v>TEA</v>
      </c>
      <c r="AH230" s="57" t="str">
        <f>_xlfn.XLOOKUP(CONT_TEA[[#This Row],[StaffRoleCode]],ROLES[StaffRoleCode],ROLES[PayScaleCode])</f>
        <v>MAIN</v>
      </c>
      <c r="AI230" s="12" t="s">
        <v>1126</v>
      </c>
      <c r="AJ230" s="12" t="s">
        <v>1066</v>
      </c>
      <c r="AK230" s="12" t="s">
        <v>2499</v>
      </c>
      <c r="AM230" s="68" t="s">
        <v>1147</v>
      </c>
      <c r="AN230" s="13" t="s">
        <v>1702</v>
      </c>
      <c r="AO230" s="21">
        <v>45901</v>
      </c>
      <c r="AQ230" s="12">
        <v>1</v>
      </c>
      <c r="AR230" t="b">
        <v>0</v>
      </c>
      <c r="AS230" t="b">
        <v>0</v>
      </c>
      <c r="AT230" s="12" t="s">
        <v>1574</v>
      </c>
    </row>
    <row r="231" spans="1:46" x14ac:dyDescent="0.3">
      <c r="A231" s="57" t="str">
        <f t="shared" si="4"/>
        <v>WVP9107342891073428BTEASTCH45901</v>
      </c>
      <c r="B231" s="57">
        <f>COUNTIF(CONT_TEA[Unique Contract],CONT_TEA[[#This Row],[Unique Contract]])-1</f>
        <v>0</v>
      </c>
      <c r="C231" s="57">
        <f>IFERROR(IF(FIND(CONT_TEA[[#This Row],[SchoolCode]],_xlfn.XLOOKUP(CONT_TEA[[#This Row],[StaffMemberCode]],MEMBERS[StaffMemberCode],MEMBERS[SchoolCodes]))&gt;0,0,1),1)</f>
        <v>0</v>
      </c>
      <c r="D231" s="57" cm="1">
        <f t="array" ref="D231">IF(_xlfn.XLOOKUP(CONT_TEA[[#This Row],[StaffRoleCode]],ROLES[StaffRoleCode],ROLES[AvailableToAllSchools],1,0,)=TRUE,0,IF(ISERROR(FIND(CONT_TEA[[#This Row],[SchoolCode]],_xlfn.TEXTJOIN(",",TRUE,_xlfn.UNIQUE(IF(ROLES[StaffRoleCode]=CONT_TEA[[#This Row],[StaffRoleCode]],ROLES[SchoolCodes],""))))),1,0))</f>
        <v>0</v>
      </c>
      <c r="E231" s="57" cm="1">
        <f t="array" ref="E23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31" s="57" cm="1">
        <f t="array" ref="F231">IF(_xlfn.XLOOKUP(CONT_TEA[[#This Row],[PayScaleCode]],PAYSCALES[PayScaleCode],PAYSCALES[AvailableToAllSchools],1,0,)=TRUE,0,IF(ISERROR(FIND(CONT_TEA[[#This Row],[SchoolCode]],_xlfn.TEXTJOIN(",",TRUE,_xlfn.UNIQUE(IF(PAYSCALES[PayScaleCode]=CONT_TEA[[#This Row],[PayScaleCode]],PAYSCALES[SchoolCodes],""))))),1,0))</f>
        <v>0</v>
      </c>
      <c r="G231" s="57">
        <f>IF(_xlfn.XLOOKUP(CONT_TEA[[#This Row],[PayScaleGradeCode]],GRADES[PayScaleGradeCode],GRADES[AvailableToAllSchools])=TRUE,0,IFERROR(IF(FIND(CONT_TEA[[#This Row],[SchoolCode]],_xlfn.XLOOKUP(CONT_TEA[[#This Row],[PayScaleGradeCode]],GRADES[PayScaleGradeCode],GRADES[SchoolCodes]))&gt;=1,0,1),1))</f>
        <v>0</v>
      </c>
      <c r="H231" s="57">
        <f>IF(ISERROR(IF((_xlfn.XLOOKUP(CONT_TEA[[#This Row],[PayScaleGradeCode]],GRADES[PayScaleGradeCode],GRADES[PayScaleCode])=CONT_TEA[[#This Row],[PayScaleCode]]),0,1)),1,0)</f>
        <v>0</v>
      </c>
      <c r="I231" s="57" cm="1">
        <f t="array" ref="I231">IF(ISERROR(FIND(CONT_TEA[[#This Row],[PayScalePointCode]],_xlfn.TEXTJOIN(",",TRUE,IF(PSPOINTS[PayScaleCode]=CONT_TEA[[#This Row],[PayScaleCode]],PSPOINTS[PayScalePointCode])))),1,0)</f>
        <v>0</v>
      </c>
      <c r="J231" s="57" cm="1">
        <f t="array" ref="J23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31" s="57">
        <f>IF(_xlfn.XLOOKUP(CONT_TEA[[#This Row],[PayScalePointCode]],PSPOINTS[PayScalePointCode],PSPOINTS[PayScalePointEnabled])=TRUE,0,1)</f>
        <v>0</v>
      </c>
      <c r="L231" s="57" cm="1">
        <f t="array" ref="L231">IF(_xlfn.XLOOKUP(CONT_TEA[[#This Row],[DepartmentCode]],DEPTS[DepartmentCode],DEPTS[AvailableToAllSchools],1,0,)=TRUE,0,IF(ISERROR(FIND(CONT_TEA[[#This Row],[SchoolCode]],_xlfn.TEXTJOIN(",",TRUE,_xlfn.UNIQUE(IF(DEPTS[DepartmentCode]=CONT_TEA[[#This Row],[DepartmentCode]],DEPTS[SchoolCodes],""))))),1,0))</f>
        <v>0</v>
      </c>
      <c r="M231" s="57">
        <f>IFERROR(IF(_xlfn.XLOOKUP(CONT_TEA[[#This Row],[SRG Gross]],FinanceCodesBudget[FinanceCode],FinanceCodesBudget[LedgerCode])=_xlfn.XLOOKUP(CONT_TEA[[#This Row],[DepartmentCode]],DEPTS[DepartmentCode],DEPTS[LedgerCode]),0,1),1)</f>
        <v>1</v>
      </c>
      <c r="N231" s="57" cm="1">
        <f t="array" ref="N231">IF(_xlfn.XLOOKUP(CONT_TEA[[#This Row],[PensionCode]],PENS[PensionCode],PENS[AvailableToAllSchools],1,0,)=TRUE,0,IF(ISERROR(FIND(CONT_TEA[[#This Row],[SchoolCode]],_xlfn.TEXTJOIN(",",TRUE,_xlfn.UNIQUE(IF(PENS[PensionCode]=CONT_TEA[[#This Row],[PensionCode]],PENS[SchoolCodes],""))))),1,0))</f>
        <v>0</v>
      </c>
      <c r="O231" s="57" cm="1">
        <f t="array" ref="O231">IF(_xlfn.XLOOKUP(CONT_TEA[[#This Row],[EquatedWeekPatternCode]],EQW[EquatedWeekPatternCode],EQW[AvailableToAllSchools],1,0,)=TRUE,0,IF(ISERROR(FIND(CONT_TEA[[#This Row],[SchoolCode]],_xlfn.TEXTJOIN(",",TRUE,_xlfn.UNIQUE(IF(EQW[EquatedWeekPatternCode]=CONT_TEA[[#This Row],[EquatedWeekPatternCode]],EQW[SchoolCodes],""))))),1,0))</f>
        <v>0</v>
      </c>
      <c r="P231" s="57">
        <f>1-COUNTIF(ContractTypes[Code],CONT_TEA[[#This Row],[ContractTypeCode]])</f>
        <v>0</v>
      </c>
      <c r="Q231" s="57">
        <f>IF(VLOOKUP(CONT_TEA[[#This Row],[StaffMemberCode]],MEMBERS[[StaffMemberCode]:[ServiceStartDate]],5,0)&gt;CONT_TEA[[#This Row],[DateFrom]],1,0)</f>
        <v>0</v>
      </c>
      <c r="R231" s="57">
        <f>IF(_xlfn.XLOOKUP(CONT_TEA[[#This Row],[StaffMemberCode]],MEMBERS[StaffMemberCode],MEMBERS[ServiceEndDate])="",0,IF(CONT_TEA[[#This Row],[DateTo]]="",1,IF(_xlfn.XLOOKUP(CONT_TEA[[#This Row],[StaffMemberCode]],MEMBERS[StaffMemberCode],MEMBERS[ServiceEndDate])&lt;CONT_TEA[[#This Row],[DateTo]],1,0)))</f>
        <v>0</v>
      </c>
      <c r="S231" s="57">
        <f>IF(ISBLANK(CONT_TEA[[#This Row],[DateTo]]),0,IF(CONT_TEA[[#This Row],[DateFrom]]=CONT_TEA[[#This Row],[DateTo]],0,IF(CONT_TEA[[#This Row],[DateFrom]]&lt;CONT_TEA[[#This Row],[DateTo]],0,1)))</f>
        <v>0</v>
      </c>
      <c r="T231" s="57" cm="1">
        <f t="array" aca="1" ref="T231" ca="1">IF(CELL("format",CONT_TEA[[#This Row],[DateFrom]])="D1",0,1)+IF(CELL("format",CONT_TEA[[#This Row],[DateTo]])="D1",0,1)</f>
        <v>0</v>
      </c>
      <c r="U231" s="57">
        <f>IF(OR(CONT_TEA[[#This Row],[MatEditOnly]]=TRUE,CONT_TEA[[#This Row],[MatEditOnly]]=FALSE),IF(OR(CONT_TEA[[#This Row],[NoIncrement]]=TRUE,CONT_TEA[[#This Row],[NoIncrement]]=FALSE),0,1),1)</f>
        <v>0</v>
      </c>
      <c r="V231" s="57">
        <f>IF(ISBLANK(CONT_TEA[[#This Row],[FundCode]])=TRUE,0,IF(COUNTIF(FUNDS[FundCode],CONT_TEA[[#This Row],[FundCode]])=1,0,1))</f>
        <v>0</v>
      </c>
      <c r="W231" s="57">
        <f>IF(LEN(CONT_TEA[[#This Row],[Notes]])&lt;4000,0,1)</f>
        <v>0</v>
      </c>
      <c r="X231" s="57">
        <f>IF(SUBSTITUTE(TEXT(CONT_TEA[[#This Row],[Reference]],10)," ","")=TEXT(CONT_TEA[[#This Row],[Reference]],10),0,1)</f>
        <v>0</v>
      </c>
      <c r="Y231" s="57">
        <f ca="1">SUM(CONT_TEA[[#This Row],[Duplicate Contract]:[Space in Code]])</f>
        <v>1</v>
      </c>
      <c r="AA231" s="12" t="s">
        <v>2275</v>
      </c>
      <c r="AB231" s="15">
        <v>91073428</v>
      </c>
      <c r="AC231" s="12" t="s">
        <v>4579</v>
      </c>
      <c r="AD231" s="57" t="str">
        <f>_xlfn.XLOOKUP(CONT_TEA[[#This Row],[StaffMemberCode]],StaffMembers!O:O,StaffMembers!R:R)</f>
        <v>Rebecca Tyrrell</v>
      </c>
      <c r="AE231" s="12" t="s">
        <v>1178</v>
      </c>
      <c r="AF231" s="57">
        <f>_xlfn.XLOOKUP(CONT_TEA[[#This Row],[SRG]],SRG[StaffRoleGroupCode],SRG[GrossSalaryFinanceCode])</f>
        <v>612100</v>
      </c>
      <c r="AG231" s="57" t="str">
        <f>_xlfn.XLOOKUP(CONT_TEA[[#This Row],[StaffRoleCode]],ROLES[StaffRoleCode],ROLES[StaffRoleGroupCode])</f>
        <v>TEA</v>
      </c>
      <c r="AH231" s="57" t="str">
        <f>_xlfn.XLOOKUP(CONT_TEA[[#This Row],[StaffRoleCode]],ROLES[StaffRoleCode],ROLES[PayScaleCode])</f>
        <v>MAIN</v>
      </c>
      <c r="AI231" s="12" t="s">
        <v>1126</v>
      </c>
      <c r="AJ231" s="12" t="s">
        <v>1745</v>
      </c>
      <c r="AK231" s="12" t="s">
        <v>2499</v>
      </c>
      <c r="AM231" s="68" t="s">
        <v>1147</v>
      </c>
      <c r="AN231" s="13" t="s">
        <v>1702</v>
      </c>
      <c r="AO231" s="21">
        <v>45901</v>
      </c>
      <c r="AQ231" s="12">
        <v>0.44</v>
      </c>
      <c r="AR231" t="b">
        <v>0</v>
      </c>
      <c r="AS231" t="b">
        <v>0</v>
      </c>
      <c r="AT231" s="12" t="s">
        <v>1574</v>
      </c>
    </row>
    <row r="232" spans="1:46" x14ac:dyDescent="0.3">
      <c r="A232" s="57" t="str">
        <f t="shared" si="4"/>
        <v>ALS9107366591073665ATEASTCH45901</v>
      </c>
      <c r="B232" s="57">
        <f>COUNTIF(CONT_TEA[Unique Contract],CONT_TEA[[#This Row],[Unique Contract]])-1</f>
        <v>0</v>
      </c>
      <c r="C232" s="57">
        <f>IFERROR(IF(FIND(CONT_TEA[[#This Row],[SchoolCode]],_xlfn.XLOOKUP(CONT_TEA[[#This Row],[StaffMemberCode]],MEMBERS[StaffMemberCode],MEMBERS[SchoolCodes]))&gt;0,0,1),1)</f>
        <v>0</v>
      </c>
      <c r="D232" s="57" cm="1">
        <f t="array" ref="D232">IF(_xlfn.XLOOKUP(CONT_TEA[[#This Row],[StaffRoleCode]],ROLES[StaffRoleCode],ROLES[AvailableToAllSchools],1,0,)=TRUE,0,IF(ISERROR(FIND(CONT_TEA[[#This Row],[SchoolCode]],_xlfn.TEXTJOIN(",",TRUE,_xlfn.UNIQUE(IF(ROLES[StaffRoleCode]=CONT_TEA[[#This Row],[StaffRoleCode]],ROLES[SchoolCodes],""))))),1,0))</f>
        <v>0</v>
      </c>
      <c r="E232" s="57" cm="1">
        <f t="array" ref="E23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32" s="57" cm="1">
        <f t="array" ref="F232">IF(_xlfn.XLOOKUP(CONT_TEA[[#This Row],[PayScaleCode]],PAYSCALES[PayScaleCode],PAYSCALES[AvailableToAllSchools],1,0,)=TRUE,0,IF(ISERROR(FIND(CONT_TEA[[#This Row],[SchoolCode]],_xlfn.TEXTJOIN(",",TRUE,_xlfn.UNIQUE(IF(PAYSCALES[PayScaleCode]=CONT_TEA[[#This Row],[PayScaleCode]],PAYSCALES[SchoolCodes],""))))),1,0))</f>
        <v>0</v>
      </c>
      <c r="G232" s="57">
        <f>IF(_xlfn.XLOOKUP(CONT_TEA[[#This Row],[PayScaleGradeCode]],GRADES[PayScaleGradeCode],GRADES[AvailableToAllSchools])=TRUE,0,IFERROR(IF(FIND(CONT_TEA[[#This Row],[SchoolCode]],_xlfn.XLOOKUP(CONT_TEA[[#This Row],[PayScaleGradeCode]],GRADES[PayScaleGradeCode],GRADES[SchoolCodes]))&gt;=1,0,1),1))</f>
        <v>0</v>
      </c>
      <c r="H232" s="57">
        <f>IF(ISERROR(IF((_xlfn.XLOOKUP(CONT_TEA[[#This Row],[PayScaleGradeCode]],GRADES[PayScaleGradeCode],GRADES[PayScaleCode])=CONT_TEA[[#This Row],[PayScaleCode]]),0,1)),1,0)</f>
        <v>0</v>
      </c>
      <c r="I232" s="57" cm="1">
        <f t="array" ref="I232">IF(ISERROR(FIND(CONT_TEA[[#This Row],[PayScalePointCode]],_xlfn.TEXTJOIN(",",TRUE,IF(PSPOINTS[PayScaleCode]=CONT_TEA[[#This Row],[PayScaleCode]],PSPOINTS[PayScalePointCode])))),1,0)</f>
        <v>0</v>
      </c>
      <c r="J232" s="57" cm="1">
        <f t="array" ref="J23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32" s="57">
        <f>IF(_xlfn.XLOOKUP(CONT_TEA[[#This Row],[PayScalePointCode]],PSPOINTS[PayScalePointCode],PSPOINTS[PayScalePointEnabled])=TRUE,0,1)</f>
        <v>0</v>
      </c>
      <c r="L232" s="57" cm="1">
        <f t="array" ref="L232">IF(_xlfn.XLOOKUP(CONT_TEA[[#This Row],[DepartmentCode]],DEPTS[DepartmentCode],DEPTS[AvailableToAllSchools],1,0,)=TRUE,0,IF(ISERROR(FIND(CONT_TEA[[#This Row],[SchoolCode]],_xlfn.TEXTJOIN(",",TRUE,_xlfn.UNIQUE(IF(DEPTS[DepartmentCode]=CONT_TEA[[#This Row],[DepartmentCode]],DEPTS[SchoolCodes],""))))),1,0))</f>
        <v>0</v>
      </c>
      <c r="M232" s="57">
        <f>IFERROR(IF(_xlfn.XLOOKUP(CONT_TEA[[#This Row],[SRG Gross]],FinanceCodesBudget[FinanceCode],FinanceCodesBudget[LedgerCode])=_xlfn.XLOOKUP(CONT_TEA[[#This Row],[DepartmentCode]],DEPTS[DepartmentCode],DEPTS[LedgerCode]),0,1),1)</f>
        <v>1</v>
      </c>
      <c r="N232" s="57" cm="1">
        <f t="array" ref="N232">IF(_xlfn.XLOOKUP(CONT_TEA[[#This Row],[PensionCode]],PENS[PensionCode],PENS[AvailableToAllSchools],1,0,)=TRUE,0,IF(ISERROR(FIND(CONT_TEA[[#This Row],[SchoolCode]],_xlfn.TEXTJOIN(",",TRUE,_xlfn.UNIQUE(IF(PENS[PensionCode]=CONT_TEA[[#This Row],[PensionCode]],PENS[SchoolCodes],""))))),1,0))</f>
        <v>0</v>
      </c>
      <c r="O232" s="57" cm="1">
        <f t="array" ref="O232">IF(_xlfn.XLOOKUP(CONT_TEA[[#This Row],[EquatedWeekPatternCode]],EQW[EquatedWeekPatternCode],EQW[AvailableToAllSchools],1,0,)=TRUE,0,IF(ISERROR(FIND(CONT_TEA[[#This Row],[SchoolCode]],_xlfn.TEXTJOIN(",",TRUE,_xlfn.UNIQUE(IF(EQW[EquatedWeekPatternCode]=CONT_TEA[[#This Row],[EquatedWeekPatternCode]],EQW[SchoolCodes],""))))),1,0))</f>
        <v>0</v>
      </c>
      <c r="P232" s="57">
        <f>1-COUNTIF(ContractTypes[Code],CONT_TEA[[#This Row],[ContractTypeCode]])</f>
        <v>0</v>
      </c>
      <c r="Q232" s="57">
        <f>IF(VLOOKUP(CONT_TEA[[#This Row],[StaffMemberCode]],MEMBERS[[StaffMemberCode]:[ServiceStartDate]],5,0)&gt;CONT_TEA[[#This Row],[DateFrom]],1,0)</f>
        <v>0</v>
      </c>
      <c r="R232" s="57">
        <f>IF(_xlfn.XLOOKUP(CONT_TEA[[#This Row],[StaffMemberCode]],MEMBERS[StaffMemberCode],MEMBERS[ServiceEndDate])="",0,IF(CONT_TEA[[#This Row],[DateTo]]="",1,IF(_xlfn.XLOOKUP(CONT_TEA[[#This Row],[StaffMemberCode]],MEMBERS[StaffMemberCode],MEMBERS[ServiceEndDate])&lt;CONT_TEA[[#This Row],[DateTo]],1,0)))</f>
        <v>0</v>
      </c>
      <c r="S232" s="57">
        <f>IF(ISBLANK(CONT_TEA[[#This Row],[DateTo]]),0,IF(CONT_TEA[[#This Row],[DateFrom]]=CONT_TEA[[#This Row],[DateTo]],0,IF(CONT_TEA[[#This Row],[DateFrom]]&lt;CONT_TEA[[#This Row],[DateTo]],0,1)))</f>
        <v>0</v>
      </c>
      <c r="T232" s="57" cm="1">
        <f t="array" aca="1" ref="T232" ca="1">IF(CELL("format",CONT_TEA[[#This Row],[DateFrom]])="D1",0,1)+IF(CELL("format",CONT_TEA[[#This Row],[DateTo]])="D1",0,1)</f>
        <v>0</v>
      </c>
      <c r="U232" s="57">
        <f>IF(OR(CONT_TEA[[#This Row],[MatEditOnly]]=TRUE,CONT_TEA[[#This Row],[MatEditOnly]]=FALSE),IF(OR(CONT_TEA[[#This Row],[NoIncrement]]=TRUE,CONT_TEA[[#This Row],[NoIncrement]]=FALSE),0,1),1)</f>
        <v>0</v>
      </c>
      <c r="V232" s="57">
        <f>IF(ISBLANK(CONT_TEA[[#This Row],[FundCode]])=TRUE,0,IF(COUNTIF(FUNDS[FundCode],CONT_TEA[[#This Row],[FundCode]])=1,0,1))</f>
        <v>0</v>
      </c>
      <c r="W232" s="57">
        <f>IF(LEN(CONT_TEA[[#This Row],[Notes]])&lt;4000,0,1)</f>
        <v>0</v>
      </c>
      <c r="X232" s="57">
        <f>IF(SUBSTITUTE(TEXT(CONT_TEA[[#This Row],[Reference]],10)," ","")=TEXT(CONT_TEA[[#This Row],[Reference]],10),0,1)</f>
        <v>0</v>
      </c>
      <c r="Y232" s="57">
        <f ca="1">SUM(CONT_TEA[[#This Row],[Duplicate Contract]:[Space in Code]])</f>
        <v>1</v>
      </c>
      <c r="AA232" s="12" t="s">
        <v>2082</v>
      </c>
      <c r="AB232" s="15">
        <v>91073665</v>
      </c>
      <c r="AC232" s="12" t="s">
        <v>4580</v>
      </c>
      <c r="AD232" s="57" t="str">
        <f>_xlfn.XLOOKUP(CONT_TEA[[#This Row],[StaffMemberCode]],StaffMembers!O:O,StaffMembers!R:R)</f>
        <v>Rhian Leonard</v>
      </c>
      <c r="AE232" s="12" t="s">
        <v>1178</v>
      </c>
      <c r="AF232" s="57">
        <f>_xlfn.XLOOKUP(CONT_TEA[[#This Row],[SRG]],SRG[StaffRoleGroupCode],SRG[GrossSalaryFinanceCode])</f>
        <v>612100</v>
      </c>
      <c r="AG232" s="57" t="str">
        <f>_xlfn.XLOOKUP(CONT_TEA[[#This Row],[StaffRoleCode]],ROLES[StaffRoleCode],ROLES[StaffRoleGroupCode])</f>
        <v>TEA</v>
      </c>
      <c r="AH232" s="57" t="str">
        <f>_xlfn.XLOOKUP(CONT_TEA[[#This Row],[StaffRoleCode]],ROLES[StaffRoleCode],ROLES[PayScaleCode])</f>
        <v>MAIN</v>
      </c>
      <c r="AI232" s="12" t="s">
        <v>1126</v>
      </c>
      <c r="AJ232" s="12" t="s">
        <v>1745</v>
      </c>
      <c r="AK232" s="12" t="s">
        <v>2499</v>
      </c>
      <c r="AM232" s="68" t="s">
        <v>1147</v>
      </c>
      <c r="AN232" s="13" t="s">
        <v>1702</v>
      </c>
      <c r="AO232" s="21">
        <v>45901</v>
      </c>
      <c r="AQ232" s="12">
        <v>0.7</v>
      </c>
      <c r="AR232" t="b">
        <v>0</v>
      </c>
      <c r="AS232" t="b">
        <v>0</v>
      </c>
      <c r="AT232" s="12" t="s">
        <v>1574</v>
      </c>
    </row>
    <row r="233" spans="1:46" x14ac:dyDescent="0.3">
      <c r="A233" s="57" t="str">
        <f t="shared" si="4"/>
        <v>WVP9107341191073411ATEASTCH45901</v>
      </c>
      <c r="B233" s="57">
        <f>COUNTIF(CONT_TEA[Unique Contract],CONT_TEA[[#This Row],[Unique Contract]])-1</f>
        <v>0</v>
      </c>
      <c r="C233" s="57">
        <f>IFERROR(IF(FIND(CONT_TEA[[#This Row],[SchoolCode]],_xlfn.XLOOKUP(CONT_TEA[[#This Row],[StaffMemberCode]],MEMBERS[StaffMemberCode],MEMBERS[SchoolCodes]))&gt;0,0,1),1)</f>
        <v>0</v>
      </c>
      <c r="D233" s="57" cm="1">
        <f t="array" ref="D233">IF(_xlfn.XLOOKUP(CONT_TEA[[#This Row],[StaffRoleCode]],ROLES[StaffRoleCode],ROLES[AvailableToAllSchools],1,0,)=TRUE,0,IF(ISERROR(FIND(CONT_TEA[[#This Row],[SchoolCode]],_xlfn.TEXTJOIN(",",TRUE,_xlfn.UNIQUE(IF(ROLES[StaffRoleCode]=CONT_TEA[[#This Row],[StaffRoleCode]],ROLES[SchoolCodes],""))))),1,0))</f>
        <v>0</v>
      </c>
      <c r="E233" s="57" cm="1">
        <f t="array" ref="E23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33" s="57" cm="1">
        <f t="array" ref="F233">IF(_xlfn.XLOOKUP(CONT_TEA[[#This Row],[PayScaleCode]],PAYSCALES[PayScaleCode],PAYSCALES[AvailableToAllSchools],1,0,)=TRUE,0,IF(ISERROR(FIND(CONT_TEA[[#This Row],[SchoolCode]],_xlfn.TEXTJOIN(",",TRUE,_xlfn.UNIQUE(IF(PAYSCALES[PayScaleCode]=CONT_TEA[[#This Row],[PayScaleCode]],PAYSCALES[SchoolCodes],""))))),1,0))</f>
        <v>0</v>
      </c>
      <c r="G233" s="57">
        <f>IF(_xlfn.XLOOKUP(CONT_TEA[[#This Row],[PayScaleGradeCode]],GRADES[PayScaleGradeCode],GRADES[AvailableToAllSchools])=TRUE,0,IFERROR(IF(FIND(CONT_TEA[[#This Row],[SchoolCode]],_xlfn.XLOOKUP(CONT_TEA[[#This Row],[PayScaleGradeCode]],GRADES[PayScaleGradeCode],GRADES[SchoolCodes]))&gt;=1,0,1),1))</f>
        <v>0</v>
      </c>
      <c r="H233" s="57">
        <f>IF(ISERROR(IF((_xlfn.XLOOKUP(CONT_TEA[[#This Row],[PayScaleGradeCode]],GRADES[PayScaleGradeCode],GRADES[PayScaleCode])=CONT_TEA[[#This Row],[PayScaleCode]]),0,1)),1,0)</f>
        <v>0</v>
      </c>
      <c r="I233" s="57" cm="1">
        <f t="array" ref="I233">IF(ISERROR(FIND(CONT_TEA[[#This Row],[PayScalePointCode]],_xlfn.TEXTJOIN(",",TRUE,IF(PSPOINTS[PayScaleCode]=CONT_TEA[[#This Row],[PayScaleCode]],PSPOINTS[PayScalePointCode])))),1,0)</f>
        <v>0</v>
      </c>
      <c r="J233" s="57" cm="1">
        <f t="array" ref="J23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33" s="57">
        <f>IF(_xlfn.XLOOKUP(CONT_TEA[[#This Row],[PayScalePointCode]],PSPOINTS[PayScalePointCode],PSPOINTS[PayScalePointEnabled])=TRUE,0,1)</f>
        <v>0</v>
      </c>
      <c r="L233" s="57" cm="1">
        <f t="array" ref="L233">IF(_xlfn.XLOOKUP(CONT_TEA[[#This Row],[DepartmentCode]],DEPTS[DepartmentCode],DEPTS[AvailableToAllSchools],1,0,)=TRUE,0,IF(ISERROR(FIND(CONT_TEA[[#This Row],[SchoolCode]],_xlfn.TEXTJOIN(",",TRUE,_xlfn.UNIQUE(IF(DEPTS[DepartmentCode]=CONT_TEA[[#This Row],[DepartmentCode]],DEPTS[SchoolCodes],""))))),1,0))</f>
        <v>0</v>
      </c>
      <c r="M233" s="57">
        <f>IFERROR(IF(_xlfn.XLOOKUP(CONT_TEA[[#This Row],[SRG Gross]],FinanceCodesBudget[FinanceCode],FinanceCodesBudget[LedgerCode])=_xlfn.XLOOKUP(CONT_TEA[[#This Row],[DepartmentCode]],DEPTS[DepartmentCode],DEPTS[LedgerCode]),0,1),1)</f>
        <v>1</v>
      </c>
      <c r="N233" s="57" cm="1">
        <f t="array" ref="N233">IF(_xlfn.XLOOKUP(CONT_TEA[[#This Row],[PensionCode]],PENS[PensionCode],PENS[AvailableToAllSchools],1,0,)=TRUE,0,IF(ISERROR(FIND(CONT_TEA[[#This Row],[SchoolCode]],_xlfn.TEXTJOIN(",",TRUE,_xlfn.UNIQUE(IF(PENS[PensionCode]=CONT_TEA[[#This Row],[PensionCode]],PENS[SchoolCodes],""))))),1,0))</f>
        <v>0</v>
      </c>
      <c r="O233" s="57" cm="1">
        <f t="array" ref="O233">IF(_xlfn.XLOOKUP(CONT_TEA[[#This Row],[EquatedWeekPatternCode]],EQW[EquatedWeekPatternCode],EQW[AvailableToAllSchools],1,0,)=TRUE,0,IF(ISERROR(FIND(CONT_TEA[[#This Row],[SchoolCode]],_xlfn.TEXTJOIN(",",TRUE,_xlfn.UNIQUE(IF(EQW[EquatedWeekPatternCode]=CONT_TEA[[#This Row],[EquatedWeekPatternCode]],EQW[SchoolCodes],""))))),1,0))</f>
        <v>0</v>
      </c>
      <c r="P233" s="57">
        <f>1-COUNTIF(ContractTypes[Code],CONT_TEA[[#This Row],[ContractTypeCode]])</f>
        <v>0</v>
      </c>
      <c r="Q233" s="57">
        <f>IF(VLOOKUP(CONT_TEA[[#This Row],[StaffMemberCode]],MEMBERS[[StaffMemberCode]:[ServiceStartDate]],5,0)&gt;CONT_TEA[[#This Row],[DateFrom]],1,0)</f>
        <v>0</v>
      </c>
      <c r="R233" s="57">
        <f>IF(_xlfn.XLOOKUP(CONT_TEA[[#This Row],[StaffMemberCode]],MEMBERS[StaffMemberCode],MEMBERS[ServiceEndDate])="",0,IF(CONT_TEA[[#This Row],[DateTo]]="",1,IF(_xlfn.XLOOKUP(CONT_TEA[[#This Row],[StaffMemberCode]],MEMBERS[StaffMemberCode],MEMBERS[ServiceEndDate])&lt;CONT_TEA[[#This Row],[DateTo]],1,0)))</f>
        <v>0</v>
      </c>
      <c r="S233" s="57">
        <f>IF(ISBLANK(CONT_TEA[[#This Row],[DateTo]]),0,IF(CONT_TEA[[#This Row],[DateFrom]]=CONT_TEA[[#This Row],[DateTo]],0,IF(CONT_TEA[[#This Row],[DateFrom]]&lt;CONT_TEA[[#This Row],[DateTo]],0,1)))</f>
        <v>0</v>
      </c>
      <c r="T233" s="57" cm="1">
        <f t="array" aca="1" ref="T233" ca="1">IF(CELL("format",CONT_TEA[[#This Row],[DateFrom]])="D1",0,1)+IF(CELL("format",CONT_TEA[[#This Row],[DateTo]])="D1",0,1)</f>
        <v>0</v>
      </c>
      <c r="U233" s="57">
        <f>IF(OR(CONT_TEA[[#This Row],[MatEditOnly]]=TRUE,CONT_TEA[[#This Row],[MatEditOnly]]=FALSE),IF(OR(CONT_TEA[[#This Row],[NoIncrement]]=TRUE,CONT_TEA[[#This Row],[NoIncrement]]=FALSE),0,1),1)</f>
        <v>0</v>
      </c>
      <c r="V233" s="57">
        <f>IF(ISBLANK(CONT_TEA[[#This Row],[FundCode]])=TRUE,0,IF(COUNTIF(FUNDS[FundCode],CONT_TEA[[#This Row],[FundCode]])=1,0,1))</f>
        <v>0</v>
      </c>
      <c r="W233" s="57">
        <f>IF(LEN(CONT_TEA[[#This Row],[Notes]])&lt;4000,0,1)</f>
        <v>0</v>
      </c>
      <c r="X233" s="57">
        <f>IF(SUBSTITUTE(TEXT(CONT_TEA[[#This Row],[Reference]],10)," ","")=TEXT(CONT_TEA[[#This Row],[Reference]],10),0,1)</f>
        <v>0</v>
      </c>
      <c r="Y233" s="57">
        <f ca="1">SUM(CONT_TEA[[#This Row],[Duplicate Contract]:[Space in Code]])</f>
        <v>1</v>
      </c>
      <c r="AA233" s="12" t="s">
        <v>2275</v>
      </c>
      <c r="AB233" s="15">
        <v>91073411</v>
      </c>
      <c r="AC233" s="12" t="s">
        <v>4581</v>
      </c>
      <c r="AD233" s="57" t="str">
        <f>_xlfn.XLOOKUP(CONT_TEA[[#This Row],[StaffMemberCode]],StaffMembers!O:O,StaffMembers!R:R)</f>
        <v>Richard Robinson</v>
      </c>
      <c r="AE233" s="12" t="s">
        <v>1178</v>
      </c>
      <c r="AF233" s="57">
        <f>_xlfn.XLOOKUP(CONT_TEA[[#This Row],[SRG]],SRG[StaffRoleGroupCode],SRG[GrossSalaryFinanceCode])</f>
        <v>612100</v>
      </c>
      <c r="AG233" s="57" t="str">
        <f>_xlfn.XLOOKUP(CONT_TEA[[#This Row],[StaffRoleCode]],ROLES[StaffRoleCode],ROLES[StaffRoleGroupCode])</f>
        <v>TEA</v>
      </c>
      <c r="AH233" s="57" t="str">
        <f>_xlfn.XLOOKUP(CONT_TEA[[#This Row],[StaffRoleCode]],ROLES[StaffRoleCode],ROLES[PayScaleCode])</f>
        <v>MAIN</v>
      </c>
      <c r="AI233" s="12" t="s">
        <v>1126</v>
      </c>
      <c r="AJ233" s="12" t="s">
        <v>3074</v>
      </c>
      <c r="AK233" s="12" t="s">
        <v>2499</v>
      </c>
      <c r="AM233" s="68" t="s">
        <v>1147</v>
      </c>
      <c r="AN233" s="13" t="s">
        <v>1702</v>
      </c>
      <c r="AO233" s="21">
        <v>45901</v>
      </c>
      <c r="AQ233" s="12">
        <v>1</v>
      </c>
      <c r="AR233" t="b">
        <v>0</v>
      </c>
      <c r="AS233" t="b">
        <v>0</v>
      </c>
      <c r="AT233" s="12" t="s">
        <v>1574</v>
      </c>
    </row>
    <row r="234" spans="1:46" x14ac:dyDescent="0.3">
      <c r="A234" s="57" t="str">
        <f t="shared" si="4"/>
        <v>ALS9107369091073690ATEASTCH45901</v>
      </c>
      <c r="B234" s="57">
        <f>COUNTIF(CONT_TEA[Unique Contract],CONT_TEA[[#This Row],[Unique Contract]])-1</f>
        <v>0</v>
      </c>
      <c r="C234" s="57">
        <f>IFERROR(IF(FIND(CONT_TEA[[#This Row],[SchoolCode]],_xlfn.XLOOKUP(CONT_TEA[[#This Row],[StaffMemberCode]],MEMBERS[StaffMemberCode],MEMBERS[SchoolCodes]))&gt;0,0,1),1)</f>
        <v>0</v>
      </c>
      <c r="D234" s="57" cm="1">
        <f t="array" ref="D234">IF(_xlfn.XLOOKUP(CONT_TEA[[#This Row],[StaffRoleCode]],ROLES[StaffRoleCode],ROLES[AvailableToAllSchools],1,0,)=TRUE,0,IF(ISERROR(FIND(CONT_TEA[[#This Row],[SchoolCode]],_xlfn.TEXTJOIN(",",TRUE,_xlfn.UNIQUE(IF(ROLES[StaffRoleCode]=CONT_TEA[[#This Row],[StaffRoleCode]],ROLES[SchoolCodes],""))))),1,0))</f>
        <v>0</v>
      </c>
      <c r="E234" s="57" cm="1">
        <f t="array" ref="E23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34" s="57" cm="1">
        <f t="array" ref="F234">IF(_xlfn.XLOOKUP(CONT_TEA[[#This Row],[PayScaleCode]],PAYSCALES[PayScaleCode],PAYSCALES[AvailableToAllSchools],1,0,)=TRUE,0,IF(ISERROR(FIND(CONT_TEA[[#This Row],[SchoolCode]],_xlfn.TEXTJOIN(",",TRUE,_xlfn.UNIQUE(IF(PAYSCALES[PayScaleCode]=CONT_TEA[[#This Row],[PayScaleCode]],PAYSCALES[SchoolCodes],""))))),1,0))</f>
        <v>0</v>
      </c>
      <c r="G234" s="57">
        <f>IF(_xlfn.XLOOKUP(CONT_TEA[[#This Row],[PayScaleGradeCode]],GRADES[PayScaleGradeCode],GRADES[AvailableToAllSchools])=TRUE,0,IFERROR(IF(FIND(CONT_TEA[[#This Row],[SchoolCode]],_xlfn.XLOOKUP(CONT_TEA[[#This Row],[PayScaleGradeCode]],GRADES[PayScaleGradeCode],GRADES[SchoolCodes]))&gt;=1,0,1),1))</f>
        <v>0</v>
      </c>
      <c r="H234" s="57">
        <f>IF(ISERROR(IF((_xlfn.XLOOKUP(CONT_TEA[[#This Row],[PayScaleGradeCode]],GRADES[PayScaleGradeCode],GRADES[PayScaleCode])=CONT_TEA[[#This Row],[PayScaleCode]]),0,1)),1,0)</f>
        <v>0</v>
      </c>
      <c r="I234" s="57" cm="1">
        <f t="array" ref="I234">IF(ISERROR(FIND(CONT_TEA[[#This Row],[PayScalePointCode]],_xlfn.TEXTJOIN(",",TRUE,IF(PSPOINTS[PayScaleCode]=CONT_TEA[[#This Row],[PayScaleCode]],PSPOINTS[PayScalePointCode])))),1,0)</f>
        <v>0</v>
      </c>
      <c r="J234" s="57" cm="1">
        <f t="array" ref="J23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34" s="57">
        <f>IF(_xlfn.XLOOKUP(CONT_TEA[[#This Row],[PayScalePointCode]],PSPOINTS[PayScalePointCode],PSPOINTS[PayScalePointEnabled])=TRUE,0,1)</f>
        <v>0</v>
      </c>
      <c r="L234" s="57" cm="1">
        <f t="array" ref="L234">IF(_xlfn.XLOOKUP(CONT_TEA[[#This Row],[DepartmentCode]],DEPTS[DepartmentCode],DEPTS[AvailableToAllSchools],1,0,)=TRUE,0,IF(ISERROR(FIND(CONT_TEA[[#This Row],[SchoolCode]],_xlfn.TEXTJOIN(",",TRUE,_xlfn.UNIQUE(IF(DEPTS[DepartmentCode]=CONT_TEA[[#This Row],[DepartmentCode]],DEPTS[SchoolCodes],""))))),1,0))</f>
        <v>0</v>
      </c>
      <c r="M234" s="57">
        <f>IFERROR(IF(_xlfn.XLOOKUP(CONT_TEA[[#This Row],[SRG Gross]],FinanceCodesBudget[FinanceCode],FinanceCodesBudget[LedgerCode])=_xlfn.XLOOKUP(CONT_TEA[[#This Row],[DepartmentCode]],DEPTS[DepartmentCode],DEPTS[LedgerCode]),0,1),1)</f>
        <v>1</v>
      </c>
      <c r="N234" s="57" cm="1">
        <f t="array" ref="N234">IF(_xlfn.XLOOKUP(CONT_TEA[[#This Row],[PensionCode]],PENS[PensionCode],PENS[AvailableToAllSchools],1,0,)=TRUE,0,IF(ISERROR(FIND(CONT_TEA[[#This Row],[SchoolCode]],_xlfn.TEXTJOIN(",",TRUE,_xlfn.UNIQUE(IF(PENS[PensionCode]=CONT_TEA[[#This Row],[PensionCode]],PENS[SchoolCodes],""))))),1,0))</f>
        <v>0</v>
      </c>
      <c r="O234" s="57" cm="1">
        <f t="array" ref="O234">IF(_xlfn.XLOOKUP(CONT_TEA[[#This Row],[EquatedWeekPatternCode]],EQW[EquatedWeekPatternCode],EQW[AvailableToAllSchools],1,0,)=TRUE,0,IF(ISERROR(FIND(CONT_TEA[[#This Row],[SchoolCode]],_xlfn.TEXTJOIN(",",TRUE,_xlfn.UNIQUE(IF(EQW[EquatedWeekPatternCode]=CONT_TEA[[#This Row],[EquatedWeekPatternCode]],EQW[SchoolCodes],""))))),1,0))</f>
        <v>0</v>
      </c>
      <c r="P234" s="57">
        <f>1-COUNTIF(ContractTypes[Code],CONT_TEA[[#This Row],[ContractTypeCode]])</f>
        <v>0</v>
      </c>
      <c r="Q234" s="57">
        <f>IF(VLOOKUP(CONT_TEA[[#This Row],[StaffMemberCode]],MEMBERS[[StaffMemberCode]:[ServiceStartDate]],5,0)&gt;CONT_TEA[[#This Row],[DateFrom]],1,0)</f>
        <v>0</v>
      </c>
      <c r="R234" s="57">
        <f>IF(_xlfn.XLOOKUP(CONT_TEA[[#This Row],[StaffMemberCode]],MEMBERS[StaffMemberCode],MEMBERS[ServiceEndDate])="",0,IF(CONT_TEA[[#This Row],[DateTo]]="",1,IF(_xlfn.XLOOKUP(CONT_TEA[[#This Row],[StaffMemberCode]],MEMBERS[StaffMemberCode],MEMBERS[ServiceEndDate])&lt;CONT_TEA[[#This Row],[DateTo]],1,0)))</f>
        <v>0</v>
      </c>
      <c r="S234" s="57">
        <f>IF(ISBLANK(CONT_TEA[[#This Row],[DateTo]]),0,IF(CONT_TEA[[#This Row],[DateFrom]]=CONT_TEA[[#This Row],[DateTo]],0,IF(CONT_TEA[[#This Row],[DateFrom]]&lt;CONT_TEA[[#This Row],[DateTo]],0,1)))</f>
        <v>0</v>
      </c>
      <c r="T234" s="57" cm="1">
        <f t="array" aca="1" ref="T234" ca="1">IF(CELL("format",CONT_TEA[[#This Row],[DateFrom]])="D1",0,1)+IF(CELL("format",CONT_TEA[[#This Row],[DateTo]])="D1",0,1)</f>
        <v>0</v>
      </c>
      <c r="U234" s="57">
        <f>IF(OR(CONT_TEA[[#This Row],[MatEditOnly]]=TRUE,CONT_TEA[[#This Row],[MatEditOnly]]=FALSE),IF(OR(CONT_TEA[[#This Row],[NoIncrement]]=TRUE,CONT_TEA[[#This Row],[NoIncrement]]=FALSE),0,1),1)</f>
        <v>0</v>
      </c>
      <c r="V234" s="57">
        <f>IF(ISBLANK(CONT_TEA[[#This Row],[FundCode]])=TRUE,0,IF(COUNTIF(FUNDS[FundCode],CONT_TEA[[#This Row],[FundCode]])=1,0,1))</f>
        <v>0</v>
      </c>
      <c r="W234" s="57">
        <f>IF(LEN(CONT_TEA[[#This Row],[Notes]])&lt;4000,0,1)</f>
        <v>0</v>
      </c>
      <c r="X234" s="57">
        <f>IF(SUBSTITUTE(TEXT(CONT_TEA[[#This Row],[Reference]],10)," ","")=TEXT(CONT_TEA[[#This Row],[Reference]],10),0,1)</f>
        <v>0</v>
      </c>
      <c r="Y234" s="57">
        <f ca="1">SUM(CONT_TEA[[#This Row],[Duplicate Contract]:[Space in Code]])</f>
        <v>1</v>
      </c>
      <c r="AA234" s="12" t="s">
        <v>2082</v>
      </c>
      <c r="AB234" s="15">
        <v>91073690</v>
      </c>
      <c r="AC234" s="12" t="s">
        <v>4582</v>
      </c>
      <c r="AD234" s="57" t="str">
        <f>_xlfn.XLOOKUP(CONT_TEA[[#This Row],[StaffMemberCode]],StaffMembers!O:O,StaffMembers!R:R)</f>
        <v>Richard Steed</v>
      </c>
      <c r="AE234" s="12" t="s">
        <v>1178</v>
      </c>
      <c r="AF234" s="57">
        <f>_xlfn.XLOOKUP(CONT_TEA[[#This Row],[SRG]],SRG[StaffRoleGroupCode],SRG[GrossSalaryFinanceCode])</f>
        <v>612100</v>
      </c>
      <c r="AG234" s="57" t="str">
        <f>_xlfn.XLOOKUP(CONT_TEA[[#This Row],[StaffRoleCode]],ROLES[StaffRoleCode],ROLES[StaffRoleGroupCode])</f>
        <v>TEA</v>
      </c>
      <c r="AH234" s="57" t="str">
        <f>_xlfn.XLOOKUP(CONT_TEA[[#This Row],[StaffRoleCode]],ROLES[StaffRoleCode],ROLES[PayScaleCode])</f>
        <v>MAIN</v>
      </c>
      <c r="AI234" s="12" t="s">
        <v>1126</v>
      </c>
      <c r="AJ234" s="12" t="s">
        <v>1745</v>
      </c>
      <c r="AK234" s="12" t="s">
        <v>2499</v>
      </c>
      <c r="AM234" s="68" t="s">
        <v>1147</v>
      </c>
      <c r="AN234" s="13" t="s">
        <v>1702</v>
      </c>
      <c r="AO234" s="21">
        <v>45901</v>
      </c>
      <c r="AQ234" s="12">
        <v>1</v>
      </c>
      <c r="AR234" t="b">
        <v>0</v>
      </c>
      <c r="AS234" t="b">
        <v>0</v>
      </c>
      <c r="AT234" s="12" t="s">
        <v>1574</v>
      </c>
    </row>
    <row r="235" spans="1:46" x14ac:dyDescent="0.3">
      <c r="A235" s="57" t="str">
        <f t="shared" si="4"/>
        <v>ALS9107371491073714ATEASTCH45901</v>
      </c>
      <c r="B235" s="57">
        <f>COUNTIF(CONT_TEA[Unique Contract],CONT_TEA[[#This Row],[Unique Contract]])-1</f>
        <v>0</v>
      </c>
      <c r="C235" s="57">
        <f>IFERROR(IF(FIND(CONT_TEA[[#This Row],[SchoolCode]],_xlfn.XLOOKUP(CONT_TEA[[#This Row],[StaffMemberCode]],MEMBERS[StaffMemberCode],MEMBERS[SchoolCodes]))&gt;0,0,1),1)</f>
        <v>0</v>
      </c>
      <c r="D235" s="57" cm="1">
        <f t="array" ref="D235">IF(_xlfn.XLOOKUP(CONT_TEA[[#This Row],[StaffRoleCode]],ROLES[StaffRoleCode],ROLES[AvailableToAllSchools],1,0,)=TRUE,0,IF(ISERROR(FIND(CONT_TEA[[#This Row],[SchoolCode]],_xlfn.TEXTJOIN(",",TRUE,_xlfn.UNIQUE(IF(ROLES[StaffRoleCode]=CONT_TEA[[#This Row],[StaffRoleCode]],ROLES[SchoolCodes],""))))),1,0))</f>
        <v>0</v>
      </c>
      <c r="E235" s="57" cm="1">
        <f t="array" ref="E23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35" s="57" cm="1">
        <f t="array" ref="F235">IF(_xlfn.XLOOKUP(CONT_TEA[[#This Row],[PayScaleCode]],PAYSCALES[PayScaleCode],PAYSCALES[AvailableToAllSchools],1,0,)=TRUE,0,IF(ISERROR(FIND(CONT_TEA[[#This Row],[SchoolCode]],_xlfn.TEXTJOIN(",",TRUE,_xlfn.UNIQUE(IF(PAYSCALES[PayScaleCode]=CONT_TEA[[#This Row],[PayScaleCode]],PAYSCALES[SchoolCodes],""))))),1,0))</f>
        <v>0</v>
      </c>
      <c r="G235" s="57">
        <f>IF(_xlfn.XLOOKUP(CONT_TEA[[#This Row],[PayScaleGradeCode]],GRADES[PayScaleGradeCode],GRADES[AvailableToAllSchools])=TRUE,0,IFERROR(IF(FIND(CONT_TEA[[#This Row],[SchoolCode]],_xlfn.XLOOKUP(CONT_TEA[[#This Row],[PayScaleGradeCode]],GRADES[PayScaleGradeCode],GRADES[SchoolCodes]))&gt;=1,0,1),1))</f>
        <v>0</v>
      </c>
      <c r="H235" s="57">
        <f>IF(ISERROR(IF((_xlfn.XLOOKUP(CONT_TEA[[#This Row],[PayScaleGradeCode]],GRADES[PayScaleGradeCode],GRADES[PayScaleCode])=CONT_TEA[[#This Row],[PayScaleCode]]),0,1)),1,0)</f>
        <v>0</v>
      </c>
      <c r="I235" s="57" cm="1">
        <f t="array" ref="I235">IF(ISERROR(FIND(CONT_TEA[[#This Row],[PayScalePointCode]],_xlfn.TEXTJOIN(",",TRUE,IF(PSPOINTS[PayScaleCode]=CONT_TEA[[#This Row],[PayScaleCode]],PSPOINTS[PayScalePointCode])))),1,0)</f>
        <v>0</v>
      </c>
      <c r="J235" s="57" cm="1">
        <f t="array" ref="J23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35" s="57">
        <f>IF(_xlfn.XLOOKUP(CONT_TEA[[#This Row],[PayScalePointCode]],PSPOINTS[PayScalePointCode],PSPOINTS[PayScalePointEnabled])=TRUE,0,1)</f>
        <v>0</v>
      </c>
      <c r="L235" s="57" cm="1">
        <f t="array" ref="L235">IF(_xlfn.XLOOKUP(CONT_TEA[[#This Row],[DepartmentCode]],DEPTS[DepartmentCode],DEPTS[AvailableToAllSchools],1,0,)=TRUE,0,IF(ISERROR(FIND(CONT_TEA[[#This Row],[SchoolCode]],_xlfn.TEXTJOIN(",",TRUE,_xlfn.UNIQUE(IF(DEPTS[DepartmentCode]=CONT_TEA[[#This Row],[DepartmentCode]],DEPTS[SchoolCodes],""))))),1,0))</f>
        <v>0</v>
      </c>
      <c r="M235" s="57">
        <f>IFERROR(IF(_xlfn.XLOOKUP(CONT_TEA[[#This Row],[SRG Gross]],FinanceCodesBudget[FinanceCode],FinanceCodesBudget[LedgerCode])=_xlfn.XLOOKUP(CONT_TEA[[#This Row],[DepartmentCode]],DEPTS[DepartmentCode],DEPTS[LedgerCode]),0,1),1)</f>
        <v>1</v>
      </c>
      <c r="N235" s="57" cm="1">
        <f t="array" ref="N235">IF(_xlfn.XLOOKUP(CONT_TEA[[#This Row],[PensionCode]],PENS[PensionCode],PENS[AvailableToAllSchools],1,0,)=TRUE,0,IF(ISERROR(FIND(CONT_TEA[[#This Row],[SchoolCode]],_xlfn.TEXTJOIN(",",TRUE,_xlfn.UNIQUE(IF(PENS[PensionCode]=CONT_TEA[[#This Row],[PensionCode]],PENS[SchoolCodes],""))))),1,0))</f>
        <v>0</v>
      </c>
      <c r="O235" s="57" cm="1">
        <f t="array" ref="O235">IF(_xlfn.XLOOKUP(CONT_TEA[[#This Row],[EquatedWeekPatternCode]],EQW[EquatedWeekPatternCode],EQW[AvailableToAllSchools],1,0,)=TRUE,0,IF(ISERROR(FIND(CONT_TEA[[#This Row],[SchoolCode]],_xlfn.TEXTJOIN(",",TRUE,_xlfn.UNIQUE(IF(EQW[EquatedWeekPatternCode]=CONT_TEA[[#This Row],[EquatedWeekPatternCode]],EQW[SchoolCodes],""))))),1,0))</f>
        <v>0</v>
      </c>
      <c r="P235" s="57">
        <f>1-COUNTIF(ContractTypes[Code],CONT_TEA[[#This Row],[ContractTypeCode]])</f>
        <v>0</v>
      </c>
      <c r="Q235" s="57">
        <f>IF(VLOOKUP(CONT_TEA[[#This Row],[StaffMemberCode]],MEMBERS[[StaffMemberCode]:[ServiceStartDate]],5,0)&gt;CONT_TEA[[#This Row],[DateFrom]],1,0)</f>
        <v>0</v>
      </c>
      <c r="R235" s="57">
        <f>IF(_xlfn.XLOOKUP(CONT_TEA[[#This Row],[StaffMemberCode]],MEMBERS[StaffMemberCode],MEMBERS[ServiceEndDate])="",0,IF(CONT_TEA[[#This Row],[DateTo]]="",1,IF(_xlfn.XLOOKUP(CONT_TEA[[#This Row],[StaffMemberCode]],MEMBERS[StaffMemberCode],MEMBERS[ServiceEndDate])&lt;CONT_TEA[[#This Row],[DateTo]],1,0)))</f>
        <v>0</v>
      </c>
      <c r="S235" s="57">
        <f>IF(ISBLANK(CONT_TEA[[#This Row],[DateTo]]),0,IF(CONT_TEA[[#This Row],[DateFrom]]=CONT_TEA[[#This Row],[DateTo]],0,IF(CONT_TEA[[#This Row],[DateFrom]]&lt;CONT_TEA[[#This Row],[DateTo]],0,1)))</f>
        <v>0</v>
      </c>
      <c r="T235" s="57" cm="1">
        <f t="array" aca="1" ref="T235" ca="1">IF(CELL("format",CONT_TEA[[#This Row],[DateFrom]])="D1",0,1)+IF(CELL("format",CONT_TEA[[#This Row],[DateTo]])="D1",0,1)</f>
        <v>0</v>
      </c>
      <c r="U235" s="57">
        <f>IF(OR(CONT_TEA[[#This Row],[MatEditOnly]]=TRUE,CONT_TEA[[#This Row],[MatEditOnly]]=FALSE),IF(OR(CONT_TEA[[#This Row],[NoIncrement]]=TRUE,CONT_TEA[[#This Row],[NoIncrement]]=FALSE),0,1),1)</f>
        <v>0</v>
      </c>
      <c r="V235" s="57">
        <f>IF(ISBLANK(CONT_TEA[[#This Row],[FundCode]])=TRUE,0,IF(COUNTIF(FUNDS[FundCode],CONT_TEA[[#This Row],[FundCode]])=1,0,1))</f>
        <v>0</v>
      </c>
      <c r="W235" s="57">
        <f>IF(LEN(CONT_TEA[[#This Row],[Notes]])&lt;4000,0,1)</f>
        <v>0</v>
      </c>
      <c r="X235" s="57">
        <f>IF(SUBSTITUTE(TEXT(CONT_TEA[[#This Row],[Reference]],10)," ","")=TEXT(CONT_TEA[[#This Row],[Reference]],10),0,1)</f>
        <v>0</v>
      </c>
      <c r="Y235" s="57">
        <f ca="1">SUM(CONT_TEA[[#This Row],[Duplicate Contract]:[Space in Code]])</f>
        <v>1</v>
      </c>
      <c r="AA235" s="12" t="s">
        <v>2082</v>
      </c>
      <c r="AB235" s="15">
        <v>91073714</v>
      </c>
      <c r="AC235" s="12" t="s">
        <v>4583</v>
      </c>
      <c r="AD235" s="57" t="str">
        <f>_xlfn.XLOOKUP(CONT_TEA[[#This Row],[StaffMemberCode]],StaffMembers!O:O,StaffMembers!R:R)</f>
        <v>Robert Morris</v>
      </c>
      <c r="AE235" s="12" t="s">
        <v>1178</v>
      </c>
      <c r="AF235" s="57">
        <f>_xlfn.XLOOKUP(CONT_TEA[[#This Row],[SRG]],SRG[StaffRoleGroupCode],SRG[GrossSalaryFinanceCode])</f>
        <v>612100</v>
      </c>
      <c r="AG235" s="57" t="str">
        <f>_xlfn.XLOOKUP(CONT_TEA[[#This Row],[StaffRoleCode]],ROLES[StaffRoleCode],ROLES[StaffRoleGroupCode])</f>
        <v>TEA</v>
      </c>
      <c r="AH235" s="57" t="str">
        <f>_xlfn.XLOOKUP(CONT_TEA[[#This Row],[StaffRoleCode]],ROLES[StaffRoleCode],ROLES[PayScaleCode])</f>
        <v>MAIN</v>
      </c>
      <c r="AI235" s="12" t="s">
        <v>1126</v>
      </c>
      <c r="AJ235" s="12" t="s">
        <v>1745</v>
      </c>
      <c r="AK235" s="12" t="s">
        <v>2499</v>
      </c>
      <c r="AM235" s="68" t="s">
        <v>1147</v>
      </c>
      <c r="AN235" s="13" t="s">
        <v>1702</v>
      </c>
      <c r="AO235" s="21">
        <v>45901</v>
      </c>
      <c r="AQ235" s="12">
        <v>1</v>
      </c>
      <c r="AR235" t="b">
        <v>0</v>
      </c>
      <c r="AS235" t="b">
        <v>0</v>
      </c>
      <c r="AT235" s="12" t="s">
        <v>1574</v>
      </c>
    </row>
    <row r="236" spans="1:46" x14ac:dyDescent="0.3">
      <c r="A236" s="57" t="str">
        <f t="shared" si="4"/>
        <v>ALS9107384591073845ATEASTCH45901</v>
      </c>
      <c r="B236" s="57">
        <f>COUNTIF(CONT_TEA[Unique Contract],CONT_TEA[[#This Row],[Unique Contract]])-1</f>
        <v>0</v>
      </c>
      <c r="C236" s="57">
        <f>IFERROR(IF(FIND(CONT_TEA[[#This Row],[SchoolCode]],_xlfn.XLOOKUP(CONT_TEA[[#This Row],[StaffMemberCode]],MEMBERS[StaffMemberCode],MEMBERS[SchoolCodes]))&gt;0,0,1),1)</f>
        <v>0</v>
      </c>
      <c r="D236" s="57" cm="1">
        <f t="array" ref="D236">IF(_xlfn.XLOOKUP(CONT_TEA[[#This Row],[StaffRoleCode]],ROLES[StaffRoleCode],ROLES[AvailableToAllSchools],1,0,)=TRUE,0,IF(ISERROR(FIND(CONT_TEA[[#This Row],[SchoolCode]],_xlfn.TEXTJOIN(",",TRUE,_xlfn.UNIQUE(IF(ROLES[StaffRoleCode]=CONT_TEA[[#This Row],[StaffRoleCode]],ROLES[SchoolCodes],""))))),1,0))</f>
        <v>0</v>
      </c>
      <c r="E236" s="57" cm="1">
        <f t="array" ref="E23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36" s="57" cm="1">
        <f t="array" ref="F236">IF(_xlfn.XLOOKUP(CONT_TEA[[#This Row],[PayScaleCode]],PAYSCALES[PayScaleCode],PAYSCALES[AvailableToAllSchools],1,0,)=TRUE,0,IF(ISERROR(FIND(CONT_TEA[[#This Row],[SchoolCode]],_xlfn.TEXTJOIN(",",TRUE,_xlfn.UNIQUE(IF(PAYSCALES[PayScaleCode]=CONT_TEA[[#This Row],[PayScaleCode]],PAYSCALES[SchoolCodes],""))))),1,0))</f>
        <v>0</v>
      </c>
      <c r="G236" s="57">
        <f>IF(_xlfn.XLOOKUP(CONT_TEA[[#This Row],[PayScaleGradeCode]],GRADES[PayScaleGradeCode],GRADES[AvailableToAllSchools])=TRUE,0,IFERROR(IF(FIND(CONT_TEA[[#This Row],[SchoolCode]],_xlfn.XLOOKUP(CONT_TEA[[#This Row],[PayScaleGradeCode]],GRADES[PayScaleGradeCode],GRADES[SchoolCodes]))&gt;=1,0,1),1))</f>
        <v>0</v>
      </c>
      <c r="H236" s="57">
        <f>IF(ISERROR(IF((_xlfn.XLOOKUP(CONT_TEA[[#This Row],[PayScaleGradeCode]],GRADES[PayScaleGradeCode],GRADES[PayScaleCode])=CONT_TEA[[#This Row],[PayScaleCode]]),0,1)),1,0)</f>
        <v>0</v>
      </c>
      <c r="I236" s="57" cm="1">
        <f t="array" ref="I236">IF(ISERROR(FIND(CONT_TEA[[#This Row],[PayScalePointCode]],_xlfn.TEXTJOIN(",",TRUE,IF(PSPOINTS[PayScaleCode]=CONT_TEA[[#This Row],[PayScaleCode]],PSPOINTS[PayScalePointCode])))),1,0)</f>
        <v>0</v>
      </c>
      <c r="J236" s="57" cm="1">
        <f t="array" ref="J23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36" s="57">
        <f>IF(_xlfn.XLOOKUP(CONT_TEA[[#This Row],[PayScalePointCode]],PSPOINTS[PayScalePointCode],PSPOINTS[PayScalePointEnabled])=TRUE,0,1)</f>
        <v>0</v>
      </c>
      <c r="L236" s="57" cm="1">
        <f t="array" ref="L236">IF(_xlfn.XLOOKUP(CONT_TEA[[#This Row],[DepartmentCode]],DEPTS[DepartmentCode],DEPTS[AvailableToAllSchools],1,0,)=TRUE,0,IF(ISERROR(FIND(CONT_TEA[[#This Row],[SchoolCode]],_xlfn.TEXTJOIN(",",TRUE,_xlfn.UNIQUE(IF(DEPTS[DepartmentCode]=CONT_TEA[[#This Row],[DepartmentCode]],DEPTS[SchoolCodes],""))))),1,0))</f>
        <v>0</v>
      </c>
      <c r="M236" s="57">
        <f>IFERROR(IF(_xlfn.XLOOKUP(CONT_TEA[[#This Row],[SRG Gross]],FinanceCodesBudget[FinanceCode],FinanceCodesBudget[LedgerCode])=_xlfn.XLOOKUP(CONT_TEA[[#This Row],[DepartmentCode]],DEPTS[DepartmentCode],DEPTS[LedgerCode]),0,1),1)</f>
        <v>1</v>
      </c>
      <c r="N236" s="57" cm="1">
        <f t="array" ref="N236">IF(_xlfn.XLOOKUP(CONT_TEA[[#This Row],[PensionCode]],PENS[PensionCode],PENS[AvailableToAllSchools],1,0,)=TRUE,0,IF(ISERROR(FIND(CONT_TEA[[#This Row],[SchoolCode]],_xlfn.TEXTJOIN(",",TRUE,_xlfn.UNIQUE(IF(PENS[PensionCode]=CONT_TEA[[#This Row],[PensionCode]],PENS[SchoolCodes],""))))),1,0))</f>
        <v>0</v>
      </c>
      <c r="O236" s="57" cm="1">
        <f t="array" ref="O236">IF(_xlfn.XLOOKUP(CONT_TEA[[#This Row],[EquatedWeekPatternCode]],EQW[EquatedWeekPatternCode],EQW[AvailableToAllSchools],1,0,)=TRUE,0,IF(ISERROR(FIND(CONT_TEA[[#This Row],[SchoolCode]],_xlfn.TEXTJOIN(",",TRUE,_xlfn.UNIQUE(IF(EQW[EquatedWeekPatternCode]=CONT_TEA[[#This Row],[EquatedWeekPatternCode]],EQW[SchoolCodes],""))))),1,0))</f>
        <v>0</v>
      </c>
      <c r="P236" s="57">
        <f>1-COUNTIF(ContractTypes[Code],CONT_TEA[[#This Row],[ContractTypeCode]])</f>
        <v>0</v>
      </c>
      <c r="Q236" s="57">
        <f>IF(VLOOKUP(CONT_TEA[[#This Row],[StaffMemberCode]],MEMBERS[[StaffMemberCode]:[ServiceStartDate]],5,0)&gt;CONT_TEA[[#This Row],[DateFrom]],1,0)</f>
        <v>0</v>
      </c>
      <c r="R236" s="57">
        <f>IF(_xlfn.XLOOKUP(CONT_TEA[[#This Row],[StaffMemberCode]],MEMBERS[StaffMemberCode],MEMBERS[ServiceEndDate])="",0,IF(CONT_TEA[[#This Row],[DateTo]]="",1,IF(_xlfn.XLOOKUP(CONT_TEA[[#This Row],[StaffMemberCode]],MEMBERS[StaffMemberCode],MEMBERS[ServiceEndDate])&lt;CONT_TEA[[#This Row],[DateTo]],1,0)))</f>
        <v>0</v>
      </c>
      <c r="S236" s="57">
        <f>IF(ISBLANK(CONT_TEA[[#This Row],[DateTo]]),0,IF(CONT_TEA[[#This Row],[DateFrom]]=CONT_TEA[[#This Row],[DateTo]],0,IF(CONT_TEA[[#This Row],[DateFrom]]&lt;CONT_TEA[[#This Row],[DateTo]],0,1)))</f>
        <v>0</v>
      </c>
      <c r="T236" s="57" cm="1">
        <f t="array" aca="1" ref="T236" ca="1">IF(CELL("format",CONT_TEA[[#This Row],[DateFrom]])="D1",0,1)+IF(CELL("format",CONT_TEA[[#This Row],[DateTo]])="D1",0,1)</f>
        <v>0</v>
      </c>
      <c r="U236" s="57">
        <f>IF(OR(CONT_TEA[[#This Row],[MatEditOnly]]=TRUE,CONT_TEA[[#This Row],[MatEditOnly]]=FALSE),IF(OR(CONT_TEA[[#This Row],[NoIncrement]]=TRUE,CONT_TEA[[#This Row],[NoIncrement]]=FALSE),0,1),1)</f>
        <v>0</v>
      </c>
      <c r="V236" s="57">
        <f>IF(ISBLANK(CONT_TEA[[#This Row],[FundCode]])=TRUE,0,IF(COUNTIF(FUNDS[FundCode],CONT_TEA[[#This Row],[FundCode]])=1,0,1))</f>
        <v>0</v>
      </c>
      <c r="W236" s="57">
        <f>IF(LEN(CONT_TEA[[#This Row],[Notes]])&lt;4000,0,1)</f>
        <v>0</v>
      </c>
      <c r="X236" s="57">
        <f>IF(SUBSTITUTE(TEXT(CONT_TEA[[#This Row],[Reference]],10)," ","")=TEXT(CONT_TEA[[#This Row],[Reference]],10),0,1)</f>
        <v>0</v>
      </c>
      <c r="Y236" s="57">
        <f ca="1">SUM(CONT_TEA[[#This Row],[Duplicate Contract]:[Space in Code]])</f>
        <v>1</v>
      </c>
      <c r="AA236" s="12" t="s">
        <v>2082</v>
      </c>
      <c r="AB236" s="15">
        <v>91073845</v>
      </c>
      <c r="AC236" s="12" t="s">
        <v>4584</v>
      </c>
      <c r="AD236" s="57" t="str">
        <f>_xlfn.XLOOKUP(CONT_TEA[[#This Row],[StaffMemberCode]],StaffMembers!O:O,StaffMembers!R:R)</f>
        <v>Sally Wright</v>
      </c>
      <c r="AE236" s="12" t="s">
        <v>1178</v>
      </c>
      <c r="AF236" s="57">
        <f>_xlfn.XLOOKUP(CONT_TEA[[#This Row],[SRG]],SRG[StaffRoleGroupCode],SRG[GrossSalaryFinanceCode])</f>
        <v>612100</v>
      </c>
      <c r="AG236" s="57" t="str">
        <f>_xlfn.XLOOKUP(CONT_TEA[[#This Row],[StaffRoleCode]],ROLES[StaffRoleCode],ROLES[StaffRoleGroupCode])</f>
        <v>TEA</v>
      </c>
      <c r="AH236" s="57" t="str">
        <f>_xlfn.XLOOKUP(CONT_TEA[[#This Row],[StaffRoleCode]],ROLES[StaffRoleCode],ROLES[PayScaleCode])</f>
        <v>MAIN</v>
      </c>
      <c r="AI236" s="12" t="s">
        <v>1126</v>
      </c>
      <c r="AJ236" s="12" t="s">
        <v>1745</v>
      </c>
      <c r="AK236" s="12" t="s">
        <v>2499</v>
      </c>
      <c r="AM236" s="68" t="s">
        <v>1147</v>
      </c>
      <c r="AN236" s="13" t="s">
        <v>1702</v>
      </c>
      <c r="AO236" s="21">
        <v>45901</v>
      </c>
      <c r="AQ236" s="12">
        <v>0.6</v>
      </c>
      <c r="AR236" t="b">
        <v>0</v>
      </c>
      <c r="AS236" t="b">
        <v>0</v>
      </c>
      <c r="AT236" s="12" t="s">
        <v>1574</v>
      </c>
    </row>
    <row r="237" spans="1:46" x14ac:dyDescent="0.3">
      <c r="A237" s="57" t="str">
        <f t="shared" si="4"/>
        <v>PTP9185003691850036ATEASTCH45901</v>
      </c>
      <c r="B237" s="57">
        <f>COUNTIF(CONT_TEA[Unique Contract],CONT_TEA[[#This Row],[Unique Contract]])-1</f>
        <v>0</v>
      </c>
      <c r="C237" s="57">
        <f>IFERROR(IF(FIND(CONT_TEA[[#This Row],[SchoolCode]],_xlfn.XLOOKUP(CONT_TEA[[#This Row],[StaffMemberCode]],MEMBERS[StaffMemberCode],MEMBERS[SchoolCodes]))&gt;0,0,1),1)</f>
        <v>0</v>
      </c>
      <c r="D237" s="57" cm="1">
        <f t="array" ref="D237">IF(_xlfn.XLOOKUP(CONT_TEA[[#This Row],[StaffRoleCode]],ROLES[StaffRoleCode],ROLES[AvailableToAllSchools],1,0,)=TRUE,0,IF(ISERROR(FIND(CONT_TEA[[#This Row],[SchoolCode]],_xlfn.TEXTJOIN(",",TRUE,_xlfn.UNIQUE(IF(ROLES[StaffRoleCode]=CONT_TEA[[#This Row],[StaffRoleCode]],ROLES[SchoolCodes],""))))),1,0))</f>
        <v>0</v>
      </c>
      <c r="E237" s="57" cm="1">
        <f t="array" ref="E23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37" s="57" cm="1">
        <f t="array" ref="F237">IF(_xlfn.XLOOKUP(CONT_TEA[[#This Row],[PayScaleCode]],PAYSCALES[PayScaleCode],PAYSCALES[AvailableToAllSchools],1,0,)=TRUE,0,IF(ISERROR(FIND(CONT_TEA[[#This Row],[SchoolCode]],_xlfn.TEXTJOIN(",",TRUE,_xlfn.UNIQUE(IF(PAYSCALES[PayScaleCode]=CONT_TEA[[#This Row],[PayScaleCode]],PAYSCALES[SchoolCodes],""))))),1,0))</f>
        <v>0</v>
      </c>
      <c r="G237" s="57">
        <f>IF(_xlfn.XLOOKUP(CONT_TEA[[#This Row],[PayScaleGradeCode]],GRADES[PayScaleGradeCode],GRADES[AvailableToAllSchools])=TRUE,0,IFERROR(IF(FIND(CONT_TEA[[#This Row],[SchoolCode]],_xlfn.XLOOKUP(CONT_TEA[[#This Row],[PayScaleGradeCode]],GRADES[PayScaleGradeCode],GRADES[SchoolCodes]))&gt;=1,0,1),1))</f>
        <v>0</v>
      </c>
      <c r="H237" s="57">
        <f>IF(ISERROR(IF((_xlfn.XLOOKUP(CONT_TEA[[#This Row],[PayScaleGradeCode]],GRADES[PayScaleGradeCode],GRADES[PayScaleCode])=CONT_TEA[[#This Row],[PayScaleCode]]),0,1)),1,0)</f>
        <v>0</v>
      </c>
      <c r="I237" s="57" cm="1">
        <f t="array" ref="I237">IF(ISERROR(FIND(CONT_TEA[[#This Row],[PayScalePointCode]],_xlfn.TEXTJOIN(",",TRUE,IF(PSPOINTS[PayScaleCode]=CONT_TEA[[#This Row],[PayScaleCode]],PSPOINTS[PayScalePointCode])))),1,0)</f>
        <v>0</v>
      </c>
      <c r="J237" s="57" cm="1">
        <f t="array" ref="J23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37" s="57">
        <f>IF(_xlfn.XLOOKUP(CONT_TEA[[#This Row],[PayScalePointCode]],PSPOINTS[PayScalePointCode],PSPOINTS[PayScalePointEnabled])=TRUE,0,1)</f>
        <v>0</v>
      </c>
      <c r="L237" s="57" cm="1">
        <f t="array" ref="L237">IF(_xlfn.XLOOKUP(CONT_TEA[[#This Row],[DepartmentCode]],DEPTS[DepartmentCode],DEPTS[AvailableToAllSchools],1,0,)=TRUE,0,IF(ISERROR(FIND(CONT_TEA[[#This Row],[SchoolCode]],_xlfn.TEXTJOIN(",",TRUE,_xlfn.UNIQUE(IF(DEPTS[DepartmentCode]=CONT_TEA[[#This Row],[DepartmentCode]],DEPTS[SchoolCodes],""))))),1,0))</f>
        <v>0</v>
      </c>
      <c r="M237" s="57">
        <f>IFERROR(IF(_xlfn.XLOOKUP(CONT_TEA[[#This Row],[SRG Gross]],FinanceCodesBudget[FinanceCode],FinanceCodesBudget[LedgerCode])=_xlfn.XLOOKUP(CONT_TEA[[#This Row],[DepartmentCode]],DEPTS[DepartmentCode],DEPTS[LedgerCode]),0,1),1)</f>
        <v>1</v>
      </c>
      <c r="N237" s="57" cm="1">
        <f t="array" ref="N237">IF(_xlfn.XLOOKUP(CONT_TEA[[#This Row],[PensionCode]],PENS[PensionCode],PENS[AvailableToAllSchools],1,0,)=TRUE,0,IF(ISERROR(FIND(CONT_TEA[[#This Row],[SchoolCode]],_xlfn.TEXTJOIN(",",TRUE,_xlfn.UNIQUE(IF(PENS[PensionCode]=CONT_TEA[[#This Row],[PensionCode]],PENS[SchoolCodes],""))))),1,0))</f>
        <v>0</v>
      </c>
      <c r="O237" s="57" cm="1">
        <f t="array" ref="O237">IF(_xlfn.XLOOKUP(CONT_TEA[[#This Row],[EquatedWeekPatternCode]],EQW[EquatedWeekPatternCode],EQW[AvailableToAllSchools],1,0,)=TRUE,0,IF(ISERROR(FIND(CONT_TEA[[#This Row],[SchoolCode]],_xlfn.TEXTJOIN(",",TRUE,_xlfn.UNIQUE(IF(EQW[EquatedWeekPatternCode]=CONT_TEA[[#This Row],[EquatedWeekPatternCode]],EQW[SchoolCodes],""))))),1,0))</f>
        <v>0</v>
      </c>
      <c r="P237" s="57">
        <f>1-COUNTIF(ContractTypes[Code],CONT_TEA[[#This Row],[ContractTypeCode]])</f>
        <v>0</v>
      </c>
      <c r="Q237" s="57">
        <f>IF(VLOOKUP(CONT_TEA[[#This Row],[StaffMemberCode]],MEMBERS[[StaffMemberCode]:[ServiceStartDate]],5,0)&gt;CONT_TEA[[#This Row],[DateFrom]],1,0)</f>
        <v>0</v>
      </c>
      <c r="R237" s="57">
        <f>IF(_xlfn.XLOOKUP(CONT_TEA[[#This Row],[StaffMemberCode]],MEMBERS[StaffMemberCode],MEMBERS[ServiceEndDate])="",0,IF(CONT_TEA[[#This Row],[DateTo]]="",1,IF(_xlfn.XLOOKUP(CONT_TEA[[#This Row],[StaffMemberCode]],MEMBERS[StaffMemberCode],MEMBERS[ServiceEndDate])&lt;CONT_TEA[[#This Row],[DateTo]],1,0)))</f>
        <v>0</v>
      </c>
      <c r="S237" s="57">
        <f>IF(ISBLANK(CONT_TEA[[#This Row],[DateTo]]),0,IF(CONT_TEA[[#This Row],[DateFrom]]=CONT_TEA[[#This Row],[DateTo]],0,IF(CONT_TEA[[#This Row],[DateFrom]]&lt;CONT_TEA[[#This Row],[DateTo]],0,1)))</f>
        <v>0</v>
      </c>
      <c r="T237" s="57" cm="1">
        <f t="array" aca="1" ref="T237" ca="1">IF(CELL("format",CONT_TEA[[#This Row],[DateFrom]])="D1",0,1)+IF(CELL("format",CONT_TEA[[#This Row],[DateTo]])="D1",0,1)</f>
        <v>0</v>
      </c>
      <c r="U237" s="57">
        <f>IF(OR(CONT_TEA[[#This Row],[MatEditOnly]]=TRUE,CONT_TEA[[#This Row],[MatEditOnly]]=FALSE),IF(OR(CONT_TEA[[#This Row],[NoIncrement]]=TRUE,CONT_TEA[[#This Row],[NoIncrement]]=FALSE),0,1),1)</f>
        <v>0</v>
      </c>
      <c r="V237" s="57">
        <f>IF(ISBLANK(CONT_TEA[[#This Row],[FundCode]])=TRUE,0,IF(COUNTIF(FUNDS[FundCode],CONT_TEA[[#This Row],[FundCode]])=1,0,1))</f>
        <v>0</v>
      </c>
      <c r="W237" s="57">
        <f>IF(LEN(CONT_TEA[[#This Row],[Notes]])&lt;4000,0,1)</f>
        <v>0</v>
      </c>
      <c r="X237" s="57">
        <f>IF(SUBSTITUTE(TEXT(CONT_TEA[[#This Row],[Reference]],10)," ","")=TEXT(CONT_TEA[[#This Row],[Reference]],10),0,1)</f>
        <v>0</v>
      </c>
      <c r="Y237" s="57">
        <f ca="1">SUM(CONT_TEA[[#This Row],[Duplicate Contract]:[Space in Code]])</f>
        <v>1</v>
      </c>
      <c r="AA237" s="12" t="s">
        <v>2299</v>
      </c>
      <c r="AB237" s="15">
        <v>91850036</v>
      </c>
      <c r="AC237" s="12" t="s">
        <v>4585</v>
      </c>
      <c r="AD237" s="57" t="str">
        <f>_xlfn.XLOOKUP(CONT_TEA[[#This Row],[StaffMemberCode]],StaffMembers!O:O,StaffMembers!R:R)</f>
        <v>Samantha Whittingham</v>
      </c>
      <c r="AE237" s="12" t="s">
        <v>1178</v>
      </c>
      <c r="AF237" s="57">
        <f>_xlfn.XLOOKUP(CONT_TEA[[#This Row],[SRG]],SRG[StaffRoleGroupCode],SRG[GrossSalaryFinanceCode])</f>
        <v>612100</v>
      </c>
      <c r="AG237" s="57" t="str">
        <f>_xlfn.XLOOKUP(CONT_TEA[[#This Row],[StaffRoleCode]],ROLES[StaffRoleCode],ROLES[StaffRoleGroupCode])</f>
        <v>TEA</v>
      </c>
      <c r="AH237" s="57" t="str">
        <f>_xlfn.XLOOKUP(CONT_TEA[[#This Row],[StaffRoleCode]],ROLES[StaffRoleCode],ROLES[PayScaleCode])</f>
        <v>MAIN</v>
      </c>
      <c r="AI237" s="12" t="s">
        <v>1126</v>
      </c>
      <c r="AJ237" s="12" t="s">
        <v>1064</v>
      </c>
      <c r="AK237" s="12" t="s">
        <v>2499</v>
      </c>
      <c r="AM237" s="68" t="s">
        <v>1147</v>
      </c>
      <c r="AN237" s="13" t="s">
        <v>1702</v>
      </c>
      <c r="AO237" s="21">
        <v>45901</v>
      </c>
      <c r="AQ237" s="12">
        <v>1</v>
      </c>
      <c r="AR237" t="b">
        <v>0</v>
      </c>
      <c r="AS237" t="b">
        <v>0</v>
      </c>
      <c r="AT237" s="12" t="s">
        <v>65</v>
      </c>
    </row>
    <row r="238" spans="1:46" x14ac:dyDescent="0.3">
      <c r="A238" s="57" t="str">
        <f t="shared" si="4"/>
        <v>SBL9107578091075780BTEASTCH45901</v>
      </c>
      <c r="B238" s="57">
        <f>COUNTIF(CONT_TEA[Unique Contract],CONT_TEA[[#This Row],[Unique Contract]])-1</f>
        <v>0</v>
      </c>
      <c r="C238" s="57">
        <f>IFERROR(IF(FIND(CONT_TEA[[#This Row],[SchoolCode]],_xlfn.XLOOKUP(CONT_TEA[[#This Row],[StaffMemberCode]],MEMBERS[StaffMemberCode],MEMBERS[SchoolCodes]))&gt;0,0,1),1)</f>
        <v>0</v>
      </c>
      <c r="D238" s="57" cm="1">
        <f t="array" ref="D238">IF(_xlfn.XLOOKUP(CONT_TEA[[#This Row],[StaffRoleCode]],ROLES[StaffRoleCode],ROLES[AvailableToAllSchools],1,0,)=TRUE,0,IF(ISERROR(FIND(CONT_TEA[[#This Row],[SchoolCode]],_xlfn.TEXTJOIN(",",TRUE,_xlfn.UNIQUE(IF(ROLES[StaffRoleCode]=CONT_TEA[[#This Row],[StaffRoleCode]],ROLES[SchoolCodes],""))))),1,0))</f>
        <v>0</v>
      </c>
      <c r="E238" s="57" cm="1">
        <f t="array" ref="E23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38" s="57" cm="1">
        <f t="array" ref="F238">IF(_xlfn.XLOOKUP(CONT_TEA[[#This Row],[PayScaleCode]],PAYSCALES[PayScaleCode],PAYSCALES[AvailableToAllSchools],1,0,)=TRUE,0,IF(ISERROR(FIND(CONT_TEA[[#This Row],[SchoolCode]],_xlfn.TEXTJOIN(",",TRUE,_xlfn.UNIQUE(IF(PAYSCALES[PayScaleCode]=CONT_TEA[[#This Row],[PayScaleCode]],PAYSCALES[SchoolCodes],""))))),1,0))</f>
        <v>0</v>
      </c>
      <c r="G238" s="57">
        <f>IF(_xlfn.XLOOKUP(CONT_TEA[[#This Row],[PayScaleGradeCode]],GRADES[PayScaleGradeCode],GRADES[AvailableToAllSchools])=TRUE,0,IFERROR(IF(FIND(CONT_TEA[[#This Row],[SchoolCode]],_xlfn.XLOOKUP(CONT_TEA[[#This Row],[PayScaleGradeCode]],GRADES[PayScaleGradeCode],GRADES[SchoolCodes]))&gt;=1,0,1),1))</f>
        <v>0</v>
      </c>
      <c r="H238" s="57">
        <f>IF(ISERROR(IF((_xlfn.XLOOKUP(CONT_TEA[[#This Row],[PayScaleGradeCode]],GRADES[PayScaleGradeCode],GRADES[PayScaleCode])=CONT_TEA[[#This Row],[PayScaleCode]]),0,1)),1,0)</f>
        <v>0</v>
      </c>
      <c r="I238" s="57" cm="1">
        <f t="array" ref="I238">IF(ISERROR(FIND(CONT_TEA[[#This Row],[PayScalePointCode]],_xlfn.TEXTJOIN(",",TRUE,IF(PSPOINTS[PayScaleCode]=CONT_TEA[[#This Row],[PayScaleCode]],PSPOINTS[PayScalePointCode])))),1,0)</f>
        <v>0</v>
      </c>
      <c r="J238" s="57" cm="1">
        <f t="array" ref="J23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38" s="57">
        <f>IF(_xlfn.XLOOKUP(CONT_TEA[[#This Row],[PayScalePointCode]],PSPOINTS[PayScalePointCode],PSPOINTS[PayScalePointEnabled])=TRUE,0,1)</f>
        <v>0</v>
      </c>
      <c r="L238" s="57" cm="1">
        <f t="array" ref="L238">IF(_xlfn.XLOOKUP(CONT_TEA[[#This Row],[DepartmentCode]],DEPTS[DepartmentCode],DEPTS[AvailableToAllSchools],1,0,)=TRUE,0,IF(ISERROR(FIND(CONT_TEA[[#This Row],[SchoolCode]],_xlfn.TEXTJOIN(",",TRUE,_xlfn.UNIQUE(IF(DEPTS[DepartmentCode]=CONT_TEA[[#This Row],[DepartmentCode]],DEPTS[SchoolCodes],""))))),1,0))</f>
        <v>0</v>
      </c>
      <c r="M238" s="57">
        <f>IFERROR(IF(_xlfn.XLOOKUP(CONT_TEA[[#This Row],[SRG Gross]],FinanceCodesBudget[FinanceCode],FinanceCodesBudget[LedgerCode])=_xlfn.XLOOKUP(CONT_TEA[[#This Row],[DepartmentCode]],DEPTS[DepartmentCode],DEPTS[LedgerCode]),0,1),1)</f>
        <v>1</v>
      </c>
      <c r="N238" s="57" cm="1">
        <f t="array" ref="N238">IF(_xlfn.XLOOKUP(CONT_TEA[[#This Row],[PensionCode]],PENS[PensionCode],PENS[AvailableToAllSchools],1,0,)=TRUE,0,IF(ISERROR(FIND(CONT_TEA[[#This Row],[SchoolCode]],_xlfn.TEXTJOIN(",",TRUE,_xlfn.UNIQUE(IF(PENS[PensionCode]=CONT_TEA[[#This Row],[PensionCode]],PENS[SchoolCodes],""))))),1,0))</f>
        <v>0</v>
      </c>
      <c r="O238" s="57" cm="1">
        <f t="array" ref="O238">IF(_xlfn.XLOOKUP(CONT_TEA[[#This Row],[EquatedWeekPatternCode]],EQW[EquatedWeekPatternCode],EQW[AvailableToAllSchools],1,0,)=TRUE,0,IF(ISERROR(FIND(CONT_TEA[[#This Row],[SchoolCode]],_xlfn.TEXTJOIN(",",TRUE,_xlfn.UNIQUE(IF(EQW[EquatedWeekPatternCode]=CONT_TEA[[#This Row],[EquatedWeekPatternCode]],EQW[SchoolCodes],""))))),1,0))</f>
        <v>0</v>
      </c>
      <c r="P238" s="57">
        <f>1-COUNTIF(ContractTypes[Code],CONT_TEA[[#This Row],[ContractTypeCode]])</f>
        <v>0</v>
      </c>
      <c r="Q238" s="57">
        <f>IF(VLOOKUP(CONT_TEA[[#This Row],[StaffMemberCode]],MEMBERS[[StaffMemberCode]:[ServiceStartDate]],5,0)&gt;CONT_TEA[[#This Row],[DateFrom]],1,0)</f>
        <v>0</v>
      </c>
      <c r="R238" s="57">
        <f>IF(_xlfn.XLOOKUP(CONT_TEA[[#This Row],[StaffMemberCode]],MEMBERS[StaffMemberCode],MEMBERS[ServiceEndDate])="",0,IF(CONT_TEA[[#This Row],[DateTo]]="",1,IF(_xlfn.XLOOKUP(CONT_TEA[[#This Row],[StaffMemberCode]],MEMBERS[StaffMemberCode],MEMBERS[ServiceEndDate])&lt;CONT_TEA[[#This Row],[DateTo]],1,0)))</f>
        <v>0</v>
      </c>
      <c r="S238" s="57">
        <f>IF(ISBLANK(CONT_TEA[[#This Row],[DateTo]]),0,IF(CONT_TEA[[#This Row],[DateFrom]]=CONT_TEA[[#This Row],[DateTo]],0,IF(CONT_TEA[[#This Row],[DateFrom]]&lt;CONT_TEA[[#This Row],[DateTo]],0,1)))</f>
        <v>0</v>
      </c>
      <c r="T238" s="57" cm="1">
        <f t="array" aca="1" ref="T238" ca="1">IF(CELL("format",CONT_TEA[[#This Row],[DateFrom]])="D1",0,1)+IF(CELL("format",CONT_TEA[[#This Row],[DateTo]])="D1",0,1)</f>
        <v>0</v>
      </c>
      <c r="U238" s="57">
        <f>IF(OR(CONT_TEA[[#This Row],[MatEditOnly]]=TRUE,CONT_TEA[[#This Row],[MatEditOnly]]=FALSE),IF(OR(CONT_TEA[[#This Row],[NoIncrement]]=TRUE,CONT_TEA[[#This Row],[NoIncrement]]=FALSE),0,1),1)</f>
        <v>0</v>
      </c>
      <c r="V238" s="57">
        <f>IF(ISBLANK(CONT_TEA[[#This Row],[FundCode]])=TRUE,0,IF(COUNTIF(FUNDS[FundCode],CONT_TEA[[#This Row],[FundCode]])=1,0,1))</f>
        <v>0</v>
      </c>
      <c r="W238" s="57">
        <f>IF(LEN(CONT_TEA[[#This Row],[Notes]])&lt;4000,0,1)</f>
        <v>0</v>
      </c>
      <c r="X238" s="57">
        <f>IF(SUBSTITUTE(TEXT(CONT_TEA[[#This Row],[Reference]],10)," ","")=TEXT(CONT_TEA[[#This Row],[Reference]],10),0,1)</f>
        <v>0</v>
      </c>
      <c r="Y238" s="57">
        <f ca="1">SUM(CONT_TEA[[#This Row],[Duplicate Contract]:[Space in Code]])</f>
        <v>1</v>
      </c>
      <c r="AA238" s="12" t="s">
        <v>2200</v>
      </c>
      <c r="AB238" s="15">
        <v>91075780</v>
      </c>
      <c r="AC238" s="12" t="s">
        <v>4586</v>
      </c>
      <c r="AD238" s="57" t="str">
        <f>_xlfn.XLOOKUP(CONT_TEA[[#This Row],[StaffMemberCode]],StaffMembers!O:O,StaffMembers!R:R)</f>
        <v>Sian Moloney</v>
      </c>
      <c r="AE238" s="12" t="s">
        <v>1178</v>
      </c>
      <c r="AF238" s="57">
        <f>_xlfn.XLOOKUP(CONT_TEA[[#This Row],[SRG]],SRG[StaffRoleGroupCode],SRG[GrossSalaryFinanceCode])</f>
        <v>612100</v>
      </c>
      <c r="AG238" s="57" t="str">
        <f>_xlfn.XLOOKUP(CONT_TEA[[#This Row],[StaffRoleCode]],ROLES[StaffRoleCode],ROLES[StaffRoleGroupCode])</f>
        <v>TEA</v>
      </c>
      <c r="AH238" s="57" t="str">
        <f>_xlfn.XLOOKUP(CONT_TEA[[#This Row],[StaffRoleCode]],ROLES[StaffRoleCode],ROLES[PayScaleCode])</f>
        <v>MAIN</v>
      </c>
      <c r="AI238" s="12" t="s">
        <v>1126</v>
      </c>
      <c r="AJ238" s="12" t="s">
        <v>1546</v>
      </c>
      <c r="AK238" s="12" t="s">
        <v>2499</v>
      </c>
      <c r="AM238" s="68" t="s">
        <v>1147</v>
      </c>
      <c r="AN238" s="13" t="s">
        <v>1702</v>
      </c>
      <c r="AO238" s="21">
        <v>45901</v>
      </c>
      <c r="AQ238" s="12">
        <v>0.61</v>
      </c>
      <c r="AR238" t="b">
        <v>0</v>
      </c>
      <c r="AS238" t="b">
        <v>0</v>
      </c>
      <c r="AT238" s="12" t="s">
        <v>1574</v>
      </c>
    </row>
    <row r="239" spans="1:46" x14ac:dyDescent="0.3">
      <c r="A239" s="57" t="str">
        <f t="shared" si="4"/>
        <v>AUD9107366291073662ATEASTCH45901</v>
      </c>
      <c r="B239" s="57">
        <f>COUNTIF(CONT_TEA[Unique Contract],CONT_TEA[[#This Row],[Unique Contract]])-1</f>
        <v>0</v>
      </c>
      <c r="C239" s="57">
        <f>IFERROR(IF(FIND(CONT_TEA[[#This Row],[SchoolCode]],_xlfn.XLOOKUP(CONT_TEA[[#This Row],[StaffMemberCode]],MEMBERS[StaffMemberCode],MEMBERS[SchoolCodes]))&gt;0,0,1),1)</f>
        <v>0</v>
      </c>
      <c r="D239" s="57" cm="1">
        <f t="array" ref="D239">IF(_xlfn.XLOOKUP(CONT_TEA[[#This Row],[StaffRoleCode]],ROLES[StaffRoleCode],ROLES[AvailableToAllSchools],1,0,)=TRUE,0,IF(ISERROR(FIND(CONT_TEA[[#This Row],[SchoolCode]],_xlfn.TEXTJOIN(",",TRUE,_xlfn.UNIQUE(IF(ROLES[StaffRoleCode]=CONT_TEA[[#This Row],[StaffRoleCode]],ROLES[SchoolCodes],""))))),1,0))</f>
        <v>0</v>
      </c>
      <c r="E239" s="57" cm="1">
        <f t="array" ref="E23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39" s="57" cm="1">
        <f t="array" ref="F239">IF(_xlfn.XLOOKUP(CONT_TEA[[#This Row],[PayScaleCode]],PAYSCALES[PayScaleCode],PAYSCALES[AvailableToAllSchools],1,0,)=TRUE,0,IF(ISERROR(FIND(CONT_TEA[[#This Row],[SchoolCode]],_xlfn.TEXTJOIN(",",TRUE,_xlfn.UNIQUE(IF(PAYSCALES[PayScaleCode]=CONT_TEA[[#This Row],[PayScaleCode]],PAYSCALES[SchoolCodes],""))))),1,0))</f>
        <v>0</v>
      </c>
      <c r="G239" s="57">
        <f>IF(_xlfn.XLOOKUP(CONT_TEA[[#This Row],[PayScaleGradeCode]],GRADES[PayScaleGradeCode],GRADES[AvailableToAllSchools])=TRUE,0,IFERROR(IF(FIND(CONT_TEA[[#This Row],[SchoolCode]],_xlfn.XLOOKUP(CONT_TEA[[#This Row],[PayScaleGradeCode]],GRADES[PayScaleGradeCode],GRADES[SchoolCodes]))&gt;=1,0,1),1))</f>
        <v>0</v>
      </c>
      <c r="H239" s="57">
        <f>IF(ISERROR(IF((_xlfn.XLOOKUP(CONT_TEA[[#This Row],[PayScaleGradeCode]],GRADES[PayScaleGradeCode],GRADES[PayScaleCode])=CONT_TEA[[#This Row],[PayScaleCode]]),0,1)),1,0)</f>
        <v>0</v>
      </c>
      <c r="I239" s="57" cm="1">
        <f t="array" ref="I239">IF(ISERROR(FIND(CONT_TEA[[#This Row],[PayScalePointCode]],_xlfn.TEXTJOIN(",",TRUE,IF(PSPOINTS[PayScaleCode]=CONT_TEA[[#This Row],[PayScaleCode]],PSPOINTS[PayScalePointCode])))),1,0)</f>
        <v>0</v>
      </c>
      <c r="J239" s="57" cm="1">
        <f t="array" ref="J23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39" s="57">
        <f>IF(_xlfn.XLOOKUP(CONT_TEA[[#This Row],[PayScalePointCode]],PSPOINTS[PayScalePointCode],PSPOINTS[PayScalePointEnabled])=TRUE,0,1)</f>
        <v>0</v>
      </c>
      <c r="L239" s="57" cm="1">
        <f t="array" ref="L239">IF(_xlfn.XLOOKUP(CONT_TEA[[#This Row],[DepartmentCode]],DEPTS[DepartmentCode],DEPTS[AvailableToAllSchools],1,0,)=TRUE,0,IF(ISERROR(FIND(CONT_TEA[[#This Row],[SchoolCode]],_xlfn.TEXTJOIN(",",TRUE,_xlfn.UNIQUE(IF(DEPTS[DepartmentCode]=CONT_TEA[[#This Row],[DepartmentCode]],DEPTS[SchoolCodes],""))))),1,0))</f>
        <v>0</v>
      </c>
      <c r="M239" s="57">
        <f>IFERROR(IF(_xlfn.XLOOKUP(CONT_TEA[[#This Row],[SRG Gross]],FinanceCodesBudget[FinanceCode],FinanceCodesBudget[LedgerCode])=_xlfn.XLOOKUP(CONT_TEA[[#This Row],[DepartmentCode]],DEPTS[DepartmentCode],DEPTS[LedgerCode]),0,1),1)</f>
        <v>1</v>
      </c>
      <c r="N239" s="57" cm="1">
        <f t="array" ref="N239">IF(_xlfn.XLOOKUP(CONT_TEA[[#This Row],[PensionCode]],PENS[PensionCode],PENS[AvailableToAllSchools],1,0,)=TRUE,0,IF(ISERROR(FIND(CONT_TEA[[#This Row],[SchoolCode]],_xlfn.TEXTJOIN(",",TRUE,_xlfn.UNIQUE(IF(PENS[PensionCode]=CONT_TEA[[#This Row],[PensionCode]],PENS[SchoolCodes],""))))),1,0))</f>
        <v>0</v>
      </c>
      <c r="O239" s="57" cm="1">
        <f t="array" ref="O239">IF(_xlfn.XLOOKUP(CONT_TEA[[#This Row],[EquatedWeekPatternCode]],EQW[EquatedWeekPatternCode],EQW[AvailableToAllSchools],1,0,)=TRUE,0,IF(ISERROR(FIND(CONT_TEA[[#This Row],[SchoolCode]],_xlfn.TEXTJOIN(",",TRUE,_xlfn.UNIQUE(IF(EQW[EquatedWeekPatternCode]=CONT_TEA[[#This Row],[EquatedWeekPatternCode]],EQW[SchoolCodes],""))))),1,0))</f>
        <v>0</v>
      </c>
      <c r="P239" s="57">
        <f>1-COUNTIF(ContractTypes[Code],CONT_TEA[[#This Row],[ContractTypeCode]])</f>
        <v>0</v>
      </c>
      <c r="Q239" s="57">
        <f>IF(VLOOKUP(CONT_TEA[[#This Row],[StaffMemberCode]],MEMBERS[[StaffMemberCode]:[ServiceStartDate]],5,0)&gt;CONT_TEA[[#This Row],[DateFrom]],1,0)</f>
        <v>0</v>
      </c>
      <c r="R239" s="57">
        <f>IF(_xlfn.XLOOKUP(CONT_TEA[[#This Row],[StaffMemberCode]],MEMBERS[StaffMemberCode],MEMBERS[ServiceEndDate])="",0,IF(CONT_TEA[[#This Row],[DateTo]]="",1,IF(_xlfn.XLOOKUP(CONT_TEA[[#This Row],[StaffMemberCode]],MEMBERS[StaffMemberCode],MEMBERS[ServiceEndDate])&lt;CONT_TEA[[#This Row],[DateTo]],1,0)))</f>
        <v>0</v>
      </c>
      <c r="S239" s="57">
        <f>IF(ISBLANK(CONT_TEA[[#This Row],[DateTo]]),0,IF(CONT_TEA[[#This Row],[DateFrom]]=CONT_TEA[[#This Row],[DateTo]],0,IF(CONT_TEA[[#This Row],[DateFrom]]&lt;CONT_TEA[[#This Row],[DateTo]],0,1)))</f>
        <v>0</v>
      </c>
      <c r="T239" s="57" cm="1">
        <f t="array" aca="1" ref="T239" ca="1">IF(CELL("format",CONT_TEA[[#This Row],[DateFrom]])="D1",0,1)+IF(CELL("format",CONT_TEA[[#This Row],[DateTo]])="D1",0,1)</f>
        <v>0</v>
      </c>
      <c r="U239" s="57">
        <f>IF(OR(CONT_TEA[[#This Row],[MatEditOnly]]=TRUE,CONT_TEA[[#This Row],[MatEditOnly]]=FALSE),IF(OR(CONT_TEA[[#This Row],[NoIncrement]]=TRUE,CONT_TEA[[#This Row],[NoIncrement]]=FALSE),0,1),1)</f>
        <v>0</v>
      </c>
      <c r="V239" s="57">
        <f>IF(ISBLANK(CONT_TEA[[#This Row],[FundCode]])=TRUE,0,IF(COUNTIF(FUNDS[FundCode],CONT_TEA[[#This Row],[FundCode]])=1,0,1))</f>
        <v>0</v>
      </c>
      <c r="W239" s="57">
        <f>IF(LEN(CONT_TEA[[#This Row],[Notes]])&lt;4000,0,1)</f>
        <v>0</v>
      </c>
      <c r="X239" s="57">
        <f>IF(SUBSTITUTE(TEXT(CONT_TEA[[#This Row],[Reference]],10)," ","")=TEXT(CONT_TEA[[#This Row],[Reference]],10),0,1)</f>
        <v>0</v>
      </c>
      <c r="Y239" s="57">
        <f ca="1">SUM(CONT_TEA[[#This Row],[Duplicate Contract]:[Space in Code]])</f>
        <v>1</v>
      </c>
      <c r="AA239" s="12" t="s">
        <v>2089</v>
      </c>
      <c r="AB239" s="15">
        <v>91073662</v>
      </c>
      <c r="AC239" s="12" t="s">
        <v>4587</v>
      </c>
      <c r="AD239" s="57" t="str">
        <f>_xlfn.XLOOKUP(CONT_TEA[[#This Row],[StaffMemberCode]],StaffMembers!O:O,StaffMembers!R:R)</f>
        <v>Stephanie Procter</v>
      </c>
      <c r="AE239" s="12" t="s">
        <v>1178</v>
      </c>
      <c r="AF239" s="57">
        <f>_xlfn.XLOOKUP(CONT_TEA[[#This Row],[SRG]],SRG[StaffRoleGroupCode],SRG[GrossSalaryFinanceCode])</f>
        <v>612100</v>
      </c>
      <c r="AG239" s="57" t="str">
        <f>_xlfn.XLOOKUP(CONT_TEA[[#This Row],[StaffRoleCode]],ROLES[StaffRoleCode],ROLES[StaffRoleGroupCode])</f>
        <v>TEA</v>
      </c>
      <c r="AH239" s="57" t="str">
        <f>_xlfn.XLOOKUP(CONT_TEA[[#This Row],[StaffRoleCode]],ROLES[StaffRoleCode],ROLES[PayScaleCode])</f>
        <v>MAIN</v>
      </c>
      <c r="AI239" s="12" t="s">
        <v>1126</v>
      </c>
      <c r="AJ239" s="12" t="s">
        <v>3073</v>
      </c>
      <c r="AK239" s="12" t="s">
        <v>2499</v>
      </c>
      <c r="AM239" s="68" t="s">
        <v>1147</v>
      </c>
      <c r="AN239" s="13" t="s">
        <v>1702</v>
      </c>
      <c r="AO239" s="21">
        <v>45901</v>
      </c>
      <c r="AQ239" s="12">
        <v>1</v>
      </c>
      <c r="AR239" t="b">
        <v>0</v>
      </c>
      <c r="AS239" t="b">
        <v>0</v>
      </c>
      <c r="AT239" s="12" t="s">
        <v>1574</v>
      </c>
    </row>
    <row r="240" spans="1:46" x14ac:dyDescent="0.3">
      <c r="A240" s="57" t="str">
        <f t="shared" si="4"/>
        <v>ALS9107386391073863ATEASTCH45901</v>
      </c>
      <c r="B240" s="57">
        <f>COUNTIF(CONT_TEA[Unique Contract],CONT_TEA[[#This Row],[Unique Contract]])-1</f>
        <v>0</v>
      </c>
      <c r="C240" s="57">
        <f>IFERROR(IF(FIND(CONT_TEA[[#This Row],[SchoolCode]],_xlfn.XLOOKUP(CONT_TEA[[#This Row],[StaffMemberCode]],MEMBERS[StaffMemberCode],MEMBERS[SchoolCodes]))&gt;0,0,1),1)</f>
        <v>0</v>
      </c>
      <c r="D240" s="57" cm="1">
        <f t="array" ref="D240">IF(_xlfn.XLOOKUP(CONT_TEA[[#This Row],[StaffRoleCode]],ROLES[StaffRoleCode],ROLES[AvailableToAllSchools],1,0,)=TRUE,0,IF(ISERROR(FIND(CONT_TEA[[#This Row],[SchoolCode]],_xlfn.TEXTJOIN(",",TRUE,_xlfn.UNIQUE(IF(ROLES[StaffRoleCode]=CONT_TEA[[#This Row],[StaffRoleCode]],ROLES[SchoolCodes],""))))),1,0))</f>
        <v>0</v>
      </c>
      <c r="E240" s="57" cm="1">
        <f t="array" ref="E24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40" s="57" cm="1">
        <f t="array" ref="F240">IF(_xlfn.XLOOKUP(CONT_TEA[[#This Row],[PayScaleCode]],PAYSCALES[PayScaleCode],PAYSCALES[AvailableToAllSchools],1,0,)=TRUE,0,IF(ISERROR(FIND(CONT_TEA[[#This Row],[SchoolCode]],_xlfn.TEXTJOIN(",",TRUE,_xlfn.UNIQUE(IF(PAYSCALES[PayScaleCode]=CONT_TEA[[#This Row],[PayScaleCode]],PAYSCALES[SchoolCodes],""))))),1,0))</f>
        <v>0</v>
      </c>
      <c r="G240" s="57">
        <f>IF(_xlfn.XLOOKUP(CONT_TEA[[#This Row],[PayScaleGradeCode]],GRADES[PayScaleGradeCode],GRADES[AvailableToAllSchools])=TRUE,0,IFERROR(IF(FIND(CONT_TEA[[#This Row],[SchoolCode]],_xlfn.XLOOKUP(CONT_TEA[[#This Row],[PayScaleGradeCode]],GRADES[PayScaleGradeCode],GRADES[SchoolCodes]))&gt;=1,0,1),1))</f>
        <v>0</v>
      </c>
      <c r="H240" s="57">
        <f>IF(ISERROR(IF((_xlfn.XLOOKUP(CONT_TEA[[#This Row],[PayScaleGradeCode]],GRADES[PayScaleGradeCode],GRADES[PayScaleCode])=CONT_TEA[[#This Row],[PayScaleCode]]),0,1)),1,0)</f>
        <v>0</v>
      </c>
      <c r="I240" s="57" cm="1">
        <f t="array" ref="I240">IF(ISERROR(FIND(CONT_TEA[[#This Row],[PayScalePointCode]],_xlfn.TEXTJOIN(",",TRUE,IF(PSPOINTS[PayScaleCode]=CONT_TEA[[#This Row],[PayScaleCode]],PSPOINTS[PayScalePointCode])))),1,0)</f>
        <v>0</v>
      </c>
      <c r="J240" s="57" cm="1">
        <f t="array" ref="J24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40" s="57">
        <f>IF(_xlfn.XLOOKUP(CONT_TEA[[#This Row],[PayScalePointCode]],PSPOINTS[PayScalePointCode],PSPOINTS[PayScalePointEnabled])=TRUE,0,1)</f>
        <v>0</v>
      </c>
      <c r="L240" s="57" cm="1">
        <f t="array" ref="L240">IF(_xlfn.XLOOKUP(CONT_TEA[[#This Row],[DepartmentCode]],DEPTS[DepartmentCode],DEPTS[AvailableToAllSchools],1,0,)=TRUE,0,IF(ISERROR(FIND(CONT_TEA[[#This Row],[SchoolCode]],_xlfn.TEXTJOIN(",",TRUE,_xlfn.UNIQUE(IF(DEPTS[DepartmentCode]=CONT_TEA[[#This Row],[DepartmentCode]],DEPTS[SchoolCodes],""))))),1,0))</f>
        <v>0</v>
      </c>
      <c r="M240" s="57">
        <f>IFERROR(IF(_xlfn.XLOOKUP(CONT_TEA[[#This Row],[SRG Gross]],FinanceCodesBudget[FinanceCode],FinanceCodesBudget[LedgerCode])=_xlfn.XLOOKUP(CONT_TEA[[#This Row],[DepartmentCode]],DEPTS[DepartmentCode],DEPTS[LedgerCode]),0,1),1)</f>
        <v>1</v>
      </c>
      <c r="N240" s="57" cm="1">
        <f t="array" ref="N240">IF(_xlfn.XLOOKUP(CONT_TEA[[#This Row],[PensionCode]],PENS[PensionCode],PENS[AvailableToAllSchools],1,0,)=TRUE,0,IF(ISERROR(FIND(CONT_TEA[[#This Row],[SchoolCode]],_xlfn.TEXTJOIN(",",TRUE,_xlfn.UNIQUE(IF(PENS[PensionCode]=CONT_TEA[[#This Row],[PensionCode]],PENS[SchoolCodes],""))))),1,0))</f>
        <v>0</v>
      </c>
      <c r="O240" s="57" cm="1">
        <f t="array" ref="O240">IF(_xlfn.XLOOKUP(CONT_TEA[[#This Row],[EquatedWeekPatternCode]],EQW[EquatedWeekPatternCode],EQW[AvailableToAllSchools],1,0,)=TRUE,0,IF(ISERROR(FIND(CONT_TEA[[#This Row],[SchoolCode]],_xlfn.TEXTJOIN(",",TRUE,_xlfn.UNIQUE(IF(EQW[EquatedWeekPatternCode]=CONT_TEA[[#This Row],[EquatedWeekPatternCode]],EQW[SchoolCodes],""))))),1,0))</f>
        <v>0</v>
      </c>
      <c r="P240" s="57">
        <f>1-COUNTIF(ContractTypes[Code],CONT_TEA[[#This Row],[ContractTypeCode]])</f>
        <v>0</v>
      </c>
      <c r="Q240" s="57">
        <f>IF(VLOOKUP(CONT_TEA[[#This Row],[StaffMemberCode]],MEMBERS[[StaffMemberCode]:[ServiceStartDate]],5,0)&gt;CONT_TEA[[#This Row],[DateFrom]],1,0)</f>
        <v>0</v>
      </c>
      <c r="R240" s="57">
        <f>IF(_xlfn.XLOOKUP(CONT_TEA[[#This Row],[StaffMemberCode]],MEMBERS[StaffMemberCode],MEMBERS[ServiceEndDate])="",0,IF(CONT_TEA[[#This Row],[DateTo]]="",1,IF(_xlfn.XLOOKUP(CONT_TEA[[#This Row],[StaffMemberCode]],MEMBERS[StaffMemberCode],MEMBERS[ServiceEndDate])&lt;CONT_TEA[[#This Row],[DateTo]],1,0)))</f>
        <v>0</v>
      </c>
      <c r="S240" s="57">
        <f>IF(ISBLANK(CONT_TEA[[#This Row],[DateTo]]),0,IF(CONT_TEA[[#This Row],[DateFrom]]=CONT_TEA[[#This Row],[DateTo]],0,IF(CONT_TEA[[#This Row],[DateFrom]]&lt;CONT_TEA[[#This Row],[DateTo]],0,1)))</f>
        <v>0</v>
      </c>
      <c r="T240" s="57" cm="1">
        <f t="array" aca="1" ref="T240" ca="1">IF(CELL("format",CONT_TEA[[#This Row],[DateFrom]])="D1",0,1)+IF(CELL("format",CONT_TEA[[#This Row],[DateTo]])="D1",0,1)</f>
        <v>0</v>
      </c>
      <c r="U240" s="57">
        <f>IF(OR(CONT_TEA[[#This Row],[MatEditOnly]]=TRUE,CONT_TEA[[#This Row],[MatEditOnly]]=FALSE),IF(OR(CONT_TEA[[#This Row],[NoIncrement]]=TRUE,CONT_TEA[[#This Row],[NoIncrement]]=FALSE),0,1),1)</f>
        <v>0</v>
      </c>
      <c r="V240" s="57">
        <f>IF(ISBLANK(CONT_TEA[[#This Row],[FundCode]])=TRUE,0,IF(COUNTIF(FUNDS[FundCode],CONT_TEA[[#This Row],[FundCode]])=1,0,1))</f>
        <v>0</v>
      </c>
      <c r="W240" s="57">
        <f>IF(LEN(CONT_TEA[[#This Row],[Notes]])&lt;4000,0,1)</f>
        <v>0</v>
      </c>
      <c r="X240" s="57">
        <f>IF(SUBSTITUTE(TEXT(CONT_TEA[[#This Row],[Reference]],10)," ","")=TEXT(CONT_TEA[[#This Row],[Reference]],10),0,1)</f>
        <v>0</v>
      </c>
      <c r="Y240" s="57">
        <f ca="1">SUM(CONT_TEA[[#This Row],[Duplicate Contract]:[Space in Code]])</f>
        <v>1</v>
      </c>
      <c r="AA240" s="12" t="s">
        <v>2082</v>
      </c>
      <c r="AB240" s="15">
        <v>91073863</v>
      </c>
      <c r="AC240" s="12" t="s">
        <v>4588</v>
      </c>
      <c r="AD240" s="57" t="str">
        <f>_xlfn.XLOOKUP(CONT_TEA[[#This Row],[StaffMemberCode]],StaffMembers!O:O,StaffMembers!R:R)</f>
        <v>Stephanie Shaw</v>
      </c>
      <c r="AE240" s="12" t="s">
        <v>1178</v>
      </c>
      <c r="AF240" s="57">
        <f>_xlfn.XLOOKUP(CONT_TEA[[#This Row],[SRG]],SRG[StaffRoleGroupCode],SRG[GrossSalaryFinanceCode])</f>
        <v>612100</v>
      </c>
      <c r="AG240" s="57" t="str">
        <f>_xlfn.XLOOKUP(CONT_TEA[[#This Row],[StaffRoleCode]],ROLES[StaffRoleCode],ROLES[StaffRoleGroupCode])</f>
        <v>TEA</v>
      </c>
      <c r="AH240" s="57" t="str">
        <f>_xlfn.XLOOKUP(CONT_TEA[[#This Row],[StaffRoleCode]],ROLES[StaffRoleCode],ROLES[PayScaleCode])</f>
        <v>MAIN</v>
      </c>
      <c r="AI240" s="12" t="s">
        <v>1126</v>
      </c>
      <c r="AJ240" s="12" t="s">
        <v>3074</v>
      </c>
      <c r="AK240" s="12" t="s">
        <v>2499</v>
      </c>
      <c r="AM240" s="68" t="s">
        <v>1147</v>
      </c>
      <c r="AN240" s="13" t="s">
        <v>1702</v>
      </c>
      <c r="AO240" s="21">
        <v>45901</v>
      </c>
      <c r="AQ240" s="12">
        <v>1</v>
      </c>
      <c r="AR240" t="b">
        <v>0</v>
      </c>
      <c r="AS240" t="b">
        <v>0</v>
      </c>
      <c r="AT240" s="12" t="s">
        <v>1574</v>
      </c>
    </row>
    <row r="241" spans="1:47" x14ac:dyDescent="0.3">
      <c r="A241" s="57" t="str">
        <f t="shared" si="4"/>
        <v>ALS9107369991073699ATEASTCH45901</v>
      </c>
      <c r="B241" s="57">
        <f>COUNTIF(CONT_TEA[Unique Contract],CONT_TEA[[#This Row],[Unique Contract]])-1</f>
        <v>0</v>
      </c>
      <c r="C241" s="57">
        <f>IFERROR(IF(FIND(CONT_TEA[[#This Row],[SchoolCode]],_xlfn.XLOOKUP(CONT_TEA[[#This Row],[StaffMemberCode]],MEMBERS[StaffMemberCode],MEMBERS[SchoolCodes]))&gt;0,0,1),1)</f>
        <v>0</v>
      </c>
      <c r="D241" s="57" cm="1">
        <f t="array" ref="D241">IF(_xlfn.XLOOKUP(CONT_TEA[[#This Row],[StaffRoleCode]],ROLES[StaffRoleCode],ROLES[AvailableToAllSchools],1,0,)=TRUE,0,IF(ISERROR(FIND(CONT_TEA[[#This Row],[SchoolCode]],_xlfn.TEXTJOIN(",",TRUE,_xlfn.UNIQUE(IF(ROLES[StaffRoleCode]=CONT_TEA[[#This Row],[StaffRoleCode]],ROLES[SchoolCodes],""))))),1,0))</f>
        <v>0</v>
      </c>
      <c r="E241" s="57" cm="1">
        <f t="array" ref="E24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41" s="57" cm="1">
        <f t="array" ref="F241">IF(_xlfn.XLOOKUP(CONT_TEA[[#This Row],[PayScaleCode]],PAYSCALES[PayScaleCode],PAYSCALES[AvailableToAllSchools],1,0,)=TRUE,0,IF(ISERROR(FIND(CONT_TEA[[#This Row],[SchoolCode]],_xlfn.TEXTJOIN(",",TRUE,_xlfn.UNIQUE(IF(PAYSCALES[PayScaleCode]=CONT_TEA[[#This Row],[PayScaleCode]],PAYSCALES[SchoolCodes],""))))),1,0))</f>
        <v>0</v>
      </c>
      <c r="G241" s="57">
        <f>IF(_xlfn.XLOOKUP(CONT_TEA[[#This Row],[PayScaleGradeCode]],GRADES[PayScaleGradeCode],GRADES[AvailableToAllSchools])=TRUE,0,IFERROR(IF(FIND(CONT_TEA[[#This Row],[SchoolCode]],_xlfn.XLOOKUP(CONT_TEA[[#This Row],[PayScaleGradeCode]],GRADES[PayScaleGradeCode],GRADES[SchoolCodes]))&gt;=1,0,1),1))</f>
        <v>0</v>
      </c>
      <c r="H241" s="57">
        <f>IF(ISERROR(IF((_xlfn.XLOOKUP(CONT_TEA[[#This Row],[PayScaleGradeCode]],GRADES[PayScaleGradeCode],GRADES[PayScaleCode])=CONT_TEA[[#This Row],[PayScaleCode]]),0,1)),1,0)</f>
        <v>0</v>
      </c>
      <c r="I241" s="57" cm="1">
        <f t="array" ref="I241">IF(ISERROR(FIND(CONT_TEA[[#This Row],[PayScalePointCode]],_xlfn.TEXTJOIN(",",TRUE,IF(PSPOINTS[PayScaleCode]=CONT_TEA[[#This Row],[PayScaleCode]],PSPOINTS[PayScalePointCode])))),1,0)</f>
        <v>0</v>
      </c>
      <c r="J241" s="57" cm="1">
        <f t="array" ref="J24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41" s="57">
        <f>IF(_xlfn.XLOOKUP(CONT_TEA[[#This Row],[PayScalePointCode]],PSPOINTS[PayScalePointCode],PSPOINTS[PayScalePointEnabled])=TRUE,0,1)</f>
        <v>0</v>
      </c>
      <c r="L241" s="57" cm="1">
        <f t="array" ref="L241">IF(_xlfn.XLOOKUP(CONT_TEA[[#This Row],[DepartmentCode]],DEPTS[DepartmentCode],DEPTS[AvailableToAllSchools],1,0,)=TRUE,0,IF(ISERROR(FIND(CONT_TEA[[#This Row],[SchoolCode]],_xlfn.TEXTJOIN(",",TRUE,_xlfn.UNIQUE(IF(DEPTS[DepartmentCode]=CONT_TEA[[#This Row],[DepartmentCode]],DEPTS[SchoolCodes],""))))),1,0))</f>
        <v>0</v>
      </c>
      <c r="M241" s="57">
        <f>IFERROR(IF(_xlfn.XLOOKUP(CONT_TEA[[#This Row],[SRG Gross]],FinanceCodesBudget[FinanceCode],FinanceCodesBudget[LedgerCode])=_xlfn.XLOOKUP(CONT_TEA[[#This Row],[DepartmentCode]],DEPTS[DepartmentCode],DEPTS[LedgerCode]),0,1),1)</f>
        <v>1</v>
      </c>
      <c r="N241" s="57" cm="1">
        <f t="array" ref="N241">IF(_xlfn.XLOOKUP(CONT_TEA[[#This Row],[PensionCode]],PENS[PensionCode],PENS[AvailableToAllSchools],1,0,)=TRUE,0,IF(ISERROR(FIND(CONT_TEA[[#This Row],[SchoolCode]],_xlfn.TEXTJOIN(",",TRUE,_xlfn.UNIQUE(IF(PENS[PensionCode]=CONT_TEA[[#This Row],[PensionCode]],PENS[SchoolCodes],""))))),1,0))</f>
        <v>0</v>
      </c>
      <c r="O241" s="57" cm="1">
        <f t="array" ref="O241">IF(_xlfn.XLOOKUP(CONT_TEA[[#This Row],[EquatedWeekPatternCode]],EQW[EquatedWeekPatternCode],EQW[AvailableToAllSchools],1,0,)=TRUE,0,IF(ISERROR(FIND(CONT_TEA[[#This Row],[SchoolCode]],_xlfn.TEXTJOIN(",",TRUE,_xlfn.UNIQUE(IF(EQW[EquatedWeekPatternCode]=CONT_TEA[[#This Row],[EquatedWeekPatternCode]],EQW[SchoolCodes],""))))),1,0))</f>
        <v>0</v>
      </c>
      <c r="P241" s="57">
        <f>1-COUNTIF(ContractTypes[Code],CONT_TEA[[#This Row],[ContractTypeCode]])</f>
        <v>0</v>
      </c>
      <c r="Q241" s="57">
        <f>IF(VLOOKUP(CONT_TEA[[#This Row],[StaffMemberCode]],MEMBERS[[StaffMemberCode]:[ServiceStartDate]],5,0)&gt;CONT_TEA[[#This Row],[DateFrom]],1,0)</f>
        <v>0</v>
      </c>
      <c r="R241" s="57">
        <f>IF(_xlfn.XLOOKUP(CONT_TEA[[#This Row],[StaffMemberCode]],MEMBERS[StaffMemberCode],MEMBERS[ServiceEndDate])="",0,IF(CONT_TEA[[#This Row],[DateTo]]="",1,IF(_xlfn.XLOOKUP(CONT_TEA[[#This Row],[StaffMemberCode]],MEMBERS[StaffMemberCode],MEMBERS[ServiceEndDate])&lt;CONT_TEA[[#This Row],[DateTo]],1,0)))</f>
        <v>0</v>
      </c>
      <c r="S241" s="57">
        <f>IF(ISBLANK(CONT_TEA[[#This Row],[DateTo]]),0,IF(CONT_TEA[[#This Row],[DateFrom]]=CONT_TEA[[#This Row],[DateTo]],0,IF(CONT_TEA[[#This Row],[DateFrom]]&lt;CONT_TEA[[#This Row],[DateTo]],0,1)))</f>
        <v>0</v>
      </c>
      <c r="T241" s="57" cm="1">
        <f t="array" aca="1" ref="T241" ca="1">IF(CELL("format",CONT_TEA[[#This Row],[DateFrom]])="D1",0,1)+IF(CELL("format",CONT_TEA[[#This Row],[DateTo]])="D1",0,1)</f>
        <v>0</v>
      </c>
      <c r="U241" s="57">
        <f>IF(OR(CONT_TEA[[#This Row],[MatEditOnly]]=TRUE,CONT_TEA[[#This Row],[MatEditOnly]]=FALSE),IF(OR(CONT_TEA[[#This Row],[NoIncrement]]=TRUE,CONT_TEA[[#This Row],[NoIncrement]]=FALSE),0,1),1)</f>
        <v>0</v>
      </c>
      <c r="V241" s="57">
        <f>IF(ISBLANK(CONT_TEA[[#This Row],[FundCode]])=TRUE,0,IF(COUNTIF(FUNDS[FundCode],CONT_TEA[[#This Row],[FundCode]])=1,0,1))</f>
        <v>0</v>
      </c>
      <c r="W241" s="57">
        <f>IF(LEN(CONT_TEA[[#This Row],[Notes]])&lt;4000,0,1)</f>
        <v>0</v>
      </c>
      <c r="X241" s="57">
        <f>IF(SUBSTITUTE(TEXT(CONT_TEA[[#This Row],[Reference]],10)," ","")=TEXT(CONT_TEA[[#This Row],[Reference]],10),0,1)</f>
        <v>0</v>
      </c>
      <c r="Y241" s="57">
        <f ca="1">SUM(CONT_TEA[[#This Row],[Duplicate Contract]:[Space in Code]])</f>
        <v>1</v>
      </c>
      <c r="AA241" s="12" t="s">
        <v>2082</v>
      </c>
      <c r="AB241" s="15">
        <v>91073699</v>
      </c>
      <c r="AC241" s="12" t="s">
        <v>4589</v>
      </c>
      <c r="AD241" s="57" t="str">
        <f>_xlfn.XLOOKUP(CONT_TEA[[#This Row],[StaffMemberCode]],StaffMembers!O:O,StaffMembers!R:R)</f>
        <v>Stephanie Wise</v>
      </c>
      <c r="AE241" s="12" t="s">
        <v>1178</v>
      </c>
      <c r="AF241" s="57">
        <f>_xlfn.XLOOKUP(CONT_TEA[[#This Row],[SRG]],SRG[StaffRoleGroupCode],SRG[GrossSalaryFinanceCode])</f>
        <v>612100</v>
      </c>
      <c r="AG241" s="57" t="str">
        <f>_xlfn.XLOOKUP(CONT_TEA[[#This Row],[StaffRoleCode]],ROLES[StaffRoleCode],ROLES[StaffRoleGroupCode])</f>
        <v>TEA</v>
      </c>
      <c r="AH241" s="57" t="str">
        <f>_xlfn.XLOOKUP(CONT_TEA[[#This Row],[StaffRoleCode]],ROLES[StaffRoleCode],ROLES[PayScaleCode])</f>
        <v>MAIN</v>
      </c>
      <c r="AI241" s="12" t="s">
        <v>1126</v>
      </c>
      <c r="AJ241" s="12" t="s">
        <v>1745</v>
      </c>
      <c r="AK241" s="12" t="s">
        <v>2499</v>
      </c>
      <c r="AM241" s="68" t="s">
        <v>1147</v>
      </c>
      <c r="AN241" s="13" t="s">
        <v>1702</v>
      </c>
      <c r="AO241" s="21">
        <v>45901</v>
      </c>
      <c r="AQ241" s="12">
        <v>1</v>
      </c>
      <c r="AR241" t="b">
        <v>0</v>
      </c>
      <c r="AS241" t="b">
        <v>0</v>
      </c>
      <c r="AT241" s="12" t="s">
        <v>1574</v>
      </c>
    </row>
    <row r="242" spans="1:47" x14ac:dyDescent="0.3">
      <c r="A242" s="57" t="str">
        <f t="shared" si="4"/>
        <v>ALS9107367491073674ATEASTCH45901</v>
      </c>
      <c r="B242" s="57">
        <f>COUNTIF(CONT_TEA[Unique Contract],CONT_TEA[[#This Row],[Unique Contract]])-1</f>
        <v>0</v>
      </c>
      <c r="C242" s="57">
        <f>IFERROR(IF(FIND(CONT_TEA[[#This Row],[SchoolCode]],_xlfn.XLOOKUP(CONT_TEA[[#This Row],[StaffMemberCode]],MEMBERS[StaffMemberCode],MEMBERS[SchoolCodes]))&gt;0,0,1),1)</f>
        <v>0</v>
      </c>
      <c r="D242" s="57" cm="1">
        <f t="array" ref="D242">IF(_xlfn.XLOOKUP(CONT_TEA[[#This Row],[StaffRoleCode]],ROLES[StaffRoleCode],ROLES[AvailableToAllSchools],1,0,)=TRUE,0,IF(ISERROR(FIND(CONT_TEA[[#This Row],[SchoolCode]],_xlfn.TEXTJOIN(",",TRUE,_xlfn.UNIQUE(IF(ROLES[StaffRoleCode]=CONT_TEA[[#This Row],[StaffRoleCode]],ROLES[SchoolCodes],""))))),1,0))</f>
        <v>0</v>
      </c>
      <c r="E242" s="57" cm="1">
        <f t="array" ref="E24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42" s="57" cm="1">
        <f t="array" ref="F242">IF(_xlfn.XLOOKUP(CONT_TEA[[#This Row],[PayScaleCode]],PAYSCALES[PayScaleCode],PAYSCALES[AvailableToAllSchools],1,0,)=TRUE,0,IF(ISERROR(FIND(CONT_TEA[[#This Row],[SchoolCode]],_xlfn.TEXTJOIN(",",TRUE,_xlfn.UNIQUE(IF(PAYSCALES[PayScaleCode]=CONT_TEA[[#This Row],[PayScaleCode]],PAYSCALES[SchoolCodes],""))))),1,0))</f>
        <v>0</v>
      </c>
      <c r="G242" s="57">
        <f>IF(_xlfn.XLOOKUP(CONT_TEA[[#This Row],[PayScaleGradeCode]],GRADES[PayScaleGradeCode],GRADES[AvailableToAllSchools])=TRUE,0,IFERROR(IF(FIND(CONT_TEA[[#This Row],[SchoolCode]],_xlfn.XLOOKUP(CONT_TEA[[#This Row],[PayScaleGradeCode]],GRADES[PayScaleGradeCode],GRADES[SchoolCodes]))&gt;=1,0,1),1))</f>
        <v>0</v>
      </c>
      <c r="H242" s="57">
        <f>IF(ISERROR(IF((_xlfn.XLOOKUP(CONT_TEA[[#This Row],[PayScaleGradeCode]],GRADES[PayScaleGradeCode],GRADES[PayScaleCode])=CONT_TEA[[#This Row],[PayScaleCode]]),0,1)),1,0)</f>
        <v>0</v>
      </c>
      <c r="I242" s="57" cm="1">
        <f t="array" ref="I242">IF(ISERROR(FIND(CONT_TEA[[#This Row],[PayScalePointCode]],_xlfn.TEXTJOIN(",",TRUE,IF(PSPOINTS[PayScaleCode]=CONT_TEA[[#This Row],[PayScaleCode]],PSPOINTS[PayScalePointCode])))),1,0)</f>
        <v>0</v>
      </c>
      <c r="J242" s="57" cm="1">
        <f t="array" ref="J24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42" s="57">
        <f>IF(_xlfn.XLOOKUP(CONT_TEA[[#This Row],[PayScalePointCode]],PSPOINTS[PayScalePointCode],PSPOINTS[PayScalePointEnabled])=TRUE,0,1)</f>
        <v>0</v>
      </c>
      <c r="L242" s="57" cm="1">
        <f t="array" ref="L242">IF(_xlfn.XLOOKUP(CONT_TEA[[#This Row],[DepartmentCode]],DEPTS[DepartmentCode],DEPTS[AvailableToAllSchools],1,0,)=TRUE,0,IF(ISERROR(FIND(CONT_TEA[[#This Row],[SchoolCode]],_xlfn.TEXTJOIN(",",TRUE,_xlfn.UNIQUE(IF(DEPTS[DepartmentCode]=CONT_TEA[[#This Row],[DepartmentCode]],DEPTS[SchoolCodes],""))))),1,0))</f>
        <v>0</v>
      </c>
      <c r="M242" s="57">
        <f>IFERROR(IF(_xlfn.XLOOKUP(CONT_TEA[[#This Row],[SRG Gross]],FinanceCodesBudget[FinanceCode],FinanceCodesBudget[LedgerCode])=_xlfn.XLOOKUP(CONT_TEA[[#This Row],[DepartmentCode]],DEPTS[DepartmentCode],DEPTS[LedgerCode]),0,1),1)</f>
        <v>1</v>
      </c>
      <c r="N242" s="57" cm="1">
        <f t="array" ref="N242">IF(_xlfn.XLOOKUP(CONT_TEA[[#This Row],[PensionCode]],PENS[PensionCode],PENS[AvailableToAllSchools],1,0,)=TRUE,0,IF(ISERROR(FIND(CONT_TEA[[#This Row],[SchoolCode]],_xlfn.TEXTJOIN(",",TRUE,_xlfn.UNIQUE(IF(PENS[PensionCode]=CONT_TEA[[#This Row],[PensionCode]],PENS[SchoolCodes],""))))),1,0))</f>
        <v>0</v>
      </c>
      <c r="O242" s="57" cm="1">
        <f t="array" ref="O242">IF(_xlfn.XLOOKUP(CONT_TEA[[#This Row],[EquatedWeekPatternCode]],EQW[EquatedWeekPatternCode],EQW[AvailableToAllSchools],1,0,)=TRUE,0,IF(ISERROR(FIND(CONT_TEA[[#This Row],[SchoolCode]],_xlfn.TEXTJOIN(",",TRUE,_xlfn.UNIQUE(IF(EQW[EquatedWeekPatternCode]=CONT_TEA[[#This Row],[EquatedWeekPatternCode]],EQW[SchoolCodes],""))))),1,0))</f>
        <v>0</v>
      </c>
      <c r="P242" s="57">
        <f>1-COUNTIF(ContractTypes[Code],CONT_TEA[[#This Row],[ContractTypeCode]])</f>
        <v>0</v>
      </c>
      <c r="Q242" s="57">
        <f>IF(VLOOKUP(CONT_TEA[[#This Row],[StaffMemberCode]],MEMBERS[[StaffMemberCode]:[ServiceStartDate]],5,0)&gt;CONT_TEA[[#This Row],[DateFrom]],1,0)</f>
        <v>0</v>
      </c>
      <c r="R242" s="57">
        <f>IF(_xlfn.XLOOKUP(CONT_TEA[[#This Row],[StaffMemberCode]],MEMBERS[StaffMemberCode],MEMBERS[ServiceEndDate])="",0,IF(CONT_TEA[[#This Row],[DateTo]]="",1,IF(_xlfn.XLOOKUP(CONT_TEA[[#This Row],[StaffMemberCode]],MEMBERS[StaffMemberCode],MEMBERS[ServiceEndDate])&lt;CONT_TEA[[#This Row],[DateTo]],1,0)))</f>
        <v>0</v>
      </c>
      <c r="S242" s="57">
        <f>IF(ISBLANK(CONT_TEA[[#This Row],[DateTo]]),0,IF(CONT_TEA[[#This Row],[DateFrom]]=CONT_TEA[[#This Row],[DateTo]],0,IF(CONT_TEA[[#This Row],[DateFrom]]&lt;CONT_TEA[[#This Row],[DateTo]],0,1)))</f>
        <v>0</v>
      </c>
      <c r="T242" s="57" cm="1">
        <f t="array" aca="1" ref="T242" ca="1">IF(CELL("format",CONT_TEA[[#This Row],[DateFrom]])="D1",0,1)+IF(CELL("format",CONT_TEA[[#This Row],[DateTo]])="D1",0,1)</f>
        <v>0</v>
      </c>
      <c r="U242" s="57">
        <f>IF(OR(CONT_TEA[[#This Row],[MatEditOnly]]=TRUE,CONT_TEA[[#This Row],[MatEditOnly]]=FALSE),IF(OR(CONT_TEA[[#This Row],[NoIncrement]]=TRUE,CONT_TEA[[#This Row],[NoIncrement]]=FALSE),0,1),1)</f>
        <v>0</v>
      </c>
      <c r="V242" s="57">
        <f>IF(ISBLANK(CONT_TEA[[#This Row],[FundCode]])=TRUE,0,IF(COUNTIF(FUNDS[FundCode],CONT_TEA[[#This Row],[FundCode]])=1,0,1))</f>
        <v>0</v>
      </c>
      <c r="W242" s="57">
        <f>IF(LEN(CONT_TEA[[#This Row],[Notes]])&lt;4000,0,1)</f>
        <v>0</v>
      </c>
      <c r="X242" s="57">
        <f>IF(SUBSTITUTE(TEXT(CONT_TEA[[#This Row],[Reference]],10)," ","")=TEXT(CONT_TEA[[#This Row],[Reference]],10),0,1)</f>
        <v>0</v>
      </c>
      <c r="Y242" s="57">
        <f ca="1">SUM(CONT_TEA[[#This Row],[Duplicate Contract]:[Space in Code]])</f>
        <v>1</v>
      </c>
      <c r="AA242" s="12" t="s">
        <v>2082</v>
      </c>
      <c r="AB242" s="15">
        <v>91073674</v>
      </c>
      <c r="AC242" s="12" t="s">
        <v>4590</v>
      </c>
      <c r="AD242" s="57" t="str">
        <f>_xlfn.XLOOKUP(CONT_TEA[[#This Row],[StaffMemberCode]],StaffMembers!O:O,StaffMembers!R:R)</f>
        <v>Steven Harbour</v>
      </c>
      <c r="AE242" s="12" t="s">
        <v>1178</v>
      </c>
      <c r="AF242" s="57">
        <f>_xlfn.XLOOKUP(CONT_TEA[[#This Row],[SRG]],SRG[StaffRoleGroupCode],SRG[GrossSalaryFinanceCode])</f>
        <v>612100</v>
      </c>
      <c r="AG242" s="57" t="str">
        <f>_xlfn.XLOOKUP(CONT_TEA[[#This Row],[StaffRoleCode]],ROLES[StaffRoleCode],ROLES[StaffRoleGroupCode])</f>
        <v>TEA</v>
      </c>
      <c r="AH242" s="57" t="str">
        <f>_xlfn.XLOOKUP(CONT_TEA[[#This Row],[StaffRoleCode]],ROLES[StaffRoleCode],ROLES[PayScaleCode])</f>
        <v>MAIN</v>
      </c>
      <c r="AI242" s="12" t="s">
        <v>1126</v>
      </c>
      <c r="AJ242" s="12" t="s">
        <v>1745</v>
      </c>
      <c r="AK242" s="12" t="s">
        <v>2499</v>
      </c>
      <c r="AM242" s="68" t="s">
        <v>1147</v>
      </c>
      <c r="AN242" s="13" t="s">
        <v>1702</v>
      </c>
      <c r="AO242" s="21">
        <v>45901</v>
      </c>
      <c r="AQ242" s="12">
        <v>1</v>
      </c>
      <c r="AR242" t="b">
        <v>0</v>
      </c>
      <c r="AS242" t="b">
        <v>0</v>
      </c>
      <c r="AT242" s="12" t="s">
        <v>1574</v>
      </c>
    </row>
    <row r="243" spans="1:47" x14ac:dyDescent="0.3">
      <c r="A243" s="57" t="str">
        <f t="shared" si="4"/>
        <v>BLS9107349491073494ATEASTCH45901</v>
      </c>
      <c r="B243" s="57">
        <f>COUNTIF(CONT_TEA[Unique Contract],CONT_TEA[[#This Row],[Unique Contract]])-1</f>
        <v>0</v>
      </c>
      <c r="C243" s="57">
        <f>IFERROR(IF(FIND(CONT_TEA[[#This Row],[SchoolCode]],_xlfn.XLOOKUP(CONT_TEA[[#This Row],[StaffMemberCode]],MEMBERS[StaffMemberCode],MEMBERS[SchoolCodes]))&gt;0,0,1),1)</f>
        <v>0</v>
      </c>
      <c r="D243" s="57" cm="1">
        <f t="array" ref="D243">IF(_xlfn.XLOOKUP(CONT_TEA[[#This Row],[StaffRoleCode]],ROLES[StaffRoleCode],ROLES[AvailableToAllSchools],1,0,)=TRUE,0,IF(ISERROR(FIND(CONT_TEA[[#This Row],[SchoolCode]],_xlfn.TEXTJOIN(",",TRUE,_xlfn.UNIQUE(IF(ROLES[StaffRoleCode]=CONT_TEA[[#This Row],[StaffRoleCode]],ROLES[SchoolCodes],""))))),1,0))</f>
        <v>0</v>
      </c>
      <c r="E243" s="57" cm="1">
        <f t="array" ref="E24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43" s="57" cm="1">
        <f t="array" ref="F243">IF(_xlfn.XLOOKUP(CONT_TEA[[#This Row],[PayScaleCode]],PAYSCALES[PayScaleCode],PAYSCALES[AvailableToAllSchools],1,0,)=TRUE,0,IF(ISERROR(FIND(CONT_TEA[[#This Row],[SchoolCode]],_xlfn.TEXTJOIN(",",TRUE,_xlfn.UNIQUE(IF(PAYSCALES[PayScaleCode]=CONT_TEA[[#This Row],[PayScaleCode]],PAYSCALES[SchoolCodes],""))))),1,0))</f>
        <v>0</v>
      </c>
      <c r="G243" s="57">
        <f>IF(_xlfn.XLOOKUP(CONT_TEA[[#This Row],[PayScaleGradeCode]],GRADES[PayScaleGradeCode],GRADES[AvailableToAllSchools])=TRUE,0,IFERROR(IF(FIND(CONT_TEA[[#This Row],[SchoolCode]],_xlfn.XLOOKUP(CONT_TEA[[#This Row],[PayScaleGradeCode]],GRADES[PayScaleGradeCode],GRADES[SchoolCodes]))&gt;=1,0,1),1))</f>
        <v>0</v>
      </c>
      <c r="H243" s="57">
        <f>IF(ISERROR(IF((_xlfn.XLOOKUP(CONT_TEA[[#This Row],[PayScaleGradeCode]],GRADES[PayScaleGradeCode],GRADES[PayScaleCode])=CONT_TEA[[#This Row],[PayScaleCode]]),0,1)),1,0)</f>
        <v>0</v>
      </c>
      <c r="I243" s="57" cm="1">
        <f t="array" ref="I243">IF(ISERROR(FIND(CONT_TEA[[#This Row],[PayScalePointCode]],_xlfn.TEXTJOIN(",",TRUE,IF(PSPOINTS[PayScaleCode]=CONT_TEA[[#This Row],[PayScaleCode]],PSPOINTS[PayScalePointCode])))),1,0)</f>
        <v>0</v>
      </c>
      <c r="J243" s="57" cm="1">
        <f t="array" ref="J24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43" s="57">
        <f>IF(_xlfn.XLOOKUP(CONT_TEA[[#This Row],[PayScalePointCode]],PSPOINTS[PayScalePointCode],PSPOINTS[PayScalePointEnabled])=TRUE,0,1)</f>
        <v>0</v>
      </c>
      <c r="L243" s="57" cm="1">
        <f t="array" ref="L243">IF(_xlfn.XLOOKUP(CONT_TEA[[#This Row],[DepartmentCode]],DEPTS[DepartmentCode],DEPTS[AvailableToAllSchools],1,0,)=TRUE,0,IF(ISERROR(FIND(CONT_TEA[[#This Row],[SchoolCode]],_xlfn.TEXTJOIN(",",TRUE,_xlfn.UNIQUE(IF(DEPTS[DepartmentCode]=CONT_TEA[[#This Row],[DepartmentCode]],DEPTS[SchoolCodes],""))))),1,0))</f>
        <v>0</v>
      </c>
      <c r="M243" s="57">
        <f>IFERROR(IF(_xlfn.XLOOKUP(CONT_TEA[[#This Row],[SRG Gross]],FinanceCodesBudget[FinanceCode],FinanceCodesBudget[LedgerCode])=_xlfn.XLOOKUP(CONT_TEA[[#This Row],[DepartmentCode]],DEPTS[DepartmentCode],DEPTS[LedgerCode]),0,1),1)</f>
        <v>1</v>
      </c>
      <c r="N243" s="57" cm="1">
        <f t="array" ref="N243">IF(_xlfn.XLOOKUP(CONT_TEA[[#This Row],[PensionCode]],PENS[PensionCode],PENS[AvailableToAllSchools],1,0,)=TRUE,0,IF(ISERROR(FIND(CONT_TEA[[#This Row],[SchoolCode]],_xlfn.TEXTJOIN(",",TRUE,_xlfn.UNIQUE(IF(PENS[PensionCode]=CONT_TEA[[#This Row],[PensionCode]],PENS[SchoolCodes],""))))),1,0))</f>
        <v>0</v>
      </c>
      <c r="O243" s="57" cm="1">
        <f t="array" ref="O243">IF(_xlfn.XLOOKUP(CONT_TEA[[#This Row],[EquatedWeekPatternCode]],EQW[EquatedWeekPatternCode],EQW[AvailableToAllSchools],1,0,)=TRUE,0,IF(ISERROR(FIND(CONT_TEA[[#This Row],[SchoolCode]],_xlfn.TEXTJOIN(",",TRUE,_xlfn.UNIQUE(IF(EQW[EquatedWeekPatternCode]=CONT_TEA[[#This Row],[EquatedWeekPatternCode]],EQW[SchoolCodes],""))))),1,0))</f>
        <v>0</v>
      </c>
      <c r="P243" s="57">
        <f>1-COUNTIF(ContractTypes[Code],CONT_TEA[[#This Row],[ContractTypeCode]])</f>
        <v>0</v>
      </c>
      <c r="Q243" s="57">
        <f>IF(VLOOKUP(CONT_TEA[[#This Row],[StaffMemberCode]],MEMBERS[[StaffMemberCode]:[ServiceStartDate]],5,0)&gt;CONT_TEA[[#This Row],[DateFrom]],1,0)</f>
        <v>0</v>
      </c>
      <c r="R243" s="57">
        <f>IF(_xlfn.XLOOKUP(CONT_TEA[[#This Row],[StaffMemberCode]],MEMBERS[StaffMemberCode],MEMBERS[ServiceEndDate])="",0,IF(CONT_TEA[[#This Row],[DateTo]]="",1,IF(_xlfn.XLOOKUP(CONT_TEA[[#This Row],[StaffMemberCode]],MEMBERS[StaffMemberCode],MEMBERS[ServiceEndDate])&lt;CONT_TEA[[#This Row],[DateTo]],1,0)))</f>
        <v>0</v>
      </c>
      <c r="S243" s="57">
        <f>IF(ISBLANK(CONT_TEA[[#This Row],[DateTo]]),0,IF(CONT_TEA[[#This Row],[DateFrom]]=CONT_TEA[[#This Row],[DateTo]],0,IF(CONT_TEA[[#This Row],[DateFrom]]&lt;CONT_TEA[[#This Row],[DateTo]],0,1)))</f>
        <v>0</v>
      </c>
      <c r="T243" s="57" cm="1">
        <f t="array" aca="1" ref="T243" ca="1">IF(CELL("format",CONT_TEA[[#This Row],[DateFrom]])="D1",0,1)+IF(CELL("format",CONT_TEA[[#This Row],[DateTo]])="D1",0,1)</f>
        <v>0</v>
      </c>
      <c r="U243" s="57">
        <f>IF(OR(CONT_TEA[[#This Row],[MatEditOnly]]=TRUE,CONT_TEA[[#This Row],[MatEditOnly]]=FALSE),IF(OR(CONT_TEA[[#This Row],[NoIncrement]]=TRUE,CONT_TEA[[#This Row],[NoIncrement]]=FALSE),0,1),1)</f>
        <v>0</v>
      </c>
      <c r="V243" s="57">
        <f>IF(ISBLANK(CONT_TEA[[#This Row],[FundCode]])=TRUE,0,IF(COUNTIF(FUNDS[FundCode],CONT_TEA[[#This Row],[FundCode]])=1,0,1))</f>
        <v>0</v>
      </c>
      <c r="W243" s="57">
        <f>IF(LEN(CONT_TEA[[#This Row],[Notes]])&lt;4000,0,1)</f>
        <v>0</v>
      </c>
      <c r="X243" s="57">
        <f>IF(SUBSTITUTE(TEXT(CONT_TEA[[#This Row],[Reference]],10)," ","")=TEXT(CONT_TEA[[#This Row],[Reference]],10),0,1)</f>
        <v>0</v>
      </c>
      <c r="Y243" s="57">
        <f ca="1">SUM(CONT_TEA[[#This Row],[Duplicate Contract]:[Space in Code]])</f>
        <v>1</v>
      </c>
      <c r="AA243" s="12" t="s">
        <v>2094</v>
      </c>
      <c r="AB243" s="15">
        <v>91073494</v>
      </c>
      <c r="AC243" s="12" t="s">
        <v>4591</v>
      </c>
      <c r="AD243" s="57" t="str">
        <f>_xlfn.XLOOKUP(CONT_TEA[[#This Row],[StaffMemberCode]],StaffMembers!O:O,StaffMembers!R:R)</f>
        <v>Susanne Curry</v>
      </c>
      <c r="AE243" s="12" t="s">
        <v>1178</v>
      </c>
      <c r="AF243" s="57">
        <f>_xlfn.XLOOKUP(CONT_TEA[[#This Row],[SRG]],SRG[StaffRoleGroupCode],SRG[GrossSalaryFinanceCode])</f>
        <v>612100</v>
      </c>
      <c r="AG243" s="57" t="str">
        <f>_xlfn.XLOOKUP(CONT_TEA[[#This Row],[StaffRoleCode]],ROLES[StaffRoleCode],ROLES[StaffRoleGroupCode])</f>
        <v>TEA</v>
      </c>
      <c r="AH243" s="57" t="str">
        <f>_xlfn.XLOOKUP(CONT_TEA[[#This Row],[StaffRoleCode]],ROLES[StaffRoleCode],ROLES[PayScaleCode])</f>
        <v>MAIN</v>
      </c>
      <c r="AI243" s="12" t="s">
        <v>1126</v>
      </c>
      <c r="AJ243" s="12" t="s">
        <v>1745</v>
      </c>
      <c r="AK243" s="12" t="s">
        <v>2499</v>
      </c>
      <c r="AM243" s="68" t="s">
        <v>1147</v>
      </c>
      <c r="AN243" s="13" t="s">
        <v>1702</v>
      </c>
      <c r="AO243" s="21">
        <v>45901</v>
      </c>
      <c r="AQ243" s="12">
        <v>0.57999999999999996</v>
      </c>
      <c r="AR243" t="b">
        <v>0</v>
      </c>
      <c r="AS243" t="b">
        <v>0</v>
      </c>
      <c r="AT243" s="12" t="s">
        <v>1574</v>
      </c>
    </row>
    <row r="244" spans="1:47" x14ac:dyDescent="0.3">
      <c r="A244" s="57" t="str">
        <f t="shared" si="4"/>
        <v>BLS9185001891850018ATEASTCH45901</v>
      </c>
      <c r="B244" s="57">
        <f>COUNTIF(CONT_TEA[Unique Contract],CONT_TEA[[#This Row],[Unique Contract]])-1</f>
        <v>0</v>
      </c>
      <c r="C244" s="57">
        <f>IFERROR(IF(FIND(CONT_TEA[[#This Row],[SchoolCode]],_xlfn.XLOOKUP(CONT_TEA[[#This Row],[StaffMemberCode]],MEMBERS[StaffMemberCode],MEMBERS[SchoolCodes]))&gt;0,0,1),1)</f>
        <v>0</v>
      </c>
      <c r="D244" s="57" cm="1">
        <f t="array" ref="D244">IF(_xlfn.XLOOKUP(CONT_TEA[[#This Row],[StaffRoleCode]],ROLES[StaffRoleCode],ROLES[AvailableToAllSchools],1,0,)=TRUE,0,IF(ISERROR(FIND(CONT_TEA[[#This Row],[SchoolCode]],_xlfn.TEXTJOIN(",",TRUE,_xlfn.UNIQUE(IF(ROLES[StaffRoleCode]=CONT_TEA[[#This Row],[StaffRoleCode]],ROLES[SchoolCodes],""))))),1,0))</f>
        <v>0</v>
      </c>
      <c r="E244" s="57" cm="1">
        <f t="array" ref="E24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44" s="57" cm="1">
        <f t="array" ref="F244">IF(_xlfn.XLOOKUP(CONT_TEA[[#This Row],[PayScaleCode]],PAYSCALES[PayScaleCode],PAYSCALES[AvailableToAllSchools],1,0,)=TRUE,0,IF(ISERROR(FIND(CONT_TEA[[#This Row],[SchoolCode]],_xlfn.TEXTJOIN(",",TRUE,_xlfn.UNIQUE(IF(PAYSCALES[PayScaleCode]=CONT_TEA[[#This Row],[PayScaleCode]],PAYSCALES[SchoolCodes],""))))),1,0))</f>
        <v>0</v>
      </c>
      <c r="G244" s="57">
        <f>IF(_xlfn.XLOOKUP(CONT_TEA[[#This Row],[PayScaleGradeCode]],GRADES[PayScaleGradeCode],GRADES[AvailableToAllSchools])=TRUE,0,IFERROR(IF(FIND(CONT_TEA[[#This Row],[SchoolCode]],_xlfn.XLOOKUP(CONT_TEA[[#This Row],[PayScaleGradeCode]],GRADES[PayScaleGradeCode],GRADES[SchoolCodes]))&gt;=1,0,1),1))</f>
        <v>0</v>
      </c>
      <c r="H244" s="57">
        <f>IF(ISERROR(IF((_xlfn.XLOOKUP(CONT_TEA[[#This Row],[PayScaleGradeCode]],GRADES[PayScaleGradeCode],GRADES[PayScaleCode])=CONT_TEA[[#This Row],[PayScaleCode]]),0,1)),1,0)</f>
        <v>0</v>
      </c>
      <c r="I244" s="57" cm="1">
        <f t="array" ref="I244">IF(ISERROR(FIND(CONT_TEA[[#This Row],[PayScalePointCode]],_xlfn.TEXTJOIN(",",TRUE,IF(PSPOINTS[PayScaleCode]=CONT_TEA[[#This Row],[PayScaleCode]],PSPOINTS[PayScalePointCode])))),1,0)</f>
        <v>0</v>
      </c>
      <c r="J244" s="57" cm="1">
        <f t="array" ref="J24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44" s="57">
        <f>IF(_xlfn.XLOOKUP(CONT_TEA[[#This Row],[PayScalePointCode]],PSPOINTS[PayScalePointCode],PSPOINTS[PayScalePointEnabled])=TRUE,0,1)</f>
        <v>0</v>
      </c>
      <c r="L244" s="57" cm="1">
        <f t="array" ref="L244">IF(_xlfn.XLOOKUP(CONT_TEA[[#This Row],[DepartmentCode]],DEPTS[DepartmentCode],DEPTS[AvailableToAllSchools],1,0,)=TRUE,0,IF(ISERROR(FIND(CONT_TEA[[#This Row],[SchoolCode]],_xlfn.TEXTJOIN(",",TRUE,_xlfn.UNIQUE(IF(DEPTS[DepartmentCode]=CONT_TEA[[#This Row],[DepartmentCode]],DEPTS[SchoolCodes],""))))),1,0))</f>
        <v>0</v>
      </c>
      <c r="M244" s="57">
        <f>IFERROR(IF(_xlfn.XLOOKUP(CONT_TEA[[#This Row],[SRG Gross]],FinanceCodesBudget[FinanceCode],FinanceCodesBudget[LedgerCode])=_xlfn.XLOOKUP(CONT_TEA[[#This Row],[DepartmentCode]],DEPTS[DepartmentCode],DEPTS[LedgerCode]),0,1),1)</f>
        <v>1</v>
      </c>
      <c r="N244" s="57" cm="1">
        <f t="array" ref="N244">IF(_xlfn.XLOOKUP(CONT_TEA[[#This Row],[PensionCode]],PENS[PensionCode],PENS[AvailableToAllSchools],1,0,)=TRUE,0,IF(ISERROR(FIND(CONT_TEA[[#This Row],[SchoolCode]],_xlfn.TEXTJOIN(",",TRUE,_xlfn.UNIQUE(IF(PENS[PensionCode]=CONT_TEA[[#This Row],[PensionCode]],PENS[SchoolCodes],""))))),1,0))</f>
        <v>0</v>
      </c>
      <c r="O244" s="57" cm="1">
        <f t="array" ref="O244">IF(_xlfn.XLOOKUP(CONT_TEA[[#This Row],[EquatedWeekPatternCode]],EQW[EquatedWeekPatternCode],EQW[AvailableToAllSchools],1,0,)=TRUE,0,IF(ISERROR(FIND(CONT_TEA[[#This Row],[SchoolCode]],_xlfn.TEXTJOIN(",",TRUE,_xlfn.UNIQUE(IF(EQW[EquatedWeekPatternCode]=CONT_TEA[[#This Row],[EquatedWeekPatternCode]],EQW[SchoolCodes],""))))),1,0))</f>
        <v>0</v>
      </c>
      <c r="P244" s="57">
        <f>1-COUNTIF(ContractTypes[Code],CONT_TEA[[#This Row],[ContractTypeCode]])</f>
        <v>0</v>
      </c>
      <c r="Q244" s="57">
        <f>IF(VLOOKUP(CONT_TEA[[#This Row],[StaffMemberCode]],MEMBERS[[StaffMemberCode]:[ServiceStartDate]],5,0)&gt;CONT_TEA[[#This Row],[DateFrom]],1,0)</f>
        <v>0</v>
      </c>
      <c r="R244" s="57">
        <f>IF(_xlfn.XLOOKUP(CONT_TEA[[#This Row],[StaffMemberCode]],MEMBERS[StaffMemberCode],MEMBERS[ServiceEndDate])="",0,IF(CONT_TEA[[#This Row],[DateTo]]="",1,IF(_xlfn.XLOOKUP(CONT_TEA[[#This Row],[StaffMemberCode]],MEMBERS[StaffMemberCode],MEMBERS[ServiceEndDate])&lt;CONT_TEA[[#This Row],[DateTo]],1,0)))</f>
        <v>0</v>
      </c>
      <c r="S244" s="57">
        <f>IF(ISBLANK(CONT_TEA[[#This Row],[DateTo]]),0,IF(CONT_TEA[[#This Row],[DateFrom]]=CONT_TEA[[#This Row],[DateTo]],0,IF(CONT_TEA[[#This Row],[DateFrom]]&lt;CONT_TEA[[#This Row],[DateTo]],0,1)))</f>
        <v>0</v>
      </c>
      <c r="T244" s="57" cm="1">
        <f t="array" aca="1" ref="T244" ca="1">IF(CELL("format",CONT_TEA[[#This Row],[DateFrom]])="D1",0,1)+IF(CELL("format",CONT_TEA[[#This Row],[DateTo]])="D1",0,1)</f>
        <v>0</v>
      </c>
      <c r="U244" s="57">
        <f>IF(OR(CONT_TEA[[#This Row],[MatEditOnly]]=TRUE,CONT_TEA[[#This Row],[MatEditOnly]]=FALSE),IF(OR(CONT_TEA[[#This Row],[NoIncrement]]=TRUE,CONT_TEA[[#This Row],[NoIncrement]]=FALSE),0,1),1)</f>
        <v>0</v>
      </c>
      <c r="V244" s="57">
        <f>IF(ISBLANK(CONT_TEA[[#This Row],[FundCode]])=TRUE,0,IF(COUNTIF(FUNDS[FundCode],CONT_TEA[[#This Row],[FundCode]])=1,0,1))</f>
        <v>0</v>
      </c>
      <c r="W244" s="57">
        <f>IF(LEN(CONT_TEA[[#This Row],[Notes]])&lt;4000,0,1)</f>
        <v>0</v>
      </c>
      <c r="X244" s="57">
        <f>IF(SUBSTITUTE(TEXT(CONT_TEA[[#This Row],[Reference]],10)," ","")=TEXT(CONT_TEA[[#This Row],[Reference]],10),0,1)</f>
        <v>0</v>
      </c>
      <c r="Y244" s="57">
        <f ca="1">SUM(CONT_TEA[[#This Row],[Duplicate Contract]:[Space in Code]])</f>
        <v>1</v>
      </c>
      <c r="AA244" s="12" t="s">
        <v>2094</v>
      </c>
      <c r="AB244" s="15">
        <v>91850018</v>
      </c>
      <c r="AC244" s="12" t="s">
        <v>4592</v>
      </c>
      <c r="AD244" s="57" t="str">
        <f>_xlfn.XLOOKUP(CONT_TEA[[#This Row],[StaffMemberCode]],StaffMembers!O:O,StaffMembers!R:R)</f>
        <v>Taylor Visagie</v>
      </c>
      <c r="AE244" s="12" t="s">
        <v>1178</v>
      </c>
      <c r="AF244" s="57">
        <f>_xlfn.XLOOKUP(CONT_TEA[[#This Row],[SRG]],SRG[StaffRoleGroupCode],SRG[GrossSalaryFinanceCode])</f>
        <v>612100</v>
      </c>
      <c r="AG244" s="57" t="str">
        <f>_xlfn.XLOOKUP(CONT_TEA[[#This Row],[StaffRoleCode]],ROLES[StaffRoleCode],ROLES[StaffRoleGroupCode])</f>
        <v>TEA</v>
      </c>
      <c r="AH244" s="57" t="str">
        <f>_xlfn.XLOOKUP(CONT_TEA[[#This Row],[StaffRoleCode]],ROLES[StaffRoleCode],ROLES[PayScaleCode])</f>
        <v>MAIN</v>
      </c>
      <c r="AI244" s="12" t="s">
        <v>1126</v>
      </c>
      <c r="AJ244" s="12" t="s">
        <v>1067</v>
      </c>
      <c r="AK244" s="12" t="s">
        <v>2499</v>
      </c>
      <c r="AM244" s="68" t="s">
        <v>1147</v>
      </c>
      <c r="AN244" s="13" t="s">
        <v>1702</v>
      </c>
      <c r="AO244" s="21">
        <v>45901</v>
      </c>
      <c r="AQ244" s="12">
        <v>1</v>
      </c>
      <c r="AR244" t="b">
        <v>0</v>
      </c>
      <c r="AS244" t="b">
        <v>0</v>
      </c>
      <c r="AT244" s="12" t="s">
        <v>1574</v>
      </c>
      <c r="AU244" s="12" t="s">
        <v>4348</v>
      </c>
    </row>
    <row r="245" spans="1:47" x14ac:dyDescent="0.3">
      <c r="A245" s="57" t="str">
        <f t="shared" si="4"/>
        <v>SBL9185001391850013ATEASTCH45901</v>
      </c>
      <c r="B245" s="57">
        <f>COUNTIF(CONT_TEA[Unique Contract],CONT_TEA[[#This Row],[Unique Contract]])-1</f>
        <v>0</v>
      </c>
      <c r="C245" s="57">
        <f>IFERROR(IF(FIND(CONT_TEA[[#This Row],[SchoolCode]],_xlfn.XLOOKUP(CONT_TEA[[#This Row],[StaffMemberCode]],MEMBERS[StaffMemberCode],MEMBERS[SchoolCodes]))&gt;0,0,1),1)</f>
        <v>0</v>
      </c>
      <c r="D245" s="57" cm="1">
        <f t="array" ref="D245">IF(_xlfn.XLOOKUP(CONT_TEA[[#This Row],[StaffRoleCode]],ROLES[StaffRoleCode],ROLES[AvailableToAllSchools],1,0,)=TRUE,0,IF(ISERROR(FIND(CONT_TEA[[#This Row],[SchoolCode]],_xlfn.TEXTJOIN(",",TRUE,_xlfn.UNIQUE(IF(ROLES[StaffRoleCode]=CONT_TEA[[#This Row],[StaffRoleCode]],ROLES[SchoolCodes],""))))),1,0))</f>
        <v>0</v>
      </c>
      <c r="E245" s="57" cm="1">
        <f t="array" ref="E24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45" s="57" cm="1">
        <f t="array" ref="F245">IF(_xlfn.XLOOKUP(CONT_TEA[[#This Row],[PayScaleCode]],PAYSCALES[PayScaleCode],PAYSCALES[AvailableToAllSchools],1,0,)=TRUE,0,IF(ISERROR(FIND(CONT_TEA[[#This Row],[SchoolCode]],_xlfn.TEXTJOIN(",",TRUE,_xlfn.UNIQUE(IF(PAYSCALES[PayScaleCode]=CONT_TEA[[#This Row],[PayScaleCode]],PAYSCALES[SchoolCodes],""))))),1,0))</f>
        <v>0</v>
      </c>
      <c r="G245" s="57">
        <f>IF(_xlfn.XLOOKUP(CONT_TEA[[#This Row],[PayScaleGradeCode]],GRADES[PayScaleGradeCode],GRADES[AvailableToAllSchools])=TRUE,0,IFERROR(IF(FIND(CONT_TEA[[#This Row],[SchoolCode]],_xlfn.XLOOKUP(CONT_TEA[[#This Row],[PayScaleGradeCode]],GRADES[PayScaleGradeCode],GRADES[SchoolCodes]))&gt;=1,0,1),1))</f>
        <v>0</v>
      </c>
      <c r="H245" s="57">
        <f>IF(ISERROR(IF((_xlfn.XLOOKUP(CONT_TEA[[#This Row],[PayScaleGradeCode]],GRADES[PayScaleGradeCode],GRADES[PayScaleCode])=CONT_TEA[[#This Row],[PayScaleCode]]),0,1)),1,0)</f>
        <v>0</v>
      </c>
      <c r="I245" s="57" cm="1">
        <f t="array" ref="I245">IF(ISERROR(FIND(CONT_TEA[[#This Row],[PayScalePointCode]],_xlfn.TEXTJOIN(",",TRUE,IF(PSPOINTS[PayScaleCode]=CONT_TEA[[#This Row],[PayScaleCode]],PSPOINTS[PayScalePointCode])))),1,0)</f>
        <v>0</v>
      </c>
      <c r="J245" s="57" cm="1">
        <f t="array" ref="J24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45" s="57">
        <f>IF(_xlfn.XLOOKUP(CONT_TEA[[#This Row],[PayScalePointCode]],PSPOINTS[PayScalePointCode],PSPOINTS[PayScalePointEnabled])=TRUE,0,1)</f>
        <v>0</v>
      </c>
      <c r="L245" s="57" cm="1">
        <f t="array" ref="L245">IF(_xlfn.XLOOKUP(CONT_TEA[[#This Row],[DepartmentCode]],DEPTS[DepartmentCode],DEPTS[AvailableToAllSchools],1,0,)=TRUE,0,IF(ISERROR(FIND(CONT_TEA[[#This Row],[SchoolCode]],_xlfn.TEXTJOIN(",",TRUE,_xlfn.UNIQUE(IF(DEPTS[DepartmentCode]=CONT_TEA[[#This Row],[DepartmentCode]],DEPTS[SchoolCodes],""))))),1,0))</f>
        <v>0</v>
      </c>
      <c r="M245" s="57">
        <f>IFERROR(IF(_xlfn.XLOOKUP(CONT_TEA[[#This Row],[SRG Gross]],FinanceCodesBudget[FinanceCode],FinanceCodesBudget[LedgerCode])=_xlfn.XLOOKUP(CONT_TEA[[#This Row],[DepartmentCode]],DEPTS[DepartmentCode],DEPTS[LedgerCode]),0,1),1)</f>
        <v>1</v>
      </c>
      <c r="N245" s="57" cm="1">
        <f t="array" ref="N245">IF(_xlfn.XLOOKUP(CONT_TEA[[#This Row],[PensionCode]],PENS[PensionCode],PENS[AvailableToAllSchools],1,0,)=TRUE,0,IF(ISERROR(FIND(CONT_TEA[[#This Row],[SchoolCode]],_xlfn.TEXTJOIN(",",TRUE,_xlfn.UNIQUE(IF(PENS[PensionCode]=CONT_TEA[[#This Row],[PensionCode]],PENS[SchoolCodes],""))))),1,0))</f>
        <v>0</v>
      </c>
      <c r="O245" s="57" cm="1">
        <f t="array" ref="O245">IF(_xlfn.XLOOKUP(CONT_TEA[[#This Row],[EquatedWeekPatternCode]],EQW[EquatedWeekPatternCode],EQW[AvailableToAllSchools],1,0,)=TRUE,0,IF(ISERROR(FIND(CONT_TEA[[#This Row],[SchoolCode]],_xlfn.TEXTJOIN(",",TRUE,_xlfn.UNIQUE(IF(EQW[EquatedWeekPatternCode]=CONT_TEA[[#This Row],[EquatedWeekPatternCode]],EQW[SchoolCodes],""))))),1,0))</f>
        <v>0</v>
      </c>
      <c r="P245" s="57">
        <f>1-COUNTIF(ContractTypes[Code],CONT_TEA[[#This Row],[ContractTypeCode]])</f>
        <v>0</v>
      </c>
      <c r="Q245" s="57">
        <f>IF(VLOOKUP(CONT_TEA[[#This Row],[StaffMemberCode]],MEMBERS[[StaffMemberCode]:[ServiceStartDate]],5,0)&gt;CONT_TEA[[#This Row],[DateFrom]],1,0)</f>
        <v>0</v>
      </c>
      <c r="R245" s="57">
        <f>IF(_xlfn.XLOOKUP(CONT_TEA[[#This Row],[StaffMemberCode]],MEMBERS[StaffMemberCode],MEMBERS[ServiceEndDate])="",0,IF(CONT_TEA[[#This Row],[DateTo]]="",1,IF(_xlfn.XLOOKUP(CONT_TEA[[#This Row],[StaffMemberCode]],MEMBERS[StaffMemberCode],MEMBERS[ServiceEndDate])&lt;CONT_TEA[[#This Row],[DateTo]],1,0)))</f>
        <v>0</v>
      </c>
      <c r="S245" s="57">
        <f>IF(ISBLANK(CONT_TEA[[#This Row],[DateTo]]),0,IF(CONT_TEA[[#This Row],[DateFrom]]=CONT_TEA[[#This Row],[DateTo]],0,IF(CONT_TEA[[#This Row],[DateFrom]]&lt;CONT_TEA[[#This Row],[DateTo]],0,1)))</f>
        <v>0</v>
      </c>
      <c r="T245" s="57" cm="1">
        <f t="array" aca="1" ref="T245" ca="1">IF(CELL("format",CONT_TEA[[#This Row],[DateFrom]])="D1",0,1)+IF(CELL("format",CONT_TEA[[#This Row],[DateTo]])="D1",0,1)</f>
        <v>0</v>
      </c>
      <c r="U245" s="57">
        <f>IF(OR(CONT_TEA[[#This Row],[MatEditOnly]]=TRUE,CONT_TEA[[#This Row],[MatEditOnly]]=FALSE),IF(OR(CONT_TEA[[#This Row],[NoIncrement]]=TRUE,CONT_TEA[[#This Row],[NoIncrement]]=FALSE),0,1),1)</f>
        <v>0</v>
      </c>
      <c r="V245" s="57">
        <f>IF(ISBLANK(CONT_TEA[[#This Row],[FundCode]])=TRUE,0,IF(COUNTIF(FUNDS[FundCode],CONT_TEA[[#This Row],[FundCode]])=1,0,1))</f>
        <v>0</v>
      </c>
      <c r="W245" s="57">
        <f>IF(LEN(CONT_TEA[[#This Row],[Notes]])&lt;4000,0,1)</f>
        <v>0</v>
      </c>
      <c r="X245" s="57">
        <f>IF(SUBSTITUTE(TEXT(CONT_TEA[[#This Row],[Reference]],10)," ","")=TEXT(CONT_TEA[[#This Row],[Reference]],10),0,1)</f>
        <v>0</v>
      </c>
      <c r="Y245" s="57">
        <f ca="1">SUM(CONT_TEA[[#This Row],[Duplicate Contract]:[Space in Code]])</f>
        <v>1</v>
      </c>
      <c r="AA245" s="12" t="s">
        <v>2200</v>
      </c>
      <c r="AB245" s="15">
        <v>91850013</v>
      </c>
      <c r="AC245" s="12" t="s">
        <v>4593</v>
      </c>
      <c r="AD245" s="57" t="str">
        <f>_xlfn.XLOOKUP(CONT_TEA[[#This Row],[StaffMemberCode]],StaffMembers!O:O,StaffMembers!R:R)</f>
        <v>Thomas Pyle</v>
      </c>
      <c r="AE245" s="12" t="s">
        <v>1178</v>
      </c>
      <c r="AF245" s="57">
        <f>_xlfn.XLOOKUP(CONT_TEA[[#This Row],[SRG]],SRG[StaffRoleGroupCode],SRG[GrossSalaryFinanceCode])</f>
        <v>612100</v>
      </c>
      <c r="AG245" s="57" t="str">
        <f>_xlfn.XLOOKUP(CONT_TEA[[#This Row],[StaffRoleCode]],ROLES[StaffRoleCode],ROLES[StaffRoleGroupCode])</f>
        <v>TEA</v>
      </c>
      <c r="AH245" s="57" t="str">
        <f>_xlfn.XLOOKUP(CONT_TEA[[#This Row],[StaffRoleCode]],ROLES[StaffRoleCode],ROLES[PayScaleCode])</f>
        <v>MAIN</v>
      </c>
      <c r="AI245" s="12" t="s">
        <v>1126</v>
      </c>
      <c r="AJ245" s="12" t="s">
        <v>1067</v>
      </c>
      <c r="AK245" s="12" t="s">
        <v>2499</v>
      </c>
      <c r="AM245" s="68" t="s">
        <v>1147</v>
      </c>
      <c r="AN245" s="13" t="s">
        <v>1702</v>
      </c>
      <c r="AO245" s="21">
        <v>45901</v>
      </c>
      <c r="AQ245" s="12">
        <v>1</v>
      </c>
      <c r="AR245" t="b">
        <v>0</v>
      </c>
      <c r="AS245" t="b">
        <v>0</v>
      </c>
      <c r="AT245" s="12" t="s">
        <v>1574</v>
      </c>
    </row>
    <row r="246" spans="1:47" x14ac:dyDescent="0.3">
      <c r="A246" s="57" t="str">
        <f t="shared" si="4"/>
        <v>ALS9107381491073814ATEASTCH45901</v>
      </c>
      <c r="B246" s="57">
        <f>COUNTIF(CONT_TEA[Unique Contract],CONT_TEA[[#This Row],[Unique Contract]])-1</f>
        <v>0</v>
      </c>
      <c r="C246" s="57">
        <f>IFERROR(IF(FIND(CONT_TEA[[#This Row],[SchoolCode]],_xlfn.XLOOKUP(CONT_TEA[[#This Row],[StaffMemberCode]],MEMBERS[StaffMemberCode],MEMBERS[SchoolCodes]))&gt;0,0,1),1)</f>
        <v>0</v>
      </c>
      <c r="D246" s="57" cm="1">
        <f t="array" ref="D246">IF(_xlfn.XLOOKUP(CONT_TEA[[#This Row],[StaffRoleCode]],ROLES[StaffRoleCode],ROLES[AvailableToAllSchools],1,0,)=TRUE,0,IF(ISERROR(FIND(CONT_TEA[[#This Row],[SchoolCode]],_xlfn.TEXTJOIN(",",TRUE,_xlfn.UNIQUE(IF(ROLES[StaffRoleCode]=CONT_TEA[[#This Row],[StaffRoleCode]],ROLES[SchoolCodes],""))))),1,0))</f>
        <v>0</v>
      </c>
      <c r="E246" s="57" cm="1">
        <f t="array" ref="E24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46" s="57" cm="1">
        <f t="array" ref="F246">IF(_xlfn.XLOOKUP(CONT_TEA[[#This Row],[PayScaleCode]],PAYSCALES[PayScaleCode],PAYSCALES[AvailableToAllSchools],1,0,)=TRUE,0,IF(ISERROR(FIND(CONT_TEA[[#This Row],[SchoolCode]],_xlfn.TEXTJOIN(",",TRUE,_xlfn.UNIQUE(IF(PAYSCALES[PayScaleCode]=CONT_TEA[[#This Row],[PayScaleCode]],PAYSCALES[SchoolCodes],""))))),1,0))</f>
        <v>0</v>
      </c>
      <c r="G246" s="57">
        <f>IF(_xlfn.XLOOKUP(CONT_TEA[[#This Row],[PayScaleGradeCode]],GRADES[PayScaleGradeCode],GRADES[AvailableToAllSchools])=TRUE,0,IFERROR(IF(FIND(CONT_TEA[[#This Row],[SchoolCode]],_xlfn.XLOOKUP(CONT_TEA[[#This Row],[PayScaleGradeCode]],GRADES[PayScaleGradeCode],GRADES[SchoolCodes]))&gt;=1,0,1),1))</f>
        <v>0</v>
      </c>
      <c r="H246" s="57">
        <f>IF(ISERROR(IF((_xlfn.XLOOKUP(CONT_TEA[[#This Row],[PayScaleGradeCode]],GRADES[PayScaleGradeCode],GRADES[PayScaleCode])=CONT_TEA[[#This Row],[PayScaleCode]]),0,1)),1,0)</f>
        <v>0</v>
      </c>
      <c r="I246" s="57" cm="1">
        <f t="array" ref="I246">IF(ISERROR(FIND(CONT_TEA[[#This Row],[PayScalePointCode]],_xlfn.TEXTJOIN(",",TRUE,IF(PSPOINTS[PayScaleCode]=CONT_TEA[[#This Row],[PayScaleCode]],PSPOINTS[PayScalePointCode])))),1,0)</f>
        <v>0</v>
      </c>
      <c r="J246" s="57" cm="1">
        <f t="array" ref="J24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46" s="57">
        <f>IF(_xlfn.XLOOKUP(CONT_TEA[[#This Row],[PayScalePointCode]],PSPOINTS[PayScalePointCode],PSPOINTS[PayScalePointEnabled])=TRUE,0,1)</f>
        <v>0</v>
      </c>
      <c r="L246" s="57" cm="1">
        <f t="array" ref="L246">IF(_xlfn.XLOOKUP(CONT_TEA[[#This Row],[DepartmentCode]],DEPTS[DepartmentCode],DEPTS[AvailableToAllSchools],1,0,)=TRUE,0,IF(ISERROR(FIND(CONT_TEA[[#This Row],[SchoolCode]],_xlfn.TEXTJOIN(",",TRUE,_xlfn.UNIQUE(IF(DEPTS[DepartmentCode]=CONT_TEA[[#This Row],[DepartmentCode]],DEPTS[SchoolCodes],""))))),1,0))</f>
        <v>0</v>
      </c>
      <c r="M246" s="57">
        <f>IFERROR(IF(_xlfn.XLOOKUP(CONT_TEA[[#This Row],[SRG Gross]],FinanceCodesBudget[FinanceCode],FinanceCodesBudget[LedgerCode])=_xlfn.XLOOKUP(CONT_TEA[[#This Row],[DepartmentCode]],DEPTS[DepartmentCode],DEPTS[LedgerCode]),0,1),1)</f>
        <v>1</v>
      </c>
      <c r="N246" s="57" cm="1">
        <f t="array" ref="N246">IF(_xlfn.XLOOKUP(CONT_TEA[[#This Row],[PensionCode]],PENS[PensionCode],PENS[AvailableToAllSchools],1,0,)=TRUE,0,IF(ISERROR(FIND(CONT_TEA[[#This Row],[SchoolCode]],_xlfn.TEXTJOIN(",",TRUE,_xlfn.UNIQUE(IF(PENS[PensionCode]=CONT_TEA[[#This Row],[PensionCode]],PENS[SchoolCodes],""))))),1,0))</f>
        <v>0</v>
      </c>
      <c r="O246" s="57" cm="1">
        <f t="array" ref="O246">IF(_xlfn.XLOOKUP(CONT_TEA[[#This Row],[EquatedWeekPatternCode]],EQW[EquatedWeekPatternCode],EQW[AvailableToAllSchools],1,0,)=TRUE,0,IF(ISERROR(FIND(CONT_TEA[[#This Row],[SchoolCode]],_xlfn.TEXTJOIN(",",TRUE,_xlfn.UNIQUE(IF(EQW[EquatedWeekPatternCode]=CONT_TEA[[#This Row],[EquatedWeekPatternCode]],EQW[SchoolCodes],""))))),1,0))</f>
        <v>0</v>
      </c>
      <c r="P246" s="57">
        <f>1-COUNTIF(ContractTypes[Code],CONT_TEA[[#This Row],[ContractTypeCode]])</f>
        <v>0</v>
      </c>
      <c r="Q246" s="57">
        <f>IF(VLOOKUP(CONT_TEA[[#This Row],[StaffMemberCode]],MEMBERS[[StaffMemberCode]:[ServiceStartDate]],5,0)&gt;CONT_TEA[[#This Row],[DateFrom]],1,0)</f>
        <v>0</v>
      </c>
      <c r="R246" s="57">
        <f>IF(_xlfn.XLOOKUP(CONT_TEA[[#This Row],[StaffMemberCode]],MEMBERS[StaffMemberCode],MEMBERS[ServiceEndDate])="",0,IF(CONT_TEA[[#This Row],[DateTo]]="",1,IF(_xlfn.XLOOKUP(CONT_TEA[[#This Row],[StaffMemberCode]],MEMBERS[StaffMemberCode],MEMBERS[ServiceEndDate])&lt;CONT_TEA[[#This Row],[DateTo]],1,0)))</f>
        <v>0</v>
      </c>
      <c r="S246" s="57">
        <f>IF(ISBLANK(CONT_TEA[[#This Row],[DateTo]]),0,IF(CONT_TEA[[#This Row],[DateFrom]]=CONT_TEA[[#This Row],[DateTo]],0,IF(CONT_TEA[[#This Row],[DateFrom]]&lt;CONT_TEA[[#This Row],[DateTo]],0,1)))</f>
        <v>0</v>
      </c>
      <c r="T246" s="57" cm="1">
        <f t="array" aca="1" ref="T246" ca="1">IF(CELL("format",CONT_TEA[[#This Row],[DateFrom]])="D1",0,1)+IF(CELL("format",CONT_TEA[[#This Row],[DateTo]])="D1",0,1)</f>
        <v>0</v>
      </c>
      <c r="U246" s="57">
        <f>IF(OR(CONT_TEA[[#This Row],[MatEditOnly]]=TRUE,CONT_TEA[[#This Row],[MatEditOnly]]=FALSE),IF(OR(CONT_TEA[[#This Row],[NoIncrement]]=TRUE,CONT_TEA[[#This Row],[NoIncrement]]=FALSE),0,1),1)</f>
        <v>0</v>
      </c>
      <c r="V246" s="57">
        <f>IF(ISBLANK(CONT_TEA[[#This Row],[FundCode]])=TRUE,0,IF(COUNTIF(FUNDS[FundCode],CONT_TEA[[#This Row],[FundCode]])=1,0,1))</f>
        <v>0</v>
      </c>
      <c r="W246" s="57">
        <f>IF(LEN(CONT_TEA[[#This Row],[Notes]])&lt;4000,0,1)</f>
        <v>0</v>
      </c>
      <c r="X246" s="57">
        <f>IF(SUBSTITUTE(TEXT(CONT_TEA[[#This Row],[Reference]],10)," ","")=TEXT(CONT_TEA[[#This Row],[Reference]],10),0,1)</f>
        <v>0</v>
      </c>
      <c r="Y246" s="57">
        <f ca="1">SUM(CONT_TEA[[#This Row],[Duplicate Contract]:[Space in Code]])</f>
        <v>1</v>
      </c>
      <c r="AA246" s="12" t="s">
        <v>2082</v>
      </c>
      <c r="AB246" s="15">
        <v>91073814</v>
      </c>
      <c r="AC246" s="12" t="s">
        <v>4594</v>
      </c>
      <c r="AD246" s="57" t="str">
        <f>_xlfn.XLOOKUP(CONT_TEA[[#This Row],[StaffMemberCode]],StaffMembers!O:O,StaffMembers!R:R)</f>
        <v>Thomas Smith</v>
      </c>
      <c r="AE246" s="12" t="s">
        <v>1178</v>
      </c>
      <c r="AF246" s="57">
        <f>_xlfn.XLOOKUP(CONT_TEA[[#This Row],[SRG]],SRG[StaffRoleGroupCode],SRG[GrossSalaryFinanceCode])</f>
        <v>612100</v>
      </c>
      <c r="AG246" s="57" t="str">
        <f>_xlfn.XLOOKUP(CONT_TEA[[#This Row],[StaffRoleCode]],ROLES[StaffRoleCode],ROLES[StaffRoleGroupCode])</f>
        <v>TEA</v>
      </c>
      <c r="AH246" s="57" t="str">
        <f>_xlfn.XLOOKUP(CONT_TEA[[#This Row],[StaffRoleCode]],ROLES[StaffRoleCode],ROLES[PayScaleCode])</f>
        <v>MAIN</v>
      </c>
      <c r="AI246" s="12" t="s">
        <v>1126</v>
      </c>
      <c r="AJ246" s="12" t="s">
        <v>1066</v>
      </c>
      <c r="AK246" s="12" t="s">
        <v>2499</v>
      </c>
      <c r="AM246" s="68" t="s">
        <v>1147</v>
      </c>
      <c r="AN246" s="13" t="s">
        <v>1702</v>
      </c>
      <c r="AO246" s="21">
        <v>45901</v>
      </c>
      <c r="AQ246" s="12">
        <v>1</v>
      </c>
      <c r="AR246" t="b">
        <v>0</v>
      </c>
      <c r="AS246" t="b">
        <v>0</v>
      </c>
      <c r="AT246" s="12" t="s">
        <v>1574</v>
      </c>
    </row>
    <row r="247" spans="1:47" x14ac:dyDescent="0.3">
      <c r="A247" s="57" t="str">
        <f t="shared" si="4"/>
        <v>BLS9107361991073619ATEASTCH45901</v>
      </c>
      <c r="B247" s="57">
        <f>COUNTIF(CONT_TEA[Unique Contract],CONT_TEA[[#This Row],[Unique Contract]])-1</f>
        <v>0</v>
      </c>
      <c r="C247" s="57">
        <f>IFERROR(IF(FIND(CONT_TEA[[#This Row],[SchoolCode]],_xlfn.XLOOKUP(CONT_TEA[[#This Row],[StaffMemberCode]],MEMBERS[StaffMemberCode],MEMBERS[SchoolCodes]))&gt;0,0,1),1)</f>
        <v>0</v>
      </c>
      <c r="D247" s="57" cm="1">
        <f t="array" ref="D247">IF(_xlfn.XLOOKUP(CONT_TEA[[#This Row],[StaffRoleCode]],ROLES[StaffRoleCode],ROLES[AvailableToAllSchools],1,0,)=TRUE,0,IF(ISERROR(FIND(CONT_TEA[[#This Row],[SchoolCode]],_xlfn.TEXTJOIN(",",TRUE,_xlfn.UNIQUE(IF(ROLES[StaffRoleCode]=CONT_TEA[[#This Row],[StaffRoleCode]],ROLES[SchoolCodes],""))))),1,0))</f>
        <v>0</v>
      </c>
      <c r="E247" s="57" cm="1">
        <f t="array" ref="E24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47" s="57" cm="1">
        <f t="array" ref="F247">IF(_xlfn.XLOOKUP(CONT_TEA[[#This Row],[PayScaleCode]],PAYSCALES[PayScaleCode],PAYSCALES[AvailableToAllSchools],1,0,)=TRUE,0,IF(ISERROR(FIND(CONT_TEA[[#This Row],[SchoolCode]],_xlfn.TEXTJOIN(",",TRUE,_xlfn.UNIQUE(IF(PAYSCALES[PayScaleCode]=CONT_TEA[[#This Row],[PayScaleCode]],PAYSCALES[SchoolCodes],""))))),1,0))</f>
        <v>0</v>
      </c>
      <c r="G247" s="57">
        <f>IF(_xlfn.XLOOKUP(CONT_TEA[[#This Row],[PayScaleGradeCode]],GRADES[PayScaleGradeCode],GRADES[AvailableToAllSchools])=TRUE,0,IFERROR(IF(FIND(CONT_TEA[[#This Row],[SchoolCode]],_xlfn.XLOOKUP(CONT_TEA[[#This Row],[PayScaleGradeCode]],GRADES[PayScaleGradeCode],GRADES[SchoolCodes]))&gt;=1,0,1),1))</f>
        <v>0</v>
      </c>
      <c r="H247" s="57">
        <f>IF(ISERROR(IF((_xlfn.XLOOKUP(CONT_TEA[[#This Row],[PayScaleGradeCode]],GRADES[PayScaleGradeCode],GRADES[PayScaleCode])=CONT_TEA[[#This Row],[PayScaleCode]]),0,1)),1,0)</f>
        <v>0</v>
      </c>
      <c r="I247" s="57" cm="1">
        <f t="array" ref="I247">IF(ISERROR(FIND(CONT_TEA[[#This Row],[PayScalePointCode]],_xlfn.TEXTJOIN(",",TRUE,IF(PSPOINTS[PayScaleCode]=CONT_TEA[[#This Row],[PayScaleCode]],PSPOINTS[PayScalePointCode])))),1,0)</f>
        <v>0</v>
      </c>
      <c r="J247" s="57" cm="1">
        <f t="array" ref="J24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47" s="57">
        <f>IF(_xlfn.XLOOKUP(CONT_TEA[[#This Row],[PayScalePointCode]],PSPOINTS[PayScalePointCode],PSPOINTS[PayScalePointEnabled])=TRUE,0,1)</f>
        <v>0</v>
      </c>
      <c r="L247" s="57" cm="1">
        <f t="array" ref="L247">IF(_xlfn.XLOOKUP(CONT_TEA[[#This Row],[DepartmentCode]],DEPTS[DepartmentCode],DEPTS[AvailableToAllSchools],1,0,)=TRUE,0,IF(ISERROR(FIND(CONT_TEA[[#This Row],[SchoolCode]],_xlfn.TEXTJOIN(",",TRUE,_xlfn.UNIQUE(IF(DEPTS[DepartmentCode]=CONT_TEA[[#This Row],[DepartmentCode]],DEPTS[SchoolCodes],""))))),1,0))</f>
        <v>0</v>
      </c>
      <c r="M247" s="57">
        <f>IFERROR(IF(_xlfn.XLOOKUP(CONT_TEA[[#This Row],[SRG Gross]],FinanceCodesBudget[FinanceCode],FinanceCodesBudget[LedgerCode])=_xlfn.XLOOKUP(CONT_TEA[[#This Row],[DepartmentCode]],DEPTS[DepartmentCode],DEPTS[LedgerCode]),0,1),1)</f>
        <v>1</v>
      </c>
      <c r="N247" s="57" cm="1">
        <f t="array" ref="N247">IF(_xlfn.XLOOKUP(CONT_TEA[[#This Row],[PensionCode]],PENS[PensionCode],PENS[AvailableToAllSchools],1,0,)=TRUE,0,IF(ISERROR(FIND(CONT_TEA[[#This Row],[SchoolCode]],_xlfn.TEXTJOIN(",",TRUE,_xlfn.UNIQUE(IF(PENS[PensionCode]=CONT_TEA[[#This Row],[PensionCode]],PENS[SchoolCodes],""))))),1,0))</f>
        <v>0</v>
      </c>
      <c r="O247" s="57" cm="1">
        <f t="array" ref="O247">IF(_xlfn.XLOOKUP(CONT_TEA[[#This Row],[EquatedWeekPatternCode]],EQW[EquatedWeekPatternCode],EQW[AvailableToAllSchools],1,0,)=TRUE,0,IF(ISERROR(FIND(CONT_TEA[[#This Row],[SchoolCode]],_xlfn.TEXTJOIN(",",TRUE,_xlfn.UNIQUE(IF(EQW[EquatedWeekPatternCode]=CONT_TEA[[#This Row],[EquatedWeekPatternCode]],EQW[SchoolCodes],""))))),1,0))</f>
        <v>0</v>
      </c>
      <c r="P247" s="57">
        <f>1-COUNTIF(ContractTypes[Code],CONT_TEA[[#This Row],[ContractTypeCode]])</f>
        <v>0</v>
      </c>
      <c r="Q247" s="57">
        <f>IF(VLOOKUP(CONT_TEA[[#This Row],[StaffMemberCode]],MEMBERS[[StaffMemberCode]:[ServiceStartDate]],5,0)&gt;CONT_TEA[[#This Row],[DateFrom]],1,0)</f>
        <v>0</v>
      </c>
      <c r="R247" s="57">
        <f>IF(_xlfn.XLOOKUP(CONT_TEA[[#This Row],[StaffMemberCode]],MEMBERS[StaffMemberCode],MEMBERS[ServiceEndDate])="",0,IF(CONT_TEA[[#This Row],[DateTo]]="",1,IF(_xlfn.XLOOKUP(CONT_TEA[[#This Row],[StaffMemberCode]],MEMBERS[StaffMemberCode],MEMBERS[ServiceEndDate])&lt;CONT_TEA[[#This Row],[DateTo]],1,0)))</f>
        <v>0</v>
      </c>
      <c r="S247" s="57">
        <f>IF(ISBLANK(CONT_TEA[[#This Row],[DateTo]]),0,IF(CONT_TEA[[#This Row],[DateFrom]]=CONT_TEA[[#This Row],[DateTo]],0,IF(CONT_TEA[[#This Row],[DateFrom]]&lt;CONT_TEA[[#This Row],[DateTo]],0,1)))</f>
        <v>0</v>
      </c>
      <c r="T247" s="57" cm="1">
        <f t="array" aca="1" ref="T247" ca="1">IF(CELL("format",CONT_TEA[[#This Row],[DateFrom]])="D1",0,1)+IF(CELL("format",CONT_TEA[[#This Row],[DateTo]])="D1",0,1)</f>
        <v>0</v>
      </c>
      <c r="U247" s="57">
        <f>IF(OR(CONT_TEA[[#This Row],[MatEditOnly]]=TRUE,CONT_TEA[[#This Row],[MatEditOnly]]=FALSE),IF(OR(CONT_TEA[[#This Row],[NoIncrement]]=TRUE,CONT_TEA[[#This Row],[NoIncrement]]=FALSE),0,1),1)</f>
        <v>0</v>
      </c>
      <c r="V247" s="57">
        <f>IF(ISBLANK(CONT_TEA[[#This Row],[FundCode]])=TRUE,0,IF(COUNTIF(FUNDS[FundCode],CONT_TEA[[#This Row],[FundCode]])=1,0,1))</f>
        <v>0</v>
      </c>
      <c r="W247" s="57">
        <f>IF(LEN(CONT_TEA[[#This Row],[Notes]])&lt;4000,0,1)</f>
        <v>0</v>
      </c>
      <c r="X247" s="57">
        <f>IF(SUBSTITUTE(TEXT(CONT_TEA[[#This Row],[Reference]],10)," ","")=TEXT(CONT_TEA[[#This Row],[Reference]],10),0,1)</f>
        <v>0</v>
      </c>
      <c r="Y247" s="57">
        <f ca="1">SUM(CONT_TEA[[#This Row],[Duplicate Contract]:[Space in Code]])</f>
        <v>1</v>
      </c>
      <c r="AA247" s="12" t="s">
        <v>2094</v>
      </c>
      <c r="AB247" s="15">
        <v>91073619</v>
      </c>
      <c r="AC247" s="12" t="s">
        <v>4595</v>
      </c>
      <c r="AD247" s="57" t="str">
        <f>_xlfn.XLOOKUP(CONT_TEA[[#This Row],[StaffMemberCode]],StaffMembers!O:O,StaffMembers!R:R)</f>
        <v>Valerie Evans</v>
      </c>
      <c r="AE247" s="12" t="s">
        <v>1178</v>
      </c>
      <c r="AF247" s="57">
        <f>_xlfn.XLOOKUP(CONT_TEA[[#This Row],[SRG]],SRG[StaffRoleGroupCode],SRG[GrossSalaryFinanceCode])</f>
        <v>612100</v>
      </c>
      <c r="AG247" s="57" t="str">
        <f>_xlfn.XLOOKUP(CONT_TEA[[#This Row],[StaffRoleCode]],ROLES[StaffRoleCode],ROLES[StaffRoleGroupCode])</f>
        <v>TEA</v>
      </c>
      <c r="AH247" s="57" t="str">
        <f>_xlfn.XLOOKUP(CONT_TEA[[#This Row],[StaffRoleCode]],ROLES[StaffRoleCode],ROLES[PayScaleCode])</f>
        <v>MAIN</v>
      </c>
      <c r="AI247" s="12" t="s">
        <v>1126</v>
      </c>
      <c r="AJ247" s="12" t="s">
        <v>1745</v>
      </c>
      <c r="AK247" s="12" t="s">
        <v>2499</v>
      </c>
      <c r="AM247" s="68" t="s">
        <v>1149</v>
      </c>
      <c r="AN247" s="13" t="s">
        <v>1702</v>
      </c>
      <c r="AO247" s="21">
        <v>45901</v>
      </c>
      <c r="AQ247" s="12">
        <v>0.12</v>
      </c>
      <c r="AR247" t="b">
        <v>0</v>
      </c>
      <c r="AS247" t="b">
        <v>0</v>
      </c>
      <c r="AT247" s="12" t="s">
        <v>1574</v>
      </c>
    </row>
    <row r="248" spans="1:47" x14ac:dyDescent="0.3">
      <c r="A248" s="57" t="str">
        <f t="shared" si="4"/>
        <v>HIG9132461791324617ATEASTCH45901</v>
      </c>
      <c r="B248" s="57">
        <f>COUNTIF(CONT_TEA[Unique Contract],CONT_TEA[[#This Row],[Unique Contract]])-1</f>
        <v>0</v>
      </c>
      <c r="C248" s="57">
        <f>IFERROR(IF(FIND(CONT_TEA[[#This Row],[SchoolCode]],_xlfn.XLOOKUP(CONT_TEA[[#This Row],[StaffMemberCode]],MEMBERS[StaffMemberCode],MEMBERS[SchoolCodes]))&gt;0,0,1),1)</f>
        <v>0</v>
      </c>
      <c r="D248" s="57" cm="1">
        <f t="array" ref="D248">IF(_xlfn.XLOOKUP(CONT_TEA[[#This Row],[StaffRoleCode]],ROLES[StaffRoleCode],ROLES[AvailableToAllSchools],1,0,)=TRUE,0,IF(ISERROR(FIND(CONT_TEA[[#This Row],[SchoolCode]],_xlfn.TEXTJOIN(",",TRUE,_xlfn.UNIQUE(IF(ROLES[StaffRoleCode]=CONT_TEA[[#This Row],[StaffRoleCode]],ROLES[SchoolCodes],""))))),1,0))</f>
        <v>0</v>
      </c>
      <c r="E248" s="57" cm="1">
        <f t="array" ref="E24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48" s="57" cm="1">
        <f t="array" ref="F248">IF(_xlfn.XLOOKUP(CONT_TEA[[#This Row],[PayScaleCode]],PAYSCALES[PayScaleCode],PAYSCALES[AvailableToAllSchools],1,0,)=TRUE,0,IF(ISERROR(FIND(CONT_TEA[[#This Row],[SchoolCode]],_xlfn.TEXTJOIN(",",TRUE,_xlfn.UNIQUE(IF(PAYSCALES[PayScaleCode]=CONT_TEA[[#This Row],[PayScaleCode]],PAYSCALES[SchoolCodes],""))))),1,0))</f>
        <v>0</v>
      </c>
      <c r="G248" s="57">
        <f>IF(_xlfn.XLOOKUP(CONT_TEA[[#This Row],[PayScaleGradeCode]],GRADES[PayScaleGradeCode],GRADES[AvailableToAllSchools])=TRUE,0,IFERROR(IF(FIND(CONT_TEA[[#This Row],[SchoolCode]],_xlfn.XLOOKUP(CONT_TEA[[#This Row],[PayScaleGradeCode]],GRADES[PayScaleGradeCode],GRADES[SchoolCodes]))&gt;=1,0,1),1))</f>
        <v>0</v>
      </c>
      <c r="H248" s="57">
        <f>IF(ISERROR(IF((_xlfn.XLOOKUP(CONT_TEA[[#This Row],[PayScaleGradeCode]],GRADES[PayScaleGradeCode],GRADES[PayScaleCode])=CONT_TEA[[#This Row],[PayScaleCode]]),0,1)),1,0)</f>
        <v>0</v>
      </c>
      <c r="I248" s="57" cm="1">
        <f t="array" ref="I248">IF(ISERROR(FIND(CONT_TEA[[#This Row],[PayScalePointCode]],_xlfn.TEXTJOIN(",",TRUE,IF(PSPOINTS[PayScaleCode]=CONT_TEA[[#This Row],[PayScaleCode]],PSPOINTS[PayScalePointCode])))),1,0)</f>
        <v>0</v>
      </c>
      <c r="J248" s="57" cm="1">
        <f t="array" ref="J24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48" s="57">
        <f>IF(_xlfn.XLOOKUP(CONT_TEA[[#This Row],[PayScalePointCode]],PSPOINTS[PayScalePointCode],PSPOINTS[PayScalePointEnabled])=TRUE,0,1)</f>
        <v>0</v>
      </c>
      <c r="L248" s="57" cm="1">
        <f t="array" ref="L248">IF(_xlfn.XLOOKUP(CONT_TEA[[#This Row],[DepartmentCode]],DEPTS[DepartmentCode],DEPTS[AvailableToAllSchools],1,0,)=TRUE,0,IF(ISERROR(FIND(CONT_TEA[[#This Row],[SchoolCode]],_xlfn.TEXTJOIN(",",TRUE,_xlfn.UNIQUE(IF(DEPTS[DepartmentCode]=CONT_TEA[[#This Row],[DepartmentCode]],DEPTS[SchoolCodes],""))))),1,0))</f>
        <v>0</v>
      </c>
      <c r="M248" s="57">
        <f>IFERROR(IF(_xlfn.XLOOKUP(CONT_TEA[[#This Row],[SRG Gross]],FinanceCodesBudget[FinanceCode],FinanceCodesBudget[LedgerCode])=_xlfn.XLOOKUP(CONT_TEA[[#This Row],[DepartmentCode]],DEPTS[DepartmentCode],DEPTS[LedgerCode]),0,1),1)</f>
        <v>1</v>
      </c>
      <c r="N248" s="57" cm="1">
        <f t="array" ref="N248">IF(_xlfn.XLOOKUP(CONT_TEA[[#This Row],[PensionCode]],PENS[PensionCode],PENS[AvailableToAllSchools],1,0,)=TRUE,0,IF(ISERROR(FIND(CONT_TEA[[#This Row],[SchoolCode]],_xlfn.TEXTJOIN(",",TRUE,_xlfn.UNIQUE(IF(PENS[PensionCode]=CONT_TEA[[#This Row],[PensionCode]],PENS[SchoolCodes],""))))),1,0))</f>
        <v>0</v>
      </c>
      <c r="O248" s="57" cm="1">
        <f t="array" ref="O248">IF(_xlfn.XLOOKUP(CONT_TEA[[#This Row],[EquatedWeekPatternCode]],EQW[EquatedWeekPatternCode],EQW[AvailableToAllSchools],1,0,)=TRUE,0,IF(ISERROR(FIND(CONT_TEA[[#This Row],[SchoolCode]],_xlfn.TEXTJOIN(",",TRUE,_xlfn.UNIQUE(IF(EQW[EquatedWeekPatternCode]=CONT_TEA[[#This Row],[EquatedWeekPatternCode]],EQW[SchoolCodes],""))))),1,0))</f>
        <v>0</v>
      </c>
      <c r="P248" s="57">
        <f>1-COUNTIF(ContractTypes[Code],CONT_TEA[[#This Row],[ContractTypeCode]])</f>
        <v>0</v>
      </c>
      <c r="Q248" s="57">
        <f>IF(VLOOKUP(CONT_TEA[[#This Row],[StaffMemberCode]],MEMBERS[[StaffMemberCode]:[ServiceStartDate]],5,0)&gt;CONT_TEA[[#This Row],[DateFrom]],1,0)</f>
        <v>0</v>
      </c>
      <c r="R248" s="57">
        <f>IF(_xlfn.XLOOKUP(CONT_TEA[[#This Row],[StaffMemberCode]],MEMBERS[StaffMemberCode],MEMBERS[ServiceEndDate])="",0,IF(CONT_TEA[[#This Row],[DateTo]]="",1,IF(_xlfn.XLOOKUP(CONT_TEA[[#This Row],[StaffMemberCode]],MEMBERS[StaffMemberCode],MEMBERS[ServiceEndDate])&lt;CONT_TEA[[#This Row],[DateTo]],1,0)))</f>
        <v>0</v>
      </c>
      <c r="S248" s="57">
        <f>IF(ISBLANK(CONT_TEA[[#This Row],[DateTo]]),0,IF(CONT_TEA[[#This Row],[DateFrom]]=CONT_TEA[[#This Row],[DateTo]],0,IF(CONT_TEA[[#This Row],[DateFrom]]&lt;CONT_TEA[[#This Row],[DateTo]],0,1)))</f>
        <v>0</v>
      </c>
      <c r="T248" s="57" cm="1">
        <f t="array" aca="1" ref="T248" ca="1">IF(CELL("format",CONT_TEA[[#This Row],[DateFrom]])="D1",0,1)+IF(CELL("format",CONT_TEA[[#This Row],[DateTo]])="D1",0,1)</f>
        <v>0</v>
      </c>
      <c r="U248" s="57">
        <f>IF(OR(CONT_TEA[[#This Row],[MatEditOnly]]=TRUE,CONT_TEA[[#This Row],[MatEditOnly]]=FALSE),IF(OR(CONT_TEA[[#This Row],[NoIncrement]]=TRUE,CONT_TEA[[#This Row],[NoIncrement]]=FALSE),0,1),1)</f>
        <v>0</v>
      </c>
      <c r="V248" s="57">
        <f>IF(ISBLANK(CONT_TEA[[#This Row],[FundCode]])=TRUE,0,IF(COUNTIF(FUNDS[FundCode],CONT_TEA[[#This Row],[FundCode]])=1,0,1))</f>
        <v>0</v>
      </c>
      <c r="W248" s="57">
        <f>IF(LEN(CONT_TEA[[#This Row],[Notes]])&lt;4000,0,1)</f>
        <v>0</v>
      </c>
      <c r="X248" s="57">
        <f>IF(SUBSTITUTE(TEXT(CONT_TEA[[#This Row],[Reference]],10)," ","")=TEXT(CONT_TEA[[#This Row],[Reference]],10),0,1)</f>
        <v>0</v>
      </c>
      <c r="Y248" s="57">
        <f ca="1">SUM(CONT_TEA[[#This Row],[Duplicate Contract]:[Space in Code]])</f>
        <v>1</v>
      </c>
      <c r="AA248" s="12" t="s">
        <v>2266</v>
      </c>
      <c r="AB248" s="15">
        <v>91324617</v>
      </c>
      <c r="AC248" s="12" t="s">
        <v>4596</v>
      </c>
      <c r="AD248" s="57" t="str">
        <f>_xlfn.XLOOKUP(CONT_TEA[[#This Row],[StaffMemberCode]],StaffMembers!O:O,StaffMembers!R:R)</f>
        <v>Vicky Wynne</v>
      </c>
      <c r="AE248" s="12" t="s">
        <v>1178</v>
      </c>
      <c r="AF248" s="57">
        <f>_xlfn.XLOOKUP(CONT_TEA[[#This Row],[SRG]],SRG[StaffRoleGroupCode],SRG[GrossSalaryFinanceCode])</f>
        <v>612100</v>
      </c>
      <c r="AG248" s="57" t="str">
        <f>_xlfn.XLOOKUP(CONT_TEA[[#This Row],[StaffRoleCode]],ROLES[StaffRoleCode],ROLES[StaffRoleGroupCode])</f>
        <v>TEA</v>
      </c>
      <c r="AH248" s="57" t="str">
        <f>_xlfn.XLOOKUP(CONT_TEA[[#This Row],[StaffRoleCode]],ROLES[StaffRoleCode],ROLES[PayScaleCode])</f>
        <v>MAIN</v>
      </c>
      <c r="AI248" s="12" t="s">
        <v>1126</v>
      </c>
      <c r="AJ248" s="12" t="s">
        <v>1064</v>
      </c>
      <c r="AK248" s="12" t="s">
        <v>2499</v>
      </c>
      <c r="AM248" s="68" t="s">
        <v>1147</v>
      </c>
      <c r="AN248" s="13" t="s">
        <v>1702</v>
      </c>
      <c r="AO248" s="21">
        <v>45901</v>
      </c>
      <c r="AQ248" s="12">
        <v>1</v>
      </c>
      <c r="AR248" t="b">
        <v>0</v>
      </c>
      <c r="AS248" t="b">
        <v>0</v>
      </c>
      <c r="AT248" s="12" t="s">
        <v>1574</v>
      </c>
    </row>
    <row r="249" spans="1:47" x14ac:dyDescent="0.3">
      <c r="A249" s="57" t="str">
        <f t="shared" si="4"/>
        <v>BLS9107356391073563ATEASTCH45901</v>
      </c>
      <c r="B249" s="57">
        <f>COUNTIF(CONT_TEA[Unique Contract],CONT_TEA[[#This Row],[Unique Contract]])-1</f>
        <v>0</v>
      </c>
      <c r="C249" s="57">
        <f>IFERROR(IF(FIND(CONT_TEA[[#This Row],[SchoolCode]],_xlfn.XLOOKUP(CONT_TEA[[#This Row],[StaffMemberCode]],MEMBERS[StaffMemberCode],MEMBERS[SchoolCodes]))&gt;0,0,1),1)</f>
        <v>0</v>
      </c>
      <c r="D249" s="57" cm="1">
        <f t="array" ref="D249">IF(_xlfn.XLOOKUP(CONT_TEA[[#This Row],[StaffRoleCode]],ROLES[StaffRoleCode],ROLES[AvailableToAllSchools],1,0,)=TRUE,0,IF(ISERROR(FIND(CONT_TEA[[#This Row],[SchoolCode]],_xlfn.TEXTJOIN(",",TRUE,_xlfn.UNIQUE(IF(ROLES[StaffRoleCode]=CONT_TEA[[#This Row],[StaffRoleCode]],ROLES[SchoolCodes],""))))),1,0))</f>
        <v>0</v>
      </c>
      <c r="E249" s="57" cm="1">
        <f t="array" ref="E24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49" s="57" cm="1">
        <f t="array" ref="F249">IF(_xlfn.XLOOKUP(CONT_TEA[[#This Row],[PayScaleCode]],PAYSCALES[PayScaleCode],PAYSCALES[AvailableToAllSchools],1,0,)=TRUE,0,IF(ISERROR(FIND(CONT_TEA[[#This Row],[SchoolCode]],_xlfn.TEXTJOIN(",",TRUE,_xlfn.UNIQUE(IF(PAYSCALES[PayScaleCode]=CONT_TEA[[#This Row],[PayScaleCode]],PAYSCALES[SchoolCodes],""))))),1,0))</f>
        <v>0</v>
      </c>
      <c r="G249" s="57">
        <f>IF(_xlfn.XLOOKUP(CONT_TEA[[#This Row],[PayScaleGradeCode]],GRADES[PayScaleGradeCode],GRADES[AvailableToAllSchools])=TRUE,0,IFERROR(IF(FIND(CONT_TEA[[#This Row],[SchoolCode]],_xlfn.XLOOKUP(CONT_TEA[[#This Row],[PayScaleGradeCode]],GRADES[PayScaleGradeCode],GRADES[SchoolCodes]))&gt;=1,0,1),1))</f>
        <v>0</v>
      </c>
      <c r="H249" s="57">
        <f>IF(ISERROR(IF((_xlfn.XLOOKUP(CONT_TEA[[#This Row],[PayScaleGradeCode]],GRADES[PayScaleGradeCode],GRADES[PayScaleCode])=CONT_TEA[[#This Row],[PayScaleCode]]),0,1)),1,0)</f>
        <v>0</v>
      </c>
      <c r="I249" s="57" cm="1">
        <f t="array" ref="I249">IF(ISERROR(FIND(CONT_TEA[[#This Row],[PayScalePointCode]],_xlfn.TEXTJOIN(",",TRUE,IF(PSPOINTS[PayScaleCode]=CONT_TEA[[#This Row],[PayScaleCode]],PSPOINTS[PayScalePointCode])))),1,0)</f>
        <v>0</v>
      </c>
      <c r="J249" s="57" cm="1">
        <f t="array" ref="J24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49" s="57">
        <f>IF(_xlfn.XLOOKUP(CONT_TEA[[#This Row],[PayScalePointCode]],PSPOINTS[PayScalePointCode],PSPOINTS[PayScalePointEnabled])=TRUE,0,1)</f>
        <v>0</v>
      </c>
      <c r="L249" s="57" cm="1">
        <f t="array" ref="L249">IF(_xlfn.XLOOKUP(CONT_TEA[[#This Row],[DepartmentCode]],DEPTS[DepartmentCode],DEPTS[AvailableToAllSchools],1,0,)=TRUE,0,IF(ISERROR(FIND(CONT_TEA[[#This Row],[SchoolCode]],_xlfn.TEXTJOIN(",",TRUE,_xlfn.UNIQUE(IF(DEPTS[DepartmentCode]=CONT_TEA[[#This Row],[DepartmentCode]],DEPTS[SchoolCodes],""))))),1,0))</f>
        <v>0</v>
      </c>
      <c r="M249" s="57">
        <f>IFERROR(IF(_xlfn.XLOOKUP(CONT_TEA[[#This Row],[SRG Gross]],FinanceCodesBudget[FinanceCode],FinanceCodesBudget[LedgerCode])=_xlfn.XLOOKUP(CONT_TEA[[#This Row],[DepartmentCode]],DEPTS[DepartmentCode],DEPTS[LedgerCode]),0,1),1)</f>
        <v>1</v>
      </c>
      <c r="N249" s="57" cm="1">
        <f t="array" ref="N249">IF(_xlfn.XLOOKUP(CONT_TEA[[#This Row],[PensionCode]],PENS[PensionCode],PENS[AvailableToAllSchools],1,0,)=TRUE,0,IF(ISERROR(FIND(CONT_TEA[[#This Row],[SchoolCode]],_xlfn.TEXTJOIN(",",TRUE,_xlfn.UNIQUE(IF(PENS[PensionCode]=CONT_TEA[[#This Row],[PensionCode]],PENS[SchoolCodes],""))))),1,0))</f>
        <v>0</v>
      </c>
      <c r="O249" s="57" cm="1">
        <f t="array" ref="O249">IF(_xlfn.XLOOKUP(CONT_TEA[[#This Row],[EquatedWeekPatternCode]],EQW[EquatedWeekPatternCode],EQW[AvailableToAllSchools],1,0,)=TRUE,0,IF(ISERROR(FIND(CONT_TEA[[#This Row],[SchoolCode]],_xlfn.TEXTJOIN(",",TRUE,_xlfn.UNIQUE(IF(EQW[EquatedWeekPatternCode]=CONT_TEA[[#This Row],[EquatedWeekPatternCode]],EQW[SchoolCodes],""))))),1,0))</f>
        <v>0</v>
      </c>
      <c r="P249" s="57">
        <f>1-COUNTIF(ContractTypes[Code],CONT_TEA[[#This Row],[ContractTypeCode]])</f>
        <v>0</v>
      </c>
      <c r="Q249" s="57">
        <f>IF(VLOOKUP(CONT_TEA[[#This Row],[StaffMemberCode]],MEMBERS[[StaffMemberCode]:[ServiceStartDate]],5,0)&gt;CONT_TEA[[#This Row],[DateFrom]],1,0)</f>
        <v>0</v>
      </c>
      <c r="R249" s="57">
        <f>IF(_xlfn.XLOOKUP(CONT_TEA[[#This Row],[StaffMemberCode]],MEMBERS[StaffMemberCode],MEMBERS[ServiceEndDate])="",0,IF(CONT_TEA[[#This Row],[DateTo]]="",1,IF(_xlfn.XLOOKUP(CONT_TEA[[#This Row],[StaffMemberCode]],MEMBERS[StaffMemberCode],MEMBERS[ServiceEndDate])&lt;CONT_TEA[[#This Row],[DateTo]],1,0)))</f>
        <v>0</v>
      </c>
      <c r="S249" s="57">
        <f>IF(ISBLANK(CONT_TEA[[#This Row],[DateTo]]),0,IF(CONT_TEA[[#This Row],[DateFrom]]=CONT_TEA[[#This Row],[DateTo]],0,IF(CONT_TEA[[#This Row],[DateFrom]]&lt;CONT_TEA[[#This Row],[DateTo]],0,1)))</f>
        <v>0</v>
      </c>
      <c r="T249" s="57" cm="1">
        <f t="array" aca="1" ref="T249" ca="1">IF(CELL("format",CONT_TEA[[#This Row],[DateFrom]])="D1",0,1)+IF(CELL("format",CONT_TEA[[#This Row],[DateTo]])="D1",0,1)</f>
        <v>0</v>
      </c>
      <c r="U249" s="57">
        <f>IF(OR(CONT_TEA[[#This Row],[MatEditOnly]]=TRUE,CONT_TEA[[#This Row],[MatEditOnly]]=FALSE),IF(OR(CONT_TEA[[#This Row],[NoIncrement]]=TRUE,CONT_TEA[[#This Row],[NoIncrement]]=FALSE),0,1),1)</f>
        <v>0</v>
      </c>
      <c r="V249" s="57">
        <f>IF(ISBLANK(CONT_TEA[[#This Row],[FundCode]])=TRUE,0,IF(COUNTIF(FUNDS[FundCode],CONT_TEA[[#This Row],[FundCode]])=1,0,1))</f>
        <v>0</v>
      </c>
      <c r="W249" s="57">
        <f>IF(LEN(CONT_TEA[[#This Row],[Notes]])&lt;4000,0,1)</f>
        <v>0</v>
      </c>
      <c r="X249" s="57">
        <f>IF(SUBSTITUTE(TEXT(CONT_TEA[[#This Row],[Reference]],10)," ","")=TEXT(CONT_TEA[[#This Row],[Reference]],10),0,1)</f>
        <v>0</v>
      </c>
      <c r="Y249" s="57">
        <f ca="1">SUM(CONT_TEA[[#This Row],[Duplicate Contract]:[Space in Code]])</f>
        <v>1</v>
      </c>
      <c r="AA249" s="12" t="s">
        <v>2094</v>
      </c>
      <c r="AB249" s="15">
        <v>91073563</v>
      </c>
      <c r="AC249" s="12" t="s">
        <v>4597</v>
      </c>
      <c r="AD249" s="57" t="str">
        <f>_xlfn.XLOOKUP(CONT_TEA[[#This Row],[StaffMemberCode]],StaffMembers!O:O,StaffMembers!R:R)</f>
        <v>Victoria Robinson</v>
      </c>
      <c r="AE249" s="12" t="s">
        <v>1178</v>
      </c>
      <c r="AF249" s="57">
        <f>_xlfn.XLOOKUP(CONT_TEA[[#This Row],[SRG]],SRG[StaffRoleGroupCode],SRG[GrossSalaryFinanceCode])</f>
        <v>612100</v>
      </c>
      <c r="AG249" s="57" t="str">
        <f>_xlfn.XLOOKUP(CONT_TEA[[#This Row],[StaffRoleCode]],ROLES[StaffRoleCode],ROLES[StaffRoleGroupCode])</f>
        <v>TEA</v>
      </c>
      <c r="AH249" s="57" t="str">
        <f>_xlfn.XLOOKUP(CONT_TEA[[#This Row],[StaffRoleCode]],ROLES[StaffRoleCode],ROLES[PayScaleCode])</f>
        <v>MAIN</v>
      </c>
      <c r="AI249" s="12" t="s">
        <v>1126</v>
      </c>
      <c r="AJ249" s="12" t="s">
        <v>1745</v>
      </c>
      <c r="AK249" s="12" t="s">
        <v>2499</v>
      </c>
      <c r="AM249" s="68" t="s">
        <v>1147</v>
      </c>
      <c r="AN249" s="13" t="s">
        <v>1702</v>
      </c>
      <c r="AO249" s="21">
        <v>45901</v>
      </c>
      <c r="AQ249" s="12">
        <v>0.7</v>
      </c>
      <c r="AR249" t="b">
        <v>0</v>
      </c>
      <c r="AS249" t="b">
        <v>0</v>
      </c>
      <c r="AT249" s="12" t="s">
        <v>1574</v>
      </c>
    </row>
    <row r="250" spans="1:47" x14ac:dyDescent="0.3">
      <c r="A250" s="57" t="str">
        <f t="shared" si="4"/>
        <v>ALS9107377091073770ATEASTCH45901</v>
      </c>
      <c r="B250" s="57">
        <f>COUNTIF(CONT_TEA[Unique Contract],CONT_TEA[[#This Row],[Unique Contract]])-1</f>
        <v>0</v>
      </c>
      <c r="C250" s="57">
        <f>IFERROR(IF(FIND(CONT_TEA[[#This Row],[SchoolCode]],_xlfn.XLOOKUP(CONT_TEA[[#This Row],[StaffMemberCode]],MEMBERS[StaffMemberCode],MEMBERS[SchoolCodes]))&gt;0,0,1),1)</f>
        <v>0</v>
      </c>
      <c r="D250" s="57" cm="1">
        <f t="array" ref="D250">IF(_xlfn.XLOOKUP(CONT_TEA[[#This Row],[StaffRoleCode]],ROLES[StaffRoleCode],ROLES[AvailableToAllSchools],1,0,)=TRUE,0,IF(ISERROR(FIND(CONT_TEA[[#This Row],[SchoolCode]],_xlfn.TEXTJOIN(",",TRUE,_xlfn.UNIQUE(IF(ROLES[StaffRoleCode]=CONT_TEA[[#This Row],[StaffRoleCode]],ROLES[SchoolCodes],""))))),1,0))</f>
        <v>0</v>
      </c>
      <c r="E250" s="57" cm="1">
        <f t="array" ref="E25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50" s="57" cm="1">
        <f t="array" ref="F250">IF(_xlfn.XLOOKUP(CONT_TEA[[#This Row],[PayScaleCode]],PAYSCALES[PayScaleCode],PAYSCALES[AvailableToAllSchools],1,0,)=TRUE,0,IF(ISERROR(FIND(CONT_TEA[[#This Row],[SchoolCode]],_xlfn.TEXTJOIN(",",TRUE,_xlfn.UNIQUE(IF(PAYSCALES[PayScaleCode]=CONT_TEA[[#This Row],[PayScaleCode]],PAYSCALES[SchoolCodes],""))))),1,0))</f>
        <v>0</v>
      </c>
      <c r="G250" s="57">
        <f>IF(_xlfn.XLOOKUP(CONT_TEA[[#This Row],[PayScaleGradeCode]],GRADES[PayScaleGradeCode],GRADES[AvailableToAllSchools])=TRUE,0,IFERROR(IF(FIND(CONT_TEA[[#This Row],[SchoolCode]],_xlfn.XLOOKUP(CONT_TEA[[#This Row],[PayScaleGradeCode]],GRADES[PayScaleGradeCode],GRADES[SchoolCodes]))&gt;=1,0,1),1))</f>
        <v>0</v>
      </c>
      <c r="H250" s="57">
        <f>IF(ISERROR(IF((_xlfn.XLOOKUP(CONT_TEA[[#This Row],[PayScaleGradeCode]],GRADES[PayScaleGradeCode],GRADES[PayScaleCode])=CONT_TEA[[#This Row],[PayScaleCode]]),0,1)),1,0)</f>
        <v>0</v>
      </c>
      <c r="I250" s="57" cm="1">
        <f t="array" ref="I250">IF(ISERROR(FIND(CONT_TEA[[#This Row],[PayScalePointCode]],_xlfn.TEXTJOIN(",",TRUE,IF(PSPOINTS[PayScaleCode]=CONT_TEA[[#This Row],[PayScaleCode]],PSPOINTS[PayScalePointCode])))),1,0)</f>
        <v>0</v>
      </c>
      <c r="J250" s="57" cm="1">
        <f t="array" ref="J25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50" s="57">
        <f>IF(_xlfn.XLOOKUP(CONT_TEA[[#This Row],[PayScalePointCode]],PSPOINTS[PayScalePointCode],PSPOINTS[PayScalePointEnabled])=TRUE,0,1)</f>
        <v>0</v>
      </c>
      <c r="L250" s="57" cm="1">
        <f t="array" ref="L250">IF(_xlfn.XLOOKUP(CONT_TEA[[#This Row],[DepartmentCode]],DEPTS[DepartmentCode],DEPTS[AvailableToAllSchools],1,0,)=TRUE,0,IF(ISERROR(FIND(CONT_TEA[[#This Row],[SchoolCode]],_xlfn.TEXTJOIN(",",TRUE,_xlfn.UNIQUE(IF(DEPTS[DepartmentCode]=CONT_TEA[[#This Row],[DepartmentCode]],DEPTS[SchoolCodes],""))))),1,0))</f>
        <v>0</v>
      </c>
      <c r="M250" s="57">
        <f>IFERROR(IF(_xlfn.XLOOKUP(CONT_TEA[[#This Row],[SRG Gross]],FinanceCodesBudget[FinanceCode],FinanceCodesBudget[LedgerCode])=_xlfn.XLOOKUP(CONT_TEA[[#This Row],[DepartmentCode]],DEPTS[DepartmentCode],DEPTS[LedgerCode]),0,1),1)</f>
        <v>1</v>
      </c>
      <c r="N250" s="57" cm="1">
        <f t="array" ref="N250">IF(_xlfn.XLOOKUP(CONT_TEA[[#This Row],[PensionCode]],PENS[PensionCode],PENS[AvailableToAllSchools],1,0,)=TRUE,0,IF(ISERROR(FIND(CONT_TEA[[#This Row],[SchoolCode]],_xlfn.TEXTJOIN(",",TRUE,_xlfn.UNIQUE(IF(PENS[PensionCode]=CONT_TEA[[#This Row],[PensionCode]],PENS[SchoolCodes],""))))),1,0))</f>
        <v>0</v>
      </c>
      <c r="O250" s="57" cm="1">
        <f t="array" ref="O250">IF(_xlfn.XLOOKUP(CONT_TEA[[#This Row],[EquatedWeekPatternCode]],EQW[EquatedWeekPatternCode],EQW[AvailableToAllSchools],1,0,)=TRUE,0,IF(ISERROR(FIND(CONT_TEA[[#This Row],[SchoolCode]],_xlfn.TEXTJOIN(",",TRUE,_xlfn.UNIQUE(IF(EQW[EquatedWeekPatternCode]=CONT_TEA[[#This Row],[EquatedWeekPatternCode]],EQW[SchoolCodes],""))))),1,0))</f>
        <v>0</v>
      </c>
      <c r="P250" s="57">
        <f>1-COUNTIF(ContractTypes[Code],CONT_TEA[[#This Row],[ContractTypeCode]])</f>
        <v>0</v>
      </c>
      <c r="Q250" s="57">
        <f>IF(VLOOKUP(CONT_TEA[[#This Row],[StaffMemberCode]],MEMBERS[[StaffMemberCode]:[ServiceStartDate]],5,0)&gt;CONT_TEA[[#This Row],[DateFrom]],1,0)</f>
        <v>0</v>
      </c>
      <c r="R250" s="57">
        <f>IF(_xlfn.XLOOKUP(CONT_TEA[[#This Row],[StaffMemberCode]],MEMBERS[StaffMemberCode],MEMBERS[ServiceEndDate])="",0,IF(CONT_TEA[[#This Row],[DateTo]]="",1,IF(_xlfn.XLOOKUP(CONT_TEA[[#This Row],[StaffMemberCode]],MEMBERS[StaffMemberCode],MEMBERS[ServiceEndDate])&lt;CONT_TEA[[#This Row],[DateTo]],1,0)))</f>
        <v>0</v>
      </c>
      <c r="S250" s="57">
        <f>IF(ISBLANK(CONT_TEA[[#This Row],[DateTo]]),0,IF(CONT_TEA[[#This Row],[DateFrom]]=CONT_TEA[[#This Row],[DateTo]],0,IF(CONT_TEA[[#This Row],[DateFrom]]&lt;CONT_TEA[[#This Row],[DateTo]],0,1)))</f>
        <v>0</v>
      </c>
      <c r="T250" s="57" cm="1">
        <f t="array" aca="1" ref="T250" ca="1">IF(CELL("format",CONT_TEA[[#This Row],[DateFrom]])="D1",0,1)+IF(CELL("format",CONT_TEA[[#This Row],[DateTo]])="D1",0,1)</f>
        <v>0</v>
      </c>
      <c r="U250" s="57">
        <f>IF(OR(CONT_TEA[[#This Row],[MatEditOnly]]=TRUE,CONT_TEA[[#This Row],[MatEditOnly]]=FALSE),IF(OR(CONT_TEA[[#This Row],[NoIncrement]]=TRUE,CONT_TEA[[#This Row],[NoIncrement]]=FALSE),0,1),1)</f>
        <v>0</v>
      </c>
      <c r="V250" s="57">
        <f>IF(ISBLANK(CONT_TEA[[#This Row],[FundCode]])=TRUE,0,IF(COUNTIF(FUNDS[FundCode],CONT_TEA[[#This Row],[FundCode]])=1,0,1))</f>
        <v>0</v>
      </c>
      <c r="W250" s="57">
        <f>IF(LEN(CONT_TEA[[#This Row],[Notes]])&lt;4000,0,1)</f>
        <v>0</v>
      </c>
      <c r="X250" s="57">
        <f>IF(SUBSTITUTE(TEXT(CONT_TEA[[#This Row],[Reference]],10)," ","")=TEXT(CONT_TEA[[#This Row],[Reference]],10),0,1)</f>
        <v>0</v>
      </c>
      <c r="Y250" s="57">
        <f ca="1">SUM(CONT_TEA[[#This Row],[Duplicate Contract]:[Space in Code]])</f>
        <v>1</v>
      </c>
      <c r="AA250" s="12" t="s">
        <v>2082</v>
      </c>
      <c r="AB250" s="15">
        <v>91073770</v>
      </c>
      <c r="AC250" s="12" t="s">
        <v>4598</v>
      </c>
      <c r="AD250" s="57" t="str">
        <f>_xlfn.XLOOKUP(CONT_TEA[[#This Row],[StaffMemberCode]],StaffMembers!O:O,StaffMembers!R:R)</f>
        <v>Victoria Ryan</v>
      </c>
      <c r="AE250" s="12" t="s">
        <v>1178</v>
      </c>
      <c r="AF250" s="57">
        <f>_xlfn.XLOOKUP(CONT_TEA[[#This Row],[SRG]],SRG[StaffRoleGroupCode],SRG[GrossSalaryFinanceCode])</f>
        <v>612100</v>
      </c>
      <c r="AG250" s="57" t="str">
        <f>_xlfn.XLOOKUP(CONT_TEA[[#This Row],[StaffRoleCode]],ROLES[StaffRoleCode],ROLES[StaffRoleGroupCode])</f>
        <v>TEA</v>
      </c>
      <c r="AH250" s="57" t="str">
        <f>_xlfn.XLOOKUP(CONT_TEA[[#This Row],[StaffRoleCode]],ROLES[StaffRoleCode],ROLES[PayScaleCode])</f>
        <v>MAIN</v>
      </c>
      <c r="AI250" s="12" t="s">
        <v>1126</v>
      </c>
      <c r="AJ250" s="12" t="s">
        <v>1745</v>
      </c>
      <c r="AK250" s="12" t="s">
        <v>2499</v>
      </c>
      <c r="AM250" s="68" t="s">
        <v>1147</v>
      </c>
      <c r="AN250" s="13" t="s">
        <v>1702</v>
      </c>
      <c r="AO250" s="21">
        <v>45901</v>
      </c>
      <c r="AQ250" s="12">
        <v>0.8</v>
      </c>
      <c r="AR250" t="b">
        <v>0</v>
      </c>
      <c r="AS250" t="b">
        <v>0</v>
      </c>
      <c r="AT250" s="12" t="s">
        <v>1574</v>
      </c>
    </row>
    <row r="251" spans="1:47" x14ac:dyDescent="0.3">
      <c r="A251" s="57" t="str">
        <f t="shared" si="4"/>
        <v>BLS9185002191850021ATEASTCH45901</v>
      </c>
      <c r="B251" s="57">
        <f>COUNTIF(CONT_TEA[Unique Contract],CONT_TEA[[#This Row],[Unique Contract]])-1</f>
        <v>0</v>
      </c>
      <c r="C251" s="57">
        <f>IFERROR(IF(FIND(CONT_TEA[[#This Row],[SchoolCode]],_xlfn.XLOOKUP(CONT_TEA[[#This Row],[StaffMemberCode]],MEMBERS[StaffMemberCode],MEMBERS[SchoolCodes]))&gt;0,0,1),1)</f>
        <v>0</v>
      </c>
      <c r="D251" s="57" cm="1">
        <f t="array" ref="D251">IF(_xlfn.XLOOKUP(CONT_TEA[[#This Row],[StaffRoleCode]],ROLES[StaffRoleCode],ROLES[AvailableToAllSchools],1,0,)=TRUE,0,IF(ISERROR(FIND(CONT_TEA[[#This Row],[SchoolCode]],_xlfn.TEXTJOIN(",",TRUE,_xlfn.UNIQUE(IF(ROLES[StaffRoleCode]=CONT_TEA[[#This Row],[StaffRoleCode]],ROLES[SchoolCodes],""))))),1,0))</f>
        <v>0</v>
      </c>
      <c r="E251" s="57" cm="1">
        <f t="array" ref="E25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51" s="57" cm="1">
        <f t="array" ref="F251">IF(_xlfn.XLOOKUP(CONT_TEA[[#This Row],[PayScaleCode]],PAYSCALES[PayScaleCode],PAYSCALES[AvailableToAllSchools],1,0,)=TRUE,0,IF(ISERROR(FIND(CONT_TEA[[#This Row],[SchoolCode]],_xlfn.TEXTJOIN(",",TRUE,_xlfn.UNIQUE(IF(PAYSCALES[PayScaleCode]=CONT_TEA[[#This Row],[PayScaleCode]],PAYSCALES[SchoolCodes],""))))),1,0))</f>
        <v>0</v>
      </c>
      <c r="G251" s="57">
        <f>IF(_xlfn.XLOOKUP(CONT_TEA[[#This Row],[PayScaleGradeCode]],GRADES[PayScaleGradeCode],GRADES[AvailableToAllSchools])=TRUE,0,IFERROR(IF(FIND(CONT_TEA[[#This Row],[SchoolCode]],_xlfn.XLOOKUP(CONT_TEA[[#This Row],[PayScaleGradeCode]],GRADES[PayScaleGradeCode],GRADES[SchoolCodes]))&gt;=1,0,1),1))</f>
        <v>0</v>
      </c>
      <c r="H251" s="57">
        <f>IF(ISERROR(IF((_xlfn.XLOOKUP(CONT_TEA[[#This Row],[PayScaleGradeCode]],GRADES[PayScaleGradeCode],GRADES[PayScaleCode])=CONT_TEA[[#This Row],[PayScaleCode]]),0,1)),1,0)</f>
        <v>0</v>
      </c>
      <c r="I251" s="57" cm="1">
        <f t="array" ref="I251">IF(ISERROR(FIND(CONT_TEA[[#This Row],[PayScalePointCode]],_xlfn.TEXTJOIN(",",TRUE,IF(PSPOINTS[PayScaleCode]=CONT_TEA[[#This Row],[PayScaleCode]],PSPOINTS[PayScalePointCode])))),1,0)</f>
        <v>0</v>
      </c>
      <c r="J251" s="57" cm="1">
        <f t="array" ref="J25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51" s="57">
        <f>IF(_xlfn.XLOOKUP(CONT_TEA[[#This Row],[PayScalePointCode]],PSPOINTS[PayScalePointCode],PSPOINTS[PayScalePointEnabled])=TRUE,0,1)</f>
        <v>0</v>
      </c>
      <c r="L251" s="57" cm="1">
        <f t="array" ref="L251">IF(_xlfn.XLOOKUP(CONT_TEA[[#This Row],[DepartmentCode]],DEPTS[DepartmentCode],DEPTS[AvailableToAllSchools],1,0,)=TRUE,0,IF(ISERROR(FIND(CONT_TEA[[#This Row],[SchoolCode]],_xlfn.TEXTJOIN(",",TRUE,_xlfn.UNIQUE(IF(DEPTS[DepartmentCode]=CONT_TEA[[#This Row],[DepartmentCode]],DEPTS[SchoolCodes],""))))),1,0))</f>
        <v>0</v>
      </c>
      <c r="M251" s="57">
        <f>IFERROR(IF(_xlfn.XLOOKUP(CONT_TEA[[#This Row],[SRG Gross]],FinanceCodesBudget[FinanceCode],FinanceCodesBudget[LedgerCode])=_xlfn.XLOOKUP(CONT_TEA[[#This Row],[DepartmentCode]],DEPTS[DepartmentCode],DEPTS[LedgerCode]),0,1),1)</f>
        <v>1</v>
      </c>
      <c r="N251" s="57" cm="1">
        <f t="array" ref="N251">IF(_xlfn.XLOOKUP(CONT_TEA[[#This Row],[PensionCode]],PENS[PensionCode],PENS[AvailableToAllSchools],1,0,)=TRUE,0,IF(ISERROR(FIND(CONT_TEA[[#This Row],[SchoolCode]],_xlfn.TEXTJOIN(",",TRUE,_xlfn.UNIQUE(IF(PENS[PensionCode]=CONT_TEA[[#This Row],[PensionCode]],PENS[SchoolCodes],""))))),1,0))</f>
        <v>0</v>
      </c>
      <c r="O251" s="57" cm="1">
        <f t="array" ref="O251">IF(_xlfn.XLOOKUP(CONT_TEA[[#This Row],[EquatedWeekPatternCode]],EQW[EquatedWeekPatternCode],EQW[AvailableToAllSchools],1,0,)=TRUE,0,IF(ISERROR(FIND(CONT_TEA[[#This Row],[SchoolCode]],_xlfn.TEXTJOIN(",",TRUE,_xlfn.UNIQUE(IF(EQW[EquatedWeekPatternCode]=CONT_TEA[[#This Row],[EquatedWeekPatternCode]],EQW[SchoolCodes],""))))),1,0))</f>
        <v>0</v>
      </c>
      <c r="P251" s="57">
        <f>1-COUNTIF(ContractTypes[Code],CONT_TEA[[#This Row],[ContractTypeCode]])</f>
        <v>0</v>
      </c>
      <c r="Q251" s="57">
        <f>IF(VLOOKUP(CONT_TEA[[#This Row],[StaffMemberCode]],MEMBERS[[StaffMemberCode]:[ServiceStartDate]],5,0)&gt;CONT_TEA[[#This Row],[DateFrom]],1,0)</f>
        <v>0</v>
      </c>
      <c r="R251" s="57">
        <f>IF(_xlfn.XLOOKUP(CONT_TEA[[#This Row],[StaffMemberCode]],MEMBERS[StaffMemberCode],MEMBERS[ServiceEndDate])="",0,IF(CONT_TEA[[#This Row],[DateTo]]="",1,IF(_xlfn.XLOOKUP(CONT_TEA[[#This Row],[StaffMemberCode]],MEMBERS[StaffMemberCode],MEMBERS[ServiceEndDate])&lt;CONT_TEA[[#This Row],[DateTo]],1,0)))</f>
        <v>0</v>
      </c>
      <c r="S251" s="57">
        <f>IF(ISBLANK(CONT_TEA[[#This Row],[DateTo]]),0,IF(CONT_TEA[[#This Row],[DateFrom]]=CONT_TEA[[#This Row],[DateTo]],0,IF(CONT_TEA[[#This Row],[DateFrom]]&lt;CONT_TEA[[#This Row],[DateTo]],0,1)))</f>
        <v>0</v>
      </c>
      <c r="T251" s="57" cm="1">
        <f t="array" aca="1" ref="T251" ca="1">IF(CELL("format",CONT_TEA[[#This Row],[DateFrom]])="D1",0,1)+IF(CELL("format",CONT_TEA[[#This Row],[DateTo]])="D1",0,1)</f>
        <v>0</v>
      </c>
      <c r="U251" s="57">
        <f>IF(OR(CONT_TEA[[#This Row],[MatEditOnly]]=TRUE,CONT_TEA[[#This Row],[MatEditOnly]]=FALSE),IF(OR(CONT_TEA[[#This Row],[NoIncrement]]=TRUE,CONT_TEA[[#This Row],[NoIncrement]]=FALSE),0,1),1)</f>
        <v>0</v>
      </c>
      <c r="V251" s="57">
        <f>IF(ISBLANK(CONT_TEA[[#This Row],[FundCode]])=TRUE,0,IF(COUNTIF(FUNDS[FundCode],CONT_TEA[[#This Row],[FundCode]])=1,0,1))</f>
        <v>0</v>
      </c>
      <c r="W251" s="57">
        <f>IF(LEN(CONT_TEA[[#This Row],[Notes]])&lt;4000,0,1)</f>
        <v>0</v>
      </c>
      <c r="X251" s="57">
        <f>IF(SUBSTITUTE(TEXT(CONT_TEA[[#This Row],[Reference]],10)," ","")=TEXT(CONT_TEA[[#This Row],[Reference]],10),0,1)</f>
        <v>0</v>
      </c>
      <c r="Y251" s="57">
        <f ca="1">SUM(CONT_TEA[[#This Row],[Duplicate Contract]:[Space in Code]])</f>
        <v>1</v>
      </c>
      <c r="AA251" s="12" t="s">
        <v>2094</v>
      </c>
      <c r="AB251" s="15">
        <v>91850021</v>
      </c>
      <c r="AC251" s="12" t="s">
        <v>4599</v>
      </c>
      <c r="AD251" s="57" t="str">
        <f>_xlfn.XLOOKUP(CONT_TEA[[#This Row],[StaffMemberCode]],StaffMembers!O:O,StaffMembers!R:R)</f>
        <v>Zach Rogerson</v>
      </c>
      <c r="AE251" s="12" t="s">
        <v>1178</v>
      </c>
      <c r="AF251" s="57">
        <f>_xlfn.XLOOKUP(CONT_TEA[[#This Row],[SRG]],SRG[StaffRoleGroupCode],SRG[GrossSalaryFinanceCode])</f>
        <v>612100</v>
      </c>
      <c r="AG251" s="57" t="str">
        <f>_xlfn.XLOOKUP(CONT_TEA[[#This Row],[StaffRoleCode]],ROLES[StaffRoleCode],ROLES[StaffRoleGroupCode])</f>
        <v>TEA</v>
      </c>
      <c r="AH251" s="57" t="str">
        <f>_xlfn.XLOOKUP(CONT_TEA[[#This Row],[StaffRoleCode]],ROLES[StaffRoleCode],ROLES[PayScaleCode])</f>
        <v>MAIN</v>
      </c>
      <c r="AI251" s="12" t="s">
        <v>1126</v>
      </c>
      <c r="AJ251" s="12" t="s">
        <v>1546</v>
      </c>
      <c r="AK251" s="12" t="s">
        <v>2499</v>
      </c>
      <c r="AM251" s="68" t="s">
        <v>1147</v>
      </c>
      <c r="AN251" s="13" t="s">
        <v>1702</v>
      </c>
      <c r="AO251" s="21">
        <v>45901</v>
      </c>
      <c r="AQ251" s="12">
        <v>1</v>
      </c>
      <c r="AR251" t="b">
        <v>0</v>
      </c>
      <c r="AS251" t="b">
        <v>0</v>
      </c>
      <c r="AT251" s="12" t="s">
        <v>1574</v>
      </c>
      <c r="AU251" s="12" t="s">
        <v>4346</v>
      </c>
    </row>
    <row r="252" spans="1:47" x14ac:dyDescent="0.3">
      <c r="A252" s="57" t="str">
        <f t="shared" si="4"/>
        <v>AUD9185003491850034ATEASTCH45901</v>
      </c>
      <c r="B252" s="57">
        <f>COUNTIF(CONT_TEA[Unique Contract],CONT_TEA[[#This Row],[Unique Contract]])-1</f>
        <v>0</v>
      </c>
      <c r="C252" s="57">
        <f>IFERROR(IF(FIND(CONT_TEA[[#This Row],[SchoolCode]],_xlfn.XLOOKUP(CONT_TEA[[#This Row],[StaffMemberCode]],MEMBERS[StaffMemberCode],MEMBERS[SchoolCodes]))&gt;0,0,1),1)</f>
        <v>0</v>
      </c>
      <c r="D252" s="57" cm="1">
        <f t="array" ref="D252">IF(_xlfn.XLOOKUP(CONT_TEA[[#This Row],[StaffRoleCode]],ROLES[StaffRoleCode],ROLES[AvailableToAllSchools],1,0,)=TRUE,0,IF(ISERROR(FIND(CONT_TEA[[#This Row],[SchoolCode]],_xlfn.TEXTJOIN(",",TRUE,_xlfn.UNIQUE(IF(ROLES[StaffRoleCode]=CONT_TEA[[#This Row],[StaffRoleCode]],ROLES[SchoolCodes],""))))),1,0))</f>
        <v>0</v>
      </c>
      <c r="E252" s="57" cm="1">
        <f t="array" ref="E25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52" s="57" cm="1">
        <f t="array" ref="F252">IF(_xlfn.XLOOKUP(CONT_TEA[[#This Row],[PayScaleCode]],PAYSCALES[PayScaleCode],PAYSCALES[AvailableToAllSchools],1,0,)=TRUE,0,IF(ISERROR(FIND(CONT_TEA[[#This Row],[SchoolCode]],_xlfn.TEXTJOIN(",",TRUE,_xlfn.UNIQUE(IF(PAYSCALES[PayScaleCode]=CONT_TEA[[#This Row],[PayScaleCode]],PAYSCALES[SchoolCodes],""))))),1,0))</f>
        <v>0</v>
      </c>
      <c r="G252" s="57">
        <f>IF(_xlfn.XLOOKUP(CONT_TEA[[#This Row],[PayScaleGradeCode]],GRADES[PayScaleGradeCode],GRADES[AvailableToAllSchools])=TRUE,0,IFERROR(IF(FIND(CONT_TEA[[#This Row],[SchoolCode]],_xlfn.XLOOKUP(CONT_TEA[[#This Row],[PayScaleGradeCode]],GRADES[PayScaleGradeCode],GRADES[SchoolCodes]))&gt;=1,0,1),1))</f>
        <v>0</v>
      </c>
      <c r="H252" s="57">
        <f>IF(ISERROR(IF((_xlfn.XLOOKUP(CONT_TEA[[#This Row],[PayScaleGradeCode]],GRADES[PayScaleGradeCode],GRADES[PayScaleCode])=CONT_TEA[[#This Row],[PayScaleCode]]),0,1)),1,0)</f>
        <v>0</v>
      </c>
      <c r="I252" s="57" cm="1">
        <f t="array" ref="I252">IF(ISERROR(FIND(CONT_TEA[[#This Row],[PayScalePointCode]],_xlfn.TEXTJOIN(",",TRUE,IF(PSPOINTS[PayScaleCode]=CONT_TEA[[#This Row],[PayScaleCode]],PSPOINTS[PayScalePointCode])))),1,0)</f>
        <v>0</v>
      </c>
      <c r="J252" s="57" cm="1">
        <f t="array" ref="J25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52" s="57">
        <f>IF(_xlfn.XLOOKUP(CONT_TEA[[#This Row],[PayScalePointCode]],PSPOINTS[PayScalePointCode],PSPOINTS[PayScalePointEnabled])=TRUE,0,1)</f>
        <v>0</v>
      </c>
      <c r="L252" s="57" cm="1">
        <f t="array" ref="L252">IF(_xlfn.XLOOKUP(CONT_TEA[[#This Row],[DepartmentCode]],DEPTS[DepartmentCode],DEPTS[AvailableToAllSchools],1,0,)=TRUE,0,IF(ISERROR(FIND(CONT_TEA[[#This Row],[SchoolCode]],_xlfn.TEXTJOIN(",",TRUE,_xlfn.UNIQUE(IF(DEPTS[DepartmentCode]=CONT_TEA[[#This Row],[DepartmentCode]],DEPTS[SchoolCodes],""))))),1,0))</f>
        <v>0</v>
      </c>
      <c r="M252" s="57">
        <f>IFERROR(IF(_xlfn.XLOOKUP(CONT_TEA[[#This Row],[SRG Gross]],FinanceCodesBudget[FinanceCode],FinanceCodesBudget[LedgerCode])=_xlfn.XLOOKUP(CONT_TEA[[#This Row],[DepartmentCode]],DEPTS[DepartmentCode],DEPTS[LedgerCode]),0,1),1)</f>
        <v>1</v>
      </c>
      <c r="N252" s="57" cm="1">
        <f t="array" ref="N252">IF(_xlfn.XLOOKUP(CONT_TEA[[#This Row],[PensionCode]],PENS[PensionCode],PENS[AvailableToAllSchools],1,0,)=TRUE,0,IF(ISERROR(FIND(CONT_TEA[[#This Row],[SchoolCode]],_xlfn.TEXTJOIN(",",TRUE,_xlfn.UNIQUE(IF(PENS[PensionCode]=CONT_TEA[[#This Row],[PensionCode]],PENS[SchoolCodes],""))))),1,0))</f>
        <v>0</v>
      </c>
      <c r="O252" s="57" cm="1">
        <f t="array" ref="O252">IF(_xlfn.XLOOKUP(CONT_TEA[[#This Row],[EquatedWeekPatternCode]],EQW[EquatedWeekPatternCode],EQW[AvailableToAllSchools],1,0,)=TRUE,0,IF(ISERROR(FIND(CONT_TEA[[#This Row],[SchoolCode]],_xlfn.TEXTJOIN(",",TRUE,_xlfn.UNIQUE(IF(EQW[EquatedWeekPatternCode]=CONT_TEA[[#This Row],[EquatedWeekPatternCode]],EQW[SchoolCodes],""))))),1,0))</f>
        <v>0</v>
      </c>
      <c r="P252" s="57">
        <f>1-COUNTIF(ContractTypes[Code],CONT_TEA[[#This Row],[ContractTypeCode]])</f>
        <v>0</v>
      </c>
      <c r="Q252" s="57">
        <f>IF(VLOOKUP(CONT_TEA[[#This Row],[StaffMemberCode]],MEMBERS[[StaffMemberCode]:[ServiceStartDate]],5,0)&gt;CONT_TEA[[#This Row],[DateFrom]],1,0)</f>
        <v>0</v>
      </c>
      <c r="R252" s="57">
        <f>IF(_xlfn.XLOOKUP(CONT_TEA[[#This Row],[StaffMemberCode]],MEMBERS[StaffMemberCode],MEMBERS[ServiceEndDate])="",0,IF(CONT_TEA[[#This Row],[DateTo]]="",1,IF(_xlfn.XLOOKUP(CONT_TEA[[#This Row],[StaffMemberCode]],MEMBERS[StaffMemberCode],MEMBERS[ServiceEndDate])&lt;CONT_TEA[[#This Row],[DateTo]],1,0)))</f>
        <v>0</v>
      </c>
      <c r="S252" s="57">
        <f>IF(ISBLANK(CONT_TEA[[#This Row],[DateTo]]),0,IF(CONT_TEA[[#This Row],[DateFrom]]=CONT_TEA[[#This Row],[DateTo]],0,IF(CONT_TEA[[#This Row],[DateFrom]]&lt;CONT_TEA[[#This Row],[DateTo]],0,1)))</f>
        <v>0</v>
      </c>
      <c r="T252" s="57" cm="1">
        <f t="array" aca="1" ref="T252" ca="1">IF(CELL("format",CONT_TEA[[#This Row],[DateFrom]])="D1",0,1)+IF(CELL("format",CONT_TEA[[#This Row],[DateTo]])="D1",0,1)</f>
        <v>0</v>
      </c>
      <c r="U252" s="57">
        <f>IF(OR(CONT_TEA[[#This Row],[MatEditOnly]]=TRUE,CONT_TEA[[#This Row],[MatEditOnly]]=FALSE),IF(OR(CONT_TEA[[#This Row],[NoIncrement]]=TRUE,CONT_TEA[[#This Row],[NoIncrement]]=FALSE),0,1),1)</f>
        <v>0</v>
      </c>
      <c r="V252" s="57">
        <f>IF(ISBLANK(CONT_TEA[[#This Row],[FundCode]])=TRUE,0,IF(COUNTIF(FUNDS[FundCode],CONT_TEA[[#This Row],[FundCode]])=1,0,1))</f>
        <v>0</v>
      </c>
      <c r="W252" s="57">
        <f>IF(LEN(CONT_TEA[[#This Row],[Notes]])&lt;4000,0,1)</f>
        <v>0</v>
      </c>
      <c r="X252" s="57">
        <f>IF(SUBSTITUTE(TEXT(CONT_TEA[[#This Row],[Reference]],10)," ","")=TEXT(CONT_TEA[[#This Row],[Reference]],10),0,1)</f>
        <v>0</v>
      </c>
      <c r="Y252" s="57">
        <f ca="1">SUM(CONT_TEA[[#This Row],[Duplicate Contract]:[Space in Code]])</f>
        <v>1</v>
      </c>
      <c r="AA252" s="12" t="s">
        <v>2089</v>
      </c>
      <c r="AB252" s="15">
        <v>91850034</v>
      </c>
      <c r="AC252" s="12" t="s">
        <v>4600</v>
      </c>
      <c r="AD252" s="57" t="str">
        <f>_xlfn.XLOOKUP(CONT_TEA[[#This Row],[StaffMemberCode]],StaffMembers!O:O,StaffMembers!R:R)</f>
        <v>Zoe Willis</v>
      </c>
      <c r="AE252" s="12" t="s">
        <v>1178</v>
      </c>
      <c r="AF252" s="57">
        <f>_xlfn.XLOOKUP(CONT_TEA[[#This Row],[SRG]],SRG[StaffRoleGroupCode],SRG[GrossSalaryFinanceCode])</f>
        <v>612100</v>
      </c>
      <c r="AG252" s="57" t="str">
        <f>_xlfn.XLOOKUP(CONT_TEA[[#This Row],[StaffRoleCode]],ROLES[StaffRoleCode],ROLES[StaffRoleGroupCode])</f>
        <v>TEA</v>
      </c>
      <c r="AH252" s="57" t="str">
        <f>_xlfn.XLOOKUP(CONT_TEA[[#This Row],[StaffRoleCode]],ROLES[StaffRoleCode],ROLES[PayScaleCode])</f>
        <v>MAIN</v>
      </c>
      <c r="AI252" s="12" t="s">
        <v>1126</v>
      </c>
      <c r="AJ252" s="12" t="s">
        <v>1065</v>
      </c>
      <c r="AK252" s="12" t="s">
        <v>2499</v>
      </c>
      <c r="AM252" s="68" t="s">
        <v>1147</v>
      </c>
      <c r="AN252" s="13" t="s">
        <v>1702</v>
      </c>
      <c r="AO252" s="21">
        <v>45901</v>
      </c>
      <c r="AQ252" s="12">
        <v>1</v>
      </c>
      <c r="AR252" t="b">
        <v>0</v>
      </c>
      <c r="AS252" t="b">
        <v>0</v>
      </c>
      <c r="AT252" s="12" t="s">
        <v>65</v>
      </c>
    </row>
    <row r="253" spans="1:47" x14ac:dyDescent="0.3">
      <c r="A253" s="57" t="str">
        <f t="shared" ref="A253:A259" si="5">AA253&amp;AB253&amp;AC253&amp;AE253&amp;AK253&amp;AO253</f>
        <v>MLB10005318106044AHTSTCH46023</v>
      </c>
      <c r="B253" s="57">
        <f>COUNTIF(CONT_TEA[Unique Contract],CONT_TEA[[#This Row],[Unique Contract]])-1</f>
        <v>0</v>
      </c>
      <c r="C253" s="57">
        <f>IFERROR(IF(FIND(CONT_TEA[[#This Row],[SchoolCode]],_xlfn.XLOOKUP(CONT_TEA[[#This Row],[StaffMemberCode]],MEMBERS[StaffMemberCode],MEMBERS[SchoolCodes]))&gt;0,0,1),1)</f>
        <v>0</v>
      </c>
      <c r="D253" s="57" cm="1">
        <f t="array" ref="D253">IF(_xlfn.XLOOKUP(CONT_TEA[[#This Row],[StaffRoleCode]],ROLES[StaffRoleCode],ROLES[AvailableToAllSchools],1,0,)=TRUE,0,IF(ISERROR(FIND(CONT_TEA[[#This Row],[SchoolCode]],_xlfn.TEXTJOIN(",",TRUE,_xlfn.UNIQUE(IF(ROLES[StaffRoleCode]=CONT_TEA[[#This Row],[StaffRoleCode]],ROLES[SchoolCodes],""))))),1,0))</f>
        <v>0</v>
      </c>
      <c r="E253" s="57" cm="1">
        <f t="array" ref="E25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53" s="57" cm="1">
        <f t="array" ref="F253">IF(_xlfn.XLOOKUP(CONT_TEA[[#This Row],[PayScaleCode]],PAYSCALES[PayScaleCode],PAYSCALES[AvailableToAllSchools],1,0,)=TRUE,0,IF(ISERROR(FIND(CONT_TEA[[#This Row],[SchoolCode]],_xlfn.TEXTJOIN(",",TRUE,_xlfn.UNIQUE(IF(PAYSCALES[PayScaleCode]=CONT_TEA[[#This Row],[PayScaleCode]],PAYSCALES[SchoolCodes],""))))),1,0))</f>
        <v>0</v>
      </c>
      <c r="G253" s="57">
        <f>IF(_xlfn.XLOOKUP(CONT_TEA[[#This Row],[PayScaleGradeCode]],GRADES[PayScaleGradeCode],GRADES[AvailableToAllSchools])=TRUE,0,IFERROR(IF(FIND(CONT_TEA[[#This Row],[SchoolCode]],_xlfn.XLOOKUP(CONT_TEA[[#This Row],[PayScaleGradeCode]],GRADES[PayScaleGradeCode],GRADES[SchoolCodes]))&gt;=1,0,1),1))</f>
        <v>0</v>
      </c>
      <c r="H253" s="57">
        <f>IF(ISERROR(IF((_xlfn.XLOOKUP(CONT_TEA[[#This Row],[PayScaleGradeCode]],GRADES[PayScaleGradeCode],GRADES[PayScaleCode])=CONT_TEA[[#This Row],[PayScaleCode]]),0,1)),1,0)</f>
        <v>0</v>
      </c>
      <c r="I253" s="57" cm="1">
        <f t="array" ref="I253">IF(ISERROR(FIND(CONT_TEA[[#This Row],[PayScalePointCode]],_xlfn.TEXTJOIN(",",TRUE,IF(PSPOINTS[PayScaleCode]=CONT_TEA[[#This Row],[PayScaleCode]],PSPOINTS[PayScalePointCode])))),1,0)</f>
        <v>0</v>
      </c>
      <c r="J253" s="57" cm="1">
        <f t="array" ref="J25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53" s="57">
        <f>IF(_xlfn.XLOOKUP(CONT_TEA[[#This Row],[PayScalePointCode]],PSPOINTS[PayScalePointCode],PSPOINTS[PayScalePointEnabled])=TRUE,0,1)</f>
        <v>0</v>
      </c>
      <c r="L253" s="57" cm="1">
        <f t="array" ref="L253">IF(_xlfn.XLOOKUP(CONT_TEA[[#This Row],[DepartmentCode]],DEPTS[DepartmentCode],DEPTS[AvailableToAllSchools],1,0,)=TRUE,0,IF(ISERROR(FIND(CONT_TEA[[#This Row],[SchoolCode]],_xlfn.TEXTJOIN(",",TRUE,_xlfn.UNIQUE(IF(DEPTS[DepartmentCode]=CONT_TEA[[#This Row],[DepartmentCode]],DEPTS[SchoolCodes],""))))),1,0))</f>
        <v>0</v>
      </c>
      <c r="M253" s="57">
        <f>IFERROR(IF(_xlfn.XLOOKUP(CONT_TEA[[#This Row],[SRG Gross]],FinanceCodesBudget[FinanceCode],FinanceCodesBudget[LedgerCode])=_xlfn.XLOOKUP(CONT_TEA[[#This Row],[DepartmentCode]],DEPTS[DepartmentCode],DEPTS[LedgerCode]),0,1),1)</f>
        <v>1</v>
      </c>
      <c r="N253" s="57" cm="1">
        <f t="array" ref="N253">IF(_xlfn.XLOOKUP(CONT_TEA[[#This Row],[PensionCode]],PENS[PensionCode],PENS[AvailableToAllSchools],1,0,)=TRUE,0,IF(ISERROR(FIND(CONT_TEA[[#This Row],[SchoolCode]],_xlfn.TEXTJOIN(",",TRUE,_xlfn.UNIQUE(IF(PENS[PensionCode]=CONT_TEA[[#This Row],[PensionCode]],PENS[SchoolCodes],""))))),1,0))</f>
        <v>0</v>
      </c>
      <c r="O253" s="57" cm="1">
        <f t="array" ref="O253">IF(_xlfn.XLOOKUP(CONT_TEA[[#This Row],[EquatedWeekPatternCode]],EQW[EquatedWeekPatternCode],EQW[AvailableToAllSchools],1,0,)=TRUE,0,IF(ISERROR(FIND(CONT_TEA[[#This Row],[SchoolCode]],_xlfn.TEXTJOIN(",",TRUE,_xlfn.UNIQUE(IF(EQW[EquatedWeekPatternCode]=CONT_TEA[[#This Row],[EquatedWeekPatternCode]],EQW[SchoolCodes],""))))),1,0))</f>
        <v>0</v>
      </c>
      <c r="P253" s="57">
        <f>1-COUNTIF(ContractTypes[Code],CONT_TEA[[#This Row],[ContractTypeCode]])</f>
        <v>0</v>
      </c>
      <c r="Q253" s="57">
        <f>IF(VLOOKUP(CONT_TEA[[#This Row],[StaffMemberCode]],MEMBERS[[StaffMemberCode]:[ServiceStartDate]],5,0)&gt;CONT_TEA[[#This Row],[DateFrom]],1,0)</f>
        <v>0</v>
      </c>
      <c r="R253" s="57">
        <f>IF(_xlfn.XLOOKUP(CONT_TEA[[#This Row],[StaffMemberCode]],MEMBERS[StaffMemberCode],MEMBERS[ServiceEndDate])="",0,IF(CONT_TEA[[#This Row],[DateTo]]="",1,IF(_xlfn.XLOOKUP(CONT_TEA[[#This Row],[StaffMemberCode]],MEMBERS[StaffMemberCode],MEMBERS[ServiceEndDate])&lt;CONT_TEA[[#This Row],[DateTo]],1,0)))</f>
        <v>0</v>
      </c>
      <c r="S253" s="57">
        <f>IF(ISBLANK(CONT_TEA[[#This Row],[DateTo]]),0,IF(CONT_TEA[[#This Row],[DateFrom]]=CONT_TEA[[#This Row],[DateTo]],0,IF(CONT_TEA[[#This Row],[DateFrom]]&lt;CONT_TEA[[#This Row],[DateTo]],0,1)))</f>
        <v>0</v>
      </c>
      <c r="T253" s="57" cm="1">
        <f t="array" aca="1" ref="T253" ca="1">IF(CELL("format",CONT_TEA[[#This Row],[DateFrom]])="D1",0,1)+IF(CELL("format",CONT_TEA[[#This Row],[DateTo]])="D1",0,1)</f>
        <v>0</v>
      </c>
      <c r="U253" s="57">
        <f>IF(OR(CONT_TEA[[#This Row],[MatEditOnly]]=TRUE,CONT_TEA[[#This Row],[MatEditOnly]]=FALSE),IF(OR(CONT_TEA[[#This Row],[NoIncrement]]=TRUE,CONT_TEA[[#This Row],[NoIncrement]]=FALSE),0,1),1)</f>
        <v>0</v>
      </c>
      <c r="V253" s="57">
        <f>IF(ISBLANK(CONT_TEA[[#This Row],[FundCode]])=TRUE,0,IF(COUNTIF(FUNDS[FundCode],CONT_TEA[[#This Row],[FundCode]])=1,0,1))</f>
        <v>0</v>
      </c>
      <c r="W253" s="57">
        <f>IF(LEN(CONT_TEA[[#This Row],[Notes]])&lt;4000,0,1)</f>
        <v>0</v>
      </c>
      <c r="X253" s="57">
        <f>IF(SUBSTITUTE(TEXT(CONT_TEA[[#This Row],[Reference]],10)," ","")=TEXT(CONT_TEA[[#This Row],[Reference]],10),0,1)</f>
        <v>0</v>
      </c>
      <c r="Y253" s="57">
        <f ca="1">SUM(CONT_TEA[[#This Row],[Duplicate Contract]:[Space in Code]])</f>
        <v>1</v>
      </c>
      <c r="AA253" s="12" t="s">
        <v>2126</v>
      </c>
      <c r="AB253" s="15">
        <v>10005318</v>
      </c>
      <c r="AC253" s="12">
        <v>106044</v>
      </c>
      <c r="AD253" s="57" t="str">
        <f>_xlfn.XLOOKUP(CONT_TEA[[#This Row],[StaffMemberCode]],StaffMembers!O:O,StaffMembers!R:R)</f>
        <v>Christopher Yew</v>
      </c>
      <c r="AE253" s="12" t="s">
        <v>1613</v>
      </c>
      <c r="AF253" s="57">
        <f>_xlfn.XLOOKUP(CONT_TEA[[#This Row],[SRG]],SRG[StaffRoleGroupCode],SRG[GrossSalaryFinanceCode])</f>
        <v>610100</v>
      </c>
      <c r="AG253" s="57" t="str">
        <f>_xlfn.XLOOKUP(CONT_TEA[[#This Row],[StaffRoleCode]],ROLES[StaffRoleCode],ROLES[StaffRoleGroupCode])</f>
        <v>LST</v>
      </c>
      <c r="AH253" s="57" t="str">
        <f>_xlfn.XLOOKUP(CONT_TEA[[#This Row],[StaffRoleCode]],ROLES[StaffRoleCode],ROLES[PayScaleCode])</f>
        <v>LS</v>
      </c>
      <c r="AI253" s="12" t="s">
        <v>4157</v>
      </c>
      <c r="AJ253" s="12" t="s">
        <v>1090</v>
      </c>
      <c r="AK253" s="12" t="s">
        <v>2499</v>
      </c>
      <c r="AM253" s="68" t="s">
        <v>1147</v>
      </c>
      <c r="AN253" s="13" t="s">
        <v>1702</v>
      </c>
      <c r="AO253" s="21">
        <v>46023</v>
      </c>
      <c r="AQ253" s="12">
        <v>1</v>
      </c>
      <c r="AR253" t="b">
        <v>0</v>
      </c>
      <c r="AS253" t="b">
        <v>0</v>
      </c>
      <c r="AT253" s="12" t="s">
        <v>1574</v>
      </c>
    </row>
    <row r="254" spans="1:47" x14ac:dyDescent="0.3">
      <c r="A254" s="57" t="str">
        <f t="shared" si="5"/>
        <v>MLB10010501106095AHTSTCH46023</v>
      </c>
      <c r="B254" s="57">
        <f>COUNTIF(CONT_TEA[Unique Contract],CONT_TEA[[#This Row],[Unique Contract]])-1</f>
        <v>0</v>
      </c>
      <c r="C254" s="57">
        <f>IFERROR(IF(FIND(CONT_TEA[[#This Row],[SchoolCode]],_xlfn.XLOOKUP(CONT_TEA[[#This Row],[StaffMemberCode]],MEMBERS[StaffMemberCode],MEMBERS[SchoolCodes]))&gt;0,0,1),1)</f>
        <v>0</v>
      </c>
      <c r="D254" s="57" cm="1">
        <f t="array" ref="D254">IF(_xlfn.XLOOKUP(CONT_TEA[[#This Row],[StaffRoleCode]],ROLES[StaffRoleCode],ROLES[AvailableToAllSchools],1,0,)=TRUE,0,IF(ISERROR(FIND(CONT_TEA[[#This Row],[SchoolCode]],_xlfn.TEXTJOIN(",",TRUE,_xlfn.UNIQUE(IF(ROLES[StaffRoleCode]=CONT_TEA[[#This Row],[StaffRoleCode]],ROLES[SchoolCodes],""))))),1,0))</f>
        <v>0</v>
      </c>
      <c r="E254" s="57" cm="1">
        <f t="array" ref="E25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54" s="57" cm="1">
        <f t="array" ref="F254">IF(_xlfn.XLOOKUP(CONT_TEA[[#This Row],[PayScaleCode]],PAYSCALES[PayScaleCode],PAYSCALES[AvailableToAllSchools],1,0,)=TRUE,0,IF(ISERROR(FIND(CONT_TEA[[#This Row],[SchoolCode]],_xlfn.TEXTJOIN(",",TRUE,_xlfn.UNIQUE(IF(PAYSCALES[PayScaleCode]=CONT_TEA[[#This Row],[PayScaleCode]],PAYSCALES[SchoolCodes],""))))),1,0))</f>
        <v>0</v>
      </c>
      <c r="G254" s="57">
        <f>IF(_xlfn.XLOOKUP(CONT_TEA[[#This Row],[PayScaleGradeCode]],GRADES[PayScaleGradeCode],GRADES[AvailableToAllSchools])=TRUE,0,IFERROR(IF(FIND(CONT_TEA[[#This Row],[SchoolCode]],_xlfn.XLOOKUP(CONT_TEA[[#This Row],[PayScaleGradeCode]],GRADES[PayScaleGradeCode],GRADES[SchoolCodes]))&gt;=1,0,1),1))</f>
        <v>0</v>
      </c>
      <c r="H254" s="57">
        <f>IF(ISERROR(IF((_xlfn.XLOOKUP(CONT_TEA[[#This Row],[PayScaleGradeCode]],GRADES[PayScaleGradeCode],GRADES[PayScaleCode])=CONT_TEA[[#This Row],[PayScaleCode]]),0,1)),1,0)</f>
        <v>0</v>
      </c>
      <c r="I254" s="57" cm="1">
        <f t="array" ref="I254">IF(ISERROR(FIND(CONT_TEA[[#This Row],[PayScalePointCode]],_xlfn.TEXTJOIN(",",TRUE,IF(PSPOINTS[PayScaleCode]=CONT_TEA[[#This Row],[PayScaleCode]],PSPOINTS[PayScalePointCode])))),1,0)</f>
        <v>0</v>
      </c>
      <c r="J254" s="57" cm="1">
        <f t="array" ref="J25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54" s="57">
        <f>IF(_xlfn.XLOOKUP(CONT_TEA[[#This Row],[PayScalePointCode]],PSPOINTS[PayScalePointCode],PSPOINTS[PayScalePointEnabled])=TRUE,0,1)</f>
        <v>0</v>
      </c>
      <c r="L254" s="57" cm="1">
        <f t="array" ref="L254">IF(_xlfn.XLOOKUP(CONT_TEA[[#This Row],[DepartmentCode]],DEPTS[DepartmentCode],DEPTS[AvailableToAllSchools],1,0,)=TRUE,0,IF(ISERROR(FIND(CONT_TEA[[#This Row],[SchoolCode]],_xlfn.TEXTJOIN(",",TRUE,_xlfn.UNIQUE(IF(DEPTS[DepartmentCode]=CONT_TEA[[#This Row],[DepartmentCode]],DEPTS[SchoolCodes],""))))),1,0))</f>
        <v>0</v>
      </c>
      <c r="M254" s="57">
        <f>IFERROR(IF(_xlfn.XLOOKUP(CONT_TEA[[#This Row],[SRG Gross]],FinanceCodesBudget[FinanceCode],FinanceCodesBudget[LedgerCode])=_xlfn.XLOOKUP(CONT_TEA[[#This Row],[DepartmentCode]],DEPTS[DepartmentCode],DEPTS[LedgerCode]),0,1),1)</f>
        <v>1</v>
      </c>
      <c r="N254" s="57" cm="1">
        <f t="array" ref="N254">IF(_xlfn.XLOOKUP(CONT_TEA[[#This Row],[PensionCode]],PENS[PensionCode],PENS[AvailableToAllSchools],1,0,)=TRUE,0,IF(ISERROR(FIND(CONT_TEA[[#This Row],[SchoolCode]],_xlfn.TEXTJOIN(",",TRUE,_xlfn.UNIQUE(IF(PENS[PensionCode]=CONT_TEA[[#This Row],[PensionCode]],PENS[SchoolCodes],""))))),1,0))</f>
        <v>0</v>
      </c>
      <c r="O254" s="57" cm="1">
        <f t="array" ref="O254">IF(_xlfn.XLOOKUP(CONT_TEA[[#This Row],[EquatedWeekPatternCode]],EQW[EquatedWeekPatternCode],EQW[AvailableToAllSchools],1,0,)=TRUE,0,IF(ISERROR(FIND(CONT_TEA[[#This Row],[SchoolCode]],_xlfn.TEXTJOIN(",",TRUE,_xlfn.UNIQUE(IF(EQW[EquatedWeekPatternCode]=CONT_TEA[[#This Row],[EquatedWeekPatternCode]],EQW[SchoolCodes],""))))),1,0))</f>
        <v>0</v>
      </c>
      <c r="P254" s="57">
        <f>1-COUNTIF(ContractTypes[Code],CONT_TEA[[#This Row],[ContractTypeCode]])</f>
        <v>0</v>
      </c>
      <c r="Q254" s="57">
        <f>IF(VLOOKUP(CONT_TEA[[#This Row],[StaffMemberCode]],MEMBERS[[StaffMemberCode]:[ServiceStartDate]],5,0)&gt;CONT_TEA[[#This Row],[DateFrom]],1,0)</f>
        <v>0</v>
      </c>
      <c r="R254" s="57">
        <f>IF(_xlfn.XLOOKUP(CONT_TEA[[#This Row],[StaffMemberCode]],MEMBERS[StaffMemberCode],MEMBERS[ServiceEndDate])="",0,IF(CONT_TEA[[#This Row],[DateTo]]="",1,IF(_xlfn.XLOOKUP(CONT_TEA[[#This Row],[StaffMemberCode]],MEMBERS[StaffMemberCode],MEMBERS[ServiceEndDate])&lt;CONT_TEA[[#This Row],[DateTo]],1,0)))</f>
        <v>0</v>
      </c>
      <c r="S254" s="57">
        <f>IF(ISBLANK(CONT_TEA[[#This Row],[DateTo]]),0,IF(CONT_TEA[[#This Row],[DateFrom]]=CONT_TEA[[#This Row],[DateTo]],0,IF(CONT_TEA[[#This Row],[DateFrom]]&lt;CONT_TEA[[#This Row],[DateTo]],0,1)))</f>
        <v>0</v>
      </c>
      <c r="T254" s="57" cm="1">
        <f t="array" aca="1" ref="T254" ca="1">IF(CELL("format",CONT_TEA[[#This Row],[DateFrom]])="D1",0,1)+IF(CELL("format",CONT_TEA[[#This Row],[DateTo]])="D1",0,1)</f>
        <v>0</v>
      </c>
      <c r="U254" s="57">
        <f>IF(OR(CONT_TEA[[#This Row],[MatEditOnly]]=TRUE,CONT_TEA[[#This Row],[MatEditOnly]]=FALSE),IF(OR(CONT_TEA[[#This Row],[NoIncrement]]=TRUE,CONT_TEA[[#This Row],[NoIncrement]]=FALSE),0,1),1)</f>
        <v>0</v>
      </c>
      <c r="V254" s="57">
        <f>IF(ISBLANK(CONT_TEA[[#This Row],[FundCode]])=TRUE,0,IF(COUNTIF(FUNDS[FundCode],CONT_TEA[[#This Row],[FundCode]])=1,0,1))</f>
        <v>0</v>
      </c>
      <c r="W254" s="57">
        <f>IF(LEN(CONT_TEA[[#This Row],[Notes]])&lt;4000,0,1)</f>
        <v>0</v>
      </c>
      <c r="X254" s="57">
        <f>IF(SUBSTITUTE(TEXT(CONT_TEA[[#This Row],[Reference]],10)," ","")=TEXT(CONT_TEA[[#This Row],[Reference]],10),0,1)</f>
        <v>0</v>
      </c>
      <c r="Y254" s="57">
        <f ca="1">SUM(CONT_TEA[[#This Row],[Duplicate Contract]:[Space in Code]])</f>
        <v>1</v>
      </c>
      <c r="AA254" s="12" t="s">
        <v>2126</v>
      </c>
      <c r="AB254" s="15">
        <v>10010501</v>
      </c>
      <c r="AC254" s="12">
        <v>106095</v>
      </c>
      <c r="AD254" s="57" t="str">
        <f>_xlfn.XLOOKUP(CONT_TEA[[#This Row],[StaffMemberCode]],StaffMembers!O:O,StaffMembers!R:R)</f>
        <v>Philip Batty</v>
      </c>
      <c r="AE254" s="12" t="s">
        <v>1613</v>
      </c>
      <c r="AF254" s="57">
        <f>_xlfn.XLOOKUP(CONT_TEA[[#This Row],[SRG]],SRG[StaffRoleGroupCode],SRG[GrossSalaryFinanceCode])</f>
        <v>610100</v>
      </c>
      <c r="AG254" s="57" t="str">
        <f>_xlfn.XLOOKUP(CONT_TEA[[#This Row],[StaffRoleCode]],ROLES[StaffRoleCode],ROLES[StaffRoleGroupCode])</f>
        <v>LST</v>
      </c>
      <c r="AH254" s="57" t="str">
        <f>_xlfn.XLOOKUP(CONT_TEA[[#This Row],[StaffRoleCode]],ROLES[StaffRoleCode],ROLES[PayScaleCode])</f>
        <v>LS</v>
      </c>
      <c r="AI254" s="12" t="s">
        <v>4157</v>
      </c>
      <c r="AJ254" s="12" t="s">
        <v>1090</v>
      </c>
      <c r="AK254" s="12" t="s">
        <v>2499</v>
      </c>
      <c r="AM254" s="68" t="s">
        <v>1147</v>
      </c>
      <c r="AN254" s="13" t="s">
        <v>1702</v>
      </c>
      <c r="AO254" s="21">
        <v>46023</v>
      </c>
      <c r="AQ254" s="12">
        <v>1</v>
      </c>
      <c r="AR254" t="b">
        <v>0</v>
      </c>
      <c r="AS254" t="b">
        <v>0</v>
      </c>
      <c r="AT254" s="12" t="s">
        <v>1574</v>
      </c>
    </row>
    <row r="255" spans="1:47" x14ac:dyDescent="0.3">
      <c r="A255" s="57" t="str">
        <f t="shared" si="5"/>
        <v>MLB10005286106051AHTSTCH46023</v>
      </c>
      <c r="B255" s="57">
        <f>COUNTIF(CONT_TEA[Unique Contract],CONT_TEA[[#This Row],[Unique Contract]])-1</f>
        <v>0</v>
      </c>
      <c r="C255" s="57">
        <f>IFERROR(IF(FIND(CONT_TEA[[#This Row],[SchoolCode]],_xlfn.XLOOKUP(CONT_TEA[[#This Row],[StaffMemberCode]],MEMBERS[StaffMemberCode],MEMBERS[SchoolCodes]))&gt;0,0,1),1)</f>
        <v>0</v>
      </c>
      <c r="D255" s="57" cm="1">
        <f t="array" ref="D255">IF(_xlfn.XLOOKUP(CONT_TEA[[#This Row],[StaffRoleCode]],ROLES[StaffRoleCode],ROLES[AvailableToAllSchools],1,0,)=TRUE,0,IF(ISERROR(FIND(CONT_TEA[[#This Row],[SchoolCode]],_xlfn.TEXTJOIN(",",TRUE,_xlfn.UNIQUE(IF(ROLES[StaffRoleCode]=CONT_TEA[[#This Row],[StaffRoleCode]],ROLES[SchoolCodes],""))))),1,0))</f>
        <v>0</v>
      </c>
      <c r="E255" s="57" cm="1">
        <f t="array" ref="E25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55" s="57" cm="1">
        <f t="array" ref="F255">IF(_xlfn.XLOOKUP(CONT_TEA[[#This Row],[PayScaleCode]],PAYSCALES[PayScaleCode],PAYSCALES[AvailableToAllSchools],1,0,)=TRUE,0,IF(ISERROR(FIND(CONT_TEA[[#This Row],[SchoolCode]],_xlfn.TEXTJOIN(",",TRUE,_xlfn.UNIQUE(IF(PAYSCALES[PayScaleCode]=CONT_TEA[[#This Row],[PayScaleCode]],PAYSCALES[SchoolCodes],""))))),1,0))</f>
        <v>0</v>
      </c>
      <c r="G255" s="57">
        <f>IF(_xlfn.XLOOKUP(CONT_TEA[[#This Row],[PayScaleGradeCode]],GRADES[PayScaleGradeCode],GRADES[AvailableToAllSchools])=TRUE,0,IFERROR(IF(FIND(CONT_TEA[[#This Row],[SchoolCode]],_xlfn.XLOOKUP(CONT_TEA[[#This Row],[PayScaleGradeCode]],GRADES[PayScaleGradeCode],GRADES[SchoolCodes]))&gt;=1,0,1),1))</f>
        <v>0</v>
      </c>
      <c r="H255" s="57">
        <f>IF(ISERROR(IF((_xlfn.XLOOKUP(CONT_TEA[[#This Row],[PayScaleGradeCode]],GRADES[PayScaleGradeCode],GRADES[PayScaleCode])=CONT_TEA[[#This Row],[PayScaleCode]]),0,1)),1,0)</f>
        <v>0</v>
      </c>
      <c r="I255" s="57" cm="1">
        <f t="array" ref="I255">IF(ISERROR(FIND(CONT_TEA[[#This Row],[PayScalePointCode]],_xlfn.TEXTJOIN(",",TRUE,IF(PSPOINTS[PayScaleCode]=CONT_TEA[[#This Row],[PayScaleCode]],PSPOINTS[PayScalePointCode])))),1,0)</f>
        <v>0</v>
      </c>
      <c r="J255" s="57" cm="1">
        <f t="array" ref="J25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55" s="57">
        <f>IF(_xlfn.XLOOKUP(CONT_TEA[[#This Row],[PayScalePointCode]],PSPOINTS[PayScalePointCode],PSPOINTS[PayScalePointEnabled])=TRUE,0,1)</f>
        <v>0</v>
      </c>
      <c r="L255" s="57" cm="1">
        <f t="array" ref="L255">IF(_xlfn.XLOOKUP(CONT_TEA[[#This Row],[DepartmentCode]],DEPTS[DepartmentCode],DEPTS[AvailableToAllSchools],1,0,)=TRUE,0,IF(ISERROR(FIND(CONT_TEA[[#This Row],[SchoolCode]],_xlfn.TEXTJOIN(",",TRUE,_xlfn.UNIQUE(IF(DEPTS[DepartmentCode]=CONT_TEA[[#This Row],[DepartmentCode]],DEPTS[SchoolCodes],""))))),1,0))</f>
        <v>0</v>
      </c>
      <c r="M255" s="57">
        <f>IFERROR(IF(_xlfn.XLOOKUP(CONT_TEA[[#This Row],[SRG Gross]],FinanceCodesBudget[FinanceCode],FinanceCodesBudget[LedgerCode])=_xlfn.XLOOKUP(CONT_TEA[[#This Row],[DepartmentCode]],DEPTS[DepartmentCode],DEPTS[LedgerCode]),0,1),1)</f>
        <v>1</v>
      </c>
      <c r="N255" s="57" cm="1">
        <f t="array" ref="N255">IF(_xlfn.XLOOKUP(CONT_TEA[[#This Row],[PensionCode]],PENS[PensionCode],PENS[AvailableToAllSchools],1,0,)=TRUE,0,IF(ISERROR(FIND(CONT_TEA[[#This Row],[SchoolCode]],_xlfn.TEXTJOIN(",",TRUE,_xlfn.UNIQUE(IF(PENS[PensionCode]=CONT_TEA[[#This Row],[PensionCode]],PENS[SchoolCodes],""))))),1,0))</f>
        <v>0</v>
      </c>
      <c r="O255" s="57" cm="1">
        <f t="array" ref="O255">IF(_xlfn.XLOOKUP(CONT_TEA[[#This Row],[EquatedWeekPatternCode]],EQW[EquatedWeekPatternCode],EQW[AvailableToAllSchools],1,0,)=TRUE,0,IF(ISERROR(FIND(CONT_TEA[[#This Row],[SchoolCode]],_xlfn.TEXTJOIN(",",TRUE,_xlfn.UNIQUE(IF(EQW[EquatedWeekPatternCode]=CONT_TEA[[#This Row],[EquatedWeekPatternCode]],EQW[SchoolCodes],""))))),1,0))</f>
        <v>0</v>
      </c>
      <c r="P255" s="57">
        <f>1-COUNTIF(ContractTypes[Code],CONT_TEA[[#This Row],[ContractTypeCode]])</f>
        <v>0</v>
      </c>
      <c r="Q255" s="57">
        <f>IF(VLOOKUP(CONT_TEA[[#This Row],[StaffMemberCode]],MEMBERS[[StaffMemberCode]:[ServiceStartDate]],5,0)&gt;CONT_TEA[[#This Row],[DateFrom]],1,0)</f>
        <v>0</v>
      </c>
      <c r="R255" s="57">
        <f>IF(_xlfn.XLOOKUP(CONT_TEA[[#This Row],[StaffMemberCode]],MEMBERS[StaffMemberCode],MEMBERS[ServiceEndDate])="",0,IF(CONT_TEA[[#This Row],[DateTo]]="",1,IF(_xlfn.XLOOKUP(CONT_TEA[[#This Row],[StaffMemberCode]],MEMBERS[StaffMemberCode],MEMBERS[ServiceEndDate])&lt;CONT_TEA[[#This Row],[DateTo]],1,0)))</f>
        <v>0</v>
      </c>
      <c r="S255" s="57">
        <f>IF(ISBLANK(CONT_TEA[[#This Row],[DateTo]]),0,IF(CONT_TEA[[#This Row],[DateFrom]]=CONT_TEA[[#This Row],[DateTo]],0,IF(CONT_TEA[[#This Row],[DateFrom]]&lt;CONT_TEA[[#This Row],[DateTo]],0,1)))</f>
        <v>0</v>
      </c>
      <c r="T255" s="57" cm="1">
        <f t="array" aca="1" ref="T255" ca="1">IF(CELL("format",CONT_TEA[[#This Row],[DateFrom]])="D1",0,1)+IF(CELL("format",CONT_TEA[[#This Row],[DateTo]])="D1",0,1)</f>
        <v>0</v>
      </c>
      <c r="U255" s="57">
        <f>IF(OR(CONT_TEA[[#This Row],[MatEditOnly]]=TRUE,CONT_TEA[[#This Row],[MatEditOnly]]=FALSE),IF(OR(CONT_TEA[[#This Row],[NoIncrement]]=TRUE,CONT_TEA[[#This Row],[NoIncrement]]=FALSE),0,1),1)</f>
        <v>0</v>
      </c>
      <c r="V255" s="57">
        <f>IF(ISBLANK(CONT_TEA[[#This Row],[FundCode]])=TRUE,0,IF(COUNTIF(FUNDS[FundCode],CONT_TEA[[#This Row],[FundCode]])=1,0,1))</f>
        <v>0</v>
      </c>
      <c r="W255" s="57">
        <f>IF(LEN(CONT_TEA[[#This Row],[Notes]])&lt;4000,0,1)</f>
        <v>0</v>
      </c>
      <c r="X255" s="57">
        <f>IF(SUBSTITUTE(TEXT(CONT_TEA[[#This Row],[Reference]],10)," ","")=TEXT(CONT_TEA[[#This Row],[Reference]],10),0,1)</f>
        <v>0</v>
      </c>
      <c r="Y255" s="57">
        <f ca="1">SUM(CONT_TEA[[#This Row],[Duplicate Contract]:[Space in Code]])</f>
        <v>1</v>
      </c>
      <c r="AA255" s="12" t="s">
        <v>2126</v>
      </c>
      <c r="AB255" s="15">
        <v>10005286</v>
      </c>
      <c r="AC255" s="12">
        <v>106051</v>
      </c>
      <c r="AD255" s="57" t="str">
        <f>_xlfn.XLOOKUP(CONT_TEA[[#This Row],[StaffMemberCode]],StaffMembers!O:O,StaffMembers!R:R)</f>
        <v>David Shepherd</v>
      </c>
      <c r="AE255" s="12" t="s">
        <v>1613</v>
      </c>
      <c r="AF255" s="57">
        <f>_xlfn.XLOOKUP(CONT_TEA[[#This Row],[SRG]],SRG[StaffRoleGroupCode],SRG[GrossSalaryFinanceCode])</f>
        <v>610100</v>
      </c>
      <c r="AG255" s="57" t="str">
        <f>_xlfn.XLOOKUP(CONT_TEA[[#This Row],[StaffRoleCode]],ROLES[StaffRoleCode],ROLES[StaffRoleGroupCode])</f>
        <v>LST</v>
      </c>
      <c r="AH255" s="57" t="str">
        <f>_xlfn.XLOOKUP(CONT_TEA[[#This Row],[StaffRoleCode]],ROLES[StaffRoleCode],ROLES[PayScaleCode])</f>
        <v>LS</v>
      </c>
      <c r="AI255" s="12" t="s">
        <v>4157</v>
      </c>
      <c r="AJ255" s="12" t="s">
        <v>1092</v>
      </c>
      <c r="AK255" s="12" t="s">
        <v>2499</v>
      </c>
      <c r="AM255" s="68" t="s">
        <v>1147</v>
      </c>
      <c r="AN255" s="13" t="s">
        <v>1702</v>
      </c>
      <c r="AO255" s="21">
        <v>46023</v>
      </c>
      <c r="AQ255" s="12">
        <v>1</v>
      </c>
      <c r="AR255" t="b">
        <v>0</v>
      </c>
      <c r="AS255" t="b">
        <v>0</v>
      </c>
      <c r="AT255" s="12" t="s">
        <v>1574</v>
      </c>
    </row>
    <row r="256" spans="1:47" x14ac:dyDescent="0.3">
      <c r="A256" s="57" t="str">
        <f t="shared" si="5"/>
        <v>MLB10005314106082AHTSTCH46023</v>
      </c>
      <c r="B256" s="57">
        <f>COUNTIF(CONT_TEA[Unique Contract],CONT_TEA[[#This Row],[Unique Contract]])-1</f>
        <v>0</v>
      </c>
      <c r="C256" s="57">
        <f>IFERROR(IF(FIND(CONT_TEA[[#This Row],[SchoolCode]],_xlfn.XLOOKUP(CONT_TEA[[#This Row],[StaffMemberCode]],MEMBERS[StaffMemberCode],MEMBERS[SchoolCodes]))&gt;0,0,1),1)</f>
        <v>0</v>
      </c>
      <c r="D256" s="57" cm="1">
        <f t="array" ref="D256">IF(_xlfn.XLOOKUP(CONT_TEA[[#This Row],[StaffRoleCode]],ROLES[StaffRoleCode],ROLES[AvailableToAllSchools],1,0,)=TRUE,0,IF(ISERROR(FIND(CONT_TEA[[#This Row],[SchoolCode]],_xlfn.TEXTJOIN(",",TRUE,_xlfn.UNIQUE(IF(ROLES[StaffRoleCode]=CONT_TEA[[#This Row],[StaffRoleCode]],ROLES[SchoolCodes],""))))),1,0))</f>
        <v>0</v>
      </c>
      <c r="E256" s="57" cm="1">
        <f t="array" ref="E25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56" s="57" cm="1">
        <f t="array" ref="F256">IF(_xlfn.XLOOKUP(CONT_TEA[[#This Row],[PayScaleCode]],PAYSCALES[PayScaleCode],PAYSCALES[AvailableToAllSchools],1,0,)=TRUE,0,IF(ISERROR(FIND(CONT_TEA[[#This Row],[SchoolCode]],_xlfn.TEXTJOIN(",",TRUE,_xlfn.UNIQUE(IF(PAYSCALES[PayScaleCode]=CONT_TEA[[#This Row],[PayScaleCode]],PAYSCALES[SchoolCodes],""))))),1,0))</f>
        <v>0</v>
      </c>
      <c r="G256" s="57">
        <f>IF(_xlfn.XLOOKUP(CONT_TEA[[#This Row],[PayScaleGradeCode]],GRADES[PayScaleGradeCode],GRADES[AvailableToAllSchools])=TRUE,0,IFERROR(IF(FIND(CONT_TEA[[#This Row],[SchoolCode]],_xlfn.XLOOKUP(CONT_TEA[[#This Row],[PayScaleGradeCode]],GRADES[PayScaleGradeCode],GRADES[SchoolCodes]))&gt;=1,0,1),1))</f>
        <v>0</v>
      </c>
      <c r="H256" s="57">
        <f>IF(ISERROR(IF((_xlfn.XLOOKUP(CONT_TEA[[#This Row],[PayScaleGradeCode]],GRADES[PayScaleGradeCode],GRADES[PayScaleCode])=CONT_TEA[[#This Row],[PayScaleCode]]),0,1)),1,0)</f>
        <v>0</v>
      </c>
      <c r="I256" s="57" cm="1">
        <f t="array" ref="I256">IF(ISERROR(FIND(CONT_TEA[[#This Row],[PayScalePointCode]],_xlfn.TEXTJOIN(",",TRUE,IF(PSPOINTS[PayScaleCode]=CONT_TEA[[#This Row],[PayScaleCode]],PSPOINTS[PayScalePointCode])))),1,0)</f>
        <v>0</v>
      </c>
      <c r="J256" s="57" cm="1">
        <f t="array" ref="J25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56" s="57">
        <f>IF(_xlfn.XLOOKUP(CONT_TEA[[#This Row],[PayScalePointCode]],PSPOINTS[PayScalePointCode],PSPOINTS[PayScalePointEnabled])=TRUE,0,1)</f>
        <v>0</v>
      </c>
      <c r="L256" s="57" cm="1">
        <f t="array" ref="L256">IF(_xlfn.XLOOKUP(CONT_TEA[[#This Row],[DepartmentCode]],DEPTS[DepartmentCode],DEPTS[AvailableToAllSchools],1,0,)=TRUE,0,IF(ISERROR(FIND(CONT_TEA[[#This Row],[SchoolCode]],_xlfn.TEXTJOIN(",",TRUE,_xlfn.UNIQUE(IF(DEPTS[DepartmentCode]=CONT_TEA[[#This Row],[DepartmentCode]],DEPTS[SchoolCodes],""))))),1,0))</f>
        <v>0</v>
      </c>
      <c r="M256" s="57">
        <f>IFERROR(IF(_xlfn.XLOOKUP(CONT_TEA[[#This Row],[SRG Gross]],FinanceCodesBudget[FinanceCode],FinanceCodesBudget[LedgerCode])=_xlfn.XLOOKUP(CONT_TEA[[#This Row],[DepartmentCode]],DEPTS[DepartmentCode],DEPTS[LedgerCode]),0,1),1)</f>
        <v>1</v>
      </c>
      <c r="N256" s="57" cm="1">
        <f t="array" ref="N256">IF(_xlfn.XLOOKUP(CONT_TEA[[#This Row],[PensionCode]],PENS[PensionCode],PENS[AvailableToAllSchools],1,0,)=TRUE,0,IF(ISERROR(FIND(CONT_TEA[[#This Row],[SchoolCode]],_xlfn.TEXTJOIN(",",TRUE,_xlfn.UNIQUE(IF(PENS[PensionCode]=CONT_TEA[[#This Row],[PensionCode]],PENS[SchoolCodes],""))))),1,0))</f>
        <v>0</v>
      </c>
      <c r="O256" s="57" cm="1">
        <f t="array" ref="O256">IF(_xlfn.XLOOKUP(CONT_TEA[[#This Row],[EquatedWeekPatternCode]],EQW[EquatedWeekPatternCode],EQW[AvailableToAllSchools],1,0,)=TRUE,0,IF(ISERROR(FIND(CONT_TEA[[#This Row],[SchoolCode]],_xlfn.TEXTJOIN(",",TRUE,_xlfn.UNIQUE(IF(EQW[EquatedWeekPatternCode]=CONT_TEA[[#This Row],[EquatedWeekPatternCode]],EQW[SchoolCodes],""))))),1,0))</f>
        <v>0</v>
      </c>
      <c r="P256" s="57">
        <f>1-COUNTIF(ContractTypes[Code],CONT_TEA[[#This Row],[ContractTypeCode]])</f>
        <v>0</v>
      </c>
      <c r="Q256" s="57">
        <f>IF(VLOOKUP(CONT_TEA[[#This Row],[StaffMemberCode]],MEMBERS[[StaffMemberCode]:[ServiceStartDate]],5,0)&gt;CONT_TEA[[#This Row],[DateFrom]],1,0)</f>
        <v>0</v>
      </c>
      <c r="R256" s="57">
        <f>IF(_xlfn.XLOOKUP(CONT_TEA[[#This Row],[StaffMemberCode]],MEMBERS[StaffMemberCode],MEMBERS[ServiceEndDate])="",0,IF(CONT_TEA[[#This Row],[DateTo]]="",1,IF(_xlfn.XLOOKUP(CONT_TEA[[#This Row],[StaffMemberCode]],MEMBERS[StaffMemberCode],MEMBERS[ServiceEndDate])&lt;CONT_TEA[[#This Row],[DateTo]],1,0)))</f>
        <v>0</v>
      </c>
      <c r="S256" s="57">
        <f>IF(ISBLANK(CONT_TEA[[#This Row],[DateTo]]),0,IF(CONT_TEA[[#This Row],[DateFrom]]=CONT_TEA[[#This Row],[DateTo]],0,IF(CONT_TEA[[#This Row],[DateFrom]]&lt;CONT_TEA[[#This Row],[DateTo]],0,1)))</f>
        <v>0</v>
      </c>
      <c r="T256" s="57" cm="1">
        <f t="array" aca="1" ref="T256" ca="1">IF(CELL("format",CONT_TEA[[#This Row],[DateFrom]])="D1",0,1)+IF(CELL("format",CONT_TEA[[#This Row],[DateTo]])="D1",0,1)</f>
        <v>0</v>
      </c>
      <c r="U256" s="57">
        <f>IF(OR(CONT_TEA[[#This Row],[MatEditOnly]]=TRUE,CONT_TEA[[#This Row],[MatEditOnly]]=FALSE),IF(OR(CONT_TEA[[#This Row],[NoIncrement]]=TRUE,CONT_TEA[[#This Row],[NoIncrement]]=FALSE),0,1),1)</f>
        <v>0</v>
      </c>
      <c r="V256" s="57">
        <f>IF(ISBLANK(CONT_TEA[[#This Row],[FundCode]])=TRUE,0,IF(COUNTIF(FUNDS[FundCode],CONT_TEA[[#This Row],[FundCode]])=1,0,1))</f>
        <v>0</v>
      </c>
      <c r="W256" s="57">
        <f>IF(LEN(CONT_TEA[[#This Row],[Notes]])&lt;4000,0,1)</f>
        <v>0</v>
      </c>
      <c r="X256" s="57">
        <f>IF(SUBSTITUTE(TEXT(CONT_TEA[[#This Row],[Reference]],10)," ","")=TEXT(CONT_TEA[[#This Row],[Reference]],10),0,1)</f>
        <v>0</v>
      </c>
      <c r="Y256" s="57">
        <f ca="1">SUM(CONT_TEA[[#This Row],[Duplicate Contract]:[Space in Code]])</f>
        <v>1</v>
      </c>
      <c r="AA256" s="12" t="s">
        <v>2126</v>
      </c>
      <c r="AB256" s="15">
        <v>10005314</v>
      </c>
      <c r="AC256" s="12">
        <v>106082</v>
      </c>
      <c r="AD256" s="57" t="str">
        <f>_xlfn.XLOOKUP(CONT_TEA[[#This Row],[StaffMemberCode]],StaffMembers!O:O,StaffMembers!R:R)</f>
        <v>Julie Machin</v>
      </c>
      <c r="AE256" s="12" t="s">
        <v>1613</v>
      </c>
      <c r="AF256" s="57">
        <f>_xlfn.XLOOKUP(CONT_TEA[[#This Row],[SRG]],SRG[StaffRoleGroupCode],SRG[GrossSalaryFinanceCode])</f>
        <v>610100</v>
      </c>
      <c r="AG256" s="57" t="str">
        <f>_xlfn.XLOOKUP(CONT_TEA[[#This Row],[StaffRoleCode]],ROLES[StaffRoleCode],ROLES[StaffRoleGroupCode])</f>
        <v>LST</v>
      </c>
      <c r="AH256" s="57" t="str">
        <f>_xlfn.XLOOKUP(CONT_TEA[[#This Row],[StaffRoleCode]],ROLES[StaffRoleCode],ROLES[PayScaleCode])</f>
        <v>LS</v>
      </c>
      <c r="AI256" s="12" t="s">
        <v>4157</v>
      </c>
      <c r="AJ256" s="12" t="s">
        <v>1092</v>
      </c>
      <c r="AK256" s="12" t="s">
        <v>2499</v>
      </c>
      <c r="AM256" s="68" t="s">
        <v>1147</v>
      </c>
      <c r="AN256" s="13" t="s">
        <v>1702</v>
      </c>
      <c r="AO256" s="21">
        <v>46023</v>
      </c>
      <c r="AQ256" s="12">
        <v>1</v>
      </c>
      <c r="AR256" t="b">
        <v>0</v>
      </c>
      <c r="AS256" t="b">
        <v>0</v>
      </c>
      <c r="AT256" s="12" t="s">
        <v>1574</v>
      </c>
    </row>
    <row r="257" spans="1:46" x14ac:dyDescent="0.3">
      <c r="A257" s="57" t="str">
        <f t="shared" si="5"/>
        <v>MLB10013282113139AHTSTCH46023</v>
      </c>
      <c r="B257" s="57">
        <f>COUNTIF(CONT_TEA[Unique Contract],CONT_TEA[[#This Row],[Unique Contract]])-1</f>
        <v>0</v>
      </c>
      <c r="C257" s="57">
        <f>IFERROR(IF(FIND(CONT_TEA[[#This Row],[SchoolCode]],_xlfn.XLOOKUP(CONT_TEA[[#This Row],[StaffMemberCode]],MEMBERS[StaffMemberCode],MEMBERS[SchoolCodes]))&gt;0,0,1),1)</f>
        <v>0</v>
      </c>
      <c r="D257" s="57" cm="1">
        <f t="array" ref="D257">IF(_xlfn.XLOOKUP(CONT_TEA[[#This Row],[StaffRoleCode]],ROLES[StaffRoleCode],ROLES[AvailableToAllSchools],1,0,)=TRUE,0,IF(ISERROR(FIND(CONT_TEA[[#This Row],[SchoolCode]],_xlfn.TEXTJOIN(",",TRUE,_xlfn.UNIQUE(IF(ROLES[StaffRoleCode]=CONT_TEA[[#This Row],[StaffRoleCode]],ROLES[SchoolCodes],""))))),1,0))</f>
        <v>0</v>
      </c>
      <c r="E257" s="57" cm="1">
        <f t="array" ref="E25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57" s="57" cm="1">
        <f t="array" ref="F257">IF(_xlfn.XLOOKUP(CONT_TEA[[#This Row],[PayScaleCode]],PAYSCALES[PayScaleCode],PAYSCALES[AvailableToAllSchools],1,0,)=TRUE,0,IF(ISERROR(FIND(CONT_TEA[[#This Row],[SchoolCode]],_xlfn.TEXTJOIN(",",TRUE,_xlfn.UNIQUE(IF(PAYSCALES[PayScaleCode]=CONT_TEA[[#This Row],[PayScaleCode]],PAYSCALES[SchoolCodes],""))))),1,0))</f>
        <v>0</v>
      </c>
      <c r="G257" s="57">
        <f>IF(_xlfn.XLOOKUP(CONT_TEA[[#This Row],[PayScaleGradeCode]],GRADES[PayScaleGradeCode],GRADES[AvailableToAllSchools])=TRUE,0,IFERROR(IF(FIND(CONT_TEA[[#This Row],[SchoolCode]],_xlfn.XLOOKUP(CONT_TEA[[#This Row],[PayScaleGradeCode]],GRADES[PayScaleGradeCode],GRADES[SchoolCodes]))&gt;=1,0,1),1))</f>
        <v>0</v>
      </c>
      <c r="H257" s="57">
        <f>IF(ISERROR(IF((_xlfn.XLOOKUP(CONT_TEA[[#This Row],[PayScaleGradeCode]],GRADES[PayScaleGradeCode],GRADES[PayScaleCode])=CONT_TEA[[#This Row],[PayScaleCode]]),0,1)),1,0)</f>
        <v>0</v>
      </c>
      <c r="I257" s="57" cm="1">
        <f t="array" ref="I257">IF(ISERROR(FIND(CONT_TEA[[#This Row],[PayScalePointCode]],_xlfn.TEXTJOIN(",",TRUE,IF(PSPOINTS[PayScaleCode]=CONT_TEA[[#This Row],[PayScaleCode]],PSPOINTS[PayScalePointCode])))),1,0)</f>
        <v>0</v>
      </c>
      <c r="J257" s="57" cm="1">
        <f t="array" ref="J25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57" s="57">
        <f>IF(_xlfn.XLOOKUP(CONT_TEA[[#This Row],[PayScalePointCode]],PSPOINTS[PayScalePointCode],PSPOINTS[PayScalePointEnabled])=TRUE,0,1)</f>
        <v>0</v>
      </c>
      <c r="L257" s="57" cm="1">
        <f t="array" ref="L257">IF(_xlfn.XLOOKUP(CONT_TEA[[#This Row],[DepartmentCode]],DEPTS[DepartmentCode],DEPTS[AvailableToAllSchools],1,0,)=TRUE,0,IF(ISERROR(FIND(CONT_TEA[[#This Row],[SchoolCode]],_xlfn.TEXTJOIN(",",TRUE,_xlfn.UNIQUE(IF(DEPTS[DepartmentCode]=CONT_TEA[[#This Row],[DepartmentCode]],DEPTS[SchoolCodes],""))))),1,0))</f>
        <v>0</v>
      </c>
      <c r="M257" s="57">
        <f>IFERROR(IF(_xlfn.XLOOKUP(CONT_TEA[[#This Row],[SRG Gross]],FinanceCodesBudget[FinanceCode],FinanceCodesBudget[LedgerCode])=_xlfn.XLOOKUP(CONT_TEA[[#This Row],[DepartmentCode]],DEPTS[DepartmentCode],DEPTS[LedgerCode]),0,1),1)</f>
        <v>1</v>
      </c>
      <c r="N257" s="57" cm="1">
        <f t="array" ref="N257">IF(_xlfn.XLOOKUP(CONT_TEA[[#This Row],[PensionCode]],PENS[PensionCode],PENS[AvailableToAllSchools],1,0,)=TRUE,0,IF(ISERROR(FIND(CONT_TEA[[#This Row],[SchoolCode]],_xlfn.TEXTJOIN(",",TRUE,_xlfn.UNIQUE(IF(PENS[PensionCode]=CONT_TEA[[#This Row],[PensionCode]],PENS[SchoolCodes],""))))),1,0))</f>
        <v>0</v>
      </c>
      <c r="O257" s="57" cm="1">
        <f t="array" ref="O257">IF(_xlfn.XLOOKUP(CONT_TEA[[#This Row],[EquatedWeekPatternCode]],EQW[EquatedWeekPatternCode],EQW[AvailableToAllSchools],1,0,)=TRUE,0,IF(ISERROR(FIND(CONT_TEA[[#This Row],[SchoolCode]],_xlfn.TEXTJOIN(",",TRUE,_xlfn.UNIQUE(IF(EQW[EquatedWeekPatternCode]=CONT_TEA[[#This Row],[EquatedWeekPatternCode]],EQW[SchoolCodes],""))))),1,0))</f>
        <v>0</v>
      </c>
      <c r="P257" s="57">
        <f>1-COUNTIF(ContractTypes[Code],CONT_TEA[[#This Row],[ContractTypeCode]])</f>
        <v>0</v>
      </c>
      <c r="Q257" s="57">
        <f>IF(VLOOKUP(CONT_TEA[[#This Row],[StaffMemberCode]],MEMBERS[[StaffMemberCode]:[ServiceStartDate]],5,0)&gt;CONT_TEA[[#This Row],[DateFrom]],1,0)</f>
        <v>0</v>
      </c>
      <c r="R257" s="57">
        <f>IF(_xlfn.XLOOKUP(CONT_TEA[[#This Row],[StaffMemberCode]],MEMBERS[StaffMemberCode],MEMBERS[ServiceEndDate])="",0,IF(CONT_TEA[[#This Row],[DateTo]]="",1,IF(_xlfn.XLOOKUP(CONT_TEA[[#This Row],[StaffMemberCode]],MEMBERS[StaffMemberCode],MEMBERS[ServiceEndDate])&lt;CONT_TEA[[#This Row],[DateTo]],1,0)))</f>
        <v>0</v>
      </c>
      <c r="S257" s="57">
        <f>IF(ISBLANK(CONT_TEA[[#This Row],[DateTo]]),0,IF(CONT_TEA[[#This Row],[DateFrom]]=CONT_TEA[[#This Row],[DateTo]],0,IF(CONT_TEA[[#This Row],[DateFrom]]&lt;CONT_TEA[[#This Row],[DateTo]],0,1)))</f>
        <v>0</v>
      </c>
      <c r="T257" s="57" cm="1">
        <f t="array" aca="1" ref="T257" ca="1">IF(CELL("format",CONT_TEA[[#This Row],[DateFrom]])="D1",0,1)+IF(CELL("format",CONT_TEA[[#This Row],[DateTo]])="D1",0,1)</f>
        <v>0</v>
      </c>
      <c r="U257" s="57">
        <f>IF(OR(CONT_TEA[[#This Row],[MatEditOnly]]=TRUE,CONT_TEA[[#This Row],[MatEditOnly]]=FALSE),IF(OR(CONT_TEA[[#This Row],[NoIncrement]]=TRUE,CONT_TEA[[#This Row],[NoIncrement]]=FALSE),0,1),1)</f>
        <v>0</v>
      </c>
      <c r="V257" s="57">
        <f>IF(ISBLANK(CONT_TEA[[#This Row],[FundCode]])=TRUE,0,IF(COUNTIF(FUNDS[FundCode],CONT_TEA[[#This Row],[FundCode]])=1,0,1))</f>
        <v>0</v>
      </c>
      <c r="W257" s="57">
        <f>IF(LEN(CONT_TEA[[#This Row],[Notes]])&lt;4000,0,1)</f>
        <v>0</v>
      </c>
      <c r="X257" s="57">
        <f>IF(SUBSTITUTE(TEXT(CONT_TEA[[#This Row],[Reference]],10)," ","")=TEXT(CONT_TEA[[#This Row],[Reference]],10),0,1)</f>
        <v>0</v>
      </c>
      <c r="Y257" s="57">
        <f ca="1">SUM(CONT_TEA[[#This Row],[Duplicate Contract]:[Space in Code]])</f>
        <v>1</v>
      </c>
      <c r="AA257" s="12" t="s">
        <v>2126</v>
      </c>
      <c r="AB257" s="15">
        <v>10013282</v>
      </c>
      <c r="AC257" s="12">
        <v>113139</v>
      </c>
      <c r="AD257" s="57" t="str">
        <f>_xlfn.XLOOKUP(CONT_TEA[[#This Row],[StaffMemberCode]],StaffMembers!O:O,StaffMembers!R:R)</f>
        <v>Samantha Coppenhall</v>
      </c>
      <c r="AE257" s="12" t="s">
        <v>1613</v>
      </c>
      <c r="AF257" s="57">
        <f>_xlfn.XLOOKUP(CONT_TEA[[#This Row],[SRG]],SRG[StaffRoleGroupCode],SRG[GrossSalaryFinanceCode])</f>
        <v>610100</v>
      </c>
      <c r="AG257" s="57" t="str">
        <f>_xlfn.XLOOKUP(CONT_TEA[[#This Row],[StaffRoleCode]],ROLES[StaffRoleCode],ROLES[StaffRoleGroupCode])</f>
        <v>LST</v>
      </c>
      <c r="AH257" s="57" t="str">
        <f>_xlfn.XLOOKUP(CONT_TEA[[#This Row],[StaffRoleCode]],ROLES[StaffRoleCode],ROLES[PayScaleCode])</f>
        <v>LS</v>
      </c>
      <c r="AI257" s="12" t="s">
        <v>4157</v>
      </c>
      <c r="AJ257" s="12" t="s">
        <v>1091</v>
      </c>
      <c r="AK257" s="12" t="s">
        <v>2499</v>
      </c>
      <c r="AM257" s="68" t="s">
        <v>1147</v>
      </c>
      <c r="AN257" s="13" t="s">
        <v>1702</v>
      </c>
      <c r="AO257" s="21">
        <v>46023</v>
      </c>
      <c r="AQ257" s="12">
        <v>1</v>
      </c>
      <c r="AR257" t="b">
        <v>0</v>
      </c>
      <c r="AS257" t="b">
        <v>0</v>
      </c>
      <c r="AT257" s="12" t="s">
        <v>1574</v>
      </c>
    </row>
    <row r="258" spans="1:46" x14ac:dyDescent="0.3">
      <c r="A258" s="57" t="str">
        <f t="shared" si="5"/>
        <v>MLB10005279106083DHTSTCH46023</v>
      </c>
      <c r="B258" s="57">
        <f>COUNTIF(CONT_TEA[Unique Contract],CONT_TEA[[#This Row],[Unique Contract]])-1</f>
        <v>0</v>
      </c>
      <c r="C258" s="57">
        <f>IFERROR(IF(FIND(CONT_TEA[[#This Row],[SchoolCode]],_xlfn.XLOOKUP(CONT_TEA[[#This Row],[StaffMemberCode]],MEMBERS[StaffMemberCode],MEMBERS[SchoolCodes]))&gt;0,0,1),1)</f>
        <v>0</v>
      </c>
      <c r="D258" s="57" cm="1">
        <f t="array" ref="D258">IF(_xlfn.XLOOKUP(CONT_TEA[[#This Row],[StaffRoleCode]],ROLES[StaffRoleCode],ROLES[AvailableToAllSchools],1,0,)=TRUE,0,IF(ISERROR(FIND(CONT_TEA[[#This Row],[SchoolCode]],_xlfn.TEXTJOIN(",",TRUE,_xlfn.UNIQUE(IF(ROLES[StaffRoleCode]=CONT_TEA[[#This Row],[StaffRoleCode]],ROLES[SchoolCodes],""))))),1,0))</f>
        <v>0</v>
      </c>
      <c r="E258" s="57" cm="1">
        <f t="array" ref="E25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58" s="57" cm="1">
        <f t="array" ref="F258">IF(_xlfn.XLOOKUP(CONT_TEA[[#This Row],[PayScaleCode]],PAYSCALES[PayScaleCode],PAYSCALES[AvailableToAllSchools],1,0,)=TRUE,0,IF(ISERROR(FIND(CONT_TEA[[#This Row],[SchoolCode]],_xlfn.TEXTJOIN(",",TRUE,_xlfn.UNIQUE(IF(PAYSCALES[PayScaleCode]=CONT_TEA[[#This Row],[PayScaleCode]],PAYSCALES[SchoolCodes],""))))),1,0))</f>
        <v>0</v>
      </c>
      <c r="G258" s="57">
        <f>IF(_xlfn.XLOOKUP(CONT_TEA[[#This Row],[PayScaleGradeCode]],GRADES[PayScaleGradeCode],GRADES[AvailableToAllSchools])=TRUE,0,IFERROR(IF(FIND(CONT_TEA[[#This Row],[SchoolCode]],_xlfn.XLOOKUP(CONT_TEA[[#This Row],[PayScaleGradeCode]],GRADES[PayScaleGradeCode],GRADES[SchoolCodes]))&gt;=1,0,1),1))</f>
        <v>0</v>
      </c>
      <c r="H258" s="57">
        <f>IF(ISERROR(IF((_xlfn.XLOOKUP(CONT_TEA[[#This Row],[PayScaleGradeCode]],GRADES[PayScaleGradeCode],GRADES[PayScaleCode])=CONT_TEA[[#This Row],[PayScaleCode]]),0,1)),1,0)</f>
        <v>0</v>
      </c>
      <c r="I258" s="57" cm="1">
        <f t="array" ref="I258">IF(ISERROR(FIND(CONT_TEA[[#This Row],[PayScalePointCode]],_xlfn.TEXTJOIN(",",TRUE,IF(PSPOINTS[PayScaleCode]=CONT_TEA[[#This Row],[PayScaleCode]],PSPOINTS[PayScalePointCode])))),1,0)</f>
        <v>0</v>
      </c>
      <c r="J258" s="57" cm="1">
        <f t="array" ref="J25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58" s="57">
        <f>IF(_xlfn.XLOOKUP(CONT_TEA[[#This Row],[PayScalePointCode]],PSPOINTS[PayScalePointCode],PSPOINTS[PayScalePointEnabled])=TRUE,0,1)</f>
        <v>0</v>
      </c>
      <c r="L258" s="57" cm="1">
        <f t="array" ref="L258">IF(_xlfn.XLOOKUP(CONT_TEA[[#This Row],[DepartmentCode]],DEPTS[DepartmentCode],DEPTS[AvailableToAllSchools],1,0,)=TRUE,0,IF(ISERROR(FIND(CONT_TEA[[#This Row],[SchoolCode]],_xlfn.TEXTJOIN(",",TRUE,_xlfn.UNIQUE(IF(DEPTS[DepartmentCode]=CONT_TEA[[#This Row],[DepartmentCode]],DEPTS[SchoolCodes],""))))),1,0))</f>
        <v>0</v>
      </c>
      <c r="M258" s="57">
        <f>IFERROR(IF(_xlfn.XLOOKUP(CONT_TEA[[#This Row],[SRG Gross]],FinanceCodesBudget[FinanceCode],FinanceCodesBudget[LedgerCode])=_xlfn.XLOOKUP(CONT_TEA[[#This Row],[DepartmentCode]],DEPTS[DepartmentCode],DEPTS[LedgerCode]),0,1),1)</f>
        <v>1</v>
      </c>
      <c r="N258" s="57" cm="1">
        <f t="array" ref="N258">IF(_xlfn.XLOOKUP(CONT_TEA[[#This Row],[PensionCode]],PENS[PensionCode],PENS[AvailableToAllSchools],1,0,)=TRUE,0,IF(ISERROR(FIND(CONT_TEA[[#This Row],[SchoolCode]],_xlfn.TEXTJOIN(",",TRUE,_xlfn.UNIQUE(IF(PENS[PensionCode]=CONT_TEA[[#This Row],[PensionCode]],PENS[SchoolCodes],""))))),1,0))</f>
        <v>0</v>
      </c>
      <c r="O258" s="57" cm="1">
        <f t="array" ref="O258">IF(_xlfn.XLOOKUP(CONT_TEA[[#This Row],[EquatedWeekPatternCode]],EQW[EquatedWeekPatternCode],EQW[AvailableToAllSchools],1,0,)=TRUE,0,IF(ISERROR(FIND(CONT_TEA[[#This Row],[SchoolCode]],_xlfn.TEXTJOIN(",",TRUE,_xlfn.UNIQUE(IF(EQW[EquatedWeekPatternCode]=CONT_TEA[[#This Row],[EquatedWeekPatternCode]],EQW[SchoolCodes],""))))),1,0))</f>
        <v>0</v>
      </c>
      <c r="P258" s="57">
        <f>1-COUNTIF(ContractTypes[Code],CONT_TEA[[#This Row],[ContractTypeCode]])</f>
        <v>0</v>
      </c>
      <c r="Q258" s="57">
        <f>IF(VLOOKUP(CONT_TEA[[#This Row],[StaffMemberCode]],MEMBERS[[StaffMemberCode]:[ServiceStartDate]],5,0)&gt;CONT_TEA[[#This Row],[DateFrom]],1,0)</f>
        <v>0</v>
      </c>
      <c r="R258" s="57">
        <f>IF(_xlfn.XLOOKUP(CONT_TEA[[#This Row],[StaffMemberCode]],MEMBERS[StaffMemberCode],MEMBERS[ServiceEndDate])="",0,IF(CONT_TEA[[#This Row],[DateTo]]="",1,IF(_xlfn.XLOOKUP(CONT_TEA[[#This Row],[StaffMemberCode]],MEMBERS[StaffMemberCode],MEMBERS[ServiceEndDate])&lt;CONT_TEA[[#This Row],[DateTo]],1,0)))</f>
        <v>0</v>
      </c>
      <c r="S258" s="57">
        <f>IF(ISBLANK(CONT_TEA[[#This Row],[DateTo]]),0,IF(CONT_TEA[[#This Row],[DateFrom]]=CONT_TEA[[#This Row],[DateTo]],0,IF(CONT_TEA[[#This Row],[DateFrom]]&lt;CONT_TEA[[#This Row],[DateTo]],0,1)))</f>
        <v>0</v>
      </c>
      <c r="T258" s="57" cm="1">
        <f t="array" aca="1" ref="T258" ca="1">IF(CELL("format",CONT_TEA[[#This Row],[DateFrom]])="D1",0,1)+IF(CELL("format",CONT_TEA[[#This Row],[DateTo]])="D1",0,1)</f>
        <v>0</v>
      </c>
      <c r="U258" s="57">
        <f>IF(OR(CONT_TEA[[#This Row],[MatEditOnly]]=TRUE,CONT_TEA[[#This Row],[MatEditOnly]]=FALSE),IF(OR(CONT_TEA[[#This Row],[NoIncrement]]=TRUE,CONT_TEA[[#This Row],[NoIncrement]]=FALSE),0,1),1)</f>
        <v>0</v>
      </c>
      <c r="V258" s="57">
        <f>IF(ISBLANK(CONT_TEA[[#This Row],[FundCode]])=TRUE,0,IF(COUNTIF(FUNDS[FundCode],CONT_TEA[[#This Row],[FundCode]])=1,0,1))</f>
        <v>0</v>
      </c>
      <c r="W258" s="57">
        <f>IF(LEN(CONT_TEA[[#This Row],[Notes]])&lt;4000,0,1)</f>
        <v>0</v>
      </c>
      <c r="X258" s="57">
        <f>IF(SUBSTITUTE(TEXT(CONT_TEA[[#This Row],[Reference]],10)," ","")=TEXT(CONT_TEA[[#This Row],[Reference]],10),0,1)</f>
        <v>0</v>
      </c>
      <c r="Y258" s="57">
        <f ca="1">SUM(CONT_TEA[[#This Row],[Duplicate Contract]:[Space in Code]])</f>
        <v>1</v>
      </c>
      <c r="AA258" s="12" t="s">
        <v>2126</v>
      </c>
      <c r="AB258" s="15">
        <v>10005279</v>
      </c>
      <c r="AC258" s="12">
        <v>106083</v>
      </c>
      <c r="AD258" s="57" t="str">
        <f>_xlfn.XLOOKUP(CONT_TEA[[#This Row],[StaffMemberCode]],StaffMembers!O:O,StaffMembers!R:R)</f>
        <v>Janine Edwards</v>
      </c>
      <c r="AE258" s="12" t="s">
        <v>1612</v>
      </c>
      <c r="AF258" s="57">
        <f>_xlfn.XLOOKUP(CONT_TEA[[#This Row],[SRG]],SRG[StaffRoleGroupCode],SRG[GrossSalaryFinanceCode])</f>
        <v>610100</v>
      </c>
      <c r="AG258" s="57" t="str">
        <f>_xlfn.XLOOKUP(CONT_TEA[[#This Row],[StaffRoleCode]],ROLES[StaffRoleCode],ROLES[StaffRoleGroupCode])</f>
        <v>LST</v>
      </c>
      <c r="AH258" s="57" t="str">
        <f>_xlfn.XLOOKUP(CONT_TEA[[#This Row],[StaffRoleCode]],ROLES[StaffRoleCode],ROLES[PayScaleCode])</f>
        <v>LS</v>
      </c>
      <c r="AI258" s="12" t="s">
        <v>4158</v>
      </c>
      <c r="AJ258" s="12" t="s">
        <v>1099</v>
      </c>
      <c r="AK258" s="12" t="s">
        <v>2499</v>
      </c>
      <c r="AM258" s="68" t="s">
        <v>1147</v>
      </c>
      <c r="AN258" s="13" t="s">
        <v>1702</v>
      </c>
      <c r="AO258" s="21">
        <v>46023</v>
      </c>
      <c r="AQ258" s="12">
        <v>1</v>
      </c>
      <c r="AR258" t="b">
        <v>0</v>
      </c>
      <c r="AS258" t="b">
        <v>0</v>
      </c>
      <c r="AT258" s="12" t="s">
        <v>1574</v>
      </c>
    </row>
    <row r="259" spans="1:46" x14ac:dyDescent="0.3">
      <c r="A259" s="57" t="str">
        <f t="shared" si="5"/>
        <v>MLB10005311106079HTSTCH46023</v>
      </c>
      <c r="B259" s="57">
        <f>COUNTIF(CONT_TEA[Unique Contract],CONT_TEA[[#This Row],[Unique Contract]])-1</f>
        <v>0</v>
      </c>
      <c r="C259" s="57">
        <f>IFERROR(IF(FIND(CONT_TEA[[#This Row],[SchoolCode]],_xlfn.XLOOKUP(CONT_TEA[[#This Row],[StaffMemberCode]],MEMBERS[StaffMemberCode],MEMBERS[SchoolCodes]))&gt;0,0,1),1)</f>
        <v>0</v>
      </c>
      <c r="D259" s="57" cm="1">
        <f t="array" ref="D259">IF(_xlfn.XLOOKUP(CONT_TEA[[#This Row],[StaffRoleCode]],ROLES[StaffRoleCode],ROLES[AvailableToAllSchools],1,0,)=TRUE,0,IF(ISERROR(FIND(CONT_TEA[[#This Row],[SchoolCode]],_xlfn.TEXTJOIN(",",TRUE,_xlfn.UNIQUE(IF(ROLES[StaffRoleCode]=CONT_TEA[[#This Row],[StaffRoleCode]],ROLES[SchoolCodes],""))))),1,0))</f>
        <v>0</v>
      </c>
      <c r="E259" s="57" cm="1">
        <f t="array" ref="E25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59" s="57" cm="1">
        <f t="array" ref="F259">IF(_xlfn.XLOOKUP(CONT_TEA[[#This Row],[PayScaleCode]],PAYSCALES[PayScaleCode],PAYSCALES[AvailableToAllSchools],1,0,)=TRUE,0,IF(ISERROR(FIND(CONT_TEA[[#This Row],[SchoolCode]],_xlfn.TEXTJOIN(",",TRUE,_xlfn.UNIQUE(IF(PAYSCALES[PayScaleCode]=CONT_TEA[[#This Row],[PayScaleCode]],PAYSCALES[SchoolCodes],""))))),1,0))</f>
        <v>0</v>
      </c>
      <c r="G259" s="57">
        <f>IF(_xlfn.XLOOKUP(CONT_TEA[[#This Row],[PayScaleGradeCode]],GRADES[PayScaleGradeCode],GRADES[AvailableToAllSchools])=TRUE,0,IFERROR(IF(FIND(CONT_TEA[[#This Row],[SchoolCode]],_xlfn.XLOOKUP(CONT_TEA[[#This Row],[PayScaleGradeCode]],GRADES[PayScaleGradeCode],GRADES[SchoolCodes]))&gt;=1,0,1),1))</f>
        <v>0</v>
      </c>
      <c r="H259" s="57">
        <f>IF(ISERROR(IF((_xlfn.XLOOKUP(CONT_TEA[[#This Row],[PayScaleGradeCode]],GRADES[PayScaleGradeCode],GRADES[PayScaleCode])=CONT_TEA[[#This Row],[PayScaleCode]]),0,1)),1,0)</f>
        <v>0</v>
      </c>
      <c r="I259" s="57" cm="1">
        <f t="array" ref="I259">IF(ISERROR(FIND(CONT_TEA[[#This Row],[PayScalePointCode]],_xlfn.TEXTJOIN(",",TRUE,IF(PSPOINTS[PayScaleCode]=CONT_TEA[[#This Row],[PayScaleCode]],PSPOINTS[PayScalePointCode])))),1,0)</f>
        <v>0</v>
      </c>
      <c r="J259" s="57" cm="1">
        <f t="array" ref="J25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59" s="57">
        <f>IF(_xlfn.XLOOKUP(CONT_TEA[[#This Row],[PayScalePointCode]],PSPOINTS[PayScalePointCode],PSPOINTS[PayScalePointEnabled])=TRUE,0,1)</f>
        <v>0</v>
      </c>
      <c r="L259" s="57" cm="1">
        <f t="array" ref="L259">IF(_xlfn.XLOOKUP(CONT_TEA[[#This Row],[DepartmentCode]],DEPTS[DepartmentCode],DEPTS[AvailableToAllSchools],1,0,)=TRUE,0,IF(ISERROR(FIND(CONT_TEA[[#This Row],[SchoolCode]],_xlfn.TEXTJOIN(",",TRUE,_xlfn.UNIQUE(IF(DEPTS[DepartmentCode]=CONT_TEA[[#This Row],[DepartmentCode]],DEPTS[SchoolCodes],""))))),1,0))</f>
        <v>0</v>
      </c>
      <c r="M259" s="57">
        <f>IFERROR(IF(_xlfn.XLOOKUP(CONT_TEA[[#This Row],[SRG Gross]],FinanceCodesBudget[FinanceCode],FinanceCodesBudget[LedgerCode])=_xlfn.XLOOKUP(CONT_TEA[[#This Row],[DepartmentCode]],DEPTS[DepartmentCode],DEPTS[LedgerCode]),0,1),1)</f>
        <v>1</v>
      </c>
      <c r="N259" s="57" cm="1">
        <f t="array" ref="N259">IF(_xlfn.XLOOKUP(CONT_TEA[[#This Row],[PensionCode]],PENS[PensionCode],PENS[AvailableToAllSchools],1,0,)=TRUE,0,IF(ISERROR(FIND(CONT_TEA[[#This Row],[SchoolCode]],_xlfn.TEXTJOIN(",",TRUE,_xlfn.UNIQUE(IF(PENS[PensionCode]=CONT_TEA[[#This Row],[PensionCode]],PENS[SchoolCodes],""))))),1,0))</f>
        <v>0</v>
      </c>
      <c r="O259" s="57" cm="1">
        <f t="array" ref="O259">IF(_xlfn.XLOOKUP(CONT_TEA[[#This Row],[EquatedWeekPatternCode]],EQW[EquatedWeekPatternCode],EQW[AvailableToAllSchools],1,0,)=TRUE,0,IF(ISERROR(FIND(CONT_TEA[[#This Row],[SchoolCode]],_xlfn.TEXTJOIN(",",TRUE,_xlfn.UNIQUE(IF(EQW[EquatedWeekPatternCode]=CONT_TEA[[#This Row],[EquatedWeekPatternCode]],EQW[SchoolCodes],""))))),1,0))</f>
        <v>0</v>
      </c>
      <c r="P259" s="57">
        <f>1-COUNTIF(ContractTypes[Code],CONT_TEA[[#This Row],[ContractTypeCode]])</f>
        <v>0</v>
      </c>
      <c r="Q259" s="57">
        <f>IF(VLOOKUP(CONT_TEA[[#This Row],[StaffMemberCode]],MEMBERS[[StaffMemberCode]:[ServiceStartDate]],5,0)&gt;CONT_TEA[[#This Row],[DateFrom]],1,0)</f>
        <v>0</v>
      </c>
      <c r="R259" s="57">
        <f>IF(_xlfn.XLOOKUP(CONT_TEA[[#This Row],[StaffMemberCode]],MEMBERS[StaffMemberCode],MEMBERS[ServiceEndDate])="",0,IF(CONT_TEA[[#This Row],[DateTo]]="",1,IF(_xlfn.XLOOKUP(CONT_TEA[[#This Row],[StaffMemberCode]],MEMBERS[StaffMemberCode],MEMBERS[ServiceEndDate])&lt;CONT_TEA[[#This Row],[DateTo]],1,0)))</f>
        <v>0</v>
      </c>
      <c r="S259" s="57">
        <f>IF(ISBLANK(CONT_TEA[[#This Row],[DateTo]]),0,IF(CONT_TEA[[#This Row],[DateFrom]]=CONT_TEA[[#This Row],[DateTo]],0,IF(CONT_TEA[[#This Row],[DateFrom]]&lt;CONT_TEA[[#This Row],[DateTo]],0,1)))</f>
        <v>0</v>
      </c>
      <c r="T259" s="57" cm="1">
        <f t="array" aca="1" ref="T259" ca="1">IF(CELL("format",CONT_TEA[[#This Row],[DateFrom]])="D1",0,1)+IF(CELL("format",CONT_TEA[[#This Row],[DateTo]])="D1",0,1)</f>
        <v>0</v>
      </c>
      <c r="U259" s="57">
        <f>IF(OR(CONT_TEA[[#This Row],[MatEditOnly]]=TRUE,CONT_TEA[[#This Row],[MatEditOnly]]=FALSE),IF(OR(CONT_TEA[[#This Row],[NoIncrement]]=TRUE,CONT_TEA[[#This Row],[NoIncrement]]=FALSE),0,1),1)</f>
        <v>0</v>
      </c>
      <c r="V259" s="57">
        <f>IF(ISBLANK(CONT_TEA[[#This Row],[FundCode]])=TRUE,0,IF(COUNTIF(FUNDS[FundCode],CONT_TEA[[#This Row],[FundCode]])=1,0,1))</f>
        <v>0</v>
      </c>
      <c r="W259" s="57">
        <f>IF(LEN(CONT_TEA[[#This Row],[Notes]])&lt;4000,0,1)</f>
        <v>0</v>
      </c>
      <c r="X259" s="57">
        <f>IF(SUBSTITUTE(TEXT(CONT_TEA[[#This Row],[Reference]],10)," ","")=TEXT(CONT_TEA[[#This Row],[Reference]],10),0,1)</f>
        <v>0</v>
      </c>
      <c r="Y259" s="57">
        <f ca="1">SUM(CONT_TEA[[#This Row],[Duplicate Contract]:[Space in Code]])</f>
        <v>1</v>
      </c>
      <c r="AA259" s="12" t="s">
        <v>2126</v>
      </c>
      <c r="AB259" s="15">
        <v>10005311</v>
      </c>
      <c r="AC259" s="12">
        <v>106079</v>
      </c>
      <c r="AD259" s="57" t="str">
        <f>_xlfn.XLOOKUP(CONT_TEA[[#This Row],[StaffMemberCode]],StaffMembers!O:O,StaffMembers!R:R)</f>
        <v>John Harrison</v>
      </c>
      <c r="AE259" s="12" t="s">
        <v>1553</v>
      </c>
      <c r="AF259" s="57">
        <f>_xlfn.XLOOKUP(CONT_TEA[[#This Row],[SRG]],SRG[StaffRoleGroupCode],SRG[GrossSalaryFinanceCode])</f>
        <v>610100</v>
      </c>
      <c r="AG259" s="57" t="str">
        <f>_xlfn.XLOOKUP(CONT_TEA[[#This Row],[StaffRoleCode]],ROLES[StaffRoleCode],ROLES[StaffRoleGroupCode])</f>
        <v>LST</v>
      </c>
      <c r="AH259" s="57" t="str">
        <f>_xlfn.XLOOKUP(CONT_TEA[[#This Row],[StaffRoleCode]],ROLES[StaffRoleCode],ROLES[PayScaleCode])</f>
        <v>LS</v>
      </c>
      <c r="AI259" s="12" t="s">
        <v>4159</v>
      </c>
      <c r="AJ259" s="12" t="s">
        <v>1112</v>
      </c>
      <c r="AK259" s="12" t="s">
        <v>2499</v>
      </c>
      <c r="AM259" s="68" t="s">
        <v>1147</v>
      </c>
      <c r="AN259" s="13" t="s">
        <v>1702</v>
      </c>
      <c r="AO259" s="21">
        <v>46023</v>
      </c>
      <c r="AQ259" s="12">
        <v>1</v>
      </c>
      <c r="AR259" t="b">
        <v>0</v>
      </c>
      <c r="AS259" t="b">
        <v>0</v>
      </c>
      <c r="AT259" s="12" t="s">
        <v>1574</v>
      </c>
    </row>
    <row r="260" spans="1:46" x14ac:dyDescent="0.3">
      <c r="A260" s="57" t="str">
        <f t="shared" ref="A260:A291" si="6">AA260&amp;AB260&amp;AC260&amp;AE260&amp;AK260&amp;AO260</f>
        <v>MLB10005299106064TEASTCH46023</v>
      </c>
      <c r="B260" s="57">
        <f>COUNTIF(CONT_TEA[Unique Contract],CONT_TEA[[#This Row],[Unique Contract]])-1</f>
        <v>0</v>
      </c>
      <c r="C260" s="57">
        <f>IFERROR(IF(FIND(CONT_TEA[[#This Row],[SchoolCode]],_xlfn.XLOOKUP(CONT_TEA[[#This Row],[StaffMemberCode]],MEMBERS[StaffMemberCode],MEMBERS[SchoolCodes]))&gt;0,0,1),1)</f>
        <v>0</v>
      </c>
      <c r="D260" s="57" cm="1">
        <f t="array" ref="D260">IF(_xlfn.XLOOKUP(CONT_TEA[[#This Row],[StaffRoleCode]],ROLES[StaffRoleCode],ROLES[AvailableToAllSchools],1,0,)=TRUE,0,IF(ISERROR(FIND(CONT_TEA[[#This Row],[SchoolCode]],_xlfn.TEXTJOIN(",",TRUE,_xlfn.UNIQUE(IF(ROLES[StaffRoleCode]=CONT_TEA[[#This Row],[StaffRoleCode]],ROLES[SchoolCodes],""))))),1,0))</f>
        <v>0</v>
      </c>
      <c r="E260" s="57" cm="1">
        <f t="array" ref="E26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60" s="57" cm="1">
        <f t="array" ref="F260">IF(_xlfn.XLOOKUP(CONT_TEA[[#This Row],[PayScaleCode]],PAYSCALES[PayScaleCode],PAYSCALES[AvailableToAllSchools],1,0,)=TRUE,0,IF(ISERROR(FIND(CONT_TEA[[#This Row],[SchoolCode]],_xlfn.TEXTJOIN(",",TRUE,_xlfn.UNIQUE(IF(PAYSCALES[PayScaleCode]=CONT_TEA[[#This Row],[PayScaleCode]],PAYSCALES[SchoolCodes],""))))),1,0))</f>
        <v>0</v>
      </c>
      <c r="G260" s="57">
        <f>IF(_xlfn.XLOOKUP(CONT_TEA[[#This Row],[PayScaleGradeCode]],GRADES[PayScaleGradeCode],GRADES[AvailableToAllSchools])=TRUE,0,IFERROR(IF(FIND(CONT_TEA[[#This Row],[SchoolCode]],_xlfn.XLOOKUP(CONT_TEA[[#This Row],[PayScaleGradeCode]],GRADES[PayScaleGradeCode],GRADES[SchoolCodes]))&gt;=1,0,1),1))</f>
        <v>0</v>
      </c>
      <c r="H260" s="57">
        <f>IF(ISERROR(IF((_xlfn.XLOOKUP(CONT_TEA[[#This Row],[PayScaleGradeCode]],GRADES[PayScaleGradeCode],GRADES[PayScaleCode])=CONT_TEA[[#This Row],[PayScaleCode]]),0,1)),1,0)</f>
        <v>0</v>
      </c>
      <c r="I260" s="57" cm="1">
        <f t="array" ref="I260">IF(ISERROR(FIND(CONT_TEA[[#This Row],[PayScalePointCode]],_xlfn.TEXTJOIN(",",TRUE,IF(PSPOINTS[PayScaleCode]=CONT_TEA[[#This Row],[PayScaleCode]],PSPOINTS[PayScalePointCode])))),1,0)</f>
        <v>0</v>
      </c>
      <c r="J260" s="57" cm="1">
        <f t="array" ref="J26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60" s="57">
        <f>IF(_xlfn.XLOOKUP(CONT_TEA[[#This Row],[PayScalePointCode]],PSPOINTS[PayScalePointCode],PSPOINTS[PayScalePointEnabled])=TRUE,0,1)</f>
        <v>0</v>
      </c>
      <c r="L260" s="57" cm="1">
        <f t="array" ref="L260">IF(_xlfn.XLOOKUP(CONT_TEA[[#This Row],[DepartmentCode]],DEPTS[DepartmentCode],DEPTS[AvailableToAllSchools],1,0,)=TRUE,0,IF(ISERROR(FIND(CONT_TEA[[#This Row],[SchoolCode]],_xlfn.TEXTJOIN(",",TRUE,_xlfn.UNIQUE(IF(DEPTS[DepartmentCode]=CONT_TEA[[#This Row],[DepartmentCode]],DEPTS[SchoolCodes],""))))),1,0))</f>
        <v>0</v>
      </c>
      <c r="M260" s="57">
        <f>IFERROR(IF(_xlfn.XLOOKUP(CONT_TEA[[#This Row],[SRG Gross]],FinanceCodesBudget[FinanceCode],FinanceCodesBudget[LedgerCode])=_xlfn.XLOOKUP(CONT_TEA[[#This Row],[DepartmentCode]],DEPTS[DepartmentCode],DEPTS[LedgerCode]),0,1),1)</f>
        <v>1</v>
      </c>
      <c r="N260" s="57" cm="1">
        <f t="array" ref="N260">IF(_xlfn.XLOOKUP(CONT_TEA[[#This Row],[PensionCode]],PENS[PensionCode],PENS[AvailableToAllSchools],1,0,)=TRUE,0,IF(ISERROR(FIND(CONT_TEA[[#This Row],[SchoolCode]],_xlfn.TEXTJOIN(",",TRUE,_xlfn.UNIQUE(IF(PENS[PensionCode]=CONT_TEA[[#This Row],[PensionCode]],PENS[SchoolCodes],""))))),1,0))</f>
        <v>0</v>
      </c>
      <c r="O260" s="57" cm="1">
        <f t="array" ref="O260">IF(_xlfn.XLOOKUP(CONT_TEA[[#This Row],[EquatedWeekPatternCode]],EQW[EquatedWeekPatternCode],EQW[AvailableToAllSchools],1,0,)=TRUE,0,IF(ISERROR(FIND(CONT_TEA[[#This Row],[SchoolCode]],_xlfn.TEXTJOIN(",",TRUE,_xlfn.UNIQUE(IF(EQW[EquatedWeekPatternCode]=CONT_TEA[[#This Row],[EquatedWeekPatternCode]],EQW[SchoolCodes],""))))),1,0))</f>
        <v>0</v>
      </c>
      <c r="P260" s="57">
        <f>1-COUNTIF(ContractTypes[Code],CONT_TEA[[#This Row],[ContractTypeCode]])</f>
        <v>0</v>
      </c>
      <c r="Q260" s="57">
        <f>IF(VLOOKUP(CONT_TEA[[#This Row],[StaffMemberCode]],MEMBERS[[StaffMemberCode]:[ServiceStartDate]],5,0)&gt;CONT_TEA[[#This Row],[DateFrom]],1,0)</f>
        <v>0</v>
      </c>
      <c r="R260" s="57">
        <f>IF(_xlfn.XLOOKUP(CONT_TEA[[#This Row],[StaffMemberCode]],MEMBERS[StaffMemberCode],MEMBERS[ServiceEndDate])="",0,IF(CONT_TEA[[#This Row],[DateTo]]="",1,IF(_xlfn.XLOOKUP(CONT_TEA[[#This Row],[StaffMemberCode]],MEMBERS[StaffMemberCode],MEMBERS[ServiceEndDate])&lt;CONT_TEA[[#This Row],[DateTo]],1,0)))</f>
        <v>0</v>
      </c>
      <c r="S260" s="57">
        <f>IF(ISBLANK(CONT_TEA[[#This Row],[DateTo]]),0,IF(CONT_TEA[[#This Row],[DateFrom]]=CONT_TEA[[#This Row],[DateTo]],0,IF(CONT_TEA[[#This Row],[DateFrom]]&lt;CONT_TEA[[#This Row],[DateTo]],0,1)))</f>
        <v>0</v>
      </c>
      <c r="T260" s="57" cm="1">
        <f t="array" aca="1" ref="T260" ca="1">IF(CELL("format",CONT_TEA[[#This Row],[DateFrom]])="D1",0,1)+IF(CELL("format",CONT_TEA[[#This Row],[DateTo]])="D1",0,1)</f>
        <v>0</v>
      </c>
      <c r="U260" s="57">
        <f>IF(OR(CONT_TEA[[#This Row],[MatEditOnly]]=TRUE,CONT_TEA[[#This Row],[MatEditOnly]]=FALSE),IF(OR(CONT_TEA[[#This Row],[NoIncrement]]=TRUE,CONT_TEA[[#This Row],[NoIncrement]]=FALSE),0,1),1)</f>
        <v>0</v>
      </c>
      <c r="V260" s="57">
        <f>IF(ISBLANK(CONT_TEA[[#This Row],[FundCode]])=TRUE,0,IF(COUNTIF(FUNDS[FundCode],CONT_TEA[[#This Row],[FundCode]])=1,0,1))</f>
        <v>0</v>
      </c>
      <c r="W260" s="57">
        <f>IF(LEN(CONT_TEA[[#This Row],[Notes]])&lt;4000,0,1)</f>
        <v>0</v>
      </c>
      <c r="X260" s="57">
        <f>IF(SUBSTITUTE(TEXT(CONT_TEA[[#This Row],[Reference]],10)," ","")=TEXT(CONT_TEA[[#This Row],[Reference]],10),0,1)</f>
        <v>0</v>
      </c>
      <c r="Y260" s="57">
        <f ca="1">SUM(CONT_TEA[[#This Row],[Duplicate Contract]:[Space in Code]])</f>
        <v>1</v>
      </c>
      <c r="AA260" s="12" t="s">
        <v>2126</v>
      </c>
      <c r="AB260" s="15">
        <v>10005299</v>
      </c>
      <c r="AC260" s="12">
        <v>106064</v>
      </c>
      <c r="AD260" s="57" t="str">
        <f>_xlfn.XLOOKUP(CONT_TEA[[#This Row],[StaffMemberCode]],StaffMembers!O:O,StaffMembers!R:R)</f>
        <v>Alan Killalee</v>
      </c>
      <c r="AE260" s="12" t="s">
        <v>1178</v>
      </c>
      <c r="AF260" s="57">
        <f>_xlfn.XLOOKUP(CONT_TEA[[#This Row],[SRG]],SRG[StaffRoleGroupCode],SRG[GrossSalaryFinanceCode])</f>
        <v>612100</v>
      </c>
      <c r="AG260" s="57" t="str">
        <f>_xlfn.XLOOKUP(CONT_TEA[[#This Row],[StaffRoleCode]],ROLES[StaffRoleCode],ROLES[StaffRoleGroupCode])</f>
        <v>TEA</v>
      </c>
      <c r="AH260" s="57" t="str">
        <f>_xlfn.XLOOKUP(CONT_TEA[[#This Row],[StaffRoleCode]],ROLES[StaffRoleCode],ROLES[PayScaleCode])</f>
        <v>MAIN</v>
      </c>
      <c r="AI260" s="12" t="s">
        <v>1126</v>
      </c>
      <c r="AJ260" s="12" t="s">
        <v>1745</v>
      </c>
      <c r="AK260" s="12" t="s">
        <v>2499</v>
      </c>
      <c r="AM260" s="68" t="s">
        <v>1147</v>
      </c>
      <c r="AN260" s="13" t="s">
        <v>1702</v>
      </c>
      <c r="AO260" s="21">
        <v>46023</v>
      </c>
      <c r="AQ260" s="12">
        <v>1</v>
      </c>
      <c r="AR260" t="b">
        <v>0</v>
      </c>
      <c r="AS260" t="b">
        <v>0</v>
      </c>
      <c r="AT260" s="12" t="s">
        <v>1574</v>
      </c>
    </row>
    <row r="261" spans="1:46" x14ac:dyDescent="0.3">
      <c r="A261" s="57" t="str">
        <f t="shared" si="6"/>
        <v>MLB10005294106059TEASTCH46023</v>
      </c>
      <c r="B261" s="57">
        <f>COUNTIF(CONT_TEA[Unique Contract],CONT_TEA[[#This Row],[Unique Contract]])-1</f>
        <v>0</v>
      </c>
      <c r="C261" s="57">
        <f>IFERROR(IF(FIND(CONT_TEA[[#This Row],[SchoolCode]],_xlfn.XLOOKUP(CONT_TEA[[#This Row],[StaffMemberCode]],MEMBERS[StaffMemberCode],MEMBERS[SchoolCodes]))&gt;0,0,1),1)</f>
        <v>0</v>
      </c>
      <c r="D261" s="57" cm="1">
        <f t="array" ref="D261">IF(_xlfn.XLOOKUP(CONT_TEA[[#This Row],[StaffRoleCode]],ROLES[StaffRoleCode],ROLES[AvailableToAllSchools],1,0,)=TRUE,0,IF(ISERROR(FIND(CONT_TEA[[#This Row],[SchoolCode]],_xlfn.TEXTJOIN(",",TRUE,_xlfn.UNIQUE(IF(ROLES[StaffRoleCode]=CONT_TEA[[#This Row],[StaffRoleCode]],ROLES[SchoolCodes],""))))),1,0))</f>
        <v>0</v>
      </c>
      <c r="E261" s="57" cm="1">
        <f t="array" ref="E26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61" s="57" cm="1">
        <f t="array" ref="F261">IF(_xlfn.XLOOKUP(CONT_TEA[[#This Row],[PayScaleCode]],PAYSCALES[PayScaleCode],PAYSCALES[AvailableToAllSchools],1,0,)=TRUE,0,IF(ISERROR(FIND(CONT_TEA[[#This Row],[SchoolCode]],_xlfn.TEXTJOIN(",",TRUE,_xlfn.UNIQUE(IF(PAYSCALES[PayScaleCode]=CONT_TEA[[#This Row],[PayScaleCode]],PAYSCALES[SchoolCodes],""))))),1,0))</f>
        <v>0</v>
      </c>
      <c r="G261" s="57">
        <f>IF(_xlfn.XLOOKUP(CONT_TEA[[#This Row],[PayScaleGradeCode]],GRADES[PayScaleGradeCode],GRADES[AvailableToAllSchools])=TRUE,0,IFERROR(IF(FIND(CONT_TEA[[#This Row],[SchoolCode]],_xlfn.XLOOKUP(CONT_TEA[[#This Row],[PayScaleGradeCode]],GRADES[PayScaleGradeCode],GRADES[SchoolCodes]))&gt;=1,0,1),1))</f>
        <v>0</v>
      </c>
      <c r="H261" s="57">
        <f>IF(ISERROR(IF((_xlfn.XLOOKUP(CONT_TEA[[#This Row],[PayScaleGradeCode]],GRADES[PayScaleGradeCode],GRADES[PayScaleCode])=CONT_TEA[[#This Row],[PayScaleCode]]),0,1)),1,0)</f>
        <v>0</v>
      </c>
      <c r="I261" s="57" cm="1">
        <f t="array" ref="I261">IF(ISERROR(FIND(CONT_TEA[[#This Row],[PayScalePointCode]],_xlfn.TEXTJOIN(",",TRUE,IF(PSPOINTS[PayScaleCode]=CONT_TEA[[#This Row],[PayScaleCode]],PSPOINTS[PayScalePointCode])))),1,0)</f>
        <v>0</v>
      </c>
      <c r="J261" s="57" cm="1">
        <f t="array" ref="J26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61" s="57">
        <f>IF(_xlfn.XLOOKUP(CONT_TEA[[#This Row],[PayScalePointCode]],PSPOINTS[PayScalePointCode],PSPOINTS[PayScalePointEnabled])=TRUE,0,1)</f>
        <v>0</v>
      </c>
      <c r="L261" s="57" cm="1">
        <f t="array" ref="L261">IF(_xlfn.XLOOKUP(CONT_TEA[[#This Row],[DepartmentCode]],DEPTS[DepartmentCode],DEPTS[AvailableToAllSchools],1,0,)=TRUE,0,IF(ISERROR(FIND(CONT_TEA[[#This Row],[SchoolCode]],_xlfn.TEXTJOIN(",",TRUE,_xlfn.UNIQUE(IF(DEPTS[DepartmentCode]=CONT_TEA[[#This Row],[DepartmentCode]],DEPTS[SchoolCodes],""))))),1,0))</f>
        <v>0</v>
      </c>
      <c r="M261" s="57">
        <f>IFERROR(IF(_xlfn.XLOOKUP(CONT_TEA[[#This Row],[SRG Gross]],FinanceCodesBudget[FinanceCode],FinanceCodesBudget[LedgerCode])=_xlfn.XLOOKUP(CONT_TEA[[#This Row],[DepartmentCode]],DEPTS[DepartmentCode],DEPTS[LedgerCode]),0,1),1)</f>
        <v>1</v>
      </c>
      <c r="N261" s="57" cm="1">
        <f t="array" ref="N261">IF(_xlfn.XLOOKUP(CONT_TEA[[#This Row],[PensionCode]],PENS[PensionCode],PENS[AvailableToAllSchools],1,0,)=TRUE,0,IF(ISERROR(FIND(CONT_TEA[[#This Row],[SchoolCode]],_xlfn.TEXTJOIN(",",TRUE,_xlfn.UNIQUE(IF(PENS[PensionCode]=CONT_TEA[[#This Row],[PensionCode]],PENS[SchoolCodes],""))))),1,0))</f>
        <v>0</v>
      </c>
      <c r="O261" s="57" cm="1">
        <f t="array" ref="O261">IF(_xlfn.XLOOKUP(CONT_TEA[[#This Row],[EquatedWeekPatternCode]],EQW[EquatedWeekPatternCode],EQW[AvailableToAllSchools],1,0,)=TRUE,0,IF(ISERROR(FIND(CONT_TEA[[#This Row],[SchoolCode]],_xlfn.TEXTJOIN(",",TRUE,_xlfn.UNIQUE(IF(EQW[EquatedWeekPatternCode]=CONT_TEA[[#This Row],[EquatedWeekPatternCode]],EQW[SchoolCodes],""))))),1,0))</f>
        <v>0</v>
      </c>
      <c r="P261" s="57">
        <f>1-COUNTIF(ContractTypes[Code],CONT_TEA[[#This Row],[ContractTypeCode]])</f>
        <v>0</v>
      </c>
      <c r="Q261" s="57">
        <f>IF(VLOOKUP(CONT_TEA[[#This Row],[StaffMemberCode]],MEMBERS[[StaffMemberCode]:[ServiceStartDate]],5,0)&gt;CONT_TEA[[#This Row],[DateFrom]],1,0)</f>
        <v>0</v>
      </c>
      <c r="R261" s="57">
        <f>IF(_xlfn.XLOOKUP(CONT_TEA[[#This Row],[StaffMemberCode]],MEMBERS[StaffMemberCode],MEMBERS[ServiceEndDate])="",0,IF(CONT_TEA[[#This Row],[DateTo]]="",1,IF(_xlfn.XLOOKUP(CONT_TEA[[#This Row],[StaffMemberCode]],MEMBERS[StaffMemberCode],MEMBERS[ServiceEndDate])&lt;CONT_TEA[[#This Row],[DateTo]],1,0)))</f>
        <v>0</v>
      </c>
      <c r="S261" s="57">
        <f>IF(ISBLANK(CONT_TEA[[#This Row],[DateTo]]),0,IF(CONT_TEA[[#This Row],[DateFrom]]=CONT_TEA[[#This Row],[DateTo]],0,IF(CONT_TEA[[#This Row],[DateFrom]]&lt;CONT_TEA[[#This Row],[DateTo]],0,1)))</f>
        <v>0</v>
      </c>
      <c r="T261" s="57" cm="1">
        <f t="array" aca="1" ref="T261" ca="1">IF(CELL("format",CONT_TEA[[#This Row],[DateFrom]])="D1",0,1)+IF(CELL("format",CONT_TEA[[#This Row],[DateTo]])="D1",0,1)</f>
        <v>0</v>
      </c>
      <c r="U261" s="57">
        <f>IF(OR(CONT_TEA[[#This Row],[MatEditOnly]]=TRUE,CONT_TEA[[#This Row],[MatEditOnly]]=FALSE),IF(OR(CONT_TEA[[#This Row],[NoIncrement]]=TRUE,CONT_TEA[[#This Row],[NoIncrement]]=FALSE),0,1),1)</f>
        <v>0</v>
      </c>
      <c r="V261" s="57">
        <f>IF(ISBLANK(CONT_TEA[[#This Row],[FundCode]])=TRUE,0,IF(COUNTIF(FUNDS[FundCode],CONT_TEA[[#This Row],[FundCode]])=1,0,1))</f>
        <v>0</v>
      </c>
      <c r="W261" s="57">
        <f>IF(LEN(CONT_TEA[[#This Row],[Notes]])&lt;4000,0,1)</f>
        <v>0</v>
      </c>
      <c r="X261" s="57">
        <f>IF(SUBSTITUTE(TEXT(CONT_TEA[[#This Row],[Reference]],10)," ","")=TEXT(CONT_TEA[[#This Row],[Reference]],10),0,1)</f>
        <v>0</v>
      </c>
      <c r="Y261" s="57">
        <f ca="1">SUM(CONT_TEA[[#This Row],[Duplicate Contract]:[Space in Code]])</f>
        <v>1</v>
      </c>
      <c r="AA261" s="12" t="s">
        <v>2126</v>
      </c>
      <c r="AB261" s="15">
        <v>10005294</v>
      </c>
      <c r="AC261" s="12">
        <v>106059</v>
      </c>
      <c r="AD261" s="57" t="str">
        <f>_xlfn.XLOOKUP(CONT_TEA[[#This Row],[StaffMemberCode]],StaffMembers!O:O,StaffMembers!R:R)</f>
        <v>Louise Jennings</v>
      </c>
      <c r="AE261" s="12" t="s">
        <v>1178</v>
      </c>
      <c r="AF261" s="57">
        <f>_xlfn.XLOOKUP(CONT_TEA[[#This Row],[SRG]],SRG[StaffRoleGroupCode],SRG[GrossSalaryFinanceCode])</f>
        <v>612100</v>
      </c>
      <c r="AG261" s="57" t="str">
        <f>_xlfn.XLOOKUP(CONT_TEA[[#This Row],[StaffRoleCode]],ROLES[StaffRoleCode],ROLES[StaffRoleGroupCode])</f>
        <v>TEA</v>
      </c>
      <c r="AH261" s="57" t="str">
        <f>_xlfn.XLOOKUP(CONT_TEA[[#This Row],[StaffRoleCode]],ROLES[StaffRoleCode],ROLES[PayScaleCode])</f>
        <v>MAIN</v>
      </c>
      <c r="AI261" s="12" t="s">
        <v>1126</v>
      </c>
      <c r="AJ261" s="12" t="s">
        <v>1745</v>
      </c>
      <c r="AK261" s="12" t="s">
        <v>2499</v>
      </c>
      <c r="AM261" s="68" t="s">
        <v>1149</v>
      </c>
      <c r="AN261" s="13" t="s">
        <v>1702</v>
      </c>
      <c r="AO261" s="21">
        <v>46023</v>
      </c>
      <c r="AQ261" s="12">
        <v>1</v>
      </c>
      <c r="AR261" t="b">
        <v>0</v>
      </c>
      <c r="AS261" t="b">
        <v>0</v>
      </c>
      <c r="AT261" s="12" t="s">
        <v>1574</v>
      </c>
    </row>
    <row r="262" spans="1:46" x14ac:dyDescent="0.3">
      <c r="A262" s="57" t="str">
        <f t="shared" si="6"/>
        <v>MLB10005300106065AHT_MAINSTCH46023</v>
      </c>
      <c r="B262" s="57">
        <f>COUNTIF(CONT_TEA[Unique Contract],CONT_TEA[[#This Row],[Unique Contract]])-1</f>
        <v>0</v>
      </c>
      <c r="C262" s="57">
        <f>IFERROR(IF(FIND(CONT_TEA[[#This Row],[SchoolCode]],_xlfn.XLOOKUP(CONT_TEA[[#This Row],[StaffMemberCode]],MEMBERS[StaffMemberCode],MEMBERS[SchoolCodes]))&gt;0,0,1),1)</f>
        <v>0</v>
      </c>
      <c r="D262" s="57" cm="1">
        <f t="array" ref="D262">IF(_xlfn.XLOOKUP(CONT_TEA[[#This Row],[StaffRoleCode]],ROLES[StaffRoleCode],ROLES[AvailableToAllSchools],1,0,)=TRUE,0,IF(ISERROR(FIND(CONT_TEA[[#This Row],[SchoolCode]],_xlfn.TEXTJOIN(",",TRUE,_xlfn.UNIQUE(IF(ROLES[StaffRoleCode]=CONT_TEA[[#This Row],[StaffRoleCode]],ROLES[SchoolCodes],""))))),1,0))</f>
        <v>0</v>
      </c>
      <c r="E262" s="57" cm="1">
        <f t="array" ref="E26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62" s="57" cm="1">
        <f t="array" ref="F262">IF(_xlfn.XLOOKUP(CONT_TEA[[#This Row],[PayScaleCode]],PAYSCALES[PayScaleCode],PAYSCALES[AvailableToAllSchools],1,0,)=TRUE,0,IF(ISERROR(FIND(CONT_TEA[[#This Row],[SchoolCode]],_xlfn.TEXTJOIN(",",TRUE,_xlfn.UNIQUE(IF(PAYSCALES[PayScaleCode]=CONT_TEA[[#This Row],[PayScaleCode]],PAYSCALES[SchoolCodes],""))))),1,0))</f>
        <v>0</v>
      </c>
      <c r="G262" s="57">
        <f>IF(_xlfn.XLOOKUP(CONT_TEA[[#This Row],[PayScaleGradeCode]],GRADES[PayScaleGradeCode],GRADES[AvailableToAllSchools])=TRUE,0,IFERROR(IF(FIND(CONT_TEA[[#This Row],[SchoolCode]],_xlfn.XLOOKUP(CONT_TEA[[#This Row],[PayScaleGradeCode]],GRADES[PayScaleGradeCode],GRADES[SchoolCodes]))&gt;=1,0,1),1))</f>
        <v>0</v>
      </c>
      <c r="H262" s="57">
        <f>IF(ISERROR(IF((_xlfn.XLOOKUP(CONT_TEA[[#This Row],[PayScaleGradeCode]],GRADES[PayScaleGradeCode],GRADES[PayScaleCode])=CONT_TEA[[#This Row],[PayScaleCode]]),0,1)),1,0)</f>
        <v>0</v>
      </c>
      <c r="I262" s="57" cm="1">
        <f t="array" ref="I262">IF(ISERROR(FIND(CONT_TEA[[#This Row],[PayScalePointCode]],_xlfn.TEXTJOIN(",",TRUE,IF(PSPOINTS[PayScaleCode]=CONT_TEA[[#This Row],[PayScaleCode]],PSPOINTS[PayScalePointCode])))),1,0)</f>
        <v>0</v>
      </c>
      <c r="J262" s="57" cm="1">
        <f t="array" ref="J26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62" s="57">
        <f>IF(_xlfn.XLOOKUP(CONT_TEA[[#This Row],[PayScalePointCode]],PSPOINTS[PayScalePointCode],PSPOINTS[PayScalePointEnabled])=TRUE,0,1)</f>
        <v>0</v>
      </c>
      <c r="L262" s="57" cm="1">
        <f t="array" ref="L262">IF(_xlfn.XLOOKUP(CONT_TEA[[#This Row],[DepartmentCode]],DEPTS[DepartmentCode],DEPTS[AvailableToAllSchools],1,0,)=TRUE,0,IF(ISERROR(FIND(CONT_TEA[[#This Row],[SchoolCode]],_xlfn.TEXTJOIN(",",TRUE,_xlfn.UNIQUE(IF(DEPTS[DepartmentCode]=CONT_TEA[[#This Row],[DepartmentCode]],DEPTS[SchoolCodes],""))))),1,0))</f>
        <v>0</v>
      </c>
      <c r="M262" s="57">
        <f>IFERROR(IF(_xlfn.XLOOKUP(CONT_TEA[[#This Row],[SRG Gross]],FinanceCodesBudget[FinanceCode],FinanceCodesBudget[LedgerCode])=_xlfn.XLOOKUP(CONT_TEA[[#This Row],[DepartmentCode]],DEPTS[DepartmentCode],DEPTS[LedgerCode]),0,1),1)</f>
        <v>1</v>
      </c>
      <c r="N262" s="57" cm="1">
        <f t="array" ref="N262">IF(_xlfn.XLOOKUP(CONT_TEA[[#This Row],[PensionCode]],PENS[PensionCode],PENS[AvailableToAllSchools],1,0,)=TRUE,0,IF(ISERROR(FIND(CONT_TEA[[#This Row],[SchoolCode]],_xlfn.TEXTJOIN(",",TRUE,_xlfn.UNIQUE(IF(PENS[PensionCode]=CONT_TEA[[#This Row],[PensionCode]],PENS[SchoolCodes],""))))),1,0))</f>
        <v>0</v>
      </c>
      <c r="O262" s="57" cm="1">
        <f t="array" ref="O262">IF(_xlfn.XLOOKUP(CONT_TEA[[#This Row],[EquatedWeekPatternCode]],EQW[EquatedWeekPatternCode],EQW[AvailableToAllSchools],1,0,)=TRUE,0,IF(ISERROR(FIND(CONT_TEA[[#This Row],[SchoolCode]],_xlfn.TEXTJOIN(",",TRUE,_xlfn.UNIQUE(IF(EQW[EquatedWeekPatternCode]=CONT_TEA[[#This Row],[EquatedWeekPatternCode]],EQW[SchoolCodes],""))))),1,0))</f>
        <v>0</v>
      </c>
      <c r="P262" s="57">
        <f>1-COUNTIF(ContractTypes[Code],CONT_TEA[[#This Row],[ContractTypeCode]])</f>
        <v>0</v>
      </c>
      <c r="Q262" s="57">
        <f>IF(VLOOKUP(CONT_TEA[[#This Row],[StaffMemberCode]],MEMBERS[[StaffMemberCode]:[ServiceStartDate]],5,0)&gt;CONT_TEA[[#This Row],[DateFrom]],1,0)</f>
        <v>0</v>
      </c>
      <c r="R262" s="57">
        <f>IF(_xlfn.XLOOKUP(CONT_TEA[[#This Row],[StaffMemberCode]],MEMBERS[StaffMemberCode],MEMBERS[ServiceEndDate])="",0,IF(CONT_TEA[[#This Row],[DateTo]]="",1,IF(_xlfn.XLOOKUP(CONT_TEA[[#This Row],[StaffMemberCode]],MEMBERS[StaffMemberCode],MEMBERS[ServiceEndDate])&lt;CONT_TEA[[#This Row],[DateTo]],1,0)))</f>
        <v>0</v>
      </c>
      <c r="S262" s="57">
        <f>IF(ISBLANK(CONT_TEA[[#This Row],[DateTo]]),0,IF(CONT_TEA[[#This Row],[DateFrom]]=CONT_TEA[[#This Row],[DateTo]],0,IF(CONT_TEA[[#This Row],[DateFrom]]&lt;CONT_TEA[[#This Row],[DateTo]],0,1)))</f>
        <v>0</v>
      </c>
      <c r="T262" s="57" cm="1">
        <f t="array" aca="1" ref="T262" ca="1">IF(CELL("format",CONT_TEA[[#This Row],[DateFrom]])="D1",0,1)+IF(CELL("format",CONT_TEA[[#This Row],[DateTo]])="D1",0,1)</f>
        <v>0</v>
      </c>
      <c r="U262" s="57">
        <f>IF(OR(CONT_TEA[[#This Row],[MatEditOnly]]=TRUE,CONT_TEA[[#This Row],[MatEditOnly]]=FALSE),IF(OR(CONT_TEA[[#This Row],[NoIncrement]]=TRUE,CONT_TEA[[#This Row],[NoIncrement]]=FALSE),0,1),1)</f>
        <v>0</v>
      </c>
      <c r="V262" s="57">
        <f>IF(ISBLANK(CONT_TEA[[#This Row],[FundCode]])=TRUE,0,IF(COUNTIF(FUNDS[FundCode],CONT_TEA[[#This Row],[FundCode]])=1,0,1))</f>
        <v>0</v>
      </c>
      <c r="W262" s="57">
        <f>IF(LEN(CONT_TEA[[#This Row],[Notes]])&lt;4000,0,1)</f>
        <v>0</v>
      </c>
      <c r="X262" s="57">
        <f>IF(SUBSTITUTE(TEXT(CONT_TEA[[#This Row],[Reference]],10)," ","")=TEXT(CONT_TEA[[#This Row],[Reference]],10),0,1)</f>
        <v>0</v>
      </c>
      <c r="Y262" s="57">
        <f ca="1">SUM(CONT_TEA[[#This Row],[Duplicate Contract]:[Space in Code]])</f>
        <v>1</v>
      </c>
      <c r="AA262" s="12" t="s">
        <v>2126</v>
      </c>
      <c r="AB262" s="15">
        <v>10005300</v>
      </c>
      <c r="AC262" s="12">
        <v>106065</v>
      </c>
      <c r="AD262" s="57" t="str">
        <f>_xlfn.XLOOKUP(CONT_TEA[[#This Row],[StaffMemberCode]],StaffMembers!O:O,StaffMembers!R:R)</f>
        <v>Jennifer Aspinall</v>
      </c>
      <c r="AE262" s="12" t="s">
        <v>4167</v>
      </c>
      <c r="AF262" s="57">
        <f>_xlfn.XLOOKUP(CONT_TEA[[#This Row],[SRG]],SRG[StaffRoleGroupCode],SRG[GrossSalaryFinanceCode])</f>
        <v>612100</v>
      </c>
      <c r="AG262" s="57" t="str">
        <f>_xlfn.XLOOKUP(CONT_TEA[[#This Row],[StaffRoleCode]],ROLES[StaffRoleCode],ROLES[StaffRoleGroupCode])</f>
        <v>TEA</v>
      </c>
      <c r="AH262" s="57" t="str">
        <f>_xlfn.XLOOKUP(CONT_TEA[[#This Row],[StaffRoleCode]],ROLES[StaffRoleCode],ROLES[PayScaleCode])</f>
        <v>MAIN</v>
      </c>
      <c r="AI262" s="12" t="s">
        <v>1126</v>
      </c>
      <c r="AJ262" s="12" t="s">
        <v>1745</v>
      </c>
      <c r="AK262" s="12" t="s">
        <v>2499</v>
      </c>
      <c r="AM262" s="68" t="s">
        <v>1147</v>
      </c>
      <c r="AN262" s="13" t="s">
        <v>1702</v>
      </c>
      <c r="AO262" s="21">
        <v>46023</v>
      </c>
      <c r="AQ262" s="12">
        <v>1</v>
      </c>
      <c r="AR262" t="b">
        <v>0</v>
      </c>
      <c r="AS262" t="b">
        <v>0</v>
      </c>
      <c r="AT262" s="12" t="s">
        <v>1574</v>
      </c>
    </row>
    <row r="263" spans="1:46" x14ac:dyDescent="0.3">
      <c r="A263" s="57" t="str">
        <f t="shared" si="6"/>
        <v>MLB10007344108312TEASTCH46023</v>
      </c>
      <c r="B263" s="57">
        <f>COUNTIF(CONT_TEA[Unique Contract],CONT_TEA[[#This Row],[Unique Contract]])-1</f>
        <v>0</v>
      </c>
      <c r="C263" s="57">
        <f>IFERROR(IF(FIND(CONT_TEA[[#This Row],[SchoolCode]],_xlfn.XLOOKUP(CONT_TEA[[#This Row],[StaffMemberCode]],MEMBERS[StaffMemberCode],MEMBERS[SchoolCodes]))&gt;0,0,1),1)</f>
        <v>0</v>
      </c>
      <c r="D263" s="57" cm="1">
        <f t="array" ref="D263">IF(_xlfn.XLOOKUP(CONT_TEA[[#This Row],[StaffRoleCode]],ROLES[StaffRoleCode],ROLES[AvailableToAllSchools],1,0,)=TRUE,0,IF(ISERROR(FIND(CONT_TEA[[#This Row],[SchoolCode]],_xlfn.TEXTJOIN(",",TRUE,_xlfn.UNIQUE(IF(ROLES[StaffRoleCode]=CONT_TEA[[#This Row],[StaffRoleCode]],ROLES[SchoolCodes],""))))),1,0))</f>
        <v>0</v>
      </c>
      <c r="E263" s="57" cm="1">
        <f t="array" ref="E26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63" s="57" cm="1">
        <f t="array" ref="F263">IF(_xlfn.XLOOKUP(CONT_TEA[[#This Row],[PayScaleCode]],PAYSCALES[PayScaleCode],PAYSCALES[AvailableToAllSchools],1,0,)=TRUE,0,IF(ISERROR(FIND(CONT_TEA[[#This Row],[SchoolCode]],_xlfn.TEXTJOIN(",",TRUE,_xlfn.UNIQUE(IF(PAYSCALES[PayScaleCode]=CONT_TEA[[#This Row],[PayScaleCode]],PAYSCALES[SchoolCodes],""))))),1,0))</f>
        <v>0</v>
      </c>
      <c r="G263" s="57">
        <f>IF(_xlfn.XLOOKUP(CONT_TEA[[#This Row],[PayScaleGradeCode]],GRADES[PayScaleGradeCode],GRADES[AvailableToAllSchools])=TRUE,0,IFERROR(IF(FIND(CONT_TEA[[#This Row],[SchoolCode]],_xlfn.XLOOKUP(CONT_TEA[[#This Row],[PayScaleGradeCode]],GRADES[PayScaleGradeCode],GRADES[SchoolCodes]))&gt;=1,0,1),1))</f>
        <v>0</v>
      </c>
      <c r="H263" s="57">
        <f>IF(ISERROR(IF((_xlfn.XLOOKUP(CONT_TEA[[#This Row],[PayScaleGradeCode]],GRADES[PayScaleGradeCode],GRADES[PayScaleCode])=CONT_TEA[[#This Row],[PayScaleCode]]),0,1)),1,0)</f>
        <v>0</v>
      </c>
      <c r="I263" s="57" cm="1">
        <f t="array" ref="I263">IF(ISERROR(FIND(CONT_TEA[[#This Row],[PayScalePointCode]],_xlfn.TEXTJOIN(",",TRUE,IF(PSPOINTS[PayScaleCode]=CONT_TEA[[#This Row],[PayScaleCode]],PSPOINTS[PayScalePointCode])))),1,0)</f>
        <v>0</v>
      </c>
      <c r="J263" s="57" cm="1">
        <f t="array" ref="J26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63" s="57">
        <f>IF(_xlfn.XLOOKUP(CONT_TEA[[#This Row],[PayScalePointCode]],PSPOINTS[PayScalePointCode],PSPOINTS[PayScalePointEnabled])=TRUE,0,1)</f>
        <v>0</v>
      </c>
      <c r="L263" s="57" cm="1">
        <f t="array" ref="L263">IF(_xlfn.XLOOKUP(CONT_TEA[[#This Row],[DepartmentCode]],DEPTS[DepartmentCode],DEPTS[AvailableToAllSchools],1,0,)=TRUE,0,IF(ISERROR(FIND(CONT_TEA[[#This Row],[SchoolCode]],_xlfn.TEXTJOIN(",",TRUE,_xlfn.UNIQUE(IF(DEPTS[DepartmentCode]=CONT_TEA[[#This Row],[DepartmentCode]],DEPTS[SchoolCodes],""))))),1,0))</f>
        <v>0</v>
      </c>
      <c r="M263" s="57">
        <f>IFERROR(IF(_xlfn.XLOOKUP(CONT_TEA[[#This Row],[SRG Gross]],FinanceCodesBudget[FinanceCode],FinanceCodesBudget[LedgerCode])=_xlfn.XLOOKUP(CONT_TEA[[#This Row],[DepartmentCode]],DEPTS[DepartmentCode],DEPTS[LedgerCode]),0,1),1)</f>
        <v>1</v>
      </c>
      <c r="N263" s="57" cm="1">
        <f t="array" ref="N263">IF(_xlfn.XLOOKUP(CONT_TEA[[#This Row],[PensionCode]],PENS[PensionCode],PENS[AvailableToAllSchools],1,0,)=TRUE,0,IF(ISERROR(FIND(CONT_TEA[[#This Row],[SchoolCode]],_xlfn.TEXTJOIN(",",TRUE,_xlfn.UNIQUE(IF(PENS[PensionCode]=CONT_TEA[[#This Row],[PensionCode]],PENS[SchoolCodes],""))))),1,0))</f>
        <v>0</v>
      </c>
      <c r="O263" s="57" cm="1">
        <f t="array" ref="O263">IF(_xlfn.XLOOKUP(CONT_TEA[[#This Row],[EquatedWeekPatternCode]],EQW[EquatedWeekPatternCode],EQW[AvailableToAllSchools],1,0,)=TRUE,0,IF(ISERROR(FIND(CONT_TEA[[#This Row],[SchoolCode]],_xlfn.TEXTJOIN(",",TRUE,_xlfn.UNIQUE(IF(EQW[EquatedWeekPatternCode]=CONT_TEA[[#This Row],[EquatedWeekPatternCode]],EQW[SchoolCodes],""))))),1,0))</f>
        <v>0</v>
      </c>
      <c r="P263" s="57">
        <f>1-COUNTIF(ContractTypes[Code],CONT_TEA[[#This Row],[ContractTypeCode]])</f>
        <v>0</v>
      </c>
      <c r="Q263" s="57">
        <f>IF(VLOOKUP(CONT_TEA[[#This Row],[StaffMemberCode]],MEMBERS[[StaffMemberCode]:[ServiceStartDate]],5,0)&gt;CONT_TEA[[#This Row],[DateFrom]],1,0)</f>
        <v>0</v>
      </c>
      <c r="R263" s="57">
        <f>IF(_xlfn.XLOOKUP(CONT_TEA[[#This Row],[StaffMemberCode]],MEMBERS[StaffMemberCode],MEMBERS[ServiceEndDate])="",0,IF(CONT_TEA[[#This Row],[DateTo]]="",1,IF(_xlfn.XLOOKUP(CONT_TEA[[#This Row],[StaffMemberCode]],MEMBERS[StaffMemberCode],MEMBERS[ServiceEndDate])&lt;CONT_TEA[[#This Row],[DateTo]],1,0)))</f>
        <v>0</v>
      </c>
      <c r="S263" s="57">
        <f>IF(ISBLANK(CONT_TEA[[#This Row],[DateTo]]),0,IF(CONT_TEA[[#This Row],[DateFrom]]=CONT_TEA[[#This Row],[DateTo]],0,IF(CONT_TEA[[#This Row],[DateFrom]]&lt;CONT_TEA[[#This Row],[DateTo]],0,1)))</f>
        <v>0</v>
      </c>
      <c r="T263" s="57" cm="1">
        <f t="array" aca="1" ref="T263" ca="1">IF(CELL("format",CONT_TEA[[#This Row],[DateFrom]])="D1",0,1)+IF(CELL("format",CONT_TEA[[#This Row],[DateTo]])="D1",0,1)</f>
        <v>0</v>
      </c>
      <c r="U263" s="57">
        <f>IF(OR(CONT_TEA[[#This Row],[MatEditOnly]]=TRUE,CONT_TEA[[#This Row],[MatEditOnly]]=FALSE),IF(OR(CONT_TEA[[#This Row],[NoIncrement]]=TRUE,CONT_TEA[[#This Row],[NoIncrement]]=FALSE),0,1),1)</f>
        <v>0</v>
      </c>
      <c r="V263" s="57">
        <f>IF(ISBLANK(CONT_TEA[[#This Row],[FundCode]])=TRUE,0,IF(COUNTIF(FUNDS[FundCode],CONT_TEA[[#This Row],[FundCode]])=1,0,1))</f>
        <v>0</v>
      </c>
      <c r="W263" s="57">
        <f>IF(LEN(CONT_TEA[[#This Row],[Notes]])&lt;4000,0,1)</f>
        <v>0</v>
      </c>
      <c r="X263" s="57">
        <f>IF(SUBSTITUTE(TEXT(CONT_TEA[[#This Row],[Reference]],10)," ","")=TEXT(CONT_TEA[[#This Row],[Reference]],10),0,1)</f>
        <v>0</v>
      </c>
      <c r="Y263" s="57">
        <f ca="1">SUM(CONT_TEA[[#This Row],[Duplicate Contract]:[Space in Code]])</f>
        <v>1</v>
      </c>
      <c r="AA263" s="12" t="s">
        <v>2126</v>
      </c>
      <c r="AB263" s="15">
        <v>10007344</v>
      </c>
      <c r="AC263" s="12">
        <v>108312</v>
      </c>
      <c r="AD263" s="57" t="str">
        <f>_xlfn.XLOOKUP(CONT_TEA[[#This Row],[StaffMemberCode]],StaffMembers!O:O,StaffMembers!R:R)</f>
        <v>Helen Jones</v>
      </c>
      <c r="AE263" s="12" t="s">
        <v>1178</v>
      </c>
      <c r="AF263" s="57">
        <f>_xlfn.XLOOKUP(CONT_TEA[[#This Row],[SRG]],SRG[StaffRoleGroupCode],SRG[GrossSalaryFinanceCode])</f>
        <v>612100</v>
      </c>
      <c r="AG263" s="57" t="str">
        <f>_xlfn.XLOOKUP(CONT_TEA[[#This Row],[StaffRoleCode]],ROLES[StaffRoleCode],ROLES[StaffRoleGroupCode])</f>
        <v>TEA</v>
      </c>
      <c r="AH263" s="57" t="str">
        <f>_xlfn.XLOOKUP(CONT_TEA[[#This Row],[StaffRoleCode]],ROLES[StaffRoleCode],ROLES[PayScaleCode])</f>
        <v>MAIN</v>
      </c>
      <c r="AI263" s="12" t="s">
        <v>1126</v>
      </c>
      <c r="AJ263" s="12" t="s">
        <v>3074</v>
      </c>
      <c r="AK263" s="12" t="s">
        <v>2499</v>
      </c>
      <c r="AM263" s="68" t="s">
        <v>1147</v>
      </c>
      <c r="AN263" s="13" t="s">
        <v>1702</v>
      </c>
      <c r="AO263" s="21">
        <v>46023</v>
      </c>
      <c r="AQ263" s="12">
        <v>1</v>
      </c>
      <c r="AR263" t="b">
        <v>0</v>
      </c>
      <c r="AS263" t="b">
        <v>0</v>
      </c>
      <c r="AT263" s="12" t="s">
        <v>1574</v>
      </c>
    </row>
    <row r="264" spans="1:46" x14ac:dyDescent="0.3">
      <c r="A264" s="57" t="str">
        <f t="shared" si="6"/>
        <v>MLB10012810106104TEASTCH46023</v>
      </c>
      <c r="B264" s="57">
        <f>COUNTIF(CONT_TEA[Unique Contract],CONT_TEA[[#This Row],[Unique Contract]])-1</f>
        <v>0</v>
      </c>
      <c r="C264" s="57">
        <f>IFERROR(IF(FIND(CONT_TEA[[#This Row],[SchoolCode]],_xlfn.XLOOKUP(CONT_TEA[[#This Row],[StaffMemberCode]],MEMBERS[StaffMemberCode],MEMBERS[SchoolCodes]))&gt;0,0,1),1)</f>
        <v>0</v>
      </c>
      <c r="D264" s="57" cm="1">
        <f t="array" ref="D264">IF(_xlfn.XLOOKUP(CONT_TEA[[#This Row],[StaffRoleCode]],ROLES[StaffRoleCode],ROLES[AvailableToAllSchools],1,0,)=TRUE,0,IF(ISERROR(FIND(CONT_TEA[[#This Row],[SchoolCode]],_xlfn.TEXTJOIN(",",TRUE,_xlfn.UNIQUE(IF(ROLES[StaffRoleCode]=CONT_TEA[[#This Row],[StaffRoleCode]],ROLES[SchoolCodes],""))))),1,0))</f>
        <v>0</v>
      </c>
      <c r="E264" s="57" cm="1">
        <f t="array" ref="E26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64" s="57" cm="1">
        <f t="array" ref="F264">IF(_xlfn.XLOOKUP(CONT_TEA[[#This Row],[PayScaleCode]],PAYSCALES[PayScaleCode],PAYSCALES[AvailableToAllSchools],1,0,)=TRUE,0,IF(ISERROR(FIND(CONT_TEA[[#This Row],[SchoolCode]],_xlfn.TEXTJOIN(",",TRUE,_xlfn.UNIQUE(IF(PAYSCALES[PayScaleCode]=CONT_TEA[[#This Row],[PayScaleCode]],PAYSCALES[SchoolCodes],""))))),1,0))</f>
        <v>0</v>
      </c>
      <c r="G264" s="57">
        <f>IF(_xlfn.XLOOKUP(CONT_TEA[[#This Row],[PayScaleGradeCode]],GRADES[PayScaleGradeCode],GRADES[AvailableToAllSchools])=TRUE,0,IFERROR(IF(FIND(CONT_TEA[[#This Row],[SchoolCode]],_xlfn.XLOOKUP(CONT_TEA[[#This Row],[PayScaleGradeCode]],GRADES[PayScaleGradeCode],GRADES[SchoolCodes]))&gt;=1,0,1),1))</f>
        <v>0</v>
      </c>
      <c r="H264" s="57">
        <f>IF(ISERROR(IF((_xlfn.XLOOKUP(CONT_TEA[[#This Row],[PayScaleGradeCode]],GRADES[PayScaleGradeCode],GRADES[PayScaleCode])=CONT_TEA[[#This Row],[PayScaleCode]]),0,1)),1,0)</f>
        <v>0</v>
      </c>
      <c r="I264" s="57" cm="1">
        <f t="array" ref="I264">IF(ISERROR(FIND(CONT_TEA[[#This Row],[PayScalePointCode]],_xlfn.TEXTJOIN(",",TRUE,IF(PSPOINTS[PayScaleCode]=CONT_TEA[[#This Row],[PayScaleCode]],PSPOINTS[PayScalePointCode])))),1,0)</f>
        <v>0</v>
      </c>
      <c r="J264" s="57" cm="1">
        <f t="array" ref="J26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64" s="57">
        <f>IF(_xlfn.XLOOKUP(CONT_TEA[[#This Row],[PayScalePointCode]],PSPOINTS[PayScalePointCode],PSPOINTS[PayScalePointEnabled])=TRUE,0,1)</f>
        <v>0</v>
      </c>
      <c r="L264" s="57" cm="1">
        <f t="array" ref="L264">IF(_xlfn.XLOOKUP(CONT_TEA[[#This Row],[DepartmentCode]],DEPTS[DepartmentCode],DEPTS[AvailableToAllSchools],1,0,)=TRUE,0,IF(ISERROR(FIND(CONT_TEA[[#This Row],[SchoolCode]],_xlfn.TEXTJOIN(",",TRUE,_xlfn.UNIQUE(IF(DEPTS[DepartmentCode]=CONT_TEA[[#This Row],[DepartmentCode]],DEPTS[SchoolCodes],""))))),1,0))</f>
        <v>0</v>
      </c>
      <c r="M264" s="57">
        <f>IFERROR(IF(_xlfn.XLOOKUP(CONT_TEA[[#This Row],[SRG Gross]],FinanceCodesBudget[FinanceCode],FinanceCodesBudget[LedgerCode])=_xlfn.XLOOKUP(CONT_TEA[[#This Row],[DepartmentCode]],DEPTS[DepartmentCode],DEPTS[LedgerCode]),0,1),1)</f>
        <v>1</v>
      </c>
      <c r="N264" s="57" cm="1">
        <f t="array" ref="N264">IF(_xlfn.XLOOKUP(CONT_TEA[[#This Row],[PensionCode]],PENS[PensionCode],PENS[AvailableToAllSchools],1,0,)=TRUE,0,IF(ISERROR(FIND(CONT_TEA[[#This Row],[SchoolCode]],_xlfn.TEXTJOIN(",",TRUE,_xlfn.UNIQUE(IF(PENS[PensionCode]=CONT_TEA[[#This Row],[PensionCode]],PENS[SchoolCodes],""))))),1,0))</f>
        <v>0</v>
      </c>
      <c r="O264" s="57" cm="1">
        <f t="array" ref="O264">IF(_xlfn.XLOOKUP(CONT_TEA[[#This Row],[EquatedWeekPatternCode]],EQW[EquatedWeekPatternCode],EQW[AvailableToAllSchools],1,0,)=TRUE,0,IF(ISERROR(FIND(CONT_TEA[[#This Row],[SchoolCode]],_xlfn.TEXTJOIN(",",TRUE,_xlfn.UNIQUE(IF(EQW[EquatedWeekPatternCode]=CONT_TEA[[#This Row],[EquatedWeekPatternCode]],EQW[SchoolCodes],""))))),1,0))</f>
        <v>0</v>
      </c>
      <c r="P264" s="57">
        <f>1-COUNTIF(ContractTypes[Code],CONT_TEA[[#This Row],[ContractTypeCode]])</f>
        <v>0</v>
      </c>
      <c r="Q264" s="57">
        <f>IF(VLOOKUP(CONT_TEA[[#This Row],[StaffMemberCode]],MEMBERS[[StaffMemberCode]:[ServiceStartDate]],5,0)&gt;CONT_TEA[[#This Row],[DateFrom]],1,0)</f>
        <v>0</v>
      </c>
      <c r="R264" s="57">
        <f>IF(_xlfn.XLOOKUP(CONT_TEA[[#This Row],[StaffMemberCode]],MEMBERS[StaffMemberCode],MEMBERS[ServiceEndDate])="",0,IF(CONT_TEA[[#This Row],[DateTo]]="",1,IF(_xlfn.XLOOKUP(CONT_TEA[[#This Row],[StaffMemberCode]],MEMBERS[StaffMemberCode],MEMBERS[ServiceEndDate])&lt;CONT_TEA[[#This Row],[DateTo]],1,0)))</f>
        <v>0</v>
      </c>
      <c r="S264" s="57">
        <f>IF(ISBLANK(CONT_TEA[[#This Row],[DateTo]]),0,IF(CONT_TEA[[#This Row],[DateFrom]]=CONT_TEA[[#This Row],[DateTo]],0,IF(CONT_TEA[[#This Row],[DateFrom]]&lt;CONT_TEA[[#This Row],[DateTo]],0,1)))</f>
        <v>0</v>
      </c>
      <c r="T264" s="57" cm="1">
        <f t="array" aca="1" ref="T264" ca="1">IF(CELL("format",CONT_TEA[[#This Row],[DateFrom]])="D1",0,1)+IF(CELL("format",CONT_TEA[[#This Row],[DateTo]])="D1",0,1)</f>
        <v>0</v>
      </c>
      <c r="U264" s="57">
        <f>IF(OR(CONT_TEA[[#This Row],[MatEditOnly]]=TRUE,CONT_TEA[[#This Row],[MatEditOnly]]=FALSE),IF(OR(CONT_TEA[[#This Row],[NoIncrement]]=TRUE,CONT_TEA[[#This Row],[NoIncrement]]=FALSE),0,1),1)</f>
        <v>0</v>
      </c>
      <c r="V264" s="57">
        <f>IF(ISBLANK(CONT_TEA[[#This Row],[FundCode]])=TRUE,0,IF(COUNTIF(FUNDS[FundCode],CONT_TEA[[#This Row],[FundCode]])=1,0,1))</f>
        <v>0</v>
      </c>
      <c r="W264" s="57">
        <f>IF(LEN(CONT_TEA[[#This Row],[Notes]])&lt;4000,0,1)</f>
        <v>0</v>
      </c>
      <c r="X264" s="57">
        <f>IF(SUBSTITUTE(TEXT(CONT_TEA[[#This Row],[Reference]],10)," ","")=TEXT(CONT_TEA[[#This Row],[Reference]],10),0,1)</f>
        <v>0</v>
      </c>
      <c r="Y264" s="57">
        <f ca="1">SUM(CONT_TEA[[#This Row],[Duplicate Contract]:[Space in Code]])</f>
        <v>1</v>
      </c>
      <c r="AA264" s="12" t="s">
        <v>2126</v>
      </c>
      <c r="AB264" s="15">
        <v>10012810</v>
      </c>
      <c r="AC264" s="12">
        <v>106104</v>
      </c>
      <c r="AD264" s="57" t="str">
        <f>_xlfn.XLOOKUP(CONT_TEA[[#This Row],[StaffMemberCode]],StaffMembers!O:O,StaffMembers!R:R)</f>
        <v>Emma Addy</v>
      </c>
      <c r="AE264" s="12" t="s">
        <v>1178</v>
      </c>
      <c r="AF264" s="57">
        <f>_xlfn.XLOOKUP(CONT_TEA[[#This Row],[SRG]],SRG[StaffRoleGroupCode],SRG[GrossSalaryFinanceCode])</f>
        <v>612100</v>
      </c>
      <c r="AG264" s="57" t="str">
        <f>_xlfn.XLOOKUP(CONT_TEA[[#This Row],[StaffRoleCode]],ROLES[StaffRoleCode],ROLES[StaffRoleGroupCode])</f>
        <v>TEA</v>
      </c>
      <c r="AH264" s="57" t="str">
        <f>_xlfn.XLOOKUP(CONT_TEA[[#This Row],[StaffRoleCode]],ROLES[StaffRoleCode],ROLES[PayScaleCode])</f>
        <v>MAIN</v>
      </c>
      <c r="AI264" s="12" t="s">
        <v>1126</v>
      </c>
      <c r="AJ264" s="12" t="s">
        <v>1745</v>
      </c>
      <c r="AK264" s="12" t="s">
        <v>2499</v>
      </c>
      <c r="AM264" s="68" t="s">
        <v>1147</v>
      </c>
      <c r="AN264" s="13" t="s">
        <v>1702</v>
      </c>
      <c r="AO264" s="21">
        <v>46023</v>
      </c>
      <c r="AQ264" s="12">
        <v>0.8</v>
      </c>
      <c r="AR264" t="b">
        <v>0</v>
      </c>
      <c r="AS264" t="b">
        <v>0</v>
      </c>
      <c r="AT264" s="12" t="s">
        <v>1574</v>
      </c>
    </row>
    <row r="265" spans="1:46" x14ac:dyDescent="0.3">
      <c r="A265" s="57" t="str">
        <f t="shared" si="6"/>
        <v>MLB10005291106056TEASTCH46023</v>
      </c>
      <c r="B265" s="57">
        <f>COUNTIF(CONT_TEA[Unique Contract],CONT_TEA[[#This Row],[Unique Contract]])-1</f>
        <v>0</v>
      </c>
      <c r="C265" s="57">
        <f>IFERROR(IF(FIND(CONT_TEA[[#This Row],[SchoolCode]],_xlfn.XLOOKUP(CONT_TEA[[#This Row],[StaffMemberCode]],MEMBERS[StaffMemberCode],MEMBERS[SchoolCodes]))&gt;0,0,1),1)</f>
        <v>0</v>
      </c>
      <c r="D265" s="57" cm="1">
        <f t="array" ref="D265">IF(_xlfn.XLOOKUP(CONT_TEA[[#This Row],[StaffRoleCode]],ROLES[StaffRoleCode],ROLES[AvailableToAllSchools],1,0,)=TRUE,0,IF(ISERROR(FIND(CONT_TEA[[#This Row],[SchoolCode]],_xlfn.TEXTJOIN(",",TRUE,_xlfn.UNIQUE(IF(ROLES[StaffRoleCode]=CONT_TEA[[#This Row],[StaffRoleCode]],ROLES[SchoolCodes],""))))),1,0))</f>
        <v>0</v>
      </c>
      <c r="E265" s="57" cm="1">
        <f t="array" ref="E26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65" s="57" cm="1">
        <f t="array" ref="F265">IF(_xlfn.XLOOKUP(CONT_TEA[[#This Row],[PayScaleCode]],PAYSCALES[PayScaleCode],PAYSCALES[AvailableToAllSchools],1,0,)=TRUE,0,IF(ISERROR(FIND(CONT_TEA[[#This Row],[SchoolCode]],_xlfn.TEXTJOIN(",",TRUE,_xlfn.UNIQUE(IF(PAYSCALES[PayScaleCode]=CONT_TEA[[#This Row],[PayScaleCode]],PAYSCALES[SchoolCodes],""))))),1,0))</f>
        <v>0</v>
      </c>
      <c r="G265" s="57">
        <f>IF(_xlfn.XLOOKUP(CONT_TEA[[#This Row],[PayScaleGradeCode]],GRADES[PayScaleGradeCode],GRADES[AvailableToAllSchools])=TRUE,0,IFERROR(IF(FIND(CONT_TEA[[#This Row],[SchoolCode]],_xlfn.XLOOKUP(CONT_TEA[[#This Row],[PayScaleGradeCode]],GRADES[PayScaleGradeCode],GRADES[SchoolCodes]))&gt;=1,0,1),1))</f>
        <v>0</v>
      </c>
      <c r="H265" s="57">
        <f>IF(ISERROR(IF((_xlfn.XLOOKUP(CONT_TEA[[#This Row],[PayScaleGradeCode]],GRADES[PayScaleGradeCode],GRADES[PayScaleCode])=CONT_TEA[[#This Row],[PayScaleCode]]),0,1)),1,0)</f>
        <v>0</v>
      </c>
      <c r="I265" s="57" cm="1">
        <f t="array" ref="I265">IF(ISERROR(FIND(CONT_TEA[[#This Row],[PayScalePointCode]],_xlfn.TEXTJOIN(",",TRUE,IF(PSPOINTS[PayScaleCode]=CONT_TEA[[#This Row],[PayScaleCode]],PSPOINTS[PayScalePointCode])))),1,0)</f>
        <v>0</v>
      </c>
      <c r="J265" s="57" cm="1">
        <f t="array" ref="J26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65" s="57">
        <f>IF(_xlfn.XLOOKUP(CONT_TEA[[#This Row],[PayScalePointCode]],PSPOINTS[PayScalePointCode],PSPOINTS[PayScalePointEnabled])=TRUE,0,1)</f>
        <v>0</v>
      </c>
      <c r="L265" s="57" cm="1">
        <f t="array" ref="L265">IF(_xlfn.XLOOKUP(CONT_TEA[[#This Row],[DepartmentCode]],DEPTS[DepartmentCode],DEPTS[AvailableToAllSchools],1,0,)=TRUE,0,IF(ISERROR(FIND(CONT_TEA[[#This Row],[SchoolCode]],_xlfn.TEXTJOIN(",",TRUE,_xlfn.UNIQUE(IF(DEPTS[DepartmentCode]=CONT_TEA[[#This Row],[DepartmentCode]],DEPTS[SchoolCodes],""))))),1,0))</f>
        <v>0</v>
      </c>
      <c r="M265" s="57">
        <f>IFERROR(IF(_xlfn.XLOOKUP(CONT_TEA[[#This Row],[SRG Gross]],FinanceCodesBudget[FinanceCode],FinanceCodesBudget[LedgerCode])=_xlfn.XLOOKUP(CONT_TEA[[#This Row],[DepartmentCode]],DEPTS[DepartmentCode],DEPTS[LedgerCode]),0,1),1)</f>
        <v>1</v>
      </c>
      <c r="N265" s="57" cm="1">
        <f t="array" ref="N265">IF(_xlfn.XLOOKUP(CONT_TEA[[#This Row],[PensionCode]],PENS[PensionCode],PENS[AvailableToAllSchools],1,0,)=TRUE,0,IF(ISERROR(FIND(CONT_TEA[[#This Row],[SchoolCode]],_xlfn.TEXTJOIN(",",TRUE,_xlfn.UNIQUE(IF(PENS[PensionCode]=CONT_TEA[[#This Row],[PensionCode]],PENS[SchoolCodes],""))))),1,0))</f>
        <v>0</v>
      </c>
      <c r="O265" s="57" cm="1">
        <f t="array" ref="O265">IF(_xlfn.XLOOKUP(CONT_TEA[[#This Row],[EquatedWeekPatternCode]],EQW[EquatedWeekPatternCode],EQW[AvailableToAllSchools],1,0,)=TRUE,0,IF(ISERROR(FIND(CONT_TEA[[#This Row],[SchoolCode]],_xlfn.TEXTJOIN(",",TRUE,_xlfn.UNIQUE(IF(EQW[EquatedWeekPatternCode]=CONT_TEA[[#This Row],[EquatedWeekPatternCode]],EQW[SchoolCodes],""))))),1,0))</f>
        <v>0</v>
      </c>
      <c r="P265" s="57">
        <f>1-COUNTIF(ContractTypes[Code],CONT_TEA[[#This Row],[ContractTypeCode]])</f>
        <v>0</v>
      </c>
      <c r="Q265" s="57">
        <f>IF(VLOOKUP(CONT_TEA[[#This Row],[StaffMemberCode]],MEMBERS[[StaffMemberCode]:[ServiceStartDate]],5,0)&gt;CONT_TEA[[#This Row],[DateFrom]],1,0)</f>
        <v>0</v>
      </c>
      <c r="R265" s="57">
        <f>IF(_xlfn.XLOOKUP(CONT_TEA[[#This Row],[StaffMemberCode]],MEMBERS[StaffMemberCode],MEMBERS[ServiceEndDate])="",0,IF(CONT_TEA[[#This Row],[DateTo]]="",1,IF(_xlfn.XLOOKUP(CONT_TEA[[#This Row],[StaffMemberCode]],MEMBERS[StaffMemberCode],MEMBERS[ServiceEndDate])&lt;CONT_TEA[[#This Row],[DateTo]],1,0)))</f>
        <v>0</v>
      </c>
      <c r="S265" s="57">
        <f>IF(ISBLANK(CONT_TEA[[#This Row],[DateTo]]),0,IF(CONT_TEA[[#This Row],[DateFrom]]=CONT_TEA[[#This Row],[DateTo]],0,IF(CONT_TEA[[#This Row],[DateFrom]]&lt;CONT_TEA[[#This Row],[DateTo]],0,1)))</f>
        <v>0</v>
      </c>
      <c r="T265" s="57" cm="1">
        <f t="array" aca="1" ref="T265" ca="1">IF(CELL("format",CONT_TEA[[#This Row],[DateFrom]])="D1",0,1)+IF(CELL("format",CONT_TEA[[#This Row],[DateTo]])="D1",0,1)</f>
        <v>0</v>
      </c>
      <c r="U265" s="57">
        <f>IF(OR(CONT_TEA[[#This Row],[MatEditOnly]]=TRUE,CONT_TEA[[#This Row],[MatEditOnly]]=FALSE),IF(OR(CONT_TEA[[#This Row],[NoIncrement]]=TRUE,CONT_TEA[[#This Row],[NoIncrement]]=FALSE),0,1),1)</f>
        <v>0</v>
      </c>
      <c r="V265" s="57">
        <f>IF(ISBLANK(CONT_TEA[[#This Row],[FundCode]])=TRUE,0,IF(COUNTIF(FUNDS[FundCode],CONT_TEA[[#This Row],[FundCode]])=1,0,1))</f>
        <v>0</v>
      </c>
      <c r="W265" s="57">
        <f>IF(LEN(CONT_TEA[[#This Row],[Notes]])&lt;4000,0,1)</f>
        <v>0</v>
      </c>
      <c r="X265" s="57">
        <f>IF(SUBSTITUTE(TEXT(CONT_TEA[[#This Row],[Reference]],10)," ","")=TEXT(CONT_TEA[[#This Row],[Reference]],10),0,1)</f>
        <v>0</v>
      </c>
      <c r="Y265" s="57">
        <f ca="1">SUM(CONT_TEA[[#This Row],[Duplicate Contract]:[Space in Code]])</f>
        <v>1</v>
      </c>
      <c r="AA265" s="12" t="s">
        <v>2126</v>
      </c>
      <c r="AB265" s="15">
        <v>10005291</v>
      </c>
      <c r="AC265" s="12">
        <v>106056</v>
      </c>
      <c r="AD265" s="57" t="str">
        <f>_xlfn.XLOOKUP(CONT_TEA[[#This Row],[StaffMemberCode]],StaffMembers!O:O,StaffMembers!R:R)</f>
        <v>Louise Ratcliffe</v>
      </c>
      <c r="AE265" s="12" t="s">
        <v>1178</v>
      </c>
      <c r="AF265" s="57">
        <f>_xlfn.XLOOKUP(CONT_TEA[[#This Row],[SRG]],SRG[StaffRoleGroupCode],SRG[GrossSalaryFinanceCode])</f>
        <v>612100</v>
      </c>
      <c r="AG265" s="57" t="str">
        <f>_xlfn.XLOOKUP(CONT_TEA[[#This Row],[StaffRoleCode]],ROLES[StaffRoleCode],ROLES[StaffRoleGroupCode])</f>
        <v>TEA</v>
      </c>
      <c r="AH265" s="57" t="str">
        <f>_xlfn.XLOOKUP(CONT_TEA[[#This Row],[StaffRoleCode]],ROLES[StaffRoleCode],ROLES[PayScaleCode])</f>
        <v>MAIN</v>
      </c>
      <c r="AI265" s="12" t="s">
        <v>1126</v>
      </c>
      <c r="AJ265" s="12" t="s">
        <v>1745</v>
      </c>
      <c r="AK265" s="12" t="s">
        <v>2499</v>
      </c>
      <c r="AM265" s="68" t="s">
        <v>1147</v>
      </c>
      <c r="AN265" s="13" t="s">
        <v>1702</v>
      </c>
      <c r="AO265" s="21">
        <v>46023</v>
      </c>
      <c r="AQ265" s="12">
        <v>1</v>
      </c>
      <c r="AR265" t="b">
        <v>0</v>
      </c>
      <c r="AS265" t="b">
        <v>0</v>
      </c>
      <c r="AT265" s="12" t="s">
        <v>1574</v>
      </c>
    </row>
    <row r="266" spans="1:46" x14ac:dyDescent="0.3">
      <c r="A266" s="57" t="str">
        <f t="shared" si="6"/>
        <v>MLB10013384106045TEASTCH46023</v>
      </c>
      <c r="B266" s="57">
        <f>COUNTIF(CONT_TEA[Unique Contract],CONT_TEA[[#This Row],[Unique Contract]])-1</f>
        <v>0</v>
      </c>
      <c r="C266" s="57">
        <f>IFERROR(IF(FIND(CONT_TEA[[#This Row],[SchoolCode]],_xlfn.XLOOKUP(CONT_TEA[[#This Row],[StaffMemberCode]],MEMBERS[StaffMemberCode],MEMBERS[SchoolCodes]))&gt;0,0,1),1)</f>
        <v>0</v>
      </c>
      <c r="D266" s="57" cm="1">
        <f t="array" ref="D266">IF(_xlfn.XLOOKUP(CONT_TEA[[#This Row],[StaffRoleCode]],ROLES[StaffRoleCode],ROLES[AvailableToAllSchools],1,0,)=TRUE,0,IF(ISERROR(FIND(CONT_TEA[[#This Row],[SchoolCode]],_xlfn.TEXTJOIN(",",TRUE,_xlfn.UNIQUE(IF(ROLES[StaffRoleCode]=CONT_TEA[[#This Row],[StaffRoleCode]],ROLES[SchoolCodes],""))))),1,0))</f>
        <v>0</v>
      </c>
      <c r="E266" s="57" cm="1">
        <f t="array" ref="E26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66" s="57" cm="1">
        <f t="array" ref="F266">IF(_xlfn.XLOOKUP(CONT_TEA[[#This Row],[PayScaleCode]],PAYSCALES[PayScaleCode],PAYSCALES[AvailableToAllSchools],1,0,)=TRUE,0,IF(ISERROR(FIND(CONT_TEA[[#This Row],[SchoolCode]],_xlfn.TEXTJOIN(",",TRUE,_xlfn.UNIQUE(IF(PAYSCALES[PayScaleCode]=CONT_TEA[[#This Row],[PayScaleCode]],PAYSCALES[SchoolCodes],""))))),1,0))</f>
        <v>0</v>
      </c>
      <c r="G266" s="57">
        <f>IF(_xlfn.XLOOKUP(CONT_TEA[[#This Row],[PayScaleGradeCode]],GRADES[PayScaleGradeCode],GRADES[AvailableToAllSchools])=TRUE,0,IFERROR(IF(FIND(CONT_TEA[[#This Row],[SchoolCode]],_xlfn.XLOOKUP(CONT_TEA[[#This Row],[PayScaleGradeCode]],GRADES[PayScaleGradeCode],GRADES[SchoolCodes]))&gt;=1,0,1),1))</f>
        <v>0</v>
      </c>
      <c r="H266" s="57">
        <f>IF(ISERROR(IF((_xlfn.XLOOKUP(CONT_TEA[[#This Row],[PayScaleGradeCode]],GRADES[PayScaleGradeCode],GRADES[PayScaleCode])=CONT_TEA[[#This Row],[PayScaleCode]]),0,1)),1,0)</f>
        <v>0</v>
      </c>
      <c r="I266" s="57" cm="1">
        <f t="array" ref="I266">IF(ISERROR(FIND(CONT_TEA[[#This Row],[PayScalePointCode]],_xlfn.TEXTJOIN(",",TRUE,IF(PSPOINTS[PayScaleCode]=CONT_TEA[[#This Row],[PayScaleCode]],PSPOINTS[PayScalePointCode])))),1,0)</f>
        <v>0</v>
      </c>
      <c r="J266" s="57" cm="1">
        <f t="array" ref="J26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66" s="57">
        <f>IF(_xlfn.XLOOKUP(CONT_TEA[[#This Row],[PayScalePointCode]],PSPOINTS[PayScalePointCode],PSPOINTS[PayScalePointEnabled])=TRUE,0,1)</f>
        <v>0</v>
      </c>
      <c r="L266" s="57" cm="1">
        <f t="array" ref="L266">IF(_xlfn.XLOOKUP(CONT_TEA[[#This Row],[DepartmentCode]],DEPTS[DepartmentCode],DEPTS[AvailableToAllSchools],1,0,)=TRUE,0,IF(ISERROR(FIND(CONT_TEA[[#This Row],[SchoolCode]],_xlfn.TEXTJOIN(",",TRUE,_xlfn.UNIQUE(IF(DEPTS[DepartmentCode]=CONT_TEA[[#This Row],[DepartmentCode]],DEPTS[SchoolCodes],""))))),1,0))</f>
        <v>0</v>
      </c>
      <c r="M266" s="57">
        <f>IFERROR(IF(_xlfn.XLOOKUP(CONT_TEA[[#This Row],[SRG Gross]],FinanceCodesBudget[FinanceCode],FinanceCodesBudget[LedgerCode])=_xlfn.XLOOKUP(CONT_TEA[[#This Row],[DepartmentCode]],DEPTS[DepartmentCode],DEPTS[LedgerCode]),0,1),1)</f>
        <v>1</v>
      </c>
      <c r="N266" s="57" cm="1">
        <f t="array" ref="N266">IF(_xlfn.XLOOKUP(CONT_TEA[[#This Row],[PensionCode]],PENS[PensionCode],PENS[AvailableToAllSchools],1,0,)=TRUE,0,IF(ISERROR(FIND(CONT_TEA[[#This Row],[SchoolCode]],_xlfn.TEXTJOIN(",",TRUE,_xlfn.UNIQUE(IF(PENS[PensionCode]=CONT_TEA[[#This Row],[PensionCode]],PENS[SchoolCodes],""))))),1,0))</f>
        <v>0</v>
      </c>
      <c r="O266" s="57" cm="1">
        <f t="array" ref="O266">IF(_xlfn.XLOOKUP(CONT_TEA[[#This Row],[EquatedWeekPatternCode]],EQW[EquatedWeekPatternCode],EQW[AvailableToAllSchools],1,0,)=TRUE,0,IF(ISERROR(FIND(CONT_TEA[[#This Row],[SchoolCode]],_xlfn.TEXTJOIN(",",TRUE,_xlfn.UNIQUE(IF(EQW[EquatedWeekPatternCode]=CONT_TEA[[#This Row],[EquatedWeekPatternCode]],EQW[SchoolCodes],""))))),1,0))</f>
        <v>0</v>
      </c>
      <c r="P266" s="57">
        <f>1-COUNTIF(ContractTypes[Code],CONT_TEA[[#This Row],[ContractTypeCode]])</f>
        <v>0</v>
      </c>
      <c r="Q266" s="57">
        <f>IF(VLOOKUP(CONT_TEA[[#This Row],[StaffMemberCode]],MEMBERS[[StaffMemberCode]:[ServiceStartDate]],5,0)&gt;CONT_TEA[[#This Row],[DateFrom]],1,0)</f>
        <v>0</v>
      </c>
      <c r="R266" s="57">
        <f>IF(_xlfn.XLOOKUP(CONT_TEA[[#This Row],[StaffMemberCode]],MEMBERS[StaffMemberCode],MEMBERS[ServiceEndDate])="",0,IF(CONT_TEA[[#This Row],[DateTo]]="",1,IF(_xlfn.XLOOKUP(CONT_TEA[[#This Row],[StaffMemberCode]],MEMBERS[StaffMemberCode],MEMBERS[ServiceEndDate])&lt;CONT_TEA[[#This Row],[DateTo]],1,0)))</f>
        <v>0</v>
      </c>
      <c r="S266" s="57">
        <f>IF(ISBLANK(CONT_TEA[[#This Row],[DateTo]]),0,IF(CONT_TEA[[#This Row],[DateFrom]]=CONT_TEA[[#This Row],[DateTo]],0,IF(CONT_TEA[[#This Row],[DateFrom]]&lt;CONT_TEA[[#This Row],[DateTo]],0,1)))</f>
        <v>0</v>
      </c>
      <c r="T266" s="57" cm="1">
        <f t="array" aca="1" ref="T266" ca="1">IF(CELL("format",CONT_TEA[[#This Row],[DateFrom]])="D1",0,1)+IF(CELL("format",CONT_TEA[[#This Row],[DateTo]])="D1",0,1)</f>
        <v>0</v>
      </c>
      <c r="U266" s="57">
        <f>IF(OR(CONT_TEA[[#This Row],[MatEditOnly]]=TRUE,CONT_TEA[[#This Row],[MatEditOnly]]=FALSE),IF(OR(CONT_TEA[[#This Row],[NoIncrement]]=TRUE,CONT_TEA[[#This Row],[NoIncrement]]=FALSE),0,1),1)</f>
        <v>0</v>
      </c>
      <c r="V266" s="57">
        <f>IF(ISBLANK(CONT_TEA[[#This Row],[FundCode]])=TRUE,0,IF(COUNTIF(FUNDS[FundCode],CONT_TEA[[#This Row],[FundCode]])=1,0,1))</f>
        <v>0</v>
      </c>
      <c r="W266" s="57">
        <f>IF(LEN(CONT_TEA[[#This Row],[Notes]])&lt;4000,0,1)</f>
        <v>0</v>
      </c>
      <c r="X266" s="57">
        <f>IF(SUBSTITUTE(TEXT(CONT_TEA[[#This Row],[Reference]],10)," ","")=TEXT(CONT_TEA[[#This Row],[Reference]],10),0,1)</f>
        <v>0</v>
      </c>
      <c r="Y266" s="57">
        <f ca="1">SUM(CONT_TEA[[#This Row],[Duplicate Contract]:[Space in Code]])</f>
        <v>1</v>
      </c>
      <c r="AA266" s="12" t="s">
        <v>2126</v>
      </c>
      <c r="AB266" s="15">
        <v>10013384</v>
      </c>
      <c r="AC266" s="12">
        <v>106045</v>
      </c>
      <c r="AD266" s="57" t="str">
        <f>_xlfn.XLOOKUP(CONT_TEA[[#This Row],[StaffMemberCode]],StaffMembers!O:O,StaffMembers!R:R)</f>
        <v>Ryan Lewis</v>
      </c>
      <c r="AE266" s="12" t="s">
        <v>1178</v>
      </c>
      <c r="AF266" s="57">
        <f>_xlfn.XLOOKUP(CONT_TEA[[#This Row],[SRG]],SRG[StaffRoleGroupCode],SRG[GrossSalaryFinanceCode])</f>
        <v>612100</v>
      </c>
      <c r="AG266" s="57" t="str">
        <f>_xlfn.XLOOKUP(CONT_TEA[[#This Row],[StaffRoleCode]],ROLES[StaffRoleCode],ROLES[StaffRoleGroupCode])</f>
        <v>TEA</v>
      </c>
      <c r="AH266" s="57" t="str">
        <f>_xlfn.XLOOKUP(CONT_TEA[[#This Row],[StaffRoleCode]],ROLES[StaffRoleCode],ROLES[PayScaleCode])</f>
        <v>MAIN</v>
      </c>
      <c r="AI266" s="12" t="s">
        <v>1126</v>
      </c>
      <c r="AJ266" s="12" t="s">
        <v>1068</v>
      </c>
      <c r="AK266" s="12" t="s">
        <v>2499</v>
      </c>
      <c r="AM266" s="68" t="s">
        <v>1149</v>
      </c>
      <c r="AN266" s="13" t="s">
        <v>1702</v>
      </c>
      <c r="AO266" s="21">
        <v>46023</v>
      </c>
      <c r="AQ266" s="12">
        <v>1</v>
      </c>
      <c r="AR266" t="b">
        <v>0</v>
      </c>
      <c r="AS266" t="b">
        <v>0</v>
      </c>
      <c r="AT266" s="12" t="s">
        <v>1574</v>
      </c>
    </row>
    <row r="267" spans="1:46" x14ac:dyDescent="0.3">
      <c r="A267" s="57" t="str">
        <f t="shared" si="6"/>
        <v>MLB10005337106109TEASTCH46023</v>
      </c>
      <c r="B267" s="57">
        <f>COUNTIF(CONT_TEA[Unique Contract],CONT_TEA[[#This Row],[Unique Contract]])-1</f>
        <v>0</v>
      </c>
      <c r="C267" s="57">
        <f>IFERROR(IF(FIND(CONT_TEA[[#This Row],[SchoolCode]],_xlfn.XLOOKUP(CONT_TEA[[#This Row],[StaffMemberCode]],MEMBERS[StaffMemberCode],MEMBERS[SchoolCodes]))&gt;0,0,1),1)</f>
        <v>0</v>
      </c>
      <c r="D267" s="57" cm="1">
        <f t="array" ref="D267">IF(_xlfn.XLOOKUP(CONT_TEA[[#This Row],[StaffRoleCode]],ROLES[StaffRoleCode],ROLES[AvailableToAllSchools],1,0,)=TRUE,0,IF(ISERROR(FIND(CONT_TEA[[#This Row],[SchoolCode]],_xlfn.TEXTJOIN(",",TRUE,_xlfn.UNIQUE(IF(ROLES[StaffRoleCode]=CONT_TEA[[#This Row],[StaffRoleCode]],ROLES[SchoolCodes],""))))),1,0))</f>
        <v>0</v>
      </c>
      <c r="E267" s="57" cm="1">
        <f t="array" ref="E26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67" s="57" cm="1">
        <f t="array" ref="F267">IF(_xlfn.XLOOKUP(CONT_TEA[[#This Row],[PayScaleCode]],PAYSCALES[PayScaleCode],PAYSCALES[AvailableToAllSchools],1,0,)=TRUE,0,IF(ISERROR(FIND(CONT_TEA[[#This Row],[SchoolCode]],_xlfn.TEXTJOIN(",",TRUE,_xlfn.UNIQUE(IF(PAYSCALES[PayScaleCode]=CONT_TEA[[#This Row],[PayScaleCode]],PAYSCALES[SchoolCodes],""))))),1,0))</f>
        <v>0</v>
      </c>
      <c r="G267" s="57">
        <f>IF(_xlfn.XLOOKUP(CONT_TEA[[#This Row],[PayScaleGradeCode]],GRADES[PayScaleGradeCode],GRADES[AvailableToAllSchools])=TRUE,0,IFERROR(IF(FIND(CONT_TEA[[#This Row],[SchoolCode]],_xlfn.XLOOKUP(CONT_TEA[[#This Row],[PayScaleGradeCode]],GRADES[PayScaleGradeCode],GRADES[SchoolCodes]))&gt;=1,0,1),1))</f>
        <v>0</v>
      </c>
      <c r="H267" s="57">
        <f>IF(ISERROR(IF((_xlfn.XLOOKUP(CONT_TEA[[#This Row],[PayScaleGradeCode]],GRADES[PayScaleGradeCode],GRADES[PayScaleCode])=CONT_TEA[[#This Row],[PayScaleCode]]),0,1)),1,0)</f>
        <v>0</v>
      </c>
      <c r="I267" s="57" cm="1">
        <f t="array" ref="I267">IF(ISERROR(FIND(CONT_TEA[[#This Row],[PayScalePointCode]],_xlfn.TEXTJOIN(",",TRUE,IF(PSPOINTS[PayScaleCode]=CONT_TEA[[#This Row],[PayScaleCode]],PSPOINTS[PayScalePointCode])))),1,0)</f>
        <v>0</v>
      </c>
      <c r="J267" s="57" cm="1">
        <f t="array" ref="J26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67" s="57">
        <f>IF(_xlfn.XLOOKUP(CONT_TEA[[#This Row],[PayScalePointCode]],PSPOINTS[PayScalePointCode],PSPOINTS[PayScalePointEnabled])=TRUE,0,1)</f>
        <v>0</v>
      </c>
      <c r="L267" s="57" cm="1">
        <f t="array" ref="L267">IF(_xlfn.XLOOKUP(CONT_TEA[[#This Row],[DepartmentCode]],DEPTS[DepartmentCode],DEPTS[AvailableToAllSchools],1,0,)=TRUE,0,IF(ISERROR(FIND(CONT_TEA[[#This Row],[SchoolCode]],_xlfn.TEXTJOIN(",",TRUE,_xlfn.UNIQUE(IF(DEPTS[DepartmentCode]=CONT_TEA[[#This Row],[DepartmentCode]],DEPTS[SchoolCodes],""))))),1,0))</f>
        <v>0</v>
      </c>
      <c r="M267" s="57">
        <f>IFERROR(IF(_xlfn.XLOOKUP(CONT_TEA[[#This Row],[SRG Gross]],FinanceCodesBudget[FinanceCode],FinanceCodesBudget[LedgerCode])=_xlfn.XLOOKUP(CONT_TEA[[#This Row],[DepartmentCode]],DEPTS[DepartmentCode],DEPTS[LedgerCode]),0,1),1)</f>
        <v>1</v>
      </c>
      <c r="N267" s="57" cm="1">
        <f t="array" ref="N267">IF(_xlfn.XLOOKUP(CONT_TEA[[#This Row],[PensionCode]],PENS[PensionCode],PENS[AvailableToAllSchools],1,0,)=TRUE,0,IF(ISERROR(FIND(CONT_TEA[[#This Row],[SchoolCode]],_xlfn.TEXTJOIN(",",TRUE,_xlfn.UNIQUE(IF(PENS[PensionCode]=CONT_TEA[[#This Row],[PensionCode]],PENS[SchoolCodes],""))))),1,0))</f>
        <v>0</v>
      </c>
      <c r="O267" s="57" cm="1">
        <f t="array" ref="O267">IF(_xlfn.XLOOKUP(CONT_TEA[[#This Row],[EquatedWeekPatternCode]],EQW[EquatedWeekPatternCode],EQW[AvailableToAllSchools],1,0,)=TRUE,0,IF(ISERROR(FIND(CONT_TEA[[#This Row],[SchoolCode]],_xlfn.TEXTJOIN(",",TRUE,_xlfn.UNIQUE(IF(EQW[EquatedWeekPatternCode]=CONT_TEA[[#This Row],[EquatedWeekPatternCode]],EQW[SchoolCodes],""))))),1,0))</f>
        <v>0</v>
      </c>
      <c r="P267" s="57">
        <f>1-COUNTIF(ContractTypes[Code],CONT_TEA[[#This Row],[ContractTypeCode]])</f>
        <v>0</v>
      </c>
      <c r="Q267" s="57">
        <f>IF(VLOOKUP(CONT_TEA[[#This Row],[StaffMemberCode]],MEMBERS[[StaffMemberCode]:[ServiceStartDate]],5,0)&gt;CONT_TEA[[#This Row],[DateFrom]],1,0)</f>
        <v>0</v>
      </c>
      <c r="R267" s="57">
        <f>IF(_xlfn.XLOOKUP(CONT_TEA[[#This Row],[StaffMemberCode]],MEMBERS[StaffMemberCode],MEMBERS[ServiceEndDate])="",0,IF(CONT_TEA[[#This Row],[DateTo]]="",1,IF(_xlfn.XLOOKUP(CONT_TEA[[#This Row],[StaffMemberCode]],MEMBERS[StaffMemberCode],MEMBERS[ServiceEndDate])&lt;CONT_TEA[[#This Row],[DateTo]],1,0)))</f>
        <v>0</v>
      </c>
      <c r="S267" s="57">
        <f>IF(ISBLANK(CONT_TEA[[#This Row],[DateTo]]),0,IF(CONT_TEA[[#This Row],[DateFrom]]=CONT_TEA[[#This Row],[DateTo]],0,IF(CONT_TEA[[#This Row],[DateFrom]]&lt;CONT_TEA[[#This Row],[DateTo]],0,1)))</f>
        <v>0</v>
      </c>
      <c r="T267" s="57" cm="1">
        <f t="array" aca="1" ref="T267" ca="1">IF(CELL("format",CONT_TEA[[#This Row],[DateFrom]])="D1",0,1)+IF(CELL("format",CONT_TEA[[#This Row],[DateTo]])="D1",0,1)</f>
        <v>0</v>
      </c>
      <c r="U267" s="57">
        <f>IF(OR(CONT_TEA[[#This Row],[MatEditOnly]]=TRUE,CONT_TEA[[#This Row],[MatEditOnly]]=FALSE),IF(OR(CONT_TEA[[#This Row],[NoIncrement]]=TRUE,CONT_TEA[[#This Row],[NoIncrement]]=FALSE),0,1),1)</f>
        <v>0</v>
      </c>
      <c r="V267" s="57">
        <f>IF(ISBLANK(CONT_TEA[[#This Row],[FundCode]])=TRUE,0,IF(COUNTIF(FUNDS[FundCode],CONT_TEA[[#This Row],[FundCode]])=1,0,1))</f>
        <v>0</v>
      </c>
      <c r="W267" s="57">
        <f>IF(LEN(CONT_TEA[[#This Row],[Notes]])&lt;4000,0,1)</f>
        <v>0</v>
      </c>
      <c r="X267" s="57">
        <f>IF(SUBSTITUTE(TEXT(CONT_TEA[[#This Row],[Reference]],10)," ","")=TEXT(CONT_TEA[[#This Row],[Reference]],10),0,1)</f>
        <v>0</v>
      </c>
      <c r="Y267" s="57">
        <f ca="1">SUM(CONT_TEA[[#This Row],[Duplicate Contract]:[Space in Code]])</f>
        <v>1</v>
      </c>
      <c r="AA267" s="12" t="s">
        <v>2126</v>
      </c>
      <c r="AB267" s="15">
        <v>10005337</v>
      </c>
      <c r="AC267" s="12">
        <v>106109</v>
      </c>
      <c r="AD267" s="57" t="str">
        <f>_xlfn.XLOOKUP(CONT_TEA[[#This Row],[StaffMemberCode]],StaffMembers!O:O,StaffMembers!R:R)</f>
        <v>Matthew Snape</v>
      </c>
      <c r="AE267" s="12" t="s">
        <v>1178</v>
      </c>
      <c r="AF267" s="57">
        <f>_xlfn.XLOOKUP(CONT_TEA[[#This Row],[SRG]],SRG[StaffRoleGroupCode],SRG[GrossSalaryFinanceCode])</f>
        <v>612100</v>
      </c>
      <c r="AG267" s="57" t="str">
        <f>_xlfn.XLOOKUP(CONT_TEA[[#This Row],[StaffRoleCode]],ROLES[StaffRoleCode],ROLES[StaffRoleGroupCode])</f>
        <v>TEA</v>
      </c>
      <c r="AH267" s="57" t="str">
        <f>_xlfn.XLOOKUP(CONT_TEA[[#This Row],[StaffRoleCode]],ROLES[StaffRoleCode],ROLES[PayScaleCode])</f>
        <v>MAIN</v>
      </c>
      <c r="AI267" s="12" t="s">
        <v>1126</v>
      </c>
      <c r="AJ267" s="12" t="s">
        <v>1745</v>
      </c>
      <c r="AK267" s="12" t="s">
        <v>2499</v>
      </c>
      <c r="AM267" s="68" t="s">
        <v>1147</v>
      </c>
      <c r="AN267" s="13" t="s">
        <v>1702</v>
      </c>
      <c r="AO267" s="21">
        <v>46023</v>
      </c>
      <c r="AQ267" s="12">
        <v>1</v>
      </c>
      <c r="AR267" t="b">
        <v>0</v>
      </c>
      <c r="AS267" t="b">
        <v>0</v>
      </c>
      <c r="AT267" s="12" t="s">
        <v>1574</v>
      </c>
    </row>
    <row r="268" spans="1:46" x14ac:dyDescent="0.3">
      <c r="A268" s="57" t="str">
        <f t="shared" si="6"/>
        <v>MLB10009099109641TEASTCH46023</v>
      </c>
      <c r="B268" s="57">
        <f>COUNTIF(CONT_TEA[Unique Contract],CONT_TEA[[#This Row],[Unique Contract]])-1</f>
        <v>0</v>
      </c>
      <c r="C268" s="57">
        <f>IFERROR(IF(FIND(CONT_TEA[[#This Row],[SchoolCode]],_xlfn.XLOOKUP(CONT_TEA[[#This Row],[StaffMemberCode]],MEMBERS[StaffMemberCode],MEMBERS[SchoolCodes]))&gt;0,0,1),1)</f>
        <v>0</v>
      </c>
      <c r="D268" s="57" cm="1">
        <f t="array" ref="D268">IF(_xlfn.XLOOKUP(CONT_TEA[[#This Row],[StaffRoleCode]],ROLES[StaffRoleCode],ROLES[AvailableToAllSchools],1,0,)=TRUE,0,IF(ISERROR(FIND(CONT_TEA[[#This Row],[SchoolCode]],_xlfn.TEXTJOIN(",",TRUE,_xlfn.UNIQUE(IF(ROLES[StaffRoleCode]=CONT_TEA[[#This Row],[StaffRoleCode]],ROLES[SchoolCodes],""))))),1,0))</f>
        <v>0</v>
      </c>
      <c r="E268" s="57" cm="1">
        <f t="array" ref="E26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68" s="57" cm="1">
        <f t="array" ref="F268">IF(_xlfn.XLOOKUP(CONT_TEA[[#This Row],[PayScaleCode]],PAYSCALES[PayScaleCode],PAYSCALES[AvailableToAllSchools],1,0,)=TRUE,0,IF(ISERROR(FIND(CONT_TEA[[#This Row],[SchoolCode]],_xlfn.TEXTJOIN(",",TRUE,_xlfn.UNIQUE(IF(PAYSCALES[PayScaleCode]=CONT_TEA[[#This Row],[PayScaleCode]],PAYSCALES[SchoolCodes],""))))),1,0))</f>
        <v>0</v>
      </c>
      <c r="G268" s="57">
        <f>IF(_xlfn.XLOOKUP(CONT_TEA[[#This Row],[PayScaleGradeCode]],GRADES[PayScaleGradeCode],GRADES[AvailableToAllSchools])=TRUE,0,IFERROR(IF(FIND(CONT_TEA[[#This Row],[SchoolCode]],_xlfn.XLOOKUP(CONT_TEA[[#This Row],[PayScaleGradeCode]],GRADES[PayScaleGradeCode],GRADES[SchoolCodes]))&gt;=1,0,1),1))</f>
        <v>0</v>
      </c>
      <c r="H268" s="57">
        <f>IF(ISERROR(IF((_xlfn.XLOOKUP(CONT_TEA[[#This Row],[PayScaleGradeCode]],GRADES[PayScaleGradeCode],GRADES[PayScaleCode])=CONT_TEA[[#This Row],[PayScaleCode]]),0,1)),1,0)</f>
        <v>0</v>
      </c>
      <c r="I268" s="57" cm="1">
        <f t="array" ref="I268">IF(ISERROR(FIND(CONT_TEA[[#This Row],[PayScalePointCode]],_xlfn.TEXTJOIN(",",TRUE,IF(PSPOINTS[PayScaleCode]=CONT_TEA[[#This Row],[PayScaleCode]],PSPOINTS[PayScalePointCode])))),1,0)</f>
        <v>0</v>
      </c>
      <c r="J268" s="57" cm="1">
        <f t="array" ref="J26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68" s="57">
        <f>IF(_xlfn.XLOOKUP(CONT_TEA[[#This Row],[PayScalePointCode]],PSPOINTS[PayScalePointCode],PSPOINTS[PayScalePointEnabled])=TRUE,0,1)</f>
        <v>0</v>
      </c>
      <c r="L268" s="57" cm="1">
        <f t="array" ref="L268">IF(_xlfn.XLOOKUP(CONT_TEA[[#This Row],[DepartmentCode]],DEPTS[DepartmentCode],DEPTS[AvailableToAllSchools],1,0,)=TRUE,0,IF(ISERROR(FIND(CONT_TEA[[#This Row],[SchoolCode]],_xlfn.TEXTJOIN(",",TRUE,_xlfn.UNIQUE(IF(DEPTS[DepartmentCode]=CONT_TEA[[#This Row],[DepartmentCode]],DEPTS[SchoolCodes],""))))),1,0))</f>
        <v>0</v>
      </c>
      <c r="M268" s="57">
        <f>IFERROR(IF(_xlfn.XLOOKUP(CONT_TEA[[#This Row],[SRG Gross]],FinanceCodesBudget[FinanceCode],FinanceCodesBudget[LedgerCode])=_xlfn.XLOOKUP(CONT_TEA[[#This Row],[DepartmentCode]],DEPTS[DepartmentCode],DEPTS[LedgerCode]),0,1),1)</f>
        <v>1</v>
      </c>
      <c r="N268" s="57" cm="1">
        <f t="array" ref="N268">IF(_xlfn.XLOOKUP(CONT_TEA[[#This Row],[PensionCode]],PENS[PensionCode],PENS[AvailableToAllSchools],1,0,)=TRUE,0,IF(ISERROR(FIND(CONT_TEA[[#This Row],[SchoolCode]],_xlfn.TEXTJOIN(",",TRUE,_xlfn.UNIQUE(IF(PENS[PensionCode]=CONT_TEA[[#This Row],[PensionCode]],PENS[SchoolCodes],""))))),1,0))</f>
        <v>0</v>
      </c>
      <c r="O268" s="57" cm="1">
        <f t="array" ref="O268">IF(_xlfn.XLOOKUP(CONT_TEA[[#This Row],[EquatedWeekPatternCode]],EQW[EquatedWeekPatternCode],EQW[AvailableToAllSchools],1,0,)=TRUE,0,IF(ISERROR(FIND(CONT_TEA[[#This Row],[SchoolCode]],_xlfn.TEXTJOIN(",",TRUE,_xlfn.UNIQUE(IF(EQW[EquatedWeekPatternCode]=CONT_TEA[[#This Row],[EquatedWeekPatternCode]],EQW[SchoolCodes],""))))),1,0))</f>
        <v>0</v>
      </c>
      <c r="P268" s="57">
        <f>1-COUNTIF(ContractTypes[Code],CONT_TEA[[#This Row],[ContractTypeCode]])</f>
        <v>0</v>
      </c>
      <c r="Q268" s="57">
        <f>IF(VLOOKUP(CONT_TEA[[#This Row],[StaffMemberCode]],MEMBERS[[StaffMemberCode]:[ServiceStartDate]],5,0)&gt;CONT_TEA[[#This Row],[DateFrom]],1,0)</f>
        <v>0</v>
      </c>
      <c r="R268" s="57">
        <f>IF(_xlfn.XLOOKUP(CONT_TEA[[#This Row],[StaffMemberCode]],MEMBERS[StaffMemberCode],MEMBERS[ServiceEndDate])="",0,IF(CONT_TEA[[#This Row],[DateTo]]="",1,IF(_xlfn.XLOOKUP(CONT_TEA[[#This Row],[StaffMemberCode]],MEMBERS[StaffMemberCode],MEMBERS[ServiceEndDate])&lt;CONT_TEA[[#This Row],[DateTo]],1,0)))</f>
        <v>0</v>
      </c>
      <c r="S268" s="57">
        <f>IF(ISBLANK(CONT_TEA[[#This Row],[DateTo]]),0,IF(CONT_TEA[[#This Row],[DateFrom]]=CONT_TEA[[#This Row],[DateTo]],0,IF(CONT_TEA[[#This Row],[DateFrom]]&lt;CONT_TEA[[#This Row],[DateTo]],0,1)))</f>
        <v>0</v>
      </c>
      <c r="T268" s="57" cm="1">
        <f t="array" aca="1" ref="T268" ca="1">IF(CELL("format",CONT_TEA[[#This Row],[DateFrom]])="D1",0,1)+IF(CELL("format",CONT_TEA[[#This Row],[DateTo]])="D1",0,1)</f>
        <v>0</v>
      </c>
      <c r="U268" s="57">
        <f>IF(OR(CONT_TEA[[#This Row],[MatEditOnly]]=TRUE,CONT_TEA[[#This Row],[MatEditOnly]]=FALSE),IF(OR(CONT_TEA[[#This Row],[NoIncrement]]=TRUE,CONT_TEA[[#This Row],[NoIncrement]]=FALSE),0,1),1)</f>
        <v>0</v>
      </c>
      <c r="V268" s="57">
        <f>IF(ISBLANK(CONT_TEA[[#This Row],[FundCode]])=TRUE,0,IF(COUNTIF(FUNDS[FundCode],CONT_TEA[[#This Row],[FundCode]])=1,0,1))</f>
        <v>0</v>
      </c>
      <c r="W268" s="57">
        <f>IF(LEN(CONT_TEA[[#This Row],[Notes]])&lt;4000,0,1)</f>
        <v>0</v>
      </c>
      <c r="X268" s="57">
        <f>IF(SUBSTITUTE(TEXT(CONT_TEA[[#This Row],[Reference]],10)," ","")=TEXT(CONT_TEA[[#This Row],[Reference]],10),0,1)</f>
        <v>0</v>
      </c>
      <c r="Y268" s="57">
        <f ca="1">SUM(CONT_TEA[[#This Row],[Duplicate Contract]:[Space in Code]])</f>
        <v>1</v>
      </c>
      <c r="AA268" s="12" t="s">
        <v>2126</v>
      </c>
      <c r="AB268" s="15">
        <v>10009099</v>
      </c>
      <c r="AC268" s="12">
        <v>109641</v>
      </c>
      <c r="AD268" s="57" t="str">
        <f>_xlfn.XLOOKUP(CONT_TEA[[#This Row],[StaffMemberCode]],StaffMembers!O:O,StaffMembers!R:R)</f>
        <v>Adam Oliver</v>
      </c>
      <c r="AE268" s="12" t="s">
        <v>1178</v>
      </c>
      <c r="AF268" s="57">
        <f>_xlfn.XLOOKUP(CONT_TEA[[#This Row],[SRG]],SRG[StaffRoleGroupCode],SRG[GrossSalaryFinanceCode])</f>
        <v>612100</v>
      </c>
      <c r="AG268" s="57" t="str">
        <f>_xlfn.XLOOKUP(CONT_TEA[[#This Row],[StaffRoleCode]],ROLES[StaffRoleCode],ROLES[StaffRoleGroupCode])</f>
        <v>TEA</v>
      </c>
      <c r="AH268" s="57" t="str">
        <f>_xlfn.XLOOKUP(CONT_TEA[[#This Row],[StaffRoleCode]],ROLES[StaffRoleCode],ROLES[PayScaleCode])</f>
        <v>MAIN</v>
      </c>
      <c r="AI268" s="12" t="s">
        <v>1126</v>
      </c>
      <c r="AJ268" s="12" t="s">
        <v>1546</v>
      </c>
      <c r="AK268" s="12" t="s">
        <v>2499</v>
      </c>
      <c r="AM268" s="68" t="s">
        <v>1147</v>
      </c>
      <c r="AN268" s="13" t="s">
        <v>1702</v>
      </c>
      <c r="AO268" s="21">
        <v>46023</v>
      </c>
      <c r="AQ268" s="12">
        <v>1</v>
      </c>
      <c r="AR268" t="b">
        <v>0</v>
      </c>
      <c r="AS268" t="b">
        <v>0</v>
      </c>
      <c r="AT268" s="12" t="s">
        <v>1574</v>
      </c>
    </row>
    <row r="269" spans="1:46" x14ac:dyDescent="0.3">
      <c r="A269" s="57" t="str">
        <f t="shared" si="6"/>
        <v>MLB10012808106073TEASTCH46023</v>
      </c>
      <c r="B269" s="57">
        <f>COUNTIF(CONT_TEA[Unique Contract],CONT_TEA[[#This Row],[Unique Contract]])-1</f>
        <v>0</v>
      </c>
      <c r="C269" s="57">
        <f>IFERROR(IF(FIND(CONT_TEA[[#This Row],[SchoolCode]],_xlfn.XLOOKUP(CONT_TEA[[#This Row],[StaffMemberCode]],MEMBERS[StaffMemberCode],MEMBERS[SchoolCodes]))&gt;0,0,1),1)</f>
        <v>0</v>
      </c>
      <c r="D269" s="57" cm="1">
        <f t="array" ref="D269">IF(_xlfn.XLOOKUP(CONT_TEA[[#This Row],[StaffRoleCode]],ROLES[StaffRoleCode],ROLES[AvailableToAllSchools],1,0,)=TRUE,0,IF(ISERROR(FIND(CONT_TEA[[#This Row],[SchoolCode]],_xlfn.TEXTJOIN(",",TRUE,_xlfn.UNIQUE(IF(ROLES[StaffRoleCode]=CONT_TEA[[#This Row],[StaffRoleCode]],ROLES[SchoolCodes],""))))),1,0))</f>
        <v>0</v>
      </c>
      <c r="E269" s="57" cm="1">
        <f t="array" ref="E26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69" s="57" cm="1">
        <f t="array" ref="F269">IF(_xlfn.XLOOKUP(CONT_TEA[[#This Row],[PayScaleCode]],PAYSCALES[PayScaleCode],PAYSCALES[AvailableToAllSchools],1,0,)=TRUE,0,IF(ISERROR(FIND(CONT_TEA[[#This Row],[SchoolCode]],_xlfn.TEXTJOIN(",",TRUE,_xlfn.UNIQUE(IF(PAYSCALES[PayScaleCode]=CONT_TEA[[#This Row],[PayScaleCode]],PAYSCALES[SchoolCodes],""))))),1,0))</f>
        <v>0</v>
      </c>
      <c r="G269" s="57">
        <f>IF(_xlfn.XLOOKUP(CONT_TEA[[#This Row],[PayScaleGradeCode]],GRADES[PayScaleGradeCode],GRADES[AvailableToAllSchools])=TRUE,0,IFERROR(IF(FIND(CONT_TEA[[#This Row],[SchoolCode]],_xlfn.XLOOKUP(CONT_TEA[[#This Row],[PayScaleGradeCode]],GRADES[PayScaleGradeCode],GRADES[SchoolCodes]))&gt;=1,0,1),1))</f>
        <v>0</v>
      </c>
      <c r="H269" s="57">
        <f>IF(ISERROR(IF((_xlfn.XLOOKUP(CONT_TEA[[#This Row],[PayScaleGradeCode]],GRADES[PayScaleGradeCode],GRADES[PayScaleCode])=CONT_TEA[[#This Row],[PayScaleCode]]),0,1)),1,0)</f>
        <v>0</v>
      </c>
      <c r="I269" s="57" cm="1">
        <f t="array" ref="I269">IF(ISERROR(FIND(CONT_TEA[[#This Row],[PayScalePointCode]],_xlfn.TEXTJOIN(",",TRUE,IF(PSPOINTS[PayScaleCode]=CONT_TEA[[#This Row],[PayScaleCode]],PSPOINTS[PayScalePointCode])))),1,0)</f>
        <v>0</v>
      </c>
      <c r="J269" s="57" cm="1">
        <f t="array" ref="J26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69" s="57">
        <f>IF(_xlfn.XLOOKUP(CONT_TEA[[#This Row],[PayScalePointCode]],PSPOINTS[PayScalePointCode],PSPOINTS[PayScalePointEnabled])=TRUE,0,1)</f>
        <v>0</v>
      </c>
      <c r="L269" s="57" cm="1">
        <f t="array" ref="L269">IF(_xlfn.XLOOKUP(CONT_TEA[[#This Row],[DepartmentCode]],DEPTS[DepartmentCode],DEPTS[AvailableToAllSchools],1,0,)=TRUE,0,IF(ISERROR(FIND(CONT_TEA[[#This Row],[SchoolCode]],_xlfn.TEXTJOIN(",",TRUE,_xlfn.UNIQUE(IF(DEPTS[DepartmentCode]=CONT_TEA[[#This Row],[DepartmentCode]],DEPTS[SchoolCodes],""))))),1,0))</f>
        <v>0</v>
      </c>
      <c r="M269" s="57">
        <f>IFERROR(IF(_xlfn.XLOOKUP(CONT_TEA[[#This Row],[SRG Gross]],FinanceCodesBudget[FinanceCode],FinanceCodesBudget[LedgerCode])=_xlfn.XLOOKUP(CONT_TEA[[#This Row],[DepartmentCode]],DEPTS[DepartmentCode],DEPTS[LedgerCode]),0,1),1)</f>
        <v>1</v>
      </c>
      <c r="N269" s="57" cm="1">
        <f t="array" ref="N269">IF(_xlfn.XLOOKUP(CONT_TEA[[#This Row],[PensionCode]],PENS[PensionCode],PENS[AvailableToAllSchools],1,0,)=TRUE,0,IF(ISERROR(FIND(CONT_TEA[[#This Row],[SchoolCode]],_xlfn.TEXTJOIN(",",TRUE,_xlfn.UNIQUE(IF(PENS[PensionCode]=CONT_TEA[[#This Row],[PensionCode]],PENS[SchoolCodes],""))))),1,0))</f>
        <v>0</v>
      </c>
      <c r="O269" s="57" cm="1">
        <f t="array" ref="O269">IF(_xlfn.XLOOKUP(CONT_TEA[[#This Row],[EquatedWeekPatternCode]],EQW[EquatedWeekPatternCode],EQW[AvailableToAllSchools],1,0,)=TRUE,0,IF(ISERROR(FIND(CONT_TEA[[#This Row],[SchoolCode]],_xlfn.TEXTJOIN(",",TRUE,_xlfn.UNIQUE(IF(EQW[EquatedWeekPatternCode]=CONT_TEA[[#This Row],[EquatedWeekPatternCode]],EQW[SchoolCodes],""))))),1,0))</f>
        <v>0</v>
      </c>
      <c r="P269" s="57">
        <f>1-COUNTIF(ContractTypes[Code],CONT_TEA[[#This Row],[ContractTypeCode]])</f>
        <v>0</v>
      </c>
      <c r="Q269" s="57">
        <f>IF(VLOOKUP(CONT_TEA[[#This Row],[StaffMemberCode]],MEMBERS[[StaffMemberCode]:[ServiceStartDate]],5,0)&gt;CONT_TEA[[#This Row],[DateFrom]],1,0)</f>
        <v>0</v>
      </c>
      <c r="R269" s="57">
        <f>IF(_xlfn.XLOOKUP(CONT_TEA[[#This Row],[StaffMemberCode]],MEMBERS[StaffMemberCode],MEMBERS[ServiceEndDate])="",0,IF(CONT_TEA[[#This Row],[DateTo]]="",1,IF(_xlfn.XLOOKUP(CONT_TEA[[#This Row],[StaffMemberCode]],MEMBERS[StaffMemberCode],MEMBERS[ServiceEndDate])&lt;CONT_TEA[[#This Row],[DateTo]],1,0)))</f>
        <v>0</v>
      </c>
      <c r="S269" s="57">
        <f>IF(ISBLANK(CONT_TEA[[#This Row],[DateTo]]),0,IF(CONT_TEA[[#This Row],[DateFrom]]=CONT_TEA[[#This Row],[DateTo]],0,IF(CONT_TEA[[#This Row],[DateFrom]]&lt;CONT_TEA[[#This Row],[DateTo]],0,1)))</f>
        <v>0</v>
      </c>
      <c r="T269" s="57" cm="1">
        <f t="array" aca="1" ref="T269" ca="1">IF(CELL("format",CONT_TEA[[#This Row],[DateFrom]])="D1",0,1)+IF(CELL("format",CONT_TEA[[#This Row],[DateTo]])="D1",0,1)</f>
        <v>0</v>
      </c>
      <c r="U269" s="57">
        <f>IF(OR(CONT_TEA[[#This Row],[MatEditOnly]]=TRUE,CONT_TEA[[#This Row],[MatEditOnly]]=FALSE),IF(OR(CONT_TEA[[#This Row],[NoIncrement]]=TRUE,CONT_TEA[[#This Row],[NoIncrement]]=FALSE),0,1),1)</f>
        <v>0</v>
      </c>
      <c r="V269" s="57">
        <f>IF(ISBLANK(CONT_TEA[[#This Row],[FundCode]])=TRUE,0,IF(COUNTIF(FUNDS[FundCode],CONT_TEA[[#This Row],[FundCode]])=1,0,1))</f>
        <v>0</v>
      </c>
      <c r="W269" s="57">
        <f>IF(LEN(CONT_TEA[[#This Row],[Notes]])&lt;4000,0,1)</f>
        <v>0</v>
      </c>
      <c r="X269" s="57">
        <f>IF(SUBSTITUTE(TEXT(CONT_TEA[[#This Row],[Reference]],10)," ","")=TEXT(CONT_TEA[[#This Row],[Reference]],10),0,1)</f>
        <v>0</v>
      </c>
      <c r="Y269" s="57">
        <f ca="1">SUM(CONT_TEA[[#This Row],[Duplicate Contract]:[Space in Code]])</f>
        <v>1</v>
      </c>
      <c r="AA269" s="12" t="s">
        <v>2126</v>
      </c>
      <c r="AB269" s="15">
        <v>10012808</v>
      </c>
      <c r="AC269" s="12">
        <v>106073</v>
      </c>
      <c r="AD269" s="57" t="str">
        <f>_xlfn.XLOOKUP(CONT_TEA[[#This Row],[StaffMemberCode]],StaffMembers!O:O,StaffMembers!R:R)</f>
        <v>Peter Adams</v>
      </c>
      <c r="AE269" s="12" t="s">
        <v>1178</v>
      </c>
      <c r="AF269" s="57">
        <f>_xlfn.XLOOKUP(CONT_TEA[[#This Row],[SRG]],SRG[StaffRoleGroupCode],SRG[GrossSalaryFinanceCode])</f>
        <v>612100</v>
      </c>
      <c r="AG269" s="57" t="str">
        <f>_xlfn.XLOOKUP(CONT_TEA[[#This Row],[StaffRoleCode]],ROLES[StaffRoleCode],ROLES[StaffRoleGroupCode])</f>
        <v>TEA</v>
      </c>
      <c r="AH269" s="57" t="str">
        <f>_xlfn.XLOOKUP(CONT_TEA[[#This Row],[StaffRoleCode]],ROLES[StaffRoleCode],ROLES[PayScaleCode])</f>
        <v>MAIN</v>
      </c>
      <c r="AI269" s="12" t="s">
        <v>1126</v>
      </c>
      <c r="AJ269" s="12" t="s">
        <v>1745</v>
      </c>
      <c r="AK269" s="12" t="s">
        <v>2499</v>
      </c>
      <c r="AM269" s="68" t="s">
        <v>1147</v>
      </c>
      <c r="AN269" s="13" t="s">
        <v>1702</v>
      </c>
      <c r="AO269" s="21">
        <v>46023</v>
      </c>
      <c r="AQ269" s="12">
        <v>1</v>
      </c>
      <c r="AR269" t="b">
        <v>0</v>
      </c>
      <c r="AS269" t="b">
        <v>0</v>
      </c>
      <c r="AT269" s="12" t="s">
        <v>1574</v>
      </c>
    </row>
    <row r="270" spans="1:46" x14ac:dyDescent="0.3">
      <c r="A270" s="57" t="str">
        <f t="shared" si="6"/>
        <v>MLB10005298106063TEASTCH46023</v>
      </c>
      <c r="B270" s="57">
        <f>COUNTIF(CONT_TEA[Unique Contract],CONT_TEA[[#This Row],[Unique Contract]])-1</f>
        <v>0</v>
      </c>
      <c r="C270" s="57">
        <f>IFERROR(IF(FIND(CONT_TEA[[#This Row],[SchoolCode]],_xlfn.XLOOKUP(CONT_TEA[[#This Row],[StaffMemberCode]],MEMBERS[StaffMemberCode],MEMBERS[SchoolCodes]))&gt;0,0,1),1)</f>
        <v>0</v>
      </c>
      <c r="D270" s="57" cm="1">
        <f t="array" ref="D270">IF(_xlfn.XLOOKUP(CONT_TEA[[#This Row],[StaffRoleCode]],ROLES[StaffRoleCode],ROLES[AvailableToAllSchools],1,0,)=TRUE,0,IF(ISERROR(FIND(CONT_TEA[[#This Row],[SchoolCode]],_xlfn.TEXTJOIN(",",TRUE,_xlfn.UNIQUE(IF(ROLES[StaffRoleCode]=CONT_TEA[[#This Row],[StaffRoleCode]],ROLES[SchoolCodes],""))))),1,0))</f>
        <v>0</v>
      </c>
      <c r="E270" s="57" cm="1">
        <f t="array" ref="E27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70" s="57" cm="1">
        <f t="array" ref="F270">IF(_xlfn.XLOOKUP(CONT_TEA[[#This Row],[PayScaleCode]],PAYSCALES[PayScaleCode],PAYSCALES[AvailableToAllSchools],1,0,)=TRUE,0,IF(ISERROR(FIND(CONT_TEA[[#This Row],[SchoolCode]],_xlfn.TEXTJOIN(",",TRUE,_xlfn.UNIQUE(IF(PAYSCALES[PayScaleCode]=CONT_TEA[[#This Row],[PayScaleCode]],PAYSCALES[SchoolCodes],""))))),1,0))</f>
        <v>0</v>
      </c>
      <c r="G270" s="57">
        <f>IF(_xlfn.XLOOKUP(CONT_TEA[[#This Row],[PayScaleGradeCode]],GRADES[PayScaleGradeCode],GRADES[AvailableToAllSchools])=TRUE,0,IFERROR(IF(FIND(CONT_TEA[[#This Row],[SchoolCode]],_xlfn.XLOOKUP(CONT_TEA[[#This Row],[PayScaleGradeCode]],GRADES[PayScaleGradeCode],GRADES[SchoolCodes]))&gt;=1,0,1),1))</f>
        <v>0</v>
      </c>
      <c r="H270" s="57">
        <f>IF(ISERROR(IF((_xlfn.XLOOKUP(CONT_TEA[[#This Row],[PayScaleGradeCode]],GRADES[PayScaleGradeCode],GRADES[PayScaleCode])=CONT_TEA[[#This Row],[PayScaleCode]]),0,1)),1,0)</f>
        <v>0</v>
      </c>
      <c r="I270" s="57" cm="1">
        <f t="array" ref="I270">IF(ISERROR(FIND(CONT_TEA[[#This Row],[PayScalePointCode]],_xlfn.TEXTJOIN(",",TRUE,IF(PSPOINTS[PayScaleCode]=CONT_TEA[[#This Row],[PayScaleCode]],PSPOINTS[PayScalePointCode])))),1,0)</f>
        <v>0</v>
      </c>
      <c r="J270" s="57" cm="1">
        <f t="array" ref="J27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70" s="57">
        <f>IF(_xlfn.XLOOKUP(CONT_TEA[[#This Row],[PayScalePointCode]],PSPOINTS[PayScalePointCode],PSPOINTS[PayScalePointEnabled])=TRUE,0,1)</f>
        <v>0</v>
      </c>
      <c r="L270" s="57" cm="1">
        <f t="array" ref="L270">IF(_xlfn.XLOOKUP(CONT_TEA[[#This Row],[DepartmentCode]],DEPTS[DepartmentCode],DEPTS[AvailableToAllSchools],1,0,)=TRUE,0,IF(ISERROR(FIND(CONT_TEA[[#This Row],[SchoolCode]],_xlfn.TEXTJOIN(",",TRUE,_xlfn.UNIQUE(IF(DEPTS[DepartmentCode]=CONT_TEA[[#This Row],[DepartmentCode]],DEPTS[SchoolCodes],""))))),1,0))</f>
        <v>0</v>
      </c>
      <c r="M270" s="57">
        <f>IFERROR(IF(_xlfn.XLOOKUP(CONT_TEA[[#This Row],[SRG Gross]],FinanceCodesBudget[FinanceCode],FinanceCodesBudget[LedgerCode])=_xlfn.XLOOKUP(CONT_TEA[[#This Row],[DepartmentCode]],DEPTS[DepartmentCode],DEPTS[LedgerCode]),0,1),1)</f>
        <v>1</v>
      </c>
      <c r="N270" s="57" cm="1">
        <f t="array" ref="N270">IF(_xlfn.XLOOKUP(CONT_TEA[[#This Row],[PensionCode]],PENS[PensionCode],PENS[AvailableToAllSchools],1,0,)=TRUE,0,IF(ISERROR(FIND(CONT_TEA[[#This Row],[SchoolCode]],_xlfn.TEXTJOIN(",",TRUE,_xlfn.UNIQUE(IF(PENS[PensionCode]=CONT_TEA[[#This Row],[PensionCode]],PENS[SchoolCodes],""))))),1,0))</f>
        <v>0</v>
      </c>
      <c r="O270" s="57" cm="1">
        <f t="array" ref="O270">IF(_xlfn.XLOOKUP(CONT_TEA[[#This Row],[EquatedWeekPatternCode]],EQW[EquatedWeekPatternCode],EQW[AvailableToAllSchools],1,0,)=TRUE,0,IF(ISERROR(FIND(CONT_TEA[[#This Row],[SchoolCode]],_xlfn.TEXTJOIN(",",TRUE,_xlfn.UNIQUE(IF(EQW[EquatedWeekPatternCode]=CONT_TEA[[#This Row],[EquatedWeekPatternCode]],EQW[SchoolCodes],""))))),1,0))</f>
        <v>0</v>
      </c>
      <c r="P270" s="57">
        <f>1-COUNTIF(ContractTypes[Code],CONT_TEA[[#This Row],[ContractTypeCode]])</f>
        <v>0</v>
      </c>
      <c r="Q270" s="57">
        <f>IF(VLOOKUP(CONT_TEA[[#This Row],[StaffMemberCode]],MEMBERS[[StaffMemberCode]:[ServiceStartDate]],5,0)&gt;CONT_TEA[[#This Row],[DateFrom]],1,0)</f>
        <v>0</v>
      </c>
      <c r="R270" s="57">
        <f>IF(_xlfn.XLOOKUP(CONT_TEA[[#This Row],[StaffMemberCode]],MEMBERS[StaffMemberCode],MEMBERS[ServiceEndDate])="",0,IF(CONT_TEA[[#This Row],[DateTo]]="",1,IF(_xlfn.XLOOKUP(CONT_TEA[[#This Row],[StaffMemberCode]],MEMBERS[StaffMemberCode],MEMBERS[ServiceEndDate])&lt;CONT_TEA[[#This Row],[DateTo]],1,0)))</f>
        <v>0</v>
      </c>
      <c r="S270" s="57">
        <f>IF(ISBLANK(CONT_TEA[[#This Row],[DateTo]]),0,IF(CONT_TEA[[#This Row],[DateFrom]]=CONT_TEA[[#This Row],[DateTo]],0,IF(CONT_TEA[[#This Row],[DateFrom]]&lt;CONT_TEA[[#This Row],[DateTo]],0,1)))</f>
        <v>0</v>
      </c>
      <c r="T270" s="57" cm="1">
        <f t="array" aca="1" ref="T270" ca="1">IF(CELL("format",CONT_TEA[[#This Row],[DateFrom]])="D1",0,1)+IF(CELL("format",CONT_TEA[[#This Row],[DateTo]])="D1",0,1)</f>
        <v>0</v>
      </c>
      <c r="U270" s="57">
        <f>IF(OR(CONT_TEA[[#This Row],[MatEditOnly]]=TRUE,CONT_TEA[[#This Row],[MatEditOnly]]=FALSE),IF(OR(CONT_TEA[[#This Row],[NoIncrement]]=TRUE,CONT_TEA[[#This Row],[NoIncrement]]=FALSE),0,1),1)</f>
        <v>0</v>
      </c>
      <c r="V270" s="57">
        <f>IF(ISBLANK(CONT_TEA[[#This Row],[FundCode]])=TRUE,0,IF(COUNTIF(FUNDS[FundCode],CONT_TEA[[#This Row],[FundCode]])=1,0,1))</f>
        <v>0</v>
      </c>
      <c r="W270" s="57">
        <f>IF(LEN(CONT_TEA[[#This Row],[Notes]])&lt;4000,0,1)</f>
        <v>0</v>
      </c>
      <c r="X270" s="57">
        <f>IF(SUBSTITUTE(TEXT(CONT_TEA[[#This Row],[Reference]],10)," ","")=TEXT(CONT_TEA[[#This Row],[Reference]],10),0,1)</f>
        <v>0</v>
      </c>
      <c r="Y270" s="57">
        <f ca="1">SUM(CONT_TEA[[#This Row],[Duplicate Contract]:[Space in Code]])</f>
        <v>1</v>
      </c>
      <c r="AA270" s="12" t="s">
        <v>2126</v>
      </c>
      <c r="AB270" s="15">
        <v>10005298</v>
      </c>
      <c r="AC270" s="12">
        <v>106063</v>
      </c>
      <c r="AD270" s="57" t="str">
        <f>_xlfn.XLOOKUP(CONT_TEA[[#This Row],[StaffMemberCode]],StaffMembers!O:O,StaffMembers!R:R)</f>
        <v>Jennifer Harding</v>
      </c>
      <c r="AE270" s="12" t="s">
        <v>1178</v>
      </c>
      <c r="AF270" s="57">
        <f>_xlfn.XLOOKUP(CONT_TEA[[#This Row],[SRG]],SRG[StaffRoleGroupCode],SRG[GrossSalaryFinanceCode])</f>
        <v>612100</v>
      </c>
      <c r="AG270" s="57" t="str">
        <f>_xlfn.XLOOKUP(CONT_TEA[[#This Row],[StaffRoleCode]],ROLES[StaffRoleCode],ROLES[StaffRoleGroupCode])</f>
        <v>TEA</v>
      </c>
      <c r="AH270" s="57" t="str">
        <f>_xlfn.XLOOKUP(CONT_TEA[[#This Row],[StaffRoleCode]],ROLES[StaffRoleCode],ROLES[PayScaleCode])</f>
        <v>MAIN</v>
      </c>
      <c r="AI270" s="12" t="s">
        <v>1126</v>
      </c>
      <c r="AJ270" s="12" t="s">
        <v>1745</v>
      </c>
      <c r="AK270" s="12" t="s">
        <v>2499</v>
      </c>
      <c r="AM270" s="68" t="s">
        <v>1147</v>
      </c>
      <c r="AN270" s="13" t="s">
        <v>1702</v>
      </c>
      <c r="AO270" s="21">
        <v>46023</v>
      </c>
      <c r="AQ270" s="12">
        <v>1</v>
      </c>
      <c r="AR270" t="b">
        <v>0</v>
      </c>
      <c r="AS270" t="b">
        <v>0</v>
      </c>
      <c r="AT270" s="12" t="s">
        <v>1574</v>
      </c>
    </row>
    <row r="271" spans="1:46" x14ac:dyDescent="0.3">
      <c r="A271" s="57" t="str">
        <f t="shared" si="6"/>
        <v>MLB10005342106115TEASTCH46023</v>
      </c>
      <c r="B271" s="57">
        <f>COUNTIF(CONT_TEA[Unique Contract],CONT_TEA[[#This Row],[Unique Contract]])-1</f>
        <v>0</v>
      </c>
      <c r="C271" s="57">
        <f>IFERROR(IF(FIND(CONT_TEA[[#This Row],[SchoolCode]],_xlfn.XLOOKUP(CONT_TEA[[#This Row],[StaffMemberCode]],MEMBERS[StaffMemberCode],MEMBERS[SchoolCodes]))&gt;0,0,1),1)</f>
        <v>0</v>
      </c>
      <c r="D271" s="57" cm="1">
        <f t="array" ref="D271">IF(_xlfn.XLOOKUP(CONT_TEA[[#This Row],[StaffRoleCode]],ROLES[StaffRoleCode],ROLES[AvailableToAllSchools],1,0,)=TRUE,0,IF(ISERROR(FIND(CONT_TEA[[#This Row],[SchoolCode]],_xlfn.TEXTJOIN(",",TRUE,_xlfn.UNIQUE(IF(ROLES[StaffRoleCode]=CONT_TEA[[#This Row],[StaffRoleCode]],ROLES[SchoolCodes],""))))),1,0))</f>
        <v>0</v>
      </c>
      <c r="E271" s="57" cm="1">
        <f t="array" ref="E27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71" s="57" cm="1">
        <f t="array" ref="F271">IF(_xlfn.XLOOKUP(CONT_TEA[[#This Row],[PayScaleCode]],PAYSCALES[PayScaleCode],PAYSCALES[AvailableToAllSchools],1,0,)=TRUE,0,IF(ISERROR(FIND(CONT_TEA[[#This Row],[SchoolCode]],_xlfn.TEXTJOIN(",",TRUE,_xlfn.UNIQUE(IF(PAYSCALES[PayScaleCode]=CONT_TEA[[#This Row],[PayScaleCode]],PAYSCALES[SchoolCodes],""))))),1,0))</f>
        <v>0</v>
      </c>
      <c r="G271" s="57">
        <f>IF(_xlfn.XLOOKUP(CONT_TEA[[#This Row],[PayScaleGradeCode]],GRADES[PayScaleGradeCode],GRADES[AvailableToAllSchools])=TRUE,0,IFERROR(IF(FIND(CONT_TEA[[#This Row],[SchoolCode]],_xlfn.XLOOKUP(CONT_TEA[[#This Row],[PayScaleGradeCode]],GRADES[PayScaleGradeCode],GRADES[SchoolCodes]))&gt;=1,0,1),1))</f>
        <v>0</v>
      </c>
      <c r="H271" s="57">
        <f>IF(ISERROR(IF((_xlfn.XLOOKUP(CONT_TEA[[#This Row],[PayScaleGradeCode]],GRADES[PayScaleGradeCode],GRADES[PayScaleCode])=CONT_TEA[[#This Row],[PayScaleCode]]),0,1)),1,0)</f>
        <v>0</v>
      </c>
      <c r="I271" s="57" cm="1">
        <f t="array" ref="I271">IF(ISERROR(FIND(CONT_TEA[[#This Row],[PayScalePointCode]],_xlfn.TEXTJOIN(",",TRUE,IF(PSPOINTS[PayScaleCode]=CONT_TEA[[#This Row],[PayScaleCode]],PSPOINTS[PayScalePointCode])))),1,0)</f>
        <v>0</v>
      </c>
      <c r="J271" s="57" cm="1">
        <f t="array" ref="J27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71" s="57">
        <f>IF(_xlfn.XLOOKUP(CONT_TEA[[#This Row],[PayScalePointCode]],PSPOINTS[PayScalePointCode],PSPOINTS[PayScalePointEnabled])=TRUE,0,1)</f>
        <v>0</v>
      </c>
      <c r="L271" s="57" cm="1">
        <f t="array" ref="L271">IF(_xlfn.XLOOKUP(CONT_TEA[[#This Row],[DepartmentCode]],DEPTS[DepartmentCode],DEPTS[AvailableToAllSchools],1,0,)=TRUE,0,IF(ISERROR(FIND(CONT_TEA[[#This Row],[SchoolCode]],_xlfn.TEXTJOIN(",",TRUE,_xlfn.UNIQUE(IF(DEPTS[DepartmentCode]=CONT_TEA[[#This Row],[DepartmentCode]],DEPTS[SchoolCodes],""))))),1,0))</f>
        <v>0</v>
      </c>
      <c r="M271" s="57">
        <f>IFERROR(IF(_xlfn.XLOOKUP(CONT_TEA[[#This Row],[SRG Gross]],FinanceCodesBudget[FinanceCode],FinanceCodesBudget[LedgerCode])=_xlfn.XLOOKUP(CONT_TEA[[#This Row],[DepartmentCode]],DEPTS[DepartmentCode],DEPTS[LedgerCode]),0,1),1)</f>
        <v>1</v>
      </c>
      <c r="N271" s="57" cm="1">
        <f t="array" ref="N271">IF(_xlfn.XLOOKUP(CONT_TEA[[#This Row],[PensionCode]],PENS[PensionCode],PENS[AvailableToAllSchools],1,0,)=TRUE,0,IF(ISERROR(FIND(CONT_TEA[[#This Row],[SchoolCode]],_xlfn.TEXTJOIN(",",TRUE,_xlfn.UNIQUE(IF(PENS[PensionCode]=CONT_TEA[[#This Row],[PensionCode]],PENS[SchoolCodes],""))))),1,0))</f>
        <v>0</v>
      </c>
      <c r="O271" s="57" cm="1">
        <f t="array" ref="O271">IF(_xlfn.XLOOKUP(CONT_TEA[[#This Row],[EquatedWeekPatternCode]],EQW[EquatedWeekPatternCode],EQW[AvailableToAllSchools],1,0,)=TRUE,0,IF(ISERROR(FIND(CONT_TEA[[#This Row],[SchoolCode]],_xlfn.TEXTJOIN(",",TRUE,_xlfn.UNIQUE(IF(EQW[EquatedWeekPatternCode]=CONT_TEA[[#This Row],[EquatedWeekPatternCode]],EQW[SchoolCodes],""))))),1,0))</f>
        <v>0</v>
      </c>
      <c r="P271" s="57">
        <f>1-COUNTIF(ContractTypes[Code],CONT_TEA[[#This Row],[ContractTypeCode]])</f>
        <v>0</v>
      </c>
      <c r="Q271" s="57">
        <f>IF(VLOOKUP(CONT_TEA[[#This Row],[StaffMemberCode]],MEMBERS[[StaffMemberCode]:[ServiceStartDate]],5,0)&gt;CONT_TEA[[#This Row],[DateFrom]],1,0)</f>
        <v>0</v>
      </c>
      <c r="R271" s="57">
        <f>IF(_xlfn.XLOOKUP(CONT_TEA[[#This Row],[StaffMemberCode]],MEMBERS[StaffMemberCode],MEMBERS[ServiceEndDate])="",0,IF(CONT_TEA[[#This Row],[DateTo]]="",1,IF(_xlfn.XLOOKUP(CONT_TEA[[#This Row],[StaffMemberCode]],MEMBERS[StaffMemberCode],MEMBERS[ServiceEndDate])&lt;CONT_TEA[[#This Row],[DateTo]],1,0)))</f>
        <v>0</v>
      </c>
      <c r="S271" s="57">
        <f>IF(ISBLANK(CONT_TEA[[#This Row],[DateTo]]),0,IF(CONT_TEA[[#This Row],[DateFrom]]=CONT_TEA[[#This Row],[DateTo]],0,IF(CONT_TEA[[#This Row],[DateFrom]]&lt;CONT_TEA[[#This Row],[DateTo]],0,1)))</f>
        <v>0</v>
      </c>
      <c r="T271" s="57" cm="1">
        <f t="array" aca="1" ref="T271" ca="1">IF(CELL("format",CONT_TEA[[#This Row],[DateFrom]])="D1",0,1)+IF(CELL("format",CONT_TEA[[#This Row],[DateTo]])="D1",0,1)</f>
        <v>0</v>
      </c>
      <c r="U271" s="57">
        <f>IF(OR(CONT_TEA[[#This Row],[MatEditOnly]]=TRUE,CONT_TEA[[#This Row],[MatEditOnly]]=FALSE),IF(OR(CONT_TEA[[#This Row],[NoIncrement]]=TRUE,CONT_TEA[[#This Row],[NoIncrement]]=FALSE),0,1),1)</f>
        <v>0</v>
      </c>
      <c r="V271" s="57">
        <f>IF(ISBLANK(CONT_TEA[[#This Row],[FundCode]])=TRUE,0,IF(COUNTIF(FUNDS[FundCode],CONT_TEA[[#This Row],[FundCode]])=1,0,1))</f>
        <v>0</v>
      </c>
      <c r="W271" s="57">
        <f>IF(LEN(CONT_TEA[[#This Row],[Notes]])&lt;4000,0,1)</f>
        <v>0</v>
      </c>
      <c r="X271" s="57">
        <f>IF(SUBSTITUTE(TEXT(CONT_TEA[[#This Row],[Reference]],10)," ","")=TEXT(CONT_TEA[[#This Row],[Reference]],10),0,1)</f>
        <v>0</v>
      </c>
      <c r="Y271" s="57">
        <f ca="1">SUM(CONT_TEA[[#This Row],[Duplicate Contract]:[Space in Code]])</f>
        <v>1</v>
      </c>
      <c r="AA271" s="12" t="s">
        <v>2126</v>
      </c>
      <c r="AB271" s="15">
        <v>10005342</v>
      </c>
      <c r="AC271" s="12">
        <v>106115</v>
      </c>
      <c r="AD271" s="57" t="str">
        <f>_xlfn.XLOOKUP(CONT_TEA[[#This Row],[StaffMemberCode]],StaffMembers!O:O,StaffMembers!R:R)</f>
        <v>Philip Sweetman</v>
      </c>
      <c r="AE271" s="12" t="s">
        <v>1178</v>
      </c>
      <c r="AF271" s="57">
        <f>_xlfn.XLOOKUP(CONT_TEA[[#This Row],[SRG]],SRG[StaffRoleGroupCode],SRG[GrossSalaryFinanceCode])</f>
        <v>612100</v>
      </c>
      <c r="AG271" s="57" t="str">
        <f>_xlfn.XLOOKUP(CONT_TEA[[#This Row],[StaffRoleCode]],ROLES[StaffRoleCode],ROLES[StaffRoleGroupCode])</f>
        <v>TEA</v>
      </c>
      <c r="AH271" s="57" t="str">
        <f>_xlfn.XLOOKUP(CONT_TEA[[#This Row],[StaffRoleCode]],ROLES[StaffRoleCode],ROLES[PayScaleCode])</f>
        <v>MAIN</v>
      </c>
      <c r="AI271" s="12" t="s">
        <v>1126</v>
      </c>
      <c r="AJ271" s="12" t="s">
        <v>1745</v>
      </c>
      <c r="AK271" s="12" t="s">
        <v>2499</v>
      </c>
      <c r="AM271" s="68" t="s">
        <v>1147</v>
      </c>
      <c r="AN271" s="13" t="s">
        <v>1702</v>
      </c>
      <c r="AO271" s="21">
        <v>46023</v>
      </c>
      <c r="AQ271" s="12">
        <v>1</v>
      </c>
      <c r="AR271" t="b">
        <v>0</v>
      </c>
      <c r="AS271" t="b">
        <v>0</v>
      </c>
      <c r="AT271" s="12" t="s">
        <v>1574</v>
      </c>
    </row>
    <row r="272" spans="1:46" x14ac:dyDescent="0.3">
      <c r="A272" s="57" t="str">
        <f t="shared" si="6"/>
        <v>MLB10005331106103TEASTCH46023</v>
      </c>
      <c r="B272" s="57">
        <f>COUNTIF(CONT_TEA[Unique Contract],CONT_TEA[[#This Row],[Unique Contract]])-1</f>
        <v>0</v>
      </c>
      <c r="C272" s="57">
        <f>IFERROR(IF(FIND(CONT_TEA[[#This Row],[SchoolCode]],_xlfn.XLOOKUP(CONT_TEA[[#This Row],[StaffMemberCode]],MEMBERS[StaffMemberCode],MEMBERS[SchoolCodes]))&gt;0,0,1),1)</f>
        <v>0</v>
      </c>
      <c r="D272" s="57" cm="1">
        <f t="array" ref="D272">IF(_xlfn.XLOOKUP(CONT_TEA[[#This Row],[StaffRoleCode]],ROLES[StaffRoleCode],ROLES[AvailableToAllSchools],1,0,)=TRUE,0,IF(ISERROR(FIND(CONT_TEA[[#This Row],[SchoolCode]],_xlfn.TEXTJOIN(",",TRUE,_xlfn.UNIQUE(IF(ROLES[StaffRoleCode]=CONT_TEA[[#This Row],[StaffRoleCode]],ROLES[SchoolCodes],""))))),1,0))</f>
        <v>0</v>
      </c>
      <c r="E272" s="57" cm="1">
        <f t="array" ref="E27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72" s="57" cm="1">
        <f t="array" ref="F272">IF(_xlfn.XLOOKUP(CONT_TEA[[#This Row],[PayScaleCode]],PAYSCALES[PayScaleCode],PAYSCALES[AvailableToAllSchools],1,0,)=TRUE,0,IF(ISERROR(FIND(CONT_TEA[[#This Row],[SchoolCode]],_xlfn.TEXTJOIN(",",TRUE,_xlfn.UNIQUE(IF(PAYSCALES[PayScaleCode]=CONT_TEA[[#This Row],[PayScaleCode]],PAYSCALES[SchoolCodes],""))))),1,0))</f>
        <v>0</v>
      </c>
      <c r="G272" s="57">
        <f>IF(_xlfn.XLOOKUP(CONT_TEA[[#This Row],[PayScaleGradeCode]],GRADES[PayScaleGradeCode],GRADES[AvailableToAllSchools])=TRUE,0,IFERROR(IF(FIND(CONT_TEA[[#This Row],[SchoolCode]],_xlfn.XLOOKUP(CONT_TEA[[#This Row],[PayScaleGradeCode]],GRADES[PayScaleGradeCode],GRADES[SchoolCodes]))&gt;=1,0,1),1))</f>
        <v>0</v>
      </c>
      <c r="H272" s="57">
        <f>IF(ISERROR(IF((_xlfn.XLOOKUP(CONT_TEA[[#This Row],[PayScaleGradeCode]],GRADES[PayScaleGradeCode],GRADES[PayScaleCode])=CONT_TEA[[#This Row],[PayScaleCode]]),0,1)),1,0)</f>
        <v>0</v>
      </c>
      <c r="I272" s="57" cm="1">
        <f t="array" ref="I272">IF(ISERROR(FIND(CONT_TEA[[#This Row],[PayScalePointCode]],_xlfn.TEXTJOIN(",",TRUE,IF(PSPOINTS[PayScaleCode]=CONT_TEA[[#This Row],[PayScaleCode]],PSPOINTS[PayScalePointCode])))),1,0)</f>
        <v>0</v>
      </c>
      <c r="J272" s="57" cm="1">
        <f t="array" ref="J27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72" s="57">
        <f>IF(_xlfn.XLOOKUP(CONT_TEA[[#This Row],[PayScalePointCode]],PSPOINTS[PayScalePointCode],PSPOINTS[PayScalePointEnabled])=TRUE,0,1)</f>
        <v>0</v>
      </c>
      <c r="L272" s="57" cm="1">
        <f t="array" ref="L272">IF(_xlfn.XLOOKUP(CONT_TEA[[#This Row],[DepartmentCode]],DEPTS[DepartmentCode],DEPTS[AvailableToAllSchools],1,0,)=TRUE,0,IF(ISERROR(FIND(CONT_TEA[[#This Row],[SchoolCode]],_xlfn.TEXTJOIN(",",TRUE,_xlfn.UNIQUE(IF(DEPTS[DepartmentCode]=CONT_TEA[[#This Row],[DepartmentCode]],DEPTS[SchoolCodes],""))))),1,0))</f>
        <v>0</v>
      </c>
      <c r="M272" s="57">
        <f>IFERROR(IF(_xlfn.XLOOKUP(CONT_TEA[[#This Row],[SRG Gross]],FinanceCodesBudget[FinanceCode],FinanceCodesBudget[LedgerCode])=_xlfn.XLOOKUP(CONT_TEA[[#This Row],[DepartmentCode]],DEPTS[DepartmentCode],DEPTS[LedgerCode]),0,1),1)</f>
        <v>1</v>
      </c>
      <c r="N272" s="57" cm="1">
        <f t="array" ref="N272">IF(_xlfn.XLOOKUP(CONT_TEA[[#This Row],[PensionCode]],PENS[PensionCode],PENS[AvailableToAllSchools],1,0,)=TRUE,0,IF(ISERROR(FIND(CONT_TEA[[#This Row],[SchoolCode]],_xlfn.TEXTJOIN(",",TRUE,_xlfn.UNIQUE(IF(PENS[PensionCode]=CONT_TEA[[#This Row],[PensionCode]],PENS[SchoolCodes],""))))),1,0))</f>
        <v>0</v>
      </c>
      <c r="O272" s="57" cm="1">
        <f t="array" ref="O272">IF(_xlfn.XLOOKUP(CONT_TEA[[#This Row],[EquatedWeekPatternCode]],EQW[EquatedWeekPatternCode],EQW[AvailableToAllSchools],1,0,)=TRUE,0,IF(ISERROR(FIND(CONT_TEA[[#This Row],[SchoolCode]],_xlfn.TEXTJOIN(",",TRUE,_xlfn.UNIQUE(IF(EQW[EquatedWeekPatternCode]=CONT_TEA[[#This Row],[EquatedWeekPatternCode]],EQW[SchoolCodes],""))))),1,0))</f>
        <v>0</v>
      </c>
      <c r="P272" s="57">
        <f>1-COUNTIF(ContractTypes[Code],CONT_TEA[[#This Row],[ContractTypeCode]])</f>
        <v>0</v>
      </c>
      <c r="Q272" s="57">
        <f>IF(VLOOKUP(CONT_TEA[[#This Row],[StaffMemberCode]],MEMBERS[[StaffMemberCode]:[ServiceStartDate]],5,0)&gt;CONT_TEA[[#This Row],[DateFrom]],1,0)</f>
        <v>0</v>
      </c>
      <c r="R272" s="57">
        <f>IF(_xlfn.XLOOKUP(CONT_TEA[[#This Row],[StaffMemberCode]],MEMBERS[StaffMemberCode],MEMBERS[ServiceEndDate])="",0,IF(CONT_TEA[[#This Row],[DateTo]]="",1,IF(_xlfn.XLOOKUP(CONT_TEA[[#This Row],[StaffMemberCode]],MEMBERS[StaffMemberCode],MEMBERS[ServiceEndDate])&lt;CONT_TEA[[#This Row],[DateTo]],1,0)))</f>
        <v>0</v>
      </c>
      <c r="S272" s="57">
        <f>IF(ISBLANK(CONT_TEA[[#This Row],[DateTo]]),0,IF(CONT_TEA[[#This Row],[DateFrom]]=CONT_TEA[[#This Row],[DateTo]],0,IF(CONT_TEA[[#This Row],[DateFrom]]&lt;CONT_TEA[[#This Row],[DateTo]],0,1)))</f>
        <v>0</v>
      </c>
      <c r="T272" s="57" cm="1">
        <f t="array" aca="1" ref="T272" ca="1">IF(CELL("format",CONT_TEA[[#This Row],[DateFrom]])="D1",0,1)+IF(CELL("format",CONT_TEA[[#This Row],[DateTo]])="D1",0,1)</f>
        <v>0</v>
      </c>
      <c r="U272" s="57">
        <f>IF(OR(CONT_TEA[[#This Row],[MatEditOnly]]=TRUE,CONT_TEA[[#This Row],[MatEditOnly]]=FALSE),IF(OR(CONT_TEA[[#This Row],[NoIncrement]]=TRUE,CONT_TEA[[#This Row],[NoIncrement]]=FALSE),0,1),1)</f>
        <v>0</v>
      </c>
      <c r="V272" s="57">
        <f>IF(ISBLANK(CONT_TEA[[#This Row],[FundCode]])=TRUE,0,IF(COUNTIF(FUNDS[FundCode],CONT_TEA[[#This Row],[FundCode]])=1,0,1))</f>
        <v>0</v>
      </c>
      <c r="W272" s="57">
        <f>IF(LEN(CONT_TEA[[#This Row],[Notes]])&lt;4000,0,1)</f>
        <v>0</v>
      </c>
      <c r="X272" s="57">
        <f>IF(SUBSTITUTE(TEXT(CONT_TEA[[#This Row],[Reference]],10)," ","")=TEXT(CONT_TEA[[#This Row],[Reference]],10),0,1)</f>
        <v>0</v>
      </c>
      <c r="Y272" s="57">
        <f ca="1">SUM(CONT_TEA[[#This Row],[Duplicate Contract]:[Space in Code]])</f>
        <v>1</v>
      </c>
      <c r="AA272" s="12" t="s">
        <v>2126</v>
      </c>
      <c r="AB272" s="15">
        <v>10005331</v>
      </c>
      <c r="AC272" s="12">
        <v>106103</v>
      </c>
      <c r="AD272" s="57" t="str">
        <f>_xlfn.XLOOKUP(CONT_TEA[[#This Row],[StaffMemberCode]],StaffMembers!O:O,StaffMembers!R:R)</f>
        <v>Victoria Thorley</v>
      </c>
      <c r="AE272" s="12" t="s">
        <v>1178</v>
      </c>
      <c r="AF272" s="57">
        <f>_xlfn.XLOOKUP(CONT_TEA[[#This Row],[SRG]],SRG[StaffRoleGroupCode],SRG[GrossSalaryFinanceCode])</f>
        <v>612100</v>
      </c>
      <c r="AG272" s="57" t="str">
        <f>_xlfn.XLOOKUP(CONT_TEA[[#This Row],[StaffRoleCode]],ROLES[StaffRoleCode],ROLES[StaffRoleGroupCode])</f>
        <v>TEA</v>
      </c>
      <c r="AH272" s="57" t="str">
        <f>_xlfn.XLOOKUP(CONT_TEA[[#This Row],[StaffRoleCode]],ROLES[StaffRoleCode],ROLES[PayScaleCode])</f>
        <v>MAIN</v>
      </c>
      <c r="AI272" s="12" t="s">
        <v>1126</v>
      </c>
      <c r="AJ272" s="12" t="s">
        <v>1745</v>
      </c>
      <c r="AK272" s="12" t="s">
        <v>2499</v>
      </c>
      <c r="AM272" s="68" t="s">
        <v>1147</v>
      </c>
      <c r="AN272" s="13" t="s">
        <v>1702</v>
      </c>
      <c r="AO272" s="21">
        <v>46023</v>
      </c>
      <c r="AQ272" s="12">
        <v>0.86</v>
      </c>
      <c r="AR272" t="b">
        <v>0</v>
      </c>
      <c r="AS272" t="b">
        <v>0</v>
      </c>
      <c r="AT272" s="12" t="s">
        <v>1574</v>
      </c>
    </row>
    <row r="273" spans="1:46" x14ac:dyDescent="0.3">
      <c r="A273" s="57" t="str">
        <f t="shared" si="6"/>
        <v>MLB10010505109640TEASTCH46023</v>
      </c>
      <c r="B273" s="57">
        <f>COUNTIF(CONT_TEA[Unique Contract],CONT_TEA[[#This Row],[Unique Contract]])-1</f>
        <v>0</v>
      </c>
      <c r="C273" s="57">
        <f>IFERROR(IF(FIND(CONT_TEA[[#This Row],[SchoolCode]],_xlfn.XLOOKUP(CONT_TEA[[#This Row],[StaffMemberCode]],MEMBERS[StaffMemberCode],MEMBERS[SchoolCodes]))&gt;0,0,1),1)</f>
        <v>0</v>
      </c>
      <c r="D273" s="57" cm="1">
        <f t="array" ref="D273">IF(_xlfn.XLOOKUP(CONT_TEA[[#This Row],[StaffRoleCode]],ROLES[StaffRoleCode],ROLES[AvailableToAllSchools],1,0,)=TRUE,0,IF(ISERROR(FIND(CONT_TEA[[#This Row],[SchoolCode]],_xlfn.TEXTJOIN(",",TRUE,_xlfn.UNIQUE(IF(ROLES[StaffRoleCode]=CONT_TEA[[#This Row],[StaffRoleCode]],ROLES[SchoolCodes],""))))),1,0))</f>
        <v>0</v>
      </c>
      <c r="E273" s="57" cm="1">
        <f t="array" ref="E27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73" s="57" cm="1">
        <f t="array" ref="F273">IF(_xlfn.XLOOKUP(CONT_TEA[[#This Row],[PayScaleCode]],PAYSCALES[PayScaleCode],PAYSCALES[AvailableToAllSchools],1,0,)=TRUE,0,IF(ISERROR(FIND(CONT_TEA[[#This Row],[SchoolCode]],_xlfn.TEXTJOIN(",",TRUE,_xlfn.UNIQUE(IF(PAYSCALES[PayScaleCode]=CONT_TEA[[#This Row],[PayScaleCode]],PAYSCALES[SchoolCodes],""))))),1,0))</f>
        <v>0</v>
      </c>
      <c r="G273" s="57">
        <f>IF(_xlfn.XLOOKUP(CONT_TEA[[#This Row],[PayScaleGradeCode]],GRADES[PayScaleGradeCode],GRADES[AvailableToAllSchools])=TRUE,0,IFERROR(IF(FIND(CONT_TEA[[#This Row],[SchoolCode]],_xlfn.XLOOKUP(CONT_TEA[[#This Row],[PayScaleGradeCode]],GRADES[PayScaleGradeCode],GRADES[SchoolCodes]))&gt;=1,0,1),1))</f>
        <v>0</v>
      </c>
      <c r="H273" s="57">
        <f>IF(ISERROR(IF((_xlfn.XLOOKUP(CONT_TEA[[#This Row],[PayScaleGradeCode]],GRADES[PayScaleGradeCode],GRADES[PayScaleCode])=CONT_TEA[[#This Row],[PayScaleCode]]),0,1)),1,0)</f>
        <v>0</v>
      </c>
      <c r="I273" s="57" cm="1">
        <f t="array" ref="I273">IF(ISERROR(FIND(CONT_TEA[[#This Row],[PayScalePointCode]],_xlfn.TEXTJOIN(",",TRUE,IF(PSPOINTS[PayScaleCode]=CONT_TEA[[#This Row],[PayScaleCode]],PSPOINTS[PayScalePointCode])))),1,0)</f>
        <v>0</v>
      </c>
      <c r="J273" s="57" cm="1">
        <f t="array" ref="J27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73" s="57">
        <f>IF(_xlfn.XLOOKUP(CONT_TEA[[#This Row],[PayScalePointCode]],PSPOINTS[PayScalePointCode],PSPOINTS[PayScalePointEnabled])=TRUE,0,1)</f>
        <v>0</v>
      </c>
      <c r="L273" s="57" cm="1">
        <f t="array" ref="L273">IF(_xlfn.XLOOKUP(CONT_TEA[[#This Row],[DepartmentCode]],DEPTS[DepartmentCode],DEPTS[AvailableToAllSchools],1,0,)=TRUE,0,IF(ISERROR(FIND(CONT_TEA[[#This Row],[SchoolCode]],_xlfn.TEXTJOIN(",",TRUE,_xlfn.UNIQUE(IF(DEPTS[DepartmentCode]=CONT_TEA[[#This Row],[DepartmentCode]],DEPTS[SchoolCodes],""))))),1,0))</f>
        <v>0</v>
      </c>
      <c r="M273" s="57">
        <f>IFERROR(IF(_xlfn.XLOOKUP(CONT_TEA[[#This Row],[SRG Gross]],FinanceCodesBudget[FinanceCode],FinanceCodesBudget[LedgerCode])=_xlfn.XLOOKUP(CONT_TEA[[#This Row],[DepartmentCode]],DEPTS[DepartmentCode],DEPTS[LedgerCode]),0,1),1)</f>
        <v>1</v>
      </c>
      <c r="N273" s="57" cm="1">
        <f t="array" ref="N273">IF(_xlfn.XLOOKUP(CONT_TEA[[#This Row],[PensionCode]],PENS[PensionCode],PENS[AvailableToAllSchools],1,0,)=TRUE,0,IF(ISERROR(FIND(CONT_TEA[[#This Row],[SchoolCode]],_xlfn.TEXTJOIN(",",TRUE,_xlfn.UNIQUE(IF(PENS[PensionCode]=CONT_TEA[[#This Row],[PensionCode]],PENS[SchoolCodes],""))))),1,0))</f>
        <v>0</v>
      </c>
      <c r="O273" s="57" cm="1">
        <f t="array" ref="O273">IF(_xlfn.XLOOKUP(CONT_TEA[[#This Row],[EquatedWeekPatternCode]],EQW[EquatedWeekPatternCode],EQW[AvailableToAllSchools],1,0,)=TRUE,0,IF(ISERROR(FIND(CONT_TEA[[#This Row],[SchoolCode]],_xlfn.TEXTJOIN(",",TRUE,_xlfn.UNIQUE(IF(EQW[EquatedWeekPatternCode]=CONT_TEA[[#This Row],[EquatedWeekPatternCode]],EQW[SchoolCodes],""))))),1,0))</f>
        <v>0</v>
      </c>
      <c r="P273" s="57">
        <f>1-COUNTIF(ContractTypes[Code],CONT_TEA[[#This Row],[ContractTypeCode]])</f>
        <v>0</v>
      </c>
      <c r="Q273" s="57">
        <f>IF(VLOOKUP(CONT_TEA[[#This Row],[StaffMemberCode]],MEMBERS[[StaffMemberCode]:[ServiceStartDate]],5,0)&gt;CONT_TEA[[#This Row],[DateFrom]],1,0)</f>
        <v>0</v>
      </c>
      <c r="R273" s="57">
        <f>IF(_xlfn.XLOOKUP(CONT_TEA[[#This Row],[StaffMemberCode]],MEMBERS[StaffMemberCode],MEMBERS[ServiceEndDate])="",0,IF(CONT_TEA[[#This Row],[DateTo]]="",1,IF(_xlfn.XLOOKUP(CONT_TEA[[#This Row],[StaffMemberCode]],MEMBERS[StaffMemberCode],MEMBERS[ServiceEndDate])&lt;CONT_TEA[[#This Row],[DateTo]],1,0)))</f>
        <v>0</v>
      </c>
      <c r="S273" s="57">
        <f>IF(ISBLANK(CONT_TEA[[#This Row],[DateTo]]),0,IF(CONT_TEA[[#This Row],[DateFrom]]=CONT_TEA[[#This Row],[DateTo]],0,IF(CONT_TEA[[#This Row],[DateFrom]]&lt;CONT_TEA[[#This Row],[DateTo]],0,1)))</f>
        <v>0</v>
      </c>
      <c r="T273" s="57" cm="1">
        <f t="array" aca="1" ref="T273" ca="1">IF(CELL("format",CONT_TEA[[#This Row],[DateFrom]])="D1",0,1)+IF(CELL("format",CONT_TEA[[#This Row],[DateTo]])="D1",0,1)</f>
        <v>0</v>
      </c>
      <c r="U273" s="57">
        <f>IF(OR(CONT_TEA[[#This Row],[MatEditOnly]]=TRUE,CONT_TEA[[#This Row],[MatEditOnly]]=FALSE),IF(OR(CONT_TEA[[#This Row],[NoIncrement]]=TRUE,CONT_TEA[[#This Row],[NoIncrement]]=FALSE),0,1),1)</f>
        <v>0</v>
      </c>
      <c r="V273" s="57">
        <f>IF(ISBLANK(CONT_TEA[[#This Row],[FundCode]])=TRUE,0,IF(COUNTIF(FUNDS[FundCode],CONT_TEA[[#This Row],[FundCode]])=1,0,1))</f>
        <v>0</v>
      </c>
      <c r="W273" s="57">
        <f>IF(LEN(CONT_TEA[[#This Row],[Notes]])&lt;4000,0,1)</f>
        <v>0</v>
      </c>
      <c r="X273" s="57">
        <f>IF(SUBSTITUTE(TEXT(CONT_TEA[[#This Row],[Reference]],10)," ","")=TEXT(CONT_TEA[[#This Row],[Reference]],10),0,1)</f>
        <v>0</v>
      </c>
      <c r="Y273" s="57">
        <f ca="1">SUM(CONT_TEA[[#This Row],[Duplicate Contract]:[Space in Code]])</f>
        <v>1</v>
      </c>
      <c r="AA273" s="12" t="s">
        <v>2126</v>
      </c>
      <c r="AB273" s="15">
        <v>10010505</v>
      </c>
      <c r="AC273" s="12">
        <v>109640</v>
      </c>
      <c r="AD273" s="57" t="str">
        <f>_xlfn.XLOOKUP(CONT_TEA[[#This Row],[StaffMemberCode]],StaffMembers!O:O,StaffMembers!R:R)</f>
        <v>Charlie Wyatt</v>
      </c>
      <c r="AE273" s="12" t="s">
        <v>1178</v>
      </c>
      <c r="AF273" s="57">
        <f>_xlfn.XLOOKUP(CONT_TEA[[#This Row],[SRG]],SRG[StaffRoleGroupCode],SRG[GrossSalaryFinanceCode])</f>
        <v>612100</v>
      </c>
      <c r="AG273" s="57" t="str">
        <f>_xlfn.XLOOKUP(CONT_TEA[[#This Row],[StaffRoleCode]],ROLES[StaffRoleCode],ROLES[StaffRoleGroupCode])</f>
        <v>TEA</v>
      </c>
      <c r="AH273" s="57" t="str">
        <f>_xlfn.XLOOKUP(CONT_TEA[[#This Row],[StaffRoleCode]],ROLES[StaffRoleCode],ROLES[PayScaleCode])</f>
        <v>MAIN</v>
      </c>
      <c r="AI273" s="12" t="s">
        <v>1126</v>
      </c>
      <c r="AJ273" s="12" t="s">
        <v>1067</v>
      </c>
      <c r="AK273" s="12" t="s">
        <v>2499</v>
      </c>
      <c r="AM273" s="68" t="s">
        <v>1147</v>
      </c>
      <c r="AN273" s="13" t="s">
        <v>1702</v>
      </c>
      <c r="AO273" s="21">
        <v>46023</v>
      </c>
      <c r="AQ273" s="12">
        <v>1</v>
      </c>
      <c r="AR273" t="b">
        <v>0</v>
      </c>
      <c r="AS273" t="b">
        <v>0</v>
      </c>
      <c r="AT273" s="12" t="s">
        <v>1574</v>
      </c>
    </row>
    <row r="274" spans="1:46" x14ac:dyDescent="0.3">
      <c r="A274" s="57" t="str">
        <f t="shared" si="6"/>
        <v>MLB10007458108437TEASTCH46023</v>
      </c>
      <c r="B274" s="57">
        <f>COUNTIF(CONT_TEA[Unique Contract],CONT_TEA[[#This Row],[Unique Contract]])-1</f>
        <v>0</v>
      </c>
      <c r="C274" s="57">
        <f>IFERROR(IF(FIND(CONT_TEA[[#This Row],[SchoolCode]],_xlfn.XLOOKUP(CONT_TEA[[#This Row],[StaffMemberCode]],MEMBERS[StaffMemberCode],MEMBERS[SchoolCodes]))&gt;0,0,1),1)</f>
        <v>0</v>
      </c>
      <c r="D274" s="57" cm="1">
        <f t="array" ref="D274">IF(_xlfn.XLOOKUP(CONT_TEA[[#This Row],[StaffRoleCode]],ROLES[StaffRoleCode],ROLES[AvailableToAllSchools],1,0,)=TRUE,0,IF(ISERROR(FIND(CONT_TEA[[#This Row],[SchoolCode]],_xlfn.TEXTJOIN(",",TRUE,_xlfn.UNIQUE(IF(ROLES[StaffRoleCode]=CONT_TEA[[#This Row],[StaffRoleCode]],ROLES[SchoolCodes],""))))),1,0))</f>
        <v>0</v>
      </c>
      <c r="E274" s="57" cm="1">
        <f t="array" ref="E27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74" s="57" cm="1">
        <f t="array" ref="F274">IF(_xlfn.XLOOKUP(CONT_TEA[[#This Row],[PayScaleCode]],PAYSCALES[PayScaleCode],PAYSCALES[AvailableToAllSchools],1,0,)=TRUE,0,IF(ISERROR(FIND(CONT_TEA[[#This Row],[SchoolCode]],_xlfn.TEXTJOIN(",",TRUE,_xlfn.UNIQUE(IF(PAYSCALES[PayScaleCode]=CONT_TEA[[#This Row],[PayScaleCode]],PAYSCALES[SchoolCodes],""))))),1,0))</f>
        <v>0</v>
      </c>
      <c r="G274" s="57">
        <f>IF(_xlfn.XLOOKUP(CONT_TEA[[#This Row],[PayScaleGradeCode]],GRADES[PayScaleGradeCode],GRADES[AvailableToAllSchools])=TRUE,0,IFERROR(IF(FIND(CONT_TEA[[#This Row],[SchoolCode]],_xlfn.XLOOKUP(CONT_TEA[[#This Row],[PayScaleGradeCode]],GRADES[PayScaleGradeCode],GRADES[SchoolCodes]))&gt;=1,0,1),1))</f>
        <v>0</v>
      </c>
      <c r="H274" s="57">
        <f>IF(ISERROR(IF((_xlfn.XLOOKUP(CONT_TEA[[#This Row],[PayScaleGradeCode]],GRADES[PayScaleGradeCode],GRADES[PayScaleCode])=CONT_TEA[[#This Row],[PayScaleCode]]),0,1)),1,0)</f>
        <v>0</v>
      </c>
      <c r="I274" s="57" cm="1">
        <f t="array" ref="I274">IF(ISERROR(FIND(CONT_TEA[[#This Row],[PayScalePointCode]],_xlfn.TEXTJOIN(",",TRUE,IF(PSPOINTS[PayScaleCode]=CONT_TEA[[#This Row],[PayScaleCode]],PSPOINTS[PayScalePointCode])))),1,0)</f>
        <v>0</v>
      </c>
      <c r="J274" s="57" cm="1">
        <f t="array" ref="J27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74" s="57">
        <f>IF(_xlfn.XLOOKUP(CONT_TEA[[#This Row],[PayScalePointCode]],PSPOINTS[PayScalePointCode],PSPOINTS[PayScalePointEnabled])=TRUE,0,1)</f>
        <v>0</v>
      </c>
      <c r="L274" s="57" cm="1">
        <f t="array" ref="L274">IF(_xlfn.XLOOKUP(CONT_TEA[[#This Row],[DepartmentCode]],DEPTS[DepartmentCode],DEPTS[AvailableToAllSchools],1,0,)=TRUE,0,IF(ISERROR(FIND(CONT_TEA[[#This Row],[SchoolCode]],_xlfn.TEXTJOIN(",",TRUE,_xlfn.UNIQUE(IF(DEPTS[DepartmentCode]=CONT_TEA[[#This Row],[DepartmentCode]],DEPTS[SchoolCodes],""))))),1,0))</f>
        <v>0</v>
      </c>
      <c r="M274" s="57">
        <f>IFERROR(IF(_xlfn.XLOOKUP(CONT_TEA[[#This Row],[SRG Gross]],FinanceCodesBudget[FinanceCode],FinanceCodesBudget[LedgerCode])=_xlfn.XLOOKUP(CONT_TEA[[#This Row],[DepartmentCode]],DEPTS[DepartmentCode],DEPTS[LedgerCode]),0,1),1)</f>
        <v>1</v>
      </c>
      <c r="N274" s="57" cm="1">
        <f t="array" ref="N274">IF(_xlfn.XLOOKUP(CONT_TEA[[#This Row],[PensionCode]],PENS[PensionCode],PENS[AvailableToAllSchools],1,0,)=TRUE,0,IF(ISERROR(FIND(CONT_TEA[[#This Row],[SchoolCode]],_xlfn.TEXTJOIN(",",TRUE,_xlfn.UNIQUE(IF(PENS[PensionCode]=CONT_TEA[[#This Row],[PensionCode]],PENS[SchoolCodes],""))))),1,0))</f>
        <v>0</v>
      </c>
      <c r="O274" s="57" cm="1">
        <f t="array" ref="O274">IF(_xlfn.XLOOKUP(CONT_TEA[[#This Row],[EquatedWeekPatternCode]],EQW[EquatedWeekPatternCode],EQW[AvailableToAllSchools],1,0,)=TRUE,0,IF(ISERROR(FIND(CONT_TEA[[#This Row],[SchoolCode]],_xlfn.TEXTJOIN(",",TRUE,_xlfn.UNIQUE(IF(EQW[EquatedWeekPatternCode]=CONT_TEA[[#This Row],[EquatedWeekPatternCode]],EQW[SchoolCodes],""))))),1,0))</f>
        <v>0</v>
      </c>
      <c r="P274" s="57">
        <f>1-COUNTIF(ContractTypes[Code],CONT_TEA[[#This Row],[ContractTypeCode]])</f>
        <v>0</v>
      </c>
      <c r="Q274" s="57">
        <f>IF(VLOOKUP(CONT_TEA[[#This Row],[StaffMemberCode]],MEMBERS[[StaffMemberCode]:[ServiceStartDate]],5,0)&gt;CONT_TEA[[#This Row],[DateFrom]],1,0)</f>
        <v>0</v>
      </c>
      <c r="R274" s="57">
        <f>IF(_xlfn.XLOOKUP(CONT_TEA[[#This Row],[StaffMemberCode]],MEMBERS[StaffMemberCode],MEMBERS[ServiceEndDate])="",0,IF(CONT_TEA[[#This Row],[DateTo]]="",1,IF(_xlfn.XLOOKUP(CONT_TEA[[#This Row],[StaffMemberCode]],MEMBERS[StaffMemberCode],MEMBERS[ServiceEndDate])&lt;CONT_TEA[[#This Row],[DateTo]],1,0)))</f>
        <v>0</v>
      </c>
      <c r="S274" s="57">
        <f>IF(ISBLANK(CONT_TEA[[#This Row],[DateTo]]),0,IF(CONT_TEA[[#This Row],[DateFrom]]=CONT_TEA[[#This Row],[DateTo]],0,IF(CONT_TEA[[#This Row],[DateFrom]]&lt;CONT_TEA[[#This Row],[DateTo]],0,1)))</f>
        <v>0</v>
      </c>
      <c r="T274" s="57" cm="1">
        <f t="array" aca="1" ref="T274" ca="1">IF(CELL("format",CONT_TEA[[#This Row],[DateFrom]])="D1",0,1)+IF(CELL("format",CONT_TEA[[#This Row],[DateTo]])="D1",0,1)</f>
        <v>0</v>
      </c>
      <c r="U274" s="57">
        <f>IF(OR(CONT_TEA[[#This Row],[MatEditOnly]]=TRUE,CONT_TEA[[#This Row],[MatEditOnly]]=FALSE),IF(OR(CONT_TEA[[#This Row],[NoIncrement]]=TRUE,CONT_TEA[[#This Row],[NoIncrement]]=FALSE),0,1),1)</f>
        <v>0</v>
      </c>
      <c r="V274" s="57">
        <f>IF(ISBLANK(CONT_TEA[[#This Row],[FundCode]])=TRUE,0,IF(COUNTIF(FUNDS[FundCode],CONT_TEA[[#This Row],[FundCode]])=1,0,1))</f>
        <v>0</v>
      </c>
      <c r="W274" s="57">
        <f>IF(LEN(CONT_TEA[[#This Row],[Notes]])&lt;4000,0,1)</f>
        <v>0</v>
      </c>
      <c r="X274" s="57">
        <f>IF(SUBSTITUTE(TEXT(CONT_TEA[[#This Row],[Reference]],10)," ","")=TEXT(CONT_TEA[[#This Row],[Reference]],10),0,1)</f>
        <v>0</v>
      </c>
      <c r="Y274" s="57">
        <f ca="1">SUM(CONT_TEA[[#This Row],[Duplicate Contract]:[Space in Code]])</f>
        <v>1</v>
      </c>
      <c r="AA274" s="12" t="s">
        <v>2126</v>
      </c>
      <c r="AB274" s="15">
        <v>10007458</v>
      </c>
      <c r="AC274" s="12">
        <v>108437</v>
      </c>
      <c r="AD274" s="57" t="str">
        <f>_xlfn.XLOOKUP(CONT_TEA[[#This Row],[StaffMemberCode]],StaffMembers!O:O,StaffMembers!R:R)</f>
        <v>Natalie Elkin</v>
      </c>
      <c r="AE274" s="12" t="s">
        <v>1178</v>
      </c>
      <c r="AF274" s="57">
        <f>_xlfn.XLOOKUP(CONT_TEA[[#This Row],[SRG]],SRG[StaffRoleGroupCode],SRG[GrossSalaryFinanceCode])</f>
        <v>612100</v>
      </c>
      <c r="AG274" s="57" t="str">
        <f>_xlfn.XLOOKUP(CONT_TEA[[#This Row],[StaffRoleCode]],ROLES[StaffRoleCode],ROLES[StaffRoleGroupCode])</f>
        <v>TEA</v>
      </c>
      <c r="AH274" s="57" t="str">
        <f>_xlfn.XLOOKUP(CONT_TEA[[#This Row],[StaffRoleCode]],ROLES[StaffRoleCode],ROLES[PayScaleCode])</f>
        <v>MAIN</v>
      </c>
      <c r="AI274" s="12" t="s">
        <v>1126</v>
      </c>
      <c r="AJ274" s="12" t="s">
        <v>1546</v>
      </c>
      <c r="AK274" s="12" t="s">
        <v>2499</v>
      </c>
      <c r="AM274" s="68" t="s">
        <v>1147</v>
      </c>
      <c r="AN274" s="13" t="s">
        <v>1702</v>
      </c>
      <c r="AO274" s="21">
        <v>46023</v>
      </c>
      <c r="AQ274" s="12">
        <v>1</v>
      </c>
      <c r="AR274" t="b">
        <v>0</v>
      </c>
      <c r="AS274" t="b">
        <v>0</v>
      </c>
      <c r="AT274" s="12" t="s">
        <v>1574</v>
      </c>
    </row>
    <row r="275" spans="1:46" x14ac:dyDescent="0.3">
      <c r="A275" s="57" t="str">
        <f t="shared" si="6"/>
        <v>MLB10014573106049TEASTCH46023</v>
      </c>
      <c r="B275" s="57">
        <f>COUNTIF(CONT_TEA[Unique Contract],CONT_TEA[[#This Row],[Unique Contract]])-1</f>
        <v>0</v>
      </c>
      <c r="C275" s="57">
        <f>IFERROR(IF(FIND(CONT_TEA[[#This Row],[SchoolCode]],_xlfn.XLOOKUP(CONT_TEA[[#This Row],[StaffMemberCode]],MEMBERS[StaffMemberCode],MEMBERS[SchoolCodes]))&gt;0,0,1),1)</f>
        <v>0</v>
      </c>
      <c r="D275" s="57" cm="1">
        <f t="array" ref="D275">IF(_xlfn.XLOOKUP(CONT_TEA[[#This Row],[StaffRoleCode]],ROLES[StaffRoleCode],ROLES[AvailableToAllSchools],1,0,)=TRUE,0,IF(ISERROR(FIND(CONT_TEA[[#This Row],[SchoolCode]],_xlfn.TEXTJOIN(",",TRUE,_xlfn.UNIQUE(IF(ROLES[StaffRoleCode]=CONT_TEA[[#This Row],[StaffRoleCode]],ROLES[SchoolCodes],""))))),1,0))</f>
        <v>0</v>
      </c>
      <c r="E275" s="57" cm="1">
        <f t="array" ref="E27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75" s="57" cm="1">
        <f t="array" ref="F275">IF(_xlfn.XLOOKUP(CONT_TEA[[#This Row],[PayScaleCode]],PAYSCALES[PayScaleCode],PAYSCALES[AvailableToAllSchools],1,0,)=TRUE,0,IF(ISERROR(FIND(CONT_TEA[[#This Row],[SchoolCode]],_xlfn.TEXTJOIN(",",TRUE,_xlfn.UNIQUE(IF(PAYSCALES[PayScaleCode]=CONT_TEA[[#This Row],[PayScaleCode]],PAYSCALES[SchoolCodes],""))))),1,0))</f>
        <v>0</v>
      </c>
      <c r="G275" s="57">
        <f>IF(_xlfn.XLOOKUP(CONT_TEA[[#This Row],[PayScaleGradeCode]],GRADES[PayScaleGradeCode],GRADES[AvailableToAllSchools])=TRUE,0,IFERROR(IF(FIND(CONT_TEA[[#This Row],[SchoolCode]],_xlfn.XLOOKUP(CONT_TEA[[#This Row],[PayScaleGradeCode]],GRADES[PayScaleGradeCode],GRADES[SchoolCodes]))&gt;=1,0,1),1))</f>
        <v>0</v>
      </c>
      <c r="H275" s="57">
        <f>IF(ISERROR(IF((_xlfn.XLOOKUP(CONT_TEA[[#This Row],[PayScaleGradeCode]],GRADES[PayScaleGradeCode],GRADES[PayScaleCode])=CONT_TEA[[#This Row],[PayScaleCode]]),0,1)),1,0)</f>
        <v>0</v>
      </c>
      <c r="I275" s="57" cm="1">
        <f t="array" ref="I275">IF(ISERROR(FIND(CONT_TEA[[#This Row],[PayScalePointCode]],_xlfn.TEXTJOIN(",",TRUE,IF(PSPOINTS[PayScaleCode]=CONT_TEA[[#This Row],[PayScaleCode]],PSPOINTS[PayScalePointCode])))),1,0)</f>
        <v>0</v>
      </c>
      <c r="J275" s="57" cm="1">
        <f t="array" ref="J27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75" s="57">
        <f>IF(_xlfn.XLOOKUP(CONT_TEA[[#This Row],[PayScalePointCode]],PSPOINTS[PayScalePointCode],PSPOINTS[PayScalePointEnabled])=TRUE,0,1)</f>
        <v>0</v>
      </c>
      <c r="L275" s="57" cm="1">
        <f t="array" ref="L275">IF(_xlfn.XLOOKUP(CONT_TEA[[#This Row],[DepartmentCode]],DEPTS[DepartmentCode],DEPTS[AvailableToAllSchools],1,0,)=TRUE,0,IF(ISERROR(FIND(CONT_TEA[[#This Row],[SchoolCode]],_xlfn.TEXTJOIN(",",TRUE,_xlfn.UNIQUE(IF(DEPTS[DepartmentCode]=CONT_TEA[[#This Row],[DepartmentCode]],DEPTS[SchoolCodes],""))))),1,0))</f>
        <v>0</v>
      </c>
      <c r="M275" s="57">
        <f>IFERROR(IF(_xlfn.XLOOKUP(CONT_TEA[[#This Row],[SRG Gross]],FinanceCodesBudget[FinanceCode],FinanceCodesBudget[LedgerCode])=_xlfn.XLOOKUP(CONT_TEA[[#This Row],[DepartmentCode]],DEPTS[DepartmentCode],DEPTS[LedgerCode]),0,1),1)</f>
        <v>1</v>
      </c>
      <c r="N275" s="57" cm="1">
        <f t="array" ref="N275">IF(_xlfn.XLOOKUP(CONT_TEA[[#This Row],[PensionCode]],PENS[PensionCode],PENS[AvailableToAllSchools],1,0,)=TRUE,0,IF(ISERROR(FIND(CONT_TEA[[#This Row],[SchoolCode]],_xlfn.TEXTJOIN(",",TRUE,_xlfn.UNIQUE(IF(PENS[PensionCode]=CONT_TEA[[#This Row],[PensionCode]],PENS[SchoolCodes],""))))),1,0))</f>
        <v>0</v>
      </c>
      <c r="O275" s="57" cm="1">
        <f t="array" ref="O275">IF(_xlfn.XLOOKUP(CONT_TEA[[#This Row],[EquatedWeekPatternCode]],EQW[EquatedWeekPatternCode],EQW[AvailableToAllSchools],1,0,)=TRUE,0,IF(ISERROR(FIND(CONT_TEA[[#This Row],[SchoolCode]],_xlfn.TEXTJOIN(",",TRUE,_xlfn.UNIQUE(IF(EQW[EquatedWeekPatternCode]=CONT_TEA[[#This Row],[EquatedWeekPatternCode]],EQW[SchoolCodes],""))))),1,0))</f>
        <v>0</v>
      </c>
      <c r="P275" s="57">
        <f>1-COUNTIF(ContractTypes[Code],CONT_TEA[[#This Row],[ContractTypeCode]])</f>
        <v>0</v>
      </c>
      <c r="Q275" s="57">
        <f>IF(VLOOKUP(CONT_TEA[[#This Row],[StaffMemberCode]],MEMBERS[[StaffMemberCode]:[ServiceStartDate]],5,0)&gt;CONT_TEA[[#This Row],[DateFrom]],1,0)</f>
        <v>0</v>
      </c>
      <c r="R275" s="57">
        <f>IF(_xlfn.XLOOKUP(CONT_TEA[[#This Row],[StaffMemberCode]],MEMBERS[StaffMemberCode],MEMBERS[ServiceEndDate])="",0,IF(CONT_TEA[[#This Row],[DateTo]]="",1,IF(_xlfn.XLOOKUP(CONT_TEA[[#This Row],[StaffMemberCode]],MEMBERS[StaffMemberCode],MEMBERS[ServiceEndDate])&lt;CONT_TEA[[#This Row],[DateTo]],1,0)))</f>
        <v>0</v>
      </c>
      <c r="S275" s="57">
        <f>IF(ISBLANK(CONT_TEA[[#This Row],[DateTo]]),0,IF(CONT_TEA[[#This Row],[DateFrom]]=CONT_TEA[[#This Row],[DateTo]],0,IF(CONT_TEA[[#This Row],[DateFrom]]&lt;CONT_TEA[[#This Row],[DateTo]],0,1)))</f>
        <v>0</v>
      </c>
      <c r="T275" s="57" cm="1">
        <f t="array" aca="1" ref="T275" ca="1">IF(CELL("format",CONT_TEA[[#This Row],[DateFrom]])="D1",0,1)+IF(CELL("format",CONT_TEA[[#This Row],[DateTo]])="D1",0,1)</f>
        <v>0</v>
      </c>
      <c r="U275" s="57">
        <f>IF(OR(CONT_TEA[[#This Row],[MatEditOnly]]=TRUE,CONT_TEA[[#This Row],[MatEditOnly]]=FALSE),IF(OR(CONT_TEA[[#This Row],[NoIncrement]]=TRUE,CONT_TEA[[#This Row],[NoIncrement]]=FALSE),0,1),1)</f>
        <v>0</v>
      </c>
      <c r="V275" s="57">
        <f>IF(ISBLANK(CONT_TEA[[#This Row],[FundCode]])=TRUE,0,IF(COUNTIF(FUNDS[FundCode],CONT_TEA[[#This Row],[FundCode]])=1,0,1))</f>
        <v>0</v>
      </c>
      <c r="W275" s="57">
        <f>IF(LEN(CONT_TEA[[#This Row],[Notes]])&lt;4000,0,1)</f>
        <v>0</v>
      </c>
      <c r="X275" s="57">
        <f>IF(SUBSTITUTE(TEXT(CONT_TEA[[#This Row],[Reference]],10)," ","")=TEXT(CONT_TEA[[#This Row],[Reference]],10),0,1)</f>
        <v>0</v>
      </c>
      <c r="Y275" s="57">
        <f ca="1">SUM(CONT_TEA[[#This Row],[Duplicate Contract]:[Space in Code]])</f>
        <v>1</v>
      </c>
      <c r="AA275" s="12" t="s">
        <v>2126</v>
      </c>
      <c r="AB275" s="15">
        <v>10014573</v>
      </c>
      <c r="AC275" s="12">
        <v>106049</v>
      </c>
      <c r="AD275" s="57" t="str">
        <f>_xlfn.XLOOKUP(CONT_TEA[[#This Row],[StaffMemberCode]],StaffMembers!O:O,StaffMembers!R:R)</f>
        <v>Gemma Springhall</v>
      </c>
      <c r="AE275" s="12" t="s">
        <v>1178</v>
      </c>
      <c r="AF275" s="57">
        <f>_xlfn.XLOOKUP(CONT_TEA[[#This Row],[SRG]],SRG[StaffRoleGroupCode],SRG[GrossSalaryFinanceCode])</f>
        <v>612100</v>
      </c>
      <c r="AG275" s="57" t="str">
        <f>_xlfn.XLOOKUP(CONT_TEA[[#This Row],[StaffRoleCode]],ROLES[StaffRoleCode],ROLES[StaffRoleGroupCode])</f>
        <v>TEA</v>
      </c>
      <c r="AH275" s="57" t="str">
        <f>_xlfn.XLOOKUP(CONT_TEA[[#This Row],[StaffRoleCode]],ROLES[StaffRoleCode],ROLES[PayScaleCode])</f>
        <v>MAIN</v>
      </c>
      <c r="AI275" s="12" t="s">
        <v>1126</v>
      </c>
      <c r="AJ275" s="12" t="s">
        <v>3073</v>
      </c>
      <c r="AK275" s="12" t="s">
        <v>2499</v>
      </c>
      <c r="AM275" s="68" t="s">
        <v>1147</v>
      </c>
      <c r="AN275" s="13" t="s">
        <v>1702</v>
      </c>
      <c r="AO275" s="21">
        <v>46023</v>
      </c>
      <c r="AQ275" s="12">
        <v>0.6</v>
      </c>
      <c r="AR275" t="b">
        <v>0</v>
      </c>
      <c r="AS275" t="b">
        <v>0</v>
      </c>
      <c r="AT275" s="12" t="s">
        <v>1574</v>
      </c>
    </row>
    <row r="276" spans="1:46" x14ac:dyDescent="0.3">
      <c r="A276" s="57" t="str">
        <f t="shared" si="6"/>
        <v>MLB10012805106825TEASTCH46023</v>
      </c>
      <c r="B276" s="57">
        <f>COUNTIF(CONT_TEA[Unique Contract],CONT_TEA[[#This Row],[Unique Contract]])-1</f>
        <v>0</v>
      </c>
      <c r="C276" s="57">
        <f>IFERROR(IF(FIND(CONT_TEA[[#This Row],[SchoolCode]],_xlfn.XLOOKUP(CONT_TEA[[#This Row],[StaffMemberCode]],MEMBERS[StaffMemberCode],MEMBERS[SchoolCodes]))&gt;0,0,1),1)</f>
        <v>0</v>
      </c>
      <c r="D276" s="57" cm="1">
        <f t="array" ref="D276">IF(_xlfn.XLOOKUP(CONT_TEA[[#This Row],[StaffRoleCode]],ROLES[StaffRoleCode],ROLES[AvailableToAllSchools],1,0,)=TRUE,0,IF(ISERROR(FIND(CONT_TEA[[#This Row],[SchoolCode]],_xlfn.TEXTJOIN(",",TRUE,_xlfn.UNIQUE(IF(ROLES[StaffRoleCode]=CONT_TEA[[#This Row],[StaffRoleCode]],ROLES[SchoolCodes],""))))),1,0))</f>
        <v>0</v>
      </c>
      <c r="E276" s="57" cm="1">
        <f t="array" ref="E27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76" s="57" cm="1">
        <f t="array" ref="F276">IF(_xlfn.XLOOKUP(CONT_TEA[[#This Row],[PayScaleCode]],PAYSCALES[PayScaleCode],PAYSCALES[AvailableToAllSchools],1,0,)=TRUE,0,IF(ISERROR(FIND(CONT_TEA[[#This Row],[SchoolCode]],_xlfn.TEXTJOIN(",",TRUE,_xlfn.UNIQUE(IF(PAYSCALES[PayScaleCode]=CONT_TEA[[#This Row],[PayScaleCode]],PAYSCALES[SchoolCodes],""))))),1,0))</f>
        <v>0</v>
      </c>
      <c r="G276" s="57">
        <f>IF(_xlfn.XLOOKUP(CONT_TEA[[#This Row],[PayScaleGradeCode]],GRADES[PayScaleGradeCode],GRADES[AvailableToAllSchools])=TRUE,0,IFERROR(IF(FIND(CONT_TEA[[#This Row],[SchoolCode]],_xlfn.XLOOKUP(CONT_TEA[[#This Row],[PayScaleGradeCode]],GRADES[PayScaleGradeCode],GRADES[SchoolCodes]))&gt;=1,0,1),1))</f>
        <v>0</v>
      </c>
      <c r="H276" s="57">
        <f>IF(ISERROR(IF((_xlfn.XLOOKUP(CONT_TEA[[#This Row],[PayScaleGradeCode]],GRADES[PayScaleGradeCode],GRADES[PayScaleCode])=CONT_TEA[[#This Row],[PayScaleCode]]),0,1)),1,0)</f>
        <v>0</v>
      </c>
      <c r="I276" s="57" cm="1">
        <f t="array" ref="I276">IF(ISERROR(FIND(CONT_TEA[[#This Row],[PayScalePointCode]],_xlfn.TEXTJOIN(",",TRUE,IF(PSPOINTS[PayScaleCode]=CONT_TEA[[#This Row],[PayScaleCode]],PSPOINTS[PayScalePointCode])))),1,0)</f>
        <v>0</v>
      </c>
      <c r="J276" s="57" cm="1">
        <f t="array" ref="J27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76" s="57">
        <f>IF(_xlfn.XLOOKUP(CONT_TEA[[#This Row],[PayScalePointCode]],PSPOINTS[PayScalePointCode],PSPOINTS[PayScalePointEnabled])=TRUE,0,1)</f>
        <v>0</v>
      </c>
      <c r="L276" s="57" cm="1">
        <f t="array" ref="L276">IF(_xlfn.XLOOKUP(CONT_TEA[[#This Row],[DepartmentCode]],DEPTS[DepartmentCode],DEPTS[AvailableToAllSchools],1,0,)=TRUE,0,IF(ISERROR(FIND(CONT_TEA[[#This Row],[SchoolCode]],_xlfn.TEXTJOIN(",",TRUE,_xlfn.UNIQUE(IF(DEPTS[DepartmentCode]=CONT_TEA[[#This Row],[DepartmentCode]],DEPTS[SchoolCodes],""))))),1,0))</f>
        <v>0</v>
      </c>
      <c r="M276" s="57">
        <f>IFERROR(IF(_xlfn.XLOOKUP(CONT_TEA[[#This Row],[SRG Gross]],FinanceCodesBudget[FinanceCode],FinanceCodesBudget[LedgerCode])=_xlfn.XLOOKUP(CONT_TEA[[#This Row],[DepartmentCode]],DEPTS[DepartmentCode],DEPTS[LedgerCode]),0,1),1)</f>
        <v>1</v>
      </c>
      <c r="N276" s="57" cm="1">
        <f t="array" ref="N276">IF(_xlfn.XLOOKUP(CONT_TEA[[#This Row],[PensionCode]],PENS[PensionCode],PENS[AvailableToAllSchools],1,0,)=TRUE,0,IF(ISERROR(FIND(CONT_TEA[[#This Row],[SchoolCode]],_xlfn.TEXTJOIN(",",TRUE,_xlfn.UNIQUE(IF(PENS[PensionCode]=CONT_TEA[[#This Row],[PensionCode]],PENS[SchoolCodes],""))))),1,0))</f>
        <v>0</v>
      </c>
      <c r="O276" s="57" cm="1">
        <f t="array" ref="O276">IF(_xlfn.XLOOKUP(CONT_TEA[[#This Row],[EquatedWeekPatternCode]],EQW[EquatedWeekPatternCode],EQW[AvailableToAllSchools],1,0,)=TRUE,0,IF(ISERROR(FIND(CONT_TEA[[#This Row],[SchoolCode]],_xlfn.TEXTJOIN(",",TRUE,_xlfn.UNIQUE(IF(EQW[EquatedWeekPatternCode]=CONT_TEA[[#This Row],[EquatedWeekPatternCode]],EQW[SchoolCodes],""))))),1,0))</f>
        <v>0</v>
      </c>
      <c r="P276" s="57">
        <f>1-COUNTIF(ContractTypes[Code],CONT_TEA[[#This Row],[ContractTypeCode]])</f>
        <v>0</v>
      </c>
      <c r="Q276" s="57">
        <f>IF(VLOOKUP(CONT_TEA[[#This Row],[StaffMemberCode]],MEMBERS[[StaffMemberCode]:[ServiceStartDate]],5,0)&gt;CONT_TEA[[#This Row],[DateFrom]],1,0)</f>
        <v>0</v>
      </c>
      <c r="R276" s="57">
        <f>IF(_xlfn.XLOOKUP(CONT_TEA[[#This Row],[StaffMemberCode]],MEMBERS[StaffMemberCode],MEMBERS[ServiceEndDate])="",0,IF(CONT_TEA[[#This Row],[DateTo]]="",1,IF(_xlfn.XLOOKUP(CONT_TEA[[#This Row],[StaffMemberCode]],MEMBERS[StaffMemberCode],MEMBERS[ServiceEndDate])&lt;CONT_TEA[[#This Row],[DateTo]],1,0)))</f>
        <v>0</v>
      </c>
      <c r="S276" s="57">
        <f>IF(ISBLANK(CONT_TEA[[#This Row],[DateTo]]),0,IF(CONT_TEA[[#This Row],[DateFrom]]=CONT_TEA[[#This Row],[DateTo]],0,IF(CONT_TEA[[#This Row],[DateFrom]]&lt;CONT_TEA[[#This Row],[DateTo]],0,1)))</f>
        <v>0</v>
      </c>
      <c r="T276" s="57" cm="1">
        <f t="array" aca="1" ref="T276" ca="1">IF(CELL("format",CONT_TEA[[#This Row],[DateFrom]])="D1",0,1)+IF(CELL("format",CONT_TEA[[#This Row],[DateTo]])="D1",0,1)</f>
        <v>0</v>
      </c>
      <c r="U276" s="57">
        <f>IF(OR(CONT_TEA[[#This Row],[MatEditOnly]]=TRUE,CONT_TEA[[#This Row],[MatEditOnly]]=FALSE),IF(OR(CONT_TEA[[#This Row],[NoIncrement]]=TRUE,CONT_TEA[[#This Row],[NoIncrement]]=FALSE),0,1),1)</f>
        <v>0</v>
      </c>
      <c r="V276" s="57">
        <f>IF(ISBLANK(CONT_TEA[[#This Row],[FundCode]])=TRUE,0,IF(COUNTIF(FUNDS[FundCode],CONT_TEA[[#This Row],[FundCode]])=1,0,1))</f>
        <v>0</v>
      </c>
      <c r="W276" s="57">
        <f>IF(LEN(CONT_TEA[[#This Row],[Notes]])&lt;4000,0,1)</f>
        <v>0</v>
      </c>
      <c r="X276" s="57">
        <f>IF(SUBSTITUTE(TEXT(CONT_TEA[[#This Row],[Reference]],10)," ","")=TEXT(CONT_TEA[[#This Row],[Reference]],10),0,1)</f>
        <v>0</v>
      </c>
      <c r="Y276" s="57">
        <f ca="1">SUM(CONT_TEA[[#This Row],[Duplicate Contract]:[Space in Code]])</f>
        <v>1</v>
      </c>
      <c r="AA276" s="12" t="s">
        <v>2126</v>
      </c>
      <c r="AB276" s="15">
        <v>10012805</v>
      </c>
      <c r="AC276" s="12">
        <v>106825</v>
      </c>
      <c r="AD276" s="57" t="str">
        <f>_xlfn.XLOOKUP(CONT_TEA[[#This Row],[StaffMemberCode]],StaffMembers!O:O,StaffMembers!R:R)</f>
        <v>James Hawkins</v>
      </c>
      <c r="AE276" s="12" t="s">
        <v>1178</v>
      </c>
      <c r="AF276" s="57">
        <f>_xlfn.XLOOKUP(CONT_TEA[[#This Row],[SRG]],SRG[StaffRoleGroupCode],SRG[GrossSalaryFinanceCode])</f>
        <v>612100</v>
      </c>
      <c r="AG276" s="57" t="str">
        <f>_xlfn.XLOOKUP(CONT_TEA[[#This Row],[StaffRoleCode]],ROLES[StaffRoleCode],ROLES[StaffRoleGroupCode])</f>
        <v>TEA</v>
      </c>
      <c r="AH276" s="57" t="str">
        <f>_xlfn.XLOOKUP(CONT_TEA[[#This Row],[StaffRoleCode]],ROLES[StaffRoleCode],ROLES[PayScaleCode])</f>
        <v>MAIN</v>
      </c>
      <c r="AI276" s="12" t="s">
        <v>1126</v>
      </c>
      <c r="AJ276" s="12" t="s">
        <v>3073</v>
      </c>
      <c r="AK276" s="12" t="s">
        <v>2499</v>
      </c>
      <c r="AM276" s="68" t="s">
        <v>1147</v>
      </c>
      <c r="AN276" s="13" t="s">
        <v>1702</v>
      </c>
      <c r="AO276" s="21">
        <v>46023</v>
      </c>
      <c r="AQ276" s="12">
        <v>1</v>
      </c>
      <c r="AR276" t="b">
        <v>0</v>
      </c>
      <c r="AS276" t="b">
        <v>0</v>
      </c>
      <c r="AT276" s="12" t="s">
        <v>1574</v>
      </c>
    </row>
    <row r="277" spans="1:46" x14ac:dyDescent="0.3">
      <c r="A277" s="57" t="str">
        <f t="shared" si="6"/>
        <v>MLB10005293106058TEASTCH46023</v>
      </c>
      <c r="B277" s="57">
        <f>COUNTIF(CONT_TEA[Unique Contract],CONT_TEA[[#This Row],[Unique Contract]])-1</f>
        <v>0</v>
      </c>
      <c r="C277" s="57">
        <f>IFERROR(IF(FIND(CONT_TEA[[#This Row],[SchoolCode]],_xlfn.XLOOKUP(CONT_TEA[[#This Row],[StaffMemberCode]],MEMBERS[StaffMemberCode],MEMBERS[SchoolCodes]))&gt;0,0,1),1)</f>
        <v>0</v>
      </c>
      <c r="D277" s="57" cm="1">
        <f t="array" ref="D277">IF(_xlfn.XLOOKUP(CONT_TEA[[#This Row],[StaffRoleCode]],ROLES[StaffRoleCode],ROLES[AvailableToAllSchools],1,0,)=TRUE,0,IF(ISERROR(FIND(CONT_TEA[[#This Row],[SchoolCode]],_xlfn.TEXTJOIN(",",TRUE,_xlfn.UNIQUE(IF(ROLES[StaffRoleCode]=CONT_TEA[[#This Row],[StaffRoleCode]],ROLES[SchoolCodes],""))))),1,0))</f>
        <v>0</v>
      </c>
      <c r="E277" s="57" cm="1">
        <f t="array" ref="E27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77" s="57" cm="1">
        <f t="array" ref="F277">IF(_xlfn.XLOOKUP(CONT_TEA[[#This Row],[PayScaleCode]],PAYSCALES[PayScaleCode],PAYSCALES[AvailableToAllSchools],1,0,)=TRUE,0,IF(ISERROR(FIND(CONT_TEA[[#This Row],[SchoolCode]],_xlfn.TEXTJOIN(",",TRUE,_xlfn.UNIQUE(IF(PAYSCALES[PayScaleCode]=CONT_TEA[[#This Row],[PayScaleCode]],PAYSCALES[SchoolCodes],""))))),1,0))</f>
        <v>0</v>
      </c>
      <c r="G277" s="57">
        <f>IF(_xlfn.XLOOKUP(CONT_TEA[[#This Row],[PayScaleGradeCode]],GRADES[PayScaleGradeCode],GRADES[AvailableToAllSchools])=TRUE,0,IFERROR(IF(FIND(CONT_TEA[[#This Row],[SchoolCode]],_xlfn.XLOOKUP(CONT_TEA[[#This Row],[PayScaleGradeCode]],GRADES[PayScaleGradeCode],GRADES[SchoolCodes]))&gt;=1,0,1),1))</f>
        <v>0</v>
      </c>
      <c r="H277" s="57">
        <f>IF(ISERROR(IF((_xlfn.XLOOKUP(CONT_TEA[[#This Row],[PayScaleGradeCode]],GRADES[PayScaleGradeCode],GRADES[PayScaleCode])=CONT_TEA[[#This Row],[PayScaleCode]]),0,1)),1,0)</f>
        <v>0</v>
      </c>
      <c r="I277" s="57" cm="1">
        <f t="array" ref="I277">IF(ISERROR(FIND(CONT_TEA[[#This Row],[PayScalePointCode]],_xlfn.TEXTJOIN(",",TRUE,IF(PSPOINTS[PayScaleCode]=CONT_TEA[[#This Row],[PayScaleCode]],PSPOINTS[PayScalePointCode])))),1,0)</f>
        <v>0</v>
      </c>
      <c r="J277" s="57" cm="1">
        <f t="array" ref="J27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77" s="57">
        <f>IF(_xlfn.XLOOKUP(CONT_TEA[[#This Row],[PayScalePointCode]],PSPOINTS[PayScalePointCode],PSPOINTS[PayScalePointEnabled])=TRUE,0,1)</f>
        <v>0</v>
      </c>
      <c r="L277" s="57" cm="1">
        <f t="array" ref="L277">IF(_xlfn.XLOOKUP(CONT_TEA[[#This Row],[DepartmentCode]],DEPTS[DepartmentCode],DEPTS[AvailableToAllSchools],1,0,)=TRUE,0,IF(ISERROR(FIND(CONT_TEA[[#This Row],[SchoolCode]],_xlfn.TEXTJOIN(",",TRUE,_xlfn.UNIQUE(IF(DEPTS[DepartmentCode]=CONT_TEA[[#This Row],[DepartmentCode]],DEPTS[SchoolCodes],""))))),1,0))</f>
        <v>0</v>
      </c>
      <c r="M277" s="57">
        <f>IFERROR(IF(_xlfn.XLOOKUP(CONT_TEA[[#This Row],[SRG Gross]],FinanceCodesBudget[FinanceCode],FinanceCodesBudget[LedgerCode])=_xlfn.XLOOKUP(CONT_TEA[[#This Row],[DepartmentCode]],DEPTS[DepartmentCode],DEPTS[LedgerCode]),0,1),1)</f>
        <v>1</v>
      </c>
      <c r="N277" s="57" cm="1">
        <f t="array" ref="N277">IF(_xlfn.XLOOKUP(CONT_TEA[[#This Row],[PensionCode]],PENS[PensionCode],PENS[AvailableToAllSchools],1,0,)=TRUE,0,IF(ISERROR(FIND(CONT_TEA[[#This Row],[SchoolCode]],_xlfn.TEXTJOIN(",",TRUE,_xlfn.UNIQUE(IF(PENS[PensionCode]=CONT_TEA[[#This Row],[PensionCode]],PENS[SchoolCodes],""))))),1,0))</f>
        <v>0</v>
      </c>
      <c r="O277" s="57" cm="1">
        <f t="array" ref="O277">IF(_xlfn.XLOOKUP(CONT_TEA[[#This Row],[EquatedWeekPatternCode]],EQW[EquatedWeekPatternCode],EQW[AvailableToAllSchools],1,0,)=TRUE,0,IF(ISERROR(FIND(CONT_TEA[[#This Row],[SchoolCode]],_xlfn.TEXTJOIN(",",TRUE,_xlfn.UNIQUE(IF(EQW[EquatedWeekPatternCode]=CONT_TEA[[#This Row],[EquatedWeekPatternCode]],EQW[SchoolCodes],""))))),1,0))</f>
        <v>0</v>
      </c>
      <c r="P277" s="57">
        <f>1-COUNTIF(ContractTypes[Code],CONT_TEA[[#This Row],[ContractTypeCode]])</f>
        <v>0</v>
      </c>
      <c r="Q277" s="57">
        <f>IF(VLOOKUP(CONT_TEA[[#This Row],[StaffMemberCode]],MEMBERS[[StaffMemberCode]:[ServiceStartDate]],5,0)&gt;CONT_TEA[[#This Row],[DateFrom]],1,0)</f>
        <v>0</v>
      </c>
      <c r="R277" s="57">
        <f>IF(_xlfn.XLOOKUP(CONT_TEA[[#This Row],[StaffMemberCode]],MEMBERS[StaffMemberCode],MEMBERS[ServiceEndDate])="",0,IF(CONT_TEA[[#This Row],[DateTo]]="",1,IF(_xlfn.XLOOKUP(CONT_TEA[[#This Row],[StaffMemberCode]],MEMBERS[StaffMemberCode],MEMBERS[ServiceEndDate])&lt;CONT_TEA[[#This Row],[DateTo]],1,0)))</f>
        <v>0</v>
      </c>
      <c r="S277" s="57">
        <f>IF(ISBLANK(CONT_TEA[[#This Row],[DateTo]]),0,IF(CONT_TEA[[#This Row],[DateFrom]]=CONT_TEA[[#This Row],[DateTo]],0,IF(CONT_TEA[[#This Row],[DateFrom]]&lt;CONT_TEA[[#This Row],[DateTo]],0,1)))</f>
        <v>0</v>
      </c>
      <c r="T277" s="57" cm="1">
        <f t="array" aca="1" ref="T277" ca="1">IF(CELL("format",CONT_TEA[[#This Row],[DateFrom]])="D1",0,1)+IF(CELL("format",CONT_TEA[[#This Row],[DateTo]])="D1",0,1)</f>
        <v>0</v>
      </c>
      <c r="U277" s="57">
        <f>IF(OR(CONT_TEA[[#This Row],[MatEditOnly]]=TRUE,CONT_TEA[[#This Row],[MatEditOnly]]=FALSE),IF(OR(CONT_TEA[[#This Row],[NoIncrement]]=TRUE,CONT_TEA[[#This Row],[NoIncrement]]=FALSE),0,1),1)</f>
        <v>0</v>
      </c>
      <c r="V277" s="57">
        <f>IF(ISBLANK(CONT_TEA[[#This Row],[FundCode]])=TRUE,0,IF(COUNTIF(FUNDS[FundCode],CONT_TEA[[#This Row],[FundCode]])=1,0,1))</f>
        <v>0</v>
      </c>
      <c r="W277" s="57">
        <f>IF(LEN(CONT_TEA[[#This Row],[Notes]])&lt;4000,0,1)</f>
        <v>0</v>
      </c>
      <c r="X277" s="57">
        <f>IF(SUBSTITUTE(TEXT(CONT_TEA[[#This Row],[Reference]],10)," ","")=TEXT(CONT_TEA[[#This Row],[Reference]],10),0,1)</f>
        <v>0</v>
      </c>
      <c r="Y277" s="57">
        <f ca="1">SUM(CONT_TEA[[#This Row],[Duplicate Contract]:[Space in Code]])</f>
        <v>1</v>
      </c>
      <c r="AA277" s="12" t="s">
        <v>2126</v>
      </c>
      <c r="AB277" s="15">
        <v>10005293</v>
      </c>
      <c r="AC277" s="12">
        <v>106058</v>
      </c>
      <c r="AD277" s="57" t="str">
        <f>_xlfn.XLOOKUP(CONT_TEA[[#This Row],[StaffMemberCode]],StaffMembers!O:O,StaffMembers!R:R)</f>
        <v>Emmie Gabbatiss</v>
      </c>
      <c r="AE277" s="12" t="s">
        <v>1178</v>
      </c>
      <c r="AF277" s="57">
        <f>_xlfn.XLOOKUP(CONT_TEA[[#This Row],[SRG]],SRG[StaffRoleGroupCode],SRG[GrossSalaryFinanceCode])</f>
        <v>612100</v>
      </c>
      <c r="AG277" s="57" t="str">
        <f>_xlfn.XLOOKUP(CONT_TEA[[#This Row],[StaffRoleCode]],ROLES[StaffRoleCode],ROLES[StaffRoleGroupCode])</f>
        <v>TEA</v>
      </c>
      <c r="AH277" s="57" t="str">
        <f>_xlfn.XLOOKUP(CONT_TEA[[#This Row],[StaffRoleCode]],ROLES[StaffRoleCode],ROLES[PayScaleCode])</f>
        <v>MAIN</v>
      </c>
      <c r="AI277" s="12" t="s">
        <v>1126</v>
      </c>
      <c r="AJ277" s="12" t="s">
        <v>1745</v>
      </c>
      <c r="AK277" s="12" t="s">
        <v>2499</v>
      </c>
      <c r="AM277" s="68" t="s">
        <v>1147</v>
      </c>
      <c r="AN277" s="13" t="s">
        <v>1702</v>
      </c>
      <c r="AO277" s="21">
        <v>46023</v>
      </c>
      <c r="AQ277" s="12">
        <v>0.86</v>
      </c>
      <c r="AR277" t="b">
        <v>0</v>
      </c>
      <c r="AS277" t="b">
        <v>0</v>
      </c>
      <c r="AT277" s="12" t="s">
        <v>1574</v>
      </c>
    </row>
    <row r="278" spans="1:46" x14ac:dyDescent="0.3">
      <c r="A278" s="57" t="str">
        <f t="shared" si="6"/>
        <v>MLB10005367106145TEASTCH46023</v>
      </c>
      <c r="B278" s="57">
        <f>COUNTIF(CONT_TEA[Unique Contract],CONT_TEA[[#This Row],[Unique Contract]])-1</f>
        <v>0</v>
      </c>
      <c r="C278" s="57">
        <f>IFERROR(IF(FIND(CONT_TEA[[#This Row],[SchoolCode]],_xlfn.XLOOKUP(CONT_TEA[[#This Row],[StaffMemberCode]],MEMBERS[StaffMemberCode],MEMBERS[SchoolCodes]))&gt;0,0,1),1)</f>
        <v>0</v>
      </c>
      <c r="D278" s="57" cm="1">
        <f t="array" ref="D278">IF(_xlfn.XLOOKUP(CONT_TEA[[#This Row],[StaffRoleCode]],ROLES[StaffRoleCode],ROLES[AvailableToAllSchools],1,0,)=TRUE,0,IF(ISERROR(FIND(CONT_TEA[[#This Row],[SchoolCode]],_xlfn.TEXTJOIN(",",TRUE,_xlfn.UNIQUE(IF(ROLES[StaffRoleCode]=CONT_TEA[[#This Row],[StaffRoleCode]],ROLES[SchoolCodes],""))))),1,0))</f>
        <v>0</v>
      </c>
      <c r="E278" s="57" cm="1">
        <f t="array" ref="E27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78" s="57" cm="1">
        <f t="array" ref="F278">IF(_xlfn.XLOOKUP(CONT_TEA[[#This Row],[PayScaleCode]],PAYSCALES[PayScaleCode],PAYSCALES[AvailableToAllSchools],1,0,)=TRUE,0,IF(ISERROR(FIND(CONT_TEA[[#This Row],[SchoolCode]],_xlfn.TEXTJOIN(",",TRUE,_xlfn.UNIQUE(IF(PAYSCALES[PayScaleCode]=CONT_TEA[[#This Row],[PayScaleCode]],PAYSCALES[SchoolCodes],""))))),1,0))</f>
        <v>0</v>
      </c>
      <c r="G278" s="57">
        <f>IF(_xlfn.XLOOKUP(CONT_TEA[[#This Row],[PayScaleGradeCode]],GRADES[PayScaleGradeCode],GRADES[AvailableToAllSchools])=TRUE,0,IFERROR(IF(FIND(CONT_TEA[[#This Row],[SchoolCode]],_xlfn.XLOOKUP(CONT_TEA[[#This Row],[PayScaleGradeCode]],GRADES[PayScaleGradeCode],GRADES[SchoolCodes]))&gt;=1,0,1),1))</f>
        <v>0</v>
      </c>
      <c r="H278" s="57">
        <f>IF(ISERROR(IF((_xlfn.XLOOKUP(CONT_TEA[[#This Row],[PayScaleGradeCode]],GRADES[PayScaleGradeCode],GRADES[PayScaleCode])=CONT_TEA[[#This Row],[PayScaleCode]]),0,1)),1,0)</f>
        <v>0</v>
      </c>
      <c r="I278" s="57" cm="1">
        <f t="array" ref="I278">IF(ISERROR(FIND(CONT_TEA[[#This Row],[PayScalePointCode]],_xlfn.TEXTJOIN(",",TRUE,IF(PSPOINTS[PayScaleCode]=CONT_TEA[[#This Row],[PayScaleCode]],PSPOINTS[PayScalePointCode])))),1,0)</f>
        <v>0</v>
      </c>
      <c r="J278" s="57" cm="1">
        <f t="array" ref="J27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78" s="57">
        <f>IF(_xlfn.XLOOKUP(CONT_TEA[[#This Row],[PayScalePointCode]],PSPOINTS[PayScalePointCode],PSPOINTS[PayScalePointEnabled])=TRUE,0,1)</f>
        <v>0</v>
      </c>
      <c r="L278" s="57" cm="1">
        <f t="array" ref="L278">IF(_xlfn.XLOOKUP(CONT_TEA[[#This Row],[DepartmentCode]],DEPTS[DepartmentCode],DEPTS[AvailableToAllSchools],1,0,)=TRUE,0,IF(ISERROR(FIND(CONT_TEA[[#This Row],[SchoolCode]],_xlfn.TEXTJOIN(",",TRUE,_xlfn.UNIQUE(IF(DEPTS[DepartmentCode]=CONT_TEA[[#This Row],[DepartmentCode]],DEPTS[SchoolCodes],""))))),1,0))</f>
        <v>0</v>
      </c>
      <c r="M278" s="57">
        <f>IFERROR(IF(_xlfn.XLOOKUP(CONT_TEA[[#This Row],[SRG Gross]],FinanceCodesBudget[FinanceCode],FinanceCodesBudget[LedgerCode])=_xlfn.XLOOKUP(CONT_TEA[[#This Row],[DepartmentCode]],DEPTS[DepartmentCode],DEPTS[LedgerCode]),0,1),1)</f>
        <v>1</v>
      </c>
      <c r="N278" s="57" cm="1">
        <f t="array" ref="N278">IF(_xlfn.XLOOKUP(CONT_TEA[[#This Row],[PensionCode]],PENS[PensionCode],PENS[AvailableToAllSchools],1,0,)=TRUE,0,IF(ISERROR(FIND(CONT_TEA[[#This Row],[SchoolCode]],_xlfn.TEXTJOIN(",",TRUE,_xlfn.UNIQUE(IF(PENS[PensionCode]=CONT_TEA[[#This Row],[PensionCode]],PENS[SchoolCodes],""))))),1,0))</f>
        <v>0</v>
      </c>
      <c r="O278" s="57" cm="1">
        <f t="array" ref="O278">IF(_xlfn.XLOOKUP(CONT_TEA[[#This Row],[EquatedWeekPatternCode]],EQW[EquatedWeekPatternCode],EQW[AvailableToAllSchools],1,0,)=TRUE,0,IF(ISERROR(FIND(CONT_TEA[[#This Row],[SchoolCode]],_xlfn.TEXTJOIN(",",TRUE,_xlfn.UNIQUE(IF(EQW[EquatedWeekPatternCode]=CONT_TEA[[#This Row],[EquatedWeekPatternCode]],EQW[SchoolCodes],""))))),1,0))</f>
        <v>0</v>
      </c>
      <c r="P278" s="57">
        <f>1-COUNTIF(ContractTypes[Code],CONT_TEA[[#This Row],[ContractTypeCode]])</f>
        <v>0</v>
      </c>
      <c r="Q278" s="57">
        <f>IF(VLOOKUP(CONT_TEA[[#This Row],[StaffMemberCode]],MEMBERS[[StaffMemberCode]:[ServiceStartDate]],5,0)&gt;CONT_TEA[[#This Row],[DateFrom]],1,0)</f>
        <v>0</v>
      </c>
      <c r="R278" s="57">
        <f>IF(_xlfn.XLOOKUP(CONT_TEA[[#This Row],[StaffMemberCode]],MEMBERS[StaffMemberCode],MEMBERS[ServiceEndDate])="",0,IF(CONT_TEA[[#This Row],[DateTo]]="",1,IF(_xlfn.XLOOKUP(CONT_TEA[[#This Row],[StaffMemberCode]],MEMBERS[StaffMemberCode],MEMBERS[ServiceEndDate])&lt;CONT_TEA[[#This Row],[DateTo]],1,0)))</f>
        <v>0</v>
      </c>
      <c r="S278" s="57">
        <f>IF(ISBLANK(CONT_TEA[[#This Row],[DateTo]]),0,IF(CONT_TEA[[#This Row],[DateFrom]]=CONT_TEA[[#This Row],[DateTo]],0,IF(CONT_TEA[[#This Row],[DateFrom]]&lt;CONT_TEA[[#This Row],[DateTo]],0,1)))</f>
        <v>0</v>
      </c>
      <c r="T278" s="57" cm="1">
        <f t="array" aca="1" ref="T278" ca="1">IF(CELL("format",CONT_TEA[[#This Row],[DateFrom]])="D1",0,1)+IF(CELL("format",CONT_TEA[[#This Row],[DateTo]])="D1",0,1)</f>
        <v>0</v>
      </c>
      <c r="U278" s="57">
        <f>IF(OR(CONT_TEA[[#This Row],[MatEditOnly]]=TRUE,CONT_TEA[[#This Row],[MatEditOnly]]=FALSE),IF(OR(CONT_TEA[[#This Row],[NoIncrement]]=TRUE,CONT_TEA[[#This Row],[NoIncrement]]=FALSE),0,1),1)</f>
        <v>0</v>
      </c>
      <c r="V278" s="57">
        <f>IF(ISBLANK(CONT_TEA[[#This Row],[FundCode]])=TRUE,0,IF(COUNTIF(FUNDS[FundCode],CONT_TEA[[#This Row],[FundCode]])=1,0,1))</f>
        <v>0</v>
      </c>
      <c r="W278" s="57">
        <f>IF(LEN(CONT_TEA[[#This Row],[Notes]])&lt;4000,0,1)</f>
        <v>0</v>
      </c>
      <c r="X278" s="57">
        <f>IF(SUBSTITUTE(TEXT(CONT_TEA[[#This Row],[Reference]],10)," ","")=TEXT(CONT_TEA[[#This Row],[Reference]],10),0,1)</f>
        <v>0</v>
      </c>
      <c r="Y278" s="57">
        <f ca="1">SUM(CONT_TEA[[#This Row],[Duplicate Contract]:[Space in Code]])</f>
        <v>1</v>
      </c>
      <c r="AA278" s="12" t="s">
        <v>2126</v>
      </c>
      <c r="AB278" s="15">
        <v>10005367</v>
      </c>
      <c r="AC278" s="12">
        <v>106145</v>
      </c>
      <c r="AD278" s="57" t="str">
        <f>_xlfn.XLOOKUP(CONT_TEA[[#This Row],[StaffMemberCode]],StaffMembers!O:O,StaffMembers!R:R)</f>
        <v>James Clarkson</v>
      </c>
      <c r="AE278" s="12" t="s">
        <v>1178</v>
      </c>
      <c r="AF278" s="57">
        <f>_xlfn.XLOOKUP(CONT_TEA[[#This Row],[SRG]],SRG[StaffRoleGroupCode],SRG[GrossSalaryFinanceCode])</f>
        <v>612100</v>
      </c>
      <c r="AG278" s="57" t="str">
        <f>_xlfn.XLOOKUP(CONT_TEA[[#This Row],[StaffRoleCode]],ROLES[StaffRoleCode],ROLES[StaffRoleGroupCode])</f>
        <v>TEA</v>
      </c>
      <c r="AH278" s="57" t="str">
        <f>_xlfn.XLOOKUP(CONT_TEA[[#This Row],[StaffRoleCode]],ROLES[StaffRoleCode],ROLES[PayScaleCode])</f>
        <v>MAIN</v>
      </c>
      <c r="AI278" s="12" t="s">
        <v>1126</v>
      </c>
      <c r="AJ278" s="12" t="s">
        <v>1745</v>
      </c>
      <c r="AK278" s="12" t="s">
        <v>2499</v>
      </c>
      <c r="AM278" s="68" t="s">
        <v>1147</v>
      </c>
      <c r="AN278" s="13" t="s">
        <v>1702</v>
      </c>
      <c r="AO278" s="21">
        <v>46023</v>
      </c>
      <c r="AQ278" s="12">
        <v>1</v>
      </c>
      <c r="AR278" t="b">
        <v>0</v>
      </c>
      <c r="AS278" t="b">
        <v>0</v>
      </c>
      <c r="AT278" s="12" t="s">
        <v>1574</v>
      </c>
    </row>
    <row r="279" spans="1:46" x14ac:dyDescent="0.3">
      <c r="A279" s="57" t="str">
        <f t="shared" si="6"/>
        <v>MLB10010502106053TEASTCH46023</v>
      </c>
      <c r="B279" s="57">
        <f>COUNTIF(CONT_TEA[Unique Contract],CONT_TEA[[#This Row],[Unique Contract]])-1</f>
        <v>0</v>
      </c>
      <c r="C279" s="57">
        <f>IFERROR(IF(FIND(CONT_TEA[[#This Row],[SchoolCode]],_xlfn.XLOOKUP(CONT_TEA[[#This Row],[StaffMemberCode]],MEMBERS[StaffMemberCode],MEMBERS[SchoolCodes]))&gt;0,0,1),1)</f>
        <v>0</v>
      </c>
      <c r="D279" s="57" cm="1">
        <f t="array" ref="D279">IF(_xlfn.XLOOKUP(CONT_TEA[[#This Row],[StaffRoleCode]],ROLES[StaffRoleCode],ROLES[AvailableToAllSchools],1,0,)=TRUE,0,IF(ISERROR(FIND(CONT_TEA[[#This Row],[SchoolCode]],_xlfn.TEXTJOIN(",",TRUE,_xlfn.UNIQUE(IF(ROLES[StaffRoleCode]=CONT_TEA[[#This Row],[StaffRoleCode]],ROLES[SchoolCodes],""))))),1,0))</f>
        <v>0</v>
      </c>
      <c r="E279" s="57" cm="1">
        <f t="array" ref="E27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79" s="57" cm="1">
        <f t="array" ref="F279">IF(_xlfn.XLOOKUP(CONT_TEA[[#This Row],[PayScaleCode]],PAYSCALES[PayScaleCode],PAYSCALES[AvailableToAllSchools],1,0,)=TRUE,0,IF(ISERROR(FIND(CONT_TEA[[#This Row],[SchoolCode]],_xlfn.TEXTJOIN(",",TRUE,_xlfn.UNIQUE(IF(PAYSCALES[PayScaleCode]=CONT_TEA[[#This Row],[PayScaleCode]],PAYSCALES[SchoolCodes],""))))),1,0))</f>
        <v>0</v>
      </c>
      <c r="G279" s="57">
        <f>IF(_xlfn.XLOOKUP(CONT_TEA[[#This Row],[PayScaleGradeCode]],GRADES[PayScaleGradeCode],GRADES[AvailableToAllSchools])=TRUE,0,IFERROR(IF(FIND(CONT_TEA[[#This Row],[SchoolCode]],_xlfn.XLOOKUP(CONT_TEA[[#This Row],[PayScaleGradeCode]],GRADES[PayScaleGradeCode],GRADES[SchoolCodes]))&gt;=1,0,1),1))</f>
        <v>0</v>
      </c>
      <c r="H279" s="57">
        <f>IF(ISERROR(IF((_xlfn.XLOOKUP(CONT_TEA[[#This Row],[PayScaleGradeCode]],GRADES[PayScaleGradeCode],GRADES[PayScaleCode])=CONT_TEA[[#This Row],[PayScaleCode]]),0,1)),1,0)</f>
        <v>0</v>
      </c>
      <c r="I279" s="57" cm="1">
        <f t="array" ref="I279">IF(ISERROR(FIND(CONT_TEA[[#This Row],[PayScalePointCode]],_xlfn.TEXTJOIN(",",TRUE,IF(PSPOINTS[PayScaleCode]=CONT_TEA[[#This Row],[PayScaleCode]],PSPOINTS[PayScalePointCode])))),1,0)</f>
        <v>0</v>
      </c>
      <c r="J279" s="57" cm="1">
        <f t="array" ref="J27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79" s="57">
        <f>IF(_xlfn.XLOOKUP(CONT_TEA[[#This Row],[PayScalePointCode]],PSPOINTS[PayScalePointCode],PSPOINTS[PayScalePointEnabled])=TRUE,0,1)</f>
        <v>0</v>
      </c>
      <c r="L279" s="57" cm="1">
        <f t="array" ref="L279">IF(_xlfn.XLOOKUP(CONT_TEA[[#This Row],[DepartmentCode]],DEPTS[DepartmentCode],DEPTS[AvailableToAllSchools],1,0,)=TRUE,0,IF(ISERROR(FIND(CONT_TEA[[#This Row],[SchoolCode]],_xlfn.TEXTJOIN(",",TRUE,_xlfn.UNIQUE(IF(DEPTS[DepartmentCode]=CONT_TEA[[#This Row],[DepartmentCode]],DEPTS[SchoolCodes],""))))),1,0))</f>
        <v>0</v>
      </c>
      <c r="M279" s="57">
        <f>IFERROR(IF(_xlfn.XLOOKUP(CONT_TEA[[#This Row],[SRG Gross]],FinanceCodesBudget[FinanceCode],FinanceCodesBudget[LedgerCode])=_xlfn.XLOOKUP(CONT_TEA[[#This Row],[DepartmentCode]],DEPTS[DepartmentCode],DEPTS[LedgerCode]),0,1),1)</f>
        <v>1</v>
      </c>
      <c r="N279" s="57" cm="1">
        <f t="array" ref="N279">IF(_xlfn.XLOOKUP(CONT_TEA[[#This Row],[PensionCode]],PENS[PensionCode],PENS[AvailableToAllSchools],1,0,)=TRUE,0,IF(ISERROR(FIND(CONT_TEA[[#This Row],[SchoolCode]],_xlfn.TEXTJOIN(",",TRUE,_xlfn.UNIQUE(IF(PENS[PensionCode]=CONT_TEA[[#This Row],[PensionCode]],PENS[SchoolCodes],""))))),1,0))</f>
        <v>0</v>
      </c>
      <c r="O279" s="57" cm="1">
        <f t="array" ref="O279">IF(_xlfn.XLOOKUP(CONT_TEA[[#This Row],[EquatedWeekPatternCode]],EQW[EquatedWeekPatternCode],EQW[AvailableToAllSchools],1,0,)=TRUE,0,IF(ISERROR(FIND(CONT_TEA[[#This Row],[SchoolCode]],_xlfn.TEXTJOIN(",",TRUE,_xlfn.UNIQUE(IF(EQW[EquatedWeekPatternCode]=CONT_TEA[[#This Row],[EquatedWeekPatternCode]],EQW[SchoolCodes],""))))),1,0))</f>
        <v>0</v>
      </c>
      <c r="P279" s="57">
        <f>1-COUNTIF(ContractTypes[Code],CONT_TEA[[#This Row],[ContractTypeCode]])</f>
        <v>0</v>
      </c>
      <c r="Q279" s="57">
        <f>IF(VLOOKUP(CONT_TEA[[#This Row],[StaffMemberCode]],MEMBERS[[StaffMemberCode]:[ServiceStartDate]],5,0)&gt;CONT_TEA[[#This Row],[DateFrom]],1,0)</f>
        <v>0</v>
      </c>
      <c r="R279" s="57">
        <f>IF(_xlfn.XLOOKUP(CONT_TEA[[#This Row],[StaffMemberCode]],MEMBERS[StaffMemberCode],MEMBERS[ServiceEndDate])="",0,IF(CONT_TEA[[#This Row],[DateTo]]="",1,IF(_xlfn.XLOOKUP(CONT_TEA[[#This Row],[StaffMemberCode]],MEMBERS[StaffMemberCode],MEMBERS[ServiceEndDate])&lt;CONT_TEA[[#This Row],[DateTo]],1,0)))</f>
        <v>0</v>
      </c>
      <c r="S279" s="57">
        <f>IF(ISBLANK(CONT_TEA[[#This Row],[DateTo]]),0,IF(CONT_TEA[[#This Row],[DateFrom]]=CONT_TEA[[#This Row],[DateTo]],0,IF(CONT_TEA[[#This Row],[DateFrom]]&lt;CONT_TEA[[#This Row],[DateTo]],0,1)))</f>
        <v>0</v>
      </c>
      <c r="T279" s="57" cm="1">
        <f t="array" aca="1" ref="T279" ca="1">IF(CELL("format",CONT_TEA[[#This Row],[DateFrom]])="D1",0,1)+IF(CELL("format",CONT_TEA[[#This Row],[DateTo]])="D1",0,1)</f>
        <v>0</v>
      </c>
      <c r="U279" s="57">
        <f>IF(OR(CONT_TEA[[#This Row],[MatEditOnly]]=TRUE,CONT_TEA[[#This Row],[MatEditOnly]]=FALSE),IF(OR(CONT_TEA[[#This Row],[NoIncrement]]=TRUE,CONT_TEA[[#This Row],[NoIncrement]]=FALSE),0,1),1)</f>
        <v>0</v>
      </c>
      <c r="V279" s="57">
        <f>IF(ISBLANK(CONT_TEA[[#This Row],[FundCode]])=TRUE,0,IF(COUNTIF(FUNDS[FundCode],CONT_TEA[[#This Row],[FundCode]])=1,0,1))</f>
        <v>0</v>
      </c>
      <c r="W279" s="57">
        <f>IF(LEN(CONT_TEA[[#This Row],[Notes]])&lt;4000,0,1)</f>
        <v>0</v>
      </c>
      <c r="X279" s="57">
        <f>IF(SUBSTITUTE(TEXT(CONT_TEA[[#This Row],[Reference]],10)," ","")=TEXT(CONT_TEA[[#This Row],[Reference]],10),0,1)</f>
        <v>0</v>
      </c>
      <c r="Y279" s="57">
        <f ca="1">SUM(CONT_TEA[[#This Row],[Duplicate Contract]:[Space in Code]])</f>
        <v>1</v>
      </c>
      <c r="AA279" s="12" t="s">
        <v>2126</v>
      </c>
      <c r="AB279" s="15">
        <v>10010502</v>
      </c>
      <c r="AC279" s="12">
        <v>106053</v>
      </c>
      <c r="AD279" s="57" t="str">
        <f>_xlfn.XLOOKUP(CONT_TEA[[#This Row],[StaffMemberCode]],StaffMembers!O:O,StaffMembers!R:R)</f>
        <v>James Condliffe</v>
      </c>
      <c r="AE279" s="12" t="s">
        <v>1178</v>
      </c>
      <c r="AF279" s="57">
        <f>_xlfn.XLOOKUP(CONT_TEA[[#This Row],[SRG]],SRG[StaffRoleGroupCode],SRG[GrossSalaryFinanceCode])</f>
        <v>612100</v>
      </c>
      <c r="AG279" s="57" t="str">
        <f>_xlfn.XLOOKUP(CONT_TEA[[#This Row],[StaffRoleCode]],ROLES[StaffRoleCode],ROLES[StaffRoleGroupCode])</f>
        <v>TEA</v>
      </c>
      <c r="AH279" s="57" t="str">
        <f>_xlfn.XLOOKUP(CONT_TEA[[#This Row],[StaffRoleCode]],ROLES[StaffRoleCode],ROLES[PayScaleCode])</f>
        <v>MAIN</v>
      </c>
      <c r="AI279" s="12" t="s">
        <v>1126</v>
      </c>
      <c r="AJ279" s="12" t="s">
        <v>1745</v>
      </c>
      <c r="AK279" s="12" t="s">
        <v>2499</v>
      </c>
      <c r="AM279" s="68" t="s">
        <v>1147</v>
      </c>
      <c r="AN279" s="13" t="s">
        <v>1702</v>
      </c>
      <c r="AO279" s="21">
        <v>46023</v>
      </c>
      <c r="AQ279" s="12">
        <v>1</v>
      </c>
      <c r="AR279" t="b">
        <v>0</v>
      </c>
      <c r="AS279" t="b">
        <v>0</v>
      </c>
      <c r="AT279" s="12" t="s">
        <v>1574</v>
      </c>
    </row>
    <row r="280" spans="1:46" x14ac:dyDescent="0.3">
      <c r="A280" s="57" t="str">
        <f t="shared" si="6"/>
        <v>MLB10005326106097TEASTCH46023</v>
      </c>
      <c r="B280" s="57">
        <f>COUNTIF(CONT_TEA[Unique Contract],CONT_TEA[[#This Row],[Unique Contract]])-1</f>
        <v>0</v>
      </c>
      <c r="C280" s="57">
        <f>IFERROR(IF(FIND(CONT_TEA[[#This Row],[SchoolCode]],_xlfn.XLOOKUP(CONT_TEA[[#This Row],[StaffMemberCode]],MEMBERS[StaffMemberCode],MEMBERS[SchoolCodes]))&gt;0,0,1),1)</f>
        <v>0</v>
      </c>
      <c r="D280" s="57" cm="1">
        <f t="array" ref="D280">IF(_xlfn.XLOOKUP(CONT_TEA[[#This Row],[StaffRoleCode]],ROLES[StaffRoleCode],ROLES[AvailableToAllSchools],1,0,)=TRUE,0,IF(ISERROR(FIND(CONT_TEA[[#This Row],[SchoolCode]],_xlfn.TEXTJOIN(",",TRUE,_xlfn.UNIQUE(IF(ROLES[StaffRoleCode]=CONT_TEA[[#This Row],[StaffRoleCode]],ROLES[SchoolCodes],""))))),1,0))</f>
        <v>0</v>
      </c>
      <c r="E280" s="57" cm="1">
        <f t="array" ref="E28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80" s="57" cm="1">
        <f t="array" ref="F280">IF(_xlfn.XLOOKUP(CONT_TEA[[#This Row],[PayScaleCode]],PAYSCALES[PayScaleCode],PAYSCALES[AvailableToAllSchools],1,0,)=TRUE,0,IF(ISERROR(FIND(CONT_TEA[[#This Row],[SchoolCode]],_xlfn.TEXTJOIN(",",TRUE,_xlfn.UNIQUE(IF(PAYSCALES[PayScaleCode]=CONT_TEA[[#This Row],[PayScaleCode]],PAYSCALES[SchoolCodes],""))))),1,0))</f>
        <v>0</v>
      </c>
      <c r="G280" s="57">
        <f>IF(_xlfn.XLOOKUP(CONT_TEA[[#This Row],[PayScaleGradeCode]],GRADES[PayScaleGradeCode],GRADES[AvailableToAllSchools])=TRUE,0,IFERROR(IF(FIND(CONT_TEA[[#This Row],[SchoolCode]],_xlfn.XLOOKUP(CONT_TEA[[#This Row],[PayScaleGradeCode]],GRADES[PayScaleGradeCode],GRADES[SchoolCodes]))&gt;=1,0,1),1))</f>
        <v>0</v>
      </c>
      <c r="H280" s="57">
        <f>IF(ISERROR(IF((_xlfn.XLOOKUP(CONT_TEA[[#This Row],[PayScaleGradeCode]],GRADES[PayScaleGradeCode],GRADES[PayScaleCode])=CONT_TEA[[#This Row],[PayScaleCode]]),0,1)),1,0)</f>
        <v>0</v>
      </c>
      <c r="I280" s="57" cm="1">
        <f t="array" ref="I280">IF(ISERROR(FIND(CONT_TEA[[#This Row],[PayScalePointCode]],_xlfn.TEXTJOIN(",",TRUE,IF(PSPOINTS[PayScaleCode]=CONT_TEA[[#This Row],[PayScaleCode]],PSPOINTS[PayScalePointCode])))),1,0)</f>
        <v>0</v>
      </c>
      <c r="J280" s="57" cm="1">
        <f t="array" ref="J28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80" s="57">
        <f>IF(_xlfn.XLOOKUP(CONT_TEA[[#This Row],[PayScalePointCode]],PSPOINTS[PayScalePointCode],PSPOINTS[PayScalePointEnabled])=TRUE,0,1)</f>
        <v>0</v>
      </c>
      <c r="L280" s="57" cm="1">
        <f t="array" ref="L280">IF(_xlfn.XLOOKUP(CONT_TEA[[#This Row],[DepartmentCode]],DEPTS[DepartmentCode],DEPTS[AvailableToAllSchools],1,0,)=TRUE,0,IF(ISERROR(FIND(CONT_TEA[[#This Row],[SchoolCode]],_xlfn.TEXTJOIN(",",TRUE,_xlfn.UNIQUE(IF(DEPTS[DepartmentCode]=CONT_TEA[[#This Row],[DepartmentCode]],DEPTS[SchoolCodes],""))))),1,0))</f>
        <v>0</v>
      </c>
      <c r="M280" s="57">
        <f>IFERROR(IF(_xlfn.XLOOKUP(CONT_TEA[[#This Row],[SRG Gross]],FinanceCodesBudget[FinanceCode],FinanceCodesBudget[LedgerCode])=_xlfn.XLOOKUP(CONT_TEA[[#This Row],[DepartmentCode]],DEPTS[DepartmentCode],DEPTS[LedgerCode]),0,1),1)</f>
        <v>1</v>
      </c>
      <c r="N280" s="57" cm="1">
        <f t="array" ref="N280">IF(_xlfn.XLOOKUP(CONT_TEA[[#This Row],[PensionCode]],PENS[PensionCode],PENS[AvailableToAllSchools],1,0,)=TRUE,0,IF(ISERROR(FIND(CONT_TEA[[#This Row],[SchoolCode]],_xlfn.TEXTJOIN(",",TRUE,_xlfn.UNIQUE(IF(PENS[PensionCode]=CONT_TEA[[#This Row],[PensionCode]],PENS[SchoolCodes],""))))),1,0))</f>
        <v>0</v>
      </c>
      <c r="O280" s="57" cm="1">
        <f t="array" ref="O280">IF(_xlfn.XLOOKUP(CONT_TEA[[#This Row],[EquatedWeekPatternCode]],EQW[EquatedWeekPatternCode],EQW[AvailableToAllSchools],1,0,)=TRUE,0,IF(ISERROR(FIND(CONT_TEA[[#This Row],[SchoolCode]],_xlfn.TEXTJOIN(",",TRUE,_xlfn.UNIQUE(IF(EQW[EquatedWeekPatternCode]=CONT_TEA[[#This Row],[EquatedWeekPatternCode]],EQW[SchoolCodes],""))))),1,0))</f>
        <v>0</v>
      </c>
      <c r="P280" s="57">
        <f>1-COUNTIF(ContractTypes[Code],CONT_TEA[[#This Row],[ContractTypeCode]])</f>
        <v>0</v>
      </c>
      <c r="Q280" s="57">
        <f>IF(VLOOKUP(CONT_TEA[[#This Row],[StaffMemberCode]],MEMBERS[[StaffMemberCode]:[ServiceStartDate]],5,0)&gt;CONT_TEA[[#This Row],[DateFrom]],1,0)</f>
        <v>0</v>
      </c>
      <c r="R280" s="57">
        <f>IF(_xlfn.XLOOKUP(CONT_TEA[[#This Row],[StaffMemberCode]],MEMBERS[StaffMemberCode],MEMBERS[ServiceEndDate])="",0,IF(CONT_TEA[[#This Row],[DateTo]]="",1,IF(_xlfn.XLOOKUP(CONT_TEA[[#This Row],[StaffMemberCode]],MEMBERS[StaffMemberCode],MEMBERS[ServiceEndDate])&lt;CONT_TEA[[#This Row],[DateTo]],1,0)))</f>
        <v>0</v>
      </c>
      <c r="S280" s="57">
        <f>IF(ISBLANK(CONT_TEA[[#This Row],[DateTo]]),0,IF(CONT_TEA[[#This Row],[DateFrom]]=CONT_TEA[[#This Row],[DateTo]],0,IF(CONT_TEA[[#This Row],[DateFrom]]&lt;CONT_TEA[[#This Row],[DateTo]],0,1)))</f>
        <v>0</v>
      </c>
      <c r="T280" s="57" cm="1">
        <f t="array" aca="1" ref="T280" ca="1">IF(CELL("format",CONT_TEA[[#This Row],[DateFrom]])="D1",0,1)+IF(CELL("format",CONT_TEA[[#This Row],[DateTo]])="D1",0,1)</f>
        <v>0</v>
      </c>
      <c r="U280" s="57">
        <f>IF(OR(CONT_TEA[[#This Row],[MatEditOnly]]=TRUE,CONT_TEA[[#This Row],[MatEditOnly]]=FALSE),IF(OR(CONT_TEA[[#This Row],[NoIncrement]]=TRUE,CONT_TEA[[#This Row],[NoIncrement]]=FALSE),0,1),1)</f>
        <v>0</v>
      </c>
      <c r="V280" s="57">
        <f>IF(ISBLANK(CONT_TEA[[#This Row],[FundCode]])=TRUE,0,IF(COUNTIF(FUNDS[FundCode],CONT_TEA[[#This Row],[FundCode]])=1,0,1))</f>
        <v>0</v>
      </c>
      <c r="W280" s="57">
        <f>IF(LEN(CONT_TEA[[#This Row],[Notes]])&lt;4000,0,1)</f>
        <v>0</v>
      </c>
      <c r="X280" s="57">
        <f>IF(SUBSTITUTE(TEXT(CONT_TEA[[#This Row],[Reference]],10)," ","")=TEXT(CONT_TEA[[#This Row],[Reference]],10),0,1)</f>
        <v>0</v>
      </c>
      <c r="Y280" s="57">
        <f ca="1">SUM(CONT_TEA[[#This Row],[Duplicate Contract]:[Space in Code]])</f>
        <v>1</v>
      </c>
      <c r="AA280" s="12" t="s">
        <v>2126</v>
      </c>
      <c r="AB280" s="15">
        <v>10005326</v>
      </c>
      <c r="AC280" s="12">
        <v>106097</v>
      </c>
      <c r="AD280" s="57" t="str">
        <f>_xlfn.XLOOKUP(CONT_TEA[[#This Row],[StaffMemberCode]],StaffMembers!O:O,StaffMembers!R:R)</f>
        <v>Katherine Hoey</v>
      </c>
      <c r="AE280" s="12" t="s">
        <v>1178</v>
      </c>
      <c r="AF280" s="57">
        <f>_xlfn.XLOOKUP(CONT_TEA[[#This Row],[SRG]],SRG[StaffRoleGroupCode],SRG[GrossSalaryFinanceCode])</f>
        <v>612100</v>
      </c>
      <c r="AG280" s="57" t="str">
        <f>_xlfn.XLOOKUP(CONT_TEA[[#This Row],[StaffRoleCode]],ROLES[StaffRoleCode],ROLES[StaffRoleGroupCode])</f>
        <v>TEA</v>
      </c>
      <c r="AH280" s="57" t="str">
        <f>_xlfn.XLOOKUP(CONT_TEA[[#This Row],[StaffRoleCode]],ROLES[StaffRoleCode],ROLES[PayScaleCode])</f>
        <v>MAIN</v>
      </c>
      <c r="AI280" s="12" t="s">
        <v>1126</v>
      </c>
      <c r="AJ280" s="12" t="s">
        <v>1745</v>
      </c>
      <c r="AK280" s="12" t="s">
        <v>2499</v>
      </c>
      <c r="AM280" s="68" t="s">
        <v>1147</v>
      </c>
      <c r="AN280" s="13" t="s">
        <v>1702</v>
      </c>
      <c r="AO280" s="21">
        <v>46023</v>
      </c>
      <c r="AQ280" s="12">
        <v>1</v>
      </c>
      <c r="AR280" t="b">
        <v>0</v>
      </c>
      <c r="AS280" t="b">
        <v>0</v>
      </c>
      <c r="AT280" s="12" t="s">
        <v>1574</v>
      </c>
    </row>
    <row r="281" spans="1:46" x14ac:dyDescent="0.3">
      <c r="A281" s="57" t="str">
        <f t="shared" si="6"/>
        <v>MLB10005312106080TEASTCH46023</v>
      </c>
      <c r="B281" s="57">
        <f>COUNTIF(CONT_TEA[Unique Contract],CONT_TEA[[#This Row],[Unique Contract]])-1</f>
        <v>0</v>
      </c>
      <c r="C281" s="57">
        <f>IFERROR(IF(FIND(CONT_TEA[[#This Row],[SchoolCode]],_xlfn.XLOOKUP(CONT_TEA[[#This Row],[StaffMemberCode]],MEMBERS[StaffMemberCode],MEMBERS[SchoolCodes]))&gt;0,0,1),1)</f>
        <v>0</v>
      </c>
      <c r="D281" s="57" cm="1">
        <f t="array" ref="D281">IF(_xlfn.XLOOKUP(CONT_TEA[[#This Row],[StaffRoleCode]],ROLES[StaffRoleCode],ROLES[AvailableToAllSchools],1,0,)=TRUE,0,IF(ISERROR(FIND(CONT_TEA[[#This Row],[SchoolCode]],_xlfn.TEXTJOIN(",",TRUE,_xlfn.UNIQUE(IF(ROLES[StaffRoleCode]=CONT_TEA[[#This Row],[StaffRoleCode]],ROLES[SchoolCodes],""))))),1,0))</f>
        <v>0</v>
      </c>
      <c r="E281" s="57" cm="1">
        <f t="array" ref="E28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81" s="57" cm="1">
        <f t="array" ref="F281">IF(_xlfn.XLOOKUP(CONT_TEA[[#This Row],[PayScaleCode]],PAYSCALES[PayScaleCode],PAYSCALES[AvailableToAllSchools],1,0,)=TRUE,0,IF(ISERROR(FIND(CONT_TEA[[#This Row],[SchoolCode]],_xlfn.TEXTJOIN(",",TRUE,_xlfn.UNIQUE(IF(PAYSCALES[PayScaleCode]=CONT_TEA[[#This Row],[PayScaleCode]],PAYSCALES[SchoolCodes],""))))),1,0))</f>
        <v>0</v>
      </c>
      <c r="G281" s="57">
        <f>IF(_xlfn.XLOOKUP(CONT_TEA[[#This Row],[PayScaleGradeCode]],GRADES[PayScaleGradeCode],GRADES[AvailableToAllSchools])=TRUE,0,IFERROR(IF(FIND(CONT_TEA[[#This Row],[SchoolCode]],_xlfn.XLOOKUP(CONT_TEA[[#This Row],[PayScaleGradeCode]],GRADES[PayScaleGradeCode],GRADES[SchoolCodes]))&gt;=1,0,1),1))</f>
        <v>0</v>
      </c>
      <c r="H281" s="57">
        <f>IF(ISERROR(IF((_xlfn.XLOOKUP(CONT_TEA[[#This Row],[PayScaleGradeCode]],GRADES[PayScaleGradeCode],GRADES[PayScaleCode])=CONT_TEA[[#This Row],[PayScaleCode]]),0,1)),1,0)</f>
        <v>0</v>
      </c>
      <c r="I281" s="57" cm="1">
        <f t="array" ref="I281">IF(ISERROR(FIND(CONT_TEA[[#This Row],[PayScalePointCode]],_xlfn.TEXTJOIN(",",TRUE,IF(PSPOINTS[PayScaleCode]=CONT_TEA[[#This Row],[PayScaleCode]],PSPOINTS[PayScalePointCode])))),1,0)</f>
        <v>0</v>
      </c>
      <c r="J281" s="57" cm="1">
        <f t="array" ref="J28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81" s="57">
        <f>IF(_xlfn.XLOOKUP(CONT_TEA[[#This Row],[PayScalePointCode]],PSPOINTS[PayScalePointCode],PSPOINTS[PayScalePointEnabled])=TRUE,0,1)</f>
        <v>0</v>
      </c>
      <c r="L281" s="57" cm="1">
        <f t="array" ref="L281">IF(_xlfn.XLOOKUP(CONT_TEA[[#This Row],[DepartmentCode]],DEPTS[DepartmentCode],DEPTS[AvailableToAllSchools],1,0,)=TRUE,0,IF(ISERROR(FIND(CONT_TEA[[#This Row],[SchoolCode]],_xlfn.TEXTJOIN(",",TRUE,_xlfn.UNIQUE(IF(DEPTS[DepartmentCode]=CONT_TEA[[#This Row],[DepartmentCode]],DEPTS[SchoolCodes],""))))),1,0))</f>
        <v>0</v>
      </c>
      <c r="M281" s="57">
        <f>IFERROR(IF(_xlfn.XLOOKUP(CONT_TEA[[#This Row],[SRG Gross]],FinanceCodesBudget[FinanceCode],FinanceCodesBudget[LedgerCode])=_xlfn.XLOOKUP(CONT_TEA[[#This Row],[DepartmentCode]],DEPTS[DepartmentCode],DEPTS[LedgerCode]),0,1),1)</f>
        <v>1</v>
      </c>
      <c r="N281" s="57" cm="1">
        <f t="array" ref="N281">IF(_xlfn.XLOOKUP(CONT_TEA[[#This Row],[PensionCode]],PENS[PensionCode],PENS[AvailableToAllSchools],1,0,)=TRUE,0,IF(ISERROR(FIND(CONT_TEA[[#This Row],[SchoolCode]],_xlfn.TEXTJOIN(",",TRUE,_xlfn.UNIQUE(IF(PENS[PensionCode]=CONT_TEA[[#This Row],[PensionCode]],PENS[SchoolCodes],""))))),1,0))</f>
        <v>0</v>
      </c>
      <c r="O281" s="57" cm="1">
        <f t="array" ref="O281">IF(_xlfn.XLOOKUP(CONT_TEA[[#This Row],[EquatedWeekPatternCode]],EQW[EquatedWeekPatternCode],EQW[AvailableToAllSchools],1,0,)=TRUE,0,IF(ISERROR(FIND(CONT_TEA[[#This Row],[SchoolCode]],_xlfn.TEXTJOIN(",",TRUE,_xlfn.UNIQUE(IF(EQW[EquatedWeekPatternCode]=CONT_TEA[[#This Row],[EquatedWeekPatternCode]],EQW[SchoolCodes],""))))),1,0))</f>
        <v>0</v>
      </c>
      <c r="P281" s="57">
        <f>1-COUNTIF(ContractTypes[Code],CONT_TEA[[#This Row],[ContractTypeCode]])</f>
        <v>0</v>
      </c>
      <c r="Q281" s="57">
        <f>IF(VLOOKUP(CONT_TEA[[#This Row],[StaffMemberCode]],MEMBERS[[StaffMemberCode]:[ServiceStartDate]],5,0)&gt;CONT_TEA[[#This Row],[DateFrom]],1,0)</f>
        <v>0</v>
      </c>
      <c r="R281" s="57">
        <f>IF(_xlfn.XLOOKUP(CONT_TEA[[#This Row],[StaffMemberCode]],MEMBERS[StaffMemberCode],MEMBERS[ServiceEndDate])="",0,IF(CONT_TEA[[#This Row],[DateTo]]="",1,IF(_xlfn.XLOOKUP(CONT_TEA[[#This Row],[StaffMemberCode]],MEMBERS[StaffMemberCode],MEMBERS[ServiceEndDate])&lt;CONT_TEA[[#This Row],[DateTo]],1,0)))</f>
        <v>0</v>
      </c>
      <c r="S281" s="57">
        <f>IF(ISBLANK(CONT_TEA[[#This Row],[DateTo]]),0,IF(CONT_TEA[[#This Row],[DateFrom]]=CONT_TEA[[#This Row],[DateTo]],0,IF(CONT_TEA[[#This Row],[DateFrom]]&lt;CONT_TEA[[#This Row],[DateTo]],0,1)))</f>
        <v>0</v>
      </c>
      <c r="T281" s="57" cm="1">
        <f t="array" aca="1" ref="T281" ca="1">IF(CELL("format",CONT_TEA[[#This Row],[DateFrom]])="D1",0,1)+IF(CELL("format",CONT_TEA[[#This Row],[DateTo]])="D1",0,1)</f>
        <v>0</v>
      </c>
      <c r="U281" s="57">
        <f>IF(OR(CONT_TEA[[#This Row],[MatEditOnly]]=TRUE,CONT_TEA[[#This Row],[MatEditOnly]]=FALSE),IF(OR(CONT_TEA[[#This Row],[NoIncrement]]=TRUE,CONT_TEA[[#This Row],[NoIncrement]]=FALSE),0,1),1)</f>
        <v>0</v>
      </c>
      <c r="V281" s="57">
        <f>IF(ISBLANK(CONT_TEA[[#This Row],[FundCode]])=TRUE,0,IF(COUNTIF(FUNDS[FundCode],CONT_TEA[[#This Row],[FundCode]])=1,0,1))</f>
        <v>0</v>
      </c>
      <c r="W281" s="57">
        <f>IF(LEN(CONT_TEA[[#This Row],[Notes]])&lt;4000,0,1)</f>
        <v>0</v>
      </c>
      <c r="X281" s="57">
        <f>IF(SUBSTITUTE(TEXT(CONT_TEA[[#This Row],[Reference]],10)," ","")=TEXT(CONT_TEA[[#This Row],[Reference]],10),0,1)</f>
        <v>0</v>
      </c>
      <c r="Y281" s="57">
        <f ca="1">SUM(CONT_TEA[[#This Row],[Duplicate Contract]:[Space in Code]])</f>
        <v>1</v>
      </c>
      <c r="AA281" s="12" t="s">
        <v>2126</v>
      </c>
      <c r="AB281" s="15">
        <v>10005312</v>
      </c>
      <c r="AC281" s="12">
        <v>106080</v>
      </c>
      <c r="AD281" s="57" t="str">
        <f>_xlfn.XLOOKUP(CONT_TEA[[#This Row],[StaffMemberCode]],StaffMembers!O:O,StaffMembers!R:R)</f>
        <v>Kathryn Batty</v>
      </c>
      <c r="AE281" s="12" t="s">
        <v>1178</v>
      </c>
      <c r="AF281" s="57">
        <f>_xlfn.XLOOKUP(CONT_TEA[[#This Row],[SRG]],SRG[StaffRoleGroupCode],SRG[GrossSalaryFinanceCode])</f>
        <v>612100</v>
      </c>
      <c r="AG281" s="57" t="str">
        <f>_xlfn.XLOOKUP(CONT_TEA[[#This Row],[StaffRoleCode]],ROLES[StaffRoleCode],ROLES[StaffRoleGroupCode])</f>
        <v>TEA</v>
      </c>
      <c r="AH281" s="57" t="str">
        <f>_xlfn.XLOOKUP(CONT_TEA[[#This Row],[StaffRoleCode]],ROLES[StaffRoleCode],ROLES[PayScaleCode])</f>
        <v>MAIN</v>
      </c>
      <c r="AI281" s="12" t="s">
        <v>1126</v>
      </c>
      <c r="AJ281" s="12" t="s">
        <v>1745</v>
      </c>
      <c r="AK281" s="12" t="s">
        <v>2499</v>
      </c>
      <c r="AM281" s="68" t="s">
        <v>1147</v>
      </c>
      <c r="AN281" s="13" t="s">
        <v>1702</v>
      </c>
      <c r="AO281" s="21">
        <v>46023</v>
      </c>
      <c r="AQ281" s="12">
        <v>1</v>
      </c>
      <c r="AR281" t="b">
        <v>0</v>
      </c>
      <c r="AS281" t="b">
        <v>0</v>
      </c>
      <c r="AT281" s="12" t="s">
        <v>1574</v>
      </c>
    </row>
    <row r="282" spans="1:46" x14ac:dyDescent="0.3">
      <c r="A282" s="57" t="str">
        <f t="shared" si="6"/>
        <v>MLB10005345106118TEASTCH46023</v>
      </c>
      <c r="B282" s="57">
        <f>COUNTIF(CONT_TEA[Unique Contract],CONT_TEA[[#This Row],[Unique Contract]])-1</f>
        <v>0</v>
      </c>
      <c r="C282" s="57">
        <f>IFERROR(IF(FIND(CONT_TEA[[#This Row],[SchoolCode]],_xlfn.XLOOKUP(CONT_TEA[[#This Row],[StaffMemberCode]],MEMBERS[StaffMemberCode],MEMBERS[SchoolCodes]))&gt;0,0,1),1)</f>
        <v>0</v>
      </c>
      <c r="D282" s="57" cm="1">
        <f t="array" ref="D282">IF(_xlfn.XLOOKUP(CONT_TEA[[#This Row],[StaffRoleCode]],ROLES[StaffRoleCode],ROLES[AvailableToAllSchools],1,0,)=TRUE,0,IF(ISERROR(FIND(CONT_TEA[[#This Row],[SchoolCode]],_xlfn.TEXTJOIN(",",TRUE,_xlfn.UNIQUE(IF(ROLES[StaffRoleCode]=CONT_TEA[[#This Row],[StaffRoleCode]],ROLES[SchoolCodes],""))))),1,0))</f>
        <v>0</v>
      </c>
      <c r="E282" s="57" cm="1">
        <f t="array" ref="E28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82" s="57" cm="1">
        <f t="array" ref="F282">IF(_xlfn.XLOOKUP(CONT_TEA[[#This Row],[PayScaleCode]],PAYSCALES[PayScaleCode],PAYSCALES[AvailableToAllSchools],1,0,)=TRUE,0,IF(ISERROR(FIND(CONT_TEA[[#This Row],[SchoolCode]],_xlfn.TEXTJOIN(",",TRUE,_xlfn.UNIQUE(IF(PAYSCALES[PayScaleCode]=CONT_TEA[[#This Row],[PayScaleCode]],PAYSCALES[SchoolCodes],""))))),1,0))</f>
        <v>0</v>
      </c>
      <c r="G282" s="57">
        <f>IF(_xlfn.XLOOKUP(CONT_TEA[[#This Row],[PayScaleGradeCode]],GRADES[PayScaleGradeCode],GRADES[AvailableToAllSchools])=TRUE,0,IFERROR(IF(FIND(CONT_TEA[[#This Row],[SchoolCode]],_xlfn.XLOOKUP(CONT_TEA[[#This Row],[PayScaleGradeCode]],GRADES[PayScaleGradeCode],GRADES[SchoolCodes]))&gt;=1,0,1),1))</f>
        <v>0</v>
      </c>
      <c r="H282" s="57">
        <f>IF(ISERROR(IF((_xlfn.XLOOKUP(CONT_TEA[[#This Row],[PayScaleGradeCode]],GRADES[PayScaleGradeCode],GRADES[PayScaleCode])=CONT_TEA[[#This Row],[PayScaleCode]]),0,1)),1,0)</f>
        <v>0</v>
      </c>
      <c r="I282" s="57" cm="1">
        <f t="array" ref="I282">IF(ISERROR(FIND(CONT_TEA[[#This Row],[PayScalePointCode]],_xlfn.TEXTJOIN(",",TRUE,IF(PSPOINTS[PayScaleCode]=CONT_TEA[[#This Row],[PayScaleCode]],PSPOINTS[PayScalePointCode])))),1,0)</f>
        <v>0</v>
      </c>
      <c r="J282" s="57" cm="1">
        <f t="array" ref="J28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82" s="57">
        <f>IF(_xlfn.XLOOKUP(CONT_TEA[[#This Row],[PayScalePointCode]],PSPOINTS[PayScalePointCode],PSPOINTS[PayScalePointEnabled])=TRUE,0,1)</f>
        <v>0</v>
      </c>
      <c r="L282" s="57" cm="1">
        <f t="array" ref="L282">IF(_xlfn.XLOOKUP(CONT_TEA[[#This Row],[DepartmentCode]],DEPTS[DepartmentCode],DEPTS[AvailableToAllSchools],1,0,)=TRUE,0,IF(ISERROR(FIND(CONT_TEA[[#This Row],[SchoolCode]],_xlfn.TEXTJOIN(",",TRUE,_xlfn.UNIQUE(IF(DEPTS[DepartmentCode]=CONT_TEA[[#This Row],[DepartmentCode]],DEPTS[SchoolCodes],""))))),1,0))</f>
        <v>0</v>
      </c>
      <c r="M282" s="57">
        <f>IFERROR(IF(_xlfn.XLOOKUP(CONT_TEA[[#This Row],[SRG Gross]],FinanceCodesBudget[FinanceCode],FinanceCodesBudget[LedgerCode])=_xlfn.XLOOKUP(CONT_TEA[[#This Row],[DepartmentCode]],DEPTS[DepartmentCode],DEPTS[LedgerCode]),0,1),1)</f>
        <v>1</v>
      </c>
      <c r="N282" s="57" cm="1">
        <f t="array" ref="N282">IF(_xlfn.XLOOKUP(CONT_TEA[[#This Row],[PensionCode]],PENS[PensionCode],PENS[AvailableToAllSchools],1,0,)=TRUE,0,IF(ISERROR(FIND(CONT_TEA[[#This Row],[SchoolCode]],_xlfn.TEXTJOIN(",",TRUE,_xlfn.UNIQUE(IF(PENS[PensionCode]=CONT_TEA[[#This Row],[PensionCode]],PENS[SchoolCodes],""))))),1,0))</f>
        <v>0</v>
      </c>
      <c r="O282" s="57" cm="1">
        <f t="array" ref="O282">IF(_xlfn.XLOOKUP(CONT_TEA[[#This Row],[EquatedWeekPatternCode]],EQW[EquatedWeekPatternCode],EQW[AvailableToAllSchools],1,0,)=TRUE,0,IF(ISERROR(FIND(CONT_TEA[[#This Row],[SchoolCode]],_xlfn.TEXTJOIN(",",TRUE,_xlfn.UNIQUE(IF(EQW[EquatedWeekPatternCode]=CONT_TEA[[#This Row],[EquatedWeekPatternCode]],EQW[SchoolCodes],""))))),1,0))</f>
        <v>0</v>
      </c>
      <c r="P282" s="57">
        <f>1-COUNTIF(ContractTypes[Code],CONT_TEA[[#This Row],[ContractTypeCode]])</f>
        <v>0</v>
      </c>
      <c r="Q282" s="57">
        <f>IF(VLOOKUP(CONT_TEA[[#This Row],[StaffMemberCode]],MEMBERS[[StaffMemberCode]:[ServiceStartDate]],5,0)&gt;CONT_TEA[[#This Row],[DateFrom]],1,0)</f>
        <v>0</v>
      </c>
      <c r="R282" s="57">
        <f>IF(_xlfn.XLOOKUP(CONT_TEA[[#This Row],[StaffMemberCode]],MEMBERS[StaffMemberCode],MEMBERS[ServiceEndDate])="",0,IF(CONT_TEA[[#This Row],[DateTo]]="",1,IF(_xlfn.XLOOKUP(CONT_TEA[[#This Row],[StaffMemberCode]],MEMBERS[StaffMemberCode],MEMBERS[ServiceEndDate])&lt;CONT_TEA[[#This Row],[DateTo]],1,0)))</f>
        <v>0</v>
      </c>
      <c r="S282" s="57">
        <f>IF(ISBLANK(CONT_TEA[[#This Row],[DateTo]]),0,IF(CONT_TEA[[#This Row],[DateFrom]]=CONT_TEA[[#This Row],[DateTo]],0,IF(CONT_TEA[[#This Row],[DateFrom]]&lt;CONT_TEA[[#This Row],[DateTo]],0,1)))</f>
        <v>0</v>
      </c>
      <c r="T282" s="57" cm="1">
        <f t="array" aca="1" ref="T282" ca="1">IF(CELL("format",CONT_TEA[[#This Row],[DateFrom]])="D1",0,1)+IF(CELL("format",CONT_TEA[[#This Row],[DateTo]])="D1",0,1)</f>
        <v>0</v>
      </c>
      <c r="U282" s="57">
        <f>IF(OR(CONT_TEA[[#This Row],[MatEditOnly]]=TRUE,CONT_TEA[[#This Row],[MatEditOnly]]=FALSE),IF(OR(CONT_TEA[[#This Row],[NoIncrement]]=TRUE,CONT_TEA[[#This Row],[NoIncrement]]=FALSE),0,1),1)</f>
        <v>0</v>
      </c>
      <c r="V282" s="57">
        <f>IF(ISBLANK(CONT_TEA[[#This Row],[FundCode]])=TRUE,0,IF(COUNTIF(FUNDS[FundCode],CONT_TEA[[#This Row],[FundCode]])=1,0,1))</f>
        <v>0</v>
      </c>
      <c r="W282" s="57">
        <f>IF(LEN(CONT_TEA[[#This Row],[Notes]])&lt;4000,0,1)</f>
        <v>0</v>
      </c>
      <c r="X282" s="57">
        <f>IF(SUBSTITUTE(TEXT(CONT_TEA[[#This Row],[Reference]],10)," ","")=TEXT(CONT_TEA[[#This Row],[Reference]],10),0,1)</f>
        <v>0</v>
      </c>
      <c r="Y282" s="57">
        <f ca="1">SUM(CONT_TEA[[#This Row],[Duplicate Contract]:[Space in Code]])</f>
        <v>1</v>
      </c>
      <c r="AA282" s="12" t="s">
        <v>2126</v>
      </c>
      <c r="AB282" s="15">
        <v>10005345</v>
      </c>
      <c r="AC282" s="12">
        <v>106118</v>
      </c>
      <c r="AD282" s="57" t="str">
        <f>_xlfn.XLOOKUP(CONT_TEA[[#This Row],[StaffMemberCode]],StaffMembers!O:O,StaffMembers!R:R)</f>
        <v>Rachel Sinden</v>
      </c>
      <c r="AE282" s="12" t="s">
        <v>1178</v>
      </c>
      <c r="AF282" s="57">
        <f>_xlfn.XLOOKUP(CONT_TEA[[#This Row],[SRG]],SRG[StaffRoleGroupCode],SRG[GrossSalaryFinanceCode])</f>
        <v>612100</v>
      </c>
      <c r="AG282" s="57" t="str">
        <f>_xlfn.XLOOKUP(CONT_TEA[[#This Row],[StaffRoleCode]],ROLES[StaffRoleCode],ROLES[StaffRoleGroupCode])</f>
        <v>TEA</v>
      </c>
      <c r="AH282" s="57" t="str">
        <f>_xlfn.XLOOKUP(CONT_TEA[[#This Row],[StaffRoleCode]],ROLES[StaffRoleCode],ROLES[PayScaleCode])</f>
        <v>MAIN</v>
      </c>
      <c r="AI282" s="12" t="s">
        <v>1126</v>
      </c>
      <c r="AJ282" s="12" t="s">
        <v>1745</v>
      </c>
      <c r="AK282" s="12" t="s">
        <v>2499</v>
      </c>
      <c r="AM282" s="68" t="s">
        <v>1147</v>
      </c>
      <c r="AN282" s="13" t="s">
        <v>1702</v>
      </c>
      <c r="AO282" s="21">
        <v>46023</v>
      </c>
      <c r="AQ282" s="12">
        <v>0.56000000000000005</v>
      </c>
      <c r="AR282" t="b">
        <v>0</v>
      </c>
      <c r="AS282" t="b">
        <v>0</v>
      </c>
      <c r="AT282" s="12" t="s">
        <v>1574</v>
      </c>
    </row>
    <row r="283" spans="1:46" x14ac:dyDescent="0.3">
      <c r="A283" s="57" t="str">
        <f t="shared" si="6"/>
        <v>MLB10016230106093TEASTCH46023</v>
      </c>
      <c r="B283" s="57">
        <f>COUNTIF(CONT_TEA[Unique Contract],CONT_TEA[[#This Row],[Unique Contract]])-1</f>
        <v>0</v>
      </c>
      <c r="C283" s="57">
        <f>IFERROR(IF(FIND(CONT_TEA[[#This Row],[SchoolCode]],_xlfn.XLOOKUP(CONT_TEA[[#This Row],[StaffMemberCode]],MEMBERS[StaffMemberCode],MEMBERS[SchoolCodes]))&gt;0,0,1),1)</f>
        <v>0</v>
      </c>
      <c r="D283" s="57" cm="1">
        <f t="array" ref="D283">IF(_xlfn.XLOOKUP(CONT_TEA[[#This Row],[StaffRoleCode]],ROLES[StaffRoleCode],ROLES[AvailableToAllSchools],1,0,)=TRUE,0,IF(ISERROR(FIND(CONT_TEA[[#This Row],[SchoolCode]],_xlfn.TEXTJOIN(",",TRUE,_xlfn.UNIQUE(IF(ROLES[StaffRoleCode]=CONT_TEA[[#This Row],[StaffRoleCode]],ROLES[SchoolCodes],""))))),1,0))</f>
        <v>0</v>
      </c>
      <c r="E283" s="57" cm="1">
        <f t="array" ref="E28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83" s="57" cm="1">
        <f t="array" ref="F283">IF(_xlfn.XLOOKUP(CONT_TEA[[#This Row],[PayScaleCode]],PAYSCALES[PayScaleCode],PAYSCALES[AvailableToAllSchools],1,0,)=TRUE,0,IF(ISERROR(FIND(CONT_TEA[[#This Row],[SchoolCode]],_xlfn.TEXTJOIN(",",TRUE,_xlfn.UNIQUE(IF(PAYSCALES[PayScaleCode]=CONT_TEA[[#This Row],[PayScaleCode]],PAYSCALES[SchoolCodes],""))))),1,0))</f>
        <v>0</v>
      </c>
      <c r="G283" s="57">
        <f>IF(_xlfn.XLOOKUP(CONT_TEA[[#This Row],[PayScaleGradeCode]],GRADES[PayScaleGradeCode],GRADES[AvailableToAllSchools])=TRUE,0,IFERROR(IF(FIND(CONT_TEA[[#This Row],[SchoolCode]],_xlfn.XLOOKUP(CONT_TEA[[#This Row],[PayScaleGradeCode]],GRADES[PayScaleGradeCode],GRADES[SchoolCodes]))&gt;=1,0,1),1))</f>
        <v>0</v>
      </c>
      <c r="H283" s="57">
        <f>IF(ISERROR(IF((_xlfn.XLOOKUP(CONT_TEA[[#This Row],[PayScaleGradeCode]],GRADES[PayScaleGradeCode],GRADES[PayScaleCode])=CONT_TEA[[#This Row],[PayScaleCode]]),0,1)),1,0)</f>
        <v>0</v>
      </c>
      <c r="I283" s="57" cm="1">
        <f t="array" ref="I283">IF(ISERROR(FIND(CONT_TEA[[#This Row],[PayScalePointCode]],_xlfn.TEXTJOIN(",",TRUE,IF(PSPOINTS[PayScaleCode]=CONT_TEA[[#This Row],[PayScaleCode]],PSPOINTS[PayScalePointCode])))),1,0)</f>
        <v>0</v>
      </c>
      <c r="J283" s="57" cm="1">
        <f t="array" ref="J28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83" s="57">
        <f>IF(_xlfn.XLOOKUP(CONT_TEA[[#This Row],[PayScalePointCode]],PSPOINTS[PayScalePointCode],PSPOINTS[PayScalePointEnabled])=TRUE,0,1)</f>
        <v>0</v>
      </c>
      <c r="L283" s="57" cm="1">
        <f t="array" ref="L283">IF(_xlfn.XLOOKUP(CONT_TEA[[#This Row],[DepartmentCode]],DEPTS[DepartmentCode],DEPTS[AvailableToAllSchools],1,0,)=TRUE,0,IF(ISERROR(FIND(CONT_TEA[[#This Row],[SchoolCode]],_xlfn.TEXTJOIN(",",TRUE,_xlfn.UNIQUE(IF(DEPTS[DepartmentCode]=CONT_TEA[[#This Row],[DepartmentCode]],DEPTS[SchoolCodes],""))))),1,0))</f>
        <v>0</v>
      </c>
      <c r="M283" s="57">
        <f>IFERROR(IF(_xlfn.XLOOKUP(CONT_TEA[[#This Row],[SRG Gross]],FinanceCodesBudget[FinanceCode],FinanceCodesBudget[LedgerCode])=_xlfn.XLOOKUP(CONT_TEA[[#This Row],[DepartmentCode]],DEPTS[DepartmentCode],DEPTS[LedgerCode]),0,1),1)</f>
        <v>1</v>
      </c>
      <c r="N283" s="57" cm="1">
        <f t="array" ref="N283">IF(_xlfn.XLOOKUP(CONT_TEA[[#This Row],[PensionCode]],PENS[PensionCode],PENS[AvailableToAllSchools],1,0,)=TRUE,0,IF(ISERROR(FIND(CONT_TEA[[#This Row],[SchoolCode]],_xlfn.TEXTJOIN(",",TRUE,_xlfn.UNIQUE(IF(PENS[PensionCode]=CONT_TEA[[#This Row],[PensionCode]],PENS[SchoolCodes],""))))),1,0))</f>
        <v>0</v>
      </c>
      <c r="O283" s="57" cm="1">
        <f t="array" ref="O283">IF(_xlfn.XLOOKUP(CONT_TEA[[#This Row],[EquatedWeekPatternCode]],EQW[EquatedWeekPatternCode],EQW[AvailableToAllSchools],1,0,)=TRUE,0,IF(ISERROR(FIND(CONT_TEA[[#This Row],[SchoolCode]],_xlfn.TEXTJOIN(",",TRUE,_xlfn.UNIQUE(IF(EQW[EquatedWeekPatternCode]=CONT_TEA[[#This Row],[EquatedWeekPatternCode]],EQW[SchoolCodes],""))))),1,0))</f>
        <v>0</v>
      </c>
      <c r="P283" s="57">
        <f>1-COUNTIF(ContractTypes[Code],CONT_TEA[[#This Row],[ContractTypeCode]])</f>
        <v>0</v>
      </c>
      <c r="Q283" s="57">
        <f>IF(VLOOKUP(CONT_TEA[[#This Row],[StaffMemberCode]],MEMBERS[[StaffMemberCode]:[ServiceStartDate]],5,0)&gt;CONT_TEA[[#This Row],[DateFrom]],1,0)</f>
        <v>0</v>
      </c>
      <c r="R283" s="57">
        <f>IF(_xlfn.XLOOKUP(CONT_TEA[[#This Row],[StaffMemberCode]],MEMBERS[StaffMemberCode],MEMBERS[ServiceEndDate])="",0,IF(CONT_TEA[[#This Row],[DateTo]]="",1,IF(_xlfn.XLOOKUP(CONT_TEA[[#This Row],[StaffMemberCode]],MEMBERS[StaffMemberCode],MEMBERS[ServiceEndDate])&lt;CONT_TEA[[#This Row],[DateTo]],1,0)))</f>
        <v>0</v>
      </c>
      <c r="S283" s="57">
        <f>IF(ISBLANK(CONT_TEA[[#This Row],[DateTo]]),0,IF(CONT_TEA[[#This Row],[DateFrom]]=CONT_TEA[[#This Row],[DateTo]],0,IF(CONT_TEA[[#This Row],[DateFrom]]&lt;CONT_TEA[[#This Row],[DateTo]],0,1)))</f>
        <v>0</v>
      </c>
      <c r="T283" s="57" cm="1">
        <f t="array" aca="1" ref="T283" ca="1">IF(CELL("format",CONT_TEA[[#This Row],[DateFrom]])="D1",0,1)+IF(CELL("format",CONT_TEA[[#This Row],[DateTo]])="D1",0,1)</f>
        <v>0</v>
      </c>
      <c r="U283" s="57">
        <f>IF(OR(CONT_TEA[[#This Row],[MatEditOnly]]=TRUE,CONT_TEA[[#This Row],[MatEditOnly]]=FALSE),IF(OR(CONT_TEA[[#This Row],[NoIncrement]]=TRUE,CONT_TEA[[#This Row],[NoIncrement]]=FALSE),0,1),1)</f>
        <v>0</v>
      </c>
      <c r="V283" s="57">
        <f>IF(ISBLANK(CONT_TEA[[#This Row],[FundCode]])=TRUE,0,IF(COUNTIF(FUNDS[FundCode],CONT_TEA[[#This Row],[FundCode]])=1,0,1))</f>
        <v>0</v>
      </c>
      <c r="W283" s="57">
        <f>IF(LEN(CONT_TEA[[#This Row],[Notes]])&lt;4000,0,1)</f>
        <v>0</v>
      </c>
      <c r="X283" s="57">
        <f>IF(SUBSTITUTE(TEXT(CONT_TEA[[#This Row],[Reference]],10)," ","")=TEXT(CONT_TEA[[#This Row],[Reference]],10),0,1)</f>
        <v>0</v>
      </c>
      <c r="Y283" s="57">
        <f ca="1">SUM(CONT_TEA[[#This Row],[Duplicate Contract]:[Space in Code]])</f>
        <v>1</v>
      </c>
      <c r="AA283" s="12" t="s">
        <v>2126</v>
      </c>
      <c r="AB283" s="15">
        <v>10016230</v>
      </c>
      <c r="AC283" s="12">
        <v>106093</v>
      </c>
      <c r="AD283" s="57" t="str">
        <f>_xlfn.XLOOKUP(CONT_TEA[[#This Row],[StaffMemberCode]],StaffMembers!O:O,StaffMembers!R:R)</f>
        <v>Rebecca Catchpole</v>
      </c>
      <c r="AE283" s="12" t="s">
        <v>1178</v>
      </c>
      <c r="AF283" s="57">
        <f>_xlfn.XLOOKUP(CONT_TEA[[#This Row],[SRG]],SRG[StaffRoleGroupCode],SRG[GrossSalaryFinanceCode])</f>
        <v>612100</v>
      </c>
      <c r="AG283" s="57" t="str">
        <f>_xlfn.XLOOKUP(CONT_TEA[[#This Row],[StaffRoleCode]],ROLES[StaffRoleCode],ROLES[StaffRoleGroupCode])</f>
        <v>TEA</v>
      </c>
      <c r="AH283" s="57" t="str">
        <f>_xlfn.XLOOKUP(CONT_TEA[[#This Row],[StaffRoleCode]],ROLES[StaffRoleCode],ROLES[PayScaleCode])</f>
        <v>MAIN</v>
      </c>
      <c r="AI283" s="12" t="s">
        <v>1126</v>
      </c>
      <c r="AJ283" s="12" t="s">
        <v>1745</v>
      </c>
      <c r="AK283" s="12" t="s">
        <v>2499</v>
      </c>
      <c r="AM283" s="68" t="s">
        <v>1147</v>
      </c>
      <c r="AN283" s="13" t="s">
        <v>1702</v>
      </c>
      <c r="AO283" s="21">
        <v>46023</v>
      </c>
      <c r="AQ283" s="12">
        <v>0.8</v>
      </c>
      <c r="AR283" t="b">
        <v>0</v>
      </c>
      <c r="AS283" t="b">
        <v>0</v>
      </c>
      <c r="AT283" s="12" t="s">
        <v>1574</v>
      </c>
    </row>
    <row r="284" spans="1:46" x14ac:dyDescent="0.3">
      <c r="A284" s="57" t="str">
        <f t="shared" si="6"/>
        <v>MLB10009094109636TEASTCH46023</v>
      </c>
      <c r="B284" s="57">
        <f>COUNTIF(CONT_TEA[Unique Contract],CONT_TEA[[#This Row],[Unique Contract]])-1</f>
        <v>0</v>
      </c>
      <c r="C284" s="57">
        <f>IFERROR(IF(FIND(CONT_TEA[[#This Row],[SchoolCode]],_xlfn.XLOOKUP(CONT_TEA[[#This Row],[StaffMemberCode]],MEMBERS[StaffMemberCode],MEMBERS[SchoolCodes]))&gt;0,0,1),1)</f>
        <v>0</v>
      </c>
      <c r="D284" s="57" cm="1">
        <f t="array" ref="D284">IF(_xlfn.XLOOKUP(CONT_TEA[[#This Row],[StaffRoleCode]],ROLES[StaffRoleCode],ROLES[AvailableToAllSchools],1,0,)=TRUE,0,IF(ISERROR(FIND(CONT_TEA[[#This Row],[SchoolCode]],_xlfn.TEXTJOIN(",",TRUE,_xlfn.UNIQUE(IF(ROLES[StaffRoleCode]=CONT_TEA[[#This Row],[StaffRoleCode]],ROLES[SchoolCodes],""))))),1,0))</f>
        <v>0</v>
      </c>
      <c r="E284" s="57" cm="1">
        <f t="array" ref="E28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84" s="57" cm="1">
        <f t="array" ref="F284">IF(_xlfn.XLOOKUP(CONT_TEA[[#This Row],[PayScaleCode]],PAYSCALES[PayScaleCode],PAYSCALES[AvailableToAllSchools],1,0,)=TRUE,0,IF(ISERROR(FIND(CONT_TEA[[#This Row],[SchoolCode]],_xlfn.TEXTJOIN(",",TRUE,_xlfn.UNIQUE(IF(PAYSCALES[PayScaleCode]=CONT_TEA[[#This Row],[PayScaleCode]],PAYSCALES[SchoolCodes],""))))),1,0))</f>
        <v>0</v>
      </c>
      <c r="G284" s="57">
        <f>IF(_xlfn.XLOOKUP(CONT_TEA[[#This Row],[PayScaleGradeCode]],GRADES[PayScaleGradeCode],GRADES[AvailableToAllSchools])=TRUE,0,IFERROR(IF(FIND(CONT_TEA[[#This Row],[SchoolCode]],_xlfn.XLOOKUP(CONT_TEA[[#This Row],[PayScaleGradeCode]],GRADES[PayScaleGradeCode],GRADES[SchoolCodes]))&gt;=1,0,1),1))</f>
        <v>0</v>
      </c>
      <c r="H284" s="57">
        <f>IF(ISERROR(IF((_xlfn.XLOOKUP(CONT_TEA[[#This Row],[PayScaleGradeCode]],GRADES[PayScaleGradeCode],GRADES[PayScaleCode])=CONT_TEA[[#This Row],[PayScaleCode]]),0,1)),1,0)</f>
        <v>0</v>
      </c>
      <c r="I284" s="57" cm="1">
        <f t="array" ref="I284">IF(ISERROR(FIND(CONT_TEA[[#This Row],[PayScalePointCode]],_xlfn.TEXTJOIN(",",TRUE,IF(PSPOINTS[PayScaleCode]=CONT_TEA[[#This Row],[PayScaleCode]],PSPOINTS[PayScalePointCode])))),1,0)</f>
        <v>0</v>
      </c>
      <c r="J284" s="57" cm="1">
        <f t="array" ref="J28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84" s="57">
        <f>IF(_xlfn.XLOOKUP(CONT_TEA[[#This Row],[PayScalePointCode]],PSPOINTS[PayScalePointCode],PSPOINTS[PayScalePointEnabled])=TRUE,0,1)</f>
        <v>0</v>
      </c>
      <c r="L284" s="57" cm="1">
        <f t="array" ref="L284">IF(_xlfn.XLOOKUP(CONT_TEA[[#This Row],[DepartmentCode]],DEPTS[DepartmentCode],DEPTS[AvailableToAllSchools],1,0,)=TRUE,0,IF(ISERROR(FIND(CONT_TEA[[#This Row],[SchoolCode]],_xlfn.TEXTJOIN(",",TRUE,_xlfn.UNIQUE(IF(DEPTS[DepartmentCode]=CONT_TEA[[#This Row],[DepartmentCode]],DEPTS[SchoolCodes],""))))),1,0))</f>
        <v>0</v>
      </c>
      <c r="M284" s="57">
        <f>IFERROR(IF(_xlfn.XLOOKUP(CONT_TEA[[#This Row],[SRG Gross]],FinanceCodesBudget[FinanceCode],FinanceCodesBudget[LedgerCode])=_xlfn.XLOOKUP(CONT_TEA[[#This Row],[DepartmentCode]],DEPTS[DepartmentCode],DEPTS[LedgerCode]),0,1),1)</f>
        <v>1</v>
      </c>
      <c r="N284" s="57" cm="1">
        <f t="array" ref="N284">IF(_xlfn.XLOOKUP(CONT_TEA[[#This Row],[PensionCode]],PENS[PensionCode],PENS[AvailableToAllSchools],1,0,)=TRUE,0,IF(ISERROR(FIND(CONT_TEA[[#This Row],[SchoolCode]],_xlfn.TEXTJOIN(",",TRUE,_xlfn.UNIQUE(IF(PENS[PensionCode]=CONT_TEA[[#This Row],[PensionCode]],PENS[SchoolCodes],""))))),1,0))</f>
        <v>0</v>
      </c>
      <c r="O284" s="57" cm="1">
        <f t="array" ref="O284">IF(_xlfn.XLOOKUP(CONT_TEA[[#This Row],[EquatedWeekPatternCode]],EQW[EquatedWeekPatternCode],EQW[AvailableToAllSchools],1,0,)=TRUE,0,IF(ISERROR(FIND(CONT_TEA[[#This Row],[SchoolCode]],_xlfn.TEXTJOIN(",",TRUE,_xlfn.UNIQUE(IF(EQW[EquatedWeekPatternCode]=CONT_TEA[[#This Row],[EquatedWeekPatternCode]],EQW[SchoolCodes],""))))),1,0))</f>
        <v>0</v>
      </c>
      <c r="P284" s="57">
        <f>1-COUNTIF(ContractTypes[Code],CONT_TEA[[#This Row],[ContractTypeCode]])</f>
        <v>0</v>
      </c>
      <c r="Q284" s="57">
        <f>IF(VLOOKUP(CONT_TEA[[#This Row],[StaffMemberCode]],MEMBERS[[StaffMemberCode]:[ServiceStartDate]],5,0)&gt;CONT_TEA[[#This Row],[DateFrom]],1,0)</f>
        <v>0</v>
      </c>
      <c r="R284" s="57">
        <f>IF(_xlfn.XLOOKUP(CONT_TEA[[#This Row],[StaffMemberCode]],MEMBERS[StaffMemberCode],MEMBERS[ServiceEndDate])="",0,IF(CONT_TEA[[#This Row],[DateTo]]="",1,IF(_xlfn.XLOOKUP(CONT_TEA[[#This Row],[StaffMemberCode]],MEMBERS[StaffMemberCode],MEMBERS[ServiceEndDate])&lt;CONT_TEA[[#This Row],[DateTo]],1,0)))</f>
        <v>0</v>
      </c>
      <c r="S284" s="57">
        <f>IF(ISBLANK(CONT_TEA[[#This Row],[DateTo]]),0,IF(CONT_TEA[[#This Row],[DateFrom]]=CONT_TEA[[#This Row],[DateTo]],0,IF(CONT_TEA[[#This Row],[DateFrom]]&lt;CONT_TEA[[#This Row],[DateTo]],0,1)))</f>
        <v>0</v>
      </c>
      <c r="T284" s="57" cm="1">
        <f t="array" aca="1" ref="T284" ca="1">IF(CELL("format",CONT_TEA[[#This Row],[DateFrom]])="D1",0,1)+IF(CELL("format",CONT_TEA[[#This Row],[DateTo]])="D1",0,1)</f>
        <v>0</v>
      </c>
      <c r="U284" s="57">
        <f>IF(OR(CONT_TEA[[#This Row],[MatEditOnly]]=TRUE,CONT_TEA[[#This Row],[MatEditOnly]]=FALSE),IF(OR(CONT_TEA[[#This Row],[NoIncrement]]=TRUE,CONT_TEA[[#This Row],[NoIncrement]]=FALSE),0,1),1)</f>
        <v>0</v>
      </c>
      <c r="V284" s="57">
        <f>IF(ISBLANK(CONT_TEA[[#This Row],[FundCode]])=TRUE,0,IF(COUNTIF(FUNDS[FundCode],CONT_TEA[[#This Row],[FundCode]])=1,0,1))</f>
        <v>0</v>
      </c>
      <c r="W284" s="57">
        <f>IF(LEN(CONT_TEA[[#This Row],[Notes]])&lt;4000,0,1)</f>
        <v>0</v>
      </c>
      <c r="X284" s="57">
        <f>IF(SUBSTITUTE(TEXT(CONT_TEA[[#This Row],[Reference]],10)," ","")=TEXT(CONT_TEA[[#This Row],[Reference]],10),0,1)</f>
        <v>0</v>
      </c>
      <c r="Y284" s="57">
        <f ca="1">SUM(CONT_TEA[[#This Row],[Duplicate Contract]:[Space in Code]])</f>
        <v>1</v>
      </c>
      <c r="AA284" s="12" t="s">
        <v>2126</v>
      </c>
      <c r="AB284" s="15">
        <v>10009094</v>
      </c>
      <c r="AC284" s="12">
        <v>109636</v>
      </c>
      <c r="AD284" s="57" t="str">
        <f>_xlfn.XLOOKUP(CONT_TEA[[#This Row],[StaffMemberCode]],StaffMembers!O:O,StaffMembers!R:R)</f>
        <v>Sarah Parker</v>
      </c>
      <c r="AE284" s="12" t="s">
        <v>1178</v>
      </c>
      <c r="AF284" s="57">
        <f>_xlfn.XLOOKUP(CONT_TEA[[#This Row],[SRG]],SRG[StaffRoleGroupCode],SRG[GrossSalaryFinanceCode])</f>
        <v>612100</v>
      </c>
      <c r="AG284" s="57" t="str">
        <f>_xlfn.XLOOKUP(CONT_TEA[[#This Row],[StaffRoleCode]],ROLES[StaffRoleCode],ROLES[StaffRoleGroupCode])</f>
        <v>TEA</v>
      </c>
      <c r="AH284" s="57" t="str">
        <f>_xlfn.XLOOKUP(CONT_TEA[[#This Row],[StaffRoleCode]],ROLES[StaffRoleCode],ROLES[PayScaleCode])</f>
        <v>MAIN</v>
      </c>
      <c r="AI284" s="12" t="s">
        <v>1126</v>
      </c>
      <c r="AJ284" s="12" t="s">
        <v>1745</v>
      </c>
      <c r="AK284" s="12" t="s">
        <v>2499</v>
      </c>
      <c r="AM284" s="68" t="s">
        <v>1147</v>
      </c>
      <c r="AN284" s="13" t="s">
        <v>1702</v>
      </c>
      <c r="AO284" s="21">
        <v>46023</v>
      </c>
      <c r="AQ284" s="12">
        <v>1</v>
      </c>
      <c r="AR284" t="b">
        <v>0</v>
      </c>
      <c r="AS284" t="b">
        <v>0</v>
      </c>
      <c r="AT284" s="12" t="s">
        <v>1574</v>
      </c>
    </row>
    <row r="285" spans="1:46" x14ac:dyDescent="0.3">
      <c r="A285" s="57" t="str">
        <f t="shared" si="6"/>
        <v>MLB10014567106046TEASTCH46023</v>
      </c>
      <c r="B285" s="57">
        <f>COUNTIF(CONT_TEA[Unique Contract],CONT_TEA[[#This Row],[Unique Contract]])-1</f>
        <v>0</v>
      </c>
      <c r="C285" s="57">
        <f>IFERROR(IF(FIND(CONT_TEA[[#This Row],[SchoolCode]],_xlfn.XLOOKUP(CONT_TEA[[#This Row],[StaffMemberCode]],MEMBERS[StaffMemberCode],MEMBERS[SchoolCodes]))&gt;0,0,1),1)</f>
        <v>0</v>
      </c>
      <c r="D285" s="57" cm="1">
        <f t="array" ref="D285">IF(_xlfn.XLOOKUP(CONT_TEA[[#This Row],[StaffRoleCode]],ROLES[StaffRoleCode],ROLES[AvailableToAllSchools],1,0,)=TRUE,0,IF(ISERROR(FIND(CONT_TEA[[#This Row],[SchoolCode]],_xlfn.TEXTJOIN(",",TRUE,_xlfn.UNIQUE(IF(ROLES[StaffRoleCode]=CONT_TEA[[#This Row],[StaffRoleCode]],ROLES[SchoolCodes],""))))),1,0))</f>
        <v>0</v>
      </c>
      <c r="E285" s="57" cm="1">
        <f t="array" ref="E28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85" s="57" cm="1">
        <f t="array" ref="F285">IF(_xlfn.XLOOKUP(CONT_TEA[[#This Row],[PayScaleCode]],PAYSCALES[PayScaleCode],PAYSCALES[AvailableToAllSchools],1,0,)=TRUE,0,IF(ISERROR(FIND(CONT_TEA[[#This Row],[SchoolCode]],_xlfn.TEXTJOIN(",",TRUE,_xlfn.UNIQUE(IF(PAYSCALES[PayScaleCode]=CONT_TEA[[#This Row],[PayScaleCode]],PAYSCALES[SchoolCodes],""))))),1,0))</f>
        <v>0</v>
      </c>
      <c r="G285" s="57">
        <f>IF(_xlfn.XLOOKUP(CONT_TEA[[#This Row],[PayScaleGradeCode]],GRADES[PayScaleGradeCode],GRADES[AvailableToAllSchools])=TRUE,0,IFERROR(IF(FIND(CONT_TEA[[#This Row],[SchoolCode]],_xlfn.XLOOKUP(CONT_TEA[[#This Row],[PayScaleGradeCode]],GRADES[PayScaleGradeCode],GRADES[SchoolCodes]))&gt;=1,0,1),1))</f>
        <v>0</v>
      </c>
      <c r="H285" s="57">
        <f>IF(ISERROR(IF((_xlfn.XLOOKUP(CONT_TEA[[#This Row],[PayScaleGradeCode]],GRADES[PayScaleGradeCode],GRADES[PayScaleCode])=CONT_TEA[[#This Row],[PayScaleCode]]),0,1)),1,0)</f>
        <v>0</v>
      </c>
      <c r="I285" s="57" cm="1">
        <f t="array" ref="I285">IF(ISERROR(FIND(CONT_TEA[[#This Row],[PayScalePointCode]],_xlfn.TEXTJOIN(",",TRUE,IF(PSPOINTS[PayScaleCode]=CONT_TEA[[#This Row],[PayScaleCode]],PSPOINTS[PayScalePointCode])))),1,0)</f>
        <v>0</v>
      </c>
      <c r="J285" s="57" cm="1">
        <f t="array" ref="J28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85" s="57">
        <f>IF(_xlfn.XLOOKUP(CONT_TEA[[#This Row],[PayScalePointCode]],PSPOINTS[PayScalePointCode],PSPOINTS[PayScalePointEnabled])=TRUE,0,1)</f>
        <v>0</v>
      </c>
      <c r="L285" s="57" cm="1">
        <f t="array" ref="L285">IF(_xlfn.XLOOKUP(CONT_TEA[[#This Row],[DepartmentCode]],DEPTS[DepartmentCode],DEPTS[AvailableToAllSchools],1,0,)=TRUE,0,IF(ISERROR(FIND(CONT_TEA[[#This Row],[SchoolCode]],_xlfn.TEXTJOIN(",",TRUE,_xlfn.UNIQUE(IF(DEPTS[DepartmentCode]=CONT_TEA[[#This Row],[DepartmentCode]],DEPTS[SchoolCodes],""))))),1,0))</f>
        <v>0</v>
      </c>
      <c r="M285" s="57">
        <f>IFERROR(IF(_xlfn.XLOOKUP(CONT_TEA[[#This Row],[SRG Gross]],FinanceCodesBudget[FinanceCode],FinanceCodesBudget[LedgerCode])=_xlfn.XLOOKUP(CONT_TEA[[#This Row],[DepartmentCode]],DEPTS[DepartmentCode],DEPTS[LedgerCode]),0,1),1)</f>
        <v>1</v>
      </c>
      <c r="N285" s="57" cm="1">
        <f t="array" ref="N285">IF(_xlfn.XLOOKUP(CONT_TEA[[#This Row],[PensionCode]],PENS[PensionCode],PENS[AvailableToAllSchools],1,0,)=TRUE,0,IF(ISERROR(FIND(CONT_TEA[[#This Row],[SchoolCode]],_xlfn.TEXTJOIN(",",TRUE,_xlfn.UNIQUE(IF(PENS[PensionCode]=CONT_TEA[[#This Row],[PensionCode]],PENS[SchoolCodes],""))))),1,0))</f>
        <v>0</v>
      </c>
      <c r="O285" s="57" cm="1">
        <f t="array" ref="O285">IF(_xlfn.XLOOKUP(CONT_TEA[[#This Row],[EquatedWeekPatternCode]],EQW[EquatedWeekPatternCode],EQW[AvailableToAllSchools],1,0,)=TRUE,0,IF(ISERROR(FIND(CONT_TEA[[#This Row],[SchoolCode]],_xlfn.TEXTJOIN(",",TRUE,_xlfn.UNIQUE(IF(EQW[EquatedWeekPatternCode]=CONT_TEA[[#This Row],[EquatedWeekPatternCode]],EQW[SchoolCodes],""))))),1,0))</f>
        <v>0</v>
      </c>
      <c r="P285" s="57">
        <f>1-COUNTIF(ContractTypes[Code],CONT_TEA[[#This Row],[ContractTypeCode]])</f>
        <v>0</v>
      </c>
      <c r="Q285" s="57">
        <f>IF(VLOOKUP(CONT_TEA[[#This Row],[StaffMemberCode]],MEMBERS[[StaffMemberCode]:[ServiceStartDate]],5,0)&gt;CONT_TEA[[#This Row],[DateFrom]],1,0)</f>
        <v>0</v>
      </c>
      <c r="R285" s="57">
        <f>IF(_xlfn.XLOOKUP(CONT_TEA[[#This Row],[StaffMemberCode]],MEMBERS[StaffMemberCode],MEMBERS[ServiceEndDate])="",0,IF(CONT_TEA[[#This Row],[DateTo]]="",1,IF(_xlfn.XLOOKUP(CONT_TEA[[#This Row],[StaffMemberCode]],MEMBERS[StaffMemberCode],MEMBERS[ServiceEndDate])&lt;CONT_TEA[[#This Row],[DateTo]],1,0)))</f>
        <v>0</v>
      </c>
      <c r="S285" s="57">
        <f>IF(ISBLANK(CONT_TEA[[#This Row],[DateTo]]),0,IF(CONT_TEA[[#This Row],[DateFrom]]=CONT_TEA[[#This Row],[DateTo]],0,IF(CONT_TEA[[#This Row],[DateFrom]]&lt;CONT_TEA[[#This Row],[DateTo]],0,1)))</f>
        <v>0</v>
      </c>
      <c r="T285" s="57" cm="1">
        <f t="array" aca="1" ref="T285" ca="1">IF(CELL("format",CONT_TEA[[#This Row],[DateFrom]])="D1",0,1)+IF(CELL("format",CONT_TEA[[#This Row],[DateTo]])="D1",0,1)</f>
        <v>0</v>
      </c>
      <c r="U285" s="57">
        <f>IF(OR(CONT_TEA[[#This Row],[MatEditOnly]]=TRUE,CONT_TEA[[#This Row],[MatEditOnly]]=FALSE),IF(OR(CONT_TEA[[#This Row],[NoIncrement]]=TRUE,CONT_TEA[[#This Row],[NoIncrement]]=FALSE),0,1),1)</f>
        <v>0</v>
      </c>
      <c r="V285" s="57">
        <f>IF(ISBLANK(CONT_TEA[[#This Row],[FundCode]])=TRUE,0,IF(COUNTIF(FUNDS[FundCode],CONT_TEA[[#This Row],[FundCode]])=1,0,1))</f>
        <v>0</v>
      </c>
      <c r="W285" s="57">
        <f>IF(LEN(CONT_TEA[[#This Row],[Notes]])&lt;4000,0,1)</f>
        <v>0</v>
      </c>
      <c r="X285" s="57">
        <f>IF(SUBSTITUTE(TEXT(CONT_TEA[[#This Row],[Reference]],10)," ","")=TEXT(CONT_TEA[[#This Row],[Reference]],10),0,1)</f>
        <v>0</v>
      </c>
      <c r="Y285" s="57">
        <f ca="1">SUM(CONT_TEA[[#This Row],[Duplicate Contract]:[Space in Code]])</f>
        <v>1</v>
      </c>
      <c r="AA285" s="12" t="s">
        <v>2126</v>
      </c>
      <c r="AB285" s="15">
        <v>10014567</v>
      </c>
      <c r="AC285" s="12">
        <v>106046</v>
      </c>
      <c r="AD285" s="57" t="str">
        <f>_xlfn.XLOOKUP(CONT_TEA[[#This Row],[StaffMemberCode]],StaffMembers!O:O,StaffMembers!R:R)</f>
        <v>William Ludlow</v>
      </c>
      <c r="AE285" s="12" t="s">
        <v>1178</v>
      </c>
      <c r="AF285" s="57">
        <f>_xlfn.XLOOKUP(CONT_TEA[[#This Row],[SRG]],SRG[StaffRoleGroupCode],SRG[GrossSalaryFinanceCode])</f>
        <v>612100</v>
      </c>
      <c r="AG285" s="57" t="str">
        <f>_xlfn.XLOOKUP(CONT_TEA[[#This Row],[StaffRoleCode]],ROLES[StaffRoleCode],ROLES[StaffRoleGroupCode])</f>
        <v>TEA</v>
      </c>
      <c r="AH285" s="57" t="str">
        <f>_xlfn.XLOOKUP(CONT_TEA[[#This Row],[StaffRoleCode]],ROLES[StaffRoleCode],ROLES[PayScaleCode])</f>
        <v>MAIN</v>
      </c>
      <c r="AI285" s="12" t="s">
        <v>1126</v>
      </c>
      <c r="AJ285" s="12" t="s">
        <v>1745</v>
      </c>
      <c r="AK285" s="12" t="s">
        <v>2499</v>
      </c>
      <c r="AM285" s="68" t="s">
        <v>1147</v>
      </c>
      <c r="AN285" s="13" t="s">
        <v>1702</v>
      </c>
      <c r="AO285" s="21">
        <v>46023</v>
      </c>
      <c r="AQ285" s="12">
        <v>1</v>
      </c>
      <c r="AR285" t="b">
        <v>0</v>
      </c>
      <c r="AS285" t="b">
        <v>0</v>
      </c>
      <c r="AT285" s="12" t="s">
        <v>1574</v>
      </c>
    </row>
    <row r="286" spans="1:46" x14ac:dyDescent="0.3">
      <c r="A286" s="57" t="str">
        <f t="shared" si="6"/>
        <v>MLB10011487107360TEASTCH46023</v>
      </c>
      <c r="B286" s="57">
        <f>COUNTIF(CONT_TEA[Unique Contract],CONT_TEA[[#This Row],[Unique Contract]])-1</f>
        <v>0</v>
      </c>
      <c r="C286" s="57">
        <f>IFERROR(IF(FIND(CONT_TEA[[#This Row],[SchoolCode]],_xlfn.XLOOKUP(CONT_TEA[[#This Row],[StaffMemberCode]],MEMBERS[StaffMemberCode],MEMBERS[SchoolCodes]))&gt;0,0,1),1)</f>
        <v>0</v>
      </c>
      <c r="D286" s="57" cm="1">
        <f t="array" ref="D286">IF(_xlfn.XLOOKUP(CONT_TEA[[#This Row],[StaffRoleCode]],ROLES[StaffRoleCode],ROLES[AvailableToAllSchools],1,0,)=TRUE,0,IF(ISERROR(FIND(CONT_TEA[[#This Row],[SchoolCode]],_xlfn.TEXTJOIN(",",TRUE,_xlfn.UNIQUE(IF(ROLES[StaffRoleCode]=CONT_TEA[[#This Row],[StaffRoleCode]],ROLES[SchoolCodes],""))))),1,0))</f>
        <v>0</v>
      </c>
      <c r="E286" s="57" cm="1">
        <f t="array" ref="E28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86" s="57" cm="1">
        <f t="array" ref="F286">IF(_xlfn.XLOOKUP(CONT_TEA[[#This Row],[PayScaleCode]],PAYSCALES[PayScaleCode],PAYSCALES[AvailableToAllSchools],1,0,)=TRUE,0,IF(ISERROR(FIND(CONT_TEA[[#This Row],[SchoolCode]],_xlfn.TEXTJOIN(",",TRUE,_xlfn.UNIQUE(IF(PAYSCALES[PayScaleCode]=CONT_TEA[[#This Row],[PayScaleCode]],PAYSCALES[SchoolCodes],""))))),1,0))</f>
        <v>0</v>
      </c>
      <c r="G286" s="57">
        <f>IF(_xlfn.XLOOKUP(CONT_TEA[[#This Row],[PayScaleGradeCode]],GRADES[PayScaleGradeCode],GRADES[AvailableToAllSchools])=TRUE,0,IFERROR(IF(FIND(CONT_TEA[[#This Row],[SchoolCode]],_xlfn.XLOOKUP(CONT_TEA[[#This Row],[PayScaleGradeCode]],GRADES[PayScaleGradeCode],GRADES[SchoolCodes]))&gt;=1,0,1),1))</f>
        <v>0</v>
      </c>
      <c r="H286" s="57">
        <f>IF(ISERROR(IF((_xlfn.XLOOKUP(CONT_TEA[[#This Row],[PayScaleGradeCode]],GRADES[PayScaleGradeCode],GRADES[PayScaleCode])=CONT_TEA[[#This Row],[PayScaleCode]]),0,1)),1,0)</f>
        <v>0</v>
      </c>
      <c r="I286" s="57" cm="1">
        <f t="array" ref="I286">IF(ISERROR(FIND(CONT_TEA[[#This Row],[PayScalePointCode]],_xlfn.TEXTJOIN(",",TRUE,IF(PSPOINTS[PayScaleCode]=CONT_TEA[[#This Row],[PayScaleCode]],PSPOINTS[PayScalePointCode])))),1,0)</f>
        <v>0</v>
      </c>
      <c r="J286" s="57" cm="1">
        <f t="array" ref="J28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86" s="57">
        <f>IF(_xlfn.XLOOKUP(CONT_TEA[[#This Row],[PayScalePointCode]],PSPOINTS[PayScalePointCode],PSPOINTS[PayScalePointEnabled])=TRUE,0,1)</f>
        <v>0</v>
      </c>
      <c r="L286" s="57" cm="1">
        <f t="array" ref="L286">IF(_xlfn.XLOOKUP(CONT_TEA[[#This Row],[DepartmentCode]],DEPTS[DepartmentCode],DEPTS[AvailableToAllSchools],1,0,)=TRUE,0,IF(ISERROR(FIND(CONT_TEA[[#This Row],[SchoolCode]],_xlfn.TEXTJOIN(",",TRUE,_xlfn.UNIQUE(IF(DEPTS[DepartmentCode]=CONT_TEA[[#This Row],[DepartmentCode]],DEPTS[SchoolCodes],""))))),1,0))</f>
        <v>0</v>
      </c>
      <c r="M286" s="57">
        <f>IFERROR(IF(_xlfn.XLOOKUP(CONT_TEA[[#This Row],[SRG Gross]],FinanceCodesBudget[FinanceCode],FinanceCodesBudget[LedgerCode])=_xlfn.XLOOKUP(CONT_TEA[[#This Row],[DepartmentCode]],DEPTS[DepartmentCode],DEPTS[LedgerCode]),0,1),1)</f>
        <v>1</v>
      </c>
      <c r="N286" s="57" cm="1">
        <f t="array" ref="N286">IF(_xlfn.XLOOKUP(CONT_TEA[[#This Row],[PensionCode]],PENS[PensionCode],PENS[AvailableToAllSchools],1,0,)=TRUE,0,IF(ISERROR(FIND(CONT_TEA[[#This Row],[SchoolCode]],_xlfn.TEXTJOIN(",",TRUE,_xlfn.UNIQUE(IF(PENS[PensionCode]=CONT_TEA[[#This Row],[PensionCode]],PENS[SchoolCodes],""))))),1,0))</f>
        <v>0</v>
      </c>
      <c r="O286" s="57" cm="1">
        <f t="array" ref="O286">IF(_xlfn.XLOOKUP(CONT_TEA[[#This Row],[EquatedWeekPatternCode]],EQW[EquatedWeekPatternCode],EQW[AvailableToAllSchools],1,0,)=TRUE,0,IF(ISERROR(FIND(CONT_TEA[[#This Row],[SchoolCode]],_xlfn.TEXTJOIN(",",TRUE,_xlfn.UNIQUE(IF(EQW[EquatedWeekPatternCode]=CONT_TEA[[#This Row],[EquatedWeekPatternCode]],EQW[SchoolCodes],""))))),1,0))</f>
        <v>0</v>
      </c>
      <c r="P286" s="57">
        <f>1-COUNTIF(ContractTypes[Code],CONT_TEA[[#This Row],[ContractTypeCode]])</f>
        <v>0</v>
      </c>
      <c r="Q286" s="57">
        <f>IF(VLOOKUP(CONT_TEA[[#This Row],[StaffMemberCode]],MEMBERS[[StaffMemberCode]:[ServiceStartDate]],5,0)&gt;CONT_TEA[[#This Row],[DateFrom]],1,0)</f>
        <v>0</v>
      </c>
      <c r="R286" s="57">
        <f>IF(_xlfn.XLOOKUP(CONT_TEA[[#This Row],[StaffMemberCode]],MEMBERS[StaffMemberCode],MEMBERS[ServiceEndDate])="",0,IF(CONT_TEA[[#This Row],[DateTo]]="",1,IF(_xlfn.XLOOKUP(CONT_TEA[[#This Row],[StaffMemberCode]],MEMBERS[StaffMemberCode],MEMBERS[ServiceEndDate])&lt;CONT_TEA[[#This Row],[DateTo]],1,0)))</f>
        <v>0</v>
      </c>
      <c r="S286" s="57">
        <f>IF(ISBLANK(CONT_TEA[[#This Row],[DateTo]]),0,IF(CONT_TEA[[#This Row],[DateFrom]]=CONT_TEA[[#This Row],[DateTo]],0,IF(CONT_TEA[[#This Row],[DateFrom]]&lt;CONT_TEA[[#This Row],[DateTo]],0,1)))</f>
        <v>0</v>
      </c>
      <c r="T286" s="57" cm="1">
        <f t="array" aca="1" ref="T286" ca="1">IF(CELL("format",CONT_TEA[[#This Row],[DateFrom]])="D1",0,1)+IF(CELL("format",CONT_TEA[[#This Row],[DateTo]])="D1",0,1)</f>
        <v>0</v>
      </c>
      <c r="U286" s="57">
        <f>IF(OR(CONT_TEA[[#This Row],[MatEditOnly]]=TRUE,CONT_TEA[[#This Row],[MatEditOnly]]=FALSE),IF(OR(CONT_TEA[[#This Row],[NoIncrement]]=TRUE,CONT_TEA[[#This Row],[NoIncrement]]=FALSE),0,1),1)</f>
        <v>0</v>
      </c>
      <c r="V286" s="57">
        <f>IF(ISBLANK(CONT_TEA[[#This Row],[FundCode]])=TRUE,0,IF(COUNTIF(FUNDS[FundCode],CONT_TEA[[#This Row],[FundCode]])=1,0,1))</f>
        <v>0</v>
      </c>
      <c r="W286" s="57">
        <f>IF(LEN(CONT_TEA[[#This Row],[Notes]])&lt;4000,0,1)</f>
        <v>0</v>
      </c>
      <c r="X286" s="57">
        <f>IF(SUBSTITUTE(TEXT(CONT_TEA[[#This Row],[Reference]],10)," ","")=TEXT(CONT_TEA[[#This Row],[Reference]],10),0,1)</f>
        <v>0</v>
      </c>
      <c r="Y286" s="57">
        <f ca="1">SUM(CONT_TEA[[#This Row],[Duplicate Contract]:[Space in Code]])</f>
        <v>1</v>
      </c>
      <c r="AA286" s="12" t="s">
        <v>2126</v>
      </c>
      <c r="AB286" s="15">
        <v>10011487</v>
      </c>
      <c r="AC286" s="12">
        <v>107360</v>
      </c>
      <c r="AD286" s="57" t="str">
        <f>_xlfn.XLOOKUP(CONT_TEA[[#This Row],[StaffMemberCode]],StaffMembers!O:O,StaffMembers!R:R)</f>
        <v>Sarah Jennings</v>
      </c>
      <c r="AE286" s="12" t="s">
        <v>1178</v>
      </c>
      <c r="AF286" s="57">
        <f>_xlfn.XLOOKUP(CONT_TEA[[#This Row],[SRG]],SRG[StaffRoleGroupCode],SRG[GrossSalaryFinanceCode])</f>
        <v>612100</v>
      </c>
      <c r="AG286" s="57" t="str">
        <f>_xlfn.XLOOKUP(CONT_TEA[[#This Row],[StaffRoleCode]],ROLES[StaffRoleCode],ROLES[StaffRoleGroupCode])</f>
        <v>TEA</v>
      </c>
      <c r="AH286" s="57" t="str">
        <f>_xlfn.XLOOKUP(CONT_TEA[[#This Row],[StaffRoleCode]],ROLES[StaffRoleCode],ROLES[PayScaleCode])</f>
        <v>MAIN</v>
      </c>
      <c r="AI286" s="12" t="s">
        <v>1126</v>
      </c>
      <c r="AJ286" s="12" t="s">
        <v>3074</v>
      </c>
      <c r="AK286" s="12" t="s">
        <v>2499</v>
      </c>
      <c r="AM286" s="68" t="s">
        <v>1147</v>
      </c>
      <c r="AN286" s="13" t="s">
        <v>1702</v>
      </c>
      <c r="AO286" s="21">
        <v>46023</v>
      </c>
      <c r="AQ286" s="12">
        <v>1</v>
      </c>
      <c r="AR286" t="b">
        <v>0</v>
      </c>
      <c r="AS286" t="b">
        <v>0</v>
      </c>
      <c r="AT286" s="12" t="s">
        <v>1574</v>
      </c>
    </row>
    <row r="287" spans="1:46" x14ac:dyDescent="0.3">
      <c r="A287" s="57" t="str">
        <f t="shared" si="6"/>
        <v>MLB10005323106094TEASTCH46023</v>
      </c>
      <c r="B287" s="57">
        <f>COUNTIF(CONT_TEA[Unique Contract],CONT_TEA[[#This Row],[Unique Contract]])-1</f>
        <v>0</v>
      </c>
      <c r="C287" s="57">
        <f>IFERROR(IF(FIND(CONT_TEA[[#This Row],[SchoolCode]],_xlfn.XLOOKUP(CONT_TEA[[#This Row],[StaffMemberCode]],MEMBERS[StaffMemberCode],MEMBERS[SchoolCodes]))&gt;0,0,1),1)</f>
        <v>0</v>
      </c>
      <c r="D287" s="57" cm="1">
        <f t="array" ref="D287">IF(_xlfn.XLOOKUP(CONT_TEA[[#This Row],[StaffRoleCode]],ROLES[StaffRoleCode],ROLES[AvailableToAllSchools],1,0,)=TRUE,0,IF(ISERROR(FIND(CONT_TEA[[#This Row],[SchoolCode]],_xlfn.TEXTJOIN(",",TRUE,_xlfn.UNIQUE(IF(ROLES[StaffRoleCode]=CONT_TEA[[#This Row],[StaffRoleCode]],ROLES[SchoolCodes],""))))),1,0))</f>
        <v>0</v>
      </c>
      <c r="E287" s="57" cm="1">
        <f t="array" ref="E28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87" s="57" cm="1">
        <f t="array" ref="F287">IF(_xlfn.XLOOKUP(CONT_TEA[[#This Row],[PayScaleCode]],PAYSCALES[PayScaleCode],PAYSCALES[AvailableToAllSchools],1,0,)=TRUE,0,IF(ISERROR(FIND(CONT_TEA[[#This Row],[SchoolCode]],_xlfn.TEXTJOIN(",",TRUE,_xlfn.UNIQUE(IF(PAYSCALES[PayScaleCode]=CONT_TEA[[#This Row],[PayScaleCode]],PAYSCALES[SchoolCodes],""))))),1,0))</f>
        <v>0</v>
      </c>
      <c r="G287" s="57">
        <f>IF(_xlfn.XLOOKUP(CONT_TEA[[#This Row],[PayScaleGradeCode]],GRADES[PayScaleGradeCode],GRADES[AvailableToAllSchools])=TRUE,0,IFERROR(IF(FIND(CONT_TEA[[#This Row],[SchoolCode]],_xlfn.XLOOKUP(CONT_TEA[[#This Row],[PayScaleGradeCode]],GRADES[PayScaleGradeCode],GRADES[SchoolCodes]))&gt;=1,0,1),1))</f>
        <v>0</v>
      </c>
      <c r="H287" s="57">
        <f>IF(ISERROR(IF((_xlfn.XLOOKUP(CONT_TEA[[#This Row],[PayScaleGradeCode]],GRADES[PayScaleGradeCode],GRADES[PayScaleCode])=CONT_TEA[[#This Row],[PayScaleCode]]),0,1)),1,0)</f>
        <v>0</v>
      </c>
      <c r="I287" s="57" cm="1">
        <f t="array" ref="I287">IF(ISERROR(FIND(CONT_TEA[[#This Row],[PayScalePointCode]],_xlfn.TEXTJOIN(",",TRUE,IF(PSPOINTS[PayScaleCode]=CONT_TEA[[#This Row],[PayScaleCode]],PSPOINTS[PayScalePointCode])))),1,0)</f>
        <v>0</v>
      </c>
      <c r="J287" s="57" cm="1">
        <f t="array" ref="J28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87" s="57">
        <f>IF(_xlfn.XLOOKUP(CONT_TEA[[#This Row],[PayScalePointCode]],PSPOINTS[PayScalePointCode],PSPOINTS[PayScalePointEnabled])=TRUE,0,1)</f>
        <v>0</v>
      </c>
      <c r="L287" s="57" cm="1">
        <f t="array" ref="L287">IF(_xlfn.XLOOKUP(CONT_TEA[[#This Row],[DepartmentCode]],DEPTS[DepartmentCode],DEPTS[AvailableToAllSchools],1,0,)=TRUE,0,IF(ISERROR(FIND(CONT_TEA[[#This Row],[SchoolCode]],_xlfn.TEXTJOIN(",",TRUE,_xlfn.UNIQUE(IF(DEPTS[DepartmentCode]=CONT_TEA[[#This Row],[DepartmentCode]],DEPTS[SchoolCodes],""))))),1,0))</f>
        <v>0</v>
      </c>
      <c r="M287" s="57">
        <f>IFERROR(IF(_xlfn.XLOOKUP(CONT_TEA[[#This Row],[SRG Gross]],FinanceCodesBudget[FinanceCode],FinanceCodesBudget[LedgerCode])=_xlfn.XLOOKUP(CONT_TEA[[#This Row],[DepartmentCode]],DEPTS[DepartmentCode],DEPTS[LedgerCode]),0,1),1)</f>
        <v>1</v>
      </c>
      <c r="N287" s="57" cm="1">
        <f t="array" ref="N287">IF(_xlfn.XLOOKUP(CONT_TEA[[#This Row],[PensionCode]],PENS[PensionCode],PENS[AvailableToAllSchools],1,0,)=TRUE,0,IF(ISERROR(FIND(CONT_TEA[[#This Row],[SchoolCode]],_xlfn.TEXTJOIN(",",TRUE,_xlfn.UNIQUE(IF(PENS[PensionCode]=CONT_TEA[[#This Row],[PensionCode]],PENS[SchoolCodes],""))))),1,0))</f>
        <v>0</v>
      </c>
      <c r="O287" s="57" cm="1">
        <f t="array" ref="O287">IF(_xlfn.XLOOKUP(CONT_TEA[[#This Row],[EquatedWeekPatternCode]],EQW[EquatedWeekPatternCode],EQW[AvailableToAllSchools],1,0,)=TRUE,0,IF(ISERROR(FIND(CONT_TEA[[#This Row],[SchoolCode]],_xlfn.TEXTJOIN(",",TRUE,_xlfn.UNIQUE(IF(EQW[EquatedWeekPatternCode]=CONT_TEA[[#This Row],[EquatedWeekPatternCode]],EQW[SchoolCodes],""))))),1,0))</f>
        <v>0</v>
      </c>
      <c r="P287" s="57">
        <f>1-COUNTIF(ContractTypes[Code],CONT_TEA[[#This Row],[ContractTypeCode]])</f>
        <v>0</v>
      </c>
      <c r="Q287" s="57">
        <f>IF(VLOOKUP(CONT_TEA[[#This Row],[StaffMemberCode]],MEMBERS[[StaffMemberCode]:[ServiceStartDate]],5,0)&gt;CONT_TEA[[#This Row],[DateFrom]],1,0)</f>
        <v>0</v>
      </c>
      <c r="R287" s="57">
        <f>IF(_xlfn.XLOOKUP(CONT_TEA[[#This Row],[StaffMemberCode]],MEMBERS[StaffMemberCode],MEMBERS[ServiceEndDate])="",0,IF(CONT_TEA[[#This Row],[DateTo]]="",1,IF(_xlfn.XLOOKUP(CONT_TEA[[#This Row],[StaffMemberCode]],MEMBERS[StaffMemberCode],MEMBERS[ServiceEndDate])&lt;CONT_TEA[[#This Row],[DateTo]],1,0)))</f>
        <v>0</v>
      </c>
      <c r="S287" s="57">
        <f>IF(ISBLANK(CONT_TEA[[#This Row],[DateTo]]),0,IF(CONT_TEA[[#This Row],[DateFrom]]=CONT_TEA[[#This Row],[DateTo]],0,IF(CONT_TEA[[#This Row],[DateFrom]]&lt;CONT_TEA[[#This Row],[DateTo]],0,1)))</f>
        <v>0</v>
      </c>
      <c r="T287" s="57" cm="1">
        <f t="array" aca="1" ref="T287" ca="1">IF(CELL("format",CONT_TEA[[#This Row],[DateFrom]])="D1",0,1)+IF(CELL("format",CONT_TEA[[#This Row],[DateTo]])="D1",0,1)</f>
        <v>0</v>
      </c>
      <c r="U287" s="57">
        <f>IF(OR(CONT_TEA[[#This Row],[MatEditOnly]]=TRUE,CONT_TEA[[#This Row],[MatEditOnly]]=FALSE),IF(OR(CONT_TEA[[#This Row],[NoIncrement]]=TRUE,CONT_TEA[[#This Row],[NoIncrement]]=FALSE),0,1),1)</f>
        <v>0</v>
      </c>
      <c r="V287" s="57">
        <f>IF(ISBLANK(CONT_TEA[[#This Row],[FundCode]])=TRUE,0,IF(COUNTIF(FUNDS[FundCode],CONT_TEA[[#This Row],[FundCode]])=1,0,1))</f>
        <v>0</v>
      </c>
      <c r="W287" s="57">
        <f>IF(LEN(CONT_TEA[[#This Row],[Notes]])&lt;4000,0,1)</f>
        <v>0</v>
      </c>
      <c r="X287" s="57">
        <f>IF(SUBSTITUTE(TEXT(CONT_TEA[[#This Row],[Reference]],10)," ","")=TEXT(CONT_TEA[[#This Row],[Reference]],10),0,1)</f>
        <v>0</v>
      </c>
      <c r="Y287" s="57">
        <f ca="1">SUM(CONT_TEA[[#This Row],[Duplicate Contract]:[Space in Code]])</f>
        <v>1</v>
      </c>
      <c r="AA287" s="12" t="s">
        <v>2126</v>
      </c>
      <c r="AB287" s="15">
        <v>10005323</v>
      </c>
      <c r="AC287" s="12">
        <v>106094</v>
      </c>
      <c r="AD287" s="57" t="str">
        <f>_xlfn.XLOOKUP(CONT_TEA[[#This Row],[StaffMemberCode]],StaffMembers!O:O,StaffMembers!R:R)</f>
        <v>Andrew Brownsword</v>
      </c>
      <c r="AE287" s="12" t="s">
        <v>1178</v>
      </c>
      <c r="AF287" s="57">
        <f>_xlfn.XLOOKUP(CONT_TEA[[#This Row],[SRG]],SRG[StaffRoleGroupCode],SRG[GrossSalaryFinanceCode])</f>
        <v>612100</v>
      </c>
      <c r="AG287" s="57" t="str">
        <f>_xlfn.XLOOKUP(CONT_TEA[[#This Row],[StaffRoleCode]],ROLES[StaffRoleCode],ROLES[StaffRoleGroupCode])</f>
        <v>TEA</v>
      </c>
      <c r="AH287" s="57" t="str">
        <f>_xlfn.XLOOKUP(CONT_TEA[[#This Row],[StaffRoleCode]],ROLES[StaffRoleCode],ROLES[PayScaleCode])</f>
        <v>MAIN</v>
      </c>
      <c r="AI287" s="12" t="s">
        <v>1126</v>
      </c>
      <c r="AJ287" s="12" t="s">
        <v>1745</v>
      </c>
      <c r="AK287" s="12" t="s">
        <v>2499</v>
      </c>
      <c r="AM287" s="68" t="s">
        <v>1147</v>
      </c>
      <c r="AN287" s="13" t="s">
        <v>1702</v>
      </c>
      <c r="AO287" s="21">
        <v>46023</v>
      </c>
      <c r="AQ287" s="12">
        <v>1</v>
      </c>
      <c r="AR287" t="b">
        <v>0</v>
      </c>
      <c r="AS287" t="b">
        <v>0</v>
      </c>
      <c r="AT287" s="12" t="s">
        <v>1574</v>
      </c>
    </row>
    <row r="288" spans="1:46" x14ac:dyDescent="0.3">
      <c r="A288" s="57" t="str">
        <f t="shared" si="6"/>
        <v>MLB10012813106136TEASTCH46023</v>
      </c>
      <c r="B288" s="57">
        <f>COUNTIF(CONT_TEA[Unique Contract],CONT_TEA[[#This Row],[Unique Contract]])-1</f>
        <v>0</v>
      </c>
      <c r="C288" s="57">
        <f>IFERROR(IF(FIND(CONT_TEA[[#This Row],[SchoolCode]],_xlfn.XLOOKUP(CONT_TEA[[#This Row],[StaffMemberCode]],MEMBERS[StaffMemberCode],MEMBERS[SchoolCodes]))&gt;0,0,1),1)</f>
        <v>0</v>
      </c>
      <c r="D288" s="57" cm="1">
        <f t="array" ref="D288">IF(_xlfn.XLOOKUP(CONT_TEA[[#This Row],[StaffRoleCode]],ROLES[StaffRoleCode],ROLES[AvailableToAllSchools],1,0,)=TRUE,0,IF(ISERROR(FIND(CONT_TEA[[#This Row],[SchoolCode]],_xlfn.TEXTJOIN(",",TRUE,_xlfn.UNIQUE(IF(ROLES[StaffRoleCode]=CONT_TEA[[#This Row],[StaffRoleCode]],ROLES[SchoolCodes],""))))),1,0))</f>
        <v>0</v>
      </c>
      <c r="E288" s="57" cm="1">
        <f t="array" ref="E28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88" s="57" cm="1">
        <f t="array" ref="F288">IF(_xlfn.XLOOKUP(CONT_TEA[[#This Row],[PayScaleCode]],PAYSCALES[PayScaleCode],PAYSCALES[AvailableToAllSchools],1,0,)=TRUE,0,IF(ISERROR(FIND(CONT_TEA[[#This Row],[SchoolCode]],_xlfn.TEXTJOIN(",",TRUE,_xlfn.UNIQUE(IF(PAYSCALES[PayScaleCode]=CONT_TEA[[#This Row],[PayScaleCode]],PAYSCALES[SchoolCodes],""))))),1,0))</f>
        <v>0</v>
      </c>
      <c r="G288" s="57">
        <f>IF(_xlfn.XLOOKUP(CONT_TEA[[#This Row],[PayScaleGradeCode]],GRADES[PayScaleGradeCode],GRADES[AvailableToAllSchools])=TRUE,0,IFERROR(IF(FIND(CONT_TEA[[#This Row],[SchoolCode]],_xlfn.XLOOKUP(CONT_TEA[[#This Row],[PayScaleGradeCode]],GRADES[PayScaleGradeCode],GRADES[SchoolCodes]))&gt;=1,0,1),1))</f>
        <v>0</v>
      </c>
      <c r="H288" s="57">
        <f>IF(ISERROR(IF((_xlfn.XLOOKUP(CONT_TEA[[#This Row],[PayScaleGradeCode]],GRADES[PayScaleGradeCode],GRADES[PayScaleCode])=CONT_TEA[[#This Row],[PayScaleCode]]),0,1)),1,0)</f>
        <v>0</v>
      </c>
      <c r="I288" s="57" cm="1">
        <f t="array" ref="I288">IF(ISERROR(FIND(CONT_TEA[[#This Row],[PayScalePointCode]],_xlfn.TEXTJOIN(",",TRUE,IF(PSPOINTS[PayScaleCode]=CONT_TEA[[#This Row],[PayScaleCode]],PSPOINTS[PayScalePointCode])))),1,0)</f>
        <v>0</v>
      </c>
      <c r="J288" s="57" cm="1">
        <f t="array" ref="J28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88" s="57">
        <f>IF(_xlfn.XLOOKUP(CONT_TEA[[#This Row],[PayScalePointCode]],PSPOINTS[PayScalePointCode],PSPOINTS[PayScalePointEnabled])=TRUE,0,1)</f>
        <v>0</v>
      </c>
      <c r="L288" s="57" cm="1">
        <f t="array" ref="L288">IF(_xlfn.XLOOKUP(CONT_TEA[[#This Row],[DepartmentCode]],DEPTS[DepartmentCode],DEPTS[AvailableToAllSchools],1,0,)=TRUE,0,IF(ISERROR(FIND(CONT_TEA[[#This Row],[SchoolCode]],_xlfn.TEXTJOIN(",",TRUE,_xlfn.UNIQUE(IF(DEPTS[DepartmentCode]=CONT_TEA[[#This Row],[DepartmentCode]],DEPTS[SchoolCodes],""))))),1,0))</f>
        <v>0</v>
      </c>
      <c r="M288" s="57">
        <f>IFERROR(IF(_xlfn.XLOOKUP(CONT_TEA[[#This Row],[SRG Gross]],FinanceCodesBudget[FinanceCode],FinanceCodesBudget[LedgerCode])=_xlfn.XLOOKUP(CONT_TEA[[#This Row],[DepartmentCode]],DEPTS[DepartmentCode],DEPTS[LedgerCode]),0,1),1)</f>
        <v>1</v>
      </c>
      <c r="N288" s="57" cm="1">
        <f t="array" ref="N288">IF(_xlfn.XLOOKUP(CONT_TEA[[#This Row],[PensionCode]],PENS[PensionCode],PENS[AvailableToAllSchools],1,0,)=TRUE,0,IF(ISERROR(FIND(CONT_TEA[[#This Row],[SchoolCode]],_xlfn.TEXTJOIN(",",TRUE,_xlfn.UNIQUE(IF(PENS[PensionCode]=CONT_TEA[[#This Row],[PensionCode]],PENS[SchoolCodes],""))))),1,0))</f>
        <v>0</v>
      </c>
      <c r="O288" s="57" cm="1">
        <f t="array" ref="O288">IF(_xlfn.XLOOKUP(CONT_TEA[[#This Row],[EquatedWeekPatternCode]],EQW[EquatedWeekPatternCode],EQW[AvailableToAllSchools],1,0,)=TRUE,0,IF(ISERROR(FIND(CONT_TEA[[#This Row],[SchoolCode]],_xlfn.TEXTJOIN(",",TRUE,_xlfn.UNIQUE(IF(EQW[EquatedWeekPatternCode]=CONT_TEA[[#This Row],[EquatedWeekPatternCode]],EQW[SchoolCodes],""))))),1,0))</f>
        <v>0</v>
      </c>
      <c r="P288" s="57">
        <f>1-COUNTIF(ContractTypes[Code],CONT_TEA[[#This Row],[ContractTypeCode]])</f>
        <v>0</v>
      </c>
      <c r="Q288" s="57">
        <f>IF(VLOOKUP(CONT_TEA[[#This Row],[StaffMemberCode]],MEMBERS[[StaffMemberCode]:[ServiceStartDate]],5,0)&gt;CONT_TEA[[#This Row],[DateFrom]],1,0)</f>
        <v>0</v>
      </c>
      <c r="R288" s="57">
        <f>IF(_xlfn.XLOOKUP(CONT_TEA[[#This Row],[StaffMemberCode]],MEMBERS[StaffMemberCode],MEMBERS[ServiceEndDate])="",0,IF(CONT_TEA[[#This Row],[DateTo]]="",1,IF(_xlfn.XLOOKUP(CONT_TEA[[#This Row],[StaffMemberCode]],MEMBERS[StaffMemberCode],MEMBERS[ServiceEndDate])&lt;CONT_TEA[[#This Row],[DateTo]],1,0)))</f>
        <v>0</v>
      </c>
      <c r="S288" s="57">
        <f>IF(ISBLANK(CONT_TEA[[#This Row],[DateTo]]),0,IF(CONT_TEA[[#This Row],[DateFrom]]=CONT_TEA[[#This Row],[DateTo]],0,IF(CONT_TEA[[#This Row],[DateFrom]]&lt;CONT_TEA[[#This Row],[DateTo]],0,1)))</f>
        <v>0</v>
      </c>
      <c r="T288" s="57" cm="1">
        <f t="array" aca="1" ref="T288" ca="1">IF(CELL("format",CONT_TEA[[#This Row],[DateFrom]])="D1",0,1)+IF(CELL("format",CONT_TEA[[#This Row],[DateTo]])="D1",0,1)</f>
        <v>0</v>
      </c>
      <c r="U288" s="57">
        <f>IF(OR(CONT_TEA[[#This Row],[MatEditOnly]]=TRUE,CONT_TEA[[#This Row],[MatEditOnly]]=FALSE),IF(OR(CONT_TEA[[#This Row],[NoIncrement]]=TRUE,CONT_TEA[[#This Row],[NoIncrement]]=FALSE),0,1),1)</f>
        <v>0</v>
      </c>
      <c r="V288" s="57">
        <f>IF(ISBLANK(CONT_TEA[[#This Row],[FundCode]])=TRUE,0,IF(COUNTIF(FUNDS[FundCode],CONT_TEA[[#This Row],[FundCode]])=1,0,1))</f>
        <v>0</v>
      </c>
      <c r="W288" s="57">
        <f>IF(LEN(CONT_TEA[[#This Row],[Notes]])&lt;4000,0,1)</f>
        <v>0</v>
      </c>
      <c r="X288" s="57">
        <f>IF(SUBSTITUTE(TEXT(CONT_TEA[[#This Row],[Reference]],10)," ","")=TEXT(CONT_TEA[[#This Row],[Reference]],10),0,1)</f>
        <v>0</v>
      </c>
      <c r="Y288" s="57">
        <f ca="1">SUM(CONT_TEA[[#This Row],[Duplicate Contract]:[Space in Code]])</f>
        <v>1</v>
      </c>
      <c r="AA288" s="12" t="s">
        <v>2126</v>
      </c>
      <c r="AB288" s="15">
        <v>10012813</v>
      </c>
      <c r="AC288" s="12">
        <v>106136</v>
      </c>
      <c r="AD288" s="57" t="str">
        <f>_xlfn.XLOOKUP(CONT_TEA[[#This Row],[StaffMemberCode]],StaffMembers!O:O,StaffMembers!R:R)</f>
        <v>Sarah Gibson</v>
      </c>
      <c r="AE288" s="12" t="s">
        <v>1178</v>
      </c>
      <c r="AF288" s="57">
        <f>_xlfn.XLOOKUP(CONT_TEA[[#This Row],[SRG]],SRG[StaffRoleGroupCode],SRG[GrossSalaryFinanceCode])</f>
        <v>612100</v>
      </c>
      <c r="AG288" s="57" t="str">
        <f>_xlfn.XLOOKUP(CONT_TEA[[#This Row],[StaffRoleCode]],ROLES[StaffRoleCode],ROLES[StaffRoleGroupCode])</f>
        <v>TEA</v>
      </c>
      <c r="AH288" s="57" t="str">
        <f>_xlfn.XLOOKUP(CONT_TEA[[#This Row],[StaffRoleCode]],ROLES[StaffRoleCode],ROLES[PayScaleCode])</f>
        <v>MAIN</v>
      </c>
      <c r="AI288" s="12" t="s">
        <v>1126</v>
      </c>
      <c r="AJ288" s="12" t="s">
        <v>1546</v>
      </c>
      <c r="AK288" s="12" t="s">
        <v>2499</v>
      </c>
      <c r="AM288" s="68" t="s">
        <v>1147</v>
      </c>
      <c r="AN288" s="13" t="s">
        <v>1702</v>
      </c>
      <c r="AO288" s="21">
        <v>46023</v>
      </c>
      <c r="AQ288" s="12">
        <v>1</v>
      </c>
      <c r="AR288" t="b">
        <v>0</v>
      </c>
      <c r="AS288" t="b">
        <v>0</v>
      </c>
      <c r="AT288" s="12" t="s">
        <v>1574</v>
      </c>
    </row>
    <row r="289" spans="1:46" x14ac:dyDescent="0.3">
      <c r="A289" s="57" t="str">
        <f t="shared" si="6"/>
        <v>MLB10005338106110TEASTCH46023</v>
      </c>
      <c r="B289" s="57">
        <f>COUNTIF(CONT_TEA[Unique Contract],CONT_TEA[[#This Row],[Unique Contract]])-1</f>
        <v>0</v>
      </c>
      <c r="C289" s="57">
        <f>IFERROR(IF(FIND(CONT_TEA[[#This Row],[SchoolCode]],_xlfn.XLOOKUP(CONT_TEA[[#This Row],[StaffMemberCode]],MEMBERS[StaffMemberCode],MEMBERS[SchoolCodes]))&gt;0,0,1),1)</f>
        <v>0</v>
      </c>
      <c r="D289" s="57" cm="1">
        <f t="array" ref="D289">IF(_xlfn.XLOOKUP(CONT_TEA[[#This Row],[StaffRoleCode]],ROLES[StaffRoleCode],ROLES[AvailableToAllSchools],1,0,)=TRUE,0,IF(ISERROR(FIND(CONT_TEA[[#This Row],[SchoolCode]],_xlfn.TEXTJOIN(",",TRUE,_xlfn.UNIQUE(IF(ROLES[StaffRoleCode]=CONT_TEA[[#This Row],[StaffRoleCode]],ROLES[SchoolCodes],""))))),1,0))</f>
        <v>0</v>
      </c>
      <c r="E289" s="57" cm="1">
        <f t="array" ref="E28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89" s="57" cm="1">
        <f t="array" ref="F289">IF(_xlfn.XLOOKUP(CONT_TEA[[#This Row],[PayScaleCode]],PAYSCALES[PayScaleCode],PAYSCALES[AvailableToAllSchools],1,0,)=TRUE,0,IF(ISERROR(FIND(CONT_TEA[[#This Row],[SchoolCode]],_xlfn.TEXTJOIN(",",TRUE,_xlfn.UNIQUE(IF(PAYSCALES[PayScaleCode]=CONT_TEA[[#This Row],[PayScaleCode]],PAYSCALES[SchoolCodes],""))))),1,0))</f>
        <v>0</v>
      </c>
      <c r="G289" s="57">
        <f>IF(_xlfn.XLOOKUP(CONT_TEA[[#This Row],[PayScaleGradeCode]],GRADES[PayScaleGradeCode],GRADES[AvailableToAllSchools])=TRUE,0,IFERROR(IF(FIND(CONT_TEA[[#This Row],[SchoolCode]],_xlfn.XLOOKUP(CONT_TEA[[#This Row],[PayScaleGradeCode]],GRADES[PayScaleGradeCode],GRADES[SchoolCodes]))&gt;=1,0,1),1))</f>
        <v>0</v>
      </c>
      <c r="H289" s="57">
        <f>IF(ISERROR(IF((_xlfn.XLOOKUP(CONT_TEA[[#This Row],[PayScaleGradeCode]],GRADES[PayScaleGradeCode],GRADES[PayScaleCode])=CONT_TEA[[#This Row],[PayScaleCode]]),0,1)),1,0)</f>
        <v>0</v>
      </c>
      <c r="I289" s="57" cm="1">
        <f t="array" ref="I289">IF(ISERROR(FIND(CONT_TEA[[#This Row],[PayScalePointCode]],_xlfn.TEXTJOIN(",",TRUE,IF(PSPOINTS[PayScaleCode]=CONT_TEA[[#This Row],[PayScaleCode]],PSPOINTS[PayScalePointCode])))),1,0)</f>
        <v>0</v>
      </c>
      <c r="J289" s="57" cm="1">
        <f t="array" ref="J28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89" s="57">
        <f>IF(_xlfn.XLOOKUP(CONT_TEA[[#This Row],[PayScalePointCode]],PSPOINTS[PayScalePointCode],PSPOINTS[PayScalePointEnabled])=TRUE,0,1)</f>
        <v>0</v>
      </c>
      <c r="L289" s="57" cm="1">
        <f t="array" ref="L289">IF(_xlfn.XLOOKUP(CONT_TEA[[#This Row],[DepartmentCode]],DEPTS[DepartmentCode],DEPTS[AvailableToAllSchools],1,0,)=TRUE,0,IF(ISERROR(FIND(CONT_TEA[[#This Row],[SchoolCode]],_xlfn.TEXTJOIN(",",TRUE,_xlfn.UNIQUE(IF(DEPTS[DepartmentCode]=CONT_TEA[[#This Row],[DepartmentCode]],DEPTS[SchoolCodes],""))))),1,0))</f>
        <v>0</v>
      </c>
      <c r="M289" s="57">
        <f>IFERROR(IF(_xlfn.XLOOKUP(CONT_TEA[[#This Row],[SRG Gross]],FinanceCodesBudget[FinanceCode],FinanceCodesBudget[LedgerCode])=_xlfn.XLOOKUP(CONT_TEA[[#This Row],[DepartmentCode]],DEPTS[DepartmentCode],DEPTS[LedgerCode]),0,1),1)</f>
        <v>1</v>
      </c>
      <c r="N289" s="57" cm="1">
        <f t="array" ref="N289">IF(_xlfn.XLOOKUP(CONT_TEA[[#This Row],[PensionCode]],PENS[PensionCode],PENS[AvailableToAllSchools],1,0,)=TRUE,0,IF(ISERROR(FIND(CONT_TEA[[#This Row],[SchoolCode]],_xlfn.TEXTJOIN(",",TRUE,_xlfn.UNIQUE(IF(PENS[PensionCode]=CONT_TEA[[#This Row],[PensionCode]],PENS[SchoolCodes],""))))),1,0))</f>
        <v>0</v>
      </c>
      <c r="O289" s="57" cm="1">
        <f t="array" ref="O289">IF(_xlfn.XLOOKUP(CONT_TEA[[#This Row],[EquatedWeekPatternCode]],EQW[EquatedWeekPatternCode],EQW[AvailableToAllSchools],1,0,)=TRUE,0,IF(ISERROR(FIND(CONT_TEA[[#This Row],[SchoolCode]],_xlfn.TEXTJOIN(",",TRUE,_xlfn.UNIQUE(IF(EQW[EquatedWeekPatternCode]=CONT_TEA[[#This Row],[EquatedWeekPatternCode]],EQW[SchoolCodes],""))))),1,0))</f>
        <v>0</v>
      </c>
      <c r="P289" s="57">
        <f>1-COUNTIF(ContractTypes[Code],CONT_TEA[[#This Row],[ContractTypeCode]])</f>
        <v>0</v>
      </c>
      <c r="Q289" s="57">
        <f>IF(VLOOKUP(CONT_TEA[[#This Row],[StaffMemberCode]],MEMBERS[[StaffMemberCode]:[ServiceStartDate]],5,0)&gt;CONT_TEA[[#This Row],[DateFrom]],1,0)</f>
        <v>0</v>
      </c>
      <c r="R289" s="57">
        <f>IF(_xlfn.XLOOKUP(CONT_TEA[[#This Row],[StaffMemberCode]],MEMBERS[StaffMemberCode],MEMBERS[ServiceEndDate])="",0,IF(CONT_TEA[[#This Row],[DateTo]]="",1,IF(_xlfn.XLOOKUP(CONT_TEA[[#This Row],[StaffMemberCode]],MEMBERS[StaffMemberCode],MEMBERS[ServiceEndDate])&lt;CONT_TEA[[#This Row],[DateTo]],1,0)))</f>
        <v>0</v>
      </c>
      <c r="S289" s="57">
        <f>IF(ISBLANK(CONT_TEA[[#This Row],[DateTo]]),0,IF(CONT_TEA[[#This Row],[DateFrom]]=CONT_TEA[[#This Row],[DateTo]],0,IF(CONT_TEA[[#This Row],[DateFrom]]&lt;CONT_TEA[[#This Row],[DateTo]],0,1)))</f>
        <v>0</v>
      </c>
      <c r="T289" s="57" cm="1">
        <f t="array" aca="1" ref="T289" ca="1">IF(CELL("format",CONT_TEA[[#This Row],[DateFrom]])="D1",0,1)+IF(CELL("format",CONT_TEA[[#This Row],[DateTo]])="D1",0,1)</f>
        <v>0</v>
      </c>
      <c r="U289" s="57">
        <f>IF(OR(CONT_TEA[[#This Row],[MatEditOnly]]=TRUE,CONT_TEA[[#This Row],[MatEditOnly]]=FALSE),IF(OR(CONT_TEA[[#This Row],[NoIncrement]]=TRUE,CONT_TEA[[#This Row],[NoIncrement]]=FALSE),0,1),1)</f>
        <v>0</v>
      </c>
      <c r="V289" s="57">
        <f>IF(ISBLANK(CONT_TEA[[#This Row],[FundCode]])=TRUE,0,IF(COUNTIF(FUNDS[FundCode],CONT_TEA[[#This Row],[FundCode]])=1,0,1))</f>
        <v>0</v>
      </c>
      <c r="W289" s="57">
        <f>IF(LEN(CONT_TEA[[#This Row],[Notes]])&lt;4000,0,1)</f>
        <v>0</v>
      </c>
      <c r="X289" s="57">
        <f>IF(SUBSTITUTE(TEXT(CONT_TEA[[#This Row],[Reference]],10)," ","")=TEXT(CONT_TEA[[#This Row],[Reference]],10),0,1)</f>
        <v>0</v>
      </c>
      <c r="Y289" s="57">
        <f ca="1">SUM(CONT_TEA[[#This Row],[Duplicate Contract]:[Space in Code]])</f>
        <v>1</v>
      </c>
      <c r="AA289" s="12" t="s">
        <v>2126</v>
      </c>
      <c r="AB289" s="15">
        <v>10005338</v>
      </c>
      <c r="AC289" s="12">
        <v>106110</v>
      </c>
      <c r="AD289" s="57" t="str">
        <f>_xlfn.XLOOKUP(CONT_TEA[[#This Row],[StaffMemberCode]],StaffMembers!O:O,StaffMembers!R:R)</f>
        <v>Alistair Reed</v>
      </c>
      <c r="AE289" s="12" t="s">
        <v>1178</v>
      </c>
      <c r="AF289" s="57">
        <f>_xlfn.XLOOKUP(CONT_TEA[[#This Row],[SRG]],SRG[StaffRoleGroupCode],SRG[GrossSalaryFinanceCode])</f>
        <v>612100</v>
      </c>
      <c r="AG289" s="57" t="str">
        <f>_xlfn.XLOOKUP(CONT_TEA[[#This Row],[StaffRoleCode]],ROLES[StaffRoleCode],ROLES[StaffRoleGroupCode])</f>
        <v>TEA</v>
      </c>
      <c r="AH289" s="57" t="str">
        <f>_xlfn.XLOOKUP(CONT_TEA[[#This Row],[StaffRoleCode]],ROLES[StaffRoleCode],ROLES[PayScaleCode])</f>
        <v>MAIN</v>
      </c>
      <c r="AI289" s="12" t="s">
        <v>1126</v>
      </c>
      <c r="AJ289" s="12" t="s">
        <v>1745</v>
      </c>
      <c r="AK289" s="12" t="s">
        <v>2499</v>
      </c>
      <c r="AM289" s="68" t="s">
        <v>1147</v>
      </c>
      <c r="AN289" s="13" t="s">
        <v>1702</v>
      </c>
      <c r="AO289" s="21">
        <v>46023</v>
      </c>
      <c r="AQ289" s="12">
        <v>1</v>
      </c>
      <c r="AR289" t="b">
        <v>0</v>
      </c>
      <c r="AS289" t="b">
        <v>0</v>
      </c>
      <c r="AT289" s="12" t="s">
        <v>1574</v>
      </c>
    </row>
    <row r="290" spans="1:46" x14ac:dyDescent="0.3">
      <c r="A290" s="57" t="str">
        <f t="shared" si="6"/>
        <v>MLB10006388107275TEASTCH46023</v>
      </c>
      <c r="B290" s="57">
        <f>COUNTIF(CONT_TEA[Unique Contract],CONT_TEA[[#This Row],[Unique Contract]])-1</f>
        <v>0</v>
      </c>
      <c r="C290" s="57">
        <f>IFERROR(IF(FIND(CONT_TEA[[#This Row],[SchoolCode]],_xlfn.XLOOKUP(CONT_TEA[[#This Row],[StaffMemberCode]],MEMBERS[StaffMemberCode],MEMBERS[SchoolCodes]))&gt;0,0,1),1)</f>
        <v>0</v>
      </c>
      <c r="D290" s="57" cm="1">
        <f t="array" ref="D290">IF(_xlfn.XLOOKUP(CONT_TEA[[#This Row],[StaffRoleCode]],ROLES[StaffRoleCode],ROLES[AvailableToAllSchools],1,0,)=TRUE,0,IF(ISERROR(FIND(CONT_TEA[[#This Row],[SchoolCode]],_xlfn.TEXTJOIN(",",TRUE,_xlfn.UNIQUE(IF(ROLES[StaffRoleCode]=CONT_TEA[[#This Row],[StaffRoleCode]],ROLES[SchoolCodes],""))))),1,0))</f>
        <v>0</v>
      </c>
      <c r="E290" s="57" cm="1">
        <f t="array" ref="E29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90" s="57" cm="1">
        <f t="array" ref="F290">IF(_xlfn.XLOOKUP(CONT_TEA[[#This Row],[PayScaleCode]],PAYSCALES[PayScaleCode],PAYSCALES[AvailableToAllSchools],1,0,)=TRUE,0,IF(ISERROR(FIND(CONT_TEA[[#This Row],[SchoolCode]],_xlfn.TEXTJOIN(",",TRUE,_xlfn.UNIQUE(IF(PAYSCALES[PayScaleCode]=CONT_TEA[[#This Row],[PayScaleCode]],PAYSCALES[SchoolCodes],""))))),1,0))</f>
        <v>0</v>
      </c>
      <c r="G290" s="57">
        <f>IF(_xlfn.XLOOKUP(CONT_TEA[[#This Row],[PayScaleGradeCode]],GRADES[PayScaleGradeCode],GRADES[AvailableToAllSchools])=TRUE,0,IFERROR(IF(FIND(CONT_TEA[[#This Row],[SchoolCode]],_xlfn.XLOOKUP(CONT_TEA[[#This Row],[PayScaleGradeCode]],GRADES[PayScaleGradeCode],GRADES[SchoolCodes]))&gt;=1,0,1),1))</f>
        <v>0</v>
      </c>
      <c r="H290" s="57">
        <f>IF(ISERROR(IF((_xlfn.XLOOKUP(CONT_TEA[[#This Row],[PayScaleGradeCode]],GRADES[PayScaleGradeCode],GRADES[PayScaleCode])=CONT_TEA[[#This Row],[PayScaleCode]]),0,1)),1,0)</f>
        <v>0</v>
      </c>
      <c r="I290" s="57" cm="1">
        <f t="array" ref="I290">IF(ISERROR(FIND(CONT_TEA[[#This Row],[PayScalePointCode]],_xlfn.TEXTJOIN(",",TRUE,IF(PSPOINTS[PayScaleCode]=CONT_TEA[[#This Row],[PayScaleCode]],PSPOINTS[PayScalePointCode])))),1,0)</f>
        <v>0</v>
      </c>
      <c r="J290" s="57" cm="1">
        <f t="array" ref="J29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90" s="57">
        <f>IF(_xlfn.XLOOKUP(CONT_TEA[[#This Row],[PayScalePointCode]],PSPOINTS[PayScalePointCode],PSPOINTS[PayScalePointEnabled])=TRUE,0,1)</f>
        <v>0</v>
      </c>
      <c r="L290" s="57" cm="1">
        <f t="array" ref="L290">IF(_xlfn.XLOOKUP(CONT_TEA[[#This Row],[DepartmentCode]],DEPTS[DepartmentCode],DEPTS[AvailableToAllSchools],1,0,)=TRUE,0,IF(ISERROR(FIND(CONT_TEA[[#This Row],[SchoolCode]],_xlfn.TEXTJOIN(",",TRUE,_xlfn.UNIQUE(IF(DEPTS[DepartmentCode]=CONT_TEA[[#This Row],[DepartmentCode]],DEPTS[SchoolCodes],""))))),1,0))</f>
        <v>0</v>
      </c>
      <c r="M290" s="57">
        <f>IFERROR(IF(_xlfn.XLOOKUP(CONT_TEA[[#This Row],[SRG Gross]],FinanceCodesBudget[FinanceCode],FinanceCodesBudget[LedgerCode])=_xlfn.XLOOKUP(CONT_TEA[[#This Row],[DepartmentCode]],DEPTS[DepartmentCode],DEPTS[LedgerCode]),0,1),1)</f>
        <v>1</v>
      </c>
      <c r="N290" s="57" cm="1">
        <f t="array" ref="N290">IF(_xlfn.XLOOKUP(CONT_TEA[[#This Row],[PensionCode]],PENS[PensionCode],PENS[AvailableToAllSchools],1,0,)=TRUE,0,IF(ISERROR(FIND(CONT_TEA[[#This Row],[SchoolCode]],_xlfn.TEXTJOIN(",",TRUE,_xlfn.UNIQUE(IF(PENS[PensionCode]=CONT_TEA[[#This Row],[PensionCode]],PENS[SchoolCodes],""))))),1,0))</f>
        <v>0</v>
      </c>
      <c r="O290" s="57" cm="1">
        <f t="array" ref="O290">IF(_xlfn.XLOOKUP(CONT_TEA[[#This Row],[EquatedWeekPatternCode]],EQW[EquatedWeekPatternCode],EQW[AvailableToAllSchools],1,0,)=TRUE,0,IF(ISERROR(FIND(CONT_TEA[[#This Row],[SchoolCode]],_xlfn.TEXTJOIN(",",TRUE,_xlfn.UNIQUE(IF(EQW[EquatedWeekPatternCode]=CONT_TEA[[#This Row],[EquatedWeekPatternCode]],EQW[SchoolCodes],""))))),1,0))</f>
        <v>0</v>
      </c>
      <c r="P290" s="57">
        <f>1-COUNTIF(ContractTypes[Code],CONT_TEA[[#This Row],[ContractTypeCode]])</f>
        <v>0</v>
      </c>
      <c r="Q290" s="57">
        <f>IF(VLOOKUP(CONT_TEA[[#This Row],[StaffMemberCode]],MEMBERS[[StaffMemberCode]:[ServiceStartDate]],5,0)&gt;CONT_TEA[[#This Row],[DateFrom]],1,0)</f>
        <v>0</v>
      </c>
      <c r="R290" s="57">
        <f>IF(_xlfn.XLOOKUP(CONT_TEA[[#This Row],[StaffMemberCode]],MEMBERS[StaffMemberCode],MEMBERS[ServiceEndDate])="",0,IF(CONT_TEA[[#This Row],[DateTo]]="",1,IF(_xlfn.XLOOKUP(CONT_TEA[[#This Row],[StaffMemberCode]],MEMBERS[StaffMemberCode],MEMBERS[ServiceEndDate])&lt;CONT_TEA[[#This Row],[DateTo]],1,0)))</f>
        <v>0</v>
      </c>
      <c r="S290" s="57">
        <f>IF(ISBLANK(CONT_TEA[[#This Row],[DateTo]]),0,IF(CONT_TEA[[#This Row],[DateFrom]]=CONT_TEA[[#This Row],[DateTo]],0,IF(CONT_TEA[[#This Row],[DateFrom]]&lt;CONT_TEA[[#This Row],[DateTo]],0,1)))</f>
        <v>0</v>
      </c>
      <c r="T290" s="57" cm="1">
        <f t="array" aca="1" ref="T290" ca="1">IF(CELL("format",CONT_TEA[[#This Row],[DateFrom]])="D1",0,1)+IF(CELL("format",CONT_TEA[[#This Row],[DateTo]])="D1",0,1)</f>
        <v>0</v>
      </c>
      <c r="U290" s="57">
        <f>IF(OR(CONT_TEA[[#This Row],[MatEditOnly]]=TRUE,CONT_TEA[[#This Row],[MatEditOnly]]=FALSE),IF(OR(CONT_TEA[[#This Row],[NoIncrement]]=TRUE,CONT_TEA[[#This Row],[NoIncrement]]=FALSE),0,1),1)</f>
        <v>0</v>
      </c>
      <c r="V290" s="57">
        <f>IF(ISBLANK(CONT_TEA[[#This Row],[FundCode]])=TRUE,0,IF(COUNTIF(FUNDS[FundCode],CONT_TEA[[#This Row],[FundCode]])=1,0,1))</f>
        <v>0</v>
      </c>
      <c r="W290" s="57">
        <f>IF(LEN(CONT_TEA[[#This Row],[Notes]])&lt;4000,0,1)</f>
        <v>0</v>
      </c>
      <c r="X290" s="57">
        <f>IF(SUBSTITUTE(TEXT(CONT_TEA[[#This Row],[Reference]],10)," ","")=TEXT(CONT_TEA[[#This Row],[Reference]],10),0,1)</f>
        <v>0</v>
      </c>
      <c r="Y290" s="57">
        <f ca="1">SUM(CONT_TEA[[#This Row],[Duplicate Contract]:[Space in Code]])</f>
        <v>1</v>
      </c>
      <c r="AA290" s="12" t="s">
        <v>2126</v>
      </c>
      <c r="AB290" s="15">
        <v>10006388</v>
      </c>
      <c r="AC290" s="12">
        <v>107275</v>
      </c>
      <c r="AD290" s="57" t="str">
        <f>_xlfn.XLOOKUP(CONT_TEA[[#This Row],[StaffMemberCode]],StaffMembers!O:O,StaffMembers!R:R)</f>
        <v>Craig Robinson</v>
      </c>
      <c r="AE290" s="12" t="s">
        <v>1178</v>
      </c>
      <c r="AF290" s="57">
        <f>_xlfn.XLOOKUP(CONT_TEA[[#This Row],[SRG]],SRG[StaffRoleGroupCode],SRG[GrossSalaryFinanceCode])</f>
        <v>612100</v>
      </c>
      <c r="AG290" s="57" t="str">
        <f>_xlfn.XLOOKUP(CONT_TEA[[#This Row],[StaffRoleCode]],ROLES[StaffRoleCode],ROLES[StaffRoleGroupCode])</f>
        <v>TEA</v>
      </c>
      <c r="AH290" s="57" t="str">
        <f>_xlfn.XLOOKUP(CONT_TEA[[#This Row],[StaffRoleCode]],ROLES[StaffRoleCode],ROLES[PayScaleCode])</f>
        <v>MAIN</v>
      </c>
      <c r="AI290" s="12" t="s">
        <v>1126</v>
      </c>
      <c r="AJ290" s="12" t="s">
        <v>1745</v>
      </c>
      <c r="AK290" s="12" t="s">
        <v>2499</v>
      </c>
      <c r="AM290" s="68" t="s">
        <v>1147</v>
      </c>
      <c r="AN290" s="13" t="s">
        <v>1702</v>
      </c>
      <c r="AO290" s="21">
        <v>46023</v>
      </c>
      <c r="AQ290" s="12">
        <v>1</v>
      </c>
      <c r="AR290" t="b">
        <v>0</v>
      </c>
      <c r="AS290" t="b">
        <v>0</v>
      </c>
      <c r="AT290" s="12" t="s">
        <v>1574</v>
      </c>
    </row>
    <row r="291" spans="1:46" x14ac:dyDescent="0.3">
      <c r="A291" s="57" t="str">
        <f t="shared" si="6"/>
        <v>MLB10014614108313TEASTCH46023</v>
      </c>
      <c r="B291" s="57">
        <f>COUNTIF(CONT_TEA[Unique Contract],CONT_TEA[[#This Row],[Unique Contract]])-1</f>
        <v>0</v>
      </c>
      <c r="C291" s="57">
        <f>IFERROR(IF(FIND(CONT_TEA[[#This Row],[SchoolCode]],_xlfn.XLOOKUP(CONT_TEA[[#This Row],[StaffMemberCode]],MEMBERS[StaffMemberCode],MEMBERS[SchoolCodes]))&gt;0,0,1),1)</f>
        <v>0</v>
      </c>
      <c r="D291" s="57" cm="1">
        <f t="array" ref="D291">IF(_xlfn.XLOOKUP(CONT_TEA[[#This Row],[StaffRoleCode]],ROLES[StaffRoleCode],ROLES[AvailableToAllSchools],1,0,)=TRUE,0,IF(ISERROR(FIND(CONT_TEA[[#This Row],[SchoolCode]],_xlfn.TEXTJOIN(",",TRUE,_xlfn.UNIQUE(IF(ROLES[StaffRoleCode]=CONT_TEA[[#This Row],[StaffRoleCode]],ROLES[SchoolCodes],""))))),1,0))</f>
        <v>0</v>
      </c>
      <c r="E291" s="57" cm="1">
        <f t="array" ref="E29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91" s="57" cm="1">
        <f t="array" ref="F291">IF(_xlfn.XLOOKUP(CONT_TEA[[#This Row],[PayScaleCode]],PAYSCALES[PayScaleCode],PAYSCALES[AvailableToAllSchools],1,0,)=TRUE,0,IF(ISERROR(FIND(CONT_TEA[[#This Row],[SchoolCode]],_xlfn.TEXTJOIN(",",TRUE,_xlfn.UNIQUE(IF(PAYSCALES[PayScaleCode]=CONT_TEA[[#This Row],[PayScaleCode]],PAYSCALES[SchoolCodes],""))))),1,0))</f>
        <v>0</v>
      </c>
      <c r="G291" s="57">
        <f>IF(_xlfn.XLOOKUP(CONT_TEA[[#This Row],[PayScaleGradeCode]],GRADES[PayScaleGradeCode],GRADES[AvailableToAllSchools])=TRUE,0,IFERROR(IF(FIND(CONT_TEA[[#This Row],[SchoolCode]],_xlfn.XLOOKUP(CONT_TEA[[#This Row],[PayScaleGradeCode]],GRADES[PayScaleGradeCode],GRADES[SchoolCodes]))&gt;=1,0,1),1))</f>
        <v>0</v>
      </c>
      <c r="H291" s="57">
        <f>IF(ISERROR(IF((_xlfn.XLOOKUP(CONT_TEA[[#This Row],[PayScaleGradeCode]],GRADES[PayScaleGradeCode],GRADES[PayScaleCode])=CONT_TEA[[#This Row],[PayScaleCode]]),0,1)),1,0)</f>
        <v>0</v>
      </c>
      <c r="I291" s="57" cm="1">
        <f t="array" ref="I291">IF(ISERROR(FIND(CONT_TEA[[#This Row],[PayScalePointCode]],_xlfn.TEXTJOIN(",",TRUE,IF(PSPOINTS[PayScaleCode]=CONT_TEA[[#This Row],[PayScaleCode]],PSPOINTS[PayScalePointCode])))),1,0)</f>
        <v>0</v>
      </c>
      <c r="J291" s="57" cm="1">
        <f t="array" ref="J29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91" s="57">
        <f>IF(_xlfn.XLOOKUP(CONT_TEA[[#This Row],[PayScalePointCode]],PSPOINTS[PayScalePointCode],PSPOINTS[PayScalePointEnabled])=TRUE,0,1)</f>
        <v>0</v>
      </c>
      <c r="L291" s="57" cm="1">
        <f t="array" ref="L291">IF(_xlfn.XLOOKUP(CONT_TEA[[#This Row],[DepartmentCode]],DEPTS[DepartmentCode],DEPTS[AvailableToAllSchools],1,0,)=TRUE,0,IF(ISERROR(FIND(CONT_TEA[[#This Row],[SchoolCode]],_xlfn.TEXTJOIN(",",TRUE,_xlfn.UNIQUE(IF(DEPTS[DepartmentCode]=CONT_TEA[[#This Row],[DepartmentCode]],DEPTS[SchoolCodes],""))))),1,0))</f>
        <v>0</v>
      </c>
      <c r="M291" s="57">
        <f>IFERROR(IF(_xlfn.XLOOKUP(CONT_TEA[[#This Row],[SRG Gross]],FinanceCodesBudget[FinanceCode],FinanceCodesBudget[LedgerCode])=_xlfn.XLOOKUP(CONT_TEA[[#This Row],[DepartmentCode]],DEPTS[DepartmentCode],DEPTS[LedgerCode]),0,1),1)</f>
        <v>1</v>
      </c>
      <c r="N291" s="57" cm="1">
        <f t="array" ref="N291">IF(_xlfn.XLOOKUP(CONT_TEA[[#This Row],[PensionCode]],PENS[PensionCode],PENS[AvailableToAllSchools],1,0,)=TRUE,0,IF(ISERROR(FIND(CONT_TEA[[#This Row],[SchoolCode]],_xlfn.TEXTJOIN(",",TRUE,_xlfn.UNIQUE(IF(PENS[PensionCode]=CONT_TEA[[#This Row],[PensionCode]],PENS[SchoolCodes],""))))),1,0))</f>
        <v>0</v>
      </c>
      <c r="O291" s="57" cm="1">
        <f t="array" ref="O291">IF(_xlfn.XLOOKUP(CONT_TEA[[#This Row],[EquatedWeekPatternCode]],EQW[EquatedWeekPatternCode],EQW[AvailableToAllSchools],1,0,)=TRUE,0,IF(ISERROR(FIND(CONT_TEA[[#This Row],[SchoolCode]],_xlfn.TEXTJOIN(",",TRUE,_xlfn.UNIQUE(IF(EQW[EquatedWeekPatternCode]=CONT_TEA[[#This Row],[EquatedWeekPatternCode]],EQW[SchoolCodes],""))))),1,0))</f>
        <v>0</v>
      </c>
      <c r="P291" s="57">
        <f>1-COUNTIF(ContractTypes[Code],CONT_TEA[[#This Row],[ContractTypeCode]])</f>
        <v>0</v>
      </c>
      <c r="Q291" s="57">
        <f>IF(VLOOKUP(CONT_TEA[[#This Row],[StaffMemberCode]],MEMBERS[[StaffMemberCode]:[ServiceStartDate]],5,0)&gt;CONT_TEA[[#This Row],[DateFrom]],1,0)</f>
        <v>0</v>
      </c>
      <c r="R291" s="57">
        <f>IF(_xlfn.XLOOKUP(CONT_TEA[[#This Row],[StaffMemberCode]],MEMBERS[StaffMemberCode],MEMBERS[ServiceEndDate])="",0,IF(CONT_TEA[[#This Row],[DateTo]]="",1,IF(_xlfn.XLOOKUP(CONT_TEA[[#This Row],[StaffMemberCode]],MEMBERS[StaffMemberCode],MEMBERS[ServiceEndDate])&lt;CONT_TEA[[#This Row],[DateTo]],1,0)))</f>
        <v>0</v>
      </c>
      <c r="S291" s="57">
        <f>IF(ISBLANK(CONT_TEA[[#This Row],[DateTo]]),0,IF(CONT_TEA[[#This Row],[DateFrom]]=CONT_TEA[[#This Row],[DateTo]],0,IF(CONT_TEA[[#This Row],[DateFrom]]&lt;CONT_TEA[[#This Row],[DateTo]],0,1)))</f>
        <v>0</v>
      </c>
      <c r="T291" s="57" cm="1">
        <f t="array" aca="1" ref="T291" ca="1">IF(CELL("format",CONT_TEA[[#This Row],[DateFrom]])="D1",0,1)+IF(CELL("format",CONT_TEA[[#This Row],[DateTo]])="D1",0,1)</f>
        <v>0</v>
      </c>
      <c r="U291" s="57">
        <f>IF(OR(CONT_TEA[[#This Row],[MatEditOnly]]=TRUE,CONT_TEA[[#This Row],[MatEditOnly]]=FALSE),IF(OR(CONT_TEA[[#This Row],[NoIncrement]]=TRUE,CONT_TEA[[#This Row],[NoIncrement]]=FALSE),0,1),1)</f>
        <v>0</v>
      </c>
      <c r="V291" s="57">
        <f>IF(ISBLANK(CONT_TEA[[#This Row],[FundCode]])=TRUE,0,IF(COUNTIF(FUNDS[FundCode],CONT_TEA[[#This Row],[FundCode]])=1,0,1))</f>
        <v>0</v>
      </c>
      <c r="W291" s="57">
        <f>IF(LEN(CONT_TEA[[#This Row],[Notes]])&lt;4000,0,1)</f>
        <v>0</v>
      </c>
      <c r="X291" s="57">
        <f>IF(SUBSTITUTE(TEXT(CONT_TEA[[#This Row],[Reference]],10)," ","")=TEXT(CONT_TEA[[#This Row],[Reference]],10),0,1)</f>
        <v>0</v>
      </c>
      <c r="Y291" s="57">
        <f ca="1">SUM(CONT_TEA[[#This Row],[Duplicate Contract]:[Space in Code]])</f>
        <v>1</v>
      </c>
      <c r="AA291" s="12" t="s">
        <v>2126</v>
      </c>
      <c r="AB291" s="15">
        <v>10014614</v>
      </c>
      <c r="AC291" s="12">
        <v>108313</v>
      </c>
      <c r="AD291" s="57" t="str">
        <f>_xlfn.XLOOKUP(CONT_TEA[[#This Row],[StaffMemberCode]],StaffMembers!O:O,StaffMembers!R:R)</f>
        <v>Emma Austin</v>
      </c>
      <c r="AE291" s="12" t="s">
        <v>1178</v>
      </c>
      <c r="AF291" s="57">
        <f>_xlfn.XLOOKUP(CONT_TEA[[#This Row],[SRG]],SRG[StaffRoleGroupCode],SRG[GrossSalaryFinanceCode])</f>
        <v>612100</v>
      </c>
      <c r="AG291" s="57" t="str">
        <f>_xlfn.XLOOKUP(CONT_TEA[[#This Row],[StaffRoleCode]],ROLES[StaffRoleCode],ROLES[StaffRoleGroupCode])</f>
        <v>TEA</v>
      </c>
      <c r="AH291" s="57" t="str">
        <f>_xlfn.XLOOKUP(CONT_TEA[[#This Row],[StaffRoleCode]],ROLES[StaffRoleCode],ROLES[PayScaleCode])</f>
        <v>MAIN</v>
      </c>
      <c r="AI291" s="12" t="s">
        <v>1126</v>
      </c>
      <c r="AJ291" s="12" t="s">
        <v>1745</v>
      </c>
      <c r="AK291" s="12" t="s">
        <v>2499</v>
      </c>
      <c r="AM291" s="68" t="s">
        <v>1147</v>
      </c>
      <c r="AN291" s="13" t="s">
        <v>1702</v>
      </c>
      <c r="AO291" s="21">
        <v>46023</v>
      </c>
      <c r="AQ291" s="12">
        <v>1</v>
      </c>
      <c r="AR291" t="b">
        <v>0</v>
      </c>
      <c r="AS291" t="b">
        <v>0</v>
      </c>
      <c r="AT291" s="12" t="s">
        <v>1574</v>
      </c>
    </row>
    <row r="292" spans="1:46" x14ac:dyDescent="0.3">
      <c r="A292" s="57" t="str">
        <f t="shared" ref="A292:A323" si="7">AA292&amp;AB292&amp;AC292&amp;AE292&amp;AK292&amp;AO292</f>
        <v>MLB10015776109812TEASTCH46023</v>
      </c>
      <c r="B292" s="57">
        <f>COUNTIF(CONT_TEA[Unique Contract],CONT_TEA[[#This Row],[Unique Contract]])-1</f>
        <v>0</v>
      </c>
      <c r="C292" s="57">
        <f>IFERROR(IF(FIND(CONT_TEA[[#This Row],[SchoolCode]],_xlfn.XLOOKUP(CONT_TEA[[#This Row],[StaffMemberCode]],MEMBERS[StaffMemberCode],MEMBERS[SchoolCodes]))&gt;0,0,1),1)</f>
        <v>0</v>
      </c>
      <c r="D292" s="57" cm="1">
        <f t="array" ref="D292">IF(_xlfn.XLOOKUP(CONT_TEA[[#This Row],[StaffRoleCode]],ROLES[StaffRoleCode],ROLES[AvailableToAllSchools],1,0,)=TRUE,0,IF(ISERROR(FIND(CONT_TEA[[#This Row],[SchoolCode]],_xlfn.TEXTJOIN(",",TRUE,_xlfn.UNIQUE(IF(ROLES[StaffRoleCode]=CONT_TEA[[#This Row],[StaffRoleCode]],ROLES[SchoolCodes],""))))),1,0))</f>
        <v>0</v>
      </c>
      <c r="E292" s="57" cm="1">
        <f t="array" ref="E29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92" s="57" cm="1">
        <f t="array" ref="F292">IF(_xlfn.XLOOKUP(CONT_TEA[[#This Row],[PayScaleCode]],PAYSCALES[PayScaleCode],PAYSCALES[AvailableToAllSchools],1,0,)=TRUE,0,IF(ISERROR(FIND(CONT_TEA[[#This Row],[SchoolCode]],_xlfn.TEXTJOIN(",",TRUE,_xlfn.UNIQUE(IF(PAYSCALES[PayScaleCode]=CONT_TEA[[#This Row],[PayScaleCode]],PAYSCALES[SchoolCodes],""))))),1,0))</f>
        <v>0</v>
      </c>
      <c r="G292" s="57">
        <f>IF(_xlfn.XLOOKUP(CONT_TEA[[#This Row],[PayScaleGradeCode]],GRADES[PayScaleGradeCode],GRADES[AvailableToAllSchools])=TRUE,0,IFERROR(IF(FIND(CONT_TEA[[#This Row],[SchoolCode]],_xlfn.XLOOKUP(CONT_TEA[[#This Row],[PayScaleGradeCode]],GRADES[PayScaleGradeCode],GRADES[SchoolCodes]))&gt;=1,0,1),1))</f>
        <v>0</v>
      </c>
      <c r="H292" s="57">
        <f>IF(ISERROR(IF((_xlfn.XLOOKUP(CONT_TEA[[#This Row],[PayScaleGradeCode]],GRADES[PayScaleGradeCode],GRADES[PayScaleCode])=CONT_TEA[[#This Row],[PayScaleCode]]),0,1)),1,0)</f>
        <v>0</v>
      </c>
      <c r="I292" s="57" cm="1">
        <f t="array" ref="I292">IF(ISERROR(FIND(CONT_TEA[[#This Row],[PayScalePointCode]],_xlfn.TEXTJOIN(",",TRUE,IF(PSPOINTS[PayScaleCode]=CONT_TEA[[#This Row],[PayScaleCode]],PSPOINTS[PayScalePointCode])))),1,0)</f>
        <v>0</v>
      </c>
      <c r="J292" s="57" cm="1">
        <f t="array" ref="J29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92" s="57">
        <f>IF(_xlfn.XLOOKUP(CONT_TEA[[#This Row],[PayScalePointCode]],PSPOINTS[PayScalePointCode],PSPOINTS[PayScalePointEnabled])=TRUE,0,1)</f>
        <v>0</v>
      </c>
      <c r="L292" s="57" cm="1">
        <f t="array" ref="L292">IF(_xlfn.XLOOKUP(CONT_TEA[[#This Row],[DepartmentCode]],DEPTS[DepartmentCode],DEPTS[AvailableToAllSchools],1,0,)=TRUE,0,IF(ISERROR(FIND(CONT_TEA[[#This Row],[SchoolCode]],_xlfn.TEXTJOIN(",",TRUE,_xlfn.UNIQUE(IF(DEPTS[DepartmentCode]=CONT_TEA[[#This Row],[DepartmentCode]],DEPTS[SchoolCodes],""))))),1,0))</f>
        <v>0</v>
      </c>
      <c r="M292" s="57">
        <f>IFERROR(IF(_xlfn.XLOOKUP(CONT_TEA[[#This Row],[SRG Gross]],FinanceCodesBudget[FinanceCode],FinanceCodesBudget[LedgerCode])=_xlfn.XLOOKUP(CONT_TEA[[#This Row],[DepartmentCode]],DEPTS[DepartmentCode],DEPTS[LedgerCode]),0,1),1)</f>
        <v>1</v>
      </c>
      <c r="N292" s="57" cm="1">
        <f t="array" ref="N292">IF(_xlfn.XLOOKUP(CONT_TEA[[#This Row],[PensionCode]],PENS[PensionCode],PENS[AvailableToAllSchools],1,0,)=TRUE,0,IF(ISERROR(FIND(CONT_TEA[[#This Row],[SchoolCode]],_xlfn.TEXTJOIN(",",TRUE,_xlfn.UNIQUE(IF(PENS[PensionCode]=CONT_TEA[[#This Row],[PensionCode]],PENS[SchoolCodes],""))))),1,0))</f>
        <v>0</v>
      </c>
      <c r="O292" s="57" cm="1">
        <f t="array" ref="O292">IF(_xlfn.XLOOKUP(CONT_TEA[[#This Row],[EquatedWeekPatternCode]],EQW[EquatedWeekPatternCode],EQW[AvailableToAllSchools],1,0,)=TRUE,0,IF(ISERROR(FIND(CONT_TEA[[#This Row],[SchoolCode]],_xlfn.TEXTJOIN(",",TRUE,_xlfn.UNIQUE(IF(EQW[EquatedWeekPatternCode]=CONT_TEA[[#This Row],[EquatedWeekPatternCode]],EQW[SchoolCodes],""))))),1,0))</f>
        <v>0</v>
      </c>
      <c r="P292" s="57">
        <f>1-COUNTIF(ContractTypes[Code],CONT_TEA[[#This Row],[ContractTypeCode]])</f>
        <v>0</v>
      </c>
      <c r="Q292" s="57">
        <f>IF(VLOOKUP(CONT_TEA[[#This Row],[StaffMemberCode]],MEMBERS[[StaffMemberCode]:[ServiceStartDate]],5,0)&gt;CONT_TEA[[#This Row],[DateFrom]],1,0)</f>
        <v>0</v>
      </c>
      <c r="R292" s="57">
        <f>IF(_xlfn.XLOOKUP(CONT_TEA[[#This Row],[StaffMemberCode]],MEMBERS[StaffMemberCode],MEMBERS[ServiceEndDate])="",0,IF(CONT_TEA[[#This Row],[DateTo]]="",1,IF(_xlfn.XLOOKUP(CONT_TEA[[#This Row],[StaffMemberCode]],MEMBERS[StaffMemberCode],MEMBERS[ServiceEndDate])&lt;CONT_TEA[[#This Row],[DateTo]],1,0)))</f>
        <v>0</v>
      </c>
      <c r="S292" s="57">
        <f>IF(ISBLANK(CONT_TEA[[#This Row],[DateTo]]),0,IF(CONT_TEA[[#This Row],[DateFrom]]=CONT_TEA[[#This Row],[DateTo]],0,IF(CONT_TEA[[#This Row],[DateFrom]]&lt;CONT_TEA[[#This Row],[DateTo]],0,1)))</f>
        <v>0</v>
      </c>
      <c r="T292" s="57" cm="1">
        <f t="array" aca="1" ref="T292" ca="1">IF(CELL("format",CONT_TEA[[#This Row],[DateFrom]])="D1",0,1)+IF(CELL("format",CONT_TEA[[#This Row],[DateTo]])="D1",0,1)</f>
        <v>0</v>
      </c>
      <c r="U292" s="57">
        <f>IF(OR(CONT_TEA[[#This Row],[MatEditOnly]]=TRUE,CONT_TEA[[#This Row],[MatEditOnly]]=FALSE),IF(OR(CONT_TEA[[#This Row],[NoIncrement]]=TRUE,CONT_TEA[[#This Row],[NoIncrement]]=FALSE),0,1),1)</f>
        <v>0</v>
      </c>
      <c r="V292" s="57">
        <f>IF(ISBLANK(CONT_TEA[[#This Row],[FundCode]])=TRUE,0,IF(COUNTIF(FUNDS[FundCode],CONT_TEA[[#This Row],[FundCode]])=1,0,1))</f>
        <v>0</v>
      </c>
      <c r="W292" s="57">
        <f>IF(LEN(CONT_TEA[[#This Row],[Notes]])&lt;4000,0,1)</f>
        <v>0</v>
      </c>
      <c r="X292" s="57">
        <f>IF(SUBSTITUTE(TEXT(CONT_TEA[[#This Row],[Reference]],10)," ","")=TEXT(CONT_TEA[[#This Row],[Reference]],10),0,1)</f>
        <v>0</v>
      </c>
      <c r="Y292" s="57">
        <f ca="1">SUM(CONT_TEA[[#This Row],[Duplicate Contract]:[Space in Code]])</f>
        <v>1</v>
      </c>
      <c r="AA292" s="12" t="s">
        <v>2126</v>
      </c>
      <c r="AB292" s="15">
        <v>10015776</v>
      </c>
      <c r="AC292" s="12">
        <v>109812</v>
      </c>
      <c r="AD292" s="57" t="str">
        <f>_xlfn.XLOOKUP(CONT_TEA[[#This Row],[StaffMemberCode]],StaffMembers!O:O,StaffMembers!R:R)</f>
        <v>Geoffrey Smith</v>
      </c>
      <c r="AE292" s="12" t="s">
        <v>1178</v>
      </c>
      <c r="AF292" s="57">
        <f>_xlfn.XLOOKUP(CONT_TEA[[#This Row],[SRG]],SRG[StaffRoleGroupCode],SRG[GrossSalaryFinanceCode])</f>
        <v>612100</v>
      </c>
      <c r="AG292" s="57" t="str">
        <f>_xlfn.XLOOKUP(CONT_TEA[[#This Row],[StaffRoleCode]],ROLES[StaffRoleCode],ROLES[StaffRoleGroupCode])</f>
        <v>TEA</v>
      </c>
      <c r="AH292" s="57" t="str">
        <f>_xlfn.XLOOKUP(CONT_TEA[[#This Row],[StaffRoleCode]],ROLES[StaffRoleCode],ROLES[PayScaleCode])</f>
        <v>MAIN</v>
      </c>
      <c r="AI292" s="12" t="s">
        <v>1126</v>
      </c>
      <c r="AJ292" s="12" t="s">
        <v>1745</v>
      </c>
      <c r="AK292" s="12" t="s">
        <v>2499</v>
      </c>
      <c r="AM292" s="68" t="s">
        <v>1147</v>
      </c>
      <c r="AN292" s="13" t="s">
        <v>1702</v>
      </c>
      <c r="AO292" s="21">
        <v>46023</v>
      </c>
      <c r="AQ292" s="12">
        <v>1</v>
      </c>
      <c r="AR292" t="b">
        <v>0</v>
      </c>
      <c r="AS292" t="b">
        <v>0</v>
      </c>
      <c r="AT292" s="12" t="s">
        <v>1574</v>
      </c>
    </row>
    <row r="293" spans="1:46" x14ac:dyDescent="0.3">
      <c r="A293" s="57" t="str">
        <f t="shared" si="7"/>
        <v>MLB10005371106149TEASTCH46023</v>
      </c>
      <c r="B293" s="57">
        <f>COUNTIF(CONT_TEA[Unique Contract],CONT_TEA[[#This Row],[Unique Contract]])-1</f>
        <v>0</v>
      </c>
      <c r="C293" s="57">
        <f>IFERROR(IF(FIND(CONT_TEA[[#This Row],[SchoolCode]],_xlfn.XLOOKUP(CONT_TEA[[#This Row],[StaffMemberCode]],MEMBERS[StaffMemberCode],MEMBERS[SchoolCodes]))&gt;0,0,1),1)</f>
        <v>0</v>
      </c>
      <c r="D293" s="57" cm="1">
        <f t="array" ref="D293">IF(_xlfn.XLOOKUP(CONT_TEA[[#This Row],[StaffRoleCode]],ROLES[StaffRoleCode],ROLES[AvailableToAllSchools],1,0,)=TRUE,0,IF(ISERROR(FIND(CONT_TEA[[#This Row],[SchoolCode]],_xlfn.TEXTJOIN(",",TRUE,_xlfn.UNIQUE(IF(ROLES[StaffRoleCode]=CONT_TEA[[#This Row],[StaffRoleCode]],ROLES[SchoolCodes],""))))),1,0))</f>
        <v>0</v>
      </c>
      <c r="E293" s="57" cm="1">
        <f t="array" ref="E29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93" s="57" cm="1">
        <f t="array" ref="F293">IF(_xlfn.XLOOKUP(CONT_TEA[[#This Row],[PayScaleCode]],PAYSCALES[PayScaleCode],PAYSCALES[AvailableToAllSchools],1,0,)=TRUE,0,IF(ISERROR(FIND(CONT_TEA[[#This Row],[SchoolCode]],_xlfn.TEXTJOIN(",",TRUE,_xlfn.UNIQUE(IF(PAYSCALES[PayScaleCode]=CONT_TEA[[#This Row],[PayScaleCode]],PAYSCALES[SchoolCodes],""))))),1,0))</f>
        <v>0</v>
      </c>
      <c r="G293" s="57">
        <f>IF(_xlfn.XLOOKUP(CONT_TEA[[#This Row],[PayScaleGradeCode]],GRADES[PayScaleGradeCode],GRADES[AvailableToAllSchools])=TRUE,0,IFERROR(IF(FIND(CONT_TEA[[#This Row],[SchoolCode]],_xlfn.XLOOKUP(CONT_TEA[[#This Row],[PayScaleGradeCode]],GRADES[PayScaleGradeCode],GRADES[SchoolCodes]))&gt;=1,0,1),1))</f>
        <v>0</v>
      </c>
      <c r="H293" s="57">
        <f>IF(ISERROR(IF((_xlfn.XLOOKUP(CONT_TEA[[#This Row],[PayScaleGradeCode]],GRADES[PayScaleGradeCode],GRADES[PayScaleCode])=CONT_TEA[[#This Row],[PayScaleCode]]),0,1)),1,0)</f>
        <v>0</v>
      </c>
      <c r="I293" s="57" cm="1">
        <f t="array" ref="I293">IF(ISERROR(FIND(CONT_TEA[[#This Row],[PayScalePointCode]],_xlfn.TEXTJOIN(",",TRUE,IF(PSPOINTS[PayScaleCode]=CONT_TEA[[#This Row],[PayScaleCode]],PSPOINTS[PayScalePointCode])))),1,0)</f>
        <v>0</v>
      </c>
      <c r="J293" s="57" cm="1">
        <f t="array" ref="J29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93" s="57">
        <f>IF(_xlfn.XLOOKUP(CONT_TEA[[#This Row],[PayScalePointCode]],PSPOINTS[PayScalePointCode],PSPOINTS[PayScalePointEnabled])=TRUE,0,1)</f>
        <v>0</v>
      </c>
      <c r="L293" s="57" cm="1">
        <f t="array" ref="L293">IF(_xlfn.XLOOKUP(CONT_TEA[[#This Row],[DepartmentCode]],DEPTS[DepartmentCode],DEPTS[AvailableToAllSchools],1,0,)=TRUE,0,IF(ISERROR(FIND(CONT_TEA[[#This Row],[SchoolCode]],_xlfn.TEXTJOIN(",",TRUE,_xlfn.UNIQUE(IF(DEPTS[DepartmentCode]=CONT_TEA[[#This Row],[DepartmentCode]],DEPTS[SchoolCodes],""))))),1,0))</f>
        <v>0</v>
      </c>
      <c r="M293" s="57">
        <f>IFERROR(IF(_xlfn.XLOOKUP(CONT_TEA[[#This Row],[SRG Gross]],FinanceCodesBudget[FinanceCode],FinanceCodesBudget[LedgerCode])=_xlfn.XLOOKUP(CONT_TEA[[#This Row],[DepartmentCode]],DEPTS[DepartmentCode],DEPTS[LedgerCode]),0,1),1)</f>
        <v>1</v>
      </c>
      <c r="N293" s="57" cm="1">
        <f t="array" ref="N293">IF(_xlfn.XLOOKUP(CONT_TEA[[#This Row],[PensionCode]],PENS[PensionCode],PENS[AvailableToAllSchools],1,0,)=TRUE,0,IF(ISERROR(FIND(CONT_TEA[[#This Row],[SchoolCode]],_xlfn.TEXTJOIN(",",TRUE,_xlfn.UNIQUE(IF(PENS[PensionCode]=CONT_TEA[[#This Row],[PensionCode]],PENS[SchoolCodes],""))))),1,0))</f>
        <v>0</v>
      </c>
      <c r="O293" s="57" cm="1">
        <f t="array" ref="O293">IF(_xlfn.XLOOKUP(CONT_TEA[[#This Row],[EquatedWeekPatternCode]],EQW[EquatedWeekPatternCode],EQW[AvailableToAllSchools],1,0,)=TRUE,0,IF(ISERROR(FIND(CONT_TEA[[#This Row],[SchoolCode]],_xlfn.TEXTJOIN(",",TRUE,_xlfn.UNIQUE(IF(EQW[EquatedWeekPatternCode]=CONT_TEA[[#This Row],[EquatedWeekPatternCode]],EQW[SchoolCodes],""))))),1,0))</f>
        <v>0</v>
      </c>
      <c r="P293" s="57">
        <f>1-COUNTIF(ContractTypes[Code],CONT_TEA[[#This Row],[ContractTypeCode]])</f>
        <v>0</v>
      </c>
      <c r="Q293" s="57">
        <f>IF(VLOOKUP(CONT_TEA[[#This Row],[StaffMemberCode]],MEMBERS[[StaffMemberCode]:[ServiceStartDate]],5,0)&gt;CONT_TEA[[#This Row],[DateFrom]],1,0)</f>
        <v>0</v>
      </c>
      <c r="R293" s="57">
        <f>IF(_xlfn.XLOOKUP(CONT_TEA[[#This Row],[StaffMemberCode]],MEMBERS[StaffMemberCode],MEMBERS[ServiceEndDate])="",0,IF(CONT_TEA[[#This Row],[DateTo]]="",1,IF(_xlfn.XLOOKUP(CONT_TEA[[#This Row],[StaffMemberCode]],MEMBERS[StaffMemberCode],MEMBERS[ServiceEndDate])&lt;CONT_TEA[[#This Row],[DateTo]],1,0)))</f>
        <v>0</v>
      </c>
      <c r="S293" s="57">
        <f>IF(ISBLANK(CONT_TEA[[#This Row],[DateTo]]),0,IF(CONT_TEA[[#This Row],[DateFrom]]=CONT_TEA[[#This Row],[DateTo]],0,IF(CONT_TEA[[#This Row],[DateFrom]]&lt;CONT_TEA[[#This Row],[DateTo]],0,1)))</f>
        <v>0</v>
      </c>
      <c r="T293" s="57" cm="1">
        <f t="array" aca="1" ref="T293" ca="1">IF(CELL("format",CONT_TEA[[#This Row],[DateFrom]])="D1",0,1)+IF(CELL("format",CONT_TEA[[#This Row],[DateTo]])="D1",0,1)</f>
        <v>0</v>
      </c>
      <c r="U293" s="57">
        <f>IF(OR(CONT_TEA[[#This Row],[MatEditOnly]]=TRUE,CONT_TEA[[#This Row],[MatEditOnly]]=FALSE),IF(OR(CONT_TEA[[#This Row],[NoIncrement]]=TRUE,CONT_TEA[[#This Row],[NoIncrement]]=FALSE),0,1),1)</f>
        <v>0</v>
      </c>
      <c r="V293" s="57">
        <f>IF(ISBLANK(CONT_TEA[[#This Row],[FundCode]])=TRUE,0,IF(COUNTIF(FUNDS[FundCode],CONT_TEA[[#This Row],[FundCode]])=1,0,1))</f>
        <v>0</v>
      </c>
      <c r="W293" s="57">
        <f>IF(LEN(CONT_TEA[[#This Row],[Notes]])&lt;4000,0,1)</f>
        <v>0</v>
      </c>
      <c r="X293" s="57">
        <f>IF(SUBSTITUTE(TEXT(CONT_TEA[[#This Row],[Reference]],10)," ","")=TEXT(CONT_TEA[[#This Row],[Reference]],10),0,1)</f>
        <v>0</v>
      </c>
      <c r="Y293" s="57">
        <f ca="1">SUM(CONT_TEA[[#This Row],[Duplicate Contract]:[Space in Code]])</f>
        <v>1</v>
      </c>
      <c r="AA293" s="12" t="s">
        <v>2126</v>
      </c>
      <c r="AB293" s="15">
        <v>10005371</v>
      </c>
      <c r="AC293" s="12">
        <v>106149</v>
      </c>
      <c r="AD293" s="57" t="str">
        <f>_xlfn.XLOOKUP(CONT_TEA[[#This Row],[StaffMemberCode]],StaffMembers!O:O,StaffMembers!R:R)</f>
        <v>Stewart Cope</v>
      </c>
      <c r="AE293" s="12" t="s">
        <v>1178</v>
      </c>
      <c r="AF293" s="57">
        <f>_xlfn.XLOOKUP(CONT_TEA[[#This Row],[SRG]],SRG[StaffRoleGroupCode],SRG[GrossSalaryFinanceCode])</f>
        <v>612100</v>
      </c>
      <c r="AG293" s="57" t="str">
        <f>_xlfn.XLOOKUP(CONT_TEA[[#This Row],[StaffRoleCode]],ROLES[StaffRoleCode],ROLES[StaffRoleGroupCode])</f>
        <v>TEA</v>
      </c>
      <c r="AH293" s="57" t="str">
        <f>_xlfn.XLOOKUP(CONT_TEA[[#This Row],[StaffRoleCode]],ROLES[StaffRoleCode],ROLES[PayScaleCode])</f>
        <v>MAIN</v>
      </c>
      <c r="AI293" s="12" t="s">
        <v>1126</v>
      </c>
      <c r="AJ293" s="12" t="s">
        <v>1745</v>
      </c>
      <c r="AK293" s="12" t="s">
        <v>2499</v>
      </c>
      <c r="AM293" s="68" t="s">
        <v>1147</v>
      </c>
      <c r="AN293" s="13" t="s">
        <v>1702</v>
      </c>
      <c r="AO293" s="21">
        <v>46023</v>
      </c>
      <c r="AQ293" s="12">
        <v>1</v>
      </c>
      <c r="AR293" t="b">
        <v>0</v>
      </c>
      <c r="AS293" t="b">
        <v>0</v>
      </c>
      <c r="AT293" s="12" t="s">
        <v>1574</v>
      </c>
    </row>
    <row r="294" spans="1:46" x14ac:dyDescent="0.3">
      <c r="A294" s="57" t="str">
        <f t="shared" si="7"/>
        <v>MLB10016223106134TEASTCH46023</v>
      </c>
      <c r="B294" s="57">
        <f>COUNTIF(CONT_TEA[Unique Contract],CONT_TEA[[#This Row],[Unique Contract]])-1</f>
        <v>0</v>
      </c>
      <c r="C294" s="57">
        <f>IFERROR(IF(FIND(CONT_TEA[[#This Row],[SchoolCode]],_xlfn.XLOOKUP(CONT_TEA[[#This Row],[StaffMemberCode]],MEMBERS[StaffMemberCode],MEMBERS[SchoolCodes]))&gt;0,0,1),1)</f>
        <v>0</v>
      </c>
      <c r="D294" s="57" cm="1">
        <f t="array" ref="D294">IF(_xlfn.XLOOKUP(CONT_TEA[[#This Row],[StaffRoleCode]],ROLES[StaffRoleCode],ROLES[AvailableToAllSchools],1,0,)=TRUE,0,IF(ISERROR(FIND(CONT_TEA[[#This Row],[SchoolCode]],_xlfn.TEXTJOIN(",",TRUE,_xlfn.UNIQUE(IF(ROLES[StaffRoleCode]=CONT_TEA[[#This Row],[StaffRoleCode]],ROLES[SchoolCodes],""))))),1,0))</f>
        <v>0</v>
      </c>
      <c r="E294" s="57" cm="1">
        <f t="array" ref="E29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94" s="57" cm="1">
        <f t="array" ref="F294">IF(_xlfn.XLOOKUP(CONT_TEA[[#This Row],[PayScaleCode]],PAYSCALES[PayScaleCode],PAYSCALES[AvailableToAllSchools],1,0,)=TRUE,0,IF(ISERROR(FIND(CONT_TEA[[#This Row],[SchoolCode]],_xlfn.TEXTJOIN(",",TRUE,_xlfn.UNIQUE(IF(PAYSCALES[PayScaleCode]=CONT_TEA[[#This Row],[PayScaleCode]],PAYSCALES[SchoolCodes],""))))),1,0))</f>
        <v>0</v>
      </c>
      <c r="G294" s="57">
        <f>IF(_xlfn.XLOOKUP(CONT_TEA[[#This Row],[PayScaleGradeCode]],GRADES[PayScaleGradeCode],GRADES[AvailableToAllSchools])=TRUE,0,IFERROR(IF(FIND(CONT_TEA[[#This Row],[SchoolCode]],_xlfn.XLOOKUP(CONT_TEA[[#This Row],[PayScaleGradeCode]],GRADES[PayScaleGradeCode],GRADES[SchoolCodes]))&gt;=1,0,1),1))</f>
        <v>0</v>
      </c>
      <c r="H294" s="57">
        <f>IF(ISERROR(IF((_xlfn.XLOOKUP(CONT_TEA[[#This Row],[PayScaleGradeCode]],GRADES[PayScaleGradeCode],GRADES[PayScaleCode])=CONT_TEA[[#This Row],[PayScaleCode]]),0,1)),1,0)</f>
        <v>0</v>
      </c>
      <c r="I294" s="57" cm="1">
        <f t="array" ref="I294">IF(ISERROR(FIND(CONT_TEA[[#This Row],[PayScalePointCode]],_xlfn.TEXTJOIN(",",TRUE,IF(PSPOINTS[PayScaleCode]=CONT_TEA[[#This Row],[PayScaleCode]],PSPOINTS[PayScalePointCode])))),1,0)</f>
        <v>0</v>
      </c>
      <c r="J294" s="57" cm="1">
        <f t="array" ref="J29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94" s="57">
        <f>IF(_xlfn.XLOOKUP(CONT_TEA[[#This Row],[PayScalePointCode]],PSPOINTS[PayScalePointCode],PSPOINTS[PayScalePointEnabled])=TRUE,0,1)</f>
        <v>0</v>
      </c>
      <c r="L294" s="57" cm="1">
        <f t="array" ref="L294">IF(_xlfn.XLOOKUP(CONT_TEA[[#This Row],[DepartmentCode]],DEPTS[DepartmentCode],DEPTS[AvailableToAllSchools],1,0,)=TRUE,0,IF(ISERROR(FIND(CONT_TEA[[#This Row],[SchoolCode]],_xlfn.TEXTJOIN(",",TRUE,_xlfn.UNIQUE(IF(DEPTS[DepartmentCode]=CONT_TEA[[#This Row],[DepartmentCode]],DEPTS[SchoolCodes],""))))),1,0))</f>
        <v>0</v>
      </c>
      <c r="M294" s="57">
        <f>IFERROR(IF(_xlfn.XLOOKUP(CONT_TEA[[#This Row],[SRG Gross]],FinanceCodesBudget[FinanceCode],FinanceCodesBudget[LedgerCode])=_xlfn.XLOOKUP(CONT_TEA[[#This Row],[DepartmentCode]],DEPTS[DepartmentCode],DEPTS[LedgerCode]),0,1),1)</f>
        <v>1</v>
      </c>
      <c r="N294" s="57" cm="1">
        <f t="array" ref="N294">IF(_xlfn.XLOOKUP(CONT_TEA[[#This Row],[PensionCode]],PENS[PensionCode],PENS[AvailableToAllSchools],1,0,)=TRUE,0,IF(ISERROR(FIND(CONT_TEA[[#This Row],[SchoolCode]],_xlfn.TEXTJOIN(",",TRUE,_xlfn.UNIQUE(IF(PENS[PensionCode]=CONT_TEA[[#This Row],[PensionCode]],PENS[SchoolCodes],""))))),1,0))</f>
        <v>0</v>
      </c>
      <c r="O294" s="57" cm="1">
        <f t="array" ref="O294">IF(_xlfn.XLOOKUP(CONT_TEA[[#This Row],[EquatedWeekPatternCode]],EQW[EquatedWeekPatternCode],EQW[AvailableToAllSchools],1,0,)=TRUE,0,IF(ISERROR(FIND(CONT_TEA[[#This Row],[SchoolCode]],_xlfn.TEXTJOIN(",",TRUE,_xlfn.UNIQUE(IF(EQW[EquatedWeekPatternCode]=CONT_TEA[[#This Row],[EquatedWeekPatternCode]],EQW[SchoolCodes],""))))),1,0))</f>
        <v>0</v>
      </c>
      <c r="P294" s="57">
        <f>1-COUNTIF(ContractTypes[Code],CONT_TEA[[#This Row],[ContractTypeCode]])</f>
        <v>0</v>
      </c>
      <c r="Q294" s="57">
        <f>IF(VLOOKUP(CONT_TEA[[#This Row],[StaffMemberCode]],MEMBERS[[StaffMemberCode]:[ServiceStartDate]],5,0)&gt;CONT_TEA[[#This Row],[DateFrom]],1,0)</f>
        <v>0</v>
      </c>
      <c r="R294" s="57">
        <f>IF(_xlfn.XLOOKUP(CONT_TEA[[#This Row],[StaffMemberCode]],MEMBERS[StaffMemberCode],MEMBERS[ServiceEndDate])="",0,IF(CONT_TEA[[#This Row],[DateTo]]="",1,IF(_xlfn.XLOOKUP(CONT_TEA[[#This Row],[StaffMemberCode]],MEMBERS[StaffMemberCode],MEMBERS[ServiceEndDate])&lt;CONT_TEA[[#This Row],[DateTo]],1,0)))</f>
        <v>0</v>
      </c>
      <c r="S294" s="57">
        <f>IF(ISBLANK(CONT_TEA[[#This Row],[DateTo]]),0,IF(CONT_TEA[[#This Row],[DateFrom]]=CONT_TEA[[#This Row],[DateTo]],0,IF(CONT_TEA[[#This Row],[DateFrom]]&lt;CONT_TEA[[#This Row],[DateTo]],0,1)))</f>
        <v>0</v>
      </c>
      <c r="T294" s="57" cm="1">
        <f t="array" aca="1" ref="T294" ca="1">IF(CELL("format",CONT_TEA[[#This Row],[DateFrom]])="D1",0,1)+IF(CELL("format",CONT_TEA[[#This Row],[DateTo]])="D1",0,1)</f>
        <v>0</v>
      </c>
      <c r="U294" s="57">
        <f>IF(OR(CONT_TEA[[#This Row],[MatEditOnly]]=TRUE,CONT_TEA[[#This Row],[MatEditOnly]]=FALSE),IF(OR(CONT_TEA[[#This Row],[NoIncrement]]=TRUE,CONT_TEA[[#This Row],[NoIncrement]]=FALSE),0,1),1)</f>
        <v>0</v>
      </c>
      <c r="V294" s="57">
        <f>IF(ISBLANK(CONT_TEA[[#This Row],[FundCode]])=TRUE,0,IF(COUNTIF(FUNDS[FundCode],CONT_TEA[[#This Row],[FundCode]])=1,0,1))</f>
        <v>0</v>
      </c>
      <c r="W294" s="57">
        <f>IF(LEN(CONT_TEA[[#This Row],[Notes]])&lt;4000,0,1)</f>
        <v>0</v>
      </c>
      <c r="X294" s="57">
        <f>IF(SUBSTITUTE(TEXT(CONT_TEA[[#This Row],[Reference]],10)," ","")=TEXT(CONT_TEA[[#This Row],[Reference]],10),0,1)</f>
        <v>0</v>
      </c>
      <c r="Y294" s="57">
        <f ca="1">SUM(CONT_TEA[[#This Row],[Duplicate Contract]:[Space in Code]])</f>
        <v>1</v>
      </c>
      <c r="AA294" s="12" t="s">
        <v>2126</v>
      </c>
      <c r="AB294" s="15">
        <v>10016223</v>
      </c>
      <c r="AC294" s="12">
        <v>106134</v>
      </c>
      <c r="AD294" s="57" t="str">
        <f>_xlfn.XLOOKUP(CONT_TEA[[#This Row],[StaffMemberCode]],StaffMembers!O:O,StaffMembers!R:R)</f>
        <v>Thomas Allcroft</v>
      </c>
      <c r="AE294" s="12" t="s">
        <v>1178</v>
      </c>
      <c r="AF294" s="57">
        <f>_xlfn.XLOOKUP(CONT_TEA[[#This Row],[SRG]],SRG[StaffRoleGroupCode],SRG[GrossSalaryFinanceCode])</f>
        <v>612100</v>
      </c>
      <c r="AG294" s="57" t="str">
        <f>_xlfn.XLOOKUP(CONT_TEA[[#This Row],[StaffRoleCode]],ROLES[StaffRoleCode],ROLES[StaffRoleGroupCode])</f>
        <v>TEA</v>
      </c>
      <c r="AH294" s="57" t="str">
        <f>_xlfn.XLOOKUP(CONT_TEA[[#This Row],[StaffRoleCode]],ROLES[StaffRoleCode],ROLES[PayScaleCode])</f>
        <v>MAIN</v>
      </c>
      <c r="AI294" s="12" t="s">
        <v>1126</v>
      </c>
      <c r="AJ294" s="12" t="s">
        <v>1745</v>
      </c>
      <c r="AK294" s="12" t="s">
        <v>2499</v>
      </c>
      <c r="AM294" s="68" t="s">
        <v>1147</v>
      </c>
      <c r="AN294" s="13" t="s">
        <v>1702</v>
      </c>
      <c r="AO294" s="21">
        <v>46023</v>
      </c>
      <c r="AQ294" s="12">
        <v>1</v>
      </c>
      <c r="AR294" t="b">
        <v>0</v>
      </c>
      <c r="AS294" t="b">
        <v>0</v>
      </c>
      <c r="AT294" s="12" t="s">
        <v>1574</v>
      </c>
    </row>
    <row r="295" spans="1:46" x14ac:dyDescent="0.3">
      <c r="A295" s="57" t="str">
        <f t="shared" si="7"/>
        <v>MLB10005350106125TEASTCH46023</v>
      </c>
      <c r="B295" s="57">
        <f>COUNTIF(CONT_TEA[Unique Contract],CONT_TEA[[#This Row],[Unique Contract]])-1</f>
        <v>0</v>
      </c>
      <c r="C295" s="57">
        <f>IFERROR(IF(FIND(CONT_TEA[[#This Row],[SchoolCode]],_xlfn.XLOOKUP(CONT_TEA[[#This Row],[StaffMemberCode]],MEMBERS[StaffMemberCode],MEMBERS[SchoolCodes]))&gt;0,0,1),1)</f>
        <v>0</v>
      </c>
      <c r="D295" s="57" cm="1">
        <f t="array" ref="D295">IF(_xlfn.XLOOKUP(CONT_TEA[[#This Row],[StaffRoleCode]],ROLES[StaffRoleCode],ROLES[AvailableToAllSchools],1,0,)=TRUE,0,IF(ISERROR(FIND(CONT_TEA[[#This Row],[SchoolCode]],_xlfn.TEXTJOIN(",",TRUE,_xlfn.UNIQUE(IF(ROLES[StaffRoleCode]=CONT_TEA[[#This Row],[StaffRoleCode]],ROLES[SchoolCodes],""))))),1,0))</f>
        <v>0</v>
      </c>
      <c r="E295" s="57" cm="1">
        <f t="array" ref="E29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95" s="57" cm="1">
        <f t="array" ref="F295">IF(_xlfn.XLOOKUP(CONT_TEA[[#This Row],[PayScaleCode]],PAYSCALES[PayScaleCode],PAYSCALES[AvailableToAllSchools],1,0,)=TRUE,0,IF(ISERROR(FIND(CONT_TEA[[#This Row],[SchoolCode]],_xlfn.TEXTJOIN(",",TRUE,_xlfn.UNIQUE(IF(PAYSCALES[PayScaleCode]=CONT_TEA[[#This Row],[PayScaleCode]],PAYSCALES[SchoolCodes],""))))),1,0))</f>
        <v>0</v>
      </c>
      <c r="G295" s="57">
        <f>IF(_xlfn.XLOOKUP(CONT_TEA[[#This Row],[PayScaleGradeCode]],GRADES[PayScaleGradeCode],GRADES[AvailableToAllSchools])=TRUE,0,IFERROR(IF(FIND(CONT_TEA[[#This Row],[SchoolCode]],_xlfn.XLOOKUP(CONT_TEA[[#This Row],[PayScaleGradeCode]],GRADES[PayScaleGradeCode],GRADES[SchoolCodes]))&gt;=1,0,1),1))</f>
        <v>0</v>
      </c>
      <c r="H295" s="57">
        <f>IF(ISERROR(IF((_xlfn.XLOOKUP(CONT_TEA[[#This Row],[PayScaleGradeCode]],GRADES[PayScaleGradeCode],GRADES[PayScaleCode])=CONT_TEA[[#This Row],[PayScaleCode]]),0,1)),1,0)</f>
        <v>0</v>
      </c>
      <c r="I295" s="57" cm="1">
        <f t="array" ref="I295">IF(ISERROR(FIND(CONT_TEA[[#This Row],[PayScalePointCode]],_xlfn.TEXTJOIN(",",TRUE,IF(PSPOINTS[PayScaleCode]=CONT_TEA[[#This Row],[PayScaleCode]],PSPOINTS[PayScalePointCode])))),1,0)</f>
        <v>0</v>
      </c>
      <c r="J295" s="57" cm="1">
        <f t="array" ref="J29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95" s="57">
        <f>IF(_xlfn.XLOOKUP(CONT_TEA[[#This Row],[PayScalePointCode]],PSPOINTS[PayScalePointCode],PSPOINTS[PayScalePointEnabled])=TRUE,0,1)</f>
        <v>0</v>
      </c>
      <c r="L295" s="57" cm="1">
        <f t="array" ref="L295">IF(_xlfn.XLOOKUP(CONT_TEA[[#This Row],[DepartmentCode]],DEPTS[DepartmentCode],DEPTS[AvailableToAllSchools],1,0,)=TRUE,0,IF(ISERROR(FIND(CONT_TEA[[#This Row],[SchoolCode]],_xlfn.TEXTJOIN(",",TRUE,_xlfn.UNIQUE(IF(DEPTS[DepartmentCode]=CONT_TEA[[#This Row],[DepartmentCode]],DEPTS[SchoolCodes],""))))),1,0))</f>
        <v>0</v>
      </c>
      <c r="M295" s="57">
        <f>IFERROR(IF(_xlfn.XLOOKUP(CONT_TEA[[#This Row],[SRG Gross]],FinanceCodesBudget[FinanceCode],FinanceCodesBudget[LedgerCode])=_xlfn.XLOOKUP(CONT_TEA[[#This Row],[DepartmentCode]],DEPTS[DepartmentCode],DEPTS[LedgerCode]),0,1),1)</f>
        <v>1</v>
      </c>
      <c r="N295" s="57" cm="1">
        <f t="array" ref="N295">IF(_xlfn.XLOOKUP(CONT_TEA[[#This Row],[PensionCode]],PENS[PensionCode],PENS[AvailableToAllSchools],1,0,)=TRUE,0,IF(ISERROR(FIND(CONT_TEA[[#This Row],[SchoolCode]],_xlfn.TEXTJOIN(",",TRUE,_xlfn.UNIQUE(IF(PENS[PensionCode]=CONT_TEA[[#This Row],[PensionCode]],PENS[SchoolCodes],""))))),1,0))</f>
        <v>0</v>
      </c>
      <c r="O295" s="57" cm="1">
        <f t="array" ref="O295">IF(_xlfn.XLOOKUP(CONT_TEA[[#This Row],[EquatedWeekPatternCode]],EQW[EquatedWeekPatternCode],EQW[AvailableToAllSchools],1,0,)=TRUE,0,IF(ISERROR(FIND(CONT_TEA[[#This Row],[SchoolCode]],_xlfn.TEXTJOIN(",",TRUE,_xlfn.UNIQUE(IF(EQW[EquatedWeekPatternCode]=CONT_TEA[[#This Row],[EquatedWeekPatternCode]],EQW[SchoolCodes],""))))),1,0))</f>
        <v>0</v>
      </c>
      <c r="P295" s="57">
        <f>1-COUNTIF(ContractTypes[Code],CONT_TEA[[#This Row],[ContractTypeCode]])</f>
        <v>0</v>
      </c>
      <c r="Q295" s="57">
        <f>IF(VLOOKUP(CONT_TEA[[#This Row],[StaffMemberCode]],MEMBERS[[StaffMemberCode]:[ServiceStartDate]],5,0)&gt;CONT_TEA[[#This Row],[DateFrom]],1,0)</f>
        <v>0</v>
      </c>
      <c r="R295" s="57">
        <f>IF(_xlfn.XLOOKUP(CONT_TEA[[#This Row],[StaffMemberCode]],MEMBERS[StaffMemberCode],MEMBERS[ServiceEndDate])="",0,IF(CONT_TEA[[#This Row],[DateTo]]="",1,IF(_xlfn.XLOOKUP(CONT_TEA[[#This Row],[StaffMemberCode]],MEMBERS[StaffMemberCode],MEMBERS[ServiceEndDate])&lt;CONT_TEA[[#This Row],[DateTo]],1,0)))</f>
        <v>0</v>
      </c>
      <c r="S295" s="57">
        <f>IF(ISBLANK(CONT_TEA[[#This Row],[DateTo]]),0,IF(CONT_TEA[[#This Row],[DateFrom]]=CONT_TEA[[#This Row],[DateTo]],0,IF(CONT_TEA[[#This Row],[DateFrom]]&lt;CONT_TEA[[#This Row],[DateTo]],0,1)))</f>
        <v>0</v>
      </c>
      <c r="T295" s="57" cm="1">
        <f t="array" aca="1" ref="T295" ca="1">IF(CELL("format",CONT_TEA[[#This Row],[DateFrom]])="D1",0,1)+IF(CELL("format",CONT_TEA[[#This Row],[DateTo]])="D1",0,1)</f>
        <v>0</v>
      </c>
      <c r="U295" s="57">
        <f>IF(OR(CONT_TEA[[#This Row],[MatEditOnly]]=TRUE,CONT_TEA[[#This Row],[MatEditOnly]]=FALSE),IF(OR(CONT_TEA[[#This Row],[NoIncrement]]=TRUE,CONT_TEA[[#This Row],[NoIncrement]]=FALSE),0,1),1)</f>
        <v>0</v>
      </c>
      <c r="V295" s="57">
        <f>IF(ISBLANK(CONT_TEA[[#This Row],[FundCode]])=TRUE,0,IF(COUNTIF(FUNDS[FundCode],CONT_TEA[[#This Row],[FundCode]])=1,0,1))</f>
        <v>0</v>
      </c>
      <c r="W295" s="57">
        <f>IF(LEN(CONT_TEA[[#This Row],[Notes]])&lt;4000,0,1)</f>
        <v>0</v>
      </c>
      <c r="X295" s="57">
        <f>IF(SUBSTITUTE(TEXT(CONT_TEA[[#This Row],[Reference]],10)," ","")=TEXT(CONT_TEA[[#This Row],[Reference]],10),0,1)</f>
        <v>0</v>
      </c>
      <c r="Y295" s="57">
        <f ca="1">SUM(CONT_TEA[[#This Row],[Duplicate Contract]:[Space in Code]])</f>
        <v>1</v>
      </c>
      <c r="AA295" s="12" t="s">
        <v>2126</v>
      </c>
      <c r="AB295" s="15">
        <v>10005350</v>
      </c>
      <c r="AC295" s="12">
        <v>106125</v>
      </c>
      <c r="AD295" s="57" t="str">
        <f>_xlfn.XLOOKUP(CONT_TEA[[#This Row],[StaffMemberCode]],StaffMembers!O:O,StaffMembers!R:R)</f>
        <v>Gwendal Guichoux</v>
      </c>
      <c r="AE295" s="12" t="s">
        <v>1178</v>
      </c>
      <c r="AF295" s="57">
        <f>_xlfn.XLOOKUP(CONT_TEA[[#This Row],[SRG]],SRG[StaffRoleGroupCode],SRG[GrossSalaryFinanceCode])</f>
        <v>612100</v>
      </c>
      <c r="AG295" s="57" t="str">
        <f>_xlfn.XLOOKUP(CONT_TEA[[#This Row],[StaffRoleCode]],ROLES[StaffRoleCode],ROLES[StaffRoleGroupCode])</f>
        <v>TEA</v>
      </c>
      <c r="AH295" s="57" t="str">
        <f>_xlfn.XLOOKUP(CONT_TEA[[#This Row],[StaffRoleCode]],ROLES[StaffRoleCode],ROLES[PayScaleCode])</f>
        <v>MAIN</v>
      </c>
      <c r="AI295" s="12" t="s">
        <v>1126</v>
      </c>
      <c r="AJ295" s="12" t="s">
        <v>1745</v>
      </c>
      <c r="AK295" s="12" t="s">
        <v>2499</v>
      </c>
      <c r="AM295" s="68" t="s">
        <v>1147</v>
      </c>
      <c r="AN295" s="13" t="s">
        <v>1702</v>
      </c>
      <c r="AO295" s="21">
        <v>46023</v>
      </c>
      <c r="AQ295" s="12">
        <v>1</v>
      </c>
      <c r="AR295" t="b">
        <v>0</v>
      </c>
      <c r="AS295" t="b">
        <v>0</v>
      </c>
      <c r="AT295" s="12" t="s">
        <v>1574</v>
      </c>
    </row>
    <row r="296" spans="1:46" x14ac:dyDescent="0.3">
      <c r="A296" s="57" t="str">
        <f t="shared" si="7"/>
        <v>MLB10015720106074TEASTCH46023</v>
      </c>
      <c r="B296" s="57">
        <f>COUNTIF(CONT_TEA[Unique Contract],CONT_TEA[[#This Row],[Unique Contract]])-1</f>
        <v>0</v>
      </c>
      <c r="C296" s="57">
        <f>IFERROR(IF(FIND(CONT_TEA[[#This Row],[SchoolCode]],_xlfn.XLOOKUP(CONT_TEA[[#This Row],[StaffMemberCode]],MEMBERS[StaffMemberCode],MEMBERS[SchoolCodes]))&gt;0,0,1),1)</f>
        <v>0</v>
      </c>
      <c r="D296" s="57" cm="1">
        <f t="array" ref="D296">IF(_xlfn.XLOOKUP(CONT_TEA[[#This Row],[StaffRoleCode]],ROLES[StaffRoleCode],ROLES[AvailableToAllSchools],1,0,)=TRUE,0,IF(ISERROR(FIND(CONT_TEA[[#This Row],[SchoolCode]],_xlfn.TEXTJOIN(",",TRUE,_xlfn.UNIQUE(IF(ROLES[StaffRoleCode]=CONT_TEA[[#This Row],[StaffRoleCode]],ROLES[SchoolCodes],""))))),1,0))</f>
        <v>0</v>
      </c>
      <c r="E296" s="57" cm="1">
        <f t="array" ref="E29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96" s="57" cm="1">
        <f t="array" ref="F296">IF(_xlfn.XLOOKUP(CONT_TEA[[#This Row],[PayScaleCode]],PAYSCALES[PayScaleCode],PAYSCALES[AvailableToAllSchools],1,0,)=TRUE,0,IF(ISERROR(FIND(CONT_TEA[[#This Row],[SchoolCode]],_xlfn.TEXTJOIN(",",TRUE,_xlfn.UNIQUE(IF(PAYSCALES[PayScaleCode]=CONT_TEA[[#This Row],[PayScaleCode]],PAYSCALES[SchoolCodes],""))))),1,0))</f>
        <v>0</v>
      </c>
      <c r="G296" s="57">
        <f>IF(_xlfn.XLOOKUP(CONT_TEA[[#This Row],[PayScaleGradeCode]],GRADES[PayScaleGradeCode],GRADES[AvailableToAllSchools])=TRUE,0,IFERROR(IF(FIND(CONT_TEA[[#This Row],[SchoolCode]],_xlfn.XLOOKUP(CONT_TEA[[#This Row],[PayScaleGradeCode]],GRADES[PayScaleGradeCode],GRADES[SchoolCodes]))&gt;=1,0,1),1))</f>
        <v>0</v>
      </c>
      <c r="H296" s="57">
        <f>IF(ISERROR(IF((_xlfn.XLOOKUP(CONT_TEA[[#This Row],[PayScaleGradeCode]],GRADES[PayScaleGradeCode],GRADES[PayScaleCode])=CONT_TEA[[#This Row],[PayScaleCode]]),0,1)),1,0)</f>
        <v>0</v>
      </c>
      <c r="I296" s="57" cm="1">
        <f t="array" ref="I296">IF(ISERROR(FIND(CONT_TEA[[#This Row],[PayScalePointCode]],_xlfn.TEXTJOIN(",",TRUE,IF(PSPOINTS[PayScaleCode]=CONT_TEA[[#This Row],[PayScaleCode]],PSPOINTS[PayScalePointCode])))),1,0)</f>
        <v>0</v>
      </c>
      <c r="J296" s="57" cm="1">
        <f t="array" ref="J29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96" s="57">
        <f>IF(_xlfn.XLOOKUP(CONT_TEA[[#This Row],[PayScalePointCode]],PSPOINTS[PayScalePointCode],PSPOINTS[PayScalePointEnabled])=TRUE,0,1)</f>
        <v>0</v>
      </c>
      <c r="L296" s="57" cm="1">
        <f t="array" ref="L296">IF(_xlfn.XLOOKUP(CONT_TEA[[#This Row],[DepartmentCode]],DEPTS[DepartmentCode],DEPTS[AvailableToAllSchools],1,0,)=TRUE,0,IF(ISERROR(FIND(CONT_TEA[[#This Row],[SchoolCode]],_xlfn.TEXTJOIN(",",TRUE,_xlfn.UNIQUE(IF(DEPTS[DepartmentCode]=CONT_TEA[[#This Row],[DepartmentCode]],DEPTS[SchoolCodes],""))))),1,0))</f>
        <v>0</v>
      </c>
      <c r="M296" s="57">
        <f>IFERROR(IF(_xlfn.XLOOKUP(CONT_TEA[[#This Row],[SRG Gross]],FinanceCodesBudget[FinanceCode],FinanceCodesBudget[LedgerCode])=_xlfn.XLOOKUP(CONT_TEA[[#This Row],[DepartmentCode]],DEPTS[DepartmentCode],DEPTS[LedgerCode]),0,1),1)</f>
        <v>1</v>
      </c>
      <c r="N296" s="57" cm="1">
        <f t="array" ref="N296">IF(_xlfn.XLOOKUP(CONT_TEA[[#This Row],[PensionCode]],PENS[PensionCode],PENS[AvailableToAllSchools],1,0,)=TRUE,0,IF(ISERROR(FIND(CONT_TEA[[#This Row],[SchoolCode]],_xlfn.TEXTJOIN(",",TRUE,_xlfn.UNIQUE(IF(PENS[PensionCode]=CONT_TEA[[#This Row],[PensionCode]],PENS[SchoolCodes],""))))),1,0))</f>
        <v>0</v>
      </c>
      <c r="O296" s="57" cm="1">
        <f t="array" ref="O296">IF(_xlfn.XLOOKUP(CONT_TEA[[#This Row],[EquatedWeekPatternCode]],EQW[EquatedWeekPatternCode],EQW[AvailableToAllSchools],1,0,)=TRUE,0,IF(ISERROR(FIND(CONT_TEA[[#This Row],[SchoolCode]],_xlfn.TEXTJOIN(",",TRUE,_xlfn.UNIQUE(IF(EQW[EquatedWeekPatternCode]=CONT_TEA[[#This Row],[EquatedWeekPatternCode]],EQW[SchoolCodes],""))))),1,0))</f>
        <v>0</v>
      </c>
      <c r="P296" s="57">
        <f>1-COUNTIF(ContractTypes[Code],CONT_TEA[[#This Row],[ContractTypeCode]])</f>
        <v>0</v>
      </c>
      <c r="Q296" s="57">
        <f>IF(VLOOKUP(CONT_TEA[[#This Row],[StaffMemberCode]],MEMBERS[[StaffMemberCode]:[ServiceStartDate]],5,0)&gt;CONT_TEA[[#This Row],[DateFrom]],1,0)</f>
        <v>0</v>
      </c>
      <c r="R296" s="57">
        <f>IF(_xlfn.XLOOKUP(CONT_TEA[[#This Row],[StaffMemberCode]],MEMBERS[StaffMemberCode],MEMBERS[ServiceEndDate])="",0,IF(CONT_TEA[[#This Row],[DateTo]]="",1,IF(_xlfn.XLOOKUP(CONT_TEA[[#This Row],[StaffMemberCode]],MEMBERS[StaffMemberCode],MEMBERS[ServiceEndDate])&lt;CONT_TEA[[#This Row],[DateTo]],1,0)))</f>
        <v>0</v>
      </c>
      <c r="S296" s="57">
        <f>IF(ISBLANK(CONT_TEA[[#This Row],[DateTo]]),0,IF(CONT_TEA[[#This Row],[DateFrom]]=CONT_TEA[[#This Row],[DateTo]],0,IF(CONT_TEA[[#This Row],[DateFrom]]&lt;CONT_TEA[[#This Row],[DateTo]],0,1)))</f>
        <v>0</v>
      </c>
      <c r="T296" s="57" cm="1">
        <f t="array" aca="1" ref="T296" ca="1">IF(CELL("format",CONT_TEA[[#This Row],[DateFrom]])="D1",0,1)+IF(CELL("format",CONT_TEA[[#This Row],[DateTo]])="D1",0,1)</f>
        <v>0</v>
      </c>
      <c r="U296" s="57">
        <f>IF(OR(CONT_TEA[[#This Row],[MatEditOnly]]=TRUE,CONT_TEA[[#This Row],[MatEditOnly]]=FALSE),IF(OR(CONT_TEA[[#This Row],[NoIncrement]]=TRUE,CONT_TEA[[#This Row],[NoIncrement]]=FALSE),0,1),1)</f>
        <v>0</v>
      </c>
      <c r="V296" s="57">
        <f>IF(ISBLANK(CONT_TEA[[#This Row],[FundCode]])=TRUE,0,IF(COUNTIF(FUNDS[FundCode],CONT_TEA[[#This Row],[FundCode]])=1,0,1))</f>
        <v>0</v>
      </c>
      <c r="W296" s="57">
        <f>IF(LEN(CONT_TEA[[#This Row],[Notes]])&lt;4000,0,1)</f>
        <v>0</v>
      </c>
      <c r="X296" s="57">
        <f>IF(SUBSTITUTE(TEXT(CONT_TEA[[#This Row],[Reference]],10)," ","")=TEXT(CONT_TEA[[#This Row],[Reference]],10),0,1)</f>
        <v>0</v>
      </c>
      <c r="Y296" s="57">
        <f ca="1">SUM(CONT_TEA[[#This Row],[Duplicate Contract]:[Space in Code]])</f>
        <v>1</v>
      </c>
      <c r="AA296" s="12" t="s">
        <v>2126</v>
      </c>
      <c r="AB296" s="15">
        <v>10015720</v>
      </c>
      <c r="AC296" s="12">
        <v>106074</v>
      </c>
      <c r="AD296" s="57" t="str">
        <f>_xlfn.XLOOKUP(CONT_TEA[[#This Row],[StaffMemberCode]],StaffMembers!O:O,StaffMembers!R:R)</f>
        <v>William Smithson</v>
      </c>
      <c r="AE296" s="12" t="s">
        <v>1178</v>
      </c>
      <c r="AF296" s="57">
        <f>_xlfn.XLOOKUP(CONT_TEA[[#This Row],[SRG]],SRG[StaffRoleGroupCode],SRG[GrossSalaryFinanceCode])</f>
        <v>612100</v>
      </c>
      <c r="AG296" s="57" t="str">
        <f>_xlfn.XLOOKUP(CONT_TEA[[#This Row],[StaffRoleCode]],ROLES[StaffRoleCode],ROLES[StaffRoleGroupCode])</f>
        <v>TEA</v>
      </c>
      <c r="AH296" s="57" t="str">
        <f>_xlfn.XLOOKUP(CONT_TEA[[#This Row],[StaffRoleCode]],ROLES[StaffRoleCode],ROLES[PayScaleCode])</f>
        <v>MAIN</v>
      </c>
      <c r="AI296" s="12" t="s">
        <v>1126</v>
      </c>
      <c r="AJ296" s="12" t="s">
        <v>1745</v>
      </c>
      <c r="AK296" s="12" t="s">
        <v>2499</v>
      </c>
      <c r="AM296" s="68" t="s">
        <v>1147</v>
      </c>
      <c r="AN296" s="13" t="s">
        <v>1702</v>
      </c>
      <c r="AO296" s="21">
        <v>46023</v>
      </c>
      <c r="AQ296" s="12">
        <v>1</v>
      </c>
      <c r="AR296" t="b">
        <v>0</v>
      </c>
      <c r="AS296" t="b">
        <v>0</v>
      </c>
      <c r="AT296" s="12" t="s">
        <v>1574</v>
      </c>
    </row>
    <row r="297" spans="1:46" x14ac:dyDescent="0.3">
      <c r="A297" s="57" t="str">
        <f t="shared" si="7"/>
        <v>MLB10005296106061TEASTCH46023</v>
      </c>
      <c r="B297" s="57">
        <f>COUNTIF(CONT_TEA[Unique Contract],CONT_TEA[[#This Row],[Unique Contract]])-1</f>
        <v>0</v>
      </c>
      <c r="C297" s="57">
        <f>IFERROR(IF(FIND(CONT_TEA[[#This Row],[SchoolCode]],_xlfn.XLOOKUP(CONT_TEA[[#This Row],[StaffMemberCode]],MEMBERS[StaffMemberCode],MEMBERS[SchoolCodes]))&gt;0,0,1),1)</f>
        <v>0</v>
      </c>
      <c r="D297" s="57" cm="1">
        <f t="array" ref="D297">IF(_xlfn.XLOOKUP(CONT_TEA[[#This Row],[StaffRoleCode]],ROLES[StaffRoleCode],ROLES[AvailableToAllSchools],1,0,)=TRUE,0,IF(ISERROR(FIND(CONT_TEA[[#This Row],[SchoolCode]],_xlfn.TEXTJOIN(",",TRUE,_xlfn.UNIQUE(IF(ROLES[StaffRoleCode]=CONT_TEA[[#This Row],[StaffRoleCode]],ROLES[SchoolCodes],""))))),1,0))</f>
        <v>0</v>
      </c>
      <c r="E297" s="57" cm="1">
        <f t="array" ref="E29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97" s="57" cm="1">
        <f t="array" ref="F297">IF(_xlfn.XLOOKUP(CONT_TEA[[#This Row],[PayScaleCode]],PAYSCALES[PayScaleCode],PAYSCALES[AvailableToAllSchools],1,0,)=TRUE,0,IF(ISERROR(FIND(CONT_TEA[[#This Row],[SchoolCode]],_xlfn.TEXTJOIN(",",TRUE,_xlfn.UNIQUE(IF(PAYSCALES[PayScaleCode]=CONT_TEA[[#This Row],[PayScaleCode]],PAYSCALES[SchoolCodes],""))))),1,0))</f>
        <v>0</v>
      </c>
      <c r="G297" s="57">
        <f>IF(_xlfn.XLOOKUP(CONT_TEA[[#This Row],[PayScaleGradeCode]],GRADES[PayScaleGradeCode],GRADES[AvailableToAllSchools])=TRUE,0,IFERROR(IF(FIND(CONT_TEA[[#This Row],[SchoolCode]],_xlfn.XLOOKUP(CONT_TEA[[#This Row],[PayScaleGradeCode]],GRADES[PayScaleGradeCode],GRADES[SchoolCodes]))&gt;=1,0,1),1))</f>
        <v>0</v>
      </c>
      <c r="H297" s="57">
        <f>IF(ISERROR(IF((_xlfn.XLOOKUP(CONT_TEA[[#This Row],[PayScaleGradeCode]],GRADES[PayScaleGradeCode],GRADES[PayScaleCode])=CONT_TEA[[#This Row],[PayScaleCode]]),0,1)),1,0)</f>
        <v>0</v>
      </c>
      <c r="I297" s="57" cm="1">
        <f t="array" ref="I297">IF(ISERROR(FIND(CONT_TEA[[#This Row],[PayScalePointCode]],_xlfn.TEXTJOIN(",",TRUE,IF(PSPOINTS[PayScaleCode]=CONT_TEA[[#This Row],[PayScaleCode]],PSPOINTS[PayScalePointCode])))),1,0)</f>
        <v>0</v>
      </c>
      <c r="J297" s="57" cm="1">
        <f t="array" ref="J29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97" s="57">
        <f>IF(_xlfn.XLOOKUP(CONT_TEA[[#This Row],[PayScalePointCode]],PSPOINTS[PayScalePointCode],PSPOINTS[PayScalePointEnabled])=TRUE,0,1)</f>
        <v>0</v>
      </c>
      <c r="L297" s="57" cm="1">
        <f t="array" ref="L297">IF(_xlfn.XLOOKUP(CONT_TEA[[#This Row],[DepartmentCode]],DEPTS[DepartmentCode],DEPTS[AvailableToAllSchools],1,0,)=TRUE,0,IF(ISERROR(FIND(CONT_TEA[[#This Row],[SchoolCode]],_xlfn.TEXTJOIN(",",TRUE,_xlfn.UNIQUE(IF(DEPTS[DepartmentCode]=CONT_TEA[[#This Row],[DepartmentCode]],DEPTS[SchoolCodes],""))))),1,0))</f>
        <v>0</v>
      </c>
      <c r="M297" s="57">
        <f>IFERROR(IF(_xlfn.XLOOKUP(CONT_TEA[[#This Row],[SRG Gross]],FinanceCodesBudget[FinanceCode],FinanceCodesBudget[LedgerCode])=_xlfn.XLOOKUP(CONT_TEA[[#This Row],[DepartmentCode]],DEPTS[DepartmentCode],DEPTS[LedgerCode]),0,1),1)</f>
        <v>1</v>
      </c>
      <c r="N297" s="57" cm="1">
        <f t="array" ref="N297">IF(_xlfn.XLOOKUP(CONT_TEA[[#This Row],[PensionCode]],PENS[PensionCode],PENS[AvailableToAllSchools],1,0,)=TRUE,0,IF(ISERROR(FIND(CONT_TEA[[#This Row],[SchoolCode]],_xlfn.TEXTJOIN(",",TRUE,_xlfn.UNIQUE(IF(PENS[PensionCode]=CONT_TEA[[#This Row],[PensionCode]],PENS[SchoolCodes],""))))),1,0))</f>
        <v>0</v>
      </c>
      <c r="O297" s="57" cm="1">
        <f t="array" ref="O297">IF(_xlfn.XLOOKUP(CONT_TEA[[#This Row],[EquatedWeekPatternCode]],EQW[EquatedWeekPatternCode],EQW[AvailableToAllSchools],1,0,)=TRUE,0,IF(ISERROR(FIND(CONT_TEA[[#This Row],[SchoolCode]],_xlfn.TEXTJOIN(",",TRUE,_xlfn.UNIQUE(IF(EQW[EquatedWeekPatternCode]=CONT_TEA[[#This Row],[EquatedWeekPatternCode]],EQW[SchoolCodes],""))))),1,0))</f>
        <v>0</v>
      </c>
      <c r="P297" s="57">
        <f>1-COUNTIF(ContractTypes[Code],CONT_TEA[[#This Row],[ContractTypeCode]])</f>
        <v>0</v>
      </c>
      <c r="Q297" s="57">
        <f>IF(VLOOKUP(CONT_TEA[[#This Row],[StaffMemberCode]],MEMBERS[[StaffMemberCode]:[ServiceStartDate]],5,0)&gt;CONT_TEA[[#This Row],[DateFrom]],1,0)</f>
        <v>0</v>
      </c>
      <c r="R297" s="57">
        <f>IF(_xlfn.XLOOKUP(CONT_TEA[[#This Row],[StaffMemberCode]],MEMBERS[StaffMemberCode],MEMBERS[ServiceEndDate])="",0,IF(CONT_TEA[[#This Row],[DateTo]]="",1,IF(_xlfn.XLOOKUP(CONT_TEA[[#This Row],[StaffMemberCode]],MEMBERS[StaffMemberCode],MEMBERS[ServiceEndDate])&lt;CONT_TEA[[#This Row],[DateTo]],1,0)))</f>
        <v>0</v>
      </c>
      <c r="S297" s="57">
        <f>IF(ISBLANK(CONT_TEA[[#This Row],[DateTo]]),0,IF(CONT_TEA[[#This Row],[DateFrom]]=CONT_TEA[[#This Row],[DateTo]],0,IF(CONT_TEA[[#This Row],[DateFrom]]&lt;CONT_TEA[[#This Row],[DateTo]],0,1)))</f>
        <v>0</v>
      </c>
      <c r="T297" s="57" cm="1">
        <f t="array" aca="1" ref="T297" ca="1">IF(CELL("format",CONT_TEA[[#This Row],[DateFrom]])="D1",0,1)+IF(CELL("format",CONT_TEA[[#This Row],[DateTo]])="D1",0,1)</f>
        <v>0</v>
      </c>
      <c r="U297" s="57">
        <f>IF(OR(CONT_TEA[[#This Row],[MatEditOnly]]=TRUE,CONT_TEA[[#This Row],[MatEditOnly]]=FALSE),IF(OR(CONT_TEA[[#This Row],[NoIncrement]]=TRUE,CONT_TEA[[#This Row],[NoIncrement]]=FALSE),0,1),1)</f>
        <v>0</v>
      </c>
      <c r="V297" s="57">
        <f>IF(ISBLANK(CONT_TEA[[#This Row],[FundCode]])=TRUE,0,IF(COUNTIF(FUNDS[FundCode],CONT_TEA[[#This Row],[FundCode]])=1,0,1))</f>
        <v>0</v>
      </c>
      <c r="W297" s="57">
        <f>IF(LEN(CONT_TEA[[#This Row],[Notes]])&lt;4000,0,1)</f>
        <v>0</v>
      </c>
      <c r="X297" s="57">
        <f>IF(SUBSTITUTE(TEXT(CONT_TEA[[#This Row],[Reference]],10)," ","")=TEXT(CONT_TEA[[#This Row],[Reference]],10),0,1)</f>
        <v>0</v>
      </c>
      <c r="Y297" s="57">
        <f ca="1">SUM(CONT_TEA[[#This Row],[Duplicate Contract]:[Space in Code]])</f>
        <v>1</v>
      </c>
      <c r="AA297" s="12" t="s">
        <v>2126</v>
      </c>
      <c r="AB297" s="15">
        <v>10005296</v>
      </c>
      <c r="AC297" s="12">
        <v>106061</v>
      </c>
      <c r="AD297" s="57" t="str">
        <f>_xlfn.XLOOKUP(CONT_TEA[[#This Row],[StaffMemberCode]],StaffMembers!O:O,StaffMembers!R:R)</f>
        <v>Andrea Bargery</v>
      </c>
      <c r="AE297" s="12" t="s">
        <v>1178</v>
      </c>
      <c r="AF297" s="57">
        <f>_xlfn.XLOOKUP(CONT_TEA[[#This Row],[SRG]],SRG[StaffRoleGroupCode],SRG[GrossSalaryFinanceCode])</f>
        <v>612100</v>
      </c>
      <c r="AG297" s="57" t="str">
        <f>_xlfn.XLOOKUP(CONT_TEA[[#This Row],[StaffRoleCode]],ROLES[StaffRoleCode],ROLES[StaffRoleGroupCode])</f>
        <v>TEA</v>
      </c>
      <c r="AH297" s="57" t="str">
        <f>_xlfn.XLOOKUP(CONT_TEA[[#This Row],[StaffRoleCode]],ROLES[StaffRoleCode],ROLES[PayScaleCode])</f>
        <v>MAIN</v>
      </c>
      <c r="AI297" s="12" t="s">
        <v>1126</v>
      </c>
      <c r="AJ297" s="12" t="s">
        <v>1745</v>
      </c>
      <c r="AK297" s="12" t="s">
        <v>2499</v>
      </c>
      <c r="AM297" s="68" t="s">
        <v>1147</v>
      </c>
      <c r="AN297" s="13" t="s">
        <v>1702</v>
      </c>
      <c r="AO297" s="21">
        <v>46023</v>
      </c>
      <c r="AQ297" s="12">
        <v>0.8</v>
      </c>
      <c r="AR297" t="b">
        <v>0</v>
      </c>
      <c r="AS297" t="b">
        <v>0</v>
      </c>
      <c r="AT297" s="12" t="s">
        <v>1574</v>
      </c>
    </row>
    <row r="298" spans="1:46" x14ac:dyDescent="0.3">
      <c r="A298" s="57" t="str">
        <f t="shared" si="7"/>
        <v>MLB10005330106102TEASTCH46023</v>
      </c>
      <c r="B298" s="57">
        <f>COUNTIF(CONT_TEA[Unique Contract],CONT_TEA[[#This Row],[Unique Contract]])-1</f>
        <v>0</v>
      </c>
      <c r="C298" s="57">
        <f>IFERROR(IF(FIND(CONT_TEA[[#This Row],[SchoolCode]],_xlfn.XLOOKUP(CONT_TEA[[#This Row],[StaffMemberCode]],MEMBERS[StaffMemberCode],MEMBERS[SchoolCodes]))&gt;0,0,1),1)</f>
        <v>0</v>
      </c>
      <c r="D298" s="57" cm="1">
        <f t="array" ref="D298">IF(_xlfn.XLOOKUP(CONT_TEA[[#This Row],[StaffRoleCode]],ROLES[StaffRoleCode],ROLES[AvailableToAllSchools],1,0,)=TRUE,0,IF(ISERROR(FIND(CONT_TEA[[#This Row],[SchoolCode]],_xlfn.TEXTJOIN(",",TRUE,_xlfn.UNIQUE(IF(ROLES[StaffRoleCode]=CONT_TEA[[#This Row],[StaffRoleCode]],ROLES[SchoolCodes],""))))),1,0))</f>
        <v>0</v>
      </c>
      <c r="E298" s="57" cm="1">
        <f t="array" ref="E29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98" s="57" cm="1">
        <f t="array" ref="F298">IF(_xlfn.XLOOKUP(CONT_TEA[[#This Row],[PayScaleCode]],PAYSCALES[PayScaleCode],PAYSCALES[AvailableToAllSchools],1,0,)=TRUE,0,IF(ISERROR(FIND(CONT_TEA[[#This Row],[SchoolCode]],_xlfn.TEXTJOIN(",",TRUE,_xlfn.UNIQUE(IF(PAYSCALES[PayScaleCode]=CONT_TEA[[#This Row],[PayScaleCode]],PAYSCALES[SchoolCodes],""))))),1,0))</f>
        <v>0</v>
      </c>
      <c r="G298" s="57">
        <f>IF(_xlfn.XLOOKUP(CONT_TEA[[#This Row],[PayScaleGradeCode]],GRADES[PayScaleGradeCode],GRADES[AvailableToAllSchools])=TRUE,0,IFERROR(IF(FIND(CONT_TEA[[#This Row],[SchoolCode]],_xlfn.XLOOKUP(CONT_TEA[[#This Row],[PayScaleGradeCode]],GRADES[PayScaleGradeCode],GRADES[SchoolCodes]))&gt;=1,0,1),1))</f>
        <v>0</v>
      </c>
      <c r="H298" s="57">
        <f>IF(ISERROR(IF((_xlfn.XLOOKUP(CONT_TEA[[#This Row],[PayScaleGradeCode]],GRADES[PayScaleGradeCode],GRADES[PayScaleCode])=CONT_TEA[[#This Row],[PayScaleCode]]),0,1)),1,0)</f>
        <v>0</v>
      </c>
      <c r="I298" s="57" cm="1">
        <f t="array" ref="I298">IF(ISERROR(FIND(CONT_TEA[[#This Row],[PayScalePointCode]],_xlfn.TEXTJOIN(",",TRUE,IF(PSPOINTS[PayScaleCode]=CONT_TEA[[#This Row],[PayScaleCode]],PSPOINTS[PayScalePointCode])))),1,0)</f>
        <v>0</v>
      </c>
      <c r="J298" s="57" cm="1">
        <f t="array" ref="J29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98" s="57">
        <f>IF(_xlfn.XLOOKUP(CONT_TEA[[#This Row],[PayScalePointCode]],PSPOINTS[PayScalePointCode],PSPOINTS[PayScalePointEnabled])=TRUE,0,1)</f>
        <v>0</v>
      </c>
      <c r="L298" s="57" cm="1">
        <f t="array" ref="L298">IF(_xlfn.XLOOKUP(CONT_TEA[[#This Row],[DepartmentCode]],DEPTS[DepartmentCode],DEPTS[AvailableToAllSchools],1,0,)=TRUE,0,IF(ISERROR(FIND(CONT_TEA[[#This Row],[SchoolCode]],_xlfn.TEXTJOIN(",",TRUE,_xlfn.UNIQUE(IF(DEPTS[DepartmentCode]=CONT_TEA[[#This Row],[DepartmentCode]],DEPTS[SchoolCodes],""))))),1,0))</f>
        <v>0</v>
      </c>
      <c r="M298" s="57">
        <f>IFERROR(IF(_xlfn.XLOOKUP(CONT_TEA[[#This Row],[SRG Gross]],FinanceCodesBudget[FinanceCode],FinanceCodesBudget[LedgerCode])=_xlfn.XLOOKUP(CONT_TEA[[#This Row],[DepartmentCode]],DEPTS[DepartmentCode],DEPTS[LedgerCode]),0,1),1)</f>
        <v>1</v>
      </c>
      <c r="N298" s="57" cm="1">
        <f t="array" ref="N298">IF(_xlfn.XLOOKUP(CONT_TEA[[#This Row],[PensionCode]],PENS[PensionCode],PENS[AvailableToAllSchools],1,0,)=TRUE,0,IF(ISERROR(FIND(CONT_TEA[[#This Row],[SchoolCode]],_xlfn.TEXTJOIN(",",TRUE,_xlfn.UNIQUE(IF(PENS[PensionCode]=CONT_TEA[[#This Row],[PensionCode]],PENS[SchoolCodes],""))))),1,0))</f>
        <v>0</v>
      </c>
      <c r="O298" s="57" cm="1">
        <f t="array" ref="O298">IF(_xlfn.XLOOKUP(CONT_TEA[[#This Row],[EquatedWeekPatternCode]],EQW[EquatedWeekPatternCode],EQW[AvailableToAllSchools],1,0,)=TRUE,0,IF(ISERROR(FIND(CONT_TEA[[#This Row],[SchoolCode]],_xlfn.TEXTJOIN(",",TRUE,_xlfn.UNIQUE(IF(EQW[EquatedWeekPatternCode]=CONT_TEA[[#This Row],[EquatedWeekPatternCode]],EQW[SchoolCodes],""))))),1,0))</f>
        <v>0</v>
      </c>
      <c r="P298" s="57">
        <f>1-COUNTIF(ContractTypes[Code],CONT_TEA[[#This Row],[ContractTypeCode]])</f>
        <v>0</v>
      </c>
      <c r="Q298" s="57">
        <f>IF(VLOOKUP(CONT_TEA[[#This Row],[StaffMemberCode]],MEMBERS[[StaffMemberCode]:[ServiceStartDate]],5,0)&gt;CONT_TEA[[#This Row],[DateFrom]],1,0)</f>
        <v>0</v>
      </c>
      <c r="R298" s="57">
        <f>IF(_xlfn.XLOOKUP(CONT_TEA[[#This Row],[StaffMemberCode]],MEMBERS[StaffMemberCode],MEMBERS[ServiceEndDate])="",0,IF(CONT_TEA[[#This Row],[DateTo]]="",1,IF(_xlfn.XLOOKUP(CONT_TEA[[#This Row],[StaffMemberCode]],MEMBERS[StaffMemberCode],MEMBERS[ServiceEndDate])&lt;CONT_TEA[[#This Row],[DateTo]],1,0)))</f>
        <v>0</v>
      </c>
      <c r="S298" s="57">
        <f>IF(ISBLANK(CONT_TEA[[#This Row],[DateTo]]),0,IF(CONT_TEA[[#This Row],[DateFrom]]=CONT_TEA[[#This Row],[DateTo]],0,IF(CONT_TEA[[#This Row],[DateFrom]]&lt;CONT_TEA[[#This Row],[DateTo]],0,1)))</f>
        <v>0</v>
      </c>
      <c r="T298" s="57" cm="1">
        <f t="array" aca="1" ref="T298" ca="1">IF(CELL("format",CONT_TEA[[#This Row],[DateFrom]])="D1",0,1)+IF(CELL("format",CONT_TEA[[#This Row],[DateTo]])="D1",0,1)</f>
        <v>0</v>
      </c>
      <c r="U298" s="57">
        <f>IF(OR(CONT_TEA[[#This Row],[MatEditOnly]]=TRUE,CONT_TEA[[#This Row],[MatEditOnly]]=FALSE),IF(OR(CONT_TEA[[#This Row],[NoIncrement]]=TRUE,CONT_TEA[[#This Row],[NoIncrement]]=FALSE),0,1),1)</f>
        <v>0</v>
      </c>
      <c r="V298" s="57">
        <f>IF(ISBLANK(CONT_TEA[[#This Row],[FundCode]])=TRUE,0,IF(COUNTIF(FUNDS[FundCode],CONT_TEA[[#This Row],[FundCode]])=1,0,1))</f>
        <v>0</v>
      </c>
      <c r="W298" s="57">
        <f>IF(LEN(CONT_TEA[[#This Row],[Notes]])&lt;4000,0,1)</f>
        <v>0</v>
      </c>
      <c r="X298" s="57">
        <f>IF(SUBSTITUTE(TEXT(CONT_TEA[[#This Row],[Reference]],10)," ","")=TEXT(CONT_TEA[[#This Row],[Reference]],10),0,1)</f>
        <v>0</v>
      </c>
      <c r="Y298" s="57">
        <f ca="1">SUM(CONT_TEA[[#This Row],[Duplicate Contract]:[Space in Code]])</f>
        <v>1</v>
      </c>
      <c r="AA298" s="12" t="s">
        <v>2126</v>
      </c>
      <c r="AB298" s="15">
        <v>10005330</v>
      </c>
      <c r="AC298" s="12">
        <v>106102</v>
      </c>
      <c r="AD298" s="57" t="str">
        <f>_xlfn.XLOOKUP(CONT_TEA[[#This Row],[StaffMemberCode]],StaffMembers!O:O,StaffMembers!R:R)</f>
        <v>Rachel Coney</v>
      </c>
      <c r="AE298" s="12" t="s">
        <v>1178</v>
      </c>
      <c r="AF298" s="57">
        <f>_xlfn.XLOOKUP(CONT_TEA[[#This Row],[SRG]],SRG[StaffRoleGroupCode],SRG[GrossSalaryFinanceCode])</f>
        <v>612100</v>
      </c>
      <c r="AG298" s="57" t="str">
        <f>_xlfn.XLOOKUP(CONT_TEA[[#This Row],[StaffRoleCode]],ROLES[StaffRoleCode],ROLES[StaffRoleGroupCode])</f>
        <v>TEA</v>
      </c>
      <c r="AH298" s="57" t="str">
        <f>_xlfn.XLOOKUP(CONT_TEA[[#This Row],[StaffRoleCode]],ROLES[StaffRoleCode],ROLES[PayScaleCode])</f>
        <v>MAIN</v>
      </c>
      <c r="AI298" s="12" t="s">
        <v>1126</v>
      </c>
      <c r="AJ298" s="12" t="s">
        <v>1745</v>
      </c>
      <c r="AK298" s="12" t="s">
        <v>2499</v>
      </c>
      <c r="AM298" s="68" t="s">
        <v>1147</v>
      </c>
      <c r="AN298" s="13" t="s">
        <v>1702</v>
      </c>
      <c r="AO298" s="21">
        <v>46023</v>
      </c>
      <c r="AQ298" s="12">
        <v>0.8</v>
      </c>
      <c r="AR298" t="b">
        <v>0</v>
      </c>
      <c r="AS298" t="b">
        <v>0</v>
      </c>
      <c r="AT298" s="12" t="s">
        <v>1574</v>
      </c>
    </row>
    <row r="299" spans="1:46" x14ac:dyDescent="0.3">
      <c r="A299" s="57" t="str">
        <f t="shared" si="7"/>
        <v>MLB10006806110356TEASTCH46023</v>
      </c>
      <c r="B299" s="57">
        <f>COUNTIF(CONT_TEA[Unique Contract],CONT_TEA[[#This Row],[Unique Contract]])-1</f>
        <v>0</v>
      </c>
      <c r="C299" s="57">
        <f>IFERROR(IF(FIND(CONT_TEA[[#This Row],[SchoolCode]],_xlfn.XLOOKUP(CONT_TEA[[#This Row],[StaffMemberCode]],MEMBERS[StaffMemberCode],MEMBERS[SchoolCodes]))&gt;0,0,1),1)</f>
        <v>0</v>
      </c>
      <c r="D299" s="57" cm="1">
        <f t="array" ref="D299">IF(_xlfn.XLOOKUP(CONT_TEA[[#This Row],[StaffRoleCode]],ROLES[StaffRoleCode],ROLES[AvailableToAllSchools],1,0,)=TRUE,0,IF(ISERROR(FIND(CONT_TEA[[#This Row],[SchoolCode]],_xlfn.TEXTJOIN(",",TRUE,_xlfn.UNIQUE(IF(ROLES[StaffRoleCode]=CONT_TEA[[#This Row],[StaffRoleCode]],ROLES[SchoolCodes],""))))),1,0))</f>
        <v>0</v>
      </c>
      <c r="E299" s="57" cm="1">
        <f t="array" ref="E29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299" s="57" cm="1">
        <f t="array" ref="F299">IF(_xlfn.XLOOKUP(CONT_TEA[[#This Row],[PayScaleCode]],PAYSCALES[PayScaleCode],PAYSCALES[AvailableToAllSchools],1,0,)=TRUE,0,IF(ISERROR(FIND(CONT_TEA[[#This Row],[SchoolCode]],_xlfn.TEXTJOIN(",",TRUE,_xlfn.UNIQUE(IF(PAYSCALES[PayScaleCode]=CONT_TEA[[#This Row],[PayScaleCode]],PAYSCALES[SchoolCodes],""))))),1,0))</f>
        <v>0</v>
      </c>
      <c r="G299" s="57">
        <f>IF(_xlfn.XLOOKUP(CONT_TEA[[#This Row],[PayScaleGradeCode]],GRADES[PayScaleGradeCode],GRADES[AvailableToAllSchools])=TRUE,0,IFERROR(IF(FIND(CONT_TEA[[#This Row],[SchoolCode]],_xlfn.XLOOKUP(CONT_TEA[[#This Row],[PayScaleGradeCode]],GRADES[PayScaleGradeCode],GRADES[SchoolCodes]))&gt;=1,0,1),1))</f>
        <v>0</v>
      </c>
      <c r="H299" s="57">
        <f>IF(ISERROR(IF((_xlfn.XLOOKUP(CONT_TEA[[#This Row],[PayScaleGradeCode]],GRADES[PayScaleGradeCode],GRADES[PayScaleCode])=CONT_TEA[[#This Row],[PayScaleCode]]),0,1)),1,0)</f>
        <v>0</v>
      </c>
      <c r="I299" s="57" cm="1">
        <f t="array" ref="I299">IF(ISERROR(FIND(CONT_TEA[[#This Row],[PayScalePointCode]],_xlfn.TEXTJOIN(",",TRUE,IF(PSPOINTS[PayScaleCode]=CONT_TEA[[#This Row],[PayScaleCode]],PSPOINTS[PayScalePointCode])))),1,0)</f>
        <v>0</v>
      </c>
      <c r="J299" s="57" cm="1">
        <f t="array" ref="J29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99" s="57">
        <f>IF(_xlfn.XLOOKUP(CONT_TEA[[#This Row],[PayScalePointCode]],PSPOINTS[PayScalePointCode],PSPOINTS[PayScalePointEnabled])=TRUE,0,1)</f>
        <v>0</v>
      </c>
      <c r="L299" s="57" cm="1">
        <f t="array" ref="L299">IF(_xlfn.XLOOKUP(CONT_TEA[[#This Row],[DepartmentCode]],DEPTS[DepartmentCode],DEPTS[AvailableToAllSchools],1,0,)=TRUE,0,IF(ISERROR(FIND(CONT_TEA[[#This Row],[SchoolCode]],_xlfn.TEXTJOIN(",",TRUE,_xlfn.UNIQUE(IF(DEPTS[DepartmentCode]=CONT_TEA[[#This Row],[DepartmentCode]],DEPTS[SchoolCodes],""))))),1,0))</f>
        <v>0</v>
      </c>
      <c r="M299" s="57">
        <f>IFERROR(IF(_xlfn.XLOOKUP(CONT_TEA[[#This Row],[SRG Gross]],FinanceCodesBudget[FinanceCode],FinanceCodesBudget[LedgerCode])=_xlfn.XLOOKUP(CONT_TEA[[#This Row],[DepartmentCode]],DEPTS[DepartmentCode],DEPTS[LedgerCode]),0,1),1)</f>
        <v>1</v>
      </c>
      <c r="N299" s="57" cm="1">
        <f t="array" ref="N299">IF(_xlfn.XLOOKUP(CONT_TEA[[#This Row],[PensionCode]],PENS[PensionCode],PENS[AvailableToAllSchools],1,0,)=TRUE,0,IF(ISERROR(FIND(CONT_TEA[[#This Row],[SchoolCode]],_xlfn.TEXTJOIN(",",TRUE,_xlfn.UNIQUE(IF(PENS[PensionCode]=CONT_TEA[[#This Row],[PensionCode]],PENS[SchoolCodes],""))))),1,0))</f>
        <v>0</v>
      </c>
      <c r="O299" s="57" cm="1">
        <f t="array" ref="O299">IF(_xlfn.XLOOKUP(CONT_TEA[[#This Row],[EquatedWeekPatternCode]],EQW[EquatedWeekPatternCode],EQW[AvailableToAllSchools],1,0,)=TRUE,0,IF(ISERROR(FIND(CONT_TEA[[#This Row],[SchoolCode]],_xlfn.TEXTJOIN(",",TRUE,_xlfn.UNIQUE(IF(EQW[EquatedWeekPatternCode]=CONT_TEA[[#This Row],[EquatedWeekPatternCode]],EQW[SchoolCodes],""))))),1,0))</f>
        <v>0</v>
      </c>
      <c r="P299" s="57">
        <f>1-COUNTIF(ContractTypes[Code],CONT_TEA[[#This Row],[ContractTypeCode]])</f>
        <v>0</v>
      </c>
      <c r="Q299" s="57">
        <f>IF(VLOOKUP(CONT_TEA[[#This Row],[StaffMemberCode]],MEMBERS[[StaffMemberCode]:[ServiceStartDate]],5,0)&gt;CONT_TEA[[#This Row],[DateFrom]],1,0)</f>
        <v>0</v>
      </c>
      <c r="R299" s="57">
        <f>IF(_xlfn.XLOOKUP(CONT_TEA[[#This Row],[StaffMemberCode]],MEMBERS[StaffMemberCode],MEMBERS[ServiceEndDate])="",0,IF(CONT_TEA[[#This Row],[DateTo]]="",1,IF(_xlfn.XLOOKUP(CONT_TEA[[#This Row],[StaffMemberCode]],MEMBERS[StaffMemberCode],MEMBERS[ServiceEndDate])&lt;CONT_TEA[[#This Row],[DateTo]],1,0)))</f>
        <v>0</v>
      </c>
      <c r="S299" s="57">
        <f>IF(ISBLANK(CONT_TEA[[#This Row],[DateTo]]),0,IF(CONT_TEA[[#This Row],[DateFrom]]=CONT_TEA[[#This Row],[DateTo]],0,IF(CONT_TEA[[#This Row],[DateFrom]]&lt;CONT_TEA[[#This Row],[DateTo]],0,1)))</f>
        <v>0</v>
      </c>
      <c r="T299" s="57" cm="1">
        <f t="array" aca="1" ref="T299" ca="1">IF(CELL("format",CONT_TEA[[#This Row],[DateFrom]])="D1",0,1)+IF(CELL("format",CONT_TEA[[#This Row],[DateTo]])="D1",0,1)</f>
        <v>0</v>
      </c>
      <c r="U299" s="57">
        <f>IF(OR(CONT_TEA[[#This Row],[MatEditOnly]]=TRUE,CONT_TEA[[#This Row],[MatEditOnly]]=FALSE),IF(OR(CONT_TEA[[#This Row],[NoIncrement]]=TRUE,CONT_TEA[[#This Row],[NoIncrement]]=FALSE),0,1),1)</f>
        <v>0</v>
      </c>
      <c r="V299" s="57">
        <f>IF(ISBLANK(CONT_TEA[[#This Row],[FundCode]])=TRUE,0,IF(COUNTIF(FUNDS[FundCode],CONT_TEA[[#This Row],[FundCode]])=1,0,1))</f>
        <v>0</v>
      </c>
      <c r="W299" s="57">
        <f>IF(LEN(CONT_TEA[[#This Row],[Notes]])&lt;4000,0,1)</f>
        <v>0</v>
      </c>
      <c r="X299" s="57">
        <f>IF(SUBSTITUTE(TEXT(CONT_TEA[[#This Row],[Reference]],10)," ","")=TEXT(CONT_TEA[[#This Row],[Reference]],10),0,1)</f>
        <v>0</v>
      </c>
      <c r="Y299" s="57">
        <f ca="1">SUM(CONT_TEA[[#This Row],[Duplicate Contract]:[Space in Code]])</f>
        <v>1</v>
      </c>
      <c r="AA299" s="12" t="s">
        <v>2126</v>
      </c>
      <c r="AB299" s="15">
        <v>10006806</v>
      </c>
      <c r="AC299" s="12">
        <v>110356</v>
      </c>
      <c r="AD299" s="57" t="str">
        <f>_xlfn.XLOOKUP(CONT_TEA[[#This Row],[StaffMemberCode]],StaffMembers!O:O,StaffMembers!R:R)</f>
        <v>Andrew Terry</v>
      </c>
      <c r="AE299" s="12" t="s">
        <v>1178</v>
      </c>
      <c r="AF299" s="57">
        <f>_xlfn.XLOOKUP(CONT_TEA[[#This Row],[SRG]],SRG[StaffRoleGroupCode],SRG[GrossSalaryFinanceCode])</f>
        <v>612100</v>
      </c>
      <c r="AG299" s="57" t="str">
        <f>_xlfn.XLOOKUP(CONT_TEA[[#This Row],[StaffRoleCode]],ROLES[StaffRoleCode],ROLES[StaffRoleGroupCode])</f>
        <v>TEA</v>
      </c>
      <c r="AH299" s="57" t="str">
        <f>_xlfn.XLOOKUP(CONT_TEA[[#This Row],[StaffRoleCode]],ROLES[StaffRoleCode],ROLES[PayScaleCode])</f>
        <v>MAIN</v>
      </c>
      <c r="AI299" s="12" t="s">
        <v>1126</v>
      </c>
      <c r="AJ299" s="12" t="s">
        <v>1066</v>
      </c>
      <c r="AK299" s="12" t="s">
        <v>2499</v>
      </c>
      <c r="AM299" s="68" t="s">
        <v>1147</v>
      </c>
      <c r="AN299" s="13" t="s">
        <v>1702</v>
      </c>
      <c r="AO299" s="21">
        <v>46023</v>
      </c>
      <c r="AQ299" s="12">
        <v>1</v>
      </c>
      <c r="AR299" t="b">
        <v>0</v>
      </c>
      <c r="AS299" t="b">
        <v>0</v>
      </c>
      <c r="AT299" s="12" t="s">
        <v>1574</v>
      </c>
    </row>
    <row r="300" spans="1:46" x14ac:dyDescent="0.3">
      <c r="A300" s="57" t="str">
        <f t="shared" si="7"/>
        <v>MLB10012815106128TEASTCH46023</v>
      </c>
      <c r="B300" s="57">
        <f>COUNTIF(CONT_TEA[Unique Contract],CONT_TEA[[#This Row],[Unique Contract]])-1</f>
        <v>0</v>
      </c>
      <c r="C300" s="57">
        <f>IFERROR(IF(FIND(CONT_TEA[[#This Row],[SchoolCode]],_xlfn.XLOOKUP(CONT_TEA[[#This Row],[StaffMemberCode]],MEMBERS[StaffMemberCode],MEMBERS[SchoolCodes]))&gt;0,0,1),1)</f>
        <v>0</v>
      </c>
      <c r="D300" s="57" cm="1">
        <f t="array" ref="D300">IF(_xlfn.XLOOKUP(CONT_TEA[[#This Row],[StaffRoleCode]],ROLES[StaffRoleCode],ROLES[AvailableToAllSchools],1,0,)=TRUE,0,IF(ISERROR(FIND(CONT_TEA[[#This Row],[SchoolCode]],_xlfn.TEXTJOIN(",",TRUE,_xlfn.UNIQUE(IF(ROLES[StaffRoleCode]=CONT_TEA[[#This Row],[StaffRoleCode]],ROLES[SchoolCodes],""))))),1,0))</f>
        <v>0</v>
      </c>
      <c r="E300" s="57" cm="1">
        <f t="array" ref="E30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00" s="57" cm="1">
        <f t="array" ref="F300">IF(_xlfn.XLOOKUP(CONT_TEA[[#This Row],[PayScaleCode]],PAYSCALES[PayScaleCode],PAYSCALES[AvailableToAllSchools],1,0,)=TRUE,0,IF(ISERROR(FIND(CONT_TEA[[#This Row],[SchoolCode]],_xlfn.TEXTJOIN(",",TRUE,_xlfn.UNIQUE(IF(PAYSCALES[PayScaleCode]=CONT_TEA[[#This Row],[PayScaleCode]],PAYSCALES[SchoolCodes],""))))),1,0))</f>
        <v>0</v>
      </c>
      <c r="G300" s="57">
        <f>IF(_xlfn.XLOOKUP(CONT_TEA[[#This Row],[PayScaleGradeCode]],GRADES[PayScaleGradeCode],GRADES[AvailableToAllSchools])=TRUE,0,IFERROR(IF(FIND(CONT_TEA[[#This Row],[SchoolCode]],_xlfn.XLOOKUP(CONT_TEA[[#This Row],[PayScaleGradeCode]],GRADES[PayScaleGradeCode],GRADES[SchoolCodes]))&gt;=1,0,1),1))</f>
        <v>0</v>
      </c>
      <c r="H300" s="57">
        <f>IF(ISERROR(IF((_xlfn.XLOOKUP(CONT_TEA[[#This Row],[PayScaleGradeCode]],GRADES[PayScaleGradeCode],GRADES[PayScaleCode])=CONT_TEA[[#This Row],[PayScaleCode]]),0,1)),1,0)</f>
        <v>0</v>
      </c>
      <c r="I300" s="57" cm="1">
        <f t="array" ref="I300">IF(ISERROR(FIND(CONT_TEA[[#This Row],[PayScalePointCode]],_xlfn.TEXTJOIN(",",TRUE,IF(PSPOINTS[PayScaleCode]=CONT_TEA[[#This Row],[PayScaleCode]],PSPOINTS[PayScalePointCode])))),1,0)</f>
        <v>0</v>
      </c>
      <c r="J300" s="57" cm="1">
        <f t="array" ref="J30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00" s="57">
        <f>IF(_xlfn.XLOOKUP(CONT_TEA[[#This Row],[PayScalePointCode]],PSPOINTS[PayScalePointCode],PSPOINTS[PayScalePointEnabled])=TRUE,0,1)</f>
        <v>0</v>
      </c>
      <c r="L300" s="57" cm="1">
        <f t="array" ref="L300">IF(_xlfn.XLOOKUP(CONT_TEA[[#This Row],[DepartmentCode]],DEPTS[DepartmentCode],DEPTS[AvailableToAllSchools],1,0,)=TRUE,0,IF(ISERROR(FIND(CONT_TEA[[#This Row],[SchoolCode]],_xlfn.TEXTJOIN(",",TRUE,_xlfn.UNIQUE(IF(DEPTS[DepartmentCode]=CONT_TEA[[#This Row],[DepartmentCode]],DEPTS[SchoolCodes],""))))),1,0))</f>
        <v>0</v>
      </c>
      <c r="M300" s="57">
        <f>IFERROR(IF(_xlfn.XLOOKUP(CONT_TEA[[#This Row],[SRG Gross]],FinanceCodesBudget[FinanceCode],FinanceCodesBudget[LedgerCode])=_xlfn.XLOOKUP(CONT_TEA[[#This Row],[DepartmentCode]],DEPTS[DepartmentCode],DEPTS[LedgerCode]),0,1),1)</f>
        <v>1</v>
      </c>
      <c r="N300" s="57" cm="1">
        <f t="array" ref="N300">IF(_xlfn.XLOOKUP(CONT_TEA[[#This Row],[PensionCode]],PENS[PensionCode],PENS[AvailableToAllSchools],1,0,)=TRUE,0,IF(ISERROR(FIND(CONT_TEA[[#This Row],[SchoolCode]],_xlfn.TEXTJOIN(",",TRUE,_xlfn.UNIQUE(IF(PENS[PensionCode]=CONT_TEA[[#This Row],[PensionCode]],PENS[SchoolCodes],""))))),1,0))</f>
        <v>0</v>
      </c>
      <c r="O300" s="57" cm="1">
        <f t="array" ref="O300">IF(_xlfn.XLOOKUP(CONT_TEA[[#This Row],[EquatedWeekPatternCode]],EQW[EquatedWeekPatternCode],EQW[AvailableToAllSchools],1,0,)=TRUE,0,IF(ISERROR(FIND(CONT_TEA[[#This Row],[SchoolCode]],_xlfn.TEXTJOIN(",",TRUE,_xlfn.UNIQUE(IF(EQW[EquatedWeekPatternCode]=CONT_TEA[[#This Row],[EquatedWeekPatternCode]],EQW[SchoolCodes],""))))),1,0))</f>
        <v>0</v>
      </c>
      <c r="P300" s="57">
        <f>1-COUNTIF(ContractTypes[Code],CONT_TEA[[#This Row],[ContractTypeCode]])</f>
        <v>0</v>
      </c>
      <c r="Q300" s="57">
        <f>IF(VLOOKUP(CONT_TEA[[#This Row],[StaffMemberCode]],MEMBERS[[StaffMemberCode]:[ServiceStartDate]],5,0)&gt;CONT_TEA[[#This Row],[DateFrom]],1,0)</f>
        <v>0</v>
      </c>
      <c r="R300" s="57">
        <f>IF(_xlfn.XLOOKUP(CONT_TEA[[#This Row],[StaffMemberCode]],MEMBERS[StaffMemberCode],MEMBERS[ServiceEndDate])="",0,IF(CONT_TEA[[#This Row],[DateTo]]="",1,IF(_xlfn.XLOOKUP(CONT_TEA[[#This Row],[StaffMemberCode]],MEMBERS[StaffMemberCode],MEMBERS[ServiceEndDate])&lt;CONT_TEA[[#This Row],[DateTo]],1,0)))</f>
        <v>0</v>
      </c>
      <c r="S300" s="57">
        <f>IF(ISBLANK(CONT_TEA[[#This Row],[DateTo]]),0,IF(CONT_TEA[[#This Row],[DateFrom]]=CONT_TEA[[#This Row],[DateTo]],0,IF(CONT_TEA[[#This Row],[DateFrom]]&lt;CONT_TEA[[#This Row],[DateTo]],0,1)))</f>
        <v>0</v>
      </c>
      <c r="T300" s="57" cm="1">
        <f t="array" aca="1" ref="T300" ca="1">IF(CELL("format",CONT_TEA[[#This Row],[DateFrom]])="D1",0,1)+IF(CELL("format",CONT_TEA[[#This Row],[DateTo]])="D1",0,1)</f>
        <v>0</v>
      </c>
      <c r="U300" s="57">
        <f>IF(OR(CONT_TEA[[#This Row],[MatEditOnly]]=TRUE,CONT_TEA[[#This Row],[MatEditOnly]]=FALSE),IF(OR(CONT_TEA[[#This Row],[NoIncrement]]=TRUE,CONT_TEA[[#This Row],[NoIncrement]]=FALSE),0,1),1)</f>
        <v>0</v>
      </c>
      <c r="V300" s="57">
        <f>IF(ISBLANK(CONT_TEA[[#This Row],[FundCode]])=TRUE,0,IF(COUNTIF(FUNDS[FundCode],CONT_TEA[[#This Row],[FundCode]])=1,0,1))</f>
        <v>0</v>
      </c>
      <c r="W300" s="57">
        <f>IF(LEN(CONT_TEA[[#This Row],[Notes]])&lt;4000,0,1)</f>
        <v>0</v>
      </c>
      <c r="X300" s="57">
        <f>IF(SUBSTITUTE(TEXT(CONT_TEA[[#This Row],[Reference]],10)," ","")=TEXT(CONT_TEA[[#This Row],[Reference]],10),0,1)</f>
        <v>0</v>
      </c>
      <c r="Y300" s="57">
        <f ca="1">SUM(CONT_TEA[[#This Row],[Duplicate Contract]:[Space in Code]])</f>
        <v>1</v>
      </c>
      <c r="AA300" s="12" t="s">
        <v>2126</v>
      </c>
      <c r="AB300" s="15">
        <v>10012815</v>
      </c>
      <c r="AC300" s="12">
        <v>106128</v>
      </c>
      <c r="AD300" s="57" t="str">
        <f>_xlfn.XLOOKUP(CONT_TEA[[#This Row],[StaffMemberCode]],StaffMembers!O:O,StaffMembers!R:R)</f>
        <v>George Szczadylo</v>
      </c>
      <c r="AE300" s="12" t="s">
        <v>1178</v>
      </c>
      <c r="AF300" s="57">
        <f>_xlfn.XLOOKUP(CONT_TEA[[#This Row],[SRG]],SRG[StaffRoleGroupCode],SRG[GrossSalaryFinanceCode])</f>
        <v>612100</v>
      </c>
      <c r="AG300" s="57" t="str">
        <f>_xlfn.XLOOKUP(CONT_TEA[[#This Row],[StaffRoleCode]],ROLES[StaffRoleCode],ROLES[StaffRoleGroupCode])</f>
        <v>TEA</v>
      </c>
      <c r="AH300" s="57" t="str">
        <f>_xlfn.XLOOKUP(CONT_TEA[[#This Row],[StaffRoleCode]],ROLES[StaffRoleCode],ROLES[PayScaleCode])</f>
        <v>MAIN</v>
      </c>
      <c r="AI300" s="12" t="s">
        <v>1126</v>
      </c>
      <c r="AJ300" s="12" t="s">
        <v>1066</v>
      </c>
      <c r="AK300" s="12" t="s">
        <v>2499</v>
      </c>
      <c r="AM300" s="68" t="s">
        <v>1147</v>
      </c>
      <c r="AN300" s="13" t="s">
        <v>1702</v>
      </c>
      <c r="AO300" s="21">
        <v>46023</v>
      </c>
      <c r="AQ300" s="12">
        <v>1</v>
      </c>
      <c r="AR300" t="b">
        <v>0</v>
      </c>
      <c r="AS300" t="b">
        <v>0</v>
      </c>
      <c r="AT300" s="12" t="s">
        <v>1574</v>
      </c>
    </row>
    <row r="301" spans="1:46" x14ac:dyDescent="0.3">
      <c r="A301" s="57" t="str">
        <f t="shared" si="7"/>
        <v>MLB10016227106047TEASTCH46023</v>
      </c>
      <c r="B301" s="57">
        <f>COUNTIF(CONT_TEA[Unique Contract],CONT_TEA[[#This Row],[Unique Contract]])-1</f>
        <v>0</v>
      </c>
      <c r="C301" s="57">
        <f>IFERROR(IF(FIND(CONT_TEA[[#This Row],[SchoolCode]],_xlfn.XLOOKUP(CONT_TEA[[#This Row],[StaffMemberCode]],MEMBERS[StaffMemberCode],MEMBERS[SchoolCodes]))&gt;0,0,1),1)</f>
        <v>0</v>
      </c>
      <c r="D301" s="57" cm="1">
        <f t="array" ref="D301">IF(_xlfn.XLOOKUP(CONT_TEA[[#This Row],[StaffRoleCode]],ROLES[StaffRoleCode],ROLES[AvailableToAllSchools],1,0,)=TRUE,0,IF(ISERROR(FIND(CONT_TEA[[#This Row],[SchoolCode]],_xlfn.TEXTJOIN(",",TRUE,_xlfn.UNIQUE(IF(ROLES[StaffRoleCode]=CONT_TEA[[#This Row],[StaffRoleCode]],ROLES[SchoolCodes],""))))),1,0))</f>
        <v>0</v>
      </c>
      <c r="E301" s="57" cm="1">
        <f t="array" ref="E30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01" s="57" cm="1">
        <f t="array" ref="F301">IF(_xlfn.XLOOKUP(CONT_TEA[[#This Row],[PayScaleCode]],PAYSCALES[PayScaleCode],PAYSCALES[AvailableToAllSchools],1,0,)=TRUE,0,IF(ISERROR(FIND(CONT_TEA[[#This Row],[SchoolCode]],_xlfn.TEXTJOIN(",",TRUE,_xlfn.UNIQUE(IF(PAYSCALES[PayScaleCode]=CONT_TEA[[#This Row],[PayScaleCode]],PAYSCALES[SchoolCodes],""))))),1,0))</f>
        <v>0</v>
      </c>
      <c r="G301" s="57">
        <f>IF(_xlfn.XLOOKUP(CONT_TEA[[#This Row],[PayScaleGradeCode]],GRADES[PayScaleGradeCode],GRADES[AvailableToAllSchools])=TRUE,0,IFERROR(IF(FIND(CONT_TEA[[#This Row],[SchoolCode]],_xlfn.XLOOKUP(CONT_TEA[[#This Row],[PayScaleGradeCode]],GRADES[PayScaleGradeCode],GRADES[SchoolCodes]))&gt;=1,0,1),1))</f>
        <v>0</v>
      </c>
      <c r="H301" s="57">
        <f>IF(ISERROR(IF((_xlfn.XLOOKUP(CONT_TEA[[#This Row],[PayScaleGradeCode]],GRADES[PayScaleGradeCode],GRADES[PayScaleCode])=CONT_TEA[[#This Row],[PayScaleCode]]),0,1)),1,0)</f>
        <v>0</v>
      </c>
      <c r="I301" s="57" cm="1">
        <f t="array" ref="I301">IF(ISERROR(FIND(CONT_TEA[[#This Row],[PayScalePointCode]],_xlfn.TEXTJOIN(",",TRUE,IF(PSPOINTS[PayScaleCode]=CONT_TEA[[#This Row],[PayScaleCode]],PSPOINTS[PayScalePointCode])))),1,0)</f>
        <v>0</v>
      </c>
      <c r="J301" s="57" cm="1">
        <f t="array" ref="J30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01" s="57">
        <f>IF(_xlfn.XLOOKUP(CONT_TEA[[#This Row],[PayScalePointCode]],PSPOINTS[PayScalePointCode],PSPOINTS[PayScalePointEnabled])=TRUE,0,1)</f>
        <v>0</v>
      </c>
      <c r="L301" s="57" cm="1">
        <f t="array" ref="L301">IF(_xlfn.XLOOKUP(CONT_TEA[[#This Row],[DepartmentCode]],DEPTS[DepartmentCode],DEPTS[AvailableToAllSchools],1,0,)=TRUE,0,IF(ISERROR(FIND(CONT_TEA[[#This Row],[SchoolCode]],_xlfn.TEXTJOIN(",",TRUE,_xlfn.UNIQUE(IF(DEPTS[DepartmentCode]=CONT_TEA[[#This Row],[DepartmentCode]],DEPTS[SchoolCodes],""))))),1,0))</f>
        <v>0</v>
      </c>
      <c r="M301" s="57">
        <f>IFERROR(IF(_xlfn.XLOOKUP(CONT_TEA[[#This Row],[SRG Gross]],FinanceCodesBudget[FinanceCode],FinanceCodesBudget[LedgerCode])=_xlfn.XLOOKUP(CONT_TEA[[#This Row],[DepartmentCode]],DEPTS[DepartmentCode],DEPTS[LedgerCode]),0,1),1)</f>
        <v>1</v>
      </c>
      <c r="N301" s="57" cm="1">
        <f t="array" ref="N301">IF(_xlfn.XLOOKUP(CONT_TEA[[#This Row],[PensionCode]],PENS[PensionCode],PENS[AvailableToAllSchools],1,0,)=TRUE,0,IF(ISERROR(FIND(CONT_TEA[[#This Row],[SchoolCode]],_xlfn.TEXTJOIN(",",TRUE,_xlfn.UNIQUE(IF(PENS[PensionCode]=CONT_TEA[[#This Row],[PensionCode]],PENS[SchoolCodes],""))))),1,0))</f>
        <v>0</v>
      </c>
      <c r="O301" s="57" cm="1">
        <f t="array" ref="O301">IF(_xlfn.XLOOKUP(CONT_TEA[[#This Row],[EquatedWeekPatternCode]],EQW[EquatedWeekPatternCode],EQW[AvailableToAllSchools],1,0,)=TRUE,0,IF(ISERROR(FIND(CONT_TEA[[#This Row],[SchoolCode]],_xlfn.TEXTJOIN(",",TRUE,_xlfn.UNIQUE(IF(EQW[EquatedWeekPatternCode]=CONT_TEA[[#This Row],[EquatedWeekPatternCode]],EQW[SchoolCodes],""))))),1,0))</f>
        <v>0</v>
      </c>
      <c r="P301" s="57">
        <f>1-COUNTIF(ContractTypes[Code],CONT_TEA[[#This Row],[ContractTypeCode]])</f>
        <v>0</v>
      </c>
      <c r="Q301" s="57">
        <f>IF(VLOOKUP(CONT_TEA[[#This Row],[StaffMemberCode]],MEMBERS[[StaffMemberCode]:[ServiceStartDate]],5,0)&gt;CONT_TEA[[#This Row],[DateFrom]],1,0)</f>
        <v>0</v>
      </c>
      <c r="R301" s="57">
        <f>IF(_xlfn.XLOOKUP(CONT_TEA[[#This Row],[StaffMemberCode]],MEMBERS[StaffMemberCode],MEMBERS[ServiceEndDate])="",0,IF(CONT_TEA[[#This Row],[DateTo]]="",1,IF(_xlfn.XLOOKUP(CONT_TEA[[#This Row],[StaffMemberCode]],MEMBERS[StaffMemberCode],MEMBERS[ServiceEndDate])&lt;CONT_TEA[[#This Row],[DateTo]],1,0)))</f>
        <v>0</v>
      </c>
      <c r="S301" s="57">
        <f>IF(ISBLANK(CONT_TEA[[#This Row],[DateTo]]),0,IF(CONT_TEA[[#This Row],[DateFrom]]=CONT_TEA[[#This Row],[DateTo]],0,IF(CONT_TEA[[#This Row],[DateFrom]]&lt;CONT_TEA[[#This Row],[DateTo]],0,1)))</f>
        <v>0</v>
      </c>
      <c r="T301" s="57" cm="1">
        <f t="array" aca="1" ref="T301" ca="1">IF(CELL("format",CONT_TEA[[#This Row],[DateFrom]])="D1",0,1)+IF(CELL("format",CONT_TEA[[#This Row],[DateTo]])="D1",0,1)</f>
        <v>0</v>
      </c>
      <c r="U301" s="57">
        <f>IF(OR(CONT_TEA[[#This Row],[MatEditOnly]]=TRUE,CONT_TEA[[#This Row],[MatEditOnly]]=FALSE),IF(OR(CONT_TEA[[#This Row],[NoIncrement]]=TRUE,CONT_TEA[[#This Row],[NoIncrement]]=FALSE),0,1),1)</f>
        <v>0</v>
      </c>
      <c r="V301" s="57">
        <f>IF(ISBLANK(CONT_TEA[[#This Row],[FundCode]])=TRUE,0,IF(COUNTIF(FUNDS[FundCode],CONT_TEA[[#This Row],[FundCode]])=1,0,1))</f>
        <v>0</v>
      </c>
      <c r="W301" s="57">
        <f>IF(LEN(CONT_TEA[[#This Row],[Notes]])&lt;4000,0,1)</f>
        <v>0</v>
      </c>
      <c r="X301" s="57">
        <f>IF(SUBSTITUTE(TEXT(CONT_TEA[[#This Row],[Reference]],10)," ","")=TEXT(CONT_TEA[[#This Row],[Reference]],10),0,1)</f>
        <v>0</v>
      </c>
      <c r="Y301" s="57">
        <f ca="1">SUM(CONT_TEA[[#This Row],[Duplicate Contract]:[Space in Code]])</f>
        <v>1</v>
      </c>
      <c r="AA301" s="12" t="s">
        <v>2126</v>
      </c>
      <c r="AB301" s="15">
        <v>10016227</v>
      </c>
      <c r="AC301" s="12">
        <v>106047</v>
      </c>
      <c r="AD301" s="57" t="str">
        <f>_xlfn.XLOOKUP(CONT_TEA[[#This Row],[StaffMemberCode]],StaffMembers!O:O,StaffMembers!R:R)</f>
        <v>Xinyi Yao</v>
      </c>
      <c r="AE301" s="12" t="s">
        <v>1178</v>
      </c>
      <c r="AF301" s="57">
        <f>_xlfn.XLOOKUP(CONT_TEA[[#This Row],[SRG]],SRG[StaffRoleGroupCode],SRG[GrossSalaryFinanceCode])</f>
        <v>612100</v>
      </c>
      <c r="AG301" s="57" t="str">
        <f>_xlfn.XLOOKUP(CONT_TEA[[#This Row],[StaffRoleCode]],ROLES[StaffRoleCode],ROLES[StaffRoleGroupCode])</f>
        <v>TEA</v>
      </c>
      <c r="AH301" s="57" t="str">
        <f>_xlfn.XLOOKUP(CONT_TEA[[#This Row],[StaffRoleCode]],ROLES[StaffRoleCode],ROLES[PayScaleCode])</f>
        <v>MAIN</v>
      </c>
      <c r="AI301" s="12" t="s">
        <v>1126</v>
      </c>
      <c r="AJ301" s="12" t="s">
        <v>1067</v>
      </c>
      <c r="AK301" s="12" t="s">
        <v>2499</v>
      </c>
      <c r="AM301" s="68" t="s">
        <v>1149</v>
      </c>
      <c r="AN301" s="13" t="s">
        <v>1702</v>
      </c>
      <c r="AO301" s="21">
        <v>46023</v>
      </c>
      <c r="AQ301" s="12">
        <v>1</v>
      </c>
      <c r="AR301" t="b">
        <v>0</v>
      </c>
      <c r="AS301" t="b">
        <v>0</v>
      </c>
      <c r="AT301" s="12" t="s">
        <v>1574</v>
      </c>
    </row>
    <row r="302" spans="1:46" x14ac:dyDescent="0.3">
      <c r="A302" s="57" t="str">
        <f t="shared" si="7"/>
        <v>MLB10016188109534TEASTCH46023</v>
      </c>
      <c r="B302" s="57">
        <f>COUNTIF(CONT_TEA[Unique Contract],CONT_TEA[[#This Row],[Unique Contract]])-1</f>
        <v>0</v>
      </c>
      <c r="C302" s="57">
        <f>IFERROR(IF(FIND(CONT_TEA[[#This Row],[SchoolCode]],_xlfn.XLOOKUP(CONT_TEA[[#This Row],[StaffMemberCode]],MEMBERS[StaffMemberCode],MEMBERS[SchoolCodes]))&gt;0,0,1),1)</f>
        <v>0</v>
      </c>
      <c r="D302" s="57" cm="1">
        <f t="array" ref="D302">IF(_xlfn.XLOOKUP(CONT_TEA[[#This Row],[StaffRoleCode]],ROLES[StaffRoleCode],ROLES[AvailableToAllSchools],1,0,)=TRUE,0,IF(ISERROR(FIND(CONT_TEA[[#This Row],[SchoolCode]],_xlfn.TEXTJOIN(",",TRUE,_xlfn.UNIQUE(IF(ROLES[StaffRoleCode]=CONT_TEA[[#This Row],[StaffRoleCode]],ROLES[SchoolCodes],""))))),1,0))</f>
        <v>0</v>
      </c>
      <c r="E302" s="57" cm="1">
        <f t="array" ref="E30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02" s="57" cm="1">
        <f t="array" ref="F302">IF(_xlfn.XLOOKUP(CONT_TEA[[#This Row],[PayScaleCode]],PAYSCALES[PayScaleCode],PAYSCALES[AvailableToAllSchools],1,0,)=TRUE,0,IF(ISERROR(FIND(CONT_TEA[[#This Row],[SchoolCode]],_xlfn.TEXTJOIN(",",TRUE,_xlfn.UNIQUE(IF(PAYSCALES[PayScaleCode]=CONT_TEA[[#This Row],[PayScaleCode]],PAYSCALES[SchoolCodes],""))))),1,0))</f>
        <v>0</v>
      </c>
      <c r="G302" s="57">
        <f>IF(_xlfn.XLOOKUP(CONT_TEA[[#This Row],[PayScaleGradeCode]],GRADES[PayScaleGradeCode],GRADES[AvailableToAllSchools])=TRUE,0,IFERROR(IF(FIND(CONT_TEA[[#This Row],[SchoolCode]],_xlfn.XLOOKUP(CONT_TEA[[#This Row],[PayScaleGradeCode]],GRADES[PayScaleGradeCode],GRADES[SchoolCodes]))&gt;=1,0,1),1))</f>
        <v>0</v>
      </c>
      <c r="H302" s="57">
        <f>IF(ISERROR(IF((_xlfn.XLOOKUP(CONT_TEA[[#This Row],[PayScaleGradeCode]],GRADES[PayScaleGradeCode],GRADES[PayScaleCode])=CONT_TEA[[#This Row],[PayScaleCode]]),0,1)),1,0)</f>
        <v>0</v>
      </c>
      <c r="I302" s="57" cm="1">
        <f t="array" ref="I302">IF(ISERROR(FIND(CONT_TEA[[#This Row],[PayScalePointCode]],_xlfn.TEXTJOIN(",",TRUE,IF(PSPOINTS[PayScaleCode]=CONT_TEA[[#This Row],[PayScaleCode]],PSPOINTS[PayScalePointCode])))),1,0)</f>
        <v>0</v>
      </c>
      <c r="J302" s="57" cm="1">
        <f t="array" ref="J30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02" s="57">
        <f>IF(_xlfn.XLOOKUP(CONT_TEA[[#This Row],[PayScalePointCode]],PSPOINTS[PayScalePointCode],PSPOINTS[PayScalePointEnabled])=TRUE,0,1)</f>
        <v>0</v>
      </c>
      <c r="L302" s="57" cm="1">
        <f t="array" ref="L302">IF(_xlfn.XLOOKUP(CONT_TEA[[#This Row],[DepartmentCode]],DEPTS[DepartmentCode],DEPTS[AvailableToAllSchools],1,0,)=TRUE,0,IF(ISERROR(FIND(CONT_TEA[[#This Row],[SchoolCode]],_xlfn.TEXTJOIN(",",TRUE,_xlfn.UNIQUE(IF(DEPTS[DepartmentCode]=CONT_TEA[[#This Row],[DepartmentCode]],DEPTS[SchoolCodes],""))))),1,0))</f>
        <v>0</v>
      </c>
      <c r="M302" s="57">
        <f>IFERROR(IF(_xlfn.XLOOKUP(CONT_TEA[[#This Row],[SRG Gross]],FinanceCodesBudget[FinanceCode],FinanceCodesBudget[LedgerCode])=_xlfn.XLOOKUP(CONT_TEA[[#This Row],[DepartmentCode]],DEPTS[DepartmentCode],DEPTS[LedgerCode]),0,1),1)</f>
        <v>1</v>
      </c>
      <c r="N302" s="57" cm="1">
        <f t="array" ref="N302">IF(_xlfn.XLOOKUP(CONT_TEA[[#This Row],[PensionCode]],PENS[PensionCode],PENS[AvailableToAllSchools],1,0,)=TRUE,0,IF(ISERROR(FIND(CONT_TEA[[#This Row],[SchoolCode]],_xlfn.TEXTJOIN(",",TRUE,_xlfn.UNIQUE(IF(PENS[PensionCode]=CONT_TEA[[#This Row],[PensionCode]],PENS[SchoolCodes],""))))),1,0))</f>
        <v>0</v>
      </c>
      <c r="O302" s="57" cm="1">
        <f t="array" ref="O302">IF(_xlfn.XLOOKUP(CONT_TEA[[#This Row],[EquatedWeekPatternCode]],EQW[EquatedWeekPatternCode],EQW[AvailableToAllSchools],1,0,)=TRUE,0,IF(ISERROR(FIND(CONT_TEA[[#This Row],[SchoolCode]],_xlfn.TEXTJOIN(",",TRUE,_xlfn.UNIQUE(IF(EQW[EquatedWeekPatternCode]=CONT_TEA[[#This Row],[EquatedWeekPatternCode]],EQW[SchoolCodes],""))))),1,0))</f>
        <v>0</v>
      </c>
      <c r="P302" s="57">
        <f>1-COUNTIF(ContractTypes[Code],CONT_TEA[[#This Row],[ContractTypeCode]])</f>
        <v>0</v>
      </c>
      <c r="Q302" s="57">
        <f>IF(VLOOKUP(CONT_TEA[[#This Row],[StaffMemberCode]],MEMBERS[[StaffMemberCode]:[ServiceStartDate]],5,0)&gt;CONT_TEA[[#This Row],[DateFrom]],1,0)</f>
        <v>0</v>
      </c>
      <c r="R302" s="57">
        <f>IF(_xlfn.XLOOKUP(CONT_TEA[[#This Row],[StaffMemberCode]],MEMBERS[StaffMemberCode],MEMBERS[ServiceEndDate])="",0,IF(CONT_TEA[[#This Row],[DateTo]]="",1,IF(_xlfn.XLOOKUP(CONT_TEA[[#This Row],[StaffMemberCode]],MEMBERS[StaffMemberCode],MEMBERS[ServiceEndDate])&lt;CONT_TEA[[#This Row],[DateTo]],1,0)))</f>
        <v>0</v>
      </c>
      <c r="S302" s="57">
        <f>IF(ISBLANK(CONT_TEA[[#This Row],[DateTo]]),0,IF(CONT_TEA[[#This Row],[DateFrom]]=CONT_TEA[[#This Row],[DateTo]],0,IF(CONT_TEA[[#This Row],[DateFrom]]&lt;CONT_TEA[[#This Row],[DateTo]],0,1)))</f>
        <v>0</v>
      </c>
      <c r="T302" s="57" cm="1">
        <f t="array" aca="1" ref="T302" ca="1">IF(CELL("format",CONT_TEA[[#This Row],[DateFrom]])="D1",0,1)+IF(CELL("format",CONT_TEA[[#This Row],[DateTo]])="D1",0,1)</f>
        <v>0</v>
      </c>
      <c r="U302" s="57">
        <f>IF(OR(CONT_TEA[[#This Row],[MatEditOnly]]=TRUE,CONT_TEA[[#This Row],[MatEditOnly]]=FALSE),IF(OR(CONT_TEA[[#This Row],[NoIncrement]]=TRUE,CONT_TEA[[#This Row],[NoIncrement]]=FALSE),0,1),1)</f>
        <v>0</v>
      </c>
      <c r="V302" s="57">
        <f>IF(ISBLANK(CONT_TEA[[#This Row],[FundCode]])=TRUE,0,IF(COUNTIF(FUNDS[FundCode],CONT_TEA[[#This Row],[FundCode]])=1,0,1))</f>
        <v>0</v>
      </c>
      <c r="W302" s="57">
        <f>IF(LEN(CONT_TEA[[#This Row],[Notes]])&lt;4000,0,1)</f>
        <v>0</v>
      </c>
      <c r="X302" s="57">
        <f>IF(SUBSTITUTE(TEXT(CONT_TEA[[#This Row],[Reference]],10)," ","")=TEXT(CONT_TEA[[#This Row],[Reference]],10),0,1)</f>
        <v>0</v>
      </c>
      <c r="Y302" s="57">
        <f ca="1">SUM(CONT_TEA[[#This Row],[Duplicate Contract]:[Space in Code]])</f>
        <v>1</v>
      </c>
      <c r="AA302" s="12" t="s">
        <v>2126</v>
      </c>
      <c r="AB302" s="15">
        <v>10016188</v>
      </c>
      <c r="AC302" s="12">
        <v>109534</v>
      </c>
      <c r="AD302" s="57" t="str">
        <f>_xlfn.XLOOKUP(CONT_TEA[[#This Row],[StaffMemberCode]],StaffMembers!O:O,StaffMembers!R:R)</f>
        <v>Lesley Brown</v>
      </c>
      <c r="AE302" s="12" t="s">
        <v>1178</v>
      </c>
      <c r="AF302" s="57">
        <f>_xlfn.XLOOKUP(CONT_TEA[[#This Row],[SRG]],SRG[StaffRoleGroupCode],SRG[GrossSalaryFinanceCode])</f>
        <v>612100</v>
      </c>
      <c r="AG302" s="57" t="str">
        <f>_xlfn.XLOOKUP(CONT_TEA[[#This Row],[StaffRoleCode]],ROLES[StaffRoleCode],ROLES[StaffRoleGroupCode])</f>
        <v>TEA</v>
      </c>
      <c r="AH302" s="57" t="str">
        <f>_xlfn.XLOOKUP(CONT_TEA[[#This Row],[StaffRoleCode]],ROLES[StaffRoleCode],ROLES[PayScaleCode])</f>
        <v>MAIN</v>
      </c>
      <c r="AI302" s="12" t="s">
        <v>1126</v>
      </c>
      <c r="AJ302" s="12" t="s">
        <v>1745</v>
      </c>
      <c r="AK302" s="12" t="s">
        <v>2499</v>
      </c>
      <c r="AM302" s="68" t="s">
        <v>1149</v>
      </c>
      <c r="AN302" s="13" t="s">
        <v>1702</v>
      </c>
      <c r="AO302" s="21">
        <v>46023</v>
      </c>
      <c r="AQ302" s="12">
        <v>0.32</v>
      </c>
      <c r="AR302" t="b">
        <v>0</v>
      </c>
      <c r="AS302" t="b">
        <v>0</v>
      </c>
      <c r="AT302" s="12" t="s">
        <v>1573</v>
      </c>
    </row>
    <row r="303" spans="1:46" x14ac:dyDescent="0.3">
      <c r="A303" s="57" t="str">
        <f t="shared" si="7"/>
        <v>MLB10010514106090TEASTCH46023</v>
      </c>
      <c r="B303" s="57">
        <f>COUNTIF(CONT_TEA[Unique Contract],CONT_TEA[[#This Row],[Unique Contract]])-1</f>
        <v>0</v>
      </c>
      <c r="C303" s="57">
        <f>IFERROR(IF(FIND(CONT_TEA[[#This Row],[SchoolCode]],_xlfn.XLOOKUP(CONT_TEA[[#This Row],[StaffMemberCode]],MEMBERS[StaffMemberCode],MEMBERS[SchoolCodes]))&gt;0,0,1),1)</f>
        <v>0</v>
      </c>
      <c r="D303" s="57" cm="1">
        <f t="array" ref="D303">IF(_xlfn.XLOOKUP(CONT_TEA[[#This Row],[StaffRoleCode]],ROLES[StaffRoleCode],ROLES[AvailableToAllSchools],1,0,)=TRUE,0,IF(ISERROR(FIND(CONT_TEA[[#This Row],[SchoolCode]],_xlfn.TEXTJOIN(",",TRUE,_xlfn.UNIQUE(IF(ROLES[StaffRoleCode]=CONT_TEA[[#This Row],[StaffRoleCode]],ROLES[SchoolCodes],""))))),1,0))</f>
        <v>0</v>
      </c>
      <c r="E303" s="57" cm="1">
        <f t="array" ref="E30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03" s="57" cm="1">
        <f t="array" ref="F303">IF(_xlfn.XLOOKUP(CONT_TEA[[#This Row],[PayScaleCode]],PAYSCALES[PayScaleCode],PAYSCALES[AvailableToAllSchools],1,0,)=TRUE,0,IF(ISERROR(FIND(CONT_TEA[[#This Row],[SchoolCode]],_xlfn.TEXTJOIN(",",TRUE,_xlfn.UNIQUE(IF(PAYSCALES[PayScaleCode]=CONT_TEA[[#This Row],[PayScaleCode]],PAYSCALES[SchoolCodes],""))))),1,0))</f>
        <v>0</v>
      </c>
      <c r="G303" s="57">
        <f>IF(_xlfn.XLOOKUP(CONT_TEA[[#This Row],[PayScaleGradeCode]],GRADES[PayScaleGradeCode],GRADES[AvailableToAllSchools])=TRUE,0,IFERROR(IF(FIND(CONT_TEA[[#This Row],[SchoolCode]],_xlfn.XLOOKUP(CONT_TEA[[#This Row],[PayScaleGradeCode]],GRADES[PayScaleGradeCode],GRADES[SchoolCodes]))&gt;=1,0,1),1))</f>
        <v>0</v>
      </c>
      <c r="H303" s="57">
        <f>IF(ISERROR(IF((_xlfn.XLOOKUP(CONT_TEA[[#This Row],[PayScaleGradeCode]],GRADES[PayScaleGradeCode],GRADES[PayScaleCode])=CONT_TEA[[#This Row],[PayScaleCode]]),0,1)),1,0)</f>
        <v>0</v>
      </c>
      <c r="I303" s="57" cm="1">
        <f t="array" ref="I303">IF(ISERROR(FIND(CONT_TEA[[#This Row],[PayScalePointCode]],_xlfn.TEXTJOIN(",",TRUE,IF(PSPOINTS[PayScaleCode]=CONT_TEA[[#This Row],[PayScaleCode]],PSPOINTS[PayScalePointCode])))),1,0)</f>
        <v>0</v>
      </c>
      <c r="J303" s="57" cm="1">
        <f t="array" ref="J30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03" s="57">
        <f>IF(_xlfn.XLOOKUP(CONT_TEA[[#This Row],[PayScalePointCode]],PSPOINTS[PayScalePointCode],PSPOINTS[PayScalePointEnabled])=TRUE,0,1)</f>
        <v>0</v>
      </c>
      <c r="L303" s="57" cm="1">
        <f t="array" ref="L303">IF(_xlfn.XLOOKUP(CONT_TEA[[#This Row],[DepartmentCode]],DEPTS[DepartmentCode],DEPTS[AvailableToAllSchools],1,0,)=TRUE,0,IF(ISERROR(FIND(CONT_TEA[[#This Row],[SchoolCode]],_xlfn.TEXTJOIN(",",TRUE,_xlfn.UNIQUE(IF(DEPTS[DepartmentCode]=CONT_TEA[[#This Row],[DepartmentCode]],DEPTS[SchoolCodes],""))))),1,0))</f>
        <v>0</v>
      </c>
      <c r="M303" s="57">
        <f>IFERROR(IF(_xlfn.XLOOKUP(CONT_TEA[[#This Row],[SRG Gross]],FinanceCodesBudget[FinanceCode],FinanceCodesBudget[LedgerCode])=_xlfn.XLOOKUP(CONT_TEA[[#This Row],[DepartmentCode]],DEPTS[DepartmentCode],DEPTS[LedgerCode]),0,1),1)</f>
        <v>1</v>
      </c>
      <c r="N303" s="57" cm="1">
        <f t="array" ref="N303">IF(_xlfn.XLOOKUP(CONT_TEA[[#This Row],[PensionCode]],PENS[PensionCode],PENS[AvailableToAllSchools],1,0,)=TRUE,0,IF(ISERROR(FIND(CONT_TEA[[#This Row],[SchoolCode]],_xlfn.TEXTJOIN(",",TRUE,_xlfn.UNIQUE(IF(PENS[PensionCode]=CONT_TEA[[#This Row],[PensionCode]],PENS[SchoolCodes],""))))),1,0))</f>
        <v>0</v>
      </c>
      <c r="O303" s="57" cm="1">
        <f t="array" ref="O303">IF(_xlfn.XLOOKUP(CONT_TEA[[#This Row],[EquatedWeekPatternCode]],EQW[EquatedWeekPatternCode],EQW[AvailableToAllSchools],1,0,)=TRUE,0,IF(ISERROR(FIND(CONT_TEA[[#This Row],[SchoolCode]],_xlfn.TEXTJOIN(",",TRUE,_xlfn.UNIQUE(IF(EQW[EquatedWeekPatternCode]=CONT_TEA[[#This Row],[EquatedWeekPatternCode]],EQW[SchoolCodes],""))))),1,0))</f>
        <v>0</v>
      </c>
      <c r="P303" s="57">
        <f>1-COUNTIF(ContractTypes[Code],CONT_TEA[[#This Row],[ContractTypeCode]])</f>
        <v>0</v>
      </c>
      <c r="Q303" s="57">
        <f>IF(VLOOKUP(CONT_TEA[[#This Row],[StaffMemberCode]],MEMBERS[[StaffMemberCode]:[ServiceStartDate]],5,0)&gt;CONT_TEA[[#This Row],[DateFrom]],1,0)</f>
        <v>0</v>
      </c>
      <c r="R303" s="57">
        <f>IF(_xlfn.XLOOKUP(CONT_TEA[[#This Row],[StaffMemberCode]],MEMBERS[StaffMemberCode],MEMBERS[ServiceEndDate])="",0,IF(CONT_TEA[[#This Row],[DateTo]]="",1,IF(_xlfn.XLOOKUP(CONT_TEA[[#This Row],[StaffMemberCode]],MEMBERS[StaffMemberCode],MEMBERS[ServiceEndDate])&lt;CONT_TEA[[#This Row],[DateTo]],1,0)))</f>
        <v>0</v>
      </c>
      <c r="S303" s="57">
        <f>IF(ISBLANK(CONT_TEA[[#This Row],[DateTo]]),0,IF(CONT_TEA[[#This Row],[DateFrom]]=CONT_TEA[[#This Row],[DateTo]],0,IF(CONT_TEA[[#This Row],[DateFrom]]&lt;CONT_TEA[[#This Row],[DateTo]],0,1)))</f>
        <v>0</v>
      </c>
      <c r="T303" s="57" cm="1">
        <f t="array" aca="1" ref="T303" ca="1">IF(CELL("format",CONT_TEA[[#This Row],[DateFrom]])="D1",0,1)+IF(CELL("format",CONT_TEA[[#This Row],[DateTo]])="D1",0,1)</f>
        <v>0</v>
      </c>
      <c r="U303" s="57">
        <f>IF(OR(CONT_TEA[[#This Row],[MatEditOnly]]=TRUE,CONT_TEA[[#This Row],[MatEditOnly]]=FALSE),IF(OR(CONT_TEA[[#This Row],[NoIncrement]]=TRUE,CONT_TEA[[#This Row],[NoIncrement]]=FALSE),0,1),1)</f>
        <v>0</v>
      </c>
      <c r="V303" s="57">
        <f>IF(ISBLANK(CONT_TEA[[#This Row],[FundCode]])=TRUE,0,IF(COUNTIF(FUNDS[FundCode],CONT_TEA[[#This Row],[FundCode]])=1,0,1))</f>
        <v>0</v>
      </c>
      <c r="W303" s="57">
        <f>IF(LEN(CONT_TEA[[#This Row],[Notes]])&lt;4000,0,1)</f>
        <v>0</v>
      </c>
      <c r="X303" s="57">
        <f>IF(SUBSTITUTE(TEXT(CONT_TEA[[#This Row],[Reference]],10)," ","")=TEXT(CONT_TEA[[#This Row],[Reference]],10),0,1)</f>
        <v>0</v>
      </c>
      <c r="Y303" s="57">
        <f ca="1">SUM(CONT_TEA[[#This Row],[Duplicate Contract]:[Space in Code]])</f>
        <v>1</v>
      </c>
      <c r="AA303" s="12" t="s">
        <v>2126</v>
      </c>
      <c r="AB303" s="15">
        <v>10010514</v>
      </c>
      <c r="AC303" s="12">
        <v>106090</v>
      </c>
      <c r="AD303" s="57" t="str">
        <f>_xlfn.XLOOKUP(CONT_TEA[[#This Row],[StaffMemberCode]],StaffMembers!O:O,StaffMembers!R:R)</f>
        <v>Henry Brown</v>
      </c>
      <c r="AE303" s="12" t="s">
        <v>1178</v>
      </c>
      <c r="AF303" s="57">
        <f>_xlfn.XLOOKUP(CONT_TEA[[#This Row],[SRG]],SRG[StaffRoleGroupCode],SRG[GrossSalaryFinanceCode])</f>
        <v>612100</v>
      </c>
      <c r="AG303" s="57" t="str">
        <f>_xlfn.XLOOKUP(CONT_TEA[[#This Row],[StaffRoleCode]],ROLES[StaffRoleCode],ROLES[StaffRoleGroupCode])</f>
        <v>TEA</v>
      </c>
      <c r="AH303" s="57" t="str">
        <f>_xlfn.XLOOKUP(CONT_TEA[[#This Row],[StaffRoleCode]],ROLES[StaffRoleCode],ROLES[PayScaleCode])</f>
        <v>MAIN</v>
      </c>
      <c r="AI303" s="12" t="s">
        <v>1126</v>
      </c>
      <c r="AJ303" s="12" t="s">
        <v>1546</v>
      </c>
      <c r="AK303" s="12" t="s">
        <v>2499</v>
      </c>
      <c r="AM303" s="68" t="s">
        <v>1147</v>
      </c>
      <c r="AN303" s="13" t="s">
        <v>1702</v>
      </c>
      <c r="AO303" s="21">
        <v>46023</v>
      </c>
      <c r="AQ303" s="12">
        <v>1</v>
      </c>
      <c r="AR303" t="b">
        <v>0</v>
      </c>
      <c r="AS303" t="b">
        <v>0</v>
      </c>
      <c r="AT303" s="12" t="s">
        <v>1574</v>
      </c>
    </row>
    <row r="304" spans="1:46" x14ac:dyDescent="0.3">
      <c r="A304" s="57" t="str">
        <f t="shared" si="7"/>
        <v>MLB10016225106146TEASTCH46023</v>
      </c>
      <c r="B304" s="57">
        <f>COUNTIF(CONT_TEA[Unique Contract],CONT_TEA[[#This Row],[Unique Contract]])-1</f>
        <v>0</v>
      </c>
      <c r="C304" s="57">
        <f>IFERROR(IF(FIND(CONT_TEA[[#This Row],[SchoolCode]],_xlfn.XLOOKUP(CONT_TEA[[#This Row],[StaffMemberCode]],MEMBERS[StaffMemberCode],MEMBERS[SchoolCodes]))&gt;0,0,1),1)</f>
        <v>0</v>
      </c>
      <c r="D304" s="57" cm="1">
        <f t="array" ref="D304">IF(_xlfn.XLOOKUP(CONT_TEA[[#This Row],[StaffRoleCode]],ROLES[StaffRoleCode],ROLES[AvailableToAllSchools],1,0,)=TRUE,0,IF(ISERROR(FIND(CONT_TEA[[#This Row],[SchoolCode]],_xlfn.TEXTJOIN(",",TRUE,_xlfn.UNIQUE(IF(ROLES[StaffRoleCode]=CONT_TEA[[#This Row],[StaffRoleCode]],ROLES[SchoolCodes],""))))),1,0))</f>
        <v>0</v>
      </c>
      <c r="E304" s="57" cm="1">
        <f t="array" ref="E30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04" s="57" cm="1">
        <f t="array" ref="F304">IF(_xlfn.XLOOKUP(CONT_TEA[[#This Row],[PayScaleCode]],PAYSCALES[PayScaleCode],PAYSCALES[AvailableToAllSchools],1,0,)=TRUE,0,IF(ISERROR(FIND(CONT_TEA[[#This Row],[SchoolCode]],_xlfn.TEXTJOIN(",",TRUE,_xlfn.UNIQUE(IF(PAYSCALES[PayScaleCode]=CONT_TEA[[#This Row],[PayScaleCode]],PAYSCALES[SchoolCodes],""))))),1,0))</f>
        <v>0</v>
      </c>
      <c r="G304" s="57">
        <f>IF(_xlfn.XLOOKUP(CONT_TEA[[#This Row],[PayScaleGradeCode]],GRADES[PayScaleGradeCode],GRADES[AvailableToAllSchools])=TRUE,0,IFERROR(IF(FIND(CONT_TEA[[#This Row],[SchoolCode]],_xlfn.XLOOKUP(CONT_TEA[[#This Row],[PayScaleGradeCode]],GRADES[PayScaleGradeCode],GRADES[SchoolCodes]))&gt;=1,0,1),1))</f>
        <v>0</v>
      </c>
      <c r="H304" s="57">
        <f>IF(ISERROR(IF((_xlfn.XLOOKUP(CONT_TEA[[#This Row],[PayScaleGradeCode]],GRADES[PayScaleGradeCode],GRADES[PayScaleCode])=CONT_TEA[[#This Row],[PayScaleCode]]),0,1)),1,0)</f>
        <v>0</v>
      </c>
      <c r="I304" s="57" cm="1">
        <f t="array" ref="I304">IF(ISERROR(FIND(CONT_TEA[[#This Row],[PayScalePointCode]],_xlfn.TEXTJOIN(",",TRUE,IF(PSPOINTS[PayScaleCode]=CONT_TEA[[#This Row],[PayScaleCode]],PSPOINTS[PayScalePointCode])))),1,0)</f>
        <v>0</v>
      </c>
      <c r="J304" s="57" cm="1">
        <f t="array" ref="J30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04" s="57">
        <f>IF(_xlfn.XLOOKUP(CONT_TEA[[#This Row],[PayScalePointCode]],PSPOINTS[PayScalePointCode],PSPOINTS[PayScalePointEnabled])=TRUE,0,1)</f>
        <v>0</v>
      </c>
      <c r="L304" s="57" cm="1">
        <f t="array" ref="L304">IF(_xlfn.XLOOKUP(CONT_TEA[[#This Row],[DepartmentCode]],DEPTS[DepartmentCode],DEPTS[AvailableToAllSchools],1,0,)=TRUE,0,IF(ISERROR(FIND(CONT_TEA[[#This Row],[SchoolCode]],_xlfn.TEXTJOIN(",",TRUE,_xlfn.UNIQUE(IF(DEPTS[DepartmentCode]=CONT_TEA[[#This Row],[DepartmentCode]],DEPTS[SchoolCodes],""))))),1,0))</f>
        <v>0</v>
      </c>
      <c r="M304" s="57">
        <f>IFERROR(IF(_xlfn.XLOOKUP(CONT_TEA[[#This Row],[SRG Gross]],FinanceCodesBudget[FinanceCode],FinanceCodesBudget[LedgerCode])=_xlfn.XLOOKUP(CONT_TEA[[#This Row],[DepartmentCode]],DEPTS[DepartmentCode],DEPTS[LedgerCode]),0,1),1)</f>
        <v>1</v>
      </c>
      <c r="N304" s="57" cm="1">
        <f t="array" ref="N304">IF(_xlfn.XLOOKUP(CONT_TEA[[#This Row],[PensionCode]],PENS[PensionCode],PENS[AvailableToAllSchools],1,0,)=TRUE,0,IF(ISERROR(FIND(CONT_TEA[[#This Row],[SchoolCode]],_xlfn.TEXTJOIN(",",TRUE,_xlfn.UNIQUE(IF(PENS[PensionCode]=CONT_TEA[[#This Row],[PensionCode]],PENS[SchoolCodes],""))))),1,0))</f>
        <v>0</v>
      </c>
      <c r="O304" s="57" cm="1">
        <f t="array" ref="O304">IF(_xlfn.XLOOKUP(CONT_TEA[[#This Row],[EquatedWeekPatternCode]],EQW[EquatedWeekPatternCode],EQW[AvailableToAllSchools],1,0,)=TRUE,0,IF(ISERROR(FIND(CONT_TEA[[#This Row],[SchoolCode]],_xlfn.TEXTJOIN(",",TRUE,_xlfn.UNIQUE(IF(EQW[EquatedWeekPatternCode]=CONT_TEA[[#This Row],[EquatedWeekPatternCode]],EQW[SchoolCodes],""))))),1,0))</f>
        <v>0</v>
      </c>
      <c r="P304" s="57">
        <f>1-COUNTIF(ContractTypes[Code],CONT_TEA[[#This Row],[ContractTypeCode]])</f>
        <v>0</v>
      </c>
      <c r="Q304" s="57">
        <f>IF(VLOOKUP(CONT_TEA[[#This Row],[StaffMemberCode]],MEMBERS[[StaffMemberCode]:[ServiceStartDate]],5,0)&gt;CONT_TEA[[#This Row],[DateFrom]],1,0)</f>
        <v>0</v>
      </c>
      <c r="R304" s="57">
        <f>IF(_xlfn.XLOOKUP(CONT_TEA[[#This Row],[StaffMemberCode]],MEMBERS[StaffMemberCode],MEMBERS[ServiceEndDate])="",0,IF(CONT_TEA[[#This Row],[DateTo]]="",1,IF(_xlfn.XLOOKUP(CONT_TEA[[#This Row],[StaffMemberCode]],MEMBERS[StaffMemberCode],MEMBERS[ServiceEndDate])&lt;CONT_TEA[[#This Row],[DateTo]],1,0)))</f>
        <v>0</v>
      </c>
      <c r="S304" s="57">
        <f>IF(ISBLANK(CONT_TEA[[#This Row],[DateTo]]),0,IF(CONT_TEA[[#This Row],[DateFrom]]=CONT_TEA[[#This Row],[DateTo]],0,IF(CONT_TEA[[#This Row],[DateFrom]]&lt;CONT_TEA[[#This Row],[DateTo]],0,1)))</f>
        <v>0</v>
      </c>
      <c r="T304" s="57" cm="1">
        <f t="array" aca="1" ref="T304" ca="1">IF(CELL("format",CONT_TEA[[#This Row],[DateFrom]])="D1",0,1)+IF(CELL("format",CONT_TEA[[#This Row],[DateTo]])="D1",0,1)</f>
        <v>0</v>
      </c>
      <c r="U304" s="57">
        <f>IF(OR(CONT_TEA[[#This Row],[MatEditOnly]]=TRUE,CONT_TEA[[#This Row],[MatEditOnly]]=FALSE),IF(OR(CONT_TEA[[#This Row],[NoIncrement]]=TRUE,CONT_TEA[[#This Row],[NoIncrement]]=FALSE),0,1),1)</f>
        <v>0</v>
      </c>
      <c r="V304" s="57">
        <f>IF(ISBLANK(CONT_TEA[[#This Row],[FundCode]])=TRUE,0,IF(COUNTIF(FUNDS[FundCode],CONT_TEA[[#This Row],[FundCode]])=1,0,1))</f>
        <v>0</v>
      </c>
      <c r="W304" s="57">
        <f>IF(LEN(CONT_TEA[[#This Row],[Notes]])&lt;4000,0,1)</f>
        <v>0</v>
      </c>
      <c r="X304" s="57">
        <f>IF(SUBSTITUTE(TEXT(CONT_TEA[[#This Row],[Reference]],10)," ","")=TEXT(CONT_TEA[[#This Row],[Reference]],10),0,1)</f>
        <v>0</v>
      </c>
      <c r="Y304" s="57">
        <f ca="1">SUM(CONT_TEA[[#This Row],[Duplicate Contract]:[Space in Code]])</f>
        <v>1</v>
      </c>
      <c r="AA304" s="12" t="s">
        <v>2126</v>
      </c>
      <c r="AB304" s="15">
        <v>10016225</v>
      </c>
      <c r="AC304" s="12">
        <v>106146</v>
      </c>
      <c r="AD304" s="57" t="str">
        <f>_xlfn.XLOOKUP(CONT_TEA[[#This Row],[StaffMemberCode]],StaffMembers!O:O,StaffMembers!R:R)</f>
        <v>Emily Doherty</v>
      </c>
      <c r="AE304" s="12" t="s">
        <v>1178</v>
      </c>
      <c r="AF304" s="57">
        <f>_xlfn.XLOOKUP(CONT_TEA[[#This Row],[SRG]],SRG[StaffRoleGroupCode],SRG[GrossSalaryFinanceCode])</f>
        <v>612100</v>
      </c>
      <c r="AG304" s="57" t="str">
        <f>_xlfn.XLOOKUP(CONT_TEA[[#This Row],[StaffRoleCode]],ROLES[StaffRoleCode],ROLES[StaffRoleGroupCode])</f>
        <v>TEA</v>
      </c>
      <c r="AH304" s="57" t="str">
        <f>_xlfn.XLOOKUP(CONT_TEA[[#This Row],[StaffRoleCode]],ROLES[StaffRoleCode],ROLES[PayScaleCode])</f>
        <v>MAIN</v>
      </c>
      <c r="AI304" s="12" t="s">
        <v>1126</v>
      </c>
      <c r="AJ304" s="12" t="s">
        <v>1064</v>
      </c>
      <c r="AK304" s="12" t="s">
        <v>2499</v>
      </c>
      <c r="AM304" s="68" t="s">
        <v>1147</v>
      </c>
      <c r="AN304" s="13" t="s">
        <v>1702</v>
      </c>
      <c r="AO304" s="21">
        <v>46023</v>
      </c>
      <c r="AQ304" s="12">
        <v>1</v>
      </c>
      <c r="AR304" t="b">
        <v>0</v>
      </c>
      <c r="AS304" t="b">
        <v>0</v>
      </c>
      <c r="AT304" s="12" t="s">
        <v>1574</v>
      </c>
    </row>
    <row r="305" spans="1:46" x14ac:dyDescent="0.3">
      <c r="A305" s="57" t="str">
        <f t="shared" si="7"/>
        <v>MLB10016222108830TEASTCH46023</v>
      </c>
      <c r="B305" s="57">
        <f>COUNTIF(CONT_TEA[Unique Contract],CONT_TEA[[#This Row],[Unique Contract]])-1</f>
        <v>0</v>
      </c>
      <c r="C305" s="57">
        <f>IFERROR(IF(FIND(CONT_TEA[[#This Row],[SchoolCode]],_xlfn.XLOOKUP(CONT_TEA[[#This Row],[StaffMemberCode]],MEMBERS[StaffMemberCode],MEMBERS[SchoolCodes]))&gt;0,0,1),1)</f>
        <v>0</v>
      </c>
      <c r="D305" s="57" cm="1">
        <f t="array" ref="D305">IF(_xlfn.XLOOKUP(CONT_TEA[[#This Row],[StaffRoleCode]],ROLES[StaffRoleCode],ROLES[AvailableToAllSchools],1,0,)=TRUE,0,IF(ISERROR(FIND(CONT_TEA[[#This Row],[SchoolCode]],_xlfn.TEXTJOIN(",",TRUE,_xlfn.UNIQUE(IF(ROLES[StaffRoleCode]=CONT_TEA[[#This Row],[StaffRoleCode]],ROLES[SchoolCodes],""))))),1,0))</f>
        <v>0</v>
      </c>
      <c r="E305" s="57" cm="1">
        <f t="array" ref="E30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05" s="57" cm="1">
        <f t="array" ref="F305">IF(_xlfn.XLOOKUP(CONT_TEA[[#This Row],[PayScaleCode]],PAYSCALES[PayScaleCode],PAYSCALES[AvailableToAllSchools],1,0,)=TRUE,0,IF(ISERROR(FIND(CONT_TEA[[#This Row],[SchoolCode]],_xlfn.TEXTJOIN(",",TRUE,_xlfn.UNIQUE(IF(PAYSCALES[PayScaleCode]=CONT_TEA[[#This Row],[PayScaleCode]],PAYSCALES[SchoolCodes],""))))),1,0))</f>
        <v>0</v>
      </c>
      <c r="G305" s="57">
        <f>IF(_xlfn.XLOOKUP(CONT_TEA[[#This Row],[PayScaleGradeCode]],GRADES[PayScaleGradeCode],GRADES[AvailableToAllSchools])=TRUE,0,IFERROR(IF(FIND(CONT_TEA[[#This Row],[SchoolCode]],_xlfn.XLOOKUP(CONT_TEA[[#This Row],[PayScaleGradeCode]],GRADES[PayScaleGradeCode],GRADES[SchoolCodes]))&gt;=1,0,1),1))</f>
        <v>0</v>
      </c>
      <c r="H305" s="57">
        <f>IF(ISERROR(IF((_xlfn.XLOOKUP(CONT_TEA[[#This Row],[PayScaleGradeCode]],GRADES[PayScaleGradeCode],GRADES[PayScaleCode])=CONT_TEA[[#This Row],[PayScaleCode]]),0,1)),1,0)</f>
        <v>0</v>
      </c>
      <c r="I305" s="57" cm="1">
        <f t="array" ref="I305">IF(ISERROR(FIND(CONT_TEA[[#This Row],[PayScalePointCode]],_xlfn.TEXTJOIN(",",TRUE,IF(PSPOINTS[PayScaleCode]=CONT_TEA[[#This Row],[PayScaleCode]],PSPOINTS[PayScalePointCode])))),1,0)</f>
        <v>0</v>
      </c>
      <c r="J305" s="57" cm="1">
        <f t="array" ref="J30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05" s="57">
        <f>IF(_xlfn.XLOOKUP(CONT_TEA[[#This Row],[PayScalePointCode]],PSPOINTS[PayScalePointCode],PSPOINTS[PayScalePointEnabled])=TRUE,0,1)</f>
        <v>0</v>
      </c>
      <c r="L305" s="57" cm="1">
        <f t="array" ref="L305">IF(_xlfn.XLOOKUP(CONT_TEA[[#This Row],[DepartmentCode]],DEPTS[DepartmentCode],DEPTS[AvailableToAllSchools],1,0,)=TRUE,0,IF(ISERROR(FIND(CONT_TEA[[#This Row],[SchoolCode]],_xlfn.TEXTJOIN(",",TRUE,_xlfn.UNIQUE(IF(DEPTS[DepartmentCode]=CONT_TEA[[#This Row],[DepartmentCode]],DEPTS[SchoolCodes],""))))),1,0))</f>
        <v>0</v>
      </c>
      <c r="M305" s="57">
        <f>IFERROR(IF(_xlfn.XLOOKUP(CONT_TEA[[#This Row],[SRG Gross]],FinanceCodesBudget[FinanceCode],FinanceCodesBudget[LedgerCode])=_xlfn.XLOOKUP(CONT_TEA[[#This Row],[DepartmentCode]],DEPTS[DepartmentCode],DEPTS[LedgerCode]),0,1),1)</f>
        <v>1</v>
      </c>
      <c r="N305" s="57" cm="1">
        <f t="array" ref="N305">IF(_xlfn.XLOOKUP(CONT_TEA[[#This Row],[PensionCode]],PENS[PensionCode],PENS[AvailableToAllSchools],1,0,)=TRUE,0,IF(ISERROR(FIND(CONT_TEA[[#This Row],[SchoolCode]],_xlfn.TEXTJOIN(",",TRUE,_xlfn.UNIQUE(IF(PENS[PensionCode]=CONT_TEA[[#This Row],[PensionCode]],PENS[SchoolCodes],""))))),1,0))</f>
        <v>0</v>
      </c>
      <c r="O305" s="57" cm="1">
        <f t="array" ref="O305">IF(_xlfn.XLOOKUP(CONT_TEA[[#This Row],[EquatedWeekPatternCode]],EQW[EquatedWeekPatternCode],EQW[AvailableToAllSchools],1,0,)=TRUE,0,IF(ISERROR(FIND(CONT_TEA[[#This Row],[SchoolCode]],_xlfn.TEXTJOIN(",",TRUE,_xlfn.UNIQUE(IF(EQW[EquatedWeekPatternCode]=CONT_TEA[[#This Row],[EquatedWeekPatternCode]],EQW[SchoolCodes],""))))),1,0))</f>
        <v>0</v>
      </c>
      <c r="P305" s="57">
        <f>1-COUNTIF(ContractTypes[Code],CONT_TEA[[#This Row],[ContractTypeCode]])</f>
        <v>0</v>
      </c>
      <c r="Q305" s="57">
        <f>IF(VLOOKUP(CONT_TEA[[#This Row],[StaffMemberCode]],MEMBERS[[StaffMemberCode]:[ServiceStartDate]],5,0)&gt;CONT_TEA[[#This Row],[DateFrom]],1,0)</f>
        <v>0</v>
      </c>
      <c r="R305" s="57">
        <f>IF(_xlfn.XLOOKUP(CONT_TEA[[#This Row],[StaffMemberCode]],MEMBERS[StaffMemberCode],MEMBERS[ServiceEndDate])="",0,IF(CONT_TEA[[#This Row],[DateTo]]="",1,IF(_xlfn.XLOOKUP(CONT_TEA[[#This Row],[StaffMemberCode]],MEMBERS[StaffMemberCode],MEMBERS[ServiceEndDate])&lt;CONT_TEA[[#This Row],[DateTo]],1,0)))</f>
        <v>0</v>
      </c>
      <c r="S305" s="57">
        <f>IF(ISBLANK(CONT_TEA[[#This Row],[DateTo]]),0,IF(CONT_TEA[[#This Row],[DateFrom]]=CONT_TEA[[#This Row],[DateTo]],0,IF(CONT_TEA[[#This Row],[DateFrom]]&lt;CONT_TEA[[#This Row],[DateTo]],0,1)))</f>
        <v>0</v>
      </c>
      <c r="T305" s="57" cm="1">
        <f t="array" aca="1" ref="T305" ca="1">IF(CELL("format",CONT_TEA[[#This Row],[DateFrom]])="D1",0,1)+IF(CELL("format",CONT_TEA[[#This Row],[DateTo]])="D1",0,1)</f>
        <v>0</v>
      </c>
      <c r="U305" s="57">
        <f>IF(OR(CONT_TEA[[#This Row],[MatEditOnly]]=TRUE,CONT_TEA[[#This Row],[MatEditOnly]]=FALSE),IF(OR(CONT_TEA[[#This Row],[NoIncrement]]=TRUE,CONT_TEA[[#This Row],[NoIncrement]]=FALSE),0,1),1)</f>
        <v>0</v>
      </c>
      <c r="V305" s="57">
        <f>IF(ISBLANK(CONT_TEA[[#This Row],[FundCode]])=TRUE,0,IF(COUNTIF(FUNDS[FundCode],CONT_TEA[[#This Row],[FundCode]])=1,0,1))</f>
        <v>0</v>
      </c>
      <c r="W305" s="57">
        <f>IF(LEN(CONT_TEA[[#This Row],[Notes]])&lt;4000,0,1)</f>
        <v>0</v>
      </c>
      <c r="X305" s="57">
        <f>IF(SUBSTITUTE(TEXT(CONT_TEA[[#This Row],[Reference]],10)," ","")=TEXT(CONT_TEA[[#This Row],[Reference]],10),0,1)</f>
        <v>0</v>
      </c>
      <c r="Y305" s="57">
        <f ca="1">SUM(CONT_TEA[[#This Row],[Duplicate Contract]:[Space in Code]])</f>
        <v>1</v>
      </c>
      <c r="AA305" s="12" t="s">
        <v>2126</v>
      </c>
      <c r="AB305" s="15">
        <v>10016222</v>
      </c>
      <c r="AC305" s="12">
        <v>108830</v>
      </c>
      <c r="AD305" s="57" t="str">
        <f>_xlfn.XLOOKUP(CONT_TEA[[#This Row],[StaffMemberCode]],StaffMembers!O:O,StaffMembers!R:R)</f>
        <v>Nethmini Denipitiya</v>
      </c>
      <c r="AE305" s="12" t="s">
        <v>1178</v>
      </c>
      <c r="AF305" s="57">
        <f>_xlfn.XLOOKUP(CONT_TEA[[#This Row],[SRG]],SRG[StaffRoleGroupCode],SRG[GrossSalaryFinanceCode])</f>
        <v>612100</v>
      </c>
      <c r="AG305" s="57" t="str">
        <f>_xlfn.XLOOKUP(CONT_TEA[[#This Row],[StaffRoleCode]],ROLES[StaffRoleCode],ROLES[StaffRoleGroupCode])</f>
        <v>TEA</v>
      </c>
      <c r="AH305" s="57" t="str">
        <f>_xlfn.XLOOKUP(CONT_TEA[[#This Row],[StaffRoleCode]],ROLES[StaffRoleCode],ROLES[PayScaleCode])</f>
        <v>MAIN</v>
      </c>
      <c r="AI305" s="12" t="s">
        <v>1126</v>
      </c>
      <c r="AJ305" s="12" t="s">
        <v>1064</v>
      </c>
      <c r="AK305" s="12" t="s">
        <v>2499</v>
      </c>
      <c r="AM305" s="68" t="s">
        <v>1147</v>
      </c>
      <c r="AN305" s="13" t="s">
        <v>1702</v>
      </c>
      <c r="AO305" s="21">
        <v>46023</v>
      </c>
      <c r="AQ305" s="12">
        <v>1</v>
      </c>
      <c r="AR305" t="b">
        <v>0</v>
      </c>
      <c r="AS305" t="b">
        <v>0</v>
      </c>
      <c r="AT305" s="12" t="s">
        <v>1573</v>
      </c>
    </row>
    <row r="306" spans="1:46" x14ac:dyDescent="0.3">
      <c r="A306" s="57" t="str">
        <f t="shared" si="7"/>
        <v>MLB10016228106060TEASTCH46023</v>
      </c>
      <c r="B306" s="57">
        <f>COUNTIF(CONT_TEA[Unique Contract],CONT_TEA[[#This Row],[Unique Contract]])-1</f>
        <v>0</v>
      </c>
      <c r="C306" s="57">
        <f>IFERROR(IF(FIND(CONT_TEA[[#This Row],[SchoolCode]],_xlfn.XLOOKUP(CONT_TEA[[#This Row],[StaffMemberCode]],MEMBERS[StaffMemberCode],MEMBERS[SchoolCodes]))&gt;0,0,1),1)</f>
        <v>0</v>
      </c>
      <c r="D306" s="57" cm="1">
        <f t="array" ref="D306">IF(_xlfn.XLOOKUP(CONT_TEA[[#This Row],[StaffRoleCode]],ROLES[StaffRoleCode],ROLES[AvailableToAllSchools],1,0,)=TRUE,0,IF(ISERROR(FIND(CONT_TEA[[#This Row],[SchoolCode]],_xlfn.TEXTJOIN(",",TRUE,_xlfn.UNIQUE(IF(ROLES[StaffRoleCode]=CONT_TEA[[#This Row],[StaffRoleCode]],ROLES[SchoolCodes],""))))),1,0))</f>
        <v>0</v>
      </c>
      <c r="E306" s="57" cm="1">
        <f t="array" ref="E30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06" s="57" cm="1">
        <f t="array" ref="F306">IF(_xlfn.XLOOKUP(CONT_TEA[[#This Row],[PayScaleCode]],PAYSCALES[PayScaleCode],PAYSCALES[AvailableToAllSchools],1,0,)=TRUE,0,IF(ISERROR(FIND(CONT_TEA[[#This Row],[SchoolCode]],_xlfn.TEXTJOIN(",",TRUE,_xlfn.UNIQUE(IF(PAYSCALES[PayScaleCode]=CONT_TEA[[#This Row],[PayScaleCode]],PAYSCALES[SchoolCodes],""))))),1,0))</f>
        <v>0</v>
      </c>
      <c r="G306" s="57">
        <f>IF(_xlfn.XLOOKUP(CONT_TEA[[#This Row],[PayScaleGradeCode]],GRADES[PayScaleGradeCode],GRADES[AvailableToAllSchools])=TRUE,0,IFERROR(IF(FIND(CONT_TEA[[#This Row],[SchoolCode]],_xlfn.XLOOKUP(CONT_TEA[[#This Row],[PayScaleGradeCode]],GRADES[PayScaleGradeCode],GRADES[SchoolCodes]))&gt;=1,0,1),1))</f>
        <v>0</v>
      </c>
      <c r="H306" s="57">
        <f>IF(ISERROR(IF((_xlfn.XLOOKUP(CONT_TEA[[#This Row],[PayScaleGradeCode]],GRADES[PayScaleGradeCode],GRADES[PayScaleCode])=CONT_TEA[[#This Row],[PayScaleCode]]),0,1)),1,0)</f>
        <v>0</v>
      </c>
      <c r="I306" s="57" cm="1">
        <f t="array" ref="I306">IF(ISERROR(FIND(CONT_TEA[[#This Row],[PayScalePointCode]],_xlfn.TEXTJOIN(",",TRUE,IF(PSPOINTS[PayScaleCode]=CONT_TEA[[#This Row],[PayScaleCode]],PSPOINTS[PayScalePointCode])))),1,0)</f>
        <v>0</v>
      </c>
      <c r="J306" s="57" cm="1">
        <f t="array" ref="J30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06" s="57">
        <f>IF(_xlfn.XLOOKUP(CONT_TEA[[#This Row],[PayScalePointCode]],PSPOINTS[PayScalePointCode],PSPOINTS[PayScalePointEnabled])=TRUE,0,1)</f>
        <v>0</v>
      </c>
      <c r="L306" s="57" cm="1">
        <f t="array" ref="L306">IF(_xlfn.XLOOKUP(CONT_TEA[[#This Row],[DepartmentCode]],DEPTS[DepartmentCode],DEPTS[AvailableToAllSchools],1,0,)=TRUE,0,IF(ISERROR(FIND(CONT_TEA[[#This Row],[SchoolCode]],_xlfn.TEXTJOIN(",",TRUE,_xlfn.UNIQUE(IF(DEPTS[DepartmentCode]=CONT_TEA[[#This Row],[DepartmentCode]],DEPTS[SchoolCodes],""))))),1,0))</f>
        <v>0</v>
      </c>
      <c r="M306" s="57">
        <f>IFERROR(IF(_xlfn.XLOOKUP(CONT_TEA[[#This Row],[SRG Gross]],FinanceCodesBudget[FinanceCode],FinanceCodesBudget[LedgerCode])=_xlfn.XLOOKUP(CONT_TEA[[#This Row],[DepartmentCode]],DEPTS[DepartmentCode],DEPTS[LedgerCode]),0,1),1)</f>
        <v>1</v>
      </c>
      <c r="N306" s="57" cm="1">
        <f t="array" ref="N306">IF(_xlfn.XLOOKUP(CONT_TEA[[#This Row],[PensionCode]],PENS[PensionCode],PENS[AvailableToAllSchools],1,0,)=TRUE,0,IF(ISERROR(FIND(CONT_TEA[[#This Row],[SchoolCode]],_xlfn.TEXTJOIN(",",TRUE,_xlfn.UNIQUE(IF(PENS[PensionCode]=CONT_TEA[[#This Row],[PensionCode]],PENS[SchoolCodes],""))))),1,0))</f>
        <v>0</v>
      </c>
      <c r="O306" s="57" cm="1">
        <f t="array" ref="O306">IF(_xlfn.XLOOKUP(CONT_TEA[[#This Row],[EquatedWeekPatternCode]],EQW[EquatedWeekPatternCode],EQW[AvailableToAllSchools],1,0,)=TRUE,0,IF(ISERROR(FIND(CONT_TEA[[#This Row],[SchoolCode]],_xlfn.TEXTJOIN(",",TRUE,_xlfn.UNIQUE(IF(EQW[EquatedWeekPatternCode]=CONT_TEA[[#This Row],[EquatedWeekPatternCode]],EQW[SchoolCodes],""))))),1,0))</f>
        <v>0</v>
      </c>
      <c r="P306" s="57">
        <f>1-COUNTIF(ContractTypes[Code],CONT_TEA[[#This Row],[ContractTypeCode]])</f>
        <v>0</v>
      </c>
      <c r="Q306" s="57">
        <f>IF(VLOOKUP(CONT_TEA[[#This Row],[StaffMemberCode]],MEMBERS[[StaffMemberCode]:[ServiceStartDate]],5,0)&gt;CONT_TEA[[#This Row],[DateFrom]],1,0)</f>
        <v>0</v>
      </c>
      <c r="R306" s="57">
        <f>IF(_xlfn.XLOOKUP(CONT_TEA[[#This Row],[StaffMemberCode]],MEMBERS[StaffMemberCode],MEMBERS[ServiceEndDate])="",0,IF(CONT_TEA[[#This Row],[DateTo]]="",1,IF(_xlfn.XLOOKUP(CONT_TEA[[#This Row],[StaffMemberCode]],MEMBERS[StaffMemberCode],MEMBERS[ServiceEndDate])&lt;CONT_TEA[[#This Row],[DateTo]],1,0)))</f>
        <v>0</v>
      </c>
      <c r="S306" s="57">
        <f>IF(ISBLANK(CONT_TEA[[#This Row],[DateTo]]),0,IF(CONT_TEA[[#This Row],[DateFrom]]=CONT_TEA[[#This Row],[DateTo]],0,IF(CONT_TEA[[#This Row],[DateFrom]]&lt;CONT_TEA[[#This Row],[DateTo]],0,1)))</f>
        <v>0</v>
      </c>
      <c r="T306" s="57" cm="1">
        <f t="array" aca="1" ref="T306" ca="1">IF(CELL("format",CONT_TEA[[#This Row],[DateFrom]])="D1",0,1)+IF(CELL("format",CONT_TEA[[#This Row],[DateTo]])="D1",0,1)</f>
        <v>0</v>
      </c>
      <c r="U306" s="57">
        <f>IF(OR(CONT_TEA[[#This Row],[MatEditOnly]]=TRUE,CONT_TEA[[#This Row],[MatEditOnly]]=FALSE),IF(OR(CONT_TEA[[#This Row],[NoIncrement]]=TRUE,CONT_TEA[[#This Row],[NoIncrement]]=FALSE),0,1),1)</f>
        <v>0</v>
      </c>
      <c r="V306" s="57">
        <f>IF(ISBLANK(CONT_TEA[[#This Row],[FundCode]])=TRUE,0,IF(COUNTIF(FUNDS[FundCode],CONT_TEA[[#This Row],[FundCode]])=1,0,1))</f>
        <v>0</v>
      </c>
      <c r="W306" s="57">
        <f>IF(LEN(CONT_TEA[[#This Row],[Notes]])&lt;4000,0,1)</f>
        <v>0</v>
      </c>
      <c r="X306" s="57">
        <f>IF(SUBSTITUTE(TEXT(CONT_TEA[[#This Row],[Reference]],10)," ","")=TEXT(CONT_TEA[[#This Row],[Reference]],10),0,1)</f>
        <v>0</v>
      </c>
      <c r="Y306" s="57">
        <f ca="1">SUM(CONT_TEA[[#This Row],[Duplicate Contract]:[Space in Code]])</f>
        <v>1</v>
      </c>
      <c r="AA306" s="12" t="s">
        <v>2126</v>
      </c>
      <c r="AB306" s="15">
        <v>10016228</v>
      </c>
      <c r="AC306" s="12">
        <v>106060</v>
      </c>
      <c r="AD306" s="57" t="str">
        <f>_xlfn.XLOOKUP(CONT_TEA[[#This Row],[StaffMemberCode]],StaffMembers!O:O,StaffMembers!R:R)</f>
        <v>Oliver Dixon</v>
      </c>
      <c r="AE306" s="12" t="s">
        <v>1178</v>
      </c>
      <c r="AF306" s="57">
        <f>_xlfn.XLOOKUP(CONT_TEA[[#This Row],[SRG]],SRG[StaffRoleGroupCode],SRG[GrossSalaryFinanceCode])</f>
        <v>612100</v>
      </c>
      <c r="AG306" s="57" t="str">
        <f>_xlfn.XLOOKUP(CONT_TEA[[#This Row],[StaffRoleCode]],ROLES[StaffRoleCode],ROLES[StaffRoleGroupCode])</f>
        <v>TEA</v>
      </c>
      <c r="AH306" s="57" t="str">
        <f>_xlfn.XLOOKUP(CONT_TEA[[#This Row],[StaffRoleCode]],ROLES[StaffRoleCode],ROLES[PayScaleCode])</f>
        <v>MAIN</v>
      </c>
      <c r="AI306" s="12" t="s">
        <v>1126</v>
      </c>
      <c r="AJ306" s="12" t="s">
        <v>1064</v>
      </c>
      <c r="AK306" s="12" t="s">
        <v>2499</v>
      </c>
      <c r="AM306" s="68" t="s">
        <v>1147</v>
      </c>
      <c r="AN306" s="13" t="s">
        <v>1702</v>
      </c>
      <c r="AO306" s="21">
        <v>46023</v>
      </c>
      <c r="AQ306" s="12">
        <v>1</v>
      </c>
      <c r="AR306" t="b">
        <v>0</v>
      </c>
      <c r="AS306" t="b">
        <v>0</v>
      </c>
      <c r="AT306" s="12" t="s">
        <v>1574</v>
      </c>
    </row>
    <row r="307" spans="1:46" x14ac:dyDescent="0.3">
      <c r="A307" s="57" t="str">
        <f t="shared" si="7"/>
        <v>MLB10016224107488TEASTCH46023</v>
      </c>
      <c r="B307" s="57">
        <f>COUNTIF(CONT_TEA[Unique Contract],CONT_TEA[[#This Row],[Unique Contract]])-1</f>
        <v>0</v>
      </c>
      <c r="C307" s="57">
        <f>IFERROR(IF(FIND(CONT_TEA[[#This Row],[SchoolCode]],_xlfn.XLOOKUP(CONT_TEA[[#This Row],[StaffMemberCode]],MEMBERS[StaffMemberCode],MEMBERS[SchoolCodes]))&gt;0,0,1),1)</f>
        <v>0</v>
      </c>
      <c r="D307" s="57" cm="1">
        <f t="array" ref="D307">IF(_xlfn.XLOOKUP(CONT_TEA[[#This Row],[StaffRoleCode]],ROLES[StaffRoleCode],ROLES[AvailableToAllSchools],1,0,)=TRUE,0,IF(ISERROR(FIND(CONT_TEA[[#This Row],[SchoolCode]],_xlfn.TEXTJOIN(",",TRUE,_xlfn.UNIQUE(IF(ROLES[StaffRoleCode]=CONT_TEA[[#This Row],[StaffRoleCode]],ROLES[SchoolCodes],""))))),1,0))</f>
        <v>0</v>
      </c>
      <c r="E307" s="57" cm="1">
        <f t="array" ref="E30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07" s="57" cm="1">
        <f t="array" ref="F307">IF(_xlfn.XLOOKUP(CONT_TEA[[#This Row],[PayScaleCode]],PAYSCALES[PayScaleCode],PAYSCALES[AvailableToAllSchools],1,0,)=TRUE,0,IF(ISERROR(FIND(CONT_TEA[[#This Row],[SchoolCode]],_xlfn.TEXTJOIN(",",TRUE,_xlfn.UNIQUE(IF(PAYSCALES[PayScaleCode]=CONT_TEA[[#This Row],[PayScaleCode]],PAYSCALES[SchoolCodes],""))))),1,0))</f>
        <v>0</v>
      </c>
      <c r="G307" s="57">
        <f>IF(_xlfn.XLOOKUP(CONT_TEA[[#This Row],[PayScaleGradeCode]],GRADES[PayScaleGradeCode],GRADES[AvailableToAllSchools])=TRUE,0,IFERROR(IF(FIND(CONT_TEA[[#This Row],[SchoolCode]],_xlfn.XLOOKUP(CONT_TEA[[#This Row],[PayScaleGradeCode]],GRADES[PayScaleGradeCode],GRADES[SchoolCodes]))&gt;=1,0,1),1))</f>
        <v>0</v>
      </c>
      <c r="H307" s="57">
        <f>IF(ISERROR(IF((_xlfn.XLOOKUP(CONT_TEA[[#This Row],[PayScaleGradeCode]],GRADES[PayScaleGradeCode],GRADES[PayScaleCode])=CONT_TEA[[#This Row],[PayScaleCode]]),0,1)),1,0)</f>
        <v>0</v>
      </c>
      <c r="I307" s="57" cm="1">
        <f t="array" ref="I307">IF(ISERROR(FIND(CONT_TEA[[#This Row],[PayScalePointCode]],_xlfn.TEXTJOIN(",",TRUE,IF(PSPOINTS[PayScaleCode]=CONT_TEA[[#This Row],[PayScaleCode]],PSPOINTS[PayScalePointCode])))),1,0)</f>
        <v>0</v>
      </c>
      <c r="J307" s="57" cm="1">
        <f t="array" ref="J30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07" s="57">
        <f>IF(_xlfn.XLOOKUP(CONT_TEA[[#This Row],[PayScalePointCode]],PSPOINTS[PayScalePointCode],PSPOINTS[PayScalePointEnabled])=TRUE,0,1)</f>
        <v>0</v>
      </c>
      <c r="L307" s="57" cm="1">
        <f t="array" ref="L307">IF(_xlfn.XLOOKUP(CONT_TEA[[#This Row],[DepartmentCode]],DEPTS[DepartmentCode],DEPTS[AvailableToAllSchools],1,0,)=TRUE,0,IF(ISERROR(FIND(CONT_TEA[[#This Row],[SchoolCode]],_xlfn.TEXTJOIN(",",TRUE,_xlfn.UNIQUE(IF(DEPTS[DepartmentCode]=CONT_TEA[[#This Row],[DepartmentCode]],DEPTS[SchoolCodes],""))))),1,0))</f>
        <v>0</v>
      </c>
      <c r="M307" s="57">
        <f>IFERROR(IF(_xlfn.XLOOKUP(CONT_TEA[[#This Row],[SRG Gross]],FinanceCodesBudget[FinanceCode],FinanceCodesBudget[LedgerCode])=_xlfn.XLOOKUP(CONT_TEA[[#This Row],[DepartmentCode]],DEPTS[DepartmentCode],DEPTS[LedgerCode]),0,1),1)</f>
        <v>1</v>
      </c>
      <c r="N307" s="57" cm="1">
        <f t="array" ref="N307">IF(_xlfn.XLOOKUP(CONT_TEA[[#This Row],[PensionCode]],PENS[PensionCode],PENS[AvailableToAllSchools],1,0,)=TRUE,0,IF(ISERROR(FIND(CONT_TEA[[#This Row],[SchoolCode]],_xlfn.TEXTJOIN(",",TRUE,_xlfn.UNIQUE(IF(PENS[PensionCode]=CONT_TEA[[#This Row],[PensionCode]],PENS[SchoolCodes],""))))),1,0))</f>
        <v>0</v>
      </c>
      <c r="O307" s="57" cm="1">
        <f t="array" ref="O307">IF(_xlfn.XLOOKUP(CONT_TEA[[#This Row],[EquatedWeekPatternCode]],EQW[EquatedWeekPatternCode],EQW[AvailableToAllSchools],1,0,)=TRUE,0,IF(ISERROR(FIND(CONT_TEA[[#This Row],[SchoolCode]],_xlfn.TEXTJOIN(",",TRUE,_xlfn.UNIQUE(IF(EQW[EquatedWeekPatternCode]=CONT_TEA[[#This Row],[EquatedWeekPatternCode]],EQW[SchoolCodes],""))))),1,0))</f>
        <v>0</v>
      </c>
      <c r="P307" s="57">
        <f>1-COUNTIF(ContractTypes[Code],CONT_TEA[[#This Row],[ContractTypeCode]])</f>
        <v>0</v>
      </c>
      <c r="Q307" s="57">
        <f>IF(VLOOKUP(CONT_TEA[[#This Row],[StaffMemberCode]],MEMBERS[[StaffMemberCode]:[ServiceStartDate]],5,0)&gt;CONT_TEA[[#This Row],[DateFrom]],1,0)</f>
        <v>0</v>
      </c>
      <c r="R307" s="57">
        <f>IF(_xlfn.XLOOKUP(CONT_TEA[[#This Row],[StaffMemberCode]],MEMBERS[StaffMemberCode],MEMBERS[ServiceEndDate])="",0,IF(CONT_TEA[[#This Row],[DateTo]]="",1,IF(_xlfn.XLOOKUP(CONT_TEA[[#This Row],[StaffMemberCode]],MEMBERS[StaffMemberCode],MEMBERS[ServiceEndDate])&lt;CONT_TEA[[#This Row],[DateTo]],1,0)))</f>
        <v>0</v>
      </c>
      <c r="S307" s="57">
        <f>IF(ISBLANK(CONT_TEA[[#This Row],[DateTo]]),0,IF(CONT_TEA[[#This Row],[DateFrom]]=CONT_TEA[[#This Row],[DateTo]],0,IF(CONT_TEA[[#This Row],[DateFrom]]&lt;CONT_TEA[[#This Row],[DateTo]],0,1)))</f>
        <v>0</v>
      </c>
      <c r="T307" s="57" cm="1">
        <f t="array" aca="1" ref="T307" ca="1">IF(CELL("format",CONT_TEA[[#This Row],[DateFrom]])="D1",0,1)+IF(CELL("format",CONT_TEA[[#This Row],[DateTo]])="D1",0,1)</f>
        <v>0</v>
      </c>
      <c r="U307" s="57">
        <f>IF(OR(CONT_TEA[[#This Row],[MatEditOnly]]=TRUE,CONT_TEA[[#This Row],[MatEditOnly]]=FALSE),IF(OR(CONT_TEA[[#This Row],[NoIncrement]]=TRUE,CONT_TEA[[#This Row],[NoIncrement]]=FALSE),0,1),1)</f>
        <v>0</v>
      </c>
      <c r="V307" s="57">
        <f>IF(ISBLANK(CONT_TEA[[#This Row],[FundCode]])=TRUE,0,IF(COUNTIF(FUNDS[FundCode],CONT_TEA[[#This Row],[FundCode]])=1,0,1))</f>
        <v>0</v>
      </c>
      <c r="W307" s="57">
        <f>IF(LEN(CONT_TEA[[#This Row],[Notes]])&lt;4000,0,1)</f>
        <v>0</v>
      </c>
      <c r="X307" s="57">
        <f>IF(SUBSTITUTE(TEXT(CONT_TEA[[#This Row],[Reference]],10)," ","")=TEXT(CONT_TEA[[#This Row],[Reference]],10),0,1)</f>
        <v>0</v>
      </c>
      <c r="Y307" s="57">
        <f ca="1">SUM(CONT_TEA[[#This Row],[Duplicate Contract]:[Space in Code]])</f>
        <v>1</v>
      </c>
      <c r="AA307" s="12" t="s">
        <v>2126</v>
      </c>
      <c r="AB307" s="15">
        <v>10016224</v>
      </c>
      <c r="AC307" s="12">
        <v>107488</v>
      </c>
      <c r="AD307" s="57" t="str">
        <f>_xlfn.XLOOKUP(CONT_TEA[[#This Row],[StaffMemberCode]],StaffMembers!O:O,StaffMembers!R:R)</f>
        <v>Travis Cooke</v>
      </c>
      <c r="AE307" s="12" t="s">
        <v>1178</v>
      </c>
      <c r="AF307" s="57">
        <f>_xlfn.XLOOKUP(CONT_TEA[[#This Row],[SRG]],SRG[StaffRoleGroupCode],SRG[GrossSalaryFinanceCode])</f>
        <v>612100</v>
      </c>
      <c r="AG307" s="57" t="str">
        <f>_xlfn.XLOOKUP(CONT_TEA[[#This Row],[StaffRoleCode]],ROLES[StaffRoleCode],ROLES[StaffRoleGroupCode])</f>
        <v>TEA</v>
      </c>
      <c r="AH307" s="57" t="str">
        <f>_xlfn.XLOOKUP(CONT_TEA[[#This Row],[StaffRoleCode]],ROLES[StaffRoleCode],ROLES[PayScaleCode])</f>
        <v>MAIN</v>
      </c>
      <c r="AI307" s="12" t="s">
        <v>1126</v>
      </c>
      <c r="AJ307" s="12" t="s">
        <v>1064</v>
      </c>
      <c r="AK307" s="12" t="s">
        <v>2499</v>
      </c>
      <c r="AM307" s="68" t="s">
        <v>1147</v>
      </c>
      <c r="AN307" s="13" t="s">
        <v>1702</v>
      </c>
      <c r="AO307" s="21">
        <v>46023</v>
      </c>
      <c r="AQ307" s="12">
        <v>1</v>
      </c>
      <c r="AR307" t="b">
        <v>0</v>
      </c>
      <c r="AS307" t="b">
        <v>0</v>
      </c>
      <c r="AT307" s="12" t="s">
        <v>1574</v>
      </c>
    </row>
    <row r="308" spans="1:46" x14ac:dyDescent="0.3">
      <c r="A308" s="57" t="str">
        <f t="shared" si="7"/>
        <v>MLB10016226111043TEASTCH46023</v>
      </c>
      <c r="B308" s="57">
        <f>COUNTIF(CONT_TEA[Unique Contract],CONT_TEA[[#This Row],[Unique Contract]])-1</f>
        <v>0</v>
      </c>
      <c r="C308" s="57">
        <f>IFERROR(IF(FIND(CONT_TEA[[#This Row],[SchoolCode]],_xlfn.XLOOKUP(CONT_TEA[[#This Row],[StaffMemberCode]],MEMBERS[StaffMemberCode],MEMBERS[SchoolCodes]))&gt;0,0,1),1)</f>
        <v>0</v>
      </c>
      <c r="D308" s="57" cm="1">
        <f t="array" ref="D308">IF(_xlfn.XLOOKUP(CONT_TEA[[#This Row],[StaffRoleCode]],ROLES[StaffRoleCode],ROLES[AvailableToAllSchools],1,0,)=TRUE,0,IF(ISERROR(FIND(CONT_TEA[[#This Row],[SchoolCode]],_xlfn.TEXTJOIN(",",TRUE,_xlfn.UNIQUE(IF(ROLES[StaffRoleCode]=CONT_TEA[[#This Row],[StaffRoleCode]],ROLES[SchoolCodes],""))))),1,0))</f>
        <v>0</v>
      </c>
      <c r="E308" s="57" cm="1">
        <f t="array" ref="E30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08" s="57" cm="1">
        <f t="array" ref="F308">IF(_xlfn.XLOOKUP(CONT_TEA[[#This Row],[PayScaleCode]],PAYSCALES[PayScaleCode],PAYSCALES[AvailableToAllSchools],1,0,)=TRUE,0,IF(ISERROR(FIND(CONT_TEA[[#This Row],[SchoolCode]],_xlfn.TEXTJOIN(",",TRUE,_xlfn.UNIQUE(IF(PAYSCALES[PayScaleCode]=CONT_TEA[[#This Row],[PayScaleCode]],PAYSCALES[SchoolCodes],""))))),1,0))</f>
        <v>0</v>
      </c>
      <c r="G308" s="57">
        <f>IF(_xlfn.XLOOKUP(CONT_TEA[[#This Row],[PayScaleGradeCode]],GRADES[PayScaleGradeCode],GRADES[AvailableToAllSchools])=TRUE,0,IFERROR(IF(FIND(CONT_TEA[[#This Row],[SchoolCode]],_xlfn.XLOOKUP(CONT_TEA[[#This Row],[PayScaleGradeCode]],GRADES[PayScaleGradeCode],GRADES[SchoolCodes]))&gt;=1,0,1),1))</f>
        <v>0</v>
      </c>
      <c r="H308" s="57">
        <f>IF(ISERROR(IF((_xlfn.XLOOKUP(CONT_TEA[[#This Row],[PayScaleGradeCode]],GRADES[PayScaleGradeCode],GRADES[PayScaleCode])=CONT_TEA[[#This Row],[PayScaleCode]]),0,1)),1,0)</f>
        <v>0</v>
      </c>
      <c r="I308" s="57" cm="1">
        <f t="array" ref="I308">IF(ISERROR(FIND(CONT_TEA[[#This Row],[PayScalePointCode]],_xlfn.TEXTJOIN(",",TRUE,IF(PSPOINTS[PayScaleCode]=CONT_TEA[[#This Row],[PayScaleCode]],PSPOINTS[PayScalePointCode])))),1,0)</f>
        <v>0</v>
      </c>
      <c r="J308" s="57" cm="1">
        <f t="array" ref="J30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08" s="57">
        <f>IF(_xlfn.XLOOKUP(CONT_TEA[[#This Row],[PayScalePointCode]],PSPOINTS[PayScalePointCode],PSPOINTS[PayScalePointEnabled])=TRUE,0,1)</f>
        <v>0</v>
      </c>
      <c r="L308" s="57" cm="1">
        <f t="array" ref="L308">IF(_xlfn.XLOOKUP(CONT_TEA[[#This Row],[DepartmentCode]],DEPTS[DepartmentCode],DEPTS[AvailableToAllSchools],1,0,)=TRUE,0,IF(ISERROR(FIND(CONT_TEA[[#This Row],[SchoolCode]],_xlfn.TEXTJOIN(",",TRUE,_xlfn.UNIQUE(IF(DEPTS[DepartmentCode]=CONT_TEA[[#This Row],[DepartmentCode]],DEPTS[SchoolCodes],""))))),1,0))</f>
        <v>0</v>
      </c>
      <c r="M308" s="57">
        <f>IFERROR(IF(_xlfn.XLOOKUP(CONT_TEA[[#This Row],[SRG Gross]],FinanceCodesBudget[FinanceCode],FinanceCodesBudget[LedgerCode])=_xlfn.XLOOKUP(CONT_TEA[[#This Row],[DepartmentCode]],DEPTS[DepartmentCode],DEPTS[LedgerCode]),0,1),1)</f>
        <v>1</v>
      </c>
      <c r="N308" s="57" cm="1">
        <f t="array" ref="N308">IF(_xlfn.XLOOKUP(CONT_TEA[[#This Row],[PensionCode]],PENS[PensionCode],PENS[AvailableToAllSchools],1,0,)=TRUE,0,IF(ISERROR(FIND(CONT_TEA[[#This Row],[SchoolCode]],_xlfn.TEXTJOIN(",",TRUE,_xlfn.UNIQUE(IF(PENS[PensionCode]=CONT_TEA[[#This Row],[PensionCode]],PENS[SchoolCodes],""))))),1,0))</f>
        <v>0</v>
      </c>
      <c r="O308" s="57" cm="1">
        <f t="array" ref="O308">IF(_xlfn.XLOOKUP(CONT_TEA[[#This Row],[EquatedWeekPatternCode]],EQW[EquatedWeekPatternCode],EQW[AvailableToAllSchools],1,0,)=TRUE,0,IF(ISERROR(FIND(CONT_TEA[[#This Row],[SchoolCode]],_xlfn.TEXTJOIN(",",TRUE,_xlfn.UNIQUE(IF(EQW[EquatedWeekPatternCode]=CONT_TEA[[#This Row],[EquatedWeekPatternCode]],EQW[SchoolCodes],""))))),1,0))</f>
        <v>0</v>
      </c>
      <c r="P308" s="57">
        <f>1-COUNTIF(ContractTypes[Code],CONT_TEA[[#This Row],[ContractTypeCode]])</f>
        <v>0</v>
      </c>
      <c r="Q308" s="57">
        <f>IF(VLOOKUP(CONT_TEA[[#This Row],[StaffMemberCode]],MEMBERS[[StaffMemberCode]:[ServiceStartDate]],5,0)&gt;CONT_TEA[[#This Row],[DateFrom]],1,0)</f>
        <v>0</v>
      </c>
      <c r="R308" s="57">
        <f>IF(_xlfn.XLOOKUP(CONT_TEA[[#This Row],[StaffMemberCode]],MEMBERS[StaffMemberCode],MEMBERS[ServiceEndDate])="",0,IF(CONT_TEA[[#This Row],[DateTo]]="",1,IF(_xlfn.XLOOKUP(CONT_TEA[[#This Row],[StaffMemberCode]],MEMBERS[StaffMemberCode],MEMBERS[ServiceEndDate])&lt;CONT_TEA[[#This Row],[DateTo]],1,0)))</f>
        <v>0</v>
      </c>
      <c r="S308" s="57">
        <f>IF(ISBLANK(CONT_TEA[[#This Row],[DateTo]]),0,IF(CONT_TEA[[#This Row],[DateFrom]]=CONT_TEA[[#This Row],[DateTo]],0,IF(CONT_TEA[[#This Row],[DateFrom]]&lt;CONT_TEA[[#This Row],[DateTo]],0,1)))</f>
        <v>0</v>
      </c>
      <c r="T308" s="57" cm="1">
        <f t="array" aca="1" ref="T308" ca="1">IF(CELL("format",CONT_TEA[[#This Row],[DateFrom]])="D1",0,1)+IF(CELL("format",CONT_TEA[[#This Row],[DateTo]])="D1",0,1)</f>
        <v>0</v>
      </c>
      <c r="U308" s="57">
        <f>IF(OR(CONT_TEA[[#This Row],[MatEditOnly]]=TRUE,CONT_TEA[[#This Row],[MatEditOnly]]=FALSE),IF(OR(CONT_TEA[[#This Row],[NoIncrement]]=TRUE,CONT_TEA[[#This Row],[NoIncrement]]=FALSE),0,1),1)</f>
        <v>0</v>
      </c>
      <c r="V308" s="57">
        <f>IF(ISBLANK(CONT_TEA[[#This Row],[FundCode]])=TRUE,0,IF(COUNTIF(FUNDS[FundCode],CONT_TEA[[#This Row],[FundCode]])=1,0,1))</f>
        <v>0</v>
      </c>
      <c r="W308" s="57">
        <f>IF(LEN(CONT_TEA[[#This Row],[Notes]])&lt;4000,0,1)</f>
        <v>0</v>
      </c>
      <c r="X308" s="57">
        <f>IF(SUBSTITUTE(TEXT(CONT_TEA[[#This Row],[Reference]],10)," ","")=TEXT(CONT_TEA[[#This Row],[Reference]],10),0,1)</f>
        <v>0</v>
      </c>
      <c r="Y308" s="57">
        <f ca="1">SUM(CONT_TEA[[#This Row],[Duplicate Contract]:[Space in Code]])</f>
        <v>1</v>
      </c>
      <c r="AA308" s="12" t="s">
        <v>2126</v>
      </c>
      <c r="AB308" s="15">
        <v>10016226</v>
      </c>
      <c r="AC308" s="12">
        <v>111043</v>
      </c>
      <c r="AD308" s="57" t="str">
        <f>_xlfn.XLOOKUP(CONT_TEA[[#This Row],[StaffMemberCode]],StaffMembers!O:O,StaffMembers!R:R)</f>
        <v>Shaun Pickford</v>
      </c>
      <c r="AE308" s="12" t="s">
        <v>1178</v>
      </c>
      <c r="AF308" s="57">
        <f>_xlfn.XLOOKUP(CONT_TEA[[#This Row],[SRG]],SRG[StaffRoleGroupCode],SRG[GrossSalaryFinanceCode])</f>
        <v>612100</v>
      </c>
      <c r="AG308" s="57" t="str">
        <f>_xlfn.XLOOKUP(CONT_TEA[[#This Row],[StaffRoleCode]],ROLES[StaffRoleCode],ROLES[StaffRoleGroupCode])</f>
        <v>TEA</v>
      </c>
      <c r="AH308" s="57" t="str">
        <f>_xlfn.XLOOKUP(CONT_TEA[[#This Row],[StaffRoleCode]],ROLES[StaffRoleCode],ROLES[PayScaleCode])</f>
        <v>MAIN</v>
      </c>
      <c r="AI308" s="12" t="s">
        <v>1126</v>
      </c>
      <c r="AJ308" s="12" t="s">
        <v>1065</v>
      </c>
      <c r="AK308" s="12" t="s">
        <v>2499</v>
      </c>
      <c r="AM308" s="68" t="s">
        <v>1147</v>
      </c>
      <c r="AN308" s="13" t="s">
        <v>1702</v>
      </c>
      <c r="AO308" s="21">
        <v>46023</v>
      </c>
      <c r="AQ308" s="12">
        <v>1</v>
      </c>
      <c r="AR308" t="b">
        <v>0</v>
      </c>
      <c r="AS308" t="b">
        <v>0</v>
      </c>
      <c r="AT308" s="12" t="s">
        <v>1574</v>
      </c>
    </row>
    <row r="309" spans="1:46" x14ac:dyDescent="0.3">
      <c r="A309" s="57" t="str">
        <f t="shared" si="7"/>
        <v>MLB10016229106048TEASTCH46023</v>
      </c>
      <c r="B309" s="57">
        <f>COUNTIF(CONT_TEA[Unique Contract],CONT_TEA[[#This Row],[Unique Contract]])-1</f>
        <v>0</v>
      </c>
      <c r="C309" s="57">
        <f>IFERROR(IF(FIND(CONT_TEA[[#This Row],[SchoolCode]],_xlfn.XLOOKUP(CONT_TEA[[#This Row],[StaffMemberCode]],MEMBERS[StaffMemberCode],MEMBERS[SchoolCodes]))&gt;0,0,1),1)</f>
        <v>0</v>
      </c>
      <c r="D309" s="57" cm="1">
        <f t="array" ref="D309">IF(_xlfn.XLOOKUP(CONT_TEA[[#This Row],[StaffRoleCode]],ROLES[StaffRoleCode],ROLES[AvailableToAllSchools],1,0,)=TRUE,0,IF(ISERROR(FIND(CONT_TEA[[#This Row],[SchoolCode]],_xlfn.TEXTJOIN(",",TRUE,_xlfn.UNIQUE(IF(ROLES[StaffRoleCode]=CONT_TEA[[#This Row],[StaffRoleCode]],ROLES[SchoolCodes],""))))),1,0))</f>
        <v>0</v>
      </c>
      <c r="E309" s="57" cm="1">
        <f t="array" ref="E30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09" s="57" cm="1">
        <f t="array" ref="F309">IF(_xlfn.XLOOKUP(CONT_TEA[[#This Row],[PayScaleCode]],PAYSCALES[PayScaleCode],PAYSCALES[AvailableToAllSchools],1,0,)=TRUE,0,IF(ISERROR(FIND(CONT_TEA[[#This Row],[SchoolCode]],_xlfn.TEXTJOIN(",",TRUE,_xlfn.UNIQUE(IF(PAYSCALES[PayScaleCode]=CONT_TEA[[#This Row],[PayScaleCode]],PAYSCALES[SchoolCodes],""))))),1,0))</f>
        <v>0</v>
      </c>
      <c r="G309" s="57">
        <f>IF(_xlfn.XLOOKUP(CONT_TEA[[#This Row],[PayScaleGradeCode]],GRADES[PayScaleGradeCode],GRADES[AvailableToAllSchools])=TRUE,0,IFERROR(IF(FIND(CONT_TEA[[#This Row],[SchoolCode]],_xlfn.XLOOKUP(CONT_TEA[[#This Row],[PayScaleGradeCode]],GRADES[PayScaleGradeCode],GRADES[SchoolCodes]))&gt;=1,0,1),1))</f>
        <v>0</v>
      </c>
      <c r="H309" s="57">
        <f>IF(ISERROR(IF((_xlfn.XLOOKUP(CONT_TEA[[#This Row],[PayScaleGradeCode]],GRADES[PayScaleGradeCode],GRADES[PayScaleCode])=CONT_TEA[[#This Row],[PayScaleCode]]),0,1)),1,0)</f>
        <v>0</v>
      </c>
      <c r="I309" s="57" cm="1">
        <f t="array" ref="I309">IF(ISERROR(FIND(CONT_TEA[[#This Row],[PayScalePointCode]],_xlfn.TEXTJOIN(",",TRUE,IF(PSPOINTS[PayScaleCode]=CONT_TEA[[#This Row],[PayScaleCode]],PSPOINTS[PayScalePointCode])))),1,0)</f>
        <v>0</v>
      </c>
      <c r="J309" s="57" cm="1">
        <f t="array" ref="J30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09" s="57">
        <f>IF(_xlfn.XLOOKUP(CONT_TEA[[#This Row],[PayScalePointCode]],PSPOINTS[PayScalePointCode],PSPOINTS[PayScalePointEnabled])=TRUE,0,1)</f>
        <v>0</v>
      </c>
      <c r="L309" s="57" cm="1">
        <f t="array" ref="L309">IF(_xlfn.XLOOKUP(CONT_TEA[[#This Row],[DepartmentCode]],DEPTS[DepartmentCode],DEPTS[AvailableToAllSchools],1,0,)=TRUE,0,IF(ISERROR(FIND(CONT_TEA[[#This Row],[SchoolCode]],_xlfn.TEXTJOIN(",",TRUE,_xlfn.UNIQUE(IF(DEPTS[DepartmentCode]=CONT_TEA[[#This Row],[DepartmentCode]],DEPTS[SchoolCodes],""))))),1,0))</f>
        <v>0</v>
      </c>
      <c r="M309" s="57">
        <f>IFERROR(IF(_xlfn.XLOOKUP(CONT_TEA[[#This Row],[SRG Gross]],FinanceCodesBudget[FinanceCode],FinanceCodesBudget[LedgerCode])=_xlfn.XLOOKUP(CONT_TEA[[#This Row],[DepartmentCode]],DEPTS[DepartmentCode],DEPTS[LedgerCode]),0,1),1)</f>
        <v>1</v>
      </c>
      <c r="N309" s="57" cm="1">
        <f t="array" ref="N309">IF(_xlfn.XLOOKUP(CONT_TEA[[#This Row],[PensionCode]],PENS[PensionCode],PENS[AvailableToAllSchools],1,0,)=TRUE,0,IF(ISERROR(FIND(CONT_TEA[[#This Row],[SchoolCode]],_xlfn.TEXTJOIN(",",TRUE,_xlfn.UNIQUE(IF(PENS[PensionCode]=CONT_TEA[[#This Row],[PensionCode]],PENS[SchoolCodes],""))))),1,0))</f>
        <v>0</v>
      </c>
      <c r="O309" s="57" cm="1">
        <f t="array" ref="O309">IF(_xlfn.XLOOKUP(CONT_TEA[[#This Row],[EquatedWeekPatternCode]],EQW[EquatedWeekPatternCode],EQW[AvailableToAllSchools],1,0,)=TRUE,0,IF(ISERROR(FIND(CONT_TEA[[#This Row],[SchoolCode]],_xlfn.TEXTJOIN(",",TRUE,_xlfn.UNIQUE(IF(EQW[EquatedWeekPatternCode]=CONT_TEA[[#This Row],[EquatedWeekPatternCode]],EQW[SchoolCodes],""))))),1,0))</f>
        <v>0</v>
      </c>
      <c r="P309" s="57">
        <f>1-COUNTIF(ContractTypes[Code],CONT_TEA[[#This Row],[ContractTypeCode]])</f>
        <v>0</v>
      </c>
      <c r="Q309" s="57">
        <f>IF(VLOOKUP(CONT_TEA[[#This Row],[StaffMemberCode]],MEMBERS[[StaffMemberCode]:[ServiceStartDate]],5,0)&gt;CONT_TEA[[#This Row],[DateFrom]],1,0)</f>
        <v>0</v>
      </c>
      <c r="R309" s="57">
        <f>IF(_xlfn.XLOOKUP(CONT_TEA[[#This Row],[StaffMemberCode]],MEMBERS[StaffMemberCode],MEMBERS[ServiceEndDate])="",0,IF(CONT_TEA[[#This Row],[DateTo]]="",1,IF(_xlfn.XLOOKUP(CONT_TEA[[#This Row],[StaffMemberCode]],MEMBERS[StaffMemberCode],MEMBERS[ServiceEndDate])&lt;CONT_TEA[[#This Row],[DateTo]],1,0)))</f>
        <v>0</v>
      </c>
      <c r="S309" s="57">
        <f>IF(ISBLANK(CONT_TEA[[#This Row],[DateTo]]),0,IF(CONT_TEA[[#This Row],[DateFrom]]=CONT_TEA[[#This Row],[DateTo]],0,IF(CONT_TEA[[#This Row],[DateFrom]]&lt;CONT_TEA[[#This Row],[DateTo]],0,1)))</f>
        <v>0</v>
      </c>
      <c r="T309" s="57" cm="1">
        <f t="array" aca="1" ref="T309" ca="1">IF(CELL("format",CONT_TEA[[#This Row],[DateFrom]])="D1",0,1)+IF(CELL("format",CONT_TEA[[#This Row],[DateTo]])="D1",0,1)</f>
        <v>0</v>
      </c>
      <c r="U309" s="57">
        <f>IF(OR(CONT_TEA[[#This Row],[MatEditOnly]]=TRUE,CONT_TEA[[#This Row],[MatEditOnly]]=FALSE),IF(OR(CONT_TEA[[#This Row],[NoIncrement]]=TRUE,CONT_TEA[[#This Row],[NoIncrement]]=FALSE),0,1),1)</f>
        <v>0</v>
      </c>
      <c r="V309" s="57">
        <f>IF(ISBLANK(CONT_TEA[[#This Row],[FundCode]])=TRUE,0,IF(COUNTIF(FUNDS[FundCode],CONT_TEA[[#This Row],[FundCode]])=1,0,1))</f>
        <v>0</v>
      </c>
      <c r="W309" s="57">
        <f>IF(LEN(CONT_TEA[[#This Row],[Notes]])&lt;4000,0,1)</f>
        <v>0</v>
      </c>
      <c r="X309" s="57">
        <f>IF(SUBSTITUTE(TEXT(CONT_TEA[[#This Row],[Reference]],10)," ","")=TEXT(CONT_TEA[[#This Row],[Reference]],10),0,1)</f>
        <v>0</v>
      </c>
      <c r="Y309" s="57">
        <f ca="1">SUM(CONT_TEA[[#This Row],[Duplicate Contract]:[Space in Code]])</f>
        <v>1</v>
      </c>
      <c r="AA309" s="12" t="s">
        <v>2126</v>
      </c>
      <c r="AB309" s="15">
        <v>10016229</v>
      </c>
      <c r="AC309" s="12">
        <v>106048</v>
      </c>
      <c r="AD309" s="57" t="str">
        <f>_xlfn.XLOOKUP(CONT_TEA[[#This Row],[StaffMemberCode]],StaffMembers!O:O,StaffMembers!R:R)</f>
        <v>Sophie Leese</v>
      </c>
      <c r="AE309" s="12" t="s">
        <v>1178</v>
      </c>
      <c r="AF309" s="57">
        <f>_xlfn.XLOOKUP(CONT_TEA[[#This Row],[SRG]],SRG[StaffRoleGroupCode],SRG[GrossSalaryFinanceCode])</f>
        <v>612100</v>
      </c>
      <c r="AG309" s="57" t="str">
        <f>_xlfn.XLOOKUP(CONT_TEA[[#This Row],[StaffRoleCode]],ROLES[StaffRoleCode],ROLES[StaffRoleGroupCode])</f>
        <v>TEA</v>
      </c>
      <c r="AH309" s="57" t="str">
        <f>_xlfn.XLOOKUP(CONT_TEA[[#This Row],[StaffRoleCode]],ROLES[StaffRoleCode],ROLES[PayScaleCode])</f>
        <v>MAIN</v>
      </c>
      <c r="AI309" s="12" t="s">
        <v>1126</v>
      </c>
      <c r="AJ309" s="12" t="s">
        <v>1065</v>
      </c>
      <c r="AK309" s="12" t="s">
        <v>2499</v>
      </c>
      <c r="AM309" s="68" t="s">
        <v>1147</v>
      </c>
      <c r="AN309" s="13" t="s">
        <v>1702</v>
      </c>
      <c r="AO309" s="21">
        <v>46023</v>
      </c>
      <c r="AQ309" s="12">
        <v>1</v>
      </c>
      <c r="AR309" t="b">
        <v>0</v>
      </c>
      <c r="AS309" t="b">
        <v>0</v>
      </c>
      <c r="AT309" s="12" t="s">
        <v>1574</v>
      </c>
    </row>
    <row r="310" spans="1:46" x14ac:dyDescent="0.3">
      <c r="A310" s="57" t="str">
        <f t="shared" si="7"/>
        <v>MLB10012806111045TEASTCH46023</v>
      </c>
      <c r="B310" s="57">
        <f>COUNTIF(CONT_TEA[Unique Contract],CONT_TEA[[#This Row],[Unique Contract]])-1</f>
        <v>0</v>
      </c>
      <c r="C310" s="57">
        <f>IFERROR(IF(FIND(CONT_TEA[[#This Row],[SchoolCode]],_xlfn.XLOOKUP(CONT_TEA[[#This Row],[StaffMemberCode]],MEMBERS[StaffMemberCode],MEMBERS[SchoolCodes]))&gt;0,0,1),1)</f>
        <v>0</v>
      </c>
      <c r="D310" s="57" cm="1">
        <f t="array" ref="D310">IF(_xlfn.XLOOKUP(CONT_TEA[[#This Row],[StaffRoleCode]],ROLES[StaffRoleCode],ROLES[AvailableToAllSchools],1,0,)=TRUE,0,IF(ISERROR(FIND(CONT_TEA[[#This Row],[SchoolCode]],_xlfn.TEXTJOIN(",",TRUE,_xlfn.UNIQUE(IF(ROLES[StaffRoleCode]=CONT_TEA[[#This Row],[StaffRoleCode]],ROLES[SchoolCodes],""))))),1,0))</f>
        <v>0</v>
      </c>
      <c r="E310" s="57" cm="1">
        <f t="array" ref="E31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10" s="57" cm="1">
        <f t="array" ref="F310">IF(_xlfn.XLOOKUP(CONT_TEA[[#This Row],[PayScaleCode]],PAYSCALES[PayScaleCode],PAYSCALES[AvailableToAllSchools],1,0,)=TRUE,0,IF(ISERROR(FIND(CONT_TEA[[#This Row],[SchoolCode]],_xlfn.TEXTJOIN(",",TRUE,_xlfn.UNIQUE(IF(PAYSCALES[PayScaleCode]=CONT_TEA[[#This Row],[PayScaleCode]],PAYSCALES[SchoolCodes],""))))),1,0))</f>
        <v>0</v>
      </c>
      <c r="G310" s="57">
        <f>IF(_xlfn.XLOOKUP(CONT_TEA[[#This Row],[PayScaleGradeCode]],GRADES[PayScaleGradeCode],GRADES[AvailableToAllSchools])=TRUE,0,IFERROR(IF(FIND(CONT_TEA[[#This Row],[SchoolCode]],_xlfn.XLOOKUP(CONT_TEA[[#This Row],[PayScaleGradeCode]],GRADES[PayScaleGradeCode],GRADES[SchoolCodes]))&gt;=1,0,1),1))</f>
        <v>0</v>
      </c>
      <c r="H310" s="57">
        <f>IF(ISERROR(IF((_xlfn.XLOOKUP(CONT_TEA[[#This Row],[PayScaleGradeCode]],GRADES[PayScaleGradeCode],GRADES[PayScaleCode])=CONT_TEA[[#This Row],[PayScaleCode]]),0,1)),1,0)</f>
        <v>0</v>
      </c>
      <c r="I310" s="57" cm="1">
        <f t="array" ref="I310">IF(ISERROR(FIND(CONT_TEA[[#This Row],[PayScalePointCode]],_xlfn.TEXTJOIN(",",TRUE,IF(PSPOINTS[PayScaleCode]=CONT_TEA[[#This Row],[PayScaleCode]],PSPOINTS[PayScalePointCode])))),1,0)</f>
        <v>0</v>
      </c>
      <c r="J310" s="57" cm="1">
        <f t="array" ref="J31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10" s="57">
        <f>IF(_xlfn.XLOOKUP(CONT_TEA[[#This Row],[PayScalePointCode]],PSPOINTS[PayScalePointCode],PSPOINTS[PayScalePointEnabled])=TRUE,0,1)</f>
        <v>0</v>
      </c>
      <c r="L310" s="57" cm="1">
        <f t="array" ref="L310">IF(_xlfn.XLOOKUP(CONT_TEA[[#This Row],[DepartmentCode]],DEPTS[DepartmentCode],DEPTS[AvailableToAllSchools],1,0,)=TRUE,0,IF(ISERROR(FIND(CONT_TEA[[#This Row],[SchoolCode]],_xlfn.TEXTJOIN(",",TRUE,_xlfn.UNIQUE(IF(DEPTS[DepartmentCode]=CONT_TEA[[#This Row],[DepartmentCode]],DEPTS[SchoolCodes],""))))),1,0))</f>
        <v>0</v>
      </c>
      <c r="M310" s="57">
        <f>IFERROR(IF(_xlfn.XLOOKUP(CONT_TEA[[#This Row],[SRG Gross]],FinanceCodesBudget[FinanceCode],FinanceCodesBudget[LedgerCode])=_xlfn.XLOOKUP(CONT_TEA[[#This Row],[DepartmentCode]],DEPTS[DepartmentCode],DEPTS[LedgerCode]),0,1),1)</f>
        <v>1</v>
      </c>
      <c r="N310" s="57" cm="1">
        <f t="array" ref="N310">IF(_xlfn.XLOOKUP(CONT_TEA[[#This Row],[PensionCode]],PENS[PensionCode],PENS[AvailableToAllSchools],1,0,)=TRUE,0,IF(ISERROR(FIND(CONT_TEA[[#This Row],[SchoolCode]],_xlfn.TEXTJOIN(",",TRUE,_xlfn.UNIQUE(IF(PENS[PensionCode]=CONT_TEA[[#This Row],[PensionCode]],PENS[SchoolCodes],""))))),1,0))</f>
        <v>0</v>
      </c>
      <c r="O310" s="57" cm="1">
        <f t="array" ref="O310">IF(_xlfn.XLOOKUP(CONT_TEA[[#This Row],[EquatedWeekPatternCode]],EQW[EquatedWeekPatternCode],EQW[AvailableToAllSchools],1,0,)=TRUE,0,IF(ISERROR(FIND(CONT_TEA[[#This Row],[SchoolCode]],_xlfn.TEXTJOIN(",",TRUE,_xlfn.UNIQUE(IF(EQW[EquatedWeekPatternCode]=CONT_TEA[[#This Row],[EquatedWeekPatternCode]],EQW[SchoolCodes],""))))),1,0))</f>
        <v>0</v>
      </c>
      <c r="P310" s="57">
        <f>1-COUNTIF(ContractTypes[Code],CONT_TEA[[#This Row],[ContractTypeCode]])</f>
        <v>0</v>
      </c>
      <c r="Q310" s="57">
        <f>IF(VLOOKUP(CONT_TEA[[#This Row],[StaffMemberCode]],MEMBERS[[StaffMemberCode]:[ServiceStartDate]],5,0)&gt;CONT_TEA[[#This Row],[DateFrom]],1,0)</f>
        <v>0</v>
      </c>
      <c r="R310" s="57">
        <f>IF(_xlfn.XLOOKUP(CONT_TEA[[#This Row],[StaffMemberCode]],MEMBERS[StaffMemberCode],MEMBERS[ServiceEndDate])="",0,IF(CONT_TEA[[#This Row],[DateTo]]="",1,IF(_xlfn.XLOOKUP(CONT_TEA[[#This Row],[StaffMemberCode]],MEMBERS[StaffMemberCode],MEMBERS[ServiceEndDate])&lt;CONT_TEA[[#This Row],[DateTo]],1,0)))</f>
        <v>0</v>
      </c>
      <c r="S310" s="57">
        <f>IF(ISBLANK(CONT_TEA[[#This Row],[DateTo]]),0,IF(CONT_TEA[[#This Row],[DateFrom]]=CONT_TEA[[#This Row],[DateTo]],0,IF(CONT_TEA[[#This Row],[DateFrom]]&lt;CONT_TEA[[#This Row],[DateTo]],0,1)))</f>
        <v>0</v>
      </c>
      <c r="T310" s="57" cm="1">
        <f t="array" aca="1" ref="T310" ca="1">IF(CELL("format",CONT_TEA[[#This Row],[DateFrom]])="D1",0,1)+IF(CELL("format",CONT_TEA[[#This Row],[DateTo]])="D1",0,1)</f>
        <v>0</v>
      </c>
      <c r="U310" s="57">
        <f>IF(OR(CONT_TEA[[#This Row],[MatEditOnly]]=TRUE,CONT_TEA[[#This Row],[MatEditOnly]]=FALSE),IF(OR(CONT_TEA[[#This Row],[NoIncrement]]=TRUE,CONT_TEA[[#This Row],[NoIncrement]]=FALSE),0,1),1)</f>
        <v>0</v>
      </c>
      <c r="V310" s="57">
        <f>IF(ISBLANK(CONT_TEA[[#This Row],[FundCode]])=TRUE,0,IF(COUNTIF(FUNDS[FundCode],CONT_TEA[[#This Row],[FundCode]])=1,0,1))</f>
        <v>0</v>
      </c>
      <c r="W310" s="57">
        <f>IF(LEN(CONT_TEA[[#This Row],[Notes]])&lt;4000,0,1)</f>
        <v>0</v>
      </c>
      <c r="X310" s="57">
        <f>IF(SUBSTITUTE(TEXT(CONT_TEA[[#This Row],[Reference]],10)," ","")=TEXT(CONT_TEA[[#This Row],[Reference]],10),0,1)</f>
        <v>0</v>
      </c>
      <c r="Y310" s="57">
        <f ca="1">SUM(CONT_TEA[[#This Row],[Duplicate Contract]:[Space in Code]])</f>
        <v>1</v>
      </c>
      <c r="AA310" s="12" t="s">
        <v>2126</v>
      </c>
      <c r="AB310" s="15">
        <v>10012806</v>
      </c>
      <c r="AC310" s="12">
        <v>111045</v>
      </c>
      <c r="AD310" s="57" t="str">
        <f>_xlfn.XLOOKUP(CONT_TEA[[#This Row],[StaffMemberCode]],StaffMembers!O:O,StaffMembers!R:R)</f>
        <v>Amelia Dean</v>
      </c>
      <c r="AE310" s="12" t="s">
        <v>1178</v>
      </c>
      <c r="AF310" s="57">
        <f>_xlfn.XLOOKUP(CONT_TEA[[#This Row],[SRG]],SRG[StaffRoleGroupCode],SRG[GrossSalaryFinanceCode])</f>
        <v>612100</v>
      </c>
      <c r="AG310" s="57" t="str">
        <f>_xlfn.XLOOKUP(CONT_TEA[[#This Row],[StaffRoleCode]],ROLES[StaffRoleCode],ROLES[StaffRoleGroupCode])</f>
        <v>TEA</v>
      </c>
      <c r="AH310" s="57" t="str">
        <f>_xlfn.XLOOKUP(CONT_TEA[[#This Row],[StaffRoleCode]],ROLES[StaffRoleCode],ROLES[PayScaleCode])</f>
        <v>MAIN</v>
      </c>
      <c r="AI310" s="12" t="s">
        <v>1126</v>
      </c>
      <c r="AJ310" s="12" t="s">
        <v>1066</v>
      </c>
      <c r="AK310" s="12" t="s">
        <v>2499</v>
      </c>
      <c r="AM310" s="68" t="s">
        <v>1147</v>
      </c>
      <c r="AN310" s="13" t="s">
        <v>1702</v>
      </c>
      <c r="AO310" s="21">
        <v>46023</v>
      </c>
      <c r="AQ310" s="12">
        <v>1</v>
      </c>
      <c r="AR310" t="b">
        <v>0</v>
      </c>
      <c r="AS310" t="b">
        <v>0</v>
      </c>
      <c r="AT310" s="12" t="s">
        <v>1574</v>
      </c>
    </row>
    <row r="311" spans="1:46" x14ac:dyDescent="0.3">
      <c r="A311" s="57" t="str">
        <f t="shared" si="7"/>
        <v>MLB10012804106823TEASTCH46023</v>
      </c>
      <c r="B311" s="57">
        <f>COUNTIF(CONT_TEA[Unique Contract],CONT_TEA[[#This Row],[Unique Contract]])-1</f>
        <v>0</v>
      </c>
      <c r="C311" s="57">
        <f>IFERROR(IF(FIND(CONT_TEA[[#This Row],[SchoolCode]],_xlfn.XLOOKUP(CONT_TEA[[#This Row],[StaffMemberCode]],MEMBERS[StaffMemberCode],MEMBERS[SchoolCodes]))&gt;0,0,1),1)</f>
        <v>0</v>
      </c>
      <c r="D311" s="57" cm="1">
        <f t="array" ref="D311">IF(_xlfn.XLOOKUP(CONT_TEA[[#This Row],[StaffRoleCode]],ROLES[StaffRoleCode],ROLES[AvailableToAllSchools],1,0,)=TRUE,0,IF(ISERROR(FIND(CONT_TEA[[#This Row],[SchoolCode]],_xlfn.TEXTJOIN(",",TRUE,_xlfn.UNIQUE(IF(ROLES[StaffRoleCode]=CONT_TEA[[#This Row],[StaffRoleCode]],ROLES[SchoolCodes],""))))),1,0))</f>
        <v>0</v>
      </c>
      <c r="E311" s="57" cm="1">
        <f t="array" ref="E31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11" s="57" cm="1">
        <f t="array" ref="F311">IF(_xlfn.XLOOKUP(CONT_TEA[[#This Row],[PayScaleCode]],PAYSCALES[PayScaleCode],PAYSCALES[AvailableToAllSchools],1,0,)=TRUE,0,IF(ISERROR(FIND(CONT_TEA[[#This Row],[SchoolCode]],_xlfn.TEXTJOIN(",",TRUE,_xlfn.UNIQUE(IF(PAYSCALES[PayScaleCode]=CONT_TEA[[#This Row],[PayScaleCode]],PAYSCALES[SchoolCodes],""))))),1,0))</f>
        <v>0</v>
      </c>
      <c r="G311" s="57">
        <f>IF(_xlfn.XLOOKUP(CONT_TEA[[#This Row],[PayScaleGradeCode]],GRADES[PayScaleGradeCode],GRADES[AvailableToAllSchools])=TRUE,0,IFERROR(IF(FIND(CONT_TEA[[#This Row],[SchoolCode]],_xlfn.XLOOKUP(CONT_TEA[[#This Row],[PayScaleGradeCode]],GRADES[PayScaleGradeCode],GRADES[SchoolCodes]))&gt;=1,0,1),1))</f>
        <v>0</v>
      </c>
      <c r="H311" s="57">
        <f>IF(ISERROR(IF((_xlfn.XLOOKUP(CONT_TEA[[#This Row],[PayScaleGradeCode]],GRADES[PayScaleGradeCode],GRADES[PayScaleCode])=CONT_TEA[[#This Row],[PayScaleCode]]),0,1)),1,0)</f>
        <v>0</v>
      </c>
      <c r="I311" s="57" cm="1">
        <f t="array" ref="I311">IF(ISERROR(FIND(CONT_TEA[[#This Row],[PayScalePointCode]],_xlfn.TEXTJOIN(",",TRUE,IF(PSPOINTS[PayScaleCode]=CONT_TEA[[#This Row],[PayScaleCode]],PSPOINTS[PayScalePointCode])))),1,0)</f>
        <v>0</v>
      </c>
      <c r="J311" s="57" cm="1">
        <f t="array" ref="J31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11" s="57">
        <f>IF(_xlfn.XLOOKUP(CONT_TEA[[#This Row],[PayScalePointCode]],PSPOINTS[PayScalePointCode],PSPOINTS[PayScalePointEnabled])=TRUE,0,1)</f>
        <v>0</v>
      </c>
      <c r="L311" s="57" cm="1">
        <f t="array" ref="L311">IF(_xlfn.XLOOKUP(CONT_TEA[[#This Row],[DepartmentCode]],DEPTS[DepartmentCode],DEPTS[AvailableToAllSchools],1,0,)=TRUE,0,IF(ISERROR(FIND(CONT_TEA[[#This Row],[SchoolCode]],_xlfn.TEXTJOIN(",",TRUE,_xlfn.UNIQUE(IF(DEPTS[DepartmentCode]=CONT_TEA[[#This Row],[DepartmentCode]],DEPTS[SchoolCodes],""))))),1,0))</f>
        <v>0</v>
      </c>
      <c r="M311" s="57">
        <f>IFERROR(IF(_xlfn.XLOOKUP(CONT_TEA[[#This Row],[SRG Gross]],FinanceCodesBudget[FinanceCode],FinanceCodesBudget[LedgerCode])=_xlfn.XLOOKUP(CONT_TEA[[#This Row],[DepartmentCode]],DEPTS[DepartmentCode],DEPTS[LedgerCode]),0,1),1)</f>
        <v>1</v>
      </c>
      <c r="N311" s="57" cm="1">
        <f t="array" ref="N311">IF(_xlfn.XLOOKUP(CONT_TEA[[#This Row],[PensionCode]],PENS[PensionCode],PENS[AvailableToAllSchools],1,0,)=TRUE,0,IF(ISERROR(FIND(CONT_TEA[[#This Row],[SchoolCode]],_xlfn.TEXTJOIN(",",TRUE,_xlfn.UNIQUE(IF(PENS[PensionCode]=CONT_TEA[[#This Row],[PensionCode]],PENS[SchoolCodes],""))))),1,0))</f>
        <v>0</v>
      </c>
      <c r="O311" s="57" cm="1">
        <f t="array" ref="O311">IF(_xlfn.XLOOKUP(CONT_TEA[[#This Row],[EquatedWeekPatternCode]],EQW[EquatedWeekPatternCode],EQW[AvailableToAllSchools],1,0,)=TRUE,0,IF(ISERROR(FIND(CONT_TEA[[#This Row],[SchoolCode]],_xlfn.TEXTJOIN(",",TRUE,_xlfn.UNIQUE(IF(EQW[EquatedWeekPatternCode]=CONT_TEA[[#This Row],[EquatedWeekPatternCode]],EQW[SchoolCodes],""))))),1,0))</f>
        <v>0</v>
      </c>
      <c r="P311" s="57">
        <f>1-COUNTIF(ContractTypes[Code],CONT_TEA[[#This Row],[ContractTypeCode]])</f>
        <v>0</v>
      </c>
      <c r="Q311" s="57">
        <f>IF(VLOOKUP(CONT_TEA[[#This Row],[StaffMemberCode]],MEMBERS[[StaffMemberCode]:[ServiceStartDate]],5,0)&gt;CONT_TEA[[#This Row],[DateFrom]],1,0)</f>
        <v>0</v>
      </c>
      <c r="R311" s="57">
        <f>IF(_xlfn.XLOOKUP(CONT_TEA[[#This Row],[StaffMemberCode]],MEMBERS[StaffMemberCode],MEMBERS[ServiceEndDate])="",0,IF(CONT_TEA[[#This Row],[DateTo]]="",1,IF(_xlfn.XLOOKUP(CONT_TEA[[#This Row],[StaffMemberCode]],MEMBERS[StaffMemberCode],MEMBERS[ServiceEndDate])&lt;CONT_TEA[[#This Row],[DateTo]],1,0)))</f>
        <v>0</v>
      </c>
      <c r="S311" s="57">
        <f>IF(ISBLANK(CONT_TEA[[#This Row],[DateTo]]),0,IF(CONT_TEA[[#This Row],[DateFrom]]=CONT_TEA[[#This Row],[DateTo]],0,IF(CONT_TEA[[#This Row],[DateFrom]]&lt;CONT_TEA[[#This Row],[DateTo]],0,1)))</f>
        <v>0</v>
      </c>
      <c r="T311" s="57" cm="1">
        <f t="array" aca="1" ref="T311" ca="1">IF(CELL("format",CONT_TEA[[#This Row],[DateFrom]])="D1",0,1)+IF(CELL("format",CONT_TEA[[#This Row],[DateTo]])="D1",0,1)</f>
        <v>0</v>
      </c>
      <c r="U311" s="57">
        <f>IF(OR(CONT_TEA[[#This Row],[MatEditOnly]]=TRUE,CONT_TEA[[#This Row],[MatEditOnly]]=FALSE),IF(OR(CONT_TEA[[#This Row],[NoIncrement]]=TRUE,CONT_TEA[[#This Row],[NoIncrement]]=FALSE),0,1),1)</f>
        <v>0</v>
      </c>
      <c r="V311" s="57">
        <f>IF(ISBLANK(CONT_TEA[[#This Row],[FundCode]])=TRUE,0,IF(COUNTIF(FUNDS[FundCode],CONT_TEA[[#This Row],[FundCode]])=1,0,1))</f>
        <v>0</v>
      </c>
      <c r="W311" s="57">
        <f>IF(LEN(CONT_TEA[[#This Row],[Notes]])&lt;4000,0,1)</f>
        <v>0</v>
      </c>
      <c r="X311" s="57">
        <f>IF(SUBSTITUTE(TEXT(CONT_TEA[[#This Row],[Reference]],10)," ","")=TEXT(CONT_TEA[[#This Row],[Reference]],10),0,1)</f>
        <v>0</v>
      </c>
      <c r="Y311" s="57">
        <f ca="1">SUM(CONT_TEA[[#This Row],[Duplicate Contract]:[Space in Code]])</f>
        <v>1</v>
      </c>
      <c r="AA311" s="12" t="s">
        <v>2126</v>
      </c>
      <c r="AB311" s="15">
        <v>10012804</v>
      </c>
      <c r="AC311" s="12">
        <v>106823</v>
      </c>
      <c r="AD311" s="57" t="str">
        <f>_xlfn.XLOOKUP(CONT_TEA[[#This Row],[StaffMemberCode]],StaffMembers!O:O,StaffMembers!R:R)</f>
        <v>Charlotte Frost</v>
      </c>
      <c r="AE311" s="12" t="s">
        <v>1178</v>
      </c>
      <c r="AF311" s="57">
        <f>_xlfn.XLOOKUP(CONT_TEA[[#This Row],[SRG]],SRG[StaffRoleGroupCode],SRG[GrossSalaryFinanceCode])</f>
        <v>612100</v>
      </c>
      <c r="AG311" s="57" t="str">
        <f>_xlfn.XLOOKUP(CONT_TEA[[#This Row],[StaffRoleCode]],ROLES[StaffRoleCode],ROLES[StaffRoleGroupCode])</f>
        <v>TEA</v>
      </c>
      <c r="AH311" s="57" t="str">
        <f>_xlfn.XLOOKUP(CONT_TEA[[#This Row],[StaffRoleCode]],ROLES[StaffRoleCode],ROLES[PayScaleCode])</f>
        <v>MAIN</v>
      </c>
      <c r="AI311" s="12" t="s">
        <v>1126</v>
      </c>
      <c r="AJ311" s="12" t="s">
        <v>1066</v>
      </c>
      <c r="AK311" s="12" t="s">
        <v>2499</v>
      </c>
      <c r="AM311" s="68" t="s">
        <v>1147</v>
      </c>
      <c r="AN311" s="13" t="s">
        <v>1702</v>
      </c>
      <c r="AO311" s="21">
        <v>46023</v>
      </c>
      <c r="AQ311" s="12">
        <v>1</v>
      </c>
      <c r="AR311" t="b">
        <v>0</v>
      </c>
      <c r="AS311" t="b">
        <v>0</v>
      </c>
      <c r="AT311" s="12" t="s">
        <v>1574</v>
      </c>
    </row>
    <row r="312" spans="1:46" x14ac:dyDescent="0.3">
      <c r="A312" s="57" t="str">
        <f t="shared" si="7"/>
        <v>MLB10014572106135TEASTCH46023</v>
      </c>
      <c r="B312" s="57">
        <f>COUNTIF(CONT_TEA[Unique Contract],CONT_TEA[[#This Row],[Unique Contract]])-1</f>
        <v>0</v>
      </c>
      <c r="C312" s="57">
        <f>IFERROR(IF(FIND(CONT_TEA[[#This Row],[SchoolCode]],_xlfn.XLOOKUP(CONT_TEA[[#This Row],[StaffMemberCode]],MEMBERS[StaffMemberCode],MEMBERS[SchoolCodes]))&gt;0,0,1),1)</f>
        <v>0</v>
      </c>
      <c r="D312" s="57" cm="1">
        <f t="array" ref="D312">IF(_xlfn.XLOOKUP(CONT_TEA[[#This Row],[StaffRoleCode]],ROLES[StaffRoleCode],ROLES[AvailableToAllSchools],1,0,)=TRUE,0,IF(ISERROR(FIND(CONT_TEA[[#This Row],[SchoolCode]],_xlfn.TEXTJOIN(",",TRUE,_xlfn.UNIQUE(IF(ROLES[StaffRoleCode]=CONT_TEA[[#This Row],[StaffRoleCode]],ROLES[SchoolCodes],""))))),1,0))</f>
        <v>0</v>
      </c>
      <c r="E312" s="57" cm="1">
        <f t="array" ref="E31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12" s="57" cm="1">
        <f t="array" ref="F312">IF(_xlfn.XLOOKUP(CONT_TEA[[#This Row],[PayScaleCode]],PAYSCALES[PayScaleCode],PAYSCALES[AvailableToAllSchools],1,0,)=TRUE,0,IF(ISERROR(FIND(CONT_TEA[[#This Row],[SchoolCode]],_xlfn.TEXTJOIN(",",TRUE,_xlfn.UNIQUE(IF(PAYSCALES[PayScaleCode]=CONT_TEA[[#This Row],[PayScaleCode]],PAYSCALES[SchoolCodes],""))))),1,0))</f>
        <v>0</v>
      </c>
      <c r="G312" s="57">
        <f>IF(_xlfn.XLOOKUP(CONT_TEA[[#This Row],[PayScaleGradeCode]],GRADES[PayScaleGradeCode],GRADES[AvailableToAllSchools])=TRUE,0,IFERROR(IF(FIND(CONT_TEA[[#This Row],[SchoolCode]],_xlfn.XLOOKUP(CONT_TEA[[#This Row],[PayScaleGradeCode]],GRADES[PayScaleGradeCode],GRADES[SchoolCodes]))&gt;=1,0,1),1))</f>
        <v>0</v>
      </c>
      <c r="H312" s="57">
        <f>IF(ISERROR(IF((_xlfn.XLOOKUP(CONT_TEA[[#This Row],[PayScaleGradeCode]],GRADES[PayScaleGradeCode],GRADES[PayScaleCode])=CONT_TEA[[#This Row],[PayScaleCode]]),0,1)),1,0)</f>
        <v>0</v>
      </c>
      <c r="I312" s="57" cm="1">
        <f t="array" ref="I312">IF(ISERROR(FIND(CONT_TEA[[#This Row],[PayScalePointCode]],_xlfn.TEXTJOIN(",",TRUE,IF(PSPOINTS[PayScaleCode]=CONT_TEA[[#This Row],[PayScaleCode]],PSPOINTS[PayScalePointCode])))),1,0)</f>
        <v>0</v>
      </c>
      <c r="J312" s="57" cm="1">
        <f t="array" ref="J31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12" s="57">
        <f>IF(_xlfn.XLOOKUP(CONT_TEA[[#This Row],[PayScalePointCode]],PSPOINTS[PayScalePointCode],PSPOINTS[PayScalePointEnabled])=TRUE,0,1)</f>
        <v>0</v>
      </c>
      <c r="L312" s="57" cm="1">
        <f t="array" ref="L312">IF(_xlfn.XLOOKUP(CONT_TEA[[#This Row],[DepartmentCode]],DEPTS[DepartmentCode],DEPTS[AvailableToAllSchools],1,0,)=TRUE,0,IF(ISERROR(FIND(CONT_TEA[[#This Row],[SchoolCode]],_xlfn.TEXTJOIN(",",TRUE,_xlfn.UNIQUE(IF(DEPTS[DepartmentCode]=CONT_TEA[[#This Row],[DepartmentCode]],DEPTS[SchoolCodes],""))))),1,0))</f>
        <v>0</v>
      </c>
      <c r="M312" s="57">
        <f>IFERROR(IF(_xlfn.XLOOKUP(CONT_TEA[[#This Row],[SRG Gross]],FinanceCodesBudget[FinanceCode],FinanceCodesBudget[LedgerCode])=_xlfn.XLOOKUP(CONT_TEA[[#This Row],[DepartmentCode]],DEPTS[DepartmentCode],DEPTS[LedgerCode]),0,1),1)</f>
        <v>1</v>
      </c>
      <c r="N312" s="57" cm="1">
        <f t="array" ref="N312">IF(_xlfn.XLOOKUP(CONT_TEA[[#This Row],[PensionCode]],PENS[PensionCode],PENS[AvailableToAllSchools],1,0,)=TRUE,0,IF(ISERROR(FIND(CONT_TEA[[#This Row],[SchoolCode]],_xlfn.TEXTJOIN(",",TRUE,_xlfn.UNIQUE(IF(PENS[PensionCode]=CONT_TEA[[#This Row],[PensionCode]],PENS[SchoolCodes],""))))),1,0))</f>
        <v>0</v>
      </c>
      <c r="O312" s="57" cm="1">
        <f t="array" ref="O312">IF(_xlfn.XLOOKUP(CONT_TEA[[#This Row],[EquatedWeekPatternCode]],EQW[EquatedWeekPatternCode],EQW[AvailableToAllSchools],1,0,)=TRUE,0,IF(ISERROR(FIND(CONT_TEA[[#This Row],[SchoolCode]],_xlfn.TEXTJOIN(",",TRUE,_xlfn.UNIQUE(IF(EQW[EquatedWeekPatternCode]=CONT_TEA[[#This Row],[EquatedWeekPatternCode]],EQW[SchoolCodes],""))))),1,0))</f>
        <v>0</v>
      </c>
      <c r="P312" s="57">
        <f>1-COUNTIF(ContractTypes[Code],CONT_TEA[[#This Row],[ContractTypeCode]])</f>
        <v>0</v>
      </c>
      <c r="Q312" s="57">
        <f>IF(VLOOKUP(CONT_TEA[[#This Row],[StaffMemberCode]],MEMBERS[[StaffMemberCode]:[ServiceStartDate]],5,0)&gt;CONT_TEA[[#This Row],[DateFrom]],1,0)</f>
        <v>0</v>
      </c>
      <c r="R312" s="57">
        <f>IF(_xlfn.XLOOKUP(CONT_TEA[[#This Row],[StaffMemberCode]],MEMBERS[StaffMemberCode],MEMBERS[ServiceEndDate])="",0,IF(CONT_TEA[[#This Row],[DateTo]]="",1,IF(_xlfn.XLOOKUP(CONT_TEA[[#This Row],[StaffMemberCode]],MEMBERS[StaffMemberCode],MEMBERS[ServiceEndDate])&lt;CONT_TEA[[#This Row],[DateTo]],1,0)))</f>
        <v>0</v>
      </c>
      <c r="S312" s="57">
        <f>IF(ISBLANK(CONT_TEA[[#This Row],[DateTo]]),0,IF(CONT_TEA[[#This Row],[DateFrom]]=CONT_TEA[[#This Row],[DateTo]],0,IF(CONT_TEA[[#This Row],[DateFrom]]&lt;CONT_TEA[[#This Row],[DateTo]],0,1)))</f>
        <v>0</v>
      </c>
      <c r="T312" s="57" cm="1">
        <f t="array" aca="1" ref="T312" ca="1">IF(CELL("format",CONT_TEA[[#This Row],[DateFrom]])="D1",0,1)+IF(CELL("format",CONT_TEA[[#This Row],[DateTo]])="D1",0,1)</f>
        <v>0</v>
      </c>
      <c r="U312" s="57">
        <f>IF(OR(CONT_TEA[[#This Row],[MatEditOnly]]=TRUE,CONT_TEA[[#This Row],[MatEditOnly]]=FALSE),IF(OR(CONT_TEA[[#This Row],[NoIncrement]]=TRUE,CONT_TEA[[#This Row],[NoIncrement]]=FALSE),0,1),1)</f>
        <v>0</v>
      </c>
      <c r="V312" s="57">
        <f>IF(ISBLANK(CONT_TEA[[#This Row],[FundCode]])=TRUE,0,IF(COUNTIF(FUNDS[FundCode],CONT_TEA[[#This Row],[FundCode]])=1,0,1))</f>
        <v>0</v>
      </c>
      <c r="W312" s="57">
        <f>IF(LEN(CONT_TEA[[#This Row],[Notes]])&lt;4000,0,1)</f>
        <v>0</v>
      </c>
      <c r="X312" s="57">
        <f>IF(SUBSTITUTE(TEXT(CONT_TEA[[#This Row],[Reference]],10)," ","")=TEXT(CONT_TEA[[#This Row],[Reference]],10),0,1)</f>
        <v>0</v>
      </c>
      <c r="Y312" s="57">
        <f ca="1">SUM(CONT_TEA[[#This Row],[Duplicate Contract]:[Space in Code]])</f>
        <v>1</v>
      </c>
      <c r="AA312" s="12" t="s">
        <v>2126</v>
      </c>
      <c r="AB312" s="15">
        <v>10014572</v>
      </c>
      <c r="AC312" s="12">
        <v>106135</v>
      </c>
      <c r="AD312" s="57" t="str">
        <f>_xlfn.XLOOKUP(CONT_TEA[[#This Row],[StaffMemberCode]],StaffMembers!O:O,StaffMembers!R:R)</f>
        <v>Jessica Oakes</v>
      </c>
      <c r="AE312" s="12" t="s">
        <v>1178</v>
      </c>
      <c r="AF312" s="57">
        <f>_xlfn.XLOOKUP(CONT_TEA[[#This Row],[SRG]],SRG[StaffRoleGroupCode],SRG[GrossSalaryFinanceCode])</f>
        <v>612100</v>
      </c>
      <c r="AG312" s="57" t="str">
        <f>_xlfn.XLOOKUP(CONT_TEA[[#This Row],[StaffRoleCode]],ROLES[StaffRoleCode],ROLES[StaffRoleGroupCode])</f>
        <v>TEA</v>
      </c>
      <c r="AH312" s="57" t="str">
        <f>_xlfn.XLOOKUP(CONT_TEA[[#This Row],[StaffRoleCode]],ROLES[StaffRoleCode],ROLES[PayScaleCode])</f>
        <v>MAIN</v>
      </c>
      <c r="AI312" s="12" t="s">
        <v>1126</v>
      </c>
      <c r="AJ312" s="12" t="s">
        <v>1066</v>
      </c>
      <c r="AK312" s="12" t="s">
        <v>2499</v>
      </c>
      <c r="AM312" s="68" t="s">
        <v>1147</v>
      </c>
      <c r="AN312" s="13" t="s">
        <v>1702</v>
      </c>
      <c r="AO312" s="21">
        <v>46023</v>
      </c>
      <c r="AQ312" s="12">
        <v>1</v>
      </c>
      <c r="AR312" t="b">
        <v>0</v>
      </c>
      <c r="AS312" t="b">
        <v>0</v>
      </c>
      <c r="AT312" s="12" t="s">
        <v>1574</v>
      </c>
    </row>
    <row r="313" spans="1:46" x14ac:dyDescent="0.3">
      <c r="A313" s="57" t="str">
        <f t="shared" si="7"/>
        <v>MLB10012821108366TEASTCH46023</v>
      </c>
      <c r="B313" s="57">
        <f>COUNTIF(CONT_TEA[Unique Contract],CONT_TEA[[#This Row],[Unique Contract]])-1</f>
        <v>0</v>
      </c>
      <c r="C313" s="57">
        <f>IFERROR(IF(FIND(CONT_TEA[[#This Row],[SchoolCode]],_xlfn.XLOOKUP(CONT_TEA[[#This Row],[StaffMemberCode]],MEMBERS[StaffMemberCode],MEMBERS[SchoolCodes]))&gt;0,0,1),1)</f>
        <v>0</v>
      </c>
      <c r="D313" s="57" cm="1">
        <f t="array" ref="D313">IF(_xlfn.XLOOKUP(CONT_TEA[[#This Row],[StaffRoleCode]],ROLES[StaffRoleCode],ROLES[AvailableToAllSchools],1,0,)=TRUE,0,IF(ISERROR(FIND(CONT_TEA[[#This Row],[SchoolCode]],_xlfn.TEXTJOIN(",",TRUE,_xlfn.UNIQUE(IF(ROLES[StaffRoleCode]=CONT_TEA[[#This Row],[StaffRoleCode]],ROLES[SchoolCodes],""))))),1,0))</f>
        <v>0</v>
      </c>
      <c r="E313" s="57" cm="1">
        <f t="array" ref="E31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13" s="57" cm="1">
        <f t="array" ref="F313">IF(_xlfn.XLOOKUP(CONT_TEA[[#This Row],[PayScaleCode]],PAYSCALES[PayScaleCode],PAYSCALES[AvailableToAllSchools],1,0,)=TRUE,0,IF(ISERROR(FIND(CONT_TEA[[#This Row],[SchoolCode]],_xlfn.TEXTJOIN(",",TRUE,_xlfn.UNIQUE(IF(PAYSCALES[PayScaleCode]=CONT_TEA[[#This Row],[PayScaleCode]],PAYSCALES[SchoolCodes],""))))),1,0))</f>
        <v>0</v>
      </c>
      <c r="G313" s="57">
        <f>IF(_xlfn.XLOOKUP(CONT_TEA[[#This Row],[PayScaleGradeCode]],GRADES[PayScaleGradeCode],GRADES[AvailableToAllSchools])=TRUE,0,IFERROR(IF(FIND(CONT_TEA[[#This Row],[SchoolCode]],_xlfn.XLOOKUP(CONT_TEA[[#This Row],[PayScaleGradeCode]],GRADES[PayScaleGradeCode],GRADES[SchoolCodes]))&gt;=1,0,1),1))</f>
        <v>0</v>
      </c>
      <c r="H313" s="57">
        <f>IF(ISERROR(IF((_xlfn.XLOOKUP(CONT_TEA[[#This Row],[PayScaleGradeCode]],GRADES[PayScaleGradeCode],GRADES[PayScaleCode])=CONT_TEA[[#This Row],[PayScaleCode]]),0,1)),1,0)</f>
        <v>0</v>
      </c>
      <c r="I313" s="57" cm="1">
        <f t="array" ref="I313">IF(ISERROR(FIND(CONT_TEA[[#This Row],[PayScalePointCode]],_xlfn.TEXTJOIN(",",TRUE,IF(PSPOINTS[PayScaleCode]=CONT_TEA[[#This Row],[PayScaleCode]],PSPOINTS[PayScalePointCode])))),1,0)</f>
        <v>0</v>
      </c>
      <c r="J313" s="57" cm="1">
        <f t="array" ref="J31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13" s="57">
        <f>IF(_xlfn.XLOOKUP(CONT_TEA[[#This Row],[PayScalePointCode]],PSPOINTS[PayScalePointCode],PSPOINTS[PayScalePointEnabled])=TRUE,0,1)</f>
        <v>0</v>
      </c>
      <c r="L313" s="57" cm="1">
        <f t="array" ref="L313">IF(_xlfn.XLOOKUP(CONT_TEA[[#This Row],[DepartmentCode]],DEPTS[DepartmentCode],DEPTS[AvailableToAllSchools],1,0,)=TRUE,0,IF(ISERROR(FIND(CONT_TEA[[#This Row],[SchoolCode]],_xlfn.TEXTJOIN(",",TRUE,_xlfn.UNIQUE(IF(DEPTS[DepartmentCode]=CONT_TEA[[#This Row],[DepartmentCode]],DEPTS[SchoolCodes],""))))),1,0))</f>
        <v>0</v>
      </c>
      <c r="M313" s="57">
        <f>IFERROR(IF(_xlfn.XLOOKUP(CONT_TEA[[#This Row],[SRG Gross]],FinanceCodesBudget[FinanceCode],FinanceCodesBudget[LedgerCode])=_xlfn.XLOOKUP(CONT_TEA[[#This Row],[DepartmentCode]],DEPTS[DepartmentCode],DEPTS[LedgerCode]),0,1),1)</f>
        <v>1</v>
      </c>
      <c r="N313" s="57" cm="1">
        <f t="array" ref="N313">IF(_xlfn.XLOOKUP(CONT_TEA[[#This Row],[PensionCode]],PENS[PensionCode],PENS[AvailableToAllSchools],1,0,)=TRUE,0,IF(ISERROR(FIND(CONT_TEA[[#This Row],[SchoolCode]],_xlfn.TEXTJOIN(",",TRUE,_xlfn.UNIQUE(IF(PENS[PensionCode]=CONT_TEA[[#This Row],[PensionCode]],PENS[SchoolCodes],""))))),1,0))</f>
        <v>0</v>
      </c>
      <c r="O313" s="57" cm="1">
        <f t="array" ref="O313">IF(_xlfn.XLOOKUP(CONT_TEA[[#This Row],[EquatedWeekPatternCode]],EQW[EquatedWeekPatternCode],EQW[AvailableToAllSchools],1,0,)=TRUE,0,IF(ISERROR(FIND(CONT_TEA[[#This Row],[SchoolCode]],_xlfn.TEXTJOIN(",",TRUE,_xlfn.UNIQUE(IF(EQW[EquatedWeekPatternCode]=CONT_TEA[[#This Row],[EquatedWeekPatternCode]],EQW[SchoolCodes],""))))),1,0))</f>
        <v>0</v>
      </c>
      <c r="P313" s="57">
        <f>1-COUNTIF(ContractTypes[Code],CONT_TEA[[#This Row],[ContractTypeCode]])</f>
        <v>0</v>
      </c>
      <c r="Q313" s="57">
        <f>IF(VLOOKUP(CONT_TEA[[#This Row],[StaffMemberCode]],MEMBERS[[StaffMemberCode]:[ServiceStartDate]],5,0)&gt;CONT_TEA[[#This Row],[DateFrom]],1,0)</f>
        <v>0</v>
      </c>
      <c r="R313" s="57">
        <f>IF(_xlfn.XLOOKUP(CONT_TEA[[#This Row],[StaffMemberCode]],MEMBERS[StaffMemberCode],MEMBERS[ServiceEndDate])="",0,IF(CONT_TEA[[#This Row],[DateTo]]="",1,IF(_xlfn.XLOOKUP(CONT_TEA[[#This Row],[StaffMemberCode]],MEMBERS[StaffMemberCode],MEMBERS[ServiceEndDate])&lt;CONT_TEA[[#This Row],[DateTo]],1,0)))</f>
        <v>0</v>
      </c>
      <c r="S313" s="57">
        <f>IF(ISBLANK(CONT_TEA[[#This Row],[DateTo]]),0,IF(CONT_TEA[[#This Row],[DateFrom]]=CONT_TEA[[#This Row],[DateTo]],0,IF(CONT_TEA[[#This Row],[DateFrom]]&lt;CONT_TEA[[#This Row],[DateTo]],0,1)))</f>
        <v>0</v>
      </c>
      <c r="T313" s="57" cm="1">
        <f t="array" aca="1" ref="T313" ca="1">IF(CELL("format",CONT_TEA[[#This Row],[DateFrom]])="D1",0,1)+IF(CELL("format",CONT_TEA[[#This Row],[DateTo]])="D1",0,1)</f>
        <v>0</v>
      </c>
      <c r="U313" s="57">
        <f>IF(OR(CONT_TEA[[#This Row],[MatEditOnly]]=TRUE,CONT_TEA[[#This Row],[MatEditOnly]]=FALSE),IF(OR(CONT_TEA[[#This Row],[NoIncrement]]=TRUE,CONT_TEA[[#This Row],[NoIncrement]]=FALSE),0,1),1)</f>
        <v>0</v>
      </c>
      <c r="V313" s="57">
        <f>IF(ISBLANK(CONT_TEA[[#This Row],[FundCode]])=TRUE,0,IF(COUNTIF(FUNDS[FundCode],CONT_TEA[[#This Row],[FundCode]])=1,0,1))</f>
        <v>0</v>
      </c>
      <c r="W313" s="57">
        <f>IF(LEN(CONT_TEA[[#This Row],[Notes]])&lt;4000,0,1)</f>
        <v>0</v>
      </c>
      <c r="X313" s="57">
        <f>IF(SUBSTITUTE(TEXT(CONT_TEA[[#This Row],[Reference]],10)," ","")=TEXT(CONT_TEA[[#This Row],[Reference]],10),0,1)</f>
        <v>0</v>
      </c>
      <c r="Y313" s="57">
        <f ca="1">SUM(CONT_TEA[[#This Row],[Duplicate Contract]:[Space in Code]])</f>
        <v>1</v>
      </c>
      <c r="AA313" s="12" t="s">
        <v>2126</v>
      </c>
      <c r="AB313" s="15">
        <v>10012821</v>
      </c>
      <c r="AC313" s="12">
        <v>108366</v>
      </c>
      <c r="AD313" s="57" t="str">
        <f>_xlfn.XLOOKUP(CONT_TEA[[#This Row],[StaffMemberCode]],StaffMembers!O:O,StaffMembers!R:R)</f>
        <v>Sze Sung</v>
      </c>
      <c r="AE313" s="12" t="s">
        <v>1178</v>
      </c>
      <c r="AF313" s="57">
        <f>_xlfn.XLOOKUP(CONT_TEA[[#This Row],[SRG]],SRG[StaffRoleGroupCode],SRG[GrossSalaryFinanceCode])</f>
        <v>612100</v>
      </c>
      <c r="AG313" s="57" t="str">
        <f>_xlfn.XLOOKUP(CONT_TEA[[#This Row],[StaffRoleCode]],ROLES[StaffRoleCode],ROLES[StaffRoleGroupCode])</f>
        <v>TEA</v>
      </c>
      <c r="AH313" s="57" t="str">
        <f>_xlfn.XLOOKUP(CONT_TEA[[#This Row],[StaffRoleCode]],ROLES[StaffRoleCode],ROLES[PayScaleCode])</f>
        <v>MAIN</v>
      </c>
      <c r="AI313" s="12" t="s">
        <v>1126</v>
      </c>
      <c r="AJ313" s="12" t="s">
        <v>1066</v>
      </c>
      <c r="AK313" s="12" t="s">
        <v>2499</v>
      </c>
      <c r="AM313" s="68" t="s">
        <v>1147</v>
      </c>
      <c r="AN313" s="13" t="s">
        <v>1702</v>
      </c>
      <c r="AO313" s="21">
        <v>46023</v>
      </c>
      <c r="AQ313" s="12">
        <v>1</v>
      </c>
      <c r="AR313" t="b">
        <v>0</v>
      </c>
      <c r="AS313" t="b">
        <v>0</v>
      </c>
      <c r="AT313" s="12" t="s">
        <v>1573</v>
      </c>
    </row>
    <row r="314" spans="1:46" x14ac:dyDescent="0.3">
      <c r="A314" s="57" t="str">
        <f t="shared" si="7"/>
        <v>MLB10012803107487TEASTCH46023</v>
      </c>
      <c r="B314" s="57">
        <f>COUNTIF(CONT_TEA[Unique Contract],CONT_TEA[[#This Row],[Unique Contract]])-1</f>
        <v>0</v>
      </c>
      <c r="C314" s="57">
        <f>IFERROR(IF(FIND(CONT_TEA[[#This Row],[SchoolCode]],_xlfn.XLOOKUP(CONT_TEA[[#This Row],[StaffMemberCode]],MEMBERS[StaffMemberCode],MEMBERS[SchoolCodes]))&gt;0,0,1),1)</f>
        <v>0</v>
      </c>
      <c r="D314" s="57" cm="1">
        <f t="array" ref="D314">IF(_xlfn.XLOOKUP(CONT_TEA[[#This Row],[StaffRoleCode]],ROLES[StaffRoleCode],ROLES[AvailableToAllSchools],1,0,)=TRUE,0,IF(ISERROR(FIND(CONT_TEA[[#This Row],[SchoolCode]],_xlfn.TEXTJOIN(",",TRUE,_xlfn.UNIQUE(IF(ROLES[StaffRoleCode]=CONT_TEA[[#This Row],[StaffRoleCode]],ROLES[SchoolCodes],""))))),1,0))</f>
        <v>0</v>
      </c>
      <c r="E314" s="57" cm="1">
        <f t="array" ref="E31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14" s="57" cm="1">
        <f t="array" ref="F314">IF(_xlfn.XLOOKUP(CONT_TEA[[#This Row],[PayScaleCode]],PAYSCALES[PayScaleCode],PAYSCALES[AvailableToAllSchools],1,0,)=TRUE,0,IF(ISERROR(FIND(CONT_TEA[[#This Row],[SchoolCode]],_xlfn.TEXTJOIN(",",TRUE,_xlfn.UNIQUE(IF(PAYSCALES[PayScaleCode]=CONT_TEA[[#This Row],[PayScaleCode]],PAYSCALES[SchoolCodes],""))))),1,0))</f>
        <v>0</v>
      </c>
      <c r="G314" s="57">
        <f>IF(_xlfn.XLOOKUP(CONT_TEA[[#This Row],[PayScaleGradeCode]],GRADES[PayScaleGradeCode],GRADES[AvailableToAllSchools])=TRUE,0,IFERROR(IF(FIND(CONT_TEA[[#This Row],[SchoolCode]],_xlfn.XLOOKUP(CONT_TEA[[#This Row],[PayScaleGradeCode]],GRADES[PayScaleGradeCode],GRADES[SchoolCodes]))&gt;=1,0,1),1))</f>
        <v>0</v>
      </c>
      <c r="H314" s="57">
        <f>IF(ISERROR(IF((_xlfn.XLOOKUP(CONT_TEA[[#This Row],[PayScaleGradeCode]],GRADES[PayScaleGradeCode],GRADES[PayScaleCode])=CONT_TEA[[#This Row],[PayScaleCode]]),0,1)),1,0)</f>
        <v>0</v>
      </c>
      <c r="I314" s="57" cm="1">
        <f t="array" ref="I314">IF(ISERROR(FIND(CONT_TEA[[#This Row],[PayScalePointCode]],_xlfn.TEXTJOIN(",",TRUE,IF(PSPOINTS[PayScaleCode]=CONT_TEA[[#This Row],[PayScaleCode]],PSPOINTS[PayScalePointCode])))),1,0)</f>
        <v>0</v>
      </c>
      <c r="J314" s="57" cm="1">
        <f t="array" ref="J31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14" s="57">
        <f>IF(_xlfn.XLOOKUP(CONT_TEA[[#This Row],[PayScalePointCode]],PSPOINTS[PayScalePointCode],PSPOINTS[PayScalePointEnabled])=TRUE,0,1)</f>
        <v>0</v>
      </c>
      <c r="L314" s="57" cm="1">
        <f t="array" ref="L314">IF(_xlfn.XLOOKUP(CONT_TEA[[#This Row],[DepartmentCode]],DEPTS[DepartmentCode],DEPTS[AvailableToAllSchools],1,0,)=TRUE,0,IF(ISERROR(FIND(CONT_TEA[[#This Row],[SchoolCode]],_xlfn.TEXTJOIN(",",TRUE,_xlfn.UNIQUE(IF(DEPTS[DepartmentCode]=CONT_TEA[[#This Row],[DepartmentCode]],DEPTS[SchoolCodes],""))))),1,0))</f>
        <v>0</v>
      </c>
      <c r="M314" s="57">
        <f>IFERROR(IF(_xlfn.XLOOKUP(CONT_TEA[[#This Row],[SRG Gross]],FinanceCodesBudget[FinanceCode],FinanceCodesBudget[LedgerCode])=_xlfn.XLOOKUP(CONT_TEA[[#This Row],[DepartmentCode]],DEPTS[DepartmentCode],DEPTS[LedgerCode]),0,1),1)</f>
        <v>1</v>
      </c>
      <c r="N314" s="57" cm="1">
        <f t="array" ref="N314">IF(_xlfn.XLOOKUP(CONT_TEA[[#This Row],[PensionCode]],PENS[PensionCode],PENS[AvailableToAllSchools],1,0,)=TRUE,0,IF(ISERROR(FIND(CONT_TEA[[#This Row],[SchoolCode]],_xlfn.TEXTJOIN(",",TRUE,_xlfn.UNIQUE(IF(PENS[PensionCode]=CONT_TEA[[#This Row],[PensionCode]],PENS[SchoolCodes],""))))),1,0))</f>
        <v>0</v>
      </c>
      <c r="O314" s="57" cm="1">
        <f t="array" ref="O314">IF(_xlfn.XLOOKUP(CONT_TEA[[#This Row],[EquatedWeekPatternCode]],EQW[EquatedWeekPatternCode],EQW[AvailableToAllSchools],1,0,)=TRUE,0,IF(ISERROR(FIND(CONT_TEA[[#This Row],[SchoolCode]],_xlfn.TEXTJOIN(",",TRUE,_xlfn.UNIQUE(IF(EQW[EquatedWeekPatternCode]=CONT_TEA[[#This Row],[EquatedWeekPatternCode]],EQW[SchoolCodes],""))))),1,0))</f>
        <v>0</v>
      </c>
      <c r="P314" s="57">
        <f>1-COUNTIF(ContractTypes[Code],CONT_TEA[[#This Row],[ContractTypeCode]])</f>
        <v>0</v>
      </c>
      <c r="Q314" s="57">
        <f>IF(VLOOKUP(CONT_TEA[[#This Row],[StaffMemberCode]],MEMBERS[[StaffMemberCode]:[ServiceStartDate]],5,0)&gt;CONT_TEA[[#This Row],[DateFrom]],1,0)</f>
        <v>0</v>
      </c>
      <c r="R314" s="57">
        <f>IF(_xlfn.XLOOKUP(CONT_TEA[[#This Row],[StaffMemberCode]],MEMBERS[StaffMemberCode],MEMBERS[ServiceEndDate])="",0,IF(CONT_TEA[[#This Row],[DateTo]]="",1,IF(_xlfn.XLOOKUP(CONT_TEA[[#This Row],[StaffMemberCode]],MEMBERS[StaffMemberCode],MEMBERS[ServiceEndDate])&lt;CONT_TEA[[#This Row],[DateTo]],1,0)))</f>
        <v>0</v>
      </c>
      <c r="S314" s="57">
        <f>IF(ISBLANK(CONT_TEA[[#This Row],[DateTo]]),0,IF(CONT_TEA[[#This Row],[DateFrom]]=CONT_TEA[[#This Row],[DateTo]],0,IF(CONT_TEA[[#This Row],[DateFrom]]&lt;CONT_TEA[[#This Row],[DateTo]],0,1)))</f>
        <v>0</v>
      </c>
      <c r="T314" s="57" cm="1">
        <f t="array" aca="1" ref="T314" ca="1">IF(CELL("format",CONT_TEA[[#This Row],[DateFrom]])="D1",0,1)+IF(CELL("format",CONT_TEA[[#This Row],[DateTo]])="D1",0,1)</f>
        <v>0</v>
      </c>
      <c r="U314" s="57">
        <f>IF(OR(CONT_TEA[[#This Row],[MatEditOnly]]=TRUE,CONT_TEA[[#This Row],[MatEditOnly]]=FALSE),IF(OR(CONT_TEA[[#This Row],[NoIncrement]]=TRUE,CONT_TEA[[#This Row],[NoIncrement]]=FALSE),0,1),1)</f>
        <v>0</v>
      </c>
      <c r="V314" s="57">
        <f>IF(ISBLANK(CONT_TEA[[#This Row],[FundCode]])=TRUE,0,IF(COUNTIF(FUNDS[FundCode],CONT_TEA[[#This Row],[FundCode]])=1,0,1))</f>
        <v>0</v>
      </c>
      <c r="W314" s="57">
        <f>IF(LEN(CONT_TEA[[#This Row],[Notes]])&lt;4000,0,1)</f>
        <v>0</v>
      </c>
      <c r="X314" s="57">
        <f>IF(SUBSTITUTE(TEXT(CONT_TEA[[#This Row],[Reference]],10)," ","")=TEXT(CONT_TEA[[#This Row],[Reference]],10),0,1)</f>
        <v>0</v>
      </c>
      <c r="Y314" s="57">
        <f ca="1">SUM(CONT_TEA[[#This Row],[Duplicate Contract]:[Space in Code]])</f>
        <v>1</v>
      </c>
      <c r="AA314" s="12" t="s">
        <v>2126</v>
      </c>
      <c r="AB314" s="15">
        <v>10012803</v>
      </c>
      <c r="AC314" s="12">
        <v>107487</v>
      </c>
      <c r="AD314" s="57" t="str">
        <f>_xlfn.XLOOKUP(CONT_TEA[[#This Row],[StaffMemberCode]],StaffMembers!O:O,StaffMembers!R:R)</f>
        <v>William Rigden</v>
      </c>
      <c r="AE314" s="12" t="s">
        <v>1178</v>
      </c>
      <c r="AF314" s="57">
        <f>_xlfn.XLOOKUP(CONT_TEA[[#This Row],[SRG]],SRG[StaffRoleGroupCode],SRG[GrossSalaryFinanceCode])</f>
        <v>612100</v>
      </c>
      <c r="AG314" s="57" t="str">
        <f>_xlfn.XLOOKUP(CONT_TEA[[#This Row],[StaffRoleCode]],ROLES[StaffRoleCode],ROLES[StaffRoleGroupCode])</f>
        <v>TEA</v>
      </c>
      <c r="AH314" s="57" t="str">
        <f>_xlfn.XLOOKUP(CONT_TEA[[#This Row],[StaffRoleCode]],ROLES[StaffRoleCode],ROLES[PayScaleCode])</f>
        <v>MAIN</v>
      </c>
      <c r="AI314" s="12" t="s">
        <v>1126</v>
      </c>
      <c r="AJ314" s="12" t="s">
        <v>1066</v>
      </c>
      <c r="AK314" s="12" t="s">
        <v>2499</v>
      </c>
      <c r="AM314" s="68" t="s">
        <v>1147</v>
      </c>
      <c r="AN314" s="13" t="s">
        <v>1702</v>
      </c>
      <c r="AO314" s="21">
        <v>46023</v>
      </c>
      <c r="AQ314" s="12">
        <v>1</v>
      </c>
      <c r="AR314" t="b">
        <v>0</v>
      </c>
      <c r="AS314" t="b">
        <v>0</v>
      </c>
      <c r="AT314" s="12" t="s">
        <v>1574</v>
      </c>
    </row>
    <row r="315" spans="1:46" x14ac:dyDescent="0.3">
      <c r="A315" s="57" t="str">
        <f t="shared" si="7"/>
        <v>MLB10010504106067TEASTCH46023</v>
      </c>
      <c r="B315" s="57">
        <f>COUNTIF(CONT_TEA[Unique Contract],CONT_TEA[[#This Row],[Unique Contract]])-1</f>
        <v>0</v>
      </c>
      <c r="C315" s="57">
        <f>IFERROR(IF(FIND(CONT_TEA[[#This Row],[SchoolCode]],_xlfn.XLOOKUP(CONT_TEA[[#This Row],[StaffMemberCode]],MEMBERS[StaffMemberCode],MEMBERS[SchoolCodes]))&gt;0,0,1),1)</f>
        <v>0</v>
      </c>
      <c r="D315" s="57" cm="1">
        <f t="array" ref="D315">IF(_xlfn.XLOOKUP(CONT_TEA[[#This Row],[StaffRoleCode]],ROLES[StaffRoleCode],ROLES[AvailableToAllSchools],1,0,)=TRUE,0,IF(ISERROR(FIND(CONT_TEA[[#This Row],[SchoolCode]],_xlfn.TEXTJOIN(",",TRUE,_xlfn.UNIQUE(IF(ROLES[StaffRoleCode]=CONT_TEA[[#This Row],[StaffRoleCode]],ROLES[SchoolCodes],""))))),1,0))</f>
        <v>0</v>
      </c>
      <c r="E315" s="57" cm="1">
        <f t="array" ref="E31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15" s="57" cm="1">
        <f t="array" ref="F315">IF(_xlfn.XLOOKUP(CONT_TEA[[#This Row],[PayScaleCode]],PAYSCALES[PayScaleCode],PAYSCALES[AvailableToAllSchools],1,0,)=TRUE,0,IF(ISERROR(FIND(CONT_TEA[[#This Row],[SchoolCode]],_xlfn.TEXTJOIN(",",TRUE,_xlfn.UNIQUE(IF(PAYSCALES[PayScaleCode]=CONT_TEA[[#This Row],[PayScaleCode]],PAYSCALES[SchoolCodes],""))))),1,0))</f>
        <v>0</v>
      </c>
      <c r="G315" s="57">
        <f>IF(_xlfn.XLOOKUP(CONT_TEA[[#This Row],[PayScaleGradeCode]],GRADES[PayScaleGradeCode],GRADES[AvailableToAllSchools])=TRUE,0,IFERROR(IF(FIND(CONT_TEA[[#This Row],[SchoolCode]],_xlfn.XLOOKUP(CONT_TEA[[#This Row],[PayScaleGradeCode]],GRADES[PayScaleGradeCode],GRADES[SchoolCodes]))&gt;=1,0,1),1))</f>
        <v>0</v>
      </c>
      <c r="H315" s="57">
        <f>IF(ISERROR(IF((_xlfn.XLOOKUP(CONT_TEA[[#This Row],[PayScaleGradeCode]],GRADES[PayScaleGradeCode],GRADES[PayScaleCode])=CONT_TEA[[#This Row],[PayScaleCode]]),0,1)),1,0)</f>
        <v>0</v>
      </c>
      <c r="I315" s="57" cm="1">
        <f t="array" ref="I315">IF(ISERROR(FIND(CONT_TEA[[#This Row],[PayScalePointCode]],_xlfn.TEXTJOIN(",",TRUE,IF(PSPOINTS[PayScaleCode]=CONT_TEA[[#This Row],[PayScaleCode]],PSPOINTS[PayScalePointCode])))),1,0)</f>
        <v>0</v>
      </c>
      <c r="J315" s="57" cm="1">
        <f t="array" ref="J31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15" s="57">
        <f>IF(_xlfn.XLOOKUP(CONT_TEA[[#This Row],[PayScalePointCode]],PSPOINTS[PayScalePointCode],PSPOINTS[PayScalePointEnabled])=TRUE,0,1)</f>
        <v>0</v>
      </c>
      <c r="L315" s="57" cm="1">
        <f t="array" ref="L315">IF(_xlfn.XLOOKUP(CONT_TEA[[#This Row],[DepartmentCode]],DEPTS[DepartmentCode],DEPTS[AvailableToAllSchools],1,0,)=TRUE,0,IF(ISERROR(FIND(CONT_TEA[[#This Row],[SchoolCode]],_xlfn.TEXTJOIN(",",TRUE,_xlfn.UNIQUE(IF(DEPTS[DepartmentCode]=CONT_TEA[[#This Row],[DepartmentCode]],DEPTS[SchoolCodes],""))))),1,0))</f>
        <v>0</v>
      </c>
      <c r="M315" s="57">
        <f>IFERROR(IF(_xlfn.XLOOKUP(CONT_TEA[[#This Row],[SRG Gross]],FinanceCodesBudget[FinanceCode],FinanceCodesBudget[LedgerCode])=_xlfn.XLOOKUP(CONT_TEA[[#This Row],[DepartmentCode]],DEPTS[DepartmentCode],DEPTS[LedgerCode]),0,1),1)</f>
        <v>1</v>
      </c>
      <c r="N315" s="57" cm="1">
        <f t="array" ref="N315">IF(_xlfn.XLOOKUP(CONT_TEA[[#This Row],[PensionCode]],PENS[PensionCode],PENS[AvailableToAllSchools],1,0,)=TRUE,0,IF(ISERROR(FIND(CONT_TEA[[#This Row],[SchoolCode]],_xlfn.TEXTJOIN(",",TRUE,_xlfn.UNIQUE(IF(PENS[PensionCode]=CONT_TEA[[#This Row],[PensionCode]],PENS[SchoolCodes],""))))),1,0))</f>
        <v>0</v>
      </c>
      <c r="O315" s="57" cm="1">
        <f t="array" ref="O315">IF(_xlfn.XLOOKUP(CONT_TEA[[#This Row],[EquatedWeekPatternCode]],EQW[EquatedWeekPatternCode],EQW[AvailableToAllSchools],1,0,)=TRUE,0,IF(ISERROR(FIND(CONT_TEA[[#This Row],[SchoolCode]],_xlfn.TEXTJOIN(",",TRUE,_xlfn.UNIQUE(IF(EQW[EquatedWeekPatternCode]=CONT_TEA[[#This Row],[EquatedWeekPatternCode]],EQW[SchoolCodes],""))))),1,0))</f>
        <v>0</v>
      </c>
      <c r="P315" s="57">
        <f>1-COUNTIF(ContractTypes[Code],CONT_TEA[[#This Row],[ContractTypeCode]])</f>
        <v>0</v>
      </c>
      <c r="Q315" s="57">
        <f>IF(VLOOKUP(CONT_TEA[[#This Row],[StaffMemberCode]],MEMBERS[[StaffMemberCode]:[ServiceStartDate]],5,0)&gt;CONT_TEA[[#This Row],[DateFrom]],1,0)</f>
        <v>0</v>
      </c>
      <c r="R315" s="57">
        <f>IF(_xlfn.XLOOKUP(CONT_TEA[[#This Row],[StaffMemberCode]],MEMBERS[StaffMemberCode],MEMBERS[ServiceEndDate])="",0,IF(CONT_TEA[[#This Row],[DateTo]]="",1,IF(_xlfn.XLOOKUP(CONT_TEA[[#This Row],[StaffMemberCode]],MEMBERS[StaffMemberCode],MEMBERS[ServiceEndDate])&lt;CONT_TEA[[#This Row],[DateTo]],1,0)))</f>
        <v>0</v>
      </c>
      <c r="S315" s="57">
        <f>IF(ISBLANK(CONT_TEA[[#This Row],[DateTo]]),0,IF(CONT_TEA[[#This Row],[DateFrom]]=CONT_TEA[[#This Row],[DateTo]],0,IF(CONT_TEA[[#This Row],[DateFrom]]&lt;CONT_TEA[[#This Row],[DateTo]],0,1)))</f>
        <v>0</v>
      </c>
      <c r="T315" s="57" cm="1">
        <f t="array" aca="1" ref="T315" ca="1">IF(CELL("format",CONT_TEA[[#This Row],[DateFrom]])="D1",0,1)+IF(CELL("format",CONT_TEA[[#This Row],[DateTo]])="D1",0,1)</f>
        <v>0</v>
      </c>
      <c r="U315" s="57">
        <f>IF(OR(CONT_TEA[[#This Row],[MatEditOnly]]=TRUE,CONT_TEA[[#This Row],[MatEditOnly]]=FALSE),IF(OR(CONT_TEA[[#This Row],[NoIncrement]]=TRUE,CONT_TEA[[#This Row],[NoIncrement]]=FALSE),0,1),1)</f>
        <v>0</v>
      </c>
      <c r="V315" s="57">
        <f>IF(ISBLANK(CONT_TEA[[#This Row],[FundCode]])=TRUE,0,IF(COUNTIF(FUNDS[FundCode],CONT_TEA[[#This Row],[FundCode]])=1,0,1))</f>
        <v>0</v>
      </c>
      <c r="W315" s="57">
        <f>IF(LEN(CONT_TEA[[#This Row],[Notes]])&lt;4000,0,1)</f>
        <v>0</v>
      </c>
      <c r="X315" s="57">
        <f>IF(SUBSTITUTE(TEXT(CONT_TEA[[#This Row],[Reference]],10)," ","")=TEXT(CONT_TEA[[#This Row],[Reference]],10),0,1)</f>
        <v>0</v>
      </c>
      <c r="Y315" s="57">
        <f ca="1">SUM(CONT_TEA[[#This Row],[Duplicate Contract]:[Space in Code]])</f>
        <v>1</v>
      </c>
      <c r="AA315" s="12" t="s">
        <v>2126</v>
      </c>
      <c r="AB315" s="15">
        <v>10010504</v>
      </c>
      <c r="AC315" s="12">
        <v>106067</v>
      </c>
      <c r="AD315" s="57" t="str">
        <f>_xlfn.XLOOKUP(CONT_TEA[[#This Row],[StaffMemberCode]],StaffMembers!O:O,StaffMembers!R:R)</f>
        <v>Laura Holland</v>
      </c>
      <c r="AE315" s="12" t="s">
        <v>1178</v>
      </c>
      <c r="AF315" s="57">
        <f>_xlfn.XLOOKUP(CONT_TEA[[#This Row],[SRG]],SRG[StaffRoleGroupCode],SRG[GrossSalaryFinanceCode])</f>
        <v>612100</v>
      </c>
      <c r="AG315" s="57" t="str">
        <f>_xlfn.XLOOKUP(CONT_TEA[[#This Row],[StaffRoleCode]],ROLES[StaffRoleCode],ROLES[StaffRoleGroupCode])</f>
        <v>TEA</v>
      </c>
      <c r="AH315" s="57" t="str">
        <f>_xlfn.XLOOKUP(CONT_TEA[[#This Row],[StaffRoleCode]],ROLES[StaffRoleCode],ROLES[PayScaleCode])</f>
        <v>MAIN</v>
      </c>
      <c r="AI315" s="12" t="s">
        <v>1126</v>
      </c>
      <c r="AJ315" s="12" t="s">
        <v>1067</v>
      </c>
      <c r="AK315" s="12" t="s">
        <v>2499</v>
      </c>
      <c r="AM315" s="68" t="s">
        <v>1147</v>
      </c>
      <c r="AN315" s="13" t="s">
        <v>1702</v>
      </c>
      <c r="AO315" s="21">
        <v>46023</v>
      </c>
      <c r="AQ315" s="12">
        <v>1</v>
      </c>
      <c r="AR315" t="b">
        <v>0</v>
      </c>
      <c r="AS315" t="b">
        <v>0</v>
      </c>
      <c r="AT315" s="12" t="s">
        <v>1574</v>
      </c>
    </row>
    <row r="316" spans="1:46" x14ac:dyDescent="0.3">
      <c r="A316" s="57" t="str">
        <f t="shared" si="7"/>
        <v>MLB10012812107851TEASTCH46023</v>
      </c>
      <c r="B316" s="57">
        <f>COUNTIF(CONT_TEA[Unique Contract],CONT_TEA[[#This Row],[Unique Contract]])-1</f>
        <v>0</v>
      </c>
      <c r="C316" s="57">
        <f>IFERROR(IF(FIND(CONT_TEA[[#This Row],[SchoolCode]],_xlfn.XLOOKUP(CONT_TEA[[#This Row],[StaffMemberCode]],MEMBERS[StaffMemberCode],MEMBERS[SchoolCodes]))&gt;0,0,1),1)</f>
        <v>0</v>
      </c>
      <c r="D316" s="57" cm="1">
        <f t="array" ref="D316">IF(_xlfn.XLOOKUP(CONT_TEA[[#This Row],[StaffRoleCode]],ROLES[StaffRoleCode],ROLES[AvailableToAllSchools],1,0,)=TRUE,0,IF(ISERROR(FIND(CONT_TEA[[#This Row],[SchoolCode]],_xlfn.TEXTJOIN(",",TRUE,_xlfn.UNIQUE(IF(ROLES[StaffRoleCode]=CONT_TEA[[#This Row],[StaffRoleCode]],ROLES[SchoolCodes],""))))),1,0))</f>
        <v>0</v>
      </c>
      <c r="E316" s="57" cm="1">
        <f t="array" ref="E31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16" s="57" cm="1">
        <f t="array" ref="F316">IF(_xlfn.XLOOKUP(CONT_TEA[[#This Row],[PayScaleCode]],PAYSCALES[PayScaleCode],PAYSCALES[AvailableToAllSchools],1,0,)=TRUE,0,IF(ISERROR(FIND(CONT_TEA[[#This Row],[SchoolCode]],_xlfn.TEXTJOIN(",",TRUE,_xlfn.UNIQUE(IF(PAYSCALES[PayScaleCode]=CONT_TEA[[#This Row],[PayScaleCode]],PAYSCALES[SchoolCodes],""))))),1,0))</f>
        <v>0</v>
      </c>
      <c r="G316" s="57">
        <f>IF(_xlfn.XLOOKUP(CONT_TEA[[#This Row],[PayScaleGradeCode]],GRADES[PayScaleGradeCode],GRADES[AvailableToAllSchools])=TRUE,0,IFERROR(IF(FIND(CONT_TEA[[#This Row],[SchoolCode]],_xlfn.XLOOKUP(CONT_TEA[[#This Row],[PayScaleGradeCode]],GRADES[PayScaleGradeCode],GRADES[SchoolCodes]))&gt;=1,0,1),1))</f>
        <v>0</v>
      </c>
      <c r="H316" s="57">
        <f>IF(ISERROR(IF((_xlfn.XLOOKUP(CONT_TEA[[#This Row],[PayScaleGradeCode]],GRADES[PayScaleGradeCode],GRADES[PayScaleCode])=CONT_TEA[[#This Row],[PayScaleCode]]),0,1)),1,0)</f>
        <v>0</v>
      </c>
      <c r="I316" s="57" cm="1">
        <f t="array" ref="I316">IF(ISERROR(FIND(CONT_TEA[[#This Row],[PayScalePointCode]],_xlfn.TEXTJOIN(",",TRUE,IF(PSPOINTS[PayScaleCode]=CONT_TEA[[#This Row],[PayScaleCode]],PSPOINTS[PayScalePointCode])))),1,0)</f>
        <v>0</v>
      </c>
      <c r="J316" s="57" cm="1">
        <f t="array" ref="J31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16" s="57">
        <f>IF(_xlfn.XLOOKUP(CONT_TEA[[#This Row],[PayScalePointCode]],PSPOINTS[PayScalePointCode],PSPOINTS[PayScalePointEnabled])=TRUE,0,1)</f>
        <v>0</v>
      </c>
      <c r="L316" s="57" cm="1">
        <f t="array" ref="L316">IF(_xlfn.XLOOKUP(CONT_TEA[[#This Row],[DepartmentCode]],DEPTS[DepartmentCode],DEPTS[AvailableToAllSchools],1,0,)=TRUE,0,IF(ISERROR(FIND(CONT_TEA[[#This Row],[SchoolCode]],_xlfn.TEXTJOIN(",",TRUE,_xlfn.UNIQUE(IF(DEPTS[DepartmentCode]=CONT_TEA[[#This Row],[DepartmentCode]],DEPTS[SchoolCodes],""))))),1,0))</f>
        <v>0</v>
      </c>
      <c r="M316" s="57">
        <f>IFERROR(IF(_xlfn.XLOOKUP(CONT_TEA[[#This Row],[SRG Gross]],FinanceCodesBudget[FinanceCode],FinanceCodesBudget[LedgerCode])=_xlfn.XLOOKUP(CONT_TEA[[#This Row],[DepartmentCode]],DEPTS[DepartmentCode],DEPTS[LedgerCode]),0,1),1)</f>
        <v>1</v>
      </c>
      <c r="N316" s="57" cm="1">
        <f t="array" ref="N316">IF(_xlfn.XLOOKUP(CONT_TEA[[#This Row],[PensionCode]],PENS[PensionCode],PENS[AvailableToAllSchools],1,0,)=TRUE,0,IF(ISERROR(FIND(CONT_TEA[[#This Row],[SchoolCode]],_xlfn.TEXTJOIN(",",TRUE,_xlfn.UNIQUE(IF(PENS[PensionCode]=CONT_TEA[[#This Row],[PensionCode]],PENS[SchoolCodes],""))))),1,0))</f>
        <v>0</v>
      </c>
      <c r="O316" s="57" cm="1">
        <f t="array" ref="O316">IF(_xlfn.XLOOKUP(CONT_TEA[[#This Row],[EquatedWeekPatternCode]],EQW[EquatedWeekPatternCode],EQW[AvailableToAllSchools],1,0,)=TRUE,0,IF(ISERROR(FIND(CONT_TEA[[#This Row],[SchoolCode]],_xlfn.TEXTJOIN(",",TRUE,_xlfn.UNIQUE(IF(EQW[EquatedWeekPatternCode]=CONT_TEA[[#This Row],[EquatedWeekPatternCode]],EQW[SchoolCodes],""))))),1,0))</f>
        <v>0</v>
      </c>
      <c r="P316" s="57">
        <f>1-COUNTIF(ContractTypes[Code],CONT_TEA[[#This Row],[ContractTypeCode]])</f>
        <v>0</v>
      </c>
      <c r="Q316" s="57">
        <f>IF(VLOOKUP(CONT_TEA[[#This Row],[StaffMemberCode]],MEMBERS[[StaffMemberCode]:[ServiceStartDate]],5,0)&gt;CONT_TEA[[#This Row],[DateFrom]],1,0)</f>
        <v>0</v>
      </c>
      <c r="R316" s="57">
        <f>IF(_xlfn.XLOOKUP(CONT_TEA[[#This Row],[StaffMemberCode]],MEMBERS[StaffMemberCode],MEMBERS[ServiceEndDate])="",0,IF(CONT_TEA[[#This Row],[DateTo]]="",1,IF(_xlfn.XLOOKUP(CONT_TEA[[#This Row],[StaffMemberCode]],MEMBERS[StaffMemberCode],MEMBERS[ServiceEndDate])&lt;CONT_TEA[[#This Row],[DateTo]],1,0)))</f>
        <v>0</v>
      </c>
      <c r="S316" s="57">
        <f>IF(ISBLANK(CONT_TEA[[#This Row],[DateTo]]),0,IF(CONT_TEA[[#This Row],[DateFrom]]=CONT_TEA[[#This Row],[DateTo]],0,IF(CONT_TEA[[#This Row],[DateFrom]]&lt;CONT_TEA[[#This Row],[DateTo]],0,1)))</f>
        <v>0</v>
      </c>
      <c r="T316" s="57" cm="1">
        <f t="array" aca="1" ref="T316" ca="1">IF(CELL("format",CONT_TEA[[#This Row],[DateFrom]])="D1",0,1)+IF(CELL("format",CONT_TEA[[#This Row],[DateTo]])="D1",0,1)</f>
        <v>0</v>
      </c>
      <c r="U316" s="57">
        <f>IF(OR(CONT_TEA[[#This Row],[MatEditOnly]]=TRUE,CONT_TEA[[#This Row],[MatEditOnly]]=FALSE),IF(OR(CONT_TEA[[#This Row],[NoIncrement]]=TRUE,CONT_TEA[[#This Row],[NoIncrement]]=FALSE),0,1),1)</f>
        <v>0</v>
      </c>
      <c r="V316" s="57">
        <f>IF(ISBLANK(CONT_TEA[[#This Row],[FundCode]])=TRUE,0,IF(COUNTIF(FUNDS[FundCode],CONT_TEA[[#This Row],[FundCode]])=1,0,1))</f>
        <v>0</v>
      </c>
      <c r="W316" s="57">
        <f>IF(LEN(CONT_TEA[[#This Row],[Notes]])&lt;4000,0,1)</f>
        <v>0</v>
      </c>
      <c r="X316" s="57">
        <f>IF(SUBSTITUTE(TEXT(CONT_TEA[[#This Row],[Reference]],10)," ","")=TEXT(CONT_TEA[[#This Row],[Reference]],10),0,1)</f>
        <v>0</v>
      </c>
      <c r="Y316" s="57">
        <f ca="1">SUM(CONT_TEA[[#This Row],[Duplicate Contract]:[Space in Code]])</f>
        <v>1</v>
      </c>
      <c r="AA316" s="12" t="s">
        <v>2126</v>
      </c>
      <c r="AB316" s="15">
        <v>10012812</v>
      </c>
      <c r="AC316" s="12">
        <v>107851</v>
      </c>
      <c r="AD316" s="57" t="str">
        <f>_xlfn.XLOOKUP(CONT_TEA[[#This Row],[StaffMemberCode]],StaffMembers!O:O,StaffMembers!R:R)</f>
        <v>Michael Ollier</v>
      </c>
      <c r="AE316" s="12" t="s">
        <v>1178</v>
      </c>
      <c r="AF316" s="57">
        <f>_xlfn.XLOOKUP(CONT_TEA[[#This Row],[SRG]],SRG[StaffRoleGroupCode],SRG[GrossSalaryFinanceCode])</f>
        <v>612100</v>
      </c>
      <c r="AG316" s="57" t="str">
        <f>_xlfn.XLOOKUP(CONT_TEA[[#This Row],[StaffRoleCode]],ROLES[StaffRoleCode],ROLES[StaffRoleGroupCode])</f>
        <v>TEA</v>
      </c>
      <c r="AH316" s="57" t="str">
        <f>_xlfn.XLOOKUP(CONT_TEA[[#This Row],[StaffRoleCode]],ROLES[StaffRoleCode],ROLES[PayScaleCode])</f>
        <v>MAIN</v>
      </c>
      <c r="AI316" s="12" t="s">
        <v>1126</v>
      </c>
      <c r="AJ316" s="12" t="s">
        <v>1067</v>
      </c>
      <c r="AK316" s="12" t="s">
        <v>2499</v>
      </c>
      <c r="AM316" s="68" t="s">
        <v>1147</v>
      </c>
      <c r="AN316" s="13" t="s">
        <v>1702</v>
      </c>
      <c r="AO316" s="21">
        <v>46023</v>
      </c>
      <c r="AQ316" s="12">
        <v>1</v>
      </c>
      <c r="AR316" t="b">
        <v>0</v>
      </c>
      <c r="AS316" t="b">
        <v>0</v>
      </c>
      <c r="AT316" s="12" t="s">
        <v>1574</v>
      </c>
    </row>
    <row r="317" spans="1:46" x14ac:dyDescent="0.3">
      <c r="A317" s="57" t="str">
        <f t="shared" si="7"/>
        <v>MLB10016231106111TEASTCH46023</v>
      </c>
      <c r="B317" s="57">
        <f>COUNTIF(CONT_TEA[Unique Contract],CONT_TEA[[#This Row],[Unique Contract]])-1</f>
        <v>0</v>
      </c>
      <c r="C317" s="57">
        <f>IFERROR(IF(FIND(CONT_TEA[[#This Row],[SchoolCode]],_xlfn.XLOOKUP(CONT_TEA[[#This Row],[StaffMemberCode]],MEMBERS[StaffMemberCode],MEMBERS[SchoolCodes]))&gt;0,0,1),1)</f>
        <v>0</v>
      </c>
      <c r="D317" s="57" cm="1">
        <f t="array" ref="D317">IF(_xlfn.XLOOKUP(CONT_TEA[[#This Row],[StaffRoleCode]],ROLES[StaffRoleCode],ROLES[AvailableToAllSchools],1,0,)=TRUE,0,IF(ISERROR(FIND(CONT_TEA[[#This Row],[SchoolCode]],_xlfn.TEXTJOIN(",",TRUE,_xlfn.UNIQUE(IF(ROLES[StaffRoleCode]=CONT_TEA[[#This Row],[StaffRoleCode]],ROLES[SchoolCodes],""))))),1,0))</f>
        <v>0</v>
      </c>
      <c r="E317" s="57" cm="1">
        <f t="array" ref="E31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17" s="57" cm="1">
        <f t="array" ref="F317">IF(_xlfn.XLOOKUP(CONT_TEA[[#This Row],[PayScaleCode]],PAYSCALES[PayScaleCode],PAYSCALES[AvailableToAllSchools],1,0,)=TRUE,0,IF(ISERROR(FIND(CONT_TEA[[#This Row],[SchoolCode]],_xlfn.TEXTJOIN(",",TRUE,_xlfn.UNIQUE(IF(PAYSCALES[PayScaleCode]=CONT_TEA[[#This Row],[PayScaleCode]],PAYSCALES[SchoolCodes],""))))),1,0))</f>
        <v>0</v>
      </c>
      <c r="G317" s="57">
        <f>IF(_xlfn.XLOOKUP(CONT_TEA[[#This Row],[PayScaleGradeCode]],GRADES[PayScaleGradeCode],GRADES[AvailableToAllSchools])=TRUE,0,IFERROR(IF(FIND(CONT_TEA[[#This Row],[SchoolCode]],_xlfn.XLOOKUP(CONT_TEA[[#This Row],[PayScaleGradeCode]],GRADES[PayScaleGradeCode],GRADES[SchoolCodes]))&gt;=1,0,1),1))</f>
        <v>0</v>
      </c>
      <c r="H317" s="57">
        <f>IF(ISERROR(IF((_xlfn.XLOOKUP(CONT_TEA[[#This Row],[PayScaleGradeCode]],GRADES[PayScaleGradeCode],GRADES[PayScaleCode])=CONT_TEA[[#This Row],[PayScaleCode]]),0,1)),1,0)</f>
        <v>0</v>
      </c>
      <c r="I317" s="57" cm="1">
        <f t="array" ref="I317">IF(ISERROR(FIND(CONT_TEA[[#This Row],[PayScalePointCode]],_xlfn.TEXTJOIN(",",TRUE,IF(PSPOINTS[PayScaleCode]=CONT_TEA[[#This Row],[PayScaleCode]],PSPOINTS[PayScalePointCode])))),1,0)</f>
        <v>0</v>
      </c>
      <c r="J317" s="57" cm="1">
        <f t="array" ref="J31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17" s="57">
        <f>IF(_xlfn.XLOOKUP(CONT_TEA[[#This Row],[PayScalePointCode]],PSPOINTS[PayScalePointCode],PSPOINTS[PayScalePointEnabled])=TRUE,0,1)</f>
        <v>0</v>
      </c>
      <c r="L317" s="57" cm="1">
        <f t="array" ref="L317">IF(_xlfn.XLOOKUP(CONT_TEA[[#This Row],[DepartmentCode]],DEPTS[DepartmentCode],DEPTS[AvailableToAllSchools],1,0,)=TRUE,0,IF(ISERROR(FIND(CONT_TEA[[#This Row],[SchoolCode]],_xlfn.TEXTJOIN(",",TRUE,_xlfn.UNIQUE(IF(DEPTS[DepartmentCode]=CONT_TEA[[#This Row],[DepartmentCode]],DEPTS[SchoolCodes],""))))),1,0))</f>
        <v>0</v>
      </c>
      <c r="M317" s="57">
        <f>IFERROR(IF(_xlfn.XLOOKUP(CONT_TEA[[#This Row],[SRG Gross]],FinanceCodesBudget[FinanceCode],FinanceCodesBudget[LedgerCode])=_xlfn.XLOOKUP(CONT_TEA[[#This Row],[DepartmentCode]],DEPTS[DepartmentCode],DEPTS[LedgerCode]),0,1),1)</f>
        <v>1</v>
      </c>
      <c r="N317" s="57" cm="1">
        <f t="array" ref="N317">IF(_xlfn.XLOOKUP(CONT_TEA[[#This Row],[PensionCode]],PENS[PensionCode],PENS[AvailableToAllSchools],1,0,)=TRUE,0,IF(ISERROR(FIND(CONT_TEA[[#This Row],[SchoolCode]],_xlfn.TEXTJOIN(",",TRUE,_xlfn.UNIQUE(IF(PENS[PensionCode]=CONT_TEA[[#This Row],[PensionCode]],PENS[SchoolCodes],""))))),1,0))</f>
        <v>0</v>
      </c>
      <c r="O317" s="57" cm="1">
        <f t="array" ref="O317">IF(_xlfn.XLOOKUP(CONT_TEA[[#This Row],[EquatedWeekPatternCode]],EQW[EquatedWeekPatternCode],EQW[AvailableToAllSchools],1,0,)=TRUE,0,IF(ISERROR(FIND(CONT_TEA[[#This Row],[SchoolCode]],_xlfn.TEXTJOIN(",",TRUE,_xlfn.UNIQUE(IF(EQW[EquatedWeekPatternCode]=CONT_TEA[[#This Row],[EquatedWeekPatternCode]],EQW[SchoolCodes],""))))),1,0))</f>
        <v>0</v>
      </c>
      <c r="P317" s="57">
        <f>1-COUNTIF(ContractTypes[Code],CONT_TEA[[#This Row],[ContractTypeCode]])</f>
        <v>0</v>
      </c>
      <c r="Q317" s="57">
        <f>IF(VLOOKUP(CONT_TEA[[#This Row],[StaffMemberCode]],MEMBERS[[StaffMemberCode]:[ServiceStartDate]],5,0)&gt;CONT_TEA[[#This Row],[DateFrom]],1,0)</f>
        <v>0</v>
      </c>
      <c r="R317" s="57">
        <f>IF(_xlfn.XLOOKUP(CONT_TEA[[#This Row],[StaffMemberCode]],MEMBERS[StaffMemberCode],MEMBERS[ServiceEndDate])="",0,IF(CONT_TEA[[#This Row],[DateTo]]="",1,IF(_xlfn.XLOOKUP(CONT_TEA[[#This Row],[StaffMemberCode]],MEMBERS[StaffMemberCode],MEMBERS[ServiceEndDate])&lt;CONT_TEA[[#This Row],[DateTo]],1,0)))</f>
        <v>0</v>
      </c>
      <c r="S317" s="57">
        <f>IF(ISBLANK(CONT_TEA[[#This Row],[DateTo]]),0,IF(CONT_TEA[[#This Row],[DateFrom]]=CONT_TEA[[#This Row],[DateTo]],0,IF(CONT_TEA[[#This Row],[DateFrom]]&lt;CONT_TEA[[#This Row],[DateTo]],0,1)))</f>
        <v>0</v>
      </c>
      <c r="T317" s="57" cm="1">
        <f t="array" aca="1" ref="T317" ca="1">IF(CELL("format",CONT_TEA[[#This Row],[DateFrom]])="D1",0,1)+IF(CELL("format",CONT_TEA[[#This Row],[DateTo]])="D1",0,1)</f>
        <v>0</v>
      </c>
      <c r="U317" s="57">
        <f>IF(OR(CONT_TEA[[#This Row],[MatEditOnly]]=TRUE,CONT_TEA[[#This Row],[MatEditOnly]]=FALSE),IF(OR(CONT_TEA[[#This Row],[NoIncrement]]=TRUE,CONT_TEA[[#This Row],[NoIncrement]]=FALSE),0,1),1)</f>
        <v>0</v>
      </c>
      <c r="V317" s="57">
        <f>IF(ISBLANK(CONT_TEA[[#This Row],[FundCode]])=TRUE,0,IF(COUNTIF(FUNDS[FundCode],CONT_TEA[[#This Row],[FundCode]])=1,0,1))</f>
        <v>0</v>
      </c>
      <c r="W317" s="57">
        <f>IF(LEN(CONT_TEA[[#This Row],[Notes]])&lt;4000,0,1)</f>
        <v>0</v>
      </c>
      <c r="X317" s="57">
        <f>IF(SUBSTITUTE(TEXT(CONT_TEA[[#This Row],[Reference]],10)," ","")=TEXT(CONT_TEA[[#This Row],[Reference]],10),0,1)</f>
        <v>0</v>
      </c>
      <c r="Y317" s="57">
        <f ca="1">SUM(CONT_TEA[[#This Row],[Duplicate Contract]:[Space in Code]])</f>
        <v>1</v>
      </c>
      <c r="AA317" s="12" t="s">
        <v>2126</v>
      </c>
      <c r="AB317" s="15">
        <v>10016231</v>
      </c>
      <c r="AC317" s="12">
        <v>106111</v>
      </c>
      <c r="AD317" s="57" t="str">
        <f>_xlfn.XLOOKUP(CONT_TEA[[#This Row],[StaffMemberCode]],StaffMembers!O:O,StaffMembers!R:R)</f>
        <v>Amelia Downing</v>
      </c>
      <c r="AE317" s="12" t="s">
        <v>1178</v>
      </c>
      <c r="AF317" s="57">
        <f>_xlfn.XLOOKUP(CONT_TEA[[#This Row],[SRG]],SRG[StaffRoleGroupCode],SRG[GrossSalaryFinanceCode])</f>
        <v>612100</v>
      </c>
      <c r="AG317" s="57" t="str">
        <f>_xlfn.XLOOKUP(CONT_TEA[[#This Row],[StaffRoleCode]],ROLES[StaffRoleCode],ROLES[StaffRoleGroupCode])</f>
        <v>TEA</v>
      </c>
      <c r="AH317" s="57" t="str">
        <f>_xlfn.XLOOKUP(CONT_TEA[[#This Row],[StaffRoleCode]],ROLES[StaffRoleCode],ROLES[PayScaleCode])</f>
        <v>MAIN</v>
      </c>
      <c r="AI317" s="12" t="s">
        <v>1126</v>
      </c>
      <c r="AJ317" s="12" t="s">
        <v>1068</v>
      </c>
      <c r="AK317" s="12" t="s">
        <v>2499</v>
      </c>
      <c r="AM317" s="68" t="s">
        <v>1147</v>
      </c>
      <c r="AN317" s="13" t="s">
        <v>1702</v>
      </c>
      <c r="AO317" s="21">
        <v>46023</v>
      </c>
      <c r="AQ317" s="12">
        <v>1</v>
      </c>
      <c r="AR317" t="b">
        <v>0</v>
      </c>
      <c r="AS317" t="b">
        <v>0</v>
      </c>
      <c r="AT317" s="12" t="s">
        <v>1574</v>
      </c>
    </row>
    <row r="318" spans="1:46" x14ac:dyDescent="0.3">
      <c r="A318" s="57" t="str">
        <f t="shared" si="7"/>
        <v>MLB10009100109642TEASTCH46023</v>
      </c>
      <c r="B318" s="57">
        <f>COUNTIF(CONT_TEA[Unique Contract],CONT_TEA[[#This Row],[Unique Contract]])-1</f>
        <v>0</v>
      </c>
      <c r="C318" s="57">
        <f>IFERROR(IF(FIND(CONT_TEA[[#This Row],[SchoolCode]],_xlfn.XLOOKUP(CONT_TEA[[#This Row],[StaffMemberCode]],MEMBERS[StaffMemberCode],MEMBERS[SchoolCodes]))&gt;0,0,1),1)</f>
        <v>0</v>
      </c>
      <c r="D318" s="57" cm="1">
        <f t="array" ref="D318">IF(_xlfn.XLOOKUP(CONT_TEA[[#This Row],[StaffRoleCode]],ROLES[StaffRoleCode],ROLES[AvailableToAllSchools],1,0,)=TRUE,0,IF(ISERROR(FIND(CONT_TEA[[#This Row],[SchoolCode]],_xlfn.TEXTJOIN(",",TRUE,_xlfn.UNIQUE(IF(ROLES[StaffRoleCode]=CONT_TEA[[#This Row],[StaffRoleCode]],ROLES[SchoolCodes],""))))),1,0))</f>
        <v>0</v>
      </c>
      <c r="E318" s="57" cm="1">
        <f t="array" ref="E31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18" s="57" cm="1">
        <f t="array" ref="F318">IF(_xlfn.XLOOKUP(CONT_TEA[[#This Row],[PayScaleCode]],PAYSCALES[PayScaleCode],PAYSCALES[AvailableToAllSchools],1,0,)=TRUE,0,IF(ISERROR(FIND(CONT_TEA[[#This Row],[SchoolCode]],_xlfn.TEXTJOIN(",",TRUE,_xlfn.UNIQUE(IF(PAYSCALES[PayScaleCode]=CONT_TEA[[#This Row],[PayScaleCode]],PAYSCALES[SchoolCodes],""))))),1,0))</f>
        <v>0</v>
      </c>
      <c r="G318" s="57">
        <f>IF(_xlfn.XLOOKUP(CONT_TEA[[#This Row],[PayScaleGradeCode]],GRADES[PayScaleGradeCode],GRADES[AvailableToAllSchools])=TRUE,0,IFERROR(IF(FIND(CONT_TEA[[#This Row],[SchoolCode]],_xlfn.XLOOKUP(CONT_TEA[[#This Row],[PayScaleGradeCode]],GRADES[PayScaleGradeCode],GRADES[SchoolCodes]))&gt;=1,0,1),1))</f>
        <v>0</v>
      </c>
      <c r="H318" s="57">
        <f>IF(ISERROR(IF((_xlfn.XLOOKUP(CONT_TEA[[#This Row],[PayScaleGradeCode]],GRADES[PayScaleGradeCode],GRADES[PayScaleCode])=CONT_TEA[[#This Row],[PayScaleCode]]),0,1)),1,0)</f>
        <v>0</v>
      </c>
      <c r="I318" s="57" cm="1">
        <f t="array" ref="I318">IF(ISERROR(FIND(CONT_TEA[[#This Row],[PayScalePointCode]],_xlfn.TEXTJOIN(",",TRUE,IF(PSPOINTS[PayScaleCode]=CONT_TEA[[#This Row],[PayScaleCode]],PSPOINTS[PayScalePointCode])))),1,0)</f>
        <v>0</v>
      </c>
      <c r="J318" s="57" cm="1">
        <f t="array" ref="J31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18" s="57">
        <f>IF(_xlfn.XLOOKUP(CONT_TEA[[#This Row],[PayScalePointCode]],PSPOINTS[PayScalePointCode],PSPOINTS[PayScalePointEnabled])=TRUE,0,1)</f>
        <v>0</v>
      </c>
      <c r="L318" s="57" cm="1">
        <f t="array" ref="L318">IF(_xlfn.XLOOKUP(CONT_TEA[[#This Row],[DepartmentCode]],DEPTS[DepartmentCode],DEPTS[AvailableToAllSchools],1,0,)=TRUE,0,IF(ISERROR(FIND(CONT_TEA[[#This Row],[SchoolCode]],_xlfn.TEXTJOIN(",",TRUE,_xlfn.UNIQUE(IF(DEPTS[DepartmentCode]=CONT_TEA[[#This Row],[DepartmentCode]],DEPTS[SchoolCodes],""))))),1,0))</f>
        <v>0</v>
      </c>
      <c r="M318" s="57">
        <f>IFERROR(IF(_xlfn.XLOOKUP(CONT_TEA[[#This Row],[SRG Gross]],FinanceCodesBudget[FinanceCode],FinanceCodesBudget[LedgerCode])=_xlfn.XLOOKUP(CONT_TEA[[#This Row],[DepartmentCode]],DEPTS[DepartmentCode],DEPTS[LedgerCode]),0,1),1)</f>
        <v>1</v>
      </c>
      <c r="N318" s="57" cm="1">
        <f t="array" ref="N318">IF(_xlfn.XLOOKUP(CONT_TEA[[#This Row],[PensionCode]],PENS[PensionCode],PENS[AvailableToAllSchools],1,0,)=TRUE,0,IF(ISERROR(FIND(CONT_TEA[[#This Row],[SchoolCode]],_xlfn.TEXTJOIN(",",TRUE,_xlfn.UNIQUE(IF(PENS[PensionCode]=CONT_TEA[[#This Row],[PensionCode]],PENS[SchoolCodes],""))))),1,0))</f>
        <v>0</v>
      </c>
      <c r="O318" s="57" cm="1">
        <f t="array" ref="O318">IF(_xlfn.XLOOKUP(CONT_TEA[[#This Row],[EquatedWeekPatternCode]],EQW[EquatedWeekPatternCode],EQW[AvailableToAllSchools],1,0,)=TRUE,0,IF(ISERROR(FIND(CONT_TEA[[#This Row],[SchoolCode]],_xlfn.TEXTJOIN(",",TRUE,_xlfn.UNIQUE(IF(EQW[EquatedWeekPatternCode]=CONT_TEA[[#This Row],[EquatedWeekPatternCode]],EQW[SchoolCodes],""))))),1,0))</f>
        <v>0</v>
      </c>
      <c r="P318" s="57">
        <f>1-COUNTIF(ContractTypes[Code],CONT_TEA[[#This Row],[ContractTypeCode]])</f>
        <v>0</v>
      </c>
      <c r="Q318" s="57">
        <f>IF(VLOOKUP(CONT_TEA[[#This Row],[StaffMemberCode]],MEMBERS[[StaffMemberCode]:[ServiceStartDate]],5,0)&gt;CONT_TEA[[#This Row],[DateFrom]],1,0)</f>
        <v>0</v>
      </c>
      <c r="R318" s="57">
        <f>IF(_xlfn.XLOOKUP(CONT_TEA[[#This Row],[StaffMemberCode]],MEMBERS[StaffMemberCode],MEMBERS[ServiceEndDate])="",0,IF(CONT_TEA[[#This Row],[DateTo]]="",1,IF(_xlfn.XLOOKUP(CONT_TEA[[#This Row],[StaffMemberCode]],MEMBERS[StaffMemberCode],MEMBERS[ServiceEndDate])&lt;CONT_TEA[[#This Row],[DateTo]],1,0)))</f>
        <v>0</v>
      </c>
      <c r="S318" s="57">
        <f>IF(ISBLANK(CONT_TEA[[#This Row],[DateTo]]),0,IF(CONT_TEA[[#This Row],[DateFrom]]=CONT_TEA[[#This Row],[DateTo]],0,IF(CONT_TEA[[#This Row],[DateFrom]]&lt;CONT_TEA[[#This Row],[DateTo]],0,1)))</f>
        <v>0</v>
      </c>
      <c r="T318" s="57" cm="1">
        <f t="array" aca="1" ref="T318" ca="1">IF(CELL("format",CONT_TEA[[#This Row],[DateFrom]])="D1",0,1)+IF(CELL("format",CONT_TEA[[#This Row],[DateTo]])="D1",0,1)</f>
        <v>0</v>
      </c>
      <c r="U318" s="57">
        <f>IF(OR(CONT_TEA[[#This Row],[MatEditOnly]]=TRUE,CONT_TEA[[#This Row],[MatEditOnly]]=FALSE),IF(OR(CONT_TEA[[#This Row],[NoIncrement]]=TRUE,CONT_TEA[[#This Row],[NoIncrement]]=FALSE),0,1),1)</f>
        <v>0</v>
      </c>
      <c r="V318" s="57">
        <f>IF(ISBLANK(CONT_TEA[[#This Row],[FundCode]])=TRUE,0,IF(COUNTIF(FUNDS[FundCode],CONT_TEA[[#This Row],[FundCode]])=1,0,1))</f>
        <v>0</v>
      </c>
      <c r="W318" s="57">
        <f>IF(LEN(CONT_TEA[[#This Row],[Notes]])&lt;4000,0,1)</f>
        <v>0</v>
      </c>
      <c r="X318" s="57">
        <f>IF(SUBSTITUTE(TEXT(CONT_TEA[[#This Row],[Reference]],10)," ","")=TEXT(CONT_TEA[[#This Row],[Reference]],10),0,1)</f>
        <v>0</v>
      </c>
      <c r="Y318" s="57">
        <f ca="1">SUM(CONT_TEA[[#This Row],[Duplicate Contract]:[Space in Code]])</f>
        <v>1</v>
      </c>
      <c r="AA318" s="12" t="s">
        <v>2126</v>
      </c>
      <c r="AB318" s="15">
        <v>10009100</v>
      </c>
      <c r="AC318" s="12">
        <v>109642</v>
      </c>
      <c r="AD318" s="57" t="str">
        <f>_xlfn.XLOOKUP(CONT_TEA[[#This Row],[StaffMemberCode]],StaffMembers!O:O,StaffMembers!R:R)</f>
        <v>Mariona Morera-Ivern</v>
      </c>
      <c r="AE318" s="12" t="s">
        <v>1178</v>
      </c>
      <c r="AF318" s="57">
        <f>_xlfn.XLOOKUP(CONT_TEA[[#This Row],[SRG]],SRG[StaffRoleGroupCode],SRG[GrossSalaryFinanceCode])</f>
        <v>612100</v>
      </c>
      <c r="AG318" s="57" t="str">
        <f>_xlfn.XLOOKUP(CONT_TEA[[#This Row],[StaffRoleCode]],ROLES[StaffRoleCode],ROLES[StaffRoleGroupCode])</f>
        <v>TEA</v>
      </c>
      <c r="AH318" s="57" t="str">
        <f>_xlfn.XLOOKUP(CONT_TEA[[#This Row],[StaffRoleCode]],ROLES[StaffRoleCode],ROLES[PayScaleCode])</f>
        <v>MAIN</v>
      </c>
      <c r="AI318" s="12" t="s">
        <v>1126</v>
      </c>
      <c r="AJ318" s="12" t="s">
        <v>1068</v>
      </c>
      <c r="AK318" s="12" t="s">
        <v>2499</v>
      </c>
      <c r="AM318" s="68" t="s">
        <v>1147</v>
      </c>
      <c r="AN318" s="13" t="s">
        <v>1702</v>
      </c>
      <c r="AO318" s="21">
        <v>46023</v>
      </c>
      <c r="AQ318" s="12">
        <v>0.7</v>
      </c>
      <c r="AR318" t="b">
        <v>0</v>
      </c>
      <c r="AS318" t="b">
        <v>0</v>
      </c>
      <c r="AT318" s="12" t="s">
        <v>1574</v>
      </c>
    </row>
    <row r="319" spans="1:46" x14ac:dyDescent="0.3">
      <c r="A319" s="57" t="str">
        <f t="shared" si="7"/>
        <v>MLB10014620106133TEASTCH46023</v>
      </c>
      <c r="B319" s="57">
        <f>COUNTIF(CONT_TEA[Unique Contract],CONT_TEA[[#This Row],[Unique Contract]])-1</f>
        <v>0</v>
      </c>
      <c r="C319" s="57">
        <f>IFERROR(IF(FIND(CONT_TEA[[#This Row],[SchoolCode]],_xlfn.XLOOKUP(CONT_TEA[[#This Row],[StaffMemberCode]],MEMBERS[StaffMemberCode],MEMBERS[SchoolCodes]))&gt;0,0,1),1)</f>
        <v>0</v>
      </c>
      <c r="D319" s="57" cm="1">
        <f t="array" ref="D319">IF(_xlfn.XLOOKUP(CONT_TEA[[#This Row],[StaffRoleCode]],ROLES[StaffRoleCode],ROLES[AvailableToAllSchools],1,0,)=TRUE,0,IF(ISERROR(FIND(CONT_TEA[[#This Row],[SchoolCode]],_xlfn.TEXTJOIN(",",TRUE,_xlfn.UNIQUE(IF(ROLES[StaffRoleCode]=CONT_TEA[[#This Row],[StaffRoleCode]],ROLES[SchoolCodes],""))))),1,0))</f>
        <v>0</v>
      </c>
      <c r="E319" s="57" cm="1">
        <f t="array" ref="E31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19" s="57" cm="1">
        <f t="array" ref="F319">IF(_xlfn.XLOOKUP(CONT_TEA[[#This Row],[PayScaleCode]],PAYSCALES[PayScaleCode],PAYSCALES[AvailableToAllSchools],1,0,)=TRUE,0,IF(ISERROR(FIND(CONT_TEA[[#This Row],[SchoolCode]],_xlfn.TEXTJOIN(",",TRUE,_xlfn.UNIQUE(IF(PAYSCALES[PayScaleCode]=CONT_TEA[[#This Row],[PayScaleCode]],PAYSCALES[SchoolCodes],""))))),1,0))</f>
        <v>0</v>
      </c>
      <c r="G319" s="57">
        <f>IF(_xlfn.XLOOKUP(CONT_TEA[[#This Row],[PayScaleGradeCode]],GRADES[PayScaleGradeCode],GRADES[AvailableToAllSchools])=TRUE,0,IFERROR(IF(FIND(CONT_TEA[[#This Row],[SchoolCode]],_xlfn.XLOOKUP(CONT_TEA[[#This Row],[PayScaleGradeCode]],GRADES[PayScaleGradeCode],GRADES[SchoolCodes]))&gt;=1,0,1),1))</f>
        <v>0</v>
      </c>
      <c r="H319" s="57">
        <f>IF(ISERROR(IF((_xlfn.XLOOKUP(CONT_TEA[[#This Row],[PayScaleGradeCode]],GRADES[PayScaleGradeCode],GRADES[PayScaleCode])=CONT_TEA[[#This Row],[PayScaleCode]]),0,1)),1,0)</f>
        <v>0</v>
      </c>
      <c r="I319" s="57" cm="1">
        <f t="array" ref="I319">IF(ISERROR(FIND(CONT_TEA[[#This Row],[PayScalePointCode]],_xlfn.TEXTJOIN(",",TRUE,IF(PSPOINTS[PayScaleCode]=CONT_TEA[[#This Row],[PayScaleCode]],PSPOINTS[PayScalePointCode])))),1,0)</f>
        <v>0</v>
      </c>
      <c r="J319" s="57" cm="1">
        <f t="array" ref="J31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19" s="57">
        <f>IF(_xlfn.XLOOKUP(CONT_TEA[[#This Row],[PayScalePointCode]],PSPOINTS[PayScalePointCode],PSPOINTS[PayScalePointEnabled])=TRUE,0,1)</f>
        <v>0</v>
      </c>
      <c r="L319" s="57" cm="1">
        <f t="array" ref="L319">IF(_xlfn.XLOOKUP(CONT_TEA[[#This Row],[DepartmentCode]],DEPTS[DepartmentCode],DEPTS[AvailableToAllSchools],1,0,)=TRUE,0,IF(ISERROR(FIND(CONT_TEA[[#This Row],[SchoolCode]],_xlfn.TEXTJOIN(",",TRUE,_xlfn.UNIQUE(IF(DEPTS[DepartmentCode]=CONT_TEA[[#This Row],[DepartmentCode]],DEPTS[SchoolCodes],""))))),1,0))</f>
        <v>0</v>
      </c>
      <c r="M319" s="57">
        <f>IFERROR(IF(_xlfn.XLOOKUP(CONT_TEA[[#This Row],[SRG Gross]],FinanceCodesBudget[FinanceCode],FinanceCodesBudget[LedgerCode])=_xlfn.XLOOKUP(CONT_TEA[[#This Row],[DepartmentCode]],DEPTS[DepartmentCode],DEPTS[LedgerCode]),0,1),1)</f>
        <v>1</v>
      </c>
      <c r="N319" s="57" cm="1">
        <f t="array" ref="N319">IF(_xlfn.XLOOKUP(CONT_TEA[[#This Row],[PensionCode]],PENS[PensionCode],PENS[AvailableToAllSchools],1,0,)=TRUE,0,IF(ISERROR(FIND(CONT_TEA[[#This Row],[SchoolCode]],_xlfn.TEXTJOIN(",",TRUE,_xlfn.UNIQUE(IF(PENS[PensionCode]=CONT_TEA[[#This Row],[PensionCode]],PENS[SchoolCodes],""))))),1,0))</f>
        <v>0</v>
      </c>
      <c r="O319" s="57" cm="1">
        <f t="array" ref="O319">IF(_xlfn.XLOOKUP(CONT_TEA[[#This Row],[EquatedWeekPatternCode]],EQW[EquatedWeekPatternCode],EQW[AvailableToAllSchools],1,0,)=TRUE,0,IF(ISERROR(FIND(CONT_TEA[[#This Row],[SchoolCode]],_xlfn.TEXTJOIN(",",TRUE,_xlfn.UNIQUE(IF(EQW[EquatedWeekPatternCode]=CONT_TEA[[#This Row],[EquatedWeekPatternCode]],EQW[SchoolCodes],""))))),1,0))</f>
        <v>0</v>
      </c>
      <c r="P319" s="57">
        <f>1-COUNTIF(ContractTypes[Code],CONT_TEA[[#This Row],[ContractTypeCode]])</f>
        <v>0</v>
      </c>
      <c r="Q319" s="57">
        <f>IF(VLOOKUP(CONT_TEA[[#This Row],[StaffMemberCode]],MEMBERS[[StaffMemberCode]:[ServiceStartDate]],5,0)&gt;CONT_TEA[[#This Row],[DateFrom]],1,0)</f>
        <v>0</v>
      </c>
      <c r="R319" s="57">
        <f>IF(_xlfn.XLOOKUP(CONT_TEA[[#This Row],[StaffMemberCode]],MEMBERS[StaffMemberCode],MEMBERS[ServiceEndDate])="",0,IF(CONT_TEA[[#This Row],[DateTo]]="",1,IF(_xlfn.XLOOKUP(CONT_TEA[[#This Row],[StaffMemberCode]],MEMBERS[StaffMemberCode],MEMBERS[ServiceEndDate])&lt;CONT_TEA[[#This Row],[DateTo]],1,0)))</f>
        <v>0</v>
      </c>
      <c r="S319" s="57">
        <f>IF(ISBLANK(CONT_TEA[[#This Row],[DateTo]]),0,IF(CONT_TEA[[#This Row],[DateFrom]]=CONT_TEA[[#This Row],[DateTo]],0,IF(CONT_TEA[[#This Row],[DateFrom]]&lt;CONT_TEA[[#This Row],[DateTo]],0,1)))</f>
        <v>0</v>
      </c>
      <c r="T319" s="57" cm="1">
        <f t="array" aca="1" ref="T319" ca="1">IF(CELL("format",CONT_TEA[[#This Row],[DateFrom]])="D1",0,1)+IF(CELL("format",CONT_TEA[[#This Row],[DateTo]])="D1",0,1)</f>
        <v>0</v>
      </c>
      <c r="U319" s="57">
        <f>IF(OR(CONT_TEA[[#This Row],[MatEditOnly]]=TRUE,CONT_TEA[[#This Row],[MatEditOnly]]=FALSE),IF(OR(CONT_TEA[[#This Row],[NoIncrement]]=TRUE,CONT_TEA[[#This Row],[NoIncrement]]=FALSE),0,1),1)</f>
        <v>0</v>
      </c>
      <c r="V319" s="57">
        <f>IF(ISBLANK(CONT_TEA[[#This Row],[FundCode]])=TRUE,0,IF(COUNTIF(FUNDS[FundCode],CONT_TEA[[#This Row],[FundCode]])=1,0,1))</f>
        <v>0</v>
      </c>
      <c r="W319" s="57">
        <f>IF(LEN(CONT_TEA[[#This Row],[Notes]])&lt;4000,0,1)</f>
        <v>0</v>
      </c>
      <c r="X319" s="57">
        <f>IF(SUBSTITUTE(TEXT(CONT_TEA[[#This Row],[Reference]],10)," ","")=TEXT(CONT_TEA[[#This Row],[Reference]],10),0,1)</f>
        <v>0</v>
      </c>
      <c r="Y319" s="57">
        <f ca="1">SUM(CONT_TEA[[#This Row],[Duplicate Contract]:[Space in Code]])</f>
        <v>1</v>
      </c>
      <c r="AA319" s="12" t="s">
        <v>2126</v>
      </c>
      <c r="AB319" s="15">
        <v>10014620</v>
      </c>
      <c r="AC319" s="12">
        <v>106133</v>
      </c>
      <c r="AD319" s="57" t="str">
        <f>_xlfn.XLOOKUP(CONT_TEA[[#This Row],[StaffMemberCode]],StaffMembers!O:O,StaffMembers!R:R)</f>
        <v>Aedin Bartlett</v>
      </c>
      <c r="AE319" s="12" t="s">
        <v>1178</v>
      </c>
      <c r="AF319" s="57">
        <f>_xlfn.XLOOKUP(CONT_TEA[[#This Row],[SRG]],SRG[StaffRoleGroupCode],SRG[GrossSalaryFinanceCode])</f>
        <v>612100</v>
      </c>
      <c r="AG319" s="57" t="str">
        <f>_xlfn.XLOOKUP(CONT_TEA[[#This Row],[StaffRoleCode]],ROLES[StaffRoleCode],ROLES[StaffRoleGroupCode])</f>
        <v>TEA</v>
      </c>
      <c r="AH319" s="57" t="str">
        <f>_xlfn.XLOOKUP(CONT_TEA[[#This Row],[StaffRoleCode]],ROLES[StaffRoleCode],ROLES[PayScaleCode])</f>
        <v>MAIN</v>
      </c>
      <c r="AI319" s="12" t="s">
        <v>1126</v>
      </c>
      <c r="AJ319" s="12" t="s">
        <v>1546</v>
      </c>
      <c r="AK319" s="12" t="s">
        <v>2499</v>
      </c>
      <c r="AM319" s="68" t="s">
        <v>1147</v>
      </c>
      <c r="AN319" s="13" t="s">
        <v>1702</v>
      </c>
      <c r="AO319" s="21">
        <v>46023</v>
      </c>
      <c r="AQ319" s="12">
        <v>1</v>
      </c>
      <c r="AR319" t="b">
        <v>0</v>
      </c>
      <c r="AS319" t="b">
        <v>0</v>
      </c>
      <c r="AT319" s="12" t="s">
        <v>1574</v>
      </c>
    </row>
    <row r="320" spans="1:46" x14ac:dyDescent="0.3">
      <c r="A320" s="57" t="str">
        <f t="shared" si="7"/>
        <v>MLB10005395106177TEASTCH46023</v>
      </c>
      <c r="B320" s="57">
        <f>COUNTIF(CONT_TEA[Unique Contract],CONT_TEA[[#This Row],[Unique Contract]])-1</f>
        <v>0</v>
      </c>
      <c r="C320" s="57">
        <f>IFERROR(IF(FIND(CONT_TEA[[#This Row],[SchoolCode]],_xlfn.XLOOKUP(CONT_TEA[[#This Row],[StaffMemberCode]],MEMBERS[StaffMemberCode],MEMBERS[SchoolCodes]))&gt;0,0,1),1)</f>
        <v>0</v>
      </c>
      <c r="D320" s="57" cm="1">
        <f t="array" ref="D320">IF(_xlfn.XLOOKUP(CONT_TEA[[#This Row],[StaffRoleCode]],ROLES[StaffRoleCode],ROLES[AvailableToAllSchools],1,0,)=TRUE,0,IF(ISERROR(FIND(CONT_TEA[[#This Row],[SchoolCode]],_xlfn.TEXTJOIN(",",TRUE,_xlfn.UNIQUE(IF(ROLES[StaffRoleCode]=CONT_TEA[[#This Row],[StaffRoleCode]],ROLES[SchoolCodes],""))))),1,0))</f>
        <v>0</v>
      </c>
      <c r="E320" s="57" cm="1">
        <f t="array" ref="E32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20" s="57" cm="1">
        <f t="array" ref="F320">IF(_xlfn.XLOOKUP(CONT_TEA[[#This Row],[PayScaleCode]],PAYSCALES[PayScaleCode],PAYSCALES[AvailableToAllSchools],1,0,)=TRUE,0,IF(ISERROR(FIND(CONT_TEA[[#This Row],[SchoolCode]],_xlfn.TEXTJOIN(",",TRUE,_xlfn.UNIQUE(IF(PAYSCALES[PayScaleCode]=CONT_TEA[[#This Row],[PayScaleCode]],PAYSCALES[SchoolCodes],""))))),1,0))</f>
        <v>0</v>
      </c>
      <c r="G320" s="57">
        <f>IF(_xlfn.XLOOKUP(CONT_TEA[[#This Row],[PayScaleGradeCode]],GRADES[PayScaleGradeCode],GRADES[AvailableToAllSchools])=TRUE,0,IFERROR(IF(FIND(CONT_TEA[[#This Row],[SchoolCode]],_xlfn.XLOOKUP(CONT_TEA[[#This Row],[PayScaleGradeCode]],GRADES[PayScaleGradeCode],GRADES[SchoolCodes]))&gt;=1,0,1),1))</f>
        <v>0</v>
      </c>
      <c r="H320" s="57">
        <f>IF(ISERROR(IF((_xlfn.XLOOKUP(CONT_TEA[[#This Row],[PayScaleGradeCode]],GRADES[PayScaleGradeCode],GRADES[PayScaleCode])=CONT_TEA[[#This Row],[PayScaleCode]]),0,1)),1,0)</f>
        <v>0</v>
      </c>
      <c r="I320" s="57" cm="1">
        <f t="array" ref="I320">IF(ISERROR(FIND(CONT_TEA[[#This Row],[PayScalePointCode]],_xlfn.TEXTJOIN(",",TRUE,IF(PSPOINTS[PayScaleCode]=CONT_TEA[[#This Row],[PayScaleCode]],PSPOINTS[PayScalePointCode])))),1,0)</f>
        <v>0</v>
      </c>
      <c r="J320" s="57" cm="1">
        <f t="array" ref="J32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20" s="57">
        <f>IF(_xlfn.XLOOKUP(CONT_TEA[[#This Row],[PayScalePointCode]],PSPOINTS[PayScalePointCode],PSPOINTS[PayScalePointEnabled])=TRUE,0,1)</f>
        <v>0</v>
      </c>
      <c r="L320" s="57" cm="1">
        <f t="array" ref="L320">IF(_xlfn.XLOOKUP(CONT_TEA[[#This Row],[DepartmentCode]],DEPTS[DepartmentCode],DEPTS[AvailableToAllSchools],1,0,)=TRUE,0,IF(ISERROR(FIND(CONT_TEA[[#This Row],[SchoolCode]],_xlfn.TEXTJOIN(",",TRUE,_xlfn.UNIQUE(IF(DEPTS[DepartmentCode]=CONT_TEA[[#This Row],[DepartmentCode]],DEPTS[SchoolCodes],""))))),1,0))</f>
        <v>0</v>
      </c>
      <c r="M320" s="57">
        <f>IFERROR(IF(_xlfn.XLOOKUP(CONT_TEA[[#This Row],[SRG Gross]],FinanceCodesBudget[FinanceCode],FinanceCodesBudget[LedgerCode])=_xlfn.XLOOKUP(CONT_TEA[[#This Row],[DepartmentCode]],DEPTS[DepartmentCode],DEPTS[LedgerCode]),0,1),1)</f>
        <v>1</v>
      </c>
      <c r="N320" s="57" cm="1">
        <f t="array" ref="N320">IF(_xlfn.XLOOKUP(CONT_TEA[[#This Row],[PensionCode]],PENS[PensionCode],PENS[AvailableToAllSchools],1,0,)=TRUE,0,IF(ISERROR(FIND(CONT_TEA[[#This Row],[SchoolCode]],_xlfn.TEXTJOIN(",",TRUE,_xlfn.UNIQUE(IF(PENS[PensionCode]=CONT_TEA[[#This Row],[PensionCode]],PENS[SchoolCodes],""))))),1,0))</f>
        <v>0</v>
      </c>
      <c r="O320" s="57" cm="1">
        <f t="array" ref="O320">IF(_xlfn.XLOOKUP(CONT_TEA[[#This Row],[EquatedWeekPatternCode]],EQW[EquatedWeekPatternCode],EQW[AvailableToAllSchools],1,0,)=TRUE,0,IF(ISERROR(FIND(CONT_TEA[[#This Row],[SchoolCode]],_xlfn.TEXTJOIN(",",TRUE,_xlfn.UNIQUE(IF(EQW[EquatedWeekPatternCode]=CONT_TEA[[#This Row],[EquatedWeekPatternCode]],EQW[SchoolCodes],""))))),1,0))</f>
        <v>0</v>
      </c>
      <c r="P320" s="57">
        <f>1-COUNTIF(ContractTypes[Code],CONT_TEA[[#This Row],[ContractTypeCode]])</f>
        <v>0</v>
      </c>
      <c r="Q320" s="57">
        <f>IF(VLOOKUP(CONT_TEA[[#This Row],[StaffMemberCode]],MEMBERS[[StaffMemberCode]:[ServiceStartDate]],5,0)&gt;CONT_TEA[[#This Row],[DateFrom]],1,0)</f>
        <v>0</v>
      </c>
      <c r="R320" s="57">
        <f>IF(_xlfn.XLOOKUP(CONT_TEA[[#This Row],[StaffMemberCode]],MEMBERS[StaffMemberCode],MEMBERS[ServiceEndDate])="",0,IF(CONT_TEA[[#This Row],[DateTo]]="",1,IF(_xlfn.XLOOKUP(CONT_TEA[[#This Row],[StaffMemberCode]],MEMBERS[StaffMemberCode],MEMBERS[ServiceEndDate])&lt;CONT_TEA[[#This Row],[DateTo]],1,0)))</f>
        <v>0</v>
      </c>
      <c r="S320" s="57">
        <f>IF(ISBLANK(CONT_TEA[[#This Row],[DateTo]]),0,IF(CONT_TEA[[#This Row],[DateFrom]]=CONT_TEA[[#This Row],[DateTo]],0,IF(CONT_TEA[[#This Row],[DateFrom]]&lt;CONT_TEA[[#This Row],[DateTo]],0,1)))</f>
        <v>0</v>
      </c>
      <c r="T320" s="57" cm="1">
        <f t="array" aca="1" ref="T320" ca="1">IF(CELL("format",CONT_TEA[[#This Row],[DateFrom]])="D1",0,1)+IF(CELL("format",CONT_TEA[[#This Row],[DateTo]])="D1",0,1)</f>
        <v>0</v>
      </c>
      <c r="U320" s="57">
        <f>IF(OR(CONT_TEA[[#This Row],[MatEditOnly]]=TRUE,CONT_TEA[[#This Row],[MatEditOnly]]=FALSE),IF(OR(CONT_TEA[[#This Row],[NoIncrement]]=TRUE,CONT_TEA[[#This Row],[NoIncrement]]=FALSE),0,1),1)</f>
        <v>0</v>
      </c>
      <c r="V320" s="57">
        <f>IF(ISBLANK(CONT_TEA[[#This Row],[FundCode]])=TRUE,0,IF(COUNTIF(FUNDS[FundCode],CONT_TEA[[#This Row],[FundCode]])=1,0,1))</f>
        <v>0</v>
      </c>
      <c r="W320" s="57">
        <f>IF(LEN(CONT_TEA[[#This Row],[Notes]])&lt;4000,0,1)</f>
        <v>0</v>
      </c>
      <c r="X320" s="57">
        <f>IF(SUBSTITUTE(TEXT(CONT_TEA[[#This Row],[Reference]],10)," ","")=TEXT(CONT_TEA[[#This Row],[Reference]],10),0,1)</f>
        <v>0</v>
      </c>
      <c r="Y320" s="57">
        <f ca="1">SUM(CONT_TEA[[#This Row],[Duplicate Contract]:[Space in Code]])</f>
        <v>1</v>
      </c>
      <c r="AA320" s="12" t="s">
        <v>2126</v>
      </c>
      <c r="AB320" s="15">
        <v>10005395</v>
      </c>
      <c r="AC320" s="12">
        <v>106177</v>
      </c>
      <c r="AD320" s="57" t="str">
        <f>_xlfn.XLOOKUP(CONT_TEA[[#This Row],[StaffMemberCode]],StaffMembers!O:O,StaffMembers!R:R)</f>
        <v>Carla Scott</v>
      </c>
      <c r="AE320" s="12" t="s">
        <v>1178</v>
      </c>
      <c r="AF320" s="57">
        <f>_xlfn.XLOOKUP(CONT_TEA[[#This Row],[SRG]],SRG[StaffRoleGroupCode],SRG[GrossSalaryFinanceCode])</f>
        <v>612100</v>
      </c>
      <c r="AG320" s="57" t="str">
        <f>_xlfn.XLOOKUP(CONT_TEA[[#This Row],[StaffRoleCode]],ROLES[StaffRoleCode],ROLES[StaffRoleGroupCode])</f>
        <v>TEA</v>
      </c>
      <c r="AH320" s="57" t="str">
        <f>_xlfn.XLOOKUP(CONT_TEA[[#This Row],[StaffRoleCode]],ROLES[StaffRoleCode],ROLES[PayScaleCode])</f>
        <v>MAIN</v>
      </c>
      <c r="AI320" s="12" t="s">
        <v>1126</v>
      </c>
      <c r="AJ320" s="12" t="s">
        <v>1546</v>
      </c>
      <c r="AK320" s="12" t="s">
        <v>2499</v>
      </c>
      <c r="AM320" s="68" t="s">
        <v>1147</v>
      </c>
      <c r="AN320" s="13" t="s">
        <v>1702</v>
      </c>
      <c r="AO320" s="21">
        <v>46023</v>
      </c>
      <c r="AQ320" s="12">
        <v>1</v>
      </c>
      <c r="AR320" t="b">
        <v>0</v>
      </c>
      <c r="AS320" t="b">
        <v>0</v>
      </c>
      <c r="AT320" s="12" t="s">
        <v>1574</v>
      </c>
    </row>
    <row r="321" spans="1:46" x14ac:dyDescent="0.3">
      <c r="A321" s="57" t="str">
        <f t="shared" si="7"/>
        <v>MLB10005510106296TEASTCH46023</v>
      </c>
      <c r="B321" s="57">
        <f>COUNTIF(CONT_TEA[Unique Contract],CONT_TEA[[#This Row],[Unique Contract]])-1</f>
        <v>0</v>
      </c>
      <c r="C321" s="57">
        <f>IFERROR(IF(FIND(CONT_TEA[[#This Row],[SchoolCode]],_xlfn.XLOOKUP(CONT_TEA[[#This Row],[StaffMemberCode]],MEMBERS[StaffMemberCode],MEMBERS[SchoolCodes]))&gt;0,0,1),1)</f>
        <v>0</v>
      </c>
      <c r="D321" s="57" cm="1">
        <f t="array" ref="D321">IF(_xlfn.XLOOKUP(CONT_TEA[[#This Row],[StaffRoleCode]],ROLES[StaffRoleCode],ROLES[AvailableToAllSchools],1,0,)=TRUE,0,IF(ISERROR(FIND(CONT_TEA[[#This Row],[SchoolCode]],_xlfn.TEXTJOIN(",",TRUE,_xlfn.UNIQUE(IF(ROLES[StaffRoleCode]=CONT_TEA[[#This Row],[StaffRoleCode]],ROLES[SchoolCodes],""))))),1,0))</f>
        <v>0</v>
      </c>
      <c r="E321" s="57" cm="1">
        <f t="array" ref="E32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21" s="57" cm="1">
        <f t="array" ref="F321">IF(_xlfn.XLOOKUP(CONT_TEA[[#This Row],[PayScaleCode]],PAYSCALES[PayScaleCode],PAYSCALES[AvailableToAllSchools],1,0,)=TRUE,0,IF(ISERROR(FIND(CONT_TEA[[#This Row],[SchoolCode]],_xlfn.TEXTJOIN(",",TRUE,_xlfn.UNIQUE(IF(PAYSCALES[PayScaleCode]=CONT_TEA[[#This Row],[PayScaleCode]],PAYSCALES[SchoolCodes],""))))),1,0))</f>
        <v>0</v>
      </c>
      <c r="G321" s="57">
        <f>IF(_xlfn.XLOOKUP(CONT_TEA[[#This Row],[PayScaleGradeCode]],GRADES[PayScaleGradeCode],GRADES[AvailableToAllSchools])=TRUE,0,IFERROR(IF(FIND(CONT_TEA[[#This Row],[SchoolCode]],_xlfn.XLOOKUP(CONT_TEA[[#This Row],[PayScaleGradeCode]],GRADES[PayScaleGradeCode],GRADES[SchoolCodes]))&gt;=1,0,1),1))</f>
        <v>0</v>
      </c>
      <c r="H321" s="57">
        <f>IF(ISERROR(IF((_xlfn.XLOOKUP(CONT_TEA[[#This Row],[PayScaleGradeCode]],GRADES[PayScaleGradeCode],GRADES[PayScaleCode])=CONT_TEA[[#This Row],[PayScaleCode]]),0,1)),1,0)</f>
        <v>0</v>
      </c>
      <c r="I321" s="57" cm="1">
        <f t="array" ref="I321">IF(ISERROR(FIND(CONT_TEA[[#This Row],[PayScalePointCode]],_xlfn.TEXTJOIN(",",TRUE,IF(PSPOINTS[PayScaleCode]=CONT_TEA[[#This Row],[PayScaleCode]],PSPOINTS[PayScalePointCode])))),1,0)</f>
        <v>0</v>
      </c>
      <c r="J321" s="57" cm="1">
        <f t="array" ref="J32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21" s="57">
        <f>IF(_xlfn.XLOOKUP(CONT_TEA[[#This Row],[PayScalePointCode]],PSPOINTS[PayScalePointCode],PSPOINTS[PayScalePointEnabled])=TRUE,0,1)</f>
        <v>0</v>
      </c>
      <c r="L321" s="57" cm="1">
        <f t="array" ref="L321">IF(_xlfn.XLOOKUP(CONT_TEA[[#This Row],[DepartmentCode]],DEPTS[DepartmentCode],DEPTS[AvailableToAllSchools],1,0,)=TRUE,0,IF(ISERROR(FIND(CONT_TEA[[#This Row],[SchoolCode]],_xlfn.TEXTJOIN(",",TRUE,_xlfn.UNIQUE(IF(DEPTS[DepartmentCode]=CONT_TEA[[#This Row],[DepartmentCode]],DEPTS[SchoolCodes],""))))),1,0))</f>
        <v>0</v>
      </c>
      <c r="M321" s="57">
        <f>IFERROR(IF(_xlfn.XLOOKUP(CONT_TEA[[#This Row],[SRG Gross]],FinanceCodesBudget[FinanceCode],FinanceCodesBudget[LedgerCode])=_xlfn.XLOOKUP(CONT_TEA[[#This Row],[DepartmentCode]],DEPTS[DepartmentCode],DEPTS[LedgerCode]),0,1),1)</f>
        <v>1</v>
      </c>
      <c r="N321" s="57" cm="1">
        <f t="array" ref="N321">IF(_xlfn.XLOOKUP(CONT_TEA[[#This Row],[PensionCode]],PENS[PensionCode],PENS[AvailableToAllSchools],1,0,)=TRUE,0,IF(ISERROR(FIND(CONT_TEA[[#This Row],[SchoolCode]],_xlfn.TEXTJOIN(",",TRUE,_xlfn.UNIQUE(IF(PENS[PensionCode]=CONT_TEA[[#This Row],[PensionCode]],PENS[SchoolCodes],""))))),1,0))</f>
        <v>0</v>
      </c>
      <c r="O321" s="57" cm="1">
        <f t="array" ref="O321">IF(_xlfn.XLOOKUP(CONT_TEA[[#This Row],[EquatedWeekPatternCode]],EQW[EquatedWeekPatternCode],EQW[AvailableToAllSchools],1,0,)=TRUE,0,IF(ISERROR(FIND(CONT_TEA[[#This Row],[SchoolCode]],_xlfn.TEXTJOIN(",",TRUE,_xlfn.UNIQUE(IF(EQW[EquatedWeekPatternCode]=CONT_TEA[[#This Row],[EquatedWeekPatternCode]],EQW[SchoolCodes],""))))),1,0))</f>
        <v>0</v>
      </c>
      <c r="P321" s="57">
        <f>1-COUNTIF(ContractTypes[Code],CONT_TEA[[#This Row],[ContractTypeCode]])</f>
        <v>0</v>
      </c>
      <c r="Q321" s="57">
        <f>IF(VLOOKUP(CONT_TEA[[#This Row],[StaffMemberCode]],MEMBERS[[StaffMemberCode]:[ServiceStartDate]],5,0)&gt;CONT_TEA[[#This Row],[DateFrom]],1,0)</f>
        <v>0</v>
      </c>
      <c r="R321" s="57">
        <f>IF(_xlfn.XLOOKUP(CONT_TEA[[#This Row],[StaffMemberCode]],MEMBERS[StaffMemberCode],MEMBERS[ServiceEndDate])="",0,IF(CONT_TEA[[#This Row],[DateTo]]="",1,IF(_xlfn.XLOOKUP(CONT_TEA[[#This Row],[StaffMemberCode]],MEMBERS[StaffMemberCode],MEMBERS[ServiceEndDate])&lt;CONT_TEA[[#This Row],[DateTo]],1,0)))</f>
        <v>0</v>
      </c>
      <c r="S321" s="57">
        <f>IF(ISBLANK(CONT_TEA[[#This Row],[DateTo]]),0,IF(CONT_TEA[[#This Row],[DateFrom]]=CONT_TEA[[#This Row],[DateTo]],0,IF(CONT_TEA[[#This Row],[DateFrom]]&lt;CONT_TEA[[#This Row],[DateTo]],0,1)))</f>
        <v>0</v>
      </c>
      <c r="T321" s="57" cm="1">
        <f t="array" aca="1" ref="T321" ca="1">IF(CELL("format",CONT_TEA[[#This Row],[DateFrom]])="D1",0,1)+IF(CELL("format",CONT_TEA[[#This Row],[DateTo]])="D1",0,1)</f>
        <v>0</v>
      </c>
      <c r="U321" s="57">
        <f>IF(OR(CONT_TEA[[#This Row],[MatEditOnly]]=TRUE,CONT_TEA[[#This Row],[MatEditOnly]]=FALSE),IF(OR(CONT_TEA[[#This Row],[NoIncrement]]=TRUE,CONT_TEA[[#This Row],[NoIncrement]]=FALSE),0,1),1)</f>
        <v>0</v>
      </c>
      <c r="V321" s="57">
        <f>IF(ISBLANK(CONT_TEA[[#This Row],[FundCode]])=TRUE,0,IF(COUNTIF(FUNDS[FundCode],CONT_TEA[[#This Row],[FundCode]])=1,0,1))</f>
        <v>0</v>
      </c>
      <c r="W321" s="57">
        <f>IF(LEN(CONT_TEA[[#This Row],[Notes]])&lt;4000,0,1)</f>
        <v>0</v>
      </c>
      <c r="X321" s="57">
        <f>IF(SUBSTITUTE(TEXT(CONT_TEA[[#This Row],[Reference]],10)," ","")=TEXT(CONT_TEA[[#This Row],[Reference]],10),0,1)</f>
        <v>0</v>
      </c>
      <c r="Y321" s="57">
        <f ca="1">SUM(CONT_TEA[[#This Row],[Duplicate Contract]:[Space in Code]])</f>
        <v>1</v>
      </c>
      <c r="AA321" s="12" t="s">
        <v>2126</v>
      </c>
      <c r="AB321" s="15">
        <v>10005510</v>
      </c>
      <c r="AC321" s="12">
        <v>106296</v>
      </c>
      <c r="AD321" s="57" t="str">
        <f>_xlfn.XLOOKUP(CONT_TEA[[#This Row],[StaffMemberCode]],StaffMembers!O:O,StaffMembers!R:R)</f>
        <v>Clare Marsh</v>
      </c>
      <c r="AE321" s="12" t="s">
        <v>1178</v>
      </c>
      <c r="AF321" s="57">
        <f>_xlfn.XLOOKUP(CONT_TEA[[#This Row],[SRG]],SRG[StaffRoleGroupCode],SRG[GrossSalaryFinanceCode])</f>
        <v>612100</v>
      </c>
      <c r="AG321" s="57" t="str">
        <f>_xlfn.XLOOKUP(CONT_TEA[[#This Row],[StaffRoleCode]],ROLES[StaffRoleCode],ROLES[StaffRoleGroupCode])</f>
        <v>TEA</v>
      </c>
      <c r="AH321" s="57" t="str">
        <f>_xlfn.XLOOKUP(CONT_TEA[[#This Row],[StaffRoleCode]],ROLES[StaffRoleCode],ROLES[PayScaleCode])</f>
        <v>MAIN</v>
      </c>
      <c r="AI321" s="12" t="s">
        <v>1126</v>
      </c>
      <c r="AJ321" s="12" t="s">
        <v>1546</v>
      </c>
      <c r="AK321" s="12" t="s">
        <v>2499</v>
      </c>
      <c r="AM321" s="68" t="s">
        <v>1147</v>
      </c>
      <c r="AN321" s="13" t="s">
        <v>1702</v>
      </c>
      <c r="AO321" s="21">
        <v>46023</v>
      </c>
      <c r="AQ321" s="12">
        <v>0.5</v>
      </c>
      <c r="AR321" t="b">
        <v>0</v>
      </c>
      <c r="AS321" t="b">
        <v>0</v>
      </c>
      <c r="AT321" s="12" t="s">
        <v>1574</v>
      </c>
    </row>
    <row r="322" spans="1:46" x14ac:dyDescent="0.3">
      <c r="A322" s="57" t="str">
        <f t="shared" si="7"/>
        <v>MLB10009818108463TEASTCH46023</v>
      </c>
      <c r="B322" s="57">
        <f>COUNTIF(CONT_TEA[Unique Contract],CONT_TEA[[#This Row],[Unique Contract]])-1</f>
        <v>0</v>
      </c>
      <c r="C322" s="57">
        <f>IFERROR(IF(FIND(CONT_TEA[[#This Row],[SchoolCode]],_xlfn.XLOOKUP(CONT_TEA[[#This Row],[StaffMemberCode]],MEMBERS[StaffMemberCode],MEMBERS[SchoolCodes]))&gt;0,0,1),1)</f>
        <v>0</v>
      </c>
      <c r="D322" s="57" cm="1">
        <f t="array" ref="D322">IF(_xlfn.XLOOKUP(CONT_TEA[[#This Row],[StaffRoleCode]],ROLES[StaffRoleCode],ROLES[AvailableToAllSchools],1,0,)=TRUE,0,IF(ISERROR(FIND(CONT_TEA[[#This Row],[SchoolCode]],_xlfn.TEXTJOIN(",",TRUE,_xlfn.UNIQUE(IF(ROLES[StaffRoleCode]=CONT_TEA[[#This Row],[StaffRoleCode]],ROLES[SchoolCodes],""))))),1,0))</f>
        <v>0</v>
      </c>
      <c r="E322" s="57" cm="1">
        <f t="array" ref="E32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22" s="57" cm="1">
        <f t="array" ref="F322">IF(_xlfn.XLOOKUP(CONT_TEA[[#This Row],[PayScaleCode]],PAYSCALES[PayScaleCode],PAYSCALES[AvailableToAllSchools],1,0,)=TRUE,0,IF(ISERROR(FIND(CONT_TEA[[#This Row],[SchoolCode]],_xlfn.TEXTJOIN(",",TRUE,_xlfn.UNIQUE(IF(PAYSCALES[PayScaleCode]=CONT_TEA[[#This Row],[PayScaleCode]],PAYSCALES[SchoolCodes],""))))),1,0))</f>
        <v>0</v>
      </c>
      <c r="G322" s="57">
        <f>IF(_xlfn.XLOOKUP(CONT_TEA[[#This Row],[PayScaleGradeCode]],GRADES[PayScaleGradeCode],GRADES[AvailableToAllSchools])=TRUE,0,IFERROR(IF(FIND(CONT_TEA[[#This Row],[SchoolCode]],_xlfn.XLOOKUP(CONT_TEA[[#This Row],[PayScaleGradeCode]],GRADES[PayScaleGradeCode],GRADES[SchoolCodes]))&gt;=1,0,1),1))</f>
        <v>0</v>
      </c>
      <c r="H322" s="57">
        <f>IF(ISERROR(IF((_xlfn.XLOOKUP(CONT_TEA[[#This Row],[PayScaleGradeCode]],GRADES[PayScaleGradeCode],GRADES[PayScaleCode])=CONT_TEA[[#This Row],[PayScaleCode]]),0,1)),1,0)</f>
        <v>0</v>
      </c>
      <c r="I322" s="57" cm="1">
        <f t="array" ref="I322">IF(ISERROR(FIND(CONT_TEA[[#This Row],[PayScalePointCode]],_xlfn.TEXTJOIN(",",TRUE,IF(PSPOINTS[PayScaleCode]=CONT_TEA[[#This Row],[PayScaleCode]],PSPOINTS[PayScalePointCode])))),1,0)</f>
        <v>0</v>
      </c>
      <c r="J322" s="57" cm="1">
        <f t="array" ref="J32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22" s="57">
        <f>IF(_xlfn.XLOOKUP(CONT_TEA[[#This Row],[PayScalePointCode]],PSPOINTS[PayScalePointCode],PSPOINTS[PayScalePointEnabled])=TRUE,0,1)</f>
        <v>0</v>
      </c>
      <c r="L322" s="57" cm="1">
        <f t="array" ref="L322">IF(_xlfn.XLOOKUP(CONT_TEA[[#This Row],[DepartmentCode]],DEPTS[DepartmentCode],DEPTS[AvailableToAllSchools],1,0,)=TRUE,0,IF(ISERROR(FIND(CONT_TEA[[#This Row],[SchoolCode]],_xlfn.TEXTJOIN(",",TRUE,_xlfn.UNIQUE(IF(DEPTS[DepartmentCode]=CONT_TEA[[#This Row],[DepartmentCode]],DEPTS[SchoolCodes],""))))),1,0))</f>
        <v>0</v>
      </c>
      <c r="M322" s="57">
        <f>IFERROR(IF(_xlfn.XLOOKUP(CONT_TEA[[#This Row],[SRG Gross]],FinanceCodesBudget[FinanceCode],FinanceCodesBudget[LedgerCode])=_xlfn.XLOOKUP(CONT_TEA[[#This Row],[DepartmentCode]],DEPTS[DepartmentCode],DEPTS[LedgerCode]),0,1),1)</f>
        <v>1</v>
      </c>
      <c r="N322" s="57" cm="1">
        <f t="array" ref="N322">IF(_xlfn.XLOOKUP(CONT_TEA[[#This Row],[PensionCode]],PENS[PensionCode],PENS[AvailableToAllSchools],1,0,)=TRUE,0,IF(ISERROR(FIND(CONT_TEA[[#This Row],[SchoolCode]],_xlfn.TEXTJOIN(",",TRUE,_xlfn.UNIQUE(IF(PENS[PensionCode]=CONT_TEA[[#This Row],[PensionCode]],PENS[SchoolCodes],""))))),1,0))</f>
        <v>0</v>
      </c>
      <c r="O322" s="57" cm="1">
        <f t="array" ref="O322">IF(_xlfn.XLOOKUP(CONT_TEA[[#This Row],[EquatedWeekPatternCode]],EQW[EquatedWeekPatternCode],EQW[AvailableToAllSchools],1,0,)=TRUE,0,IF(ISERROR(FIND(CONT_TEA[[#This Row],[SchoolCode]],_xlfn.TEXTJOIN(",",TRUE,_xlfn.UNIQUE(IF(EQW[EquatedWeekPatternCode]=CONT_TEA[[#This Row],[EquatedWeekPatternCode]],EQW[SchoolCodes],""))))),1,0))</f>
        <v>0</v>
      </c>
      <c r="P322" s="57">
        <f>1-COUNTIF(ContractTypes[Code],CONT_TEA[[#This Row],[ContractTypeCode]])</f>
        <v>0</v>
      </c>
      <c r="Q322" s="57">
        <f>IF(VLOOKUP(CONT_TEA[[#This Row],[StaffMemberCode]],MEMBERS[[StaffMemberCode]:[ServiceStartDate]],5,0)&gt;CONT_TEA[[#This Row],[DateFrom]],1,0)</f>
        <v>0</v>
      </c>
      <c r="R322" s="57">
        <f>IF(_xlfn.XLOOKUP(CONT_TEA[[#This Row],[StaffMemberCode]],MEMBERS[StaffMemberCode],MEMBERS[ServiceEndDate])="",0,IF(CONT_TEA[[#This Row],[DateTo]]="",1,IF(_xlfn.XLOOKUP(CONT_TEA[[#This Row],[StaffMemberCode]],MEMBERS[StaffMemberCode],MEMBERS[ServiceEndDate])&lt;CONT_TEA[[#This Row],[DateTo]],1,0)))</f>
        <v>0</v>
      </c>
      <c r="S322" s="57">
        <f>IF(ISBLANK(CONT_TEA[[#This Row],[DateTo]]),0,IF(CONT_TEA[[#This Row],[DateFrom]]=CONT_TEA[[#This Row],[DateTo]],0,IF(CONT_TEA[[#This Row],[DateFrom]]&lt;CONT_TEA[[#This Row],[DateTo]],0,1)))</f>
        <v>0</v>
      </c>
      <c r="T322" s="57" cm="1">
        <f t="array" aca="1" ref="T322" ca="1">IF(CELL("format",CONT_TEA[[#This Row],[DateFrom]])="D1",0,1)+IF(CELL("format",CONT_TEA[[#This Row],[DateTo]])="D1",0,1)</f>
        <v>0</v>
      </c>
      <c r="U322" s="57">
        <f>IF(OR(CONT_TEA[[#This Row],[MatEditOnly]]=TRUE,CONT_TEA[[#This Row],[MatEditOnly]]=FALSE),IF(OR(CONT_TEA[[#This Row],[NoIncrement]]=TRUE,CONT_TEA[[#This Row],[NoIncrement]]=FALSE),0,1),1)</f>
        <v>0</v>
      </c>
      <c r="V322" s="57">
        <f>IF(ISBLANK(CONT_TEA[[#This Row],[FundCode]])=TRUE,0,IF(COUNTIF(FUNDS[FundCode],CONT_TEA[[#This Row],[FundCode]])=1,0,1))</f>
        <v>0</v>
      </c>
      <c r="W322" s="57">
        <f>IF(LEN(CONT_TEA[[#This Row],[Notes]])&lt;4000,0,1)</f>
        <v>0</v>
      </c>
      <c r="X322" s="57">
        <f>IF(SUBSTITUTE(TEXT(CONT_TEA[[#This Row],[Reference]],10)," ","")=TEXT(CONT_TEA[[#This Row],[Reference]],10),0,1)</f>
        <v>0</v>
      </c>
      <c r="Y322" s="57">
        <f ca="1">SUM(CONT_TEA[[#This Row],[Duplicate Contract]:[Space in Code]])</f>
        <v>1</v>
      </c>
      <c r="AA322" s="12" t="s">
        <v>2126</v>
      </c>
      <c r="AB322" s="15">
        <v>10009818</v>
      </c>
      <c r="AC322" s="12">
        <v>108463</v>
      </c>
      <c r="AD322" s="57" t="str">
        <f>_xlfn.XLOOKUP(CONT_TEA[[#This Row],[StaffMemberCode]],StaffMembers!O:O,StaffMembers!R:R)</f>
        <v>Katie Southerton</v>
      </c>
      <c r="AE322" s="12" t="s">
        <v>1178</v>
      </c>
      <c r="AF322" s="57">
        <f>_xlfn.XLOOKUP(CONT_TEA[[#This Row],[SRG]],SRG[StaffRoleGroupCode],SRG[GrossSalaryFinanceCode])</f>
        <v>612100</v>
      </c>
      <c r="AG322" s="57" t="str">
        <f>_xlfn.XLOOKUP(CONT_TEA[[#This Row],[StaffRoleCode]],ROLES[StaffRoleCode],ROLES[StaffRoleGroupCode])</f>
        <v>TEA</v>
      </c>
      <c r="AH322" s="57" t="str">
        <f>_xlfn.XLOOKUP(CONT_TEA[[#This Row],[StaffRoleCode]],ROLES[StaffRoleCode],ROLES[PayScaleCode])</f>
        <v>MAIN</v>
      </c>
      <c r="AI322" s="12" t="s">
        <v>1126</v>
      </c>
      <c r="AJ322" s="12" t="s">
        <v>1546</v>
      </c>
      <c r="AK322" s="12" t="s">
        <v>2499</v>
      </c>
      <c r="AM322" s="68" t="s">
        <v>1147</v>
      </c>
      <c r="AN322" s="13" t="s">
        <v>1702</v>
      </c>
      <c r="AO322" s="21">
        <v>46023</v>
      </c>
      <c r="AQ322" s="12">
        <v>0.6</v>
      </c>
      <c r="AR322" t="b">
        <v>0</v>
      </c>
      <c r="AS322" t="b">
        <v>0</v>
      </c>
      <c r="AT322" s="12" t="s">
        <v>1573</v>
      </c>
    </row>
    <row r="323" spans="1:46" x14ac:dyDescent="0.3">
      <c r="A323" s="57" t="str">
        <f t="shared" si="7"/>
        <v>MLB10005369106147TEASTCH46023</v>
      </c>
      <c r="B323" s="57">
        <f>COUNTIF(CONT_TEA[Unique Contract],CONT_TEA[[#This Row],[Unique Contract]])-1</f>
        <v>0</v>
      </c>
      <c r="C323" s="57">
        <f>IFERROR(IF(FIND(CONT_TEA[[#This Row],[SchoolCode]],_xlfn.XLOOKUP(CONT_TEA[[#This Row],[StaffMemberCode]],MEMBERS[StaffMemberCode],MEMBERS[SchoolCodes]))&gt;0,0,1),1)</f>
        <v>0</v>
      </c>
      <c r="D323" s="57" cm="1">
        <f t="array" ref="D323">IF(_xlfn.XLOOKUP(CONT_TEA[[#This Row],[StaffRoleCode]],ROLES[StaffRoleCode],ROLES[AvailableToAllSchools],1,0,)=TRUE,0,IF(ISERROR(FIND(CONT_TEA[[#This Row],[SchoolCode]],_xlfn.TEXTJOIN(",",TRUE,_xlfn.UNIQUE(IF(ROLES[StaffRoleCode]=CONT_TEA[[#This Row],[StaffRoleCode]],ROLES[SchoolCodes],""))))),1,0))</f>
        <v>0</v>
      </c>
      <c r="E323" s="57" cm="1">
        <f t="array" ref="E32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23" s="57" cm="1">
        <f t="array" ref="F323">IF(_xlfn.XLOOKUP(CONT_TEA[[#This Row],[PayScaleCode]],PAYSCALES[PayScaleCode],PAYSCALES[AvailableToAllSchools],1,0,)=TRUE,0,IF(ISERROR(FIND(CONT_TEA[[#This Row],[SchoolCode]],_xlfn.TEXTJOIN(",",TRUE,_xlfn.UNIQUE(IF(PAYSCALES[PayScaleCode]=CONT_TEA[[#This Row],[PayScaleCode]],PAYSCALES[SchoolCodes],""))))),1,0))</f>
        <v>0</v>
      </c>
      <c r="G323" s="57">
        <f>IF(_xlfn.XLOOKUP(CONT_TEA[[#This Row],[PayScaleGradeCode]],GRADES[PayScaleGradeCode],GRADES[AvailableToAllSchools])=TRUE,0,IFERROR(IF(FIND(CONT_TEA[[#This Row],[SchoolCode]],_xlfn.XLOOKUP(CONT_TEA[[#This Row],[PayScaleGradeCode]],GRADES[PayScaleGradeCode],GRADES[SchoolCodes]))&gt;=1,0,1),1))</f>
        <v>0</v>
      </c>
      <c r="H323" s="57">
        <f>IF(ISERROR(IF((_xlfn.XLOOKUP(CONT_TEA[[#This Row],[PayScaleGradeCode]],GRADES[PayScaleGradeCode],GRADES[PayScaleCode])=CONT_TEA[[#This Row],[PayScaleCode]]),0,1)),1,0)</f>
        <v>0</v>
      </c>
      <c r="I323" s="57" cm="1">
        <f t="array" ref="I323">IF(ISERROR(FIND(CONT_TEA[[#This Row],[PayScalePointCode]],_xlfn.TEXTJOIN(",",TRUE,IF(PSPOINTS[PayScaleCode]=CONT_TEA[[#This Row],[PayScaleCode]],PSPOINTS[PayScalePointCode])))),1,0)</f>
        <v>0</v>
      </c>
      <c r="J323" s="57" cm="1">
        <f t="array" ref="J32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23" s="57">
        <f>IF(_xlfn.XLOOKUP(CONT_TEA[[#This Row],[PayScalePointCode]],PSPOINTS[PayScalePointCode],PSPOINTS[PayScalePointEnabled])=TRUE,0,1)</f>
        <v>0</v>
      </c>
      <c r="L323" s="57" cm="1">
        <f t="array" ref="L323">IF(_xlfn.XLOOKUP(CONT_TEA[[#This Row],[DepartmentCode]],DEPTS[DepartmentCode],DEPTS[AvailableToAllSchools],1,0,)=TRUE,0,IF(ISERROR(FIND(CONT_TEA[[#This Row],[SchoolCode]],_xlfn.TEXTJOIN(",",TRUE,_xlfn.UNIQUE(IF(DEPTS[DepartmentCode]=CONT_TEA[[#This Row],[DepartmentCode]],DEPTS[SchoolCodes],""))))),1,0))</f>
        <v>0</v>
      </c>
      <c r="M323" s="57">
        <f>IFERROR(IF(_xlfn.XLOOKUP(CONT_TEA[[#This Row],[SRG Gross]],FinanceCodesBudget[FinanceCode],FinanceCodesBudget[LedgerCode])=_xlfn.XLOOKUP(CONT_TEA[[#This Row],[DepartmentCode]],DEPTS[DepartmentCode],DEPTS[LedgerCode]),0,1),1)</f>
        <v>1</v>
      </c>
      <c r="N323" s="57" cm="1">
        <f t="array" ref="N323">IF(_xlfn.XLOOKUP(CONT_TEA[[#This Row],[PensionCode]],PENS[PensionCode],PENS[AvailableToAllSchools],1,0,)=TRUE,0,IF(ISERROR(FIND(CONT_TEA[[#This Row],[SchoolCode]],_xlfn.TEXTJOIN(",",TRUE,_xlfn.UNIQUE(IF(PENS[PensionCode]=CONT_TEA[[#This Row],[PensionCode]],PENS[SchoolCodes],""))))),1,0))</f>
        <v>0</v>
      </c>
      <c r="O323" s="57" cm="1">
        <f t="array" ref="O323">IF(_xlfn.XLOOKUP(CONT_TEA[[#This Row],[EquatedWeekPatternCode]],EQW[EquatedWeekPatternCode],EQW[AvailableToAllSchools],1,0,)=TRUE,0,IF(ISERROR(FIND(CONT_TEA[[#This Row],[SchoolCode]],_xlfn.TEXTJOIN(",",TRUE,_xlfn.UNIQUE(IF(EQW[EquatedWeekPatternCode]=CONT_TEA[[#This Row],[EquatedWeekPatternCode]],EQW[SchoolCodes],""))))),1,0))</f>
        <v>0</v>
      </c>
      <c r="P323" s="57">
        <f>1-COUNTIF(ContractTypes[Code],CONT_TEA[[#This Row],[ContractTypeCode]])</f>
        <v>0</v>
      </c>
      <c r="Q323" s="57">
        <f>IF(VLOOKUP(CONT_TEA[[#This Row],[StaffMemberCode]],MEMBERS[[StaffMemberCode]:[ServiceStartDate]],5,0)&gt;CONT_TEA[[#This Row],[DateFrom]],1,0)</f>
        <v>0</v>
      </c>
      <c r="R323" s="57">
        <f>IF(_xlfn.XLOOKUP(CONT_TEA[[#This Row],[StaffMemberCode]],MEMBERS[StaffMemberCode],MEMBERS[ServiceEndDate])="",0,IF(CONT_TEA[[#This Row],[DateTo]]="",1,IF(_xlfn.XLOOKUP(CONT_TEA[[#This Row],[StaffMemberCode]],MEMBERS[StaffMemberCode],MEMBERS[ServiceEndDate])&lt;CONT_TEA[[#This Row],[DateTo]],1,0)))</f>
        <v>0</v>
      </c>
      <c r="S323" s="57">
        <f>IF(ISBLANK(CONT_TEA[[#This Row],[DateTo]]),0,IF(CONT_TEA[[#This Row],[DateFrom]]=CONT_TEA[[#This Row],[DateTo]],0,IF(CONT_TEA[[#This Row],[DateFrom]]&lt;CONT_TEA[[#This Row],[DateTo]],0,1)))</f>
        <v>0</v>
      </c>
      <c r="T323" s="57" cm="1">
        <f t="array" aca="1" ref="T323" ca="1">IF(CELL("format",CONT_TEA[[#This Row],[DateFrom]])="D1",0,1)+IF(CELL("format",CONT_TEA[[#This Row],[DateTo]])="D1",0,1)</f>
        <v>0</v>
      </c>
      <c r="U323" s="57">
        <f>IF(OR(CONT_TEA[[#This Row],[MatEditOnly]]=TRUE,CONT_TEA[[#This Row],[MatEditOnly]]=FALSE),IF(OR(CONT_TEA[[#This Row],[NoIncrement]]=TRUE,CONT_TEA[[#This Row],[NoIncrement]]=FALSE),0,1),1)</f>
        <v>0</v>
      </c>
      <c r="V323" s="57">
        <f>IF(ISBLANK(CONT_TEA[[#This Row],[FundCode]])=TRUE,0,IF(COUNTIF(FUNDS[FundCode],CONT_TEA[[#This Row],[FundCode]])=1,0,1))</f>
        <v>0</v>
      </c>
      <c r="W323" s="57">
        <f>IF(LEN(CONT_TEA[[#This Row],[Notes]])&lt;4000,0,1)</f>
        <v>0</v>
      </c>
      <c r="X323" s="57">
        <f>IF(SUBSTITUTE(TEXT(CONT_TEA[[#This Row],[Reference]],10)," ","")=TEXT(CONT_TEA[[#This Row],[Reference]],10),0,1)</f>
        <v>0</v>
      </c>
      <c r="Y323" s="57">
        <f ca="1">SUM(CONT_TEA[[#This Row],[Duplicate Contract]:[Space in Code]])</f>
        <v>1</v>
      </c>
      <c r="AA323" s="12" t="s">
        <v>2126</v>
      </c>
      <c r="AB323" s="15">
        <v>10005369</v>
      </c>
      <c r="AC323" s="12">
        <v>106147</v>
      </c>
      <c r="AD323" s="57" t="str">
        <f>_xlfn.XLOOKUP(CONT_TEA[[#This Row],[StaffMemberCode]],StaffMembers!O:O,StaffMembers!R:R)</f>
        <v>Nicola Jones</v>
      </c>
      <c r="AE323" s="12" t="s">
        <v>1178</v>
      </c>
      <c r="AF323" s="57">
        <f>_xlfn.XLOOKUP(CONT_TEA[[#This Row],[SRG]],SRG[StaffRoleGroupCode],SRG[GrossSalaryFinanceCode])</f>
        <v>612100</v>
      </c>
      <c r="AG323" s="57" t="str">
        <f>_xlfn.XLOOKUP(CONT_TEA[[#This Row],[StaffRoleCode]],ROLES[StaffRoleCode],ROLES[StaffRoleGroupCode])</f>
        <v>TEA</v>
      </c>
      <c r="AH323" s="57" t="str">
        <f>_xlfn.XLOOKUP(CONT_TEA[[#This Row],[StaffRoleCode]],ROLES[StaffRoleCode],ROLES[PayScaleCode])</f>
        <v>MAIN</v>
      </c>
      <c r="AI323" s="12" t="s">
        <v>1126</v>
      </c>
      <c r="AJ323" s="12" t="s">
        <v>1546</v>
      </c>
      <c r="AK323" s="12" t="s">
        <v>2499</v>
      </c>
      <c r="AM323" s="68" t="s">
        <v>1147</v>
      </c>
      <c r="AN323" s="13" t="s">
        <v>1702</v>
      </c>
      <c r="AO323" s="21">
        <v>46023</v>
      </c>
      <c r="AQ323" s="12">
        <v>1</v>
      </c>
      <c r="AR323" t="b">
        <v>0</v>
      </c>
      <c r="AS323" t="b">
        <v>0</v>
      </c>
      <c r="AT323" s="12" t="s">
        <v>1574</v>
      </c>
    </row>
    <row r="324" spans="1:46" x14ac:dyDescent="0.3">
      <c r="A324" s="57" t="str">
        <f t="shared" ref="A324:A338" si="8">AA324&amp;AB324&amp;AC324&amp;AE324&amp;AK324&amp;AO324</f>
        <v>MLB10007346108314TEASTCH46023</v>
      </c>
      <c r="B324" s="57">
        <f>COUNTIF(CONT_TEA[Unique Contract],CONT_TEA[[#This Row],[Unique Contract]])-1</f>
        <v>0</v>
      </c>
      <c r="C324" s="57">
        <f>IFERROR(IF(FIND(CONT_TEA[[#This Row],[SchoolCode]],_xlfn.XLOOKUP(CONT_TEA[[#This Row],[StaffMemberCode]],MEMBERS[StaffMemberCode],MEMBERS[SchoolCodes]))&gt;0,0,1),1)</f>
        <v>0</v>
      </c>
      <c r="D324" s="57" cm="1">
        <f t="array" ref="D324">IF(_xlfn.XLOOKUP(CONT_TEA[[#This Row],[StaffRoleCode]],ROLES[StaffRoleCode],ROLES[AvailableToAllSchools],1,0,)=TRUE,0,IF(ISERROR(FIND(CONT_TEA[[#This Row],[SchoolCode]],_xlfn.TEXTJOIN(",",TRUE,_xlfn.UNIQUE(IF(ROLES[StaffRoleCode]=CONT_TEA[[#This Row],[StaffRoleCode]],ROLES[SchoolCodes],""))))),1,0))</f>
        <v>0</v>
      </c>
      <c r="E324" s="57" cm="1">
        <f t="array" ref="E32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24" s="57" cm="1">
        <f t="array" ref="F324">IF(_xlfn.XLOOKUP(CONT_TEA[[#This Row],[PayScaleCode]],PAYSCALES[PayScaleCode],PAYSCALES[AvailableToAllSchools],1,0,)=TRUE,0,IF(ISERROR(FIND(CONT_TEA[[#This Row],[SchoolCode]],_xlfn.TEXTJOIN(",",TRUE,_xlfn.UNIQUE(IF(PAYSCALES[PayScaleCode]=CONT_TEA[[#This Row],[PayScaleCode]],PAYSCALES[SchoolCodes],""))))),1,0))</f>
        <v>0</v>
      </c>
      <c r="G324" s="57">
        <f>IF(_xlfn.XLOOKUP(CONT_TEA[[#This Row],[PayScaleGradeCode]],GRADES[PayScaleGradeCode],GRADES[AvailableToAllSchools])=TRUE,0,IFERROR(IF(FIND(CONT_TEA[[#This Row],[SchoolCode]],_xlfn.XLOOKUP(CONT_TEA[[#This Row],[PayScaleGradeCode]],GRADES[PayScaleGradeCode],GRADES[SchoolCodes]))&gt;=1,0,1),1))</f>
        <v>0</v>
      </c>
      <c r="H324" s="57">
        <f>IF(ISERROR(IF((_xlfn.XLOOKUP(CONT_TEA[[#This Row],[PayScaleGradeCode]],GRADES[PayScaleGradeCode],GRADES[PayScaleCode])=CONT_TEA[[#This Row],[PayScaleCode]]),0,1)),1,0)</f>
        <v>0</v>
      </c>
      <c r="I324" s="57" cm="1">
        <f t="array" ref="I324">IF(ISERROR(FIND(CONT_TEA[[#This Row],[PayScalePointCode]],_xlfn.TEXTJOIN(",",TRUE,IF(PSPOINTS[PayScaleCode]=CONT_TEA[[#This Row],[PayScaleCode]],PSPOINTS[PayScalePointCode])))),1,0)</f>
        <v>0</v>
      </c>
      <c r="J324" s="57" cm="1">
        <f t="array" ref="J32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24" s="57">
        <f>IF(_xlfn.XLOOKUP(CONT_TEA[[#This Row],[PayScalePointCode]],PSPOINTS[PayScalePointCode],PSPOINTS[PayScalePointEnabled])=TRUE,0,1)</f>
        <v>0</v>
      </c>
      <c r="L324" s="57" cm="1">
        <f t="array" ref="L324">IF(_xlfn.XLOOKUP(CONT_TEA[[#This Row],[DepartmentCode]],DEPTS[DepartmentCode],DEPTS[AvailableToAllSchools],1,0,)=TRUE,0,IF(ISERROR(FIND(CONT_TEA[[#This Row],[SchoolCode]],_xlfn.TEXTJOIN(",",TRUE,_xlfn.UNIQUE(IF(DEPTS[DepartmentCode]=CONT_TEA[[#This Row],[DepartmentCode]],DEPTS[SchoolCodes],""))))),1,0))</f>
        <v>0</v>
      </c>
      <c r="M324" s="57">
        <f>IFERROR(IF(_xlfn.XLOOKUP(CONT_TEA[[#This Row],[SRG Gross]],FinanceCodesBudget[FinanceCode],FinanceCodesBudget[LedgerCode])=_xlfn.XLOOKUP(CONT_TEA[[#This Row],[DepartmentCode]],DEPTS[DepartmentCode],DEPTS[LedgerCode]),0,1),1)</f>
        <v>1</v>
      </c>
      <c r="N324" s="57" cm="1">
        <f t="array" ref="N324">IF(_xlfn.XLOOKUP(CONT_TEA[[#This Row],[PensionCode]],PENS[PensionCode],PENS[AvailableToAllSchools],1,0,)=TRUE,0,IF(ISERROR(FIND(CONT_TEA[[#This Row],[SchoolCode]],_xlfn.TEXTJOIN(",",TRUE,_xlfn.UNIQUE(IF(PENS[PensionCode]=CONT_TEA[[#This Row],[PensionCode]],PENS[SchoolCodes],""))))),1,0))</f>
        <v>0</v>
      </c>
      <c r="O324" s="57" cm="1">
        <f t="array" ref="O324">IF(_xlfn.XLOOKUP(CONT_TEA[[#This Row],[EquatedWeekPatternCode]],EQW[EquatedWeekPatternCode],EQW[AvailableToAllSchools],1,0,)=TRUE,0,IF(ISERROR(FIND(CONT_TEA[[#This Row],[SchoolCode]],_xlfn.TEXTJOIN(",",TRUE,_xlfn.UNIQUE(IF(EQW[EquatedWeekPatternCode]=CONT_TEA[[#This Row],[EquatedWeekPatternCode]],EQW[SchoolCodes],""))))),1,0))</f>
        <v>0</v>
      </c>
      <c r="P324" s="57">
        <f>1-COUNTIF(ContractTypes[Code],CONT_TEA[[#This Row],[ContractTypeCode]])</f>
        <v>0</v>
      </c>
      <c r="Q324" s="57">
        <f>IF(VLOOKUP(CONT_TEA[[#This Row],[StaffMemberCode]],MEMBERS[[StaffMemberCode]:[ServiceStartDate]],5,0)&gt;CONT_TEA[[#This Row],[DateFrom]],1,0)</f>
        <v>0</v>
      </c>
      <c r="R324" s="57">
        <f>IF(_xlfn.XLOOKUP(CONT_TEA[[#This Row],[StaffMemberCode]],MEMBERS[StaffMemberCode],MEMBERS[ServiceEndDate])="",0,IF(CONT_TEA[[#This Row],[DateTo]]="",1,IF(_xlfn.XLOOKUP(CONT_TEA[[#This Row],[StaffMemberCode]],MEMBERS[StaffMemberCode],MEMBERS[ServiceEndDate])&lt;CONT_TEA[[#This Row],[DateTo]],1,0)))</f>
        <v>0</v>
      </c>
      <c r="S324" s="57">
        <f>IF(ISBLANK(CONT_TEA[[#This Row],[DateTo]]),0,IF(CONT_TEA[[#This Row],[DateFrom]]=CONT_TEA[[#This Row],[DateTo]],0,IF(CONT_TEA[[#This Row],[DateFrom]]&lt;CONT_TEA[[#This Row],[DateTo]],0,1)))</f>
        <v>0</v>
      </c>
      <c r="T324" s="57" cm="1">
        <f t="array" aca="1" ref="T324" ca="1">IF(CELL("format",CONT_TEA[[#This Row],[DateFrom]])="D1",0,1)+IF(CELL("format",CONT_TEA[[#This Row],[DateTo]])="D1",0,1)</f>
        <v>0</v>
      </c>
      <c r="U324" s="57">
        <f>IF(OR(CONT_TEA[[#This Row],[MatEditOnly]]=TRUE,CONT_TEA[[#This Row],[MatEditOnly]]=FALSE),IF(OR(CONT_TEA[[#This Row],[NoIncrement]]=TRUE,CONT_TEA[[#This Row],[NoIncrement]]=FALSE),0,1),1)</f>
        <v>0</v>
      </c>
      <c r="V324" s="57">
        <f>IF(ISBLANK(CONT_TEA[[#This Row],[FundCode]])=TRUE,0,IF(COUNTIF(FUNDS[FundCode],CONT_TEA[[#This Row],[FundCode]])=1,0,1))</f>
        <v>0</v>
      </c>
      <c r="W324" s="57">
        <f>IF(LEN(CONT_TEA[[#This Row],[Notes]])&lt;4000,0,1)</f>
        <v>0</v>
      </c>
      <c r="X324" s="57">
        <f>IF(SUBSTITUTE(TEXT(CONT_TEA[[#This Row],[Reference]],10)," ","")=TEXT(CONT_TEA[[#This Row],[Reference]],10),0,1)</f>
        <v>0</v>
      </c>
      <c r="Y324" s="57">
        <f ca="1">SUM(CONT_TEA[[#This Row],[Duplicate Contract]:[Space in Code]])</f>
        <v>1</v>
      </c>
      <c r="AA324" s="12" t="s">
        <v>2126</v>
      </c>
      <c r="AB324" s="15">
        <v>10007346</v>
      </c>
      <c r="AC324" s="12">
        <v>108314</v>
      </c>
      <c r="AD324" s="57" t="str">
        <f>_xlfn.XLOOKUP(CONT_TEA[[#This Row],[StaffMemberCode]],StaffMembers!O:O,StaffMembers!R:R)</f>
        <v>Rebecca Willmott</v>
      </c>
      <c r="AE324" s="12" t="s">
        <v>1178</v>
      </c>
      <c r="AF324" s="57">
        <f>_xlfn.XLOOKUP(CONT_TEA[[#This Row],[SRG]],SRG[StaffRoleGroupCode],SRG[GrossSalaryFinanceCode])</f>
        <v>612100</v>
      </c>
      <c r="AG324" s="57" t="str">
        <f>_xlfn.XLOOKUP(CONT_TEA[[#This Row],[StaffRoleCode]],ROLES[StaffRoleCode],ROLES[StaffRoleGroupCode])</f>
        <v>TEA</v>
      </c>
      <c r="AH324" s="57" t="str">
        <f>_xlfn.XLOOKUP(CONT_TEA[[#This Row],[StaffRoleCode]],ROLES[StaffRoleCode],ROLES[PayScaleCode])</f>
        <v>MAIN</v>
      </c>
      <c r="AI324" s="12" t="s">
        <v>1126</v>
      </c>
      <c r="AJ324" s="12" t="s">
        <v>1546</v>
      </c>
      <c r="AK324" s="12" t="s">
        <v>2499</v>
      </c>
      <c r="AM324" s="68" t="s">
        <v>1147</v>
      </c>
      <c r="AN324" s="13" t="s">
        <v>1702</v>
      </c>
      <c r="AO324" s="21">
        <v>46023</v>
      </c>
      <c r="AQ324" s="12">
        <v>1</v>
      </c>
      <c r="AR324" t="b">
        <v>0</v>
      </c>
      <c r="AS324" t="b">
        <v>0</v>
      </c>
      <c r="AT324" s="12" t="s">
        <v>1574</v>
      </c>
    </row>
    <row r="325" spans="1:46" x14ac:dyDescent="0.3">
      <c r="A325" s="57" t="str">
        <f t="shared" si="8"/>
        <v>MLB10014640109637TEASTCH46023</v>
      </c>
      <c r="B325" s="57">
        <f>COUNTIF(CONT_TEA[Unique Contract],CONT_TEA[[#This Row],[Unique Contract]])-1</f>
        <v>0</v>
      </c>
      <c r="C325" s="57">
        <f>IFERROR(IF(FIND(CONT_TEA[[#This Row],[SchoolCode]],_xlfn.XLOOKUP(CONT_TEA[[#This Row],[StaffMemberCode]],MEMBERS[StaffMemberCode],MEMBERS[SchoolCodes]))&gt;0,0,1),1)</f>
        <v>0</v>
      </c>
      <c r="D325" s="57" cm="1">
        <f t="array" ref="D325">IF(_xlfn.XLOOKUP(CONT_TEA[[#This Row],[StaffRoleCode]],ROLES[StaffRoleCode],ROLES[AvailableToAllSchools],1,0,)=TRUE,0,IF(ISERROR(FIND(CONT_TEA[[#This Row],[SchoolCode]],_xlfn.TEXTJOIN(",",TRUE,_xlfn.UNIQUE(IF(ROLES[StaffRoleCode]=CONT_TEA[[#This Row],[StaffRoleCode]],ROLES[SchoolCodes],""))))),1,0))</f>
        <v>0</v>
      </c>
      <c r="E325" s="57" cm="1">
        <f t="array" ref="E32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25" s="57" cm="1">
        <f t="array" ref="F325">IF(_xlfn.XLOOKUP(CONT_TEA[[#This Row],[PayScaleCode]],PAYSCALES[PayScaleCode],PAYSCALES[AvailableToAllSchools],1,0,)=TRUE,0,IF(ISERROR(FIND(CONT_TEA[[#This Row],[SchoolCode]],_xlfn.TEXTJOIN(",",TRUE,_xlfn.UNIQUE(IF(PAYSCALES[PayScaleCode]=CONT_TEA[[#This Row],[PayScaleCode]],PAYSCALES[SchoolCodes],""))))),1,0))</f>
        <v>0</v>
      </c>
      <c r="G325" s="57">
        <f>IF(_xlfn.XLOOKUP(CONT_TEA[[#This Row],[PayScaleGradeCode]],GRADES[PayScaleGradeCode],GRADES[AvailableToAllSchools])=TRUE,0,IFERROR(IF(FIND(CONT_TEA[[#This Row],[SchoolCode]],_xlfn.XLOOKUP(CONT_TEA[[#This Row],[PayScaleGradeCode]],GRADES[PayScaleGradeCode],GRADES[SchoolCodes]))&gt;=1,0,1),1))</f>
        <v>0</v>
      </c>
      <c r="H325" s="57">
        <f>IF(ISERROR(IF((_xlfn.XLOOKUP(CONT_TEA[[#This Row],[PayScaleGradeCode]],GRADES[PayScaleGradeCode],GRADES[PayScaleCode])=CONT_TEA[[#This Row],[PayScaleCode]]),0,1)),1,0)</f>
        <v>0</v>
      </c>
      <c r="I325" s="57" cm="1">
        <f t="array" ref="I325">IF(ISERROR(FIND(CONT_TEA[[#This Row],[PayScalePointCode]],_xlfn.TEXTJOIN(",",TRUE,IF(PSPOINTS[PayScaleCode]=CONT_TEA[[#This Row],[PayScaleCode]],PSPOINTS[PayScalePointCode])))),1,0)</f>
        <v>0</v>
      </c>
      <c r="J325" s="57" cm="1">
        <f t="array" ref="J32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25" s="57">
        <f>IF(_xlfn.XLOOKUP(CONT_TEA[[#This Row],[PayScalePointCode]],PSPOINTS[PayScalePointCode],PSPOINTS[PayScalePointEnabled])=TRUE,0,1)</f>
        <v>0</v>
      </c>
      <c r="L325" s="57" cm="1">
        <f t="array" ref="L325">IF(_xlfn.XLOOKUP(CONT_TEA[[#This Row],[DepartmentCode]],DEPTS[DepartmentCode],DEPTS[AvailableToAllSchools],1,0,)=TRUE,0,IF(ISERROR(FIND(CONT_TEA[[#This Row],[SchoolCode]],_xlfn.TEXTJOIN(",",TRUE,_xlfn.UNIQUE(IF(DEPTS[DepartmentCode]=CONT_TEA[[#This Row],[DepartmentCode]],DEPTS[SchoolCodes],""))))),1,0))</f>
        <v>0</v>
      </c>
      <c r="M325" s="57">
        <f>IFERROR(IF(_xlfn.XLOOKUP(CONT_TEA[[#This Row],[SRG Gross]],FinanceCodesBudget[FinanceCode],FinanceCodesBudget[LedgerCode])=_xlfn.XLOOKUP(CONT_TEA[[#This Row],[DepartmentCode]],DEPTS[DepartmentCode],DEPTS[LedgerCode]),0,1),1)</f>
        <v>1</v>
      </c>
      <c r="N325" s="57" cm="1">
        <f t="array" ref="N325">IF(_xlfn.XLOOKUP(CONT_TEA[[#This Row],[PensionCode]],PENS[PensionCode],PENS[AvailableToAllSchools],1,0,)=TRUE,0,IF(ISERROR(FIND(CONT_TEA[[#This Row],[SchoolCode]],_xlfn.TEXTJOIN(",",TRUE,_xlfn.UNIQUE(IF(PENS[PensionCode]=CONT_TEA[[#This Row],[PensionCode]],PENS[SchoolCodes],""))))),1,0))</f>
        <v>0</v>
      </c>
      <c r="O325" s="57" cm="1">
        <f t="array" ref="O325">IF(_xlfn.XLOOKUP(CONT_TEA[[#This Row],[EquatedWeekPatternCode]],EQW[EquatedWeekPatternCode],EQW[AvailableToAllSchools],1,0,)=TRUE,0,IF(ISERROR(FIND(CONT_TEA[[#This Row],[SchoolCode]],_xlfn.TEXTJOIN(",",TRUE,_xlfn.UNIQUE(IF(EQW[EquatedWeekPatternCode]=CONT_TEA[[#This Row],[EquatedWeekPatternCode]],EQW[SchoolCodes],""))))),1,0))</f>
        <v>0</v>
      </c>
      <c r="P325" s="57">
        <f>1-COUNTIF(ContractTypes[Code],CONT_TEA[[#This Row],[ContractTypeCode]])</f>
        <v>0</v>
      </c>
      <c r="Q325" s="57">
        <f>IF(VLOOKUP(CONT_TEA[[#This Row],[StaffMemberCode]],MEMBERS[[StaffMemberCode]:[ServiceStartDate]],5,0)&gt;CONT_TEA[[#This Row],[DateFrom]],1,0)</f>
        <v>0</v>
      </c>
      <c r="R325" s="57">
        <f>IF(_xlfn.XLOOKUP(CONT_TEA[[#This Row],[StaffMemberCode]],MEMBERS[StaffMemberCode],MEMBERS[ServiceEndDate])="",0,IF(CONT_TEA[[#This Row],[DateTo]]="",1,IF(_xlfn.XLOOKUP(CONT_TEA[[#This Row],[StaffMemberCode]],MEMBERS[StaffMemberCode],MEMBERS[ServiceEndDate])&lt;CONT_TEA[[#This Row],[DateTo]],1,0)))</f>
        <v>0</v>
      </c>
      <c r="S325" s="57">
        <f>IF(ISBLANK(CONT_TEA[[#This Row],[DateTo]]),0,IF(CONT_TEA[[#This Row],[DateFrom]]=CONT_TEA[[#This Row],[DateTo]],0,IF(CONT_TEA[[#This Row],[DateFrom]]&lt;CONT_TEA[[#This Row],[DateTo]],0,1)))</f>
        <v>0</v>
      </c>
      <c r="T325" s="57" cm="1">
        <f t="array" aca="1" ref="T325" ca="1">IF(CELL("format",CONT_TEA[[#This Row],[DateFrom]])="D1",0,1)+IF(CELL("format",CONT_TEA[[#This Row],[DateTo]])="D1",0,1)</f>
        <v>0</v>
      </c>
      <c r="U325" s="57">
        <f>IF(OR(CONT_TEA[[#This Row],[MatEditOnly]]=TRUE,CONT_TEA[[#This Row],[MatEditOnly]]=FALSE),IF(OR(CONT_TEA[[#This Row],[NoIncrement]]=TRUE,CONT_TEA[[#This Row],[NoIncrement]]=FALSE),0,1),1)</f>
        <v>0</v>
      </c>
      <c r="V325" s="57">
        <f>IF(ISBLANK(CONT_TEA[[#This Row],[FundCode]])=TRUE,0,IF(COUNTIF(FUNDS[FundCode],CONT_TEA[[#This Row],[FundCode]])=1,0,1))</f>
        <v>0</v>
      </c>
      <c r="W325" s="57">
        <f>IF(LEN(CONT_TEA[[#This Row],[Notes]])&lt;4000,0,1)</f>
        <v>0</v>
      </c>
      <c r="X325" s="57">
        <f>IF(SUBSTITUTE(TEXT(CONT_TEA[[#This Row],[Reference]],10)," ","")=TEXT(CONT_TEA[[#This Row],[Reference]],10),0,1)</f>
        <v>0</v>
      </c>
      <c r="Y325" s="57">
        <f ca="1">SUM(CONT_TEA[[#This Row],[Duplicate Contract]:[Space in Code]])</f>
        <v>1</v>
      </c>
      <c r="AA325" s="12" t="s">
        <v>2126</v>
      </c>
      <c r="AB325" s="15">
        <v>10014640</v>
      </c>
      <c r="AC325" s="12">
        <v>109637</v>
      </c>
      <c r="AD325" s="57" t="str">
        <f>_xlfn.XLOOKUP(CONT_TEA[[#This Row],[StaffMemberCode]],StaffMembers!O:O,StaffMembers!R:R)</f>
        <v>Samuel Russell</v>
      </c>
      <c r="AE325" s="12" t="s">
        <v>1178</v>
      </c>
      <c r="AF325" s="57">
        <f>_xlfn.XLOOKUP(CONT_TEA[[#This Row],[SRG]],SRG[StaffRoleGroupCode],SRG[GrossSalaryFinanceCode])</f>
        <v>612100</v>
      </c>
      <c r="AG325" s="57" t="str">
        <f>_xlfn.XLOOKUP(CONT_TEA[[#This Row],[StaffRoleCode]],ROLES[StaffRoleCode],ROLES[StaffRoleGroupCode])</f>
        <v>TEA</v>
      </c>
      <c r="AH325" s="57" t="str">
        <f>_xlfn.XLOOKUP(CONT_TEA[[#This Row],[StaffRoleCode]],ROLES[StaffRoleCode],ROLES[PayScaleCode])</f>
        <v>MAIN</v>
      </c>
      <c r="AI325" s="12" t="s">
        <v>1126</v>
      </c>
      <c r="AJ325" s="12" t="s">
        <v>1546</v>
      </c>
      <c r="AK325" s="12" t="s">
        <v>2499</v>
      </c>
      <c r="AM325" s="68" t="s">
        <v>1147</v>
      </c>
      <c r="AN325" s="13" t="s">
        <v>1702</v>
      </c>
      <c r="AO325" s="21">
        <v>46023</v>
      </c>
      <c r="AQ325" s="12">
        <v>1</v>
      </c>
      <c r="AR325" t="b">
        <v>0</v>
      </c>
      <c r="AS325" t="b">
        <v>0</v>
      </c>
      <c r="AT325" s="12" t="s">
        <v>1574</v>
      </c>
    </row>
    <row r="326" spans="1:46" x14ac:dyDescent="0.3">
      <c r="A326" s="57" t="str">
        <f t="shared" si="8"/>
        <v>MLB10014582106414TEASTCH46023</v>
      </c>
      <c r="B326" s="57">
        <f>COUNTIF(CONT_TEA[Unique Contract],CONT_TEA[[#This Row],[Unique Contract]])-1</f>
        <v>0</v>
      </c>
      <c r="C326" s="57">
        <f>IFERROR(IF(FIND(CONT_TEA[[#This Row],[SchoolCode]],_xlfn.XLOOKUP(CONT_TEA[[#This Row],[StaffMemberCode]],MEMBERS[StaffMemberCode],MEMBERS[SchoolCodes]))&gt;0,0,1),1)</f>
        <v>0</v>
      </c>
      <c r="D326" s="57" cm="1">
        <f t="array" ref="D326">IF(_xlfn.XLOOKUP(CONT_TEA[[#This Row],[StaffRoleCode]],ROLES[StaffRoleCode],ROLES[AvailableToAllSchools],1,0,)=TRUE,0,IF(ISERROR(FIND(CONT_TEA[[#This Row],[SchoolCode]],_xlfn.TEXTJOIN(",",TRUE,_xlfn.UNIQUE(IF(ROLES[StaffRoleCode]=CONT_TEA[[#This Row],[StaffRoleCode]],ROLES[SchoolCodes],""))))),1,0))</f>
        <v>0</v>
      </c>
      <c r="E326" s="57" cm="1">
        <f t="array" ref="E32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26" s="57" cm="1">
        <f t="array" ref="F326">IF(_xlfn.XLOOKUP(CONT_TEA[[#This Row],[PayScaleCode]],PAYSCALES[PayScaleCode],PAYSCALES[AvailableToAllSchools],1,0,)=TRUE,0,IF(ISERROR(FIND(CONT_TEA[[#This Row],[SchoolCode]],_xlfn.TEXTJOIN(",",TRUE,_xlfn.UNIQUE(IF(PAYSCALES[PayScaleCode]=CONT_TEA[[#This Row],[PayScaleCode]],PAYSCALES[SchoolCodes],""))))),1,0))</f>
        <v>0</v>
      </c>
      <c r="G326" s="57">
        <f>IF(_xlfn.XLOOKUP(CONT_TEA[[#This Row],[PayScaleGradeCode]],GRADES[PayScaleGradeCode],GRADES[AvailableToAllSchools])=TRUE,0,IFERROR(IF(FIND(CONT_TEA[[#This Row],[SchoolCode]],_xlfn.XLOOKUP(CONT_TEA[[#This Row],[PayScaleGradeCode]],GRADES[PayScaleGradeCode],GRADES[SchoolCodes]))&gt;=1,0,1),1))</f>
        <v>0</v>
      </c>
      <c r="H326" s="57">
        <f>IF(ISERROR(IF((_xlfn.XLOOKUP(CONT_TEA[[#This Row],[PayScaleGradeCode]],GRADES[PayScaleGradeCode],GRADES[PayScaleCode])=CONT_TEA[[#This Row],[PayScaleCode]]),0,1)),1,0)</f>
        <v>0</v>
      </c>
      <c r="I326" s="57" cm="1">
        <f t="array" ref="I326">IF(ISERROR(FIND(CONT_TEA[[#This Row],[PayScalePointCode]],_xlfn.TEXTJOIN(",",TRUE,IF(PSPOINTS[PayScaleCode]=CONT_TEA[[#This Row],[PayScaleCode]],PSPOINTS[PayScalePointCode])))),1,0)</f>
        <v>0</v>
      </c>
      <c r="J326" s="57" cm="1">
        <f t="array" ref="J32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26" s="57">
        <f>IF(_xlfn.XLOOKUP(CONT_TEA[[#This Row],[PayScalePointCode]],PSPOINTS[PayScalePointCode],PSPOINTS[PayScalePointEnabled])=TRUE,0,1)</f>
        <v>0</v>
      </c>
      <c r="L326" s="57" cm="1">
        <f t="array" ref="L326">IF(_xlfn.XLOOKUP(CONT_TEA[[#This Row],[DepartmentCode]],DEPTS[DepartmentCode],DEPTS[AvailableToAllSchools],1,0,)=TRUE,0,IF(ISERROR(FIND(CONT_TEA[[#This Row],[SchoolCode]],_xlfn.TEXTJOIN(",",TRUE,_xlfn.UNIQUE(IF(DEPTS[DepartmentCode]=CONT_TEA[[#This Row],[DepartmentCode]],DEPTS[SchoolCodes],""))))),1,0))</f>
        <v>0</v>
      </c>
      <c r="M326" s="57">
        <f>IFERROR(IF(_xlfn.XLOOKUP(CONT_TEA[[#This Row],[SRG Gross]],FinanceCodesBudget[FinanceCode],FinanceCodesBudget[LedgerCode])=_xlfn.XLOOKUP(CONT_TEA[[#This Row],[DepartmentCode]],DEPTS[DepartmentCode],DEPTS[LedgerCode]),0,1),1)</f>
        <v>1</v>
      </c>
      <c r="N326" s="57" cm="1">
        <f t="array" ref="N326">IF(_xlfn.XLOOKUP(CONT_TEA[[#This Row],[PensionCode]],PENS[PensionCode],PENS[AvailableToAllSchools],1,0,)=TRUE,0,IF(ISERROR(FIND(CONT_TEA[[#This Row],[SchoolCode]],_xlfn.TEXTJOIN(",",TRUE,_xlfn.UNIQUE(IF(PENS[PensionCode]=CONT_TEA[[#This Row],[PensionCode]],PENS[SchoolCodes],""))))),1,0))</f>
        <v>0</v>
      </c>
      <c r="O326" s="57" cm="1">
        <f t="array" ref="O326">IF(_xlfn.XLOOKUP(CONT_TEA[[#This Row],[EquatedWeekPatternCode]],EQW[EquatedWeekPatternCode],EQW[AvailableToAllSchools],1,0,)=TRUE,0,IF(ISERROR(FIND(CONT_TEA[[#This Row],[SchoolCode]],_xlfn.TEXTJOIN(",",TRUE,_xlfn.UNIQUE(IF(EQW[EquatedWeekPatternCode]=CONT_TEA[[#This Row],[EquatedWeekPatternCode]],EQW[SchoolCodes],""))))),1,0))</f>
        <v>0</v>
      </c>
      <c r="P326" s="57">
        <f>1-COUNTIF(ContractTypes[Code],CONT_TEA[[#This Row],[ContractTypeCode]])</f>
        <v>0</v>
      </c>
      <c r="Q326" s="57">
        <f>IF(VLOOKUP(CONT_TEA[[#This Row],[StaffMemberCode]],MEMBERS[[StaffMemberCode]:[ServiceStartDate]],5,0)&gt;CONT_TEA[[#This Row],[DateFrom]],1,0)</f>
        <v>0</v>
      </c>
      <c r="R326" s="57">
        <f>IF(_xlfn.XLOOKUP(CONT_TEA[[#This Row],[StaffMemberCode]],MEMBERS[StaffMemberCode],MEMBERS[ServiceEndDate])="",0,IF(CONT_TEA[[#This Row],[DateTo]]="",1,IF(_xlfn.XLOOKUP(CONT_TEA[[#This Row],[StaffMemberCode]],MEMBERS[StaffMemberCode],MEMBERS[ServiceEndDate])&lt;CONT_TEA[[#This Row],[DateTo]],1,0)))</f>
        <v>0</v>
      </c>
      <c r="S326" s="57">
        <f>IF(ISBLANK(CONT_TEA[[#This Row],[DateTo]]),0,IF(CONT_TEA[[#This Row],[DateFrom]]=CONT_TEA[[#This Row],[DateTo]],0,IF(CONT_TEA[[#This Row],[DateFrom]]&lt;CONT_TEA[[#This Row],[DateTo]],0,1)))</f>
        <v>0</v>
      </c>
      <c r="T326" s="57" cm="1">
        <f t="array" aca="1" ref="T326" ca="1">IF(CELL("format",CONT_TEA[[#This Row],[DateFrom]])="D1",0,1)+IF(CELL("format",CONT_TEA[[#This Row],[DateTo]])="D1",0,1)</f>
        <v>0</v>
      </c>
      <c r="U326" s="57">
        <f>IF(OR(CONT_TEA[[#This Row],[MatEditOnly]]=TRUE,CONT_TEA[[#This Row],[MatEditOnly]]=FALSE),IF(OR(CONT_TEA[[#This Row],[NoIncrement]]=TRUE,CONT_TEA[[#This Row],[NoIncrement]]=FALSE),0,1),1)</f>
        <v>0</v>
      </c>
      <c r="V326" s="57">
        <f>IF(ISBLANK(CONT_TEA[[#This Row],[FundCode]])=TRUE,0,IF(COUNTIF(FUNDS[FundCode],CONT_TEA[[#This Row],[FundCode]])=1,0,1))</f>
        <v>0</v>
      </c>
      <c r="W326" s="57">
        <f>IF(LEN(CONT_TEA[[#This Row],[Notes]])&lt;4000,0,1)</f>
        <v>0</v>
      </c>
      <c r="X326" s="57">
        <f>IF(SUBSTITUTE(TEXT(CONT_TEA[[#This Row],[Reference]],10)," ","")=TEXT(CONT_TEA[[#This Row],[Reference]],10),0,1)</f>
        <v>0</v>
      </c>
      <c r="Y326" s="57">
        <f ca="1">SUM(CONT_TEA[[#This Row],[Duplicate Contract]:[Space in Code]])</f>
        <v>1</v>
      </c>
      <c r="AA326" s="12" t="s">
        <v>2126</v>
      </c>
      <c r="AB326" s="15">
        <v>10014582</v>
      </c>
      <c r="AC326" s="12">
        <v>106414</v>
      </c>
      <c r="AD326" s="57" t="str">
        <f>_xlfn.XLOOKUP(CONT_TEA[[#This Row],[StaffMemberCode]],StaffMembers!O:O,StaffMembers!R:R)</f>
        <v>Robin Neaum</v>
      </c>
      <c r="AE326" s="12" t="s">
        <v>1178</v>
      </c>
      <c r="AF326" s="57">
        <f>_xlfn.XLOOKUP(CONT_TEA[[#This Row],[SRG]],SRG[StaffRoleGroupCode],SRG[GrossSalaryFinanceCode])</f>
        <v>612100</v>
      </c>
      <c r="AG326" s="57" t="str">
        <f>_xlfn.XLOOKUP(CONT_TEA[[#This Row],[StaffRoleCode]],ROLES[StaffRoleCode],ROLES[StaffRoleGroupCode])</f>
        <v>TEA</v>
      </c>
      <c r="AH326" s="57" t="str">
        <f>_xlfn.XLOOKUP(CONT_TEA[[#This Row],[StaffRoleCode]],ROLES[StaffRoleCode],ROLES[PayScaleCode])</f>
        <v>MAIN</v>
      </c>
      <c r="AI326" s="12" t="s">
        <v>1126</v>
      </c>
      <c r="AJ326" s="12" t="s">
        <v>3073</v>
      </c>
      <c r="AK326" s="12" t="s">
        <v>2499</v>
      </c>
      <c r="AM326" s="68" t="s">
        <v>1147</v>
      </c>
      <c r="AN326" s="13" t="s">
        <v>1702</v>
      </c>
      <c r="AO326" s="21">
        <v>46023</v>
      </c>
      <c r="AQ326" s="12">
        <v>1</v>
      </c>
      <c r="AR326" t="b">
        <v>0</v>
      </c>
      <c r="AS326" t="b">
        <v>0</v>
      </c>
      <c r="AT326" s="12" t="s">
        <v>1574</v>
      </c>
    </row>
    <row r="327" spans="1:46" x14ac:dyDescent="0.3">
      <c r="A327" s="57" t="str">
        <f t="shared" si="8"/>
        <v>MLB10006100106962TEASTCH46023</v>
      </c>
      <c r="B327" s="57">
        <f>COUNTIF(CONT_TEA[Unique Contract],CONT_TEA[[#This Row],[Unique Contract]])-1</f>
        <v>0</v>
      </c>
      <c r="C327" s="57">
        <f>IFERROR(IF(FIND(CONT_TEA[[#This Row],[SchoolCode]],_xlfn.XLOOKUP(CONT_TEA[[#This Row],[StaffMemberCode]],MEMBERS[StaffMemberCode],MEMBERS[SchoolCodes]))&gt;0,0,1),1)</f>
        <v>0</v>
      </c>
      <c r="D327" s="57" cm="1">
        <f t="array" ref="D327">IF(_xlfn.XLOOKUP(CONT_TEA[[#This Row],[StaffRoleCode]],ROLES[StaffRoleCode],ROLES[AvailableToAllSchools],1,0,)=TRUE,0,IF(ISERROR(FIND(CONT_TEA[[#This Row],[SchoolCode]],_xlfn.TEXTJOIN(",",TRUE,_xlfn.UNIQUE(IF(ROLES[StaffRoleCode]=CONT_TEA[[#This Row],[StaffRoleCode]],ROLES[SchoolCodes],""))))),1,0))</f>
        <v>0</v>
      </c>
      <c r="E327" s="57" cm="1">
        <f t="array" ref="E32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27" s="57" cm="1">
        <f t="array" ref="F327">IF(_xlfn.XLOOKUP(CONT_TEA[[#This Row],[PayScaleCode]],PAYSCALES[PayScaleCode],PAYSCALES[AvailableToAllSchools],1,0,)=TRUE,0,IF(ISERROR(FIND(CONT_TEA[[#This Row],[SchoolCode]],_xlfn.TEXTJOIN(",",TRUE,_xlfn.UNIQUE(IF(PAYSCALES[PayScaleCode]=CONT_TEA[[#This Row],[PayScaleCode]],PAYSCALES[SchoolCodes],""))))),1,0))</f>
        <v>0</v>
      </c>
      <c r="G327" s="57">
        <f>IF(_xlfn.XLOOKUP(CONT_TEA[[#This Row],[PayScaleGradeCode]],GRADES[PayScaleGradeCode],GRADES[AvailableToAllSchools])=TRUE,0,IFERROR(IF(FIND(CONT_TEA[[#This Row],[SchoolCode]],_xlfn.XLOOKUP(CONT_TEA[[#This Row],[PayScaleGradeCode]],GRADES[PayScaleGradeCode],GRADES[SchoolCodes]))&gt;=1,0,1),1))</f>
        <v>0</v>
      </c>
      <c r="H327" s="57">
        <f>IF(ISERROR(IF((_xlfn.XLOOKUP(CONT_TEA[[#This Row],[PayScaleGradeCode]],GRADES[PayScaleGradeCode],GRADES[PayScaleCode])=CONT_TEA[[#This Row],[PayScaleCode]]),0,1)),1,0)</f>
        <v>0</v>
      </c>
      <c r="I327" s="57" cm="1">
        <f t="array" ref="I327">IF(ISERROR(FIND(CONT_TEA[[#This Row],[PayScalePointCode]],_xlfn.TEXTJOIN(",",TRUE,IF(PSPOINTS[PayScaleCode]=CONT_TEA[[#This Row],[PayScaleCode]],PSPOINTS[PayScalePointCode])))),1,0)</f>
        <v>0</v>
      </c>
      <c r="J327" s="57" cm="1">
        <f t="array" ref="J32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27" s="57">
        <f>IF(_xlfn.XLOOKUP(CONT_TEA[[#This Row],[PayScalePointCode]],PSPOINTS[PayScalePointCode],PSPOINTS[PayScalePointEnabled])=TRUE,0,1)</f>
        <v>0</v>
      </c>
      <c r="L327" s="57" cm="1">
        <f t="array" ref="L327">IF(_xlfn.XLOOKUP(CONT_TEA[[#This Row],[DepartmentCode]],DEPTS[DepartmentCode],DEPTS[AvailableToAllSchools],1,0,)=TRUE,0,IF(ISERROR(FIND(CONT_TEA[[#This Row],[SchoolCode]],_xlfn.TEXTJOIN(",",TRUE,_xlfn.UNIQUE(IF(DEPTS[DepartmentCode]=CONT_TEA[[#This Row],[DepartmentCode]],DEPTS[SchoolCodes],""))))),1,0))</f>
        <v>0</v>
      </c>
      <c r="M327" s="57">
        <f>IFERROR(IF(_xlfn.XLOOKUP(CONT_TEA[[#This Row],[SRG Gross]],FinanceCodesBudget[FinanceCode],FinanceCodesBudget[LedgerCode])=_xlfn.XLOOKUP(CONT_TEA[[#This Row],[DepartmentCode]],DEPTS[DepartmentCode],DEPTS[LedgerCode]),0,1),1)</f>
        <v>1</v>
      </c>
      <c r="N327" s="57" cm="1">
        <f t="array" ref="N327">IF(_xlfn.XLOOKUP(CONT_TEA[[#This Row],[PensionCode]],PENS[PensionCode],PENS[AvailableToAllSchools],1,0,)=TRUE,0,IF(ISERROR(FIND(CONT_TEA[[#This Row],[SchoolCode]],_xlfn.TEXTJOIN(",",TRUE,_xlfn.UNIQUE(IF(PENS[PensionCode]=CONT_TEA[[#This Row],[PensionCode]],PENS[SchoolCodes],""))))),1,0))</f>
        <v>0</v>
      </c>
      <c r="O327" s="57" cm="1">
        <f t="array" ref="O327">IF(_xlfn.XLOOKUP(CONT_TEA[[#This Row],[EquatedWeekPatternCode]],EQW[EquatedWeekPatternCode],EQW[AvailableToAllSchools],1,0,)=TRUE,0,IF(ISERROR(FIND(CONT_TEA[[#This Row],[SchoolCode]],_xlfn.TEXTJOIN(",",TRUE,_xlfn.UNIQUE(IF(EQW[EquatedWeekPatternCode]=CONT_TEA[[#This Row],[EquatedWeekPatternCode]],EQW[SchoolCodes],""))))),1,0))</f>
        <v>0</v>
      </c>
      <c r="P327" s="57">
        <f>1-COUNTIF(ContractTypes[Code],CONT_TEA[[#This Row],[ContractTypeCode]])</f>
        <v>0</v>
      </c>
      <c r="Q327" s="57">
        <f>IF(VLOOKUP(CONT_TEA[[#This Row],[StaffMemberCode]],MEMBERS[[StaffMemberCode]:[ServiceStartDate]],5,0)&gt;CONT_TEA[[#This Row],[DateFrom]],1,0)</f>
        <v>0</v>
      </c>
      <c r="R327" s="57">
        <f>IF(_xlfn.XLOOKUP(CONT_TEA[[#This Row],[StaffMemberCode]],MEMBERS[StaffMemberCode],MEMBERS[ServiceEndDate])="",0,IF(CONT_TEA[[#This Row],[DateTo]]="",1,IF(_xlfn.XLOOKUP(CONT_TEA[[#This Row],[StaffMemberCode]],MEMBERS[StaffMemberCode],MEMBERS[ServiceEndDate])&lt;CONT_TEA[[#This Row],[DateTo]],1,0)))</f>
        <v>0</v>
      </c>
      <c r="S327" s="57">
        <f>IF(ISBLANK(CONT_TEA[[#This Row],[DateTo]]),0,IF(CONT_TEA[[#This Row],[DateFrom]]=CONT_TEA[[#This Row],[DateTo]],0,IF(CONT_TEA[[#This Row],[DateFrom]]&lt;CONT_TEA[[#This Row],[DateTo]],0,1)))</f>
        <v>0</v>
      </c>
      <c r="T327" s="57" cm="1">
        <f t="array" aca="1" ref="T327" ca="1">IF(CELL("format",CONT_TEA[[#This Row],[DateFrom]])="D1",0,1)+IF(CELL("format",CONT_TEA[[#This Row],[DateTo]])="D1",0,1)</f>
        <v>0</v>
      </c>
      <c r="U327" s="57">
        <f>IF(OR(CONT_TEA[[#This Row],[MatEditOnly]]=TRUE,CONT_TEA[[#This Row],[MatEditOnly]]=FALSE),IF(OR(CONT_TEA[[#This Row],[NoIncrement]]=TRUE,CONT_TEA[[#This Row],[NoIncrement]]=FALSE),0,1),1)</f>
        <v>0</v>
      </c>
      <c r="V327" s="57">
        <f>IF(ISBLANK(CONT_TEA[[#This Row],[FundCode]])=TRUE,0,IF(COUNTIF(FUNDS[FundCode],CONT_TEA[[#This Row],[FundCode]])=1,0,1))</f>
        <v>0</v>
      </c>
      <c r="W327" s="57">
        <f>IF(LEN(CONT_TEA[[#This Row],[Notes]])&lt;4000,0,1)</f>
        <v>0</v>
      </c>
      <c r="X327" s="57">
        <f>IF(SUBSTITUTE(TEXT(CONT_TEA[[#This Row],[Reference]],10)," ","")=TEXT(CONT_TEA[[#This Row],[Reference]],10),0,1)</f>
        <v>0</v>
      </c>
      <c r="Y327" s="57">
        <f ca="1">SUM(CONT_TEA[[#This Row],[Duplicate Contract]:[Space in Code]])</f>
        <v>1</v>
      </c>
      <c r="AA327" s="12" t="s">
        <v>2126</v>
      </c>
      <c r="AB327" s="15">
        <v>10006100</v>
      </c>
      <c r="AC327" s="12">
        <v>106962</v>
      </c>
      <c r="AD327" s="57" t="str">
        <f>_xlfn.XLOOKUP(CONT_TEA[[#This Row],[StaffMemberCode]],StaffMembers!O:O,StaffMembers!R:R)</f>
        <v>David Storer</v>
      </c>
      <c r="AE327" s="12" t="s">
        <v>1178</v>
      </c>
      <c r="AF327" s="57">
        <f>_xlfn.XLOOKUP(CONT_TEA[[#This Row],[SRG]],SRG[StaffRoleGroupCode],SRG[GrossSalaryFinanceCode])</f>
        <v>612100</v>
      </c>
      <c r="AG327" s="57" t="str">
        <f>_xlfn.XLOOKUP(CONT_TEA[[#This Row],[StaffRoleCode]],ROLES[StaffRoleCode],ROLES[StaffRoleGroupCode])</f>
        <v>TEA</v>
      </c>
      <c r="AH327" s="57" t="str">
        <f>_xlfn.XLOOKUP(CONT_TEA[[#This Row],[StaffRoleCode]],ROLES[StaffRoleCode],ROLES[PayScaleCode])</f>
        <v>MAIN</v>
      </c>
      <c r="AI327" s="12" t="s">
        <v>1126</v>
      </c>
      <c r="AJ327" s="12" t="s">
        <v>3074</v>
      </c>
      <c r="AK327" s="12" t="s">
        <v>2499</v>
      </c>
      <c r="AM327" s="68" t="s">
        <v>1147</v>
      </c>
      <c r="AN327" s="13" t="s">
        <v>1702</v>
      </c>
      <c r="AO327" s="21">
        <v>46023</v>
      </c>
      <c r="AQ327" s="12">
        <v>1</v>
      </c>
      <c r="AR327" t="b">
        <v>0</v>
      </c>
      <c r="AS327" t="b">
        <v>0</v>
      </c>
      <c r="AT327" s="12" t="s">
        <v>1574</v>
      </c>
    </row>
    <row r="328" spans="1:46" x14ac:dyDescent="0.3">
      <c r="A328" s="57" t="str">
        <f t="shared" si="8"/>
        <v>MLB10005297106062TEASTCH46023</v>
      </c>
      <c r="B328" s="57">
        <f>COUNTIF(CONT_TEA[Unique Contract],CONT_TEA[[#This Row],[Unique Contract]])-1</f>
        <v>0</v>
      </c>
      <c r="C328" s="57">
        <f>IFERROR(IF(FIND(CONT_TEA[[#This Row],[SchoolCode]],_xlfn.XLOOKUP(CONT_TEA[[#This Row],[StaffMemberCode]],MEMBERS[StaffMemberCode],MEMBERS[SchoolCodes]))&gt;0,0,1),1)</f>
        <v>0</v>
      </c>
      <c r="D328" s="57" cm="1">
        <f t="array" ref="D328">IF(_xlfn.XLOOKUP(CONT_TEA[[#This Row],[StaffRoleCode]],ROLES[StaffRoleCode],ROLES[AvailableToAllSchools],1,0,)=TRUE,0,IF(ISERROR(FIND(CONT_TEA[[#This Row],[SchoolCode]],_xlfn.TEXTJOIN(",",TRUE,_xlfn.UNIQUE(IF(ROLES[StaffRoleCode]=CONT_TEA[[#This Row],[StaffRoleCode]],ROLES[SchoolCodes],""))))),1,0))</f>
        <v>0</v>
      </c>
      <c r="E328" s="57" cm="1">
        <f t="array" ref="E32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28" s="57" cm="1">
        <f t="array" ref="F328">IF(_xlfn.XLOOKUP(CONT_TEA[[#This Row],[PayScaleCode]],PAYSCALES[PayScaleCode],PAYSCALES[AvailableToAllSchools],1,0,)=TRUE,0,IF(ISERROR(FIND(CONT_TEA[[#This Row],[SchoolCode]],_xlfn.TEXTJOIN(",",TRUE,_xlfn.UNIQUE(IF(PAYSCALES[PayScaleCode]=CONT_TEA[[#This Row],[PayScaleCode]],PAYSCALES[SchoolCodes],""))))),1,0))</f>
        <v>0</v>
      </c>
      <c r="G328" s="57">
        <f>IF(_xlfn.XLOOKUP(CONT_TEA[[#This Row],[PayScaleGradeCode]],GRADES[PayScaleGradeCode],GRADES[AvailableToAllSchools])=TRUE,0,IFERROR(IF(FIND(CONT_TEA[[#This Row],[SchoolCode]],_xlfn.XLOOKUP(CONT_TEA[[#This Row],[PayScaleGradeCode]],GRADES[PayScaleGradeCode],GRADES[SchoolCodes]))&gt;=1,0,1),1))</f>
        <v>0</v>
      </c>
      <c r="H328" s="57">
        <f>IF(ISERROR(IF((_xlfn.XLOOKUP(CONT_TEA[[#This Row],[PayScaleGradeCode]],GRADES[PayScaleGradeCode],GRADES[PayScaleCode])=CONT_TEA[[#This Row],[PayScaleCode]]),0,1)),1,0)</f>
        <v>0</v>
      </c>
      <c r="I328" s="57" cm="1">
        <f t="array" ref="I328">IF(ISERROR(FIND(CONT_TEA[[#This Row],[PayScalePointCode]],_xlfn.TEXTJOIN(",",TRUE,IF(PSPOINTS[PayScaleCode]=CONT_TEA[[#This Row],[PayScaleCode]],PSPOINTS[PayScalePointCode])))),1,0)</f>
        <v>0</v>
      </c>
      <c r="J328" s="57" cm="1">
        <f t="array" ref="J32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28" s="57">
        <f>IF(_xlfn.XLOOKUP(CONT_TEA[[#This Row],[PayScalePointCode]],PSPOINTS[PayScalePointCode],PSPOINTS[PayScalePointEnabled])=TRUE,0,1)</f>
        <v>0</v>
      </c>
      <c r="L328" s="57" cm="1">
        <f t="array" ref="L328">IF(_xlfn.XLOOKUP(CONT_TEA[[#This Row],[DepartmentCode]],DEPTS[DepartmentCode],DEPTS[AvailableToAllSchools],1,0,)=TRUE,0,IF(ISERROR(FIND(CONT_TEA[[#This Row],[SchoolCode]],_xlfn.TEXTJOIN(",",TRUE,_xlfn.UNIQUE(IF(DEPTS[DepartmentCode]=CONT_TEA[[#This Row],[DepartmentCode]],DEPTS[SchoolCodes],""))))),1,0))</f>
        <v>0</v>
      </c>
      <c r="M328" s="57">
        <f>IFERROR(IF(_xlfn.XLOOKUP(CONT_TEA[[#This Row],[SRG Gross]],FinanceCodesBudget[FinanceCode],FinanceCodesBudget[LedgerCode])=_xlfn.XLOOKUP(CONT_TEA[[#This Row],[DepartmentCode]],DEPTS[DepartmentCode],DEPTS[LedgerCode]),0,1),1)</f>
        <v>1</v>
      </c>
      <c r="N328" s="57" cm="1">
        <f t="array" ref="N328">IF(_xlfn.XLOOKUP(CONT_TEA[[#This Row],[PensionCode]],PENS[PensionCode],PENS[AvailableToAllSchools],1,0,)=TRUE,0,IF(ISERROR(FIND(CONT_TEA[[#This Row],[SchoolCode]],_xlfn.TEXTJOIN(",",TRUE,_xlfn.UNIQUE(IF(PENS[PensionCode]=CONT_TEA[[#This Row],[PensionCode]],PENS[SchoolCodes],""))))),1,0))</f>
        <v>0</v>
      </c>
      <c r="O328" s="57" cm="1">
        <f t="array" ref="O328">IF(_xlfn.XLOOKUP(CONT_TEA[[#This Row],[EquatedWeekPatternCode]],EQW[EquatedWeekPatternCode],EQW[AvailableToAllSchools],1,0,)=TRUE,0,IF(ISERROR(FIND(CONT_TEA[[#This Row],[SchoolCode]],_xlfn.TEXTJOIN(",",TRUE,_xlfn.UNIQUE(IF(EQW[EquatedWeekPatternCode]=CONT_TEA[[#This Row],[EquatedWeekPatternCode]],EQW[SchoolCodes],""))))),1,0))</f>
        <v>0</v>
      </c>
      <c r="P328" s="57">
        <f>1-COUNTIF(ContractTypes[Code],CONT_TEA[[#This Row],[ContractTypeCode]])</f>
        <v>0</v>
      </c>
      <c r="Q328" s="57">
        <f>IF(VLOOKUP(CONT_TEA[[#This Row],[StaffMemberCode]],MEMBERS[[StaffMemberCode]:[ServiceStartDate]],5,0)&gt;CONT_TEA[[#This Row],[DateFrom]],1,0)</f>
        <v>0</v>
      </c>
      <c r="R328" s="57">
        <f>IF(_xlfn.XLOOKUP(CONT_TEA[[#This Row],[StaffMemberCode]],MEMBERS[StaffMemberCode],MEMBERS[ServiceEndDate])="",0,IF(CONT_TEA[[#This Row],[DateTo]]="",1,IF(_xlfn.XLOOKUP(CONT_TEA[[#This Row],[StaffMemberCode]],MEMBERS[StaffMemberCode],MEMBERS[ServiceEndDate])&lt;CONT_TEA[[#This Row],[DateTo]],1,0)))</f>
        <v>0</v>
      </c>
      <c r="S328" s="57">
        <f>IF(ISBLANK(CONT_TEA[[#This Row],[DateTo]]),0,IF(CONT_TEA[[#This Row],[DateFrom]]=CONT_TEA[[#This Row],[DateTo]],0,IF(CONT_TEA[[#This Row],[DateFrom]]&lt;CONT_TEA[[#This Row],[DateTo]],0,1)))</f>
        <v>0</v>
      </c>
      <c r="T328" s="57" cm="1">
        <f t="array" aca="1" ref="T328" ca="1">IF(CELL("format",CONT_TEA[[#This Row],[DateFrom]])="D1",0,1)+IF(CELL("format",CONT_TEA[[#This Row],[DateTo]])="D1",0,1)</f>
        <v>0</v>
      </c>
      <c r="U328" s="57">
        <f>IF(OR(CONT_TEA[[#This Row],[MatEditOnly]]=TRUE,CONT_TEA[[#This Row],[MatEditOnly]]=FALSE),IF(OR(CONT_TEA[[#This Row],[NoIncrement]]=TRUE,CONT_TEA[[#This Row],[NoIncrement]]=FALSE),0,1),1)</f>
        <v>0</v>
      </c>
      <c r="V328" s="57">
        <f>IF(ISBLANK(CONT_TEA[[#This Row],[FundCode]])=TRUE,0,IF(COUNTIF(FUNDS[FundCode],CONT_TEA[[#This Row],[FundCode]])=1,0,1))</f>
        <v>0</v>
      </c>
      <c r="W328" s="57">
        <f>IF(LEN(CONT_TEA[[#This Row],[Notes]])&lt;4000,0,1)</f>
        <v>0</v>
      </c>
      <c r="X328" s="57">
        <f>IF(SUBSTITUTE(TEXT(CONT_TEA[[#This Row],[Reference]],10)," ","")=TEXT(CONT_TEA[[#This Row],[Reference]],10),0,1)</f>
        <v>0</v>
      </c>
      <c r="Y328" s="57">
        <f ca="1">SUM(CONT_TEA[[#This Row],[Duplicate Contract]:[Space in Code]])</f>
        <v>1</v>
      </c>
      <c r="AA328" s="12" t="s">
        <v>2126</v>
      </c>
      <c r="AB328" s="15">
        <v>10005297</v>
      </c>
      <c r="AC328" s="12">
        <v>106062</v>
      </c>
      <c r="AD328" s="57" t="str">
        <f>_xlfn.XLOOKUP(CONT_TEA[[#This Row],[StaffMemberCode]],StaffMembers!O:O,StaffMembers!R:R)</f>
        <v>Susan Treasure</v>
      </c>
      <c r="AE328" s="12" t="s">
        <v>1178</v>
      </c>
      <c r="AF328" s="57">
        <f>_xlfn.XLOOKUP(CONT_TEA[[#This Row],[SRG]],SRG[StaffRoleGroupCode],SRG[GrossSalaryFinanceCode])</f>
        <v>612100</v>
      </c>
      <c r="AG328" s="57" t="str">
        <f>_xlfn.XLOOKUP(CONT_TEA[[#This Row],[StaffRoleCode]],ROLES[StaffRoleCode],ROLES[StaffRoleGroupCode])</f>
        <v>TEA</v>
      </c>
      <c r="AH328" s="57" t="str">
        <f>_xlfn.XLOOKUP(CONT_TEA[[#This Row],[StaffRoleCode]],ROLES[StaffRoleCode],ROLES[PayScaleCode])</f>
        <v>MAIN</v>
      </c>
      <c r="AI328" s="12" t="s">
        <v>1126</v>
      </c>
      <c r="AJ328" s="12" t="s">
        <v>3074</v>
      </c>
      <c r="AK328" s="12" t="s">
        <v>2499</v>
      </c>
      <c r="AM328" s="68" t="s">
        <v>1147</v>
      </c>
      <c r="AN328" s="13" t="s">
        <v>1702</v>
      </c>
      <c r="AO328" s="21">
        <v>46023</v>
      </c>
      <c r="AQ328" s="12">
        <v>1</v>
      </c>
      <c r="AR328" t="b">
        <v>0</v>
      </c>
      <c r="AS328" t="b">
        <v>0</v>
      </c>
      <c r="AT328" s="12" t="s">
        <v>1574</v>
      </c>
    </row>
    <row r="329" spans="1:46" x14ac:dyDescent="0.3">
      <c r="A329" s="57" t="str">
        <f t="shared" si="8"/>
        <v>MLB10005289106054TEASTCH46023</v>
      </c>
      <c r="B329" s="57">
        <f>COUNTIF(CONT_TEA[Unique Contract],CONT_TEA[[#This Row],[Unique Contract]])-1</f>
        <v>0</v>
      </c>
      <c r="C329" s="57">
        <f>IFERROR(IF(FIND(CONT_TEA[[#This Row],[SchoolCode]],_xlfn.XLOOKUP(CONT_TEA[[#This Row],[StaffMemberCode]],MEMBERS[StaffMemberCode],MEMBERS[SchoolCodes]))&gt;0,0,1),1)</f>
        <v>0</v>
      </c>
      <c r="D329" s="57" cm="1">
        <f t="array" ref="D329">IF(_xlfn.XLOOKUP(CONT_TEA[[#This Row],[StaffRoleCode]],ROLES[StaffRoleCode],ROLES[AvailableToAllSchools],1,0,)=TRUE,0,IF(ISERROR(FIND(CONT_TEA[[#This Row],[SchoolCode]],_xlfn.TEXTJOIN(",",TRUE,_xlfn.UNIQUE(IF(ROLES[StaffRoleCode]=CONT_TEA[[#This Row],[StaffRoleCode]],ROLES[SchoolCodes],""))))),1,0))</f>
        <v>0</v>
      </c>
      <c r="E329" s="57" cm="1">
        <f t="array" ref="E329">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29" s="57" cm="1">
        <f t="array" ref="F329">IF(_xlfn.XLOOKUP(CONT_TEA[[#This Row],[PayScaleCode]],PAYSCALES[PayScaleCode],PAYSCALES[AvailableToAllSchools],1,0,)=TRUE,0,IF(ISERROR(FIND(CONT_TEA[[#This Row],[SchoolCode]],_xlfn.TEXTJOIN(",",TRUE,_xlfn.UNIQUE(IF(PAYSCALES[PayScaleCode]=CONT_TEA[[#This Row],[PayScaleCode]],PAYSCALES[SchoolCodes],""))))),1,0))</f>
        <v>0</v>
      </c>
      <c r="G329" s="57">
        <f>IF(_xlfn.XLOOKUP(CONT_TEA[[#This Row],[PayScaleGradeCode]],GRADES[PayScaleGradeCode],GRADES[AvailableToAllSchools])=TRUE,0,IFERROR(IF(FIND(CONT_TEA[[#This Row],[SchoolCode]],_xlfn.XLOOKUP(CONT_TEA[[#This Row],[PayScaleGradeCode]],GRADES[PayScaleGradeCode],GRADES[SchoolCodes]))&gt;=1,0,1),1))</f>
        <v>0</v>
      </c>
      <c r="H329" s="57">
        <f>IF(ISERROR(IF((_xlfn.XLOOKUP(CONT_TEA[[#This Row],[PayScaleGradeCode]],GRADES[PayScaleGradeCode],GRADES[PayScaleCode])=CONT_TEA[[#This Row],[PayScaleCode]]),0,1)),1,0)</f>
        <v>0</v>
      </c>
      <c r="I329" s="57" cm="1">
        <f t="array" ref="I329">IF(ISERROR(FIND(CONT_TEA[[#This Row],[PayScalePointCode]],_xlfn.TEXTJOIN(",",TRUE,IF(PSPOINTS[PayScaleCode]=CONT_TEA[[#This Row],[PayScaleCode]],PSPOINTS[PayScalePointCode])))),1,0)</f>
        <v>0</v>
      </c>
      <c r="J329" s="57" cm="1">
        <f t="array" ref="J329">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29" s="57">
        <f>IF(_xlfn.XLOOKUP(CONT_TEA[[#This Row],[PayScalePointCode]],PSPOINTS[PayScalePointCode],PSPOINTS[PayScalePointEnabled])=TRUE,0,1)</f>
        <v>0</v>
      </c>
      <c r="L329" s="57" cm="1">
        <f t="array" ref="L329">IF(_xlfn.XLOOKUP(CONT_TEA[[#This Row],[DepartmentCode]],DEPTS[DepartmentCode],DEPTS[AvailableToAllSchools],1,0,)=TRUE,0,IF(ISERROR(FIND(CONT_TEA[[#This Row],[SchoolCode]],_xlfn.TEXTJOIN(",",TRUE,_xlfn.UNIQUE(IF(DEPTS[DepartmentCode]=CONT_TEA[[#This Row],[DepartmentCode]],DEPTS[SchoolCodes],""))))),1,0))</f>
        <v>0</v>
      </c>
      <c r="M329" s="57">
        <f>IFERROR(IF(_xlfn.XLOOKUP(CONT_TEA[[#This Row],[SRG Gross]],FinanceCodesBudget[FinanceCode],FinanceCodesBudget[LedgerCode])=_xlfn.XLOOKUP(CONT_TEA[[#This Row],[DepartmentCode]],DEPTS[DepartmentCode],DEPTS[LedgerCode]),0,1),1)</f>
        <v>1</v>
      </c>
      <c r="N329" s="57" cm="1">
        <f t="array" ref="N329">IF(_xlfn.XLOOKUP(CONT_TEA[[#This Row],[PensionCode]],PENS[PensionCode],PENS[AvailableToAllSchools],1,0,)=TRUE,0,IF(ISERROR(FIND(CONT_TEA[[#This Row],[SchoolCode]],_xlfn.TEXTJOIN(",",TRUE,_xlfn.UNIQUE(IF(PENS[PensionCode]=CONT_TEA[[#This Row],[PensionCode]],PENS[SchoolCodes],""))))),1,0))</f>
        <v>0</v>
      </c>
      <c r="O329" s="57" cm="1">
        <f t="array" ref="O329">IF(_xlfn.XLOOKUP(CONT_TEA[[#This Row],[EquatedWeekPatternCode]],EQW[EquatedWeekPatternCode],EQW[AvailableToAllSchools],1,0,)=TRUE,0,IF(ISERROR(FIND(CONT_TEA[[#This Row],[SchoolCode]],_xlfn.TEXTJOIN(",",TRUE,_xlfn.UNIQUE(IF(EQW[EquatedWeekPatternCode]=CONT_TEA[[#This Row],[EquatedWeekPatternCode]],EQW[SchoolCodes],""))))),1,0))</f>
        <v>0</v>
      </c>
      <c r="P329" s="57">
        <f>1-COUNTIF(ContractTypes[Code],CONT_TEA[[#This Row],[ContractTypeCode]])</f>
        <v>0</v>
      </c>
      <c r="Q329" s="57">
        <f>IF(VLOOKUP(CONT_TEA[[#This Row],[StaffMemberCode]],MEMBERS[[StaffMemberCode]:[ServiceStartDate]],5,0)&gt;CONT_TEA[[#This Row],[DateFrom]],1,0)</f>
        <v>0</v>
      </c>
      <c r="R329" s="57">
        <f>IF(_xlfn.XLOOKUP(CONT_TEA[[#This Row],[StaffMemberCode]],MEMBERS[StaffMemberCode],MEMBERS[ServiceEndDate])="",0,IF(CONT_TEA[[#This Row],[DateTo]]="",1,IF(_xlfn.XLOOKUP(CONT_TEA[[#This Row],[StaffMemberCode]],MEMBERS[StaffMemberCode],MEMBERS[ServiceEndDate])&lt;CONT_TEA[[#This Row],[DateTo]],1,0)))</f>
        <v>0</v>
      </c>
      <c r="S329" s="57">
        <f>IF(ISBLANK(CONT_TEA[[#This Row],[DateTo]]),0,IF(CONT_TEA[[#This Row],[DateFrom]]=CONT_TEA[[#This Row],[DateTo]],0,IF(CONT_TEA[[#This Row],[DateFrom]]&lt;CONT_TEA[[#This Row],[DateTo]],0,1)))</f>
        <v>0</v>
      </c>
      <c r="T329" s="57" cm="1">
        <f t="array" aca="1" ref="T329" ca="1">IF(CELL("format",CONT_TEA[[#This Row],[DateFrom]])="D1",0,1)+IF(CELL("format",CONT_TEA[[#This Row],[DateTo]])="D1",0,1)</f>
        <v>0</v>
      </c>
      <c r="U329" s="57">
        <f>IF(OR(CONT_TEA[[#This Row],[MatEditOnly]]=TRUE,CONT_TEA[[#This Row],[MatEditOnly]]=FALSE),IF(OR(CONT_TEA[[#This Row],[NoIncrement]]=TRUE,CONT_TEA[[#This Row],[NoIncrement]]=FALSE),0,1),1)</f>
        <v>0</v>
      </c>
      <c r="V329" s="57">
        <f>IF(ISBLANK(CONT_TEA[[#This Row],[FundCode]])=TRUE,0,IF(COUNTIF(FUNDS[FundCode],CONT_TEA[[#This Row],[FundCode]])=1,0,1))</f>
        <v>0</v>
      </c>
      <c r="W329" s="57">
        <f>IF(LEN(CONT_TEA[[#This Row],[Notes]])&lt;4000,0,1)</f>
        <v>0</v>
      </c>
      <c r="X329" s="57">
        <f>IF(SUBSTITUTE(TEXT(CONT_TEA[[#This Row],[Reference]],10)," ","")=TEXT(CONT_TEA[[#This Row],[Reference]],10),0,1)</f>
        <v>0</v>
      </c>
      <c r="Y329" s="57">
        <f ca="1">SUM(CONT_TEA[[#This Row],[Duplicate Contract]:[Space in Code]])</f>
        <v>1</v>
      </c>
      <c r="AA329" s="12" t="s">
        <v>2126</v>
      </c>
      <c r="AB329" s="15">
        <v>10005289</v>
      </c>
      <c r="AC329" s="12">
        <v>106054</v>
      </c>
      <c r="AD329" s="57" t="str">
        <f>_xlfn.XLOOKUP(CONT_TEA[[#This Row],[StaffMemberCode]],StaffMembers!O:O,StaffMembers!R:R)</f>
        <v>Claire Knight</v>
      </c>
      <c r="AE329" s="12" t="s">
        <v>1178</v>
      </c>
      <c r="AF329" s="57">
        <f>_xlfn.XLOOKUP(CONT_TEA[[#This Row],[SRG]],SRG[StaffRoleGroupCode],SRG[GrossSalaryFinanceCode])</f>
        <v>612100</v>
      </c>
      <c r="AG329" s="57" t="str">
        <f>_xlfn.XLOOKUP(CONT_TEA[[#This Row],[StaffRoleCode]],ROLES[StaffRoleCode],ROLES[StaffRoleGroupCode])</f>
        <v>TEA</v>
      </c>
      <c r="AH329" s="57" t="str">
        <f>_xlfn.XLOOKUP(CONT_TEA[[#This Row],[StaffRoleCode]],ROLES[StaffRoleCode],ROLES[PayScaleCode])</f>
        <v>MAIN</v>
      </c>
      <c r="AI329" s="12" t="s">
        <v>1126</v>
      </c>
      <c r="AJ329" s="12" t="s">
        <v>1745</v>
      </c>
      <c r="AK329" s="12" t="s">
        <v>2499</v>
      </c>
      <c r="AM329" s="68" t="s">
        <v>1147</v>
      </c>
      <c r="AN329" s="13" t="s">
        <v>1702</v>
      </c>
      <c r="AO329" s="21">
        <v>46023</v>
      </c>
      <c r="AQ329" s="12">
        <v>1</v>
      </c>
      <c r="AR329" t="b">
        <v>0</v>
      </c>
      <c r="AS329" t="b">
        <v>0</v>
      </c>
      <c r="AT329" s="12" t="s">
        <v>1574</v>
      </c>
    </row>
    <row r="330" spans="1:46" x14ac:dyDescent="0.3">
      <c r="A330" s="57" t="str">
        <f t="shared" si="8"/>
        <v>MLB10014581106310TEASTCH46023</v>
      </c>
      <c r="B330" s="57">
        <f>COUNTIF(CONT_TEA[Unique Contract],CONT_TEA[[#This Row],[Unique Contract]])-1</f>
        <v>0</v>
      </c>
      <c r="C330" s="57">
        <f>IFERROR(IF(FIND(CONT_TEA[[#This Row],[SchoolCode]],_xlfn.XLOOKUP(CONT_TEA[[#This Row],[StaffMemberCode]],MEMBERS[StaffMemberCode],MEMBERS[SchoolCodes]))&gt;0,0,1),1)</f>
        <v>0</v>
      </c>
      <c r="D330" s="57" cm="1">
        <f t="array" ref="D330">IF(_xlfn.XLOOKUP(CONT_TEA[[#This Row],[StaffRoleCode]],ROLES[StaffRoleCode],ROLES[AvailableToAllSchools],1,0,)=TRUE,0,IF(ISERROR(FIND(CONT_TEA[[#This Row],[SchoolCode]],_xlfn.TEXTJOIN(",",TRUE,_xlfn.UNIQUE(IF(ROLES[StaffRoleCode]=CONT_TEA[[#This Row],[StaffRoleCode]],ROLES[SchoolCodes],""))))),1,0))</f>
        <v>0</v>
      </c>
      <c r="E330" s="57" cm="1">
        <f t="array" ref="E330">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30" s="57" cm="1">
        <f t="array" ref="F330">IF(_xlfn.XLOOKUP(CONT_TEA[[#This Row],[PayScaleCode]],PAYSCALES[PayScaleCode],PAYSCALES[AvailableToAllSchools],1,0,)=TRUE,0,IF(ISERROR(FIND(CONT_TEA[[#This Row],[SchoolCode]],_xlfn.TEXTJOIN(",",TRUE,_xlfn.UNIQUE(IF(PAYSCALES[PayScaleCode]=CONT_TEA[[#This Row],[PayScaleCode]],PAYSCALES[SchoolCodes],""))))),1,0))</f>
        <v>0</v>
      </c>
      <c r="G330" s="57">
        <f>IF(_xlfn.XLOOKUP(CONT_TEA[[#This Row],[PayScaleGradeCode]],GRADES[PayScaleGradeCode],GRADES[AvailableToAllSchools])=TRUE,0,IFERROR(IF(FIND(CONT_TEA[[#This Row],[SchoolCode]],_xlfn.XLOOKUP(CONT_TEA[[#This Row],[PayScaleGradeCode]],GRADES[PayScaleGradeCode],GRADES[SchoolCodes]))&gt;=1,0,1),1))</f>
        <v>0</v>
      </c>
      <c r="H330" s="57">
        <f>IF(ISERROR(IF((_xlfn.XLOOKUP(CONT_TEA[[#This Row],[PayScaleGradeCode]],GRADES[PayScaleGradeCode],GRADES[PayScaleCode])=CONT_TEA[[#This Row],[PayScaleCode]]),0,1)),1,0)</f>
        <v>0</v>
      </c>
      <c r="I330" s="57" cm="1">
        <f t="array" ref="I330">IF(ISERROR(FIND(CONT_TEA[[#This Row],[PayScalePointCode]],_xlfn.TEXTJOIN(",",TRUE,IF(PSPOINTS[PayScaleCode]=CONT_TEA[[#This Row],[PayScaleCode]],PSPOINTS[PayScalePointCode])))),1,0)</f>
        <v>0</v>
      </c>
      <c r="J330" s="57" cm="1">
        <f t="array" ref="J330">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30" s="57">
        <f>IF(_xlfn.XLOOKUP(CONT_TEA[[#This Row],[PayScalePointCode]],PSPOINTS[PayScalePointCode],PSPOINTS[PayScalePointEnabled])=TRUE,0,1)</f>
        <v>0</v>
      </c>
      <c r="L330" s="57" cm="1">
        <f t="array" ref="L330">IF(_xlfn.XLOOKUP(CONT_TEA[[#This Row],[DepartmentCode]],DEPTS[DepartmentCode],DEPTS[AvailableToAllSchools],1,0,)=TRUE,0,IF(ISERROR(FIND(CONT_TEA[[#This Row],[SchoolCode]],_xlfn.TEXTJOIN(",",TRUE,_xlfn.UNIQUE(IF(DEPTS[DepartmentCode]=CONT_TEA[[#This Row],[DepartmentCode]],DEPTS[SchoolCodes],""))))),1,0))</f>
        <v>0</v>
      </c>
      <c r="M330" s="57">
        <f>IFERROR(IF(_xlfn.XLOOKUP(CONT_TEA[[#This Row],[SRG Gross]],FinanceCodesBudget[FinanceCode],FinanceCodesBudget[LedgerCode])=_xlfn.XLOOKUP(CONT_TEA[[#This Row],[DepartmentCode]],DEPTS[DepartmentCode],DEPTS[LedgerCode]),0,1),1)</f>
        <v>1</v>
      </c>
      <c r="N330" s="57" cm="1">
        <f t="array" ref="N330">IF(_xlfn.XLOOKUP(CONT_TEA[[#This Row],[PensionCode]],PENS[PensionCode],PENS[AvailableToAllSchools],1,0,)=TRUE,0,IF(ISERROR(FIND(CONT_TEA[[#This Row],[SchoolCode]],_xlfn.TEXTJOIN(",",TRUE,_xlfn.UNIQUE(IF(PENS[PensionCode]=CONT_TEA[[#This Row],[PensionCode]],PENS[SchoolCodes],""))))),1,0))</f>
        <v>0</v>
      </c>
      <c r="O330" s="57" cm="1">
        <f t="array" ref="O330">IF(_xlfn.XLOOKUP(CONT_TEA[[#This Row],[EquatedWeekPatternCode]],EQW[EquatedWeekPatternCode],EQW[AvailableToAllSchools],1,0,)=TRUE,0,IF(ISERROR(FIND(CONT_TEA[[#This Row],[SchoolCode]],_xlfn.TEXTJOIN(",",TRUE,_xlfn.UNIQUE(IF(EQW[EquatedWeekPatternCode]=CONT_TEA[[#This Row],[EquatedWeekPatternCode]],EQW[SchoolCodes],""))))),1,0))</f>
        <v>0</v>
      </c>
      <c r="P330" s="57">
        <f>1-COUNTIF(ContractTypes[Code],CONT_TEA[[#This Row],[ContractTypeCode]])</f>
        <v>0</v>
      </c>
      <c r="Q330" s="57">
        <f>IF(VLOOKUP(CONT_TEA[[#This Row],[StaffMemberCode]],MEMBERS[[StaffMemberCode]:[ServiceStartDate]],5,0)&gt;CONT_TEA[[#This Row],[DateFrom]],1,0)</f>
        <v>0</v>
      </c>
      <c r="R330" s="57">
        <f>IF(_xlfn.XLOOKUP(CONT_TEA[[#This Row],[StaffMemberCode]],MEMBERS[StaffMemberCode],MEMBERS[ServiceEndDate])="",0,IF(CONT_TEA[[#This Row],[DateTo]]="",1,IF(_xlfn.XLOOKUP(CONT_TEA[[#This Row],[StaffMemberCode]],MEMBERS[StaffMemberCode],MEMBERS[ServiceEndDate])&lt;CONT_TEA[[#This Row],[DateTo]],1,0)))</f>
        <v>0</v>
      </c>
      <c r="S330" s="57">
        <f>IF(ISBLANK(CONT_TEA[[#This Row],[DateTo]]),0,IF(CONT_TEA[[#This Row],[DateFrom]]=CONT_TEA[[#This Row],[DateTo]],0,IF(CONT_TEA[[#This Row],[DateFrom]]&lt;CONT_TEA[[#This Row],[DateTo]],0,1)))</f>
        <v>0</v>
      </c>
      <c r="T330" s="57" cm="1">
        <f t="array" aca="1" ref="T330" ca="1">IF(CELL("format",CONT_TEA[[#This Row],[DateFrom]])="D1",0,1)+IF(CELL("format",CONT_TEA[[#This Row],[DateTo]])="D1",0,1)</f>
        <v>0</v>
      </c>
      <c r="U330" s="57">
        <f>IF(OR(CONT_TEA[[#This Row],[MatEditOnly]]=TRUE,CONT_TEA[[#This Row],[MatEditOnly]]=FALSE),IF(OR(CONT_TEA[[#This Row],[NoIncrement]]=TRUE,CONT_TEA[[#This Row],[NoIncrement]]=FALSE),0,1),1)</f>
        <v>0</v>
      </c>
      <c r="V330" s="57">
        <f>IF(ISBLANK(CONT_TEA[[#This Row],[FundCode]])=TRUE,0,IF(COUNTIF(FUNDS[FundCode],CONT_TEA[[#This Row],[FundCode]])=1,0,1))</f>
        <v>0</v>
      </c>
      <c r="W330" s="57">
        <f>IF(LEN(CONT_TEA[[#This Row],[Notes]])&lt;4000,0,1)</f>
        <v>0</v>
      </c>
      <c r="X330" s="57">
        <f>IF(SUBSTITUTE(TEXT(CONT_TEA[[#This Row],[Reference]],10)," ","")=TEXT(CONT_TEA[[#This Row],[Reference]],10),0,1)</f>
        <v>0</v>
      </c>
      <c r="Y330" s="57">
        <f ca="1">SUM(CONT_TEA[[#This Row],[Duplicate Contract]:[Space in Code]])</f>
        <v>1</v>
      </c>
      <c r="AA330" s="12" t="s">
        <v>2126</v>
      </c>
      <c r="AB330" s="15">
        <v>10014581</v>
      </c>
      <c r="AC330" s="12">
        <v>106310</v>
      </c>
      <c r="AD330" s="57" t="str">
        <f>_xlfn.XLOOKUP(CONT_TEA[[#This Row],[StaffMemberCode]],StaffMembers!O:O,StaffMembers!R:R)</f>
        <v>Francois Castelain-Mazingarbe</v>
      </c>
      <c r="AE330" s="12" t="s">
        <v>1178</v>
      </c>
      <c r="AF330" s="57">
        <f>_xlfn.XLOOKUP(CONT_TEA[[#This Row],[SRG]],SRG[StaffRoleGroupCode],SRG[GrossSalaryFinanceCode])</f>
        <v>612100</v>
      </c>
      <c r="AG330" s="57" t="str">
        <f>_xlfn.XLOOKUP(CONT_TEA[[#This Row],[StaffRoleCode]],ROLES[StaffRoleCode],ROLES[StaffRoleGroupCode])</f>
        <v>TEA</v>
      </c>
      <c r="AH330" s="57" t="str">
        <f>_xlfn.XLOOKUP(CONT_TEA[[#This Row],[StaffRoleCode]],ROLES[StaffRoleCode],ROLES[PayScaleCode])</f>
        <v>MAIN</v>
      </c>
      <c r="AI330" s="12" t="s">
        <v>1126</v>
      </c>
      <c r="AJ330" s="12" t="s">
        <v>1745</v>
      </c>
      <c r="AK330" s="12" t="s">
        <v>2499</v>
      </c>
      <c r="AM330" s="68" t="s">
        <v>1147</v>
      </c>
      <c r="AN330" s="13" t="s">
        <v>1702</v>
      </c>
      <c r="AO330" s="21">
        <v>46023</v>
      </c>
      <c r="AQ330" s="12">
        <v>1</v>
      </c>
      <c r="AR330" t="b">
        <v>0</v>
      </c>
      <c r="AS330" t="b">
        <v>0</v>
      </c>
      <c r="AT330" s="12" t="s">
        <v>1574</v>
      </c>
    </row>
    <row r="331" spans="1:46" x14ac:dyDescent="0.3">
      <c r="A331" s="57" t="str">
        <f t="shared" si="8"/>
        <v>MLB10005352106127TEASTCH46023</v>
      </c>
      <c r="B331" s="57">
        <f>COUNTIF(CONT_TEA[Unique Contract],CONT_TEA[[#This Row],[Unique Contract]])-1</f>
        <v>0</v>
      </c>
      <c r="C331" s="57">
        <f>IFERROR(IF(FIND(CONT_TEA[[#This Row],[SchoolCode]],_xlfn.XLOOKUP(CONT_TEA[[#This Row],[StaffMemberCode]],MEMBERS[StaffMemberCode],MEMBERS[SchoolCodes]))&gt;0,0,1),1)</f>
        <v>0</v>
      </c>
      <c r="D331" s="57" cm="1">
        <f t="array" ref="D331">IF(_xlfn.XLOOKUP(CONT_TEA[[#This Row],[StaffRoleCode]],ROLES[StaffRoleCode],ROLES[AvailableToAllSchools],1,0,)=TRUE,0,IF(ISERROR(FIND(CONT_TEA[[#This Row],[SchoolCode]],_xlfn.TEXTJOIN(",",TRUE,_xlfn.UNIQUE(IF(ROLES[StaffRoleCode]=CONT_TEA[[#This Row],[StaffRoleCode]],ROLES[SchoolCodes],""))))),1,0))</f>
        <v>0</v>
      </c>
      <c r="E331" s="57" cm="1">
        <f t="array" ref="E331">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31" s="57" cm="1">
        <f t="array" ref="F331">IF(_xlfn.XLOOKUP(CONT_TEA[[#This Row],[PayScaleCode]],PAYSCALES[PayScaleCode],PAYSCALES[AvailableToAllSchools],1,0,)=TRUE,0,IF(ISERROR(FIND(CONT_TEA[[#This Row],[SchoolCode]],_xlfn.TEXTJOIN(",",TRUE,_xlfn.UNIQUE(IF(PAYSCALES[PayScaleCode]=CONT_TEA[[#This Row],[PayScaleCode]],PAYSCALES[SchoolCodes],""))))),1,0))</f>
        <v>0</v>
      </c>
      <c r="G331" s="57">
        <f>IF(_xlfn.XLOOKUP(CONT_TEA[[#This Row],[PayScaleGradeCode]],GRADES[PayScaleGradeCode],GRADES[AvailableToAllSchools])=TRUE,0,IFERROR(IF(FIND(CONT_TEA[[#This Row],[SchoolCode]],_xlfn.XLOOKUP(CONT_TEA[[#This Row],[PayScaleGradeCode]],GRADES[PayScaleGradeCode],GRADES[SchoolCodes]))&gt;=1,0,1),1))</f>
        <v>0</v>
      </c>
      <c r="H331" s="57">
        <f>IF(ISERROR(IF((_xlfn.XLOOKUP(CONT_TEA[[#This Row],[PayScaleGradeCode]],GRADES[PayScaleGradeCode],GRADES[PayScaleCode])=CONT_TEA[[#This Row],[PayScaleCode]]),0,1)),1,0)</f>
        <v>0</v>
      </c>
      <c r="I331" s="57" cm="1">
        <f t="array" ref="I331">IF(ISERROR(FIND(CONT_TEA[[#This Row],[PayScalePointCode]],_xlfn.TEXTJOIN(",",TRUE,IF(PSPOINTS[PayScaleCode]=CONT_TEA[[#This Row],[PayScaleCode]],PSPOINTS[PayScalePointCode])))),1,0)</f>
        <v>0</v>
      </c>
      <c r="J331" s="57" cm="1">
        <f t="array" ref="J33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31" s="57">
        <f>IF(_xlfn.XLOOKUP(CONT_TEA[[#This Row],[PayScalePointCode]],PSPOINTS[PayScalePointCode],PSPOINTS[PayScalePointEnabled])=TRUE,0,1)</f>
        <v>0</v>
      </c>
      <c r="L331" s="57" cm="1">
        <f t="array" ref="L331">IF(_xlfn.XLOOKUP(CONT_TEA[[#This Row],[DepartmentCode]],DEPTS[DepartmentCode],DEPTS[AvailableToAllSchools],1,0,)=TRUE,0,IF(ISERROR(FIND(CONT_TEA[[#This Row],[SchoolCode]],_xlfn.TEXTJOIN(",",TRUE,_xlfn.UNIQUE(IF(DEPTS[DepartmentCode]=CONT_TEA[[#This Row],[DepartmentCode]],DEPTS[SchoolCodes],""))))),1,0))</f>
        <v>0</v>
      </c>
      <c r="M331" s="57">
        <f>IFERROR(IF(_xlfn.XLOOKUP(CONT_TEA[[#This Row],[SRG Gross]],FinanceCodesBudget[FinanceCode],FinanceCodesBudget[LedgerCode])=_xlfn.XLOOKUP(CONT_TEA[[#This Row],[DepartmentCode]],DEPTS[DepartmentCode],DEPTS[LedgerCode]),0,1),1)</f>
        <v>1</v>
      </c>
      <c r="N331" s="57" cm="1">
        <f t="array" ref="N331">IF(_xlfn.XLOOKUP(CONT_TEA[[#This Row],[PensionCode]],PENS[PensionCode],PENS[AvailableToAllSchools],1,0,)=TRUE,0,IF(ISERROR(FIND(CONT_TEA[[#This Row],[SchoolCode]],_xlfn.TEXTJOIN(",",TRUE,_xlfn.UNIQUE(IF(PENS[PensionCode]=CONT_TEA[[#This Row],[PensionCode]],PENS[SchoolCodes],""))))),1,0))</f>
        <v>0</v>
      </c>
      <c r="O331" s="57" cm="1">
        <f t="array" ref="O331">IF(_xlfn.XLOOKUP(CONT_TEA[[#This Row],[EquatedWeekPatternCode]],EQW[EquatedWeekPatternCode],EQW[AvailableToAllSchools],1,0,)=TRUE,0,IF(ISERROR(FIND(CONT_TEA[[#This Row],[SchoolCode]],_xlfn.TEXTJOIN(",",TRUE,_xlfn.UNIQUE(IF(EQW[EquatedWeekPatternCode]=CONT_TEA[[#This Row],[EquatedWeekPatternCode]],EQW[SchoolCodes],""))))),1,0))</f>
        <v>0</v>
      </c>
      <c r="P331" s="57">
        <f>1-COUNTIF(ContractTypes[Code],CONT_TEA[[#This Row],[ContractTypeCode]])</f>
        <v>0</v>
      </c>
      <c r="Q331" s="57">
        <f>IF(VLOOKUP(CONT_TEA[[#This Row],[StaffMemberCode]],MEMBERS[[StaffMemberCode]:[ServiceStartDate]],5,0)&gt;CONT_TEA[[#This Row],[DateFrom]],1,0)</f>
        <v>0</v>
      </c>
      <c r="R331" s="57">
        <f>IF(_xlfn.XLOOKUP(CONT_TEA[[#This Row],[StaffMemberCode]],MEMBERS[StaffMemberCode],MEMBERS[ServiceEndDate])="",0,IF(CONT_TEA[[#This Row],[DateTo]]="",1,IF(_xlfn.XLOOKUP(CONT_TEA[[#This Row],[StaffMemberCode]],MEMBERS[StaffMemberCode],MEMBERS[ServiceEndDate])&lt;CONT_TEA[[#This Row],[DateTo]],1,0)))</f>
        <v>0</v>
      </c>
      <c r="S331" s="57">
        <f>IF(ISBLANK(CONT_TEA[[#This Row],[DateTo]]),0,IF(CONT_TEA[[#This Row],[DateFrom]]=CONT_TEA[[#This Row],[DateTo]],0,IF(CONT_TEA[[#This Row],[DateFrom]]&lt;CONT_TEA[[#This Row],[DateTo]],0,1)))</f>
        <v>0</v>
      </c>
      <c r="T331" s="57" cm="1">
        <f t="array" aca="1" ref="T331" ca="1">IF(CELL("format",CONT_TEA[[#This Row],[DateFrom]])="D1",0,1)+IF(CELL("format",CONT_TEA[[#This Row],[DateTo]])="D1",0,1)</f>
        <v>0</v>
      </c>
      <c r="U331" s="57">
        <f>IF(OR(CONT_TEA[[#This Row],[MatEditOnly]]=TRUE,CONT_TEA[[#This Row],[MatEditOnly]]=FALSE),IF(OR(CONT_TEA[[#This Row],[NoIncrement]]=TRUE,CONT_TEA[[#This Row],[NoIncrement]]=FALSE),0,1),1)</f>
        <v>0</v>
      </c>
      <c r="V331" s="57">
        <f>IF(ISBLANK(CONT_TEA[[#This Row],[FundCode]])=TRUE,0,IF(COUNTIF(FUNDS[FundCode],CONT_TEA[[#This Row],[FundCode]])=1,0,1))</f>
        <v>0</v>
      </c>
      <c r="W331" s="57">
        <f>IF(LEN(CONT_TEA[[#This Row],[Notes]])&lt;4000,0,1)</f>
        <v>0</v>
      </c>
      <c r="X331" s="57">
        <f>IF(SUBSTITUTE(TEXT(CONT_TEA[[#This Row],[Reference]],10)," ","")=TEXT(CONT_TEA[[#This Row],[Reference]],10),0,1)</f>
        <v>0</v>
      </c>
      <c r="Y331" s="57">
        <f ca="1">SUM(CONT_TEA[[#This Row],[Duplicate Contract]:[Space in Code]])</f>
        <v>1</v>
      </c>
      <c r="AA331" s="12" t="s">
        <v>2126</v>
      </c>
      <c r="AB331" s="15">
        <v>10005352</v>
      </c>
      <c r="AC331" s="12">
        <v>106127</v>
      </c>
      <c r="AD331" s="57" t="str">
        <f>_xlfn.XLOOKUP(CONT_TEA[[#This Row],[StaffMemberCode]],StaffMembers!O:O,StaffMembers!R:R)</f>
        <v>Graham Stubbs</v>
      </c>
      <c r="AE331" s="12" t="s">
        <v>1178</v>
      </c>
      <c r="AF331" s="57">
        <f>_xlfn.XLOOKUP(CONT_TEA[[#This Row],[SRG]],SRG[StaffRoleGroupCode],SRG[GrossSalaryFinanceCode])</f>
        <v>612100</v>
      </c>
      <c r="AG331" s="57" t="str">
        <f>_xlfn.XLOOKUP(CONT_TEA[[#This Row],[StaffRoleCode]],ROLES[StaffRoleCode],ROLES[StaffRoleGroupCode])</f>
        <v>TEA</v>
      </c>
      <c r="AH331" s="57" t="str">
        <f>_xlfn.XLOOKUP(CONT_TEA[[#This Row],[StaffRoleCode]],ROLES[StaffRoleCode],ROLES[PayScaleCode])</f>
        <v>MAIN</v>
      </c>
      <c r="AI331" s="12" t="s">
        <v>1126</v>
      </c>
      <c r="AJ331" s="12" t="s">
        <v>1745</v>
      </c>
      <c r="AK331" s="12" t="s">
        <v>2499</v>
      </c>
      <c r="AM331" s="68" t="s">
        <v>1147</v>
      </c>
      <c r="AN331" s="13" t="s">
        <v>1702</v>
      </c>
      <c r="AO331" s="21">
        <v>46023</v>
      </c>
      <c r="AQ331" s="12">
        <v>0.8</v>
      </c>
      <c r="AR331" t="b">
        <v>0</v>
      </c>
      <c r="AS331" t="b">
        <v>0</v>
      </c>
      <c r="AT331" s="12" t="s">
        <v>1574</v>
      </c>
    </row>
    <row r="332" spans="1:46" x14ac:dyDescent="0.3">
      <c r="A332" s="57" t="str">
        <f t="shared" si="8"/>
        <v>MLB10005316106084TEASTCH46023</v>
      </c>
      <c r="B332" s="57">
        <f>COUNTIF(CONT_TEA[Unique Contract],CONT_TEA[[#This Row],[Unique Contract]])-1</f>
        <v>0</v>
      </c>
      <c r="C332" s="57">
        <f>IFERROR(IF(FIND(CONT_TEA[[#This Row],[SchoolCode]],_xlfn.XLOOKUP(CONT_TEA[[#This Row],[StaffMemberCode]],MEMBERS[StaffMemberCode],MEMBERS[SchoolCodes]))&gt;0,0,1),1)</f>
        <v>0</v>
      </c>
      <c r="D332" s="57" cm="1">
        <f t="array" ref="D332">IF(_xlfn.XLOOKUP(CONT_TEA[[#This Row],[StaffRoleCode]],ROLES[StaffRoleCode],ROLES[AvailableToAllSchools],1,0,)=TRUE,0,IF(ISERROR(FIND(CONT_TEA[[#This Row],[SchoolCode]],_xlfn.TEXTJOIN(",",TRUE,_xlfn.UNIQUE(IF(ROLES[StaffRoleCode]=CONT_TEA[[#This Row],[StaffRoleCode]],ROLES[SchoolCodes],""))))),1,0))</f>
        <v>0</v>
      </c>
      <c r="E332" s="57" cm="1">
        <f t="array" ref="E332">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32" s="57" cm="1">
        <f t="array" ref="F332">IF(_xlfn.XLOOKUP(CONT_TEA[[#This Row],[PayScaleCode]],PAYSCALES[PayScaleCode],PAYSCALES[AvailableToAllSchools],1,0,)=TRUE,0,IF(ISERROR(FIND(CONT_TEA[[#This Row],[SchoolCode]],_xlfn.TEXTJOIN(",",TRUE,_xlfn.UNIQUE(IF(PAYSCALES[PayScaleCode]=CONT_TEA[[#This Row],[PayScaleCode]],PAYSCALES[SchoolCodes],""))))),1,0))</f>
        <v>0</v>
      </c>
      <c r="G332" s="57">
        <f>IF(_xlfn.XLOOKUP(CONT_TEA[[#This Row],[PayScaleGradeCode]],GRADES[PayScaleGradeCode],GRADES[AvailableToAllSchools])=TRUE,0,IFERROR(IF(FIND(CONT_TEA[[#This Row],[SchoolCode]],_xlfn.XLOOKUP(CONT_TEA[[#This Row],[PayScaleGradeCode]],GRADES[PayScaleGradeCode],GRADES[SchoolCodes]))&gt;=1,0,1),1))</f>
        <v>0</v>
      </c>
      <c r="H332" s="57">
        <f>IF(ISERROR(IF((_xlfn.XLOOKUP(CONT_TEA[[#This Row],[PayScaleGradeCode]],GRADES[PayScaleGradeCode],GRADES[PayScaleCode])=CONT_TEA[[#This Row],[PayScaleCode]]),0,1)),1,0)</f>
        <v>0</v>
      </c>
      <c r="I332" s="57" cm="1">
        <f t="array" ref="I332">IF(ISERROR(FIND(CONT_TEA[[#This Row],[PayScalePointCode]],_xlfn.TEXTJOIN(",",TRUE,IF(PSPOINTS[PayScaleCode]=CONT_TEA[[#This Row],[PayScaleCode]],PSPOINTS[PayScalePointCode])))),1,0)</f>
        <v>0</v>
      </c>
      <c r="J332" s="57" cm="1">
        <f t="array" ref="J33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32" s="57">
        <f>IF(_xlfn.XLOOKUP(CONT_TEA[[#This Row],[PayScalePointCode]],PSPOINTS[PayScalePointCode],PSPOINTS[PayScalePointEnabled])=TRUE,0,1)</f>
        <v>0</v>
      </c>
      <c r="L332" s="57" cm="1">
        <f t="array" ref="L332">IF(_xlfn.XLOOKUP(CONT_TEA[[#This Row],[DepartmentCode]],DEPTS[DepartmentCode],DEPTS[AvailableToAllSchools],1,0,)=TRUE,0,IF(ISERROR(FIND(CONT_TEA[[#This Row],[SchoolCode]],_xlfn.TEXTJOIN(",",TRUE,_xlfn.UNIQUE(IF(DEPTS[DepartmentCode]=CONT_TEA[[#This Row],[DepartmentCode]],DEPTS[SchoolCodes],""))))),1,0))</f>
        <v>0</v>
      </c>
      <c r="M332" s="57">
        <f>IFERROR(IF(_xlfn.XLOOKUP(CONT_TEA[[#This Row],[SRG Gross]],FinanceCodesBudget[FinanceCode],FinanceCodesBudget[LedgerCode])=_xlfn.XLOOKUP(CONT_TEA[[#This Row],[DepartmentCode]],DEPTS[DepartmentCode],DEPTS[LedgerCode]),0,1),1)</f>
        <v>1</v>
      </c>
      <c r="N332" s="57" cm="1">
        <f t="array" ref="N332">IF(_xlfn.XLOOKUP(CONT_TEA[[#This Row],[PensionCode]],PENS[PensionCode],PENS[AvailableToAllSchools],1,0,)=TRUE,0,IF(ISERROR(FIND(CONT_TEA[[#This Row],[SchoolCode]],_xlfn.TEXTJOIN(",",TRUE,_xlfn.UNIQUE(IF(PENS[PensionCode]=CONT_TEA[[#This Row],[PensionCode]],PENS[SchoolCodes],""))))),1,0))</f>
        <v>0</v>
      </c>
      <c r="O332" s="57" cm="1">
        <f t="array" ref="O332">IF(_xlfn.XLOOKUP(CONT_TEA[[#This Row],[EquatedWeekPatternCode]],EQW[EquatedWeekPatternCode],EQW[AvailableToAllSchools],1,0,)=TRUE,0,IF(ISERROR(FIND(CONT_TEA[[#This Row],[SchoolCode]],_xlfn.TEXTJOIN(",",TRUE,_xlfn.UNIQUE(IF(EQW[EquatedWeekPatternCode]=CONT_TEA[[#This Row],[EquatedWeekPatternCode]],EQW[SchoolCodes],""))))),1,0))</f>
        <v>0</v>
      </c>
      <c r="P332" s="57">
        <f>1-COUNTIF(ContractTypes[Code],CONT_TEA[[#This Row],[ContractTypeCode]])</f>
        <v>0</v>
      </c>
      <c r="Q332" s="57">
        <f>IF(VLOOKUP(CONT_TEA[[#This Row],[StaffMemberCode]],MEMBERS[[StaffMemberCode]:[ServiceStartDate]],5,0)&gt;CONT_TEA[[#This Row],[DateFrom]],1,0)</f>
        <v>0</v>
      </c>
      <c r="R332" s="57">
        <f>IF(_xlfn.XLOOKUP(CONT_TEA[[#This Row],[StaffMemberCode]],MEMBERS[StaffMemberCode],MEMBERS[ServiceEndDate])="",0,IF(CONT_TEA[[#This Row],[DateTo]]="",1,IF(_xlfn.XLOOKUP(CONT_TEA[[#This Row],[StaffMemberCode]],MEMBERS[StaffMemberCode],MEMBERS[ServiceEndDate])&lt;CONT_TEA[[#This Row],[DateTo]],1,0)))</f>
        <v>0</v>
      </c>
      <c r="S332" s="57">
        <f>IF(ISBLANK(CONT_TEA[[#This Row],[DateTo]]),0,IF(CONT_TEA[[#This Row],[DateFrom]]=CONT_TEA[[#This Row],[DateTo]],0,IF(CONT_TEA[[#This Row],[DateFrom]]&lt;CONT_TEA[[#This Row],[DateTo]],0,1)))</f>
        <v>0</v>
      </c>
      <c r="T332" s="57" cm="1">
        <f t="array" aca="1" ref="T332" ca="1">IF(CELL("format",CONT_TEA[[#This Row],[DateFrom]])="D1",0,1)+IF(CELL("format",CONT_TEA[[#This Row],[DateTo]])="D1",0,1)</f>
        <v>0</v>
      </c>
      <c r="U332" s="57">
        <f>IF(OR(CONT_TEA[[#This Row],[MatEditOnly]]=TRUE,CONT_TEA[[#This Row],[MatEditOnly]]=FALSE),IF(OR(CONT_TEA[[#This Row],[NoIncrement]]=TRUE,CONT_TEA[[#This Row],[NoIncrement]]=FALSE),0,1),1)</f>
        <v>0</v>
      </c>
      <c r="V332" s="57">
        <f>IF(ISBLANK(CONT_TEA[[#This Row],[FundCode]])=TRUE,0,IF(COUNTIF(FUNDS[FundCode],CONT_TEA[[#This Row],[FundCode]])=1,0,1))</f>
        <v>0</v>
      </c>
      <c r="W332" s="57">
        <f>IF(LEN(CONT_TEA[[#This Row],[Notes]])&lt;4000,0,1)</f>
        <v>0</v>
      </c>
      <c r="X332" s="57">
        <f>IF(SUBSTITUTE(TEXT(CONT_TEA[[#This Row],[Reference]],10)," ","")=TEXT(CONT_TEA[[#This Row],[Reference]],10),0,1)</f>
        <v>0</v>
      </c>
      <c r="Y332" s="57">
        <f ca="1">SUM(CONT_TEA[[#This Row],[Duplicate Contract]:[Space in Code]])</f>
        <v>1</v>
      </c>
      <c r="AA332" s="12" t="s">
        <v>2126</v>
      </c>
      <c r="AB332" s="15">
        <v>10005316</v>
      </c>
      <c r="AC332" s="12">
        <v>106084</v>
      </c>
      <c r="AD332" s="57" t="str">
        <f>_xlfn.XLOOKUP(CONT_TEA[[#This Row],[StaffMemberCode]],StaffMembers!O:O,StaffMembers!R:R)</f>
        <v>Josie Selby</v>
      </c>
      <c r="AE332" s="12" t="s">
        <v>1178</v>
      </c>
      <c r="AF332" s="57">
        <f>_xlfn.XLOOKUP(CONT_TEA[[#This Row],[SRG]],SRG[StaffRoleGroupCode],SRG[GrossSalaryFinanceCode])</f>
        <v>612100</v>
      </c>
      <c r="AG332" s="57" t="str">
        <f>_xlfn.XLOOKUP(CONT_TEA[[#This Row],[StaffRoleCode]],ROLES[StaffRoleCode],ROLES[StaffRoleGroupCode])</f>
        <v>TEA</v>
      </c>
      <c r="AH332" s="57" t="str">
        <f>_xlfn.XLOOKUP(CONT_TEA[[#This Row],[StaffRoleCode]],ROLES[StaffRoleCode],ROLES[PayScaleCode])</f>
        <v>MAIN</v>
      </c>
      <c r="AI332" s="12" t="s">
        <v>1126</v>
      </c>
      <c r="AJ332" s="12" t="s">
        <v>1745</v>
      </c>
      <c r="AK332" s="12" t="s">
        <v>2499</v>
      </c>
      <c r="AM332" s="68" t="s">
        <v>1147</v>
      </c>
      <c r="AN332" s="13" t="s">
        <v>1702</v>
      </c>
      <c r="AO332" s="21">
        <v>46023</v>
      </c>
      <c r="AQ332" s="12">
        <v>0.6</v>
      </c>
      <c r="AR332" t="b">
        <v>0</v>
      </c>
      <c r="AS332" t="b">
        <v>0</v>
      </c>
      <c r="AT332" s="12" t="s">
        <v>1574</v>
      </c>
    </row>
    <row r="333" spans="1:46" x14ac:dyDescent="0.3">
      <c r="A333" s="57" t="str">
        <f t="shared" si="8"/>
        <v>MLB10016221106122TEASTCH46023</v>
      </c>
      <c r="B333" s="57">
        <f>COUNTIF(CONT_TEA[Unique Contract],CONT_TEA[[#This Row],[Unique Contract]])-1</f>
        <v>0</v>
      </c>
      <c r="C333" s="57">
        <f>IFERROR(IF(FIND(CONT_TEA[[#This Row],[SchoolCode]],_xlfn.XLOOKUP(CONT_TEA[[#This Row],[StaffMemberCode]],MEMBERS[StaffMemberCode],MEMBERS[SchoolCodes]))&gt;0,0,1),1)</f>
        <v>0</v>
      </c>
      <c r="D333" s="57" cm="1">
        <f t="array" ref="D333">IF(_xlfn.XLOOKUP(CONT_TEA[[#This Row],[StaffRoleCode]],ROLES[StaffRoleCode],ROLES[AvailableToAllSchools],1,0,)=TRUE,0,IF(ISERROR(FIND(CONT_TEA[[#This Row],[SchoolCode]],_xlfn.TEXTJOIN(",",TRUE,_xlfn.UNIQUE(IF(ROLES[StaffRoleCode]=CONT_TEA[[#This Row],[StaffRoleCode]],ROLES[SchoolCodes],""))))),1,0))</f>
        <v>0</v>
      </c>
      <c r="E333" s="57" cm="1">
        <f t="array" ref="E33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33" s="57" cm="1">
        <f t="array" ref="F333">IF(_xlfn.XLOOKUP(CONT_TEA[[#This Row],[PayScaleCode]],PAYSCALES[PayScaleCode],PAYSCALES[AvailableToAllSchools],1,0,)=TRUE,0,IF(ISERROR(FIND(CONT_TEA[[#This Row],[SchoolCode]],_xlfn.TEXTJOIN(",",TRUE,_xlfn.UNIQUE(IF(PAYSCALES[PayScaleCode]=CONT_TEA[[#This Row],[PayScaleCode]],PAYSCALES[SchoolCodes],""))))),1,0))</f>
        <v>0</v>
      </c>
      <c r="G333" s="57">
        <f>IF(_xlfn.XLOOKUP(CONT_TEA[[#This Row],[PayScaleGradeCode]],GRADES[PayScaleGradeCode],GRADES[AvailableToAllSchools])=TRUE,0,IFERROR(IF(FIND(CONT_TEA[[#This Row],[SchoolCode]],_xlfn.XLOOKUP(CONT_TEA[[#This Row],[PayScaleGradeCode]],GRADES[PayScaleGradeCode],GRADES[SchoolCodes]))&gt;=1,0,1),1))</f>
        <v>0</v>
      </c>
      <c r="H333" s="57">
        <f>IF(ISERROR(IF((_xlfn.XLOOKUP(CONT_TEA[[#This Row],[PayScaleGradeCode]],GRADES[PayScaleGradeCode],GRADES[PayScaleCode])=CONT_TEA[[#This Row],[PayScaleCode]]),0,1)),1,0)</f>
        <v>0</v>
      </c>
      <c r="I333" s="57" cm="1">
        <f t="array" ref="I333">IF(ISERROR(FIND(CONT_TEA[[#This Row],[PayScalePointCode]],_xlfn.TEXTJOIN(",",TRUE,IF(PSPOINTS[PayScaleCode]=CONT_TEA[[#This Row],[PayScaleCode]],PSPOINTS[PayScalePointCode])))),1,0)</f>
        <v>0</v>
      </c>
      <c r="J333" s="57" cm="1">
        <f t="array" ref="J33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33" s="57">
        <f>IF(_xlfn.XLOOKUP(CONT_TEA[[#This Row],[PayScalePointCode]],PSPOINTS[PayScalePointCode],PSPOINTS[PayScalePointEnabled])=TRUE,0,1)</f>
        <v>0</v>
      </c>
      <c r="L333" s="57" cm="1">
        <f t="array" ref="L333">IF(_xlfn.XLOOKUP(CONT_TEA[[#This Row],[DepartmentCode]],DEPTS[DepartmentCode],DEPTS[AvailableToAllSchools],1,0,)=TRUE,0,IF(ISERROR(FIND(CONT_TEA[[#This Row],[SchoolCode]],_xlfn.TEXTJOIN(",",TRUE,_xlfn.UNIQUE(IF(DEPTS[DepartmentCode]=CONT_TEA[[#This Row],[DepartmentCode]],DEPTS[SchoolCodes],""))))),1,0))</f>
        <v>0</v>
      </c>
      <c r="M333" s="57">
        <f>IFERROR(IF(_xlfn.XLOOKUP(CONT_TEA[[#This Row],[SRG Gross]],FinanceCodesBudget[FinanceCode],FinanceCodesBudget[LedgerCode])=_xlfn.XLOOKUP(CONT_TEA[[#This Row],[DepartmentCode]],DEPTS[DepartmentCode],DEPTS[LedgerCode]),0,1),1)</f>
        <v>1</v>
      </c>
      <c r="N333" s="57" cm="1">
        <f t="array" ref="N333">IF(_xlfn.XLOOKUP(CONT_TEA[[#This Row],[PensionCode]],PENS[PensionCode],PENS[AvailableToAllSchools],1,0,)=TRUE,0,IF(ISERROR(FIND(CONT_TEA[[#This Row],[SchoolCode]],_xlfn.TEXTJOIN(",",TRUE,_xlfn.UNIQUE(IF(PENS[PensionCode]=CONT_TEA[[#This Row],[PensionCode]],PENS[SchoolCodes],""))))),1,0))</f>
        <v>0</v>
      </c>
      <c r="O333" s="57" cm="1">
        <f t="array" ref="O333">IF(_xlfn.XLOOKUP(CONT_TEA[[#This Row],[EquatedWeekPatternCode]],EQW[EquatedWeekPatternCode],EQW[AvailableToAllSchools],1,0,)=TRUE,0,IF(ISERROR(FIND(CONT_TEA[[#This Row],[SchoolCode]],_xlfn.TEXTJOIN(",",TRUE,_xlfn.UNIQUE(IF(EQW[EquatedWeekPatternCode]=CONT_TEA[[#This Row],[EquatedWeekPatternCode]],EQW[SchoolCodes],""))))),1,0))</f>
        <v>0</v>
      </c>
      <c r="P333" s="57">
        <f>1-COUNTIF(ContractTypes[Code],CONT_TEA[[#This Row],[ContractTypeCode]])</f>
        <v>0</v>
      </c>
      <c r="Q333" s="57">
        <f>IF(VLOOKUP(CONT_TEA[[#This Row],[StaffMemberCode]],MEMBERS[[StaffMemberCode]:[ServiceStartDate]],5,0)&gt;CONT_TEA[[#This Row],[DateFrom]],1,0)</f>
        <v>0</v>
      </c>
      <c r="R333" s="57">
        <f>IF(_xlfn.XLOOKUP(CONT_TEA[[#This Row],[StaffMemberCode]],MEMBERS[StaffMemberCode],MEMBERS[ServiceEndDate])="",0,IF(CONT_TEA[[#This Row],[DateTo]]="",1,IF(_xlfn.XLOOKUP(CONT_TEA[[#This Row],[StaffMemberCode]],MEMBERS[StaffMemberCode],MEMBERS[ServiceEndDate])&lt;CONT_TEA[[#This Row],[DateTo]],1,0)))</f>
        <v>0</v>
      </c>
      <c r="S333" s="57">
        <f>IF(ISBLANK(CONT_TEA[[#This Row],[DateTo]]),0,IF(CONT_TEA[[#This Row],[DateFrom]]=CONT_TEA[[#This Row],[DateTo]],0,IF(CONT_TEA[[#This Row],[DateFrom]]&lt;CONT_TEA[[#This Row],[DateTo]],0,1)))</f>
        <v>0</v>
      </c>
      <c r="T333" s="57" cm="1">
        <f t="array" aca="1" ref="T333" ca="1">IF(CELL("format",CONT_TEA[[#This Row],[DateFrom]])="D1",0,1)+IF(CELL("format",CONT_TEA[[#This Row],[DateTo]])="D1",0,1)</f>
        <v>0</v>
      </c>
      <c r="U333" s="57">
        <f>IF(OR(CONT_TEA[[#This Row],[MatEditOnly]]=TRUE,CONT_TEA[[#This Row],[MatEditOnly]]=FALSE),IF(OR(CONT_TEA[[#This Row],[NoIncrement]]=TRUE,CONT_TEA[[#This Row],[NoIncrement]]=FALSE),0,1),1)</f>
        <v>0</v>
      </c>
      <c r="V333" s="57">
        <f>IF(ISBLANK(CONT_TEA[[#This Row],[FundCode]])=TRUE,0,IF(COUNTIF(FUNDS[FundCode],CONT_TEA[[#This Row],[FundCode]])=1,0,1))</f>
        <v>0</v>
      </c>
      <c r="W333" s="57">
        <f>IF(LEN(CONT_TEA[[#This Row],[Notes]])&lt;4000,0,1)</f>
        <v>0</v>
      </c>
      <c r="X333" s="57">
        <f>IF(SUBSTITUTE(TEXT(CONT_TEA[[#This Row],[Reference]],10)," ","")=TEXT(CONT_TEA[[#This Row],[Reference]],10),0,1)</f>
        <v>0</v>
      </c>
      <c r="Y333" s="57">
        <f ca="1">SUM(CONT_TEA[[#This Row],[Duplicate Contract]:[Space in Code]])</f>
        <v>1</v>
      </c>
      <c r="AA333" s="12" t="s">
        <v>2126</v>
      </c>
      <c r="AB333" s="15">
        <v>10016221</v>
      </c>
      <c r="AC333" s="12">
        <v>106122</v>
      </c>
      <c r="AD333" s="57" t="str">
        <f>_xlfn.XLOOKUP(CONT_TEA[[#This Row],[StaffMemberCode]],StaffMembers!O:O,StaffMembers!R:R)</f>
        <v>Karl Mason</v>
      </c>
      <c r="AE333" s="12" t="s">
        <v>1178</v>
      </c>
      <c r="AF333" s="57">
        <f>_xlfn.XLOOKUP(CONT_TEA[[#This Row],[SRG]],SRG[StaffRoleGroupCode],SRG[GrossSalaryFinanceCode])</f>
        <v>612100</v>
      </c>
      <c r="AG333" s="57" t="str">
        <f>_xlfn.XLOOKUP(CONT_TEA[[#This Row],[StaffRoleCode]],ROLES[StaffRoleCode],ROLES[StaffRoleGroupCode])</f>
        <v>TEA</v>
      </c>
      <c r="AH333" s="57" t="str">
        <f>_xlfn.XLOOKUP(CONT_TEA[[#This Row],[StaffRoleCode]],ROLES[StaffRoleCode],ROLES[PayScaleCode])</f>
        <v>MAIN</v>
      </c>
      <c r="AI333" s="12" t="s">
        <v>1126</v>
      </c>
      <c r="AJ333" s="12" t="s">
        <v>1745</v>
      </c>
      <c r="AK333" s="12" t="s">
        <v>2499</v>
      </c>
      <c r="AM333" s="68" t="s">
        <v>1147</v>
      </c>
      <c r="AN333" s="13" t="s">
        <v>1702</v>
      </c>
      <c r="AO333" s="21">
        <v>46023</v>
      </c>
      <c r="AQ333" s="12">
        <v>1</v>
      </c>
      <c r="AR333" t="b">
        <v>0</v>
      </c>
      <c r="AS333" t="b">
        <v>0</v>
      </c>
      <c r="AT333" s="12" t="s">
        <v>1574</v>
      </c>
    </row>
    <row r="334" spans="1:46" x14ac:dyDescent="0.3">
      <c r="A334" s="57" t="str">
        <f t="shared" si="8"/>
        <v>MLB10012807111044TEASTCH46023</v>
      </c>
      <c r="B334" s="57">
        <f>COUNTIF(CONT_TEA[Unique Contract],CONT_TEA[[#This Row],[Unique Contract]])-1</f>
        <v>0</v>
      </c>
      <c r="C334" s="57">
        <f>IFERROR(IF(FIND(CONT_TEA[[#This Row],[SchoolCode]],_xlfn.XLOOKUP(CONT_TEA[[#This Row],[StaffMemberCode]],MEMBERS[StaffMemberCode],MEMBERS[SchoolCodes]))&gt;0,0,1),1)</f>
        <v>0</v>
      </c>
      <c r="D334" s="57" cm="1">
        <f t="array" ref="D334">IF(_xlfn.XLOOKUP(CONT_TEA[[#This Row],[StaffRoleCode]],ROLES[StaffRoleCode],ROLES[AvailableToAllSchools],1,0,)=TRUE,0,IF(ISERROR(FIND(CONT_TEA[[#This Row],[SchoolCode]],_xlfn.TEXTJOIN(",",TRUE,_xlfn.UNIQUE(IF(ROLES[StaffRoleCode]=CONT_TEA[[#This Row],[StaffRoleCode]],ROLES[SchoolCodes],""))))),1,0))</f>
        <v>0</v>
      </c>
      <c r="E334" s="57" cm="1">
        <f t="array" ref="E334">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34" s="57" cm="1">
        <f t="array" ref="F334">IF(_xlfn.XLOOKUP(CONT_TEA[[#This Row],[PayScaleCode]],PAYSCALES[PayScaleCode],PAYSCALES[AvailableToAllSchools],1,0,)=TRUE,0,IF(ISERROR(FIND(CONT_TEA[[#This Row],[SchoolCode]],_xlfn.TEXTJOIN(",",TRUE,_xlfn.UNIQUE(IF(PAYSCALES[PayScaleCode]=CONT_TEA[[#This Row],[PayScaleCode]],PAYSCALES[SchoolCodes],""))))),1,0))</f>
        <v>0</v>
      </c>
      <c r="G334" s="57">
        <f>IF(_xlfn.XLOOKUP(CONT_TEA[[#This Row],[PayScaleGradeCode]],GRADES[PayScaleGradeCode],GRADES[AvailableToAllSchools])=TRUE,0,IFERROR(IF(FIND(CONT_TEA[[#This Row],[SchoolCode]],_xlfn.XLOOKUP(CONT_TEA[[#This Row],[PayScaleGradeCode]],GRADES[PayScaleGradeCode],GRADES[SchoolCodes]))&gt;=1,0,1),1))</f>
        <v>0</v>
      </c>
      <c r="H334" s="57">
        <f>IF(ISERROR(IF((_xlfn.XLOOKUP(CONT_TEA[[#This Row],[PayScaleGradeCode]],GRADES[PayScaleGradeCode],GRADES[PayScaleCode])=CONT_TEA[[#This Row],[PayScaleCode]]),0,1)),1,0)</f>
        <v>0</v>
      </c>
      <c r="I334" s="57" cm="1">
        <f t="array" ref="I334">IF(ISERROR(FIND(CONT_TEA[[#This Row],[PayScalePointCode]],_xlfn.TEXTJOIN(",",TRUE,IF(PSPOINTS[PayScaleCode]=CONT_TEA[[#This Row],[PayScaleCode]],PSPOINTS[PayScalePointCode])))),1,0)</f>
        <v>0</v>
      </c>
      <c r="J334" s="57" cm="1">
        <f t="array" ref="J334">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34" s="57">
        <f>IF(_xlfn.XLOOKUP(CONT_TEA[[#This Row],[PayScalePointCode]],PSPOINTS[PayScalePointCode],PSPOINTS[PayScalePointEnabled])=TRUE,0,1)</f>
        <v>0</v>
      </c>
      <c r="L334" s="57" cm="1">
        <f t="array" ref="L334">IF(_xlfn.XLOOKUP(CONT_TEA[[#This Row],[DepartmentCode]],DEPTS[DepartmentCode],DEPTS[AvailableToAllSchools],1,0,)=TRUE,0,IF(ISERROR(FIND(CONT_TEA[[#This Row],[SchoolCode]],_xlfn.TEXTJOIN(",",TRUE,_xlfn.UNIQUE(IF(DEPTS[DepartmentCode]=CONT_TEA[[#This Row],[DepartmentCode]],DEPTS[SchoolCodes],""))))),1,0))</f>
        <v>0</v>
      </c>
      <c r="M334" s="57">
        <f>IFERROR(IF(_xlfn.XLOOKUP(CONT_TEA[[#This Row],[SRG Gross]],FinanceCodesBudget[FinanceCode],FinanceCodesBudget[LedgerCode])=_xlfn.XLOOKUP(CONT_TEA[[#This Row],[DepartmentCode]],DEPTS[DepartmentCode],DEPTS[LedgerCode]),0,1),1)</f>
        <v>1</v>
      </c>
      <c r="N334" s="57" cm="1">
        <f t="array" ref="N334">IF(_xlfn.XLOOKUP(CONT_TEA[[#This Row],[PensionCode]],PENS[PensionCode],PENS[AvailableToAllSchools],1,0,)=TRUE,0,IF(ISERROR(FIND(CONT_TEA[[#This Row],[SchoolCode]],_xlfn.TEXTJOIN(",",TRUE,_xlfn.UNIQUE(IF(PENS[PensionCode]=CONT_TEA[[#This Row],[PensionCode]],PENS[SchoolCodes],""))))),1,0))</f>
        <v>0</v>
      </c>
      <c r="O334" s="57" cm="1">
        <f t="array" ref="O334">IF(_xlfn.XLOOKUP(CONT_TEA[[#This Row],[EquatedWeekPatternCode]],EQW[EquatedWeekPatternCode],EQW[AvailableToAllSchools],1,0,)=TRUE,0,IF(ISERROR(FIND(CONT_TEA[[#This Row],[SchoolCode]],_xlfn.TEXTJOIN(",",TRUE,_xlfn.UNIQUE(IF(EQW[EquatedWeekPatternCode]=CONT_TEA[[#This Row],[EquatedWeekPatternCode]],EQW[SchoolCodes],""))))),1,0))</f>
        <v>0</v>
      </c>
      <c r="P334" s="57">
        <f>1-COUNTIF(ContractTypes[Code],CONT_TEA[[#This Row],[ContractTypeCode]])</f>
        <v>0</v>
      </c>
      <c r="Q334" s="57">
        <f>IF(VLOOKUP(CONT_TEA[[#This Row],[StaffMemberCode]],MEMBERS[[StaffMemberCode]:[ServiceStartDate]],5,0)&gt;CONT_TEA[[#This Row],[DateFrom]],1,0)</f>
        <v>0</v>
      </c>
      <c r="R334" s="57">
        <f>IF(_xlfn.XLOOKUP(CONT_TEA[[#This Row],[StaffMemberCode]],MEMBERS[StaffMemberCode],MEMBERS[ServiceEndDate])="",0,IF(CONT_TEA[[#This Row],[DateTo]]="",1,IF(_xlfn.XLOOKUP(CONT_TEA[[#This Row],[StaffMemberCode]],MEMBERS[StaffMemberCode],MEMBERS[ServiceEndDate])&lt;CONT_TEA[[#This Row],[DateTo]],1,0)))</f>
        <v>0</v>
      </c>
      <c r="S334" s="57">
        <f>IF(ISBLANK(CONT_TEA[[#This Row],[DateTo]]),0,IF(CONT_TEA[[#This Row],[DateFrom]]=CONT_TEA[[#This Row],[DateTo]],0,IF(CONT_TEA[[#This Row],[DateFrom]]&lt;CONT_TEA[[#This Row],[DateTo]],0,1)))</f>
        <v>0</v>
      </c>
      <c r="T334" s="57" cm="1">
        <f t="array" aca="1" ref="T334" ca="1">IF(CELL("format",CONT_TEA[[#This Row],[DateFrom]])="D1",0,1)+IF(CELL("format",CONT_TEA[[#This Row],[DateTo]])="D1",0,1)</f>
        <v>0</v>
      </c>
      <c r="U334" s="57">
        <f>IF(OR(CONT_TEA[[#This Row],[MatEditOnly]]=TRUE,CONT_TEA[[#This Row],[MatEditOnly]]=FALSE),IF(OR(CONT_TEA[[#This Row],[NoIncrement]]=TRUE,CONT_TEA[[#This Row],[NoIncrement]]=FALSE),0,1),1)</f>
        <v>0</v>
      </c>
      <c r="V334" s="57">
        <f>IF(ISBLANK(CONT_TEA[[#This Row],[FundCode]])=TRUE,0,IF(COUNTIF(FUNDS[FundCode],CONT_TEA[[#This Row],[FundCode]])=1,0,1))</f>
        <v>0</v>
      </c>
      <c r="W334" s="57">
        <f>IF(LEN(CONT_TEA[[#This Row],[Notes]])&lt;4000,0,1)</f>
        <v>0</v>
      </c>
      <c r="X334" s="57">
        <f>IF(SUBSTITUTE(TEXT(CONT_TEA[[#This Row],[Reference]],10)," ","")=TEXT(CONT_TEA[[#This Row],[Reference]],10),0,1)</f>
        <v>0</v>
      </c>
      <c r="Y334" s="57">
        <f ca="1">SUM(CONT_TEA[[#This Row],[Duplicate Contract]:[Space in Code]])</f>
        <v>1</v>
      </c>
      <c r="AA334" s="12" t="s">
        <v>2126</v>
      </c>
      <c r="AB334" s="15">
        <v>10012807</v>
      </c>
      <c r="AC334" s="12">
        <v>111044</v>
      </c>
      <c r="AD334" s="57" t="str">
        <f>_xlfn.XLOOKUP(CONT_TEA[[#This Row],[StaffMemberCode]],StaffMembers!O:O,StaffMembers!R:R)</f>
        <v>Sara Ludlow</v>
      </c>
      <c r="AE334" s="12" t="s">
        <v>1178</v>
      </c>
      <c r="AF334" s="57">
        <f>_xlfn.XLOOKUP(CONT_TEA[[#This Row],[SRG]],SRG[StaffRoleGroupCode],SRG[GrossSalaryFinanceCode])</f>
        <v>612100</v>
      </c>
      <c r="AG334" s="57" t="str">
        <f>_xlfn.XLOOKUP(CONT_TEA[[#This Row],[StaffRoleCode]],ROLES[StaffRoleCode],ROLES[StaffRoleGroupCode])</f>
        <v>TEA</v>
      </c>
      <c r="AH334" s="57" t="str">
        <f>_xlfn.XLOOKUP(CONT_TEA[[#This Row],[StaffRoleCode]],ROLES[StaffRoleCode],ROLES[PayScaleCode])</f>
        <v>MAIN</v>
      </c>
      <c r="AI334" s="12" t="s">
        <v>1126</v>
      </c>
      <c r="AJ334" s="12" t="s">
        <v>1745</v>
      </c>
      <c r="AK334" s="12" t="s">
        <v>2499</v>
      </c>
      <c r="AM334" s="68" t="s">
        <v>1147</v>
      </c>
      <c r="AN334" s="13" t="s">
        <v>1702</v>
      </c>
      <c r="AO334" s="21">
        <v>46023</v>
      </c>
      <c r="AQ334" s="12">
        <v>0.64</v>
      </c>
      <c r="AR334" t="b">
        <v>0</v>
      </c>
      <c r="AS334" t="b">
        <v>0</v>
      </c>
      <c r="AT334" s="12" t="s">
        <v>1574</v>
      </c>
    </row>
    <row r="335" spans="1:46" x14ac:dyDescent="0.3">
      <c r="A335" s="57" t="str">
        <f t="shared" si="8"/>
        <v>MLB10005292106057TEASTCH46023</v>
      </c>
      <c r="B335" s="57">
        <f>COUNTIF(CONT_TEA[Unique Contract],CONT_TEA[[#This Row],[Unique Contract]])-1</f>
        <v>0</v>
      </c>
      <c r="C335" s="57">
        <f>IFERROR(IF(FIND(CONT_TEA[[#This Row],[SchoolCode]],_xlfn.XLOOKUP(CONT_TEA[[#This Row],[StaffMemberCode]],MEMBERS[StaffMemberCode],MEMBERS[SchoolCodes]))&gt;0,0,1),1)</f>
        <v>0</v>
      </c>
      <c r="D335" s="57" cm="1">
        <f t="array" ref="D335">IF(_xlfn.XLOOKUP(CONT_TEA[[#This Row],[StaffRoleCode]],ROLES[StaffRoleCode],ROLES[AvailableToAllSchools],1,0,)=TRUE,0,IF(ISERROR(FIND(CONT_TEA[[#This Row],[SchoolCode]],_xlfn.TEXTJOIN(",",TRUE,_xlfn.UNIQUE(IF(ROLES[StaffRoleCode]=CONT_TEA[[#This Row],[StaffRoleCode]],ROLES[SchoolCodes],""))))),1,0))</f>
        <v>0</v>
      </c>
      <c r="E335" s="57" cm="1">
        <f t="array" ref="E335">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35" s="57" cm="1">
        <f t="array" ref="F335">IF(_xlfn.XLOOKUP(CONT_TEA[[#This Row],[PayScaleCode]],PAYSCALES[PayScaleCode],PAYSCALES[AvailableToAllSchools],1,0,)=TRUE,0,IF(ISERROR(FIND(CONT_TEA[[#This Row],[SchoolCode]],_xlfn.TEXTJOIN(",",TRUE,_xlfn.UNIQUE(IF(PAYSCALES[PayScaleCode]=CONT_TEA[[#This Row],[PayScaleCode]],PAYSCALES[SchoolCodes],""))))),1,0))</f>
        <v>0</v>
      </c>
      <c r="G335" s="57">
        <f>IF(_xlfn.XLOOKUP(CONT_TEA[[#This Row],[PayScaleGradeCode]],GRADES[PayScaleGradeCode],GRADES[AvailableToAllSchools])=TRUE,0,IFERROR(IF(FIND(CONT_TEA[[#This Row],[SchoolCode]],_xlfn.XLOOKUP(CONT_TEA[[#This Row],[PayScaleGradeCode]],GRADES[PayScaleGradeCode],GRADES[SchoolCodes]))&gt;=1,0,1),1))</f>
        <v>0</v>
      </c>
      <c r="H335" s="57">
        <f>IF(ISERROR(IF((_xlfn.XLOOKUP(CONT_TEA[[#This Row],[PayScaleGradeCode]],GRADES[PayScaleGradeCode],GRADES[PayScaleCode])=CONT_TEA[[#This Row],[PayScaleCode]]),0,1)),1,0)</f>
        <v>0</v>
      </c>
      <c r="I335" s="57" cm="1">
        <f t="array" ref="I335">IF(ISERROR(FIND(CONT_TEA[[#This Row],[PayScalePointCode]],_xlfn.TEXTJOIN(",",TRUE,IF(PSPOINTS[PayScaleCode]=CONT_TEA[[#This Row],[PayScaleCode]],PSPOINTS[PayScalePointCode])))),1,0)</f>
        <v>0</v>
      </c>
      <c r="J335" s="57" cm="1">
        <f t="array" ref="J335">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35" s="57">
        <f>IF(_xlfn.XLOOKUP(CONT_TEA[[#This Row],[PayScalePointCode]],PSPOINTS[PayScalePointCode],PSPOINTS[PayScalePointEnabled])=TRUE,0,1)</f>
        <v>0</v>
      </c>
      <c r="L335" s="57" cm="1">
        <f t="array" ref="L335">IF(_xlfn.XLOOKUP(CONT_TEA[[#This Row],[DepartmentCode]],DEPTS[DepartmentCode],DEPTS[AvailableToAllSchools],1,0,)=TRUE,0,IF(ISERROR(FIND(CONT_TEA[[#This Row],[SchoolCode]],_xlfn.TEXTJOIN(",",TRUE,_xlfn.UNIQUE(IF(DEPTS[DepartmentCode]=CONT_TEA[[#This Row],[DepartmentCode]],DEPTS[SchoolCodes],""))))),1,0))</f>
        <v>0</v>
      </c>
      <c r="M335" s="57">
        <f>IFERROR(IF(_xlfn.XLOOKUP(CONT_TEA[[#This Row],[SRG Gross]],FinanceCodesBudget[FinanceCode],FinanceCodesBudget[LedgerCode])=_xlfn.XLOOKUP(CONT_TEA[[#This Row],[DepartmentCode]],DEPTS[DepartmentCode],DEPTS[LedgerCode]),0,1),1)</f>
        <v>1</v>
      </c>
      <c r="N335" s="57" cm="1">
        <f t="array" ref="N335">IF(_xlfn.XLOOKUP(CONT_TEA[[#This Row],[PensionCode]],PENS[PensionCode],PENS[AvailableToAllSchools],1,0,)=TRUE,0,IF(ISERROR(FIND(CONT_TEA[[#This Row],[SchoolCode]],_xlfn.TEXTJOIN(",",TRUE,_xlfn.UNIQUE(IF(PENS[PensionCode]=CONT_TEA[[#This Row],[PensionCode]],PENS[SchoolCodes],""))))),1,0))</f>
        <v>0</v>
      </c>
      <c r="O335" s="57" cm="1">
        <f t="array" ref="O335">IF(_xlfn.XLOOKUP(CONT_TEA[[#This Row],[EquatedWeekPatternCode]],EQW[EquatedWeekPatternCode],EQW[AvailableToAllSchools],1,0,)=TRUE,0,IF(ISERROR(FIND(CONT_TEA[[#This Row],[SchoolCode]],_xlfn.TEXTJOIN(",",TRUE,_xlfn.UNIQUE(IF(EQW[EquatedWeekPatternCode]=CONT_TEA[[#This Row],[EquatedWeekPatternCode]],EQW[SchoolCodes],""))))),1,0))</f>
        <v>0</v>
      </c>
      <c r="P335" s="57">
        <f>1-COUNTIF(ContractTypes[Code],CONT_TEA[[#This Row],[ContractTypeCode]])</f>
        <v>0</v>
      </c>
      <c r="Q335" s="57">
        <f>IF(VLOOKUP(CONT_TEA[[#This Row],[StaffMemberCode]],MEMBERS[[StaffMemberCode]:[ServiceStartDate]],5,0)&gt;CONT_TEA[[#This Row],[DateFrom]],1,0)</f>
        <v>0</v>
      </c>
      <c r="R335" s="57">
        <f>IF(_xlfn.XLOOKUP(CONT_TEA[[#This Row],[StaffMemberCode]],MEMBERS[StaffMemberCode],MEMBERS[ServiceEndDate])="",0,IF(CONT_TEA[[#This Row],[DateTo]]="",1,IF(_xlfn.XLOOKUP(CONT_TEA[[#This Row],[StaffMemberCode]],MEMBERS[StaffMemberCode],MEMBERS[ServiceEndDate])&lt;CONT_TEA[[#This Row],[DateTo]],1,0)))</f>
        <v>0</v>
      </c>
      <c r="S335" s="57">
        <f>IF(ISBLANK(CONT_TEA[[#This Row],[DateTo]]),0,IF(CONT_TEA[[#This Row],[DateFrom]]=CONT_TEA[[#This Row],[DateTo]],0,IF(CONT_TEA[[#This Row],[DateFrom]]&lt;CONT_TEA[[#This Row],[DateTo]],0,1)))</f>
        <v>0</v>
      </c>
      <c r="T335" s="57" cm="1">
        <f t="array" aca="1" ref="T335" ca="1">IF(CELL("format",CONT_TEA[[#This Row],[DateFrom]])="D1",0,1)+IF(CELL("format",CONT_TEA[[#This Row],[DateTo]])="D1",0,1)</f>
        <v>0</v>
      </c>
      <c r="U335" s="57">
        <f>IF(OR(CONT_TEA[[#This Row],[MatEditOnly]]=TRUE,CONT_TEA[[#This Row],[MatEditOnly]]=FALSE),IF(OR(CONT_TEA[[#This Row],[NoIncrement]]=TRUE,CONT_TEA[[#This Row],[NoIncrement]]=FALSE),0,1),1)</f>
        <v>0</v>
      </c>
      <c r="V335" s="57">
        <f>IF(ISBLANK(CONT_TEA[[#This Row],[FundCode]])=TRUE,0,IF(COUNTIF(FUNDS[FundCode],CONT_TEA[[#This Row],[FundCode]])=1,0,1))</f>
        <v>0</v>
      </c>
      <c r="W335" s="57">
        <f>IF(LEN(CONT_TEA[[#This Row],[Notes]])&lt;4000,0,1)</f>
        <v>0</v>
      </c>
      <c r="X335" s="57">
        <f>IF(SUBSTITUTE(TEXT(CONT_TEA[[#This Row],[Reference]],10)," ","")=TEXT(CONT_TEA[[#This Row],[Reference]],10),0,1)</f>
        <v>0</v>
      </c>
      <c r="Y335" s="57">
        <f ca="1">SUM(CONT_TEA[[#This Row],[Duplicate Contract]:[Space in Code]])</f>
        <v>1</v>
      </c>
      <c r="AA335" s="12" t="s">
        <v>2126</v>
      </c>
      <c r="AB335" s="15">
        <v>10005292</v>
      </c>
      <c r="AC335" s="12">
        <v>106057</v>
      </c>
      <c r="AD335" s="57" t="str">
        <f>_xlfn.XLOOKUP(CONT_TEA[[#This Row],[StaffMemberCode]],StaffMembers!O:O,StaffMembers!R:R)</f>
        <v>Sarah King</v>
      </c>
      <c r="AE335" s="12" t="s">
        <v>1178</v>
      </c>
      <c r="AF335" s="57">
        <f>_xlfn.XLOOKUP(CONT_TEA[[#This Row],[SRG]],SRG[StaffRoleGroupCode],SRG[GrossSalaryFinanceCode])</f>
        <v>612100</v>
      </c>
      <c r="AG335" s="57" t="str">
        <f>_xlfn.XLOOKUP(CONT_TEA[[#This Row],[StaffRoleCode]],ROLES[StaffRoleCode],ROLES[StaffRoleGroupCode])</f>
        <v>TEA</v>
      </c>
      <c r="AH335" s="57" t="str">
        <f>_xlfn.XLOOKUP(CONT_TEA[[#This Row],[StaffRoleCode]],ROLES[StaffRoleCode],ROLES[PayScaleCode])</f>
        <v>MAIN</v>
      </c>
      <c r="AI335" s="12" t="s">
        <v>1126</v>
      </c>
      <c r="AJ335" s="12" t="s">
        <v>1745</v>
      </c>
      <c r="AK335" s="12" t="s">
        <v>2499</v>
      </c>
      <c r="AM335" s="68" t="s">
        <v>1147</v>
      </c>
      <c r="AN335" s="13" t="s">
        <v>1702</v>
      </c>
      <c r="AO335" s="21">
        <v>46023</v>
      </c>
      <c r="AQ335" s="12">
        <v>0.42</v>
      </c>
      <c r="AR335" t="b">
        <v>0</v>
      </c>
      <c r="AS335" t="b">
        <v>0</v>
      </c>
      <c r="AT335" s="12" t="s">
        <v>1574</v>
      </c>
    </row>
    <row r="336" spans="1:46" x14ac:dyDescent="0.3">
      <c r="A336" s="57" t="str">
        <f t="shared" si="8"/>
        <v>MLB10005287106052TEASTCH46023</v>
      </c>
      <c r="B336" s="57">
        <f>COUNTIF(CONT_TEA[Unique Contract],CONT_TEA[[#This Row],[Unique Contract]])-1</f>
        <v>0</v>
      </c>
      <c r="C336" s="57">
        <f>IFERROR(IF(FIND(CONT_TEA[[#This Row],[SchoolCode]],_xlfn.XLOOKUP(CONT_TEA[[#This Row],[StaffMemberCode]],MEMBERS[StaffMemberCode],MEMBERS[SchoolCodes]))&gt;0,0,1),1)</f>
        <v>0</v>
      </c>
      <c r="D336" s="57" cm="1">
        <f t="array" ref="D336">IF(_xlfn.XLOOKUP(CONT_TEA[[#This Row],[StaffRoleCode]],ROLES[StaffRoleCode],ROLES[AvailableToAllSchools],1,0,)=TRUE,0,IF(ISERROR(FIND(CONT_TEA[[#This Row],[SchoolCode]],_xlfn.TEXTJOIN(",",TRUE,_xlfn.UNIQUE(IF(ROLES[StaffRoleCode]=CONT_TEA[[#This Row],[StaffRoleCode]],ROLES[SchoolCodes],""))))),1,0))</f>
        <v>0</v>
      </c>
      <c r="E336" s="57" cm="1">
        <f t="array" ref="E336">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36" s="57" cm="1">
        <f t="array" ref="F336">IF(_xlfn.XLOOKUP(CONT_TEA[[#This Row],[PayScaleCode]],PAYSCALES[PayScaleCode],PAYSCALES[AvailableToAllSchools],1,0,)=TRUE,0,IF(ISERROR(FIND(CONT_TEA[[#This Row],[SchoolCode]],_xlfn.TEXTJOIN(",",TRUE,_xlfn.UNIQUE(IF(PAYSCALES[PayScaleCode]=CONT_TEA[[#This Row],[PayScaleCode]],PAYSCALES[SchoolCodes],""))))),1,0))</f>
        <v>0</v>
      </c>
      <c r="G336" s="57">
        <f>IF(_xlfn.XLOOKUP(CONT_TEA[[#This Row],[PayScaleGradeCode]],GRADES[PayScaleGradeCode],GRADES[AvailableToAllSchools])=TRUE,0,IFERROR(IF(FIND(CONT_TEA[[#This Row],[SchoolCode]],_xlfn.XLOOKUP(CONT_TEA[[#This Row],[PayScaleGradeCode]],GRADES[PayScaleGradeCode],GRADES[SchoolCodes]))&gt;=1,0,1),1))</f>
        <v>0</v>
      </c>
      <c r="H336" s="57">
        <f>IF(ISERROR(IF((_xlfn.XLOOKUP(CONT_TEA[[#This Row],[PayScaleGradeCode]],GRADES[PayScaleGradeCode],GRADES[PayScaleCode])=CONT_TEA[[#This Row],[PayScaleCode]]),0,1)),1,0)</f>
        <v>0</v>
      </c>
      <c r="I336" s="57" cm="1">
        <f t="array" ref="I336">IF(ISERROR(FIND(CONT_TEA[[#This Row],[PayScalePointCode]],_xlfn.TEXTJOIN(",",TRUE,IF(PSPOINTS[PayScaleCode]=CONT_TEA[[#This Row],[PayScaleCode]],PSPOINTS[PayScalePointCode])))),1,0)</f>
        <v>0</v>
      </c>
      <c r="J336" s="57" cm="1">
        <f t="array" ref="J336">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36" s="57">
        <f>IF(_xlfn.XLOOKUP(CONT_TEA[[#This Row],[PayScalePointCode]],PSPOINTS[PayScalePointCode],PSPOINTS[PayScalePointEnabled])=TRUE,0,1)</f>
        <v>0</v>
      </c>
      <c r="L336" s="57" cm="1">
        <f t="array" ref="L336">IF(_xlfn.XLOOKUP(CONT_TEA[[#This Row],[DepartmentCode]],DEPTS[DepartmentCode],DEPTS[AvailableToAllSchools],1,0,)=TRUE,0,IF(ISERROR(FIND(CONT_TEA[[#This Row],[SchoolCode]],_xlfn.TEXTJOIN(",",TRUE,_xlfn.UNIQUE(IF(DEPTS[DepartmentCode]=CONT_TEA[[#This Row],[DepartmentCode]],DEPTS[SchoolCodes],""))))),1,0))</f>
        <v>0</v>
      </c>
      <c r="M336" s="57">
        <f>IFERROR(IF(_xlfn.XLOOKUP(CONT_TEA[[#This Row],[SRG Gross]],FinanceCodesBudget[FinanceCode],FinanceCodesBudget[LedgerCode])=_xlfn.XLOOKUP(CONT_TEA[[#This Row],[DepartmentCode]],DEPTS[DepartmentCode],DEPTS[LedgerCode]),0,1),1)</f>
        <v>1</v>
      </c>
      <c r="N336" s="57" cm="1">
        <f t="array" ref="N336">IF(_xlfn.XLOOKUP(CONT_TEA[[#This Row],[PensionCode]],PENS[PensionCode],PENS[AvailableToAllSchools],1,0,)=TRUE,0,IF(ISERROR(FIND(CONT_TEA[[#This Row],[SchoolCode]],_xlfn.TEXTJOIN(",",TRUE,_xlfn.UNIQUE(IF(PENS[PensionCode]=CONT_TEA[[#This Row],[PensionCode]],PENS[SchoolCodes],""))))),1,0))</f>
        <v>0</v>
      </c>
      <c r="O336" s="57" cm="1">
        <f t="array" ref="O336">IF(_xlfn.XLOOKUP(CONT_TEA[[#This Row],[EquatedWeekPatternCode]],EQW[EquatedWeekPatternCode],EQW[AvailableToAllSchools],1,0,)=TRUE,0,IF(ISERROR(FIND(CONT_TEA[[#This Row],[SchoolCode]],_xlfn.TEXTJOIN(",",TRUE,_xlfn.UNIQUE(IF(EQW[EquatedWeekPatternCode]=CONT_TEA[[#This Row],[EquatedWeekPatternCode]],EQW[SchoolCodes],""))))),1,0))</f>
        <v>0</v>
      </c>
      <c r="P336" s="57">
        <f>1-COUNTIF(ContractTypes[Code],CONT_TEA[[#This Row],[ContractTypeCode]])</f>
        <v>0</v>
      </c>
      <c r="Q336" s="57">
        <f>IF(VLOOKUP(CONT_TEA[[#This Row],[StaffMemberCode]],MEMBERS[[StaffMemberCode]:[ServiceStartDate]],5,0)&gt;CONT_TEA[[#This Row],[DateFrom]],1,0)</f>
        <v>0</v>
      </c>
      <c r="R336" s="57">
        <f>IF(_xlfn.XLOOKUP(CONT_TEA[[#This Row],[StaffMemberCode]],MEMBERS[StaffMemberCode],MEMBERS[ServiceEndDate])="",0,IF(CONT_TEA[[#This Row],[DateTo]]="",1,IF(_xlfn.XLOOKUP(CONT_TEA[[#This Row],[StaffMemberCode]],MEMBERS[StaffMemberCode],MEMBERS[ServiceEndDate])&lt;CONT_TEA[[#This Row],[DateTo]],1,0)))</f>
        <v>0</v>
      </c>
      <c r="S336" s="57">
        <f>IF(ISBLANK(CONT_TEA[[#This Row],[DateTo]]),0,IF(CONT_TEA[[#This Row],[DateFrom]]=CONT_TEA[[#This Row],[DateTo]],0,IF(CONT_TEA[[#This Row],[DateFrom]]&lt;CONT_TEA[[#This Row],[DateTo]],0,1)))</f>
        <v>0</v>
      </c>
      <c r="T336" s="57" cm="1">
        <f t="array" aca="1" ref="T336" ca="1">IF(CELL("format",CONT_TEA[[#This Row],[DateFrom]])="D1",0,1)+IF(CELL("format",CONT_TEA[[#This Row],[DateTo]])="D1",0,1)</f>
        <v>0</v>
      </c>
      <c r="U336" s="57">
        <f>IF(OR(CONT_TEA[[#This Row],[MatEditOnly]]=TRUE,CONT_TEA[[#This Row],[MatEditOnly]]=FALSE),IF(OR(CONT_TEA[[#This Row],[NoIncrement]]=TRUE,CONT_TEA[[#This Row],[NoIncrement]]=FALSE),0,1),1)</f>
        <v>0</v>
      </c>
      <c r="V336" s="57">
        <f>IF(ISBLANK(CONT_TEA[[#This Row],[FundCode]])=TRUE,0,IF(COUNTIF(FUNDS[FundCode],CONT_TEA[[#This Row],[FundCode]])=1,0,1))</f>
        <v>0</v>
      </c>
      <c r="W336" s="57">
        <f>IF(LEN(CONT_TEA[[#This Row],[Notes]])&lt;4000,0,1)</f>
        <v>0</v>
      </c>
      <c r="X336" s="57">
        <f>IF(SUBSTITUTE(TEXT(CONT_TEA[[#This Row],[Reference]],10)," ","")=TEXT(CONT_TEA[[#This Row],[Reference]],10),0,1)</f>
        <v>0</v>
      </c>
      <c r="Y336" s="57">
        <f ca="1">SUM(CONT_TEA[[#This Row],[Duplicate Contract]:[Space in Code]])</f>
        <v>1</v>
      </c>
      <c r="AA336" s="12" t="s">
        <v>2126</v>
      </c>
      <c r="AB336" s="15">
        <v>10005287</v>
      </c>
      <c r="AC336" s="12">
        <v>106052</v>
      </c>
      <c r="AD336" s="57" t="str">
        <f>_xlfn.XLOOKUP(CONT_TEA[[#This Row],[StaffMemberCode]],StaffMembers!O:O,StaffMembers!R:R)</f>
        <v>Sarah Vaughan</v>
      </c>
      <c r="AE336" s="12" t="s">
        <v>1178</v>
      </c>
      <c r="AF336" s="57">
        <f>_xlfn.XLOOKUP(CONT_TEA[[#This Row],[SRG]],SRG[StaffRoleGroupCode],SRG[GrossSalaryFinanceCode])</f>
        <v>612100</v>
      </c>
      <c r="AG336" s="57" t="str">
        <f>_xlfn.XLOOKUP(CONT_TEA[[#This Row],[StaffRoleCode]],ROLES[StaffRoleCode],ROLES[StaffRoleGroupCode])</f>
        <v>TEA</v>
      </c>
      <c r="AH336" s="57" t="str">
        <f>_xlfn.XLOOKUP(CONT_TEA[[#This Row],[StaffRoleCode]],ROLES[StaffRoleCode],ROLES[PayScaleCode])</f>
        <v>MAIN</v>
      </c>
      <c r="AI336" s="12" t="s">
        <v>1126</v>
      </c>
      <c r="AJ336" s="12" t="s">
        <v>1745</v>
      </c>
      <c r="AK336" s="12" t="s">
        <v>2499</v>
      </c>
      <c r="AM336" s="68" t="s">
        <v>1147</v>
      </c>
      <c r="AN336" s="13" t="s">
        <v>1702</v>
      </c>
      <c r="AO336" s="21">
        <v>46023</v>
      </c>
      <c r="AQ336" s="12">
        <v>1</v>
      </c>
      <c r="AR336" t="b">
        <v>0</v>
      </c>
      <c r="AS336" t="b">
        <v>0</v>
      </c>
      <c r="AT336" s="12" t="s">
        <v>1574</v>
      </c>
    </row>
    <row r="337" spans="1:46" x14ac:dyDescent="0.3">
      <c r="A337" s="57" t="str">
        <f t="shared" si="8"/>
        <v>MLB10005349106124TEASTCH46023</v>
      </c>
      <c r="B337" s="57">
        <f>COUNTIF(CONT_TEA[Unique Contract],CONT_TEA[[#This Row],[Unique Contract]])-1</f>
        <v>0</v>
      </c>
      <c r="C337" s="57">
        <f>IFERROR(IF(FIND(CONT_TEA[[#This Row],[SchoolCode]],_xlfn.XLOOKUP(CONT_TEA[[#This Row],[StaffMemberCode]],MEMBERS[StaffMemberCode],MEMBERS[SchoolCodes]))&gt;0,0,1),1)</f>
        <v>0</v>
      </c>
      <c r="D337" s="57" cm="1">
        <f t="array" ref="D337">IF(_xlfn.XLOOKUP(CONT_TEA[[#This Row],[StaffRoleCode]],ROLES[StaffRoleCode],ROLES[AvailableToAllSchools],1,0,)=TRUE,0,IF(ISERROR(FIND(CONT_TEA[[#This Row],[SchoolCode]],_xlfn.TEXTJOIN(",",TRUE,_xlfn.UNIQUE(IF(ROLES[StaffRoleCode]=CONT_TEA[[#This Row],[StaffRoleCode]],ROLES[SchoolCodes],""))))),1,0))</f>
        <v>0</v>
      </c>
      <c r="E337" s="57" cm="1">
        <f t="array" ref="E337">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37" s="57" cm="1">
        <f t="array" ref="F337">IF(_xlfn.XLOOKUP(CONT_TEA[[#This Row],[PayScaleCode]],PAYSCALES[PayScaleCode],PAYSCALES[AvailableToAllSchools],1,0,)=TRUE,0,IF(ISERROR(FIND(CONT_TEA[[#This Row],[SchoolCode]],_xlfn.TEXTJOIN(",",TRUE,_xlfn.UNIQUE(IF(PAYSCALES[PayScaleCode]=CONT_TEA[[#This Row],[PayScaleCode]],PAYSCALES[SchoolCodes],""))))),1,0))</f>
        <v>0</v>
      </c>
      <c r="G337" s="57">
        <f>IF(_xlfn.XLOOKUP(CONT_TEA[[#This Row],[PayScaleGradeCode]],GRADES[PayScaleGradeCode],GRADES[AvailableToAllSchools])=TRUE,0,IFERROR(IF(FIND(CONT_TEA[[#This Row],[SchoolCode]],_xlfn.XLOOKUP(CONT_TEA[[#This Row],[PayScaleGradeCode]],GRADES[PayScaleGradeCode],GRADES[SchoolCodes]))&gt;=1,0,1),1))</f>
        <v>0</v>
      </c>
      <c r="H337" s="57">
        <f>IF(ISERROR(IF((_xlfn.XLOOKUP(CONT_TEA[[#This Row],[PayScaleGradeCode]],GRADES[PayScaleGradeCode],GRADES[PayScaleCode])=CONT_TEA[[#This Row],[PayScaleCode]]),0,1)),1,0)</f>
        <v>0</v>
      </c>
      <c r="I337" s="57" cm="1">
        <f t="array" ref="I337">IF(ISERROR(FIND(CONT_TEA[[#This Row],[PayScalePointCode]],_xlfn.TEXTJOIN(",",TRUE,IF(PSPOINTS[PayScaleCode]=CONT_TEA[[#This Row],[PayScaleCode]],PSPOINTS[PayScalePointCode])))),1,0)</f>
        <v>0</v>
      </c>
      <c r="J337" s="57" cm="1">
        <f t="array" ref="J337">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37" s="57">
        <f>IF(_xlfn.XLOOKUP(CONT_TEA[[#This Row],[PayScalePointCode]],PSPOINTS[PayScalePointCode],PSPOINTS[PayScalePointEnabled])=TRUE,0,1)</f>
        <v>0</v>
      </c>
      <c r="L337" s="57" cm="1">
        <f t="array" ref="L337">IF(_xlfn.XLOOKUP(CONT_TEA[[#This Row],[DepartmentCode]],DEPTS[DepartmentCode],DEPTS[AvailableToAllSchools],1,0,)=TRUE,0,IF(ISERROR(FIND(CONT_TEA[[#This Row],[SchoolCode]],_xlfn.TEXTJOIN(",",TRUE,_xlfn.UNIQUE(IF(DEPTS[DepartmentCode]=CONT_TEA[[#This Row],[DepartmentCode]],DEPTS[SchoolCodes],""))))),1,0))</f>
        <v>0</v>
      </c>
      <c r="M337" s="57">
        <f>IFERROR(IF(_xlfn.XLOOKUP(CONT_TEA[[#This Row],[SRG Gross]],FinanceCodesBudget[FinanceCode],FinanceCodesBudget[LedgerCode])=_xlfn.XLOOKUP(CONT_TEA[[#This Row],[DepartmentCode]],DEPTS[DepartmentCode],DEPTS[LedgerCode]),0,1),1)</f>
        <v>1</v>
      </c>
      <c r="N337" s="57" cm="1">
        <f t="array" ref="N337">IF(_xlfn.XLOOKUP(CONT_TEA[[#This Row],[PensionCode]],PENS[PensionCode],PENS[AvailableToAllSchools],1,0,)=TRUE,0,IF(ISERROR(FIND(CONT_TEA[[#This Row],[SchoolCode]],_xlfn.TEXTJOIN(",",TRUE,_xlfn.UNIQUE(IF(PENS[PensionCode]=CONT_TEA[[#This Row],[PensionCode]],PENS[SchoolCodes],""))))),1,0))</f>
        <v>0</v>
      </c>
      <c r="O337" s="57" cm="1">
        <f t="array" ref="O337">IF(_xlfn.XLOOKUP(CONT_TEA[[#This Row],[EquatedWeekPatternCode]],EQW[EquatedWeekPatternCode],EQW[AvailableToAllSchools],1,0,)=TRUE,0,IF(ISERROR(FIND(CONT_TEA[[#This Row],[SchoolCode]],_xlfn.TEXTJOIN(",",TRUE,_xlfn.UNIQUE(IF(EQW[EquatedWeekPatternCode]=CONT_TEA[[#This Row],[EquatedWeekPatternCode]],EQW[SchoolCodes],""))))),1,0))</f>
        <v>0</v>
      </c>
      <c r="P337" s="57">
        <f>1-COUNTIF(ContractTypes[Code],CONT_TEA[[#This Row],[ContractTypeCode]])</f>
        <v>0</v>
      </c>
      <c r="Q337" s="57">
        <f>IF(VLOOKUP(CONT_TEA[[#This Row],[StaffMemberCode]],MEMBERS[[StaffMemberCode]:[ServiceStartDate]],5,0)&gt;CONT_TEA[[#This Row],[DateFrom]],1,0)</f>
        <v>0</v>
      </c>
      <c r="R337" s="57">
        <f>IF(_xlfn.XLOOKUP(CONT_TEA[[#This Row],[StaffMemberCode]],MEMBERS[StaffMemberCode],MEMBERS[ServiceEndDate])="",0,IF(CONT_TEA[[#This Row],[DateTo]]="",1,IF(_xlfn.XLOOKUP(CONT_TEA[[#This Row],[StaffMemberCode]],MEMBERS[StaffMemberCode],MEMBERS[ServiceEndDate])&lt;CONT_TEA[[#This Row],[DateTo]],1,0)))</f>
        <v>0</v>
      </c>
      <c r="S337" s="57">
        <f>IF(ISBLANK(CONT_TEA[[#This Row],[DateTo]]),0,IF(CONT_TEA[[#This Row],[DateFrom]]=CONT_TEA[[#This Row],[DateTo]],0,IF(CONT_TEA[[#This Row],[DateFrom]]&lt;CONT_TEA[[#This Row],[DateTo]],0,1)))</f>
        <v>0</v>
      </c>
      <c r="T337" s="57" cm="1">
        <f t="array" aca="1" ref="T337" ca="1">IF(CELL("format",CONT_TEA[[#This Row],[DateFrom]])="D1",0,1)+IF(CELL("format",CONT_TEA[[#This Row],[DateTo]])="D1",0,1)</f>
        <v>0</v>
      </c>
      <c r="U337" s="57">
        <f>IF(OR(CONT_TEA[[#This Row],[MatEditOnly]]=TRUE,CONT_TEA[[#This Row],[MatEditOnly]]=FALSE),IF(OR(CONT_TEA[[#This Row],[NoIncrement]]=TRUE,CONT_TEA[[#This Row],[NoIncrement]]=FALSE),0,1),1)</f>
        <v>0</v>
      </c>
      <c r="V337" s="57">
        <f>IF(ISBLANK(CONT_TEA[[#This Row],[FundCode]])=TRUE,0,IF(COUNTIF(FUNDS[FundCode],CONT_TEA[[#This Row],[FundCode]])=1,0,1))</f>
        <v>0</v>
      </c>
      <c r="W337" s="57">
        <f>IF(LEN(CONT_TEA[[#This Row],[Notes]])&lt;4000,0,1)</f>
        <v>0</v>
      </c>
      <c r="X337" s="57">
        <f>IF(SUBSTITUTE(TEXT(CONT_TEA[[#This Row],[Reference]],10)," ","")=TEXT(CONT_TEA[[#This Row],[Reference]],10),0,1)</f>
        <v>0</v>
      </c>
      <c r="Y337" s="57">
        <f ca="1">SUM(CONT_TEA[[#This Row],[Duplicate Contract]:[Space in Code]])</f>
        <v>1</v>
      </c>
      <c r="AA337" s="12" t="s">
        <v>2126</v>
      </c>
      <c r="AB337" s="15">
        <v>10005349</v>
      </c>
      <c r="AC337" s="12">
        <v>106124</v>
      </c>
      <c r="AD337" s="57" t="str">
        <f>_xlfn.XLOOKUP(CONT_TEA[[#This Row],[StaffMemberCode]],StaffMembers!O:O,StaffMembers!R:R)</f>
        <v>Susan Green</v>
      </c>
      <c r="AE337" s="12" t="s">
        <v>1178</v>
      </c>
      <c r="AF337" s="57">
        <f>_xlfn.XLOOKUP(CONT_TEA[[#This Row],[SRG]],SRG[StaffRoleGroupCode],SRG[GrossSalaryFinanceCode])</f>
        <v>612100</v>
      </c>
      <c r="AG337" s="57" t="str">
        <f>_xlfn.XLOOKUP(CONT_TEA[[#This Row],[StaffRoleCode]],ROLES[StaffRoleCode],ROLES[StaffRoleGroupCode])</f>
        <v>TEA</v>
      </c>
      <c r="AH337" s="57" t="str">
        <f>_xlfn.XLOOKUP(CONT_TEA[[#This Row],[StaffRoleCode]],ROLES[StaffRoleCode],ROLES[PayScaleCode])</f>
        <v>MAIN</v>
      </c>
      <c r="AI337" s="12" t="s">
        <v>1126</v>
      </c>
      <c r="AJ337" s="12" t="s">
        <v>1745</v>
      </c>
      <c r="AK337" s="12" t="s">
        <v>2499</v>
      </c>
      <c r="AM337" s="68" t="s">
        <v>1147</v>
      </c>
      <c r="AN337" s="13" t="s">
        <v>1702</v>
      </c>
      <c r="AO337" s="21">
        <v>46023</v>
      </c>
      <c r="AQ337" s="12">
        <v>0.92</v>
      </c>
      <c r="AR337" t="b">
        <v>0</v>
      </c>
      <c r="AS337" t="b">
        <v>0</v>
      </c>
      <c r="AT337" s="12" t="s">
        <v>1574</v>
      </c>
    </row>
    <row r="338" spans="1:46" x14ac:dyDescent="0.3">
      <c r="A338" s="57" t="str">
        <f t="shared" si="8"/>
        <v>MLB10009122110409UQTSTCH46023</v>
      </c>
      <c r="B338" s="57">
        <f>COUNTIF(CONT_TEA[Unique Contract],CONT_TEA[[#This Row],[Unique Contract]])-1</f>
        <v>0</v>
      </c>
      <c r="C338" s="57">
        <f>IFERROR(IF(FIND(CONT_TEA[[#This Row],[SchoolCode]],_xlfn.XLOOKUP(CONT_TEA[[#This Row],[StaffMemberCode]],MEMBERS[StaffMemberCode],MEMBERS[SchoolCodes]))&gt;0,0,1),1)</f>
        <v>0</v>
      </c>
      <c r="D338" s="57" cm="1">
        <f t="array" ref="D338">IF(_xlfn.XLOOKUP(CONT_TEA[[#This Row],[StaffRoleCode]],ROLES[StaffRoleCode],ROLES[AvailableToAllSchools],1,0,)=TRUE,0,IF(ISERROR(FIND(CONT_TEA[[#This Row],[SchoolCode]],_xlfn.TEXTJOIN(",",TRUE,_xlfn.UNIQUE(IF(ROLES[StaffRoleCode]=CONT_TEA[[#This Row],[StaffRoleCode]],ROLES[SchoolCodes],""))))),1,0))</f>
        <v>0</v>
      </c>
      <c r="E338" s="57" cm="1">
        <f t="array" ref="E338">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38" s="57" cm="1">
        <f t="array" ref="F338">IF(_xlfn.XLOOKUP(CONT_TEA[[#This Row],[PayScaleCode]],PAYSCALES[PayScaleCode],PAYSCALES[AvailableToAllSchools],1,0,)=TRUE,0,IF(ISERROR(FIND(CONT_TEA[[#This Row],[SchoolCode]],_xlfn.TEXTJOIN(",",TRUE,_xlfn.UNIQUE(IF(PAYSCALES[PayScaleCode]=CONT_TEA[[#This Row],[PayScaleCode]],PAYSCALES[SchoolCodes],""))))),1,0))</f>
        <v>0</v>
      </c>
      <c r="G338" s="57">
        <f>IF(_xlfn.XLOOKUP(CONT_TEA[[#This Row],[PayScaleGradeCode]],GRADES[PayScaleGradeCode],GRADES[AvailableToAllSchools])=TRUE,0,IFERROR(IF(FIND(CONT_TEA[[#This Row],[SchoolCode]],_xlfn.XLOOKUP(CONT_TEA[[#This Row],[PayScaleGradeCode]],GRADES[PayScaleGradeCode],GRADES[SchoolCodes]))&gt;=1,0,1),1))</f>
        <v>0</v>
      </c>
      <c r="H338" s="57">
        <f>IF(ISERROR(IF((_xlfn.XLOOKUP(CONT_TEA[[#This Row],[PayScaleGradeCode]],GRADES[PayScaleGradeCode],GRADES[PayScaleCode])=CONT_TEA[[#This Row],[PayScaleCode]]),0,1)),1,0)</f>
        <v>0</v>
      </c>
      <c r="I338" s="57" cm="1">
        <f t="array" ref="I338">IF(ISERROR(FIND(CONT_TEA[[#This Row],[PayScalePointCode]],_xlfn.TEXTJOIN(",",TRUE,IF(PSPOINTS[PayScaleCode]=CONT_TEA[[#This Row],[PayScaleCode]],PSPOINTS[PayScalePointCode])))),1,0)</f>
        <v>0</v>
      </c>
      <c r="J338" s="57" cm="1">
        <f t="array" ref="J338">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338" s="57">
        <f>IF(_xlfn.XLOOKUP(CONT_TEA[[#This Row],[PayScalePointCode]],PSPOINTS[PayScalePointCode],PSPOINTS[PayScalePointEnabled])=TRUE,0,1)</f>
        <v>0</v>
      </c>
      <c r="L338" s="57" cm="1">
        <f t="array" ref="L338">IF(_xlfn.XLOOKUP(CONT_TEA[[#This Row],[DepartmentCode]],DEPTS[DepartmentCode],DEPTS[AvailableToAllSchools],1,0,)=TRUE,0,IF(ISERROR(FIND(CONT_TEA[[#This Row],[SchoolCode]],_xlfn.TEXTJOIN(",",TRUE,_xlfn.UNIQUE(IF(DEPTS[DepartmentCode]=CONT_TEA[[#This Row],[DepartmentCode]],DEPTS[SchoolCodes],""))))),1,0))</f>
        <v>0</v>
      </c>
      <c r="M338" s="57">
        <f>IFERROR(IF(_xlfn.XLOOKUP(CONT_TEA[[#This Row],[SRG Gross]],FinanceCodesBudget[FinanceCode],FinanceCodesBudget[LedgerCode])=_xlfn.XLOOKUP(CONT_TEA[[#This Row],[DepartmentCode]],DEPTS[DepartmentCode],DEPTS[LedgerCode]),0,1),1)</f>
        <v>1</v>
      </c>
      <c r="N338" s="57" cm="1">
        <f t="array" ref="N338">IF(_xlfn.XLOOKUP(CONT_TEA[[#This Row],[PensionCode]],PENS[PensionCode],PENS[AvailableToAllSchools],1,0,)=TRUE,0,IF(ISERROR(FIND(CONT_TEA[[#This Row],[SchoolCode]],_xlfn.TEXTJOIN(",",TRUE,_xlfn.UNIQUE(IF(PENS[PensionCode]=CONT_TEA[[#This Row],[PensionCode]],PENS[SchoolCodes],""))))),1,0))</f>
        <v>0</v>
      </c>
      <c r="O338" s="57" cm="1">
        <f t="array" ref="O338">IF(_xlfn.XLOOKUP(CONT_TEA[[#This Row],[EquatedWeekPatternCode]],EQW[EquatedWeekPatternCode],EQW[AvailableToAllSchools],1,0,)=TRUE,0,IF(ISERROR(FIND(CONT_TEA[[#This Row],[SchoolCode]],_xlfn.TEXTJOIN(",",TRUE,_xlfn.UNIQUE(IF(EQW[EquatedWeekPatternCode]=CONT_TEA[[#This Row],[EquatedWeekPatternCode]],EQW[SchoolCodes],""))))),1,0))</f>
        <v>0</v>
      </c>
      <c r="P338" s="57">
        <f>1-COUNTIF(ContractTypes[Code],CONT_TEA[[#This Row],[ContractTypeCode]])</f>
        <v>0</v>
      </c>
      <c r="Q338" s="57">
        <f>IF(VLOOKUP(CONT_TEA[[#This Row],[StaffMemberCode]],MEMBERS[[StaffMemberCode]:[ServiceStartDate]],5,0)&gt;CONT_TEA[[#This Row],[DateFrom]],1,0)</f>
        <v>0</v>
      </c>
      <c r="R338" s="57">
        <f>IF(_xlfn.XLOOKUP(CONT_TEA[[#This Row],[StaffMemberCode]],MEMBERS[StaffMemberCode],MEMBERS[ServiceEndDate])="",0,IF(CONT_TEA[[#This Row],[DateTo]]="",1,IF(_xlfn.XLOOKUP(CONT_TEA[[#This Row],[StaffMemberCode]],MEMBERS[StaffMemberCode],MEMBERS[ServiceEndDate])&lt;CONT_TEA[[#This Row],[DateTo]],1,0)))</f>
        <v>0</v>
      </c>
      <c r="S338" s="57">
        <f>IF(ISBLANK(CONT_TEA[[#This Row],[DateTo]]),0,IF(CONT_TEA[[#This Row],[DateFrom]]=CONT_TEA[[#This Row],[DateTo]],0,IF(CONT_TEA[[#This Row],[DateFrom]]&lt;CONT_TEA[[#This Row],[DateTo]],0,1)))</f>
        <v>0</v>
      </c>
      <c r="T338" s="57" cm="1">
        <f t="array" aca="1" ref="T338" ca="1">IF(CELL("format",CONT_TEA[[#This Row],[DateFrom]])="D1",0,1)+IF(CELL("format",CONT_TEA[[#This Row],[DateTo]])="D1",0,1)</f>
        <v>0</v>
      </c>
      <c r="U338" s="57">
        <f>IF(OR(CONT_TEA[[#This Row],[MatEditOnly]]=TRUE,CONT_TEA[[#This Row],[MatEditOnly]]=FALSE),IF(OR(CONT_TEA[[#This Row],[NoIncrement]]=TRUE,CONT_TEA[[#This Row],[NoIncrement]]=FALSE),0,1),1)</f>
        <v>0</v>
      </c>
      <c r="V338" s="57">
        <f>IF(ISBLANK(CONT_TEA[[#This Row],[FundCode]])=TRUE,0,IF(COUNTIF(FUNDS[FundCode],CONT_TEA[[#This Row],[FundCode]])=1,0,1))</f>
        <v>0</v>
      </c>
      <c r="W338" s="57">
        <f>IF(LEN(CONT_TEA[[#This Row],[Notes]])&lt;4000,0,1)</f>
        <v>0</v>
      </c>
      <c r="X338" s="57">
        <f>IF(SUBSTITUTE(TEXT(CONT_TEA[[#This Row],[Reference]],10)," ","")=TEXT(CONT_TEA[[#This Row],[Reference]],10),0,1)</f>
        <v>0</v>
      </c>
      <c r="Y338" s="57">
        <f ca="1">SUM(CONT_TEA[[#This Row],[Duplicate Contract]:[Space in Code]])</f>
        <v>1</v>
      </c>
      <c r="AA338" s="12" t="s">
        <v>2126</v>
      </c>
      <c r="AB338" s="15">
        <v>10009122</v>
      </c>
      <c r="AC338" s="12">
        <v>110409</v>
      </c>
      <c r="AD338" s="57" t="str">
        <f>_xlfn.XLOOKUP(CONT_TEA[[#This Row],[StaffMemberCode]],StaffMembers!O:O,StaffMembers!R:R)</f>
        <v>Emily Farmer</v>
      </c>
      <c r="AE338" s="12" t="s">
        <v>1614</v>
      </c>
      <c r="AF338" s="57">
        <f>_xlfn.XLOOKUP(CONT_TEA[[#This Row],[SRG]],SRG[StaffRoleGroupCode],SRG[GrossSalaryFinanceCode])</f>
        <v>612100</v>
      </c>
      <c r="AG338" s="57" t="str">
        <f>_xlfn.XLOOKUP(CONT_TEA[[#This Row],[StaffRoleCode]],ROLES[StaffRoleCode],ROLES[StaffRoleGroupCode])</f>
        <v>TEA</v>
      </c>
      <c r="AH338" s="57" t="str">
        <f>_xlfn.XLOOKUP(CONT_TEA[[#This Row],[StaffRoleCode]],ROLES[StaffRoleCode],ROLES[PayScaleCode])</f>
        <v>UQ</v>
      </c>
      <c r="AI338" s="12" t="s">
        <v>1749</v>
      </c>
      <c r="AJ338" s="12" t="s">
        <v>1073</v>
      </c>
      <c r="AK338" s="12" t="s">
        <v>2499</v>
      </c>
      <c r="AM338" s="68" t="s">
        <v>1147</v>
      </c>
      <c r="AN338" s="13" t="s">
        <v>1702</v>
      </c>
      <c r="AO338" s="21">
        <v>46023</v>
      </c>
      <c r="AQ338" s="12">
        <v>0.08</v>
      </c>
      <c r="AR338" t="b">
        <v>0</v>
      </c>
      <c r="AS338" t="b">
        <v>0</v>
      </c>
      <c r="AT338" s="12" t="s">
        <v>1573</v>
      </c>
    </row>
  </sheetData>
  <phoneticPr fontId="2" type="noConversion"/>
  <pageMargins left="0.7" right="0.7" top="0.75" bottom="0.75" header="0.3" footer="0.3"/>
  <pageSetup orientation="portrait" horizontalDpi="300" verticalDpi="300" r:id="rId1"/>
  <legacyDrawing r:id="rId2"/>
  <tableParts count="1">
    <tablePart r:id="rId3"/>
  </tableParts>
  <extLst>
    <ext xmlns:x14="http://schemas.microsoft.com/office/spreadsheetml/2009/9/main" uri="{CCE6A557-97BC-4b89-ADB6-D9C93CAAB3DF}">
      <x14:dataValidations xmlns:xm="http://schemas.microsoft.com/office/excel/2006/main" count="5">
        <x14:dataValidation type="list" allowBlank="1" showInputMessage="1" showErrorMessage="1" xr:uid="{D65A456C-0D43-4575-B676-F08B0044630A}">
          <x14:formula1>
            <xm:f>Validation!$G$2:$G$4</xm:f>
          </x14:formula1>
          <xm:sqref>AR2:AS338</xm:sqref>
        </x14:dataValidation>
        <x14:dataValidation type="list" allowBlank="1" showInputMessage="1" showErrorMessage="1" xr:uid="{0DC2C91C-B114-4924-BEF2-C47868B5973B}">
          <x14:formula1>
            <xm:f>Pensions!$K:$K</xm:f>
          </x14:formula1>
          <xm:sqref>AM2:AM338</xm:sqref>
        </x14:dataValidation>
        <x14:dataValidation type="list" allowBlank="1" showInputMessage="1" showErrorMessage="1" xr:uid="{0C93B782-AEA3-412A-8156-1E9E6A7CC759}">
          <x14:formula1>
            <xm:f>PayScalePoints!$R:$R</xm:f>
          </x14:formula1>
          <xm:sqref>AJ2:AJ338</xm:sqref>
        </x14:dataValidation>
        <x14:dataValidation type="list" allowBlank="1" showInputMessage="1" showErrorMessage="1" xr:uid="{C38DD20F-A5EF-47BD-886E-7E78BAE285E5}">
          <x14:formula1>
            <xm:f>Depts!$G:$G</xm:f>
          </x14:formula1>
          <xm:sqref>AK1:AK1048576</xm:sqref>
        </x14:dataValidation>
        <x14:dataValidation type="list" allowBlank="1" showInputMessage="1" showErrorMessage="1" xr:uid="{C77D342C-650E-4F2B-9CBA-24F78B68AB09}">
          <x14:formula1>
            <xm:f>StfRole!$Q:$Q</xm:f>
          </x14:formula1>
          <xm:sqref>AE2:AE338</xm:sqref>
        </x14:dataValidation>
      </x14:dataValidations>
    </ext>
  </extLs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4EC42-90C2-4C44-BBE3-B3653DFB0F03}">
  <sheetPr codeName="Sheet221">
    <tabColor theme="9" tint="0.39997558519241921"/>
  </sheetPr>
  <dimension ref="A1:AU402"/>
  <sheetViews>
    <sheetView zoomScale="90" zoomScaleNormal="90" workbookViewId="0">
      <pane ySplit="1" topLeftCell="A2" activePane="bottomLeft" state="frozen"/>
      <selection activeCell="D2" sqref="D2"/>
      <selection pane="bottomLeft" activeCell="AC1" sqref="AC1"/>
    </sheetView>
  </sheetViews>
  <sheetFormatPr defaultColWidth="9.33203125" defaultRowHeight="14.4" outlineLevelCol="1" x14ac:dyDescent="0.3"/>
  <cols>
    <col min="1" max="5" width="10.5546875" style="12" hidden="1" customWidth="1" outlineLevel="1"/>
    <col min="6" max="6" width="11.109375" style="12" hidden="1" customWidth="1" outlineLevel="1"/>
    <col min="7" max="8" width="9.6640625" style="12" hidden="1" customWidth="1" outlineLevel="1"/>
    <col min="9" max="9" width="9.33203125" style="12" hidden="1" customWidth="1" outlineLevel="1"/>
    <col min="10" max="15" width="10" style="12" hidden="1" customWidth="1" outlineLevel="1"/>
    <col min="16" max="17" width="10.5546875" style="12" hidden="1" customWidth="1" outlineLevel="1"/>
    <col min="18" max="18" width="11.44140625" style="12" hidden="1" customWidth="1" outlineLevel="1"/>
    <col min="19" max="20" width="10.5546875" style="12" hidden="1" customWidth="1" outlineLevel="1"/>
    <col min="21" max="22" width="8.44140625" style="12" hidden="1" customWidth="1" outlineLevel="1"/>
    <col min="23" max="23" width="9" style="12" hidden="1" customWidth="1" outlineLevel="1"/>
    <col min="24" max="24" width="9" style="136" hidden="1" customWidth="1" outlineLevel="1"/>
    <col min="25" max="25" width="10.5546875" style="12" customWidth="1" collapsed="1"/>
    <col min="26" max="26" width="12.6640625" style="12" bestFit="1" customWidth="1"/>
    <col min="27" max="27" width="12.33203125" style="12" bestFit="1" customWidth="1"/>
    <col min="28" max="28" width="12.33203125" style="12" customWidth="1"/>
    <col min="29" max="29" width="12.5546875" style="12" customWidth="1"/>
    <col min="30" max="30" width="22.44140625" style="12" bestFit="1" customWidth="1"/>
    <col min="31" max="31" width="15.44140625" style="12" bestFit="1" customWidth="1"/>
    <col min="32" max="32" width="10.5546875" style="12" customWidth="1"/>
    <col min="33" max="33" width="6.6640625" style="12" bestFit="1" customWidth="1"/>
    <col min="34" max="34" width="13.33203125" style="12" customWidth="1"/>
    <col min="35" max="35" width="13.6640625" style="12" customWidth="1"/>
    <col min="36" max="36" width="12.6640625" style="12" customWidth="1"/>
    <col min="37" max="37" width="16.6640625" style="12" customWidth="1"/>
    <col min="38" max="38" width="10.5546875" style="12" customWidth="1"/>
    <col min="39" max="39" width="11.88671875" style="12" customWidth="1"/>
    <col min="40" max="40" width="13.6640625" style="12" customWidth="1"/>
    <col min="41" max="41" width="11.6640625" style="21" customWidth="1"/>
    <col min="42" max="42" width="12" style="21" customWidth="1"/>
    <col min="43" max="43" width="9.33203125" style="12" customWidth="1"/>
    <col min="44" max="44" width="8.5546875" customWidth="1"/>
    <col min="45" max="45" width="8.33203125" customWidth="1"/>
    <col min="46" max="46" width="12.109375" customWidth="1"/>
    <col min="47" max="47" width="10.5546875" style="12" customWidth="1"/>
    <col min="48" max="16384" width="9.33203125" style="12"/>
  </cols>
  <sheetData>
    <row r="1" spans="1:47" s="24" customFormat="1" ht="43.2" x14ac:dyDescent="0.3">
      <c r="A1" s="114" t="s">
        <v>1651</v>
      </c>
      <c r="B1" s="59" t="s">
        <v>1619</v>
      </c>
      <c r="C1" s="65" t="s">
        <v>1650</v>
      </c>
      <c r="D1" s="65" t="s">
        <v>1692</v>
      </c>
      <c r="E1" s="65" t="s">
        <v>1648</v>
      </c>
      <c r="F1" s="65" t="s">
        <v>1693</v>
      </c>
      <c r="G1" s="65" t="s">
        <v>1688</v>
      </c>
      <c r="H1" s="65" t="s">
        <v>1687</v>
      </c>
      <c r="I1" s="65" t="s">
        <v>1691</v>
      </c>
      <c r="J1" s="65" t="s">
        <v>1690</v>
      </c>
      <c r="K1" s="65" t="s">
        <v>1647</v>
      </c>
      <c r="L1" s="65" t="s">
        <v>1689</v>
      </c>
      <c r="M1" s="65" t="s">
        <v>1765</v>
      </c>
      <c r="N1" s="65" t="s">
        <v>1645</v>
      </c>
      <c r="O1" s="65" t="s">
        <v>1646</v>
      </c>
      <c r="P1" s="65" t="s">
        <v>1649</v>
      </c>
      <c r="Q1" s="65" t="s">
        <v>1663</v>
      </c>
      <c r="R1" s="65" t="s">
        <v>1664</v>
      </c>
      <c r="S1" s="65" t="s">
        <v>1641</v>
      </c>
      <c r="T1" s="65" t="s">
        <v>1726</v>
      </c>
      <c r="U1" s="65" t="s">
        <v>1659</v>
      </c>
      <c r="V1" s="65" t="s">
        <v>1761</v>
      </c>
      <c r="W1" s="65" t="s">
        <v>1640</v>
      </c>
      <c r="X1" s="122" t="s">
        <v>1660</v>
      </c>
      <c r="Y1" s="59" t="s">
        <v>886</v>
      </c>
      <c r="Z1" s="67" t="s">
        <v>1049</v>
      </c>
      <c r="AA1" s="67" t="s">
        <v>890</v>
      </c>
      <c r="AB1" s="67" t="s">
        <v>1199</v>
      </c>
      <c r="AC1" s="67" t="s">
        <v>1207</v>
      </c>
      <c r="AD1" s="65" t="s">
        <v>62</v>
      </c>
      <c r="AE1" s="67" t="s">
        <v>1208</v>
      </c>
      <c r="AF1" s="65" t="s">
        <v>1209</v>
      </c>
      <c r="AG1" s="65" t="s">
        <v>53</v>
      </c>
      <c r="AH1" s="65" t="s">
        <v>1050</v>
      </c>
      <c r="AI1" s="67" t="s">
        <v>1120</v>
      </c>
      <c r="AJ1" s="67" t="s">
        <v>1056</v>
      </c>
      <c r="AK1" s="67" t="s">
        <v>903</v>
      </c>
      <c r="AL1" s="67" t="s">
        <v>61</v>
      </c>
      <c r="AM1" s="67" t="s">
        <v>1144</v>
      </c>
      <c r="AN1" s="25" t="s">
        <v>1151</v>
      </c>
      <c r="AO1" s="61" t="s">
        <v>1210</v>
      </c>
      <c r="AP1" s="61" t="s">
        <v>1211</v>
      </c>
      <c r="AQ1" s="67" t="s">
        <v>1704</v>
      </c>
      <c r="AR1" s="76" t="s">
        <v>1212</v>
      </c>
      <c r="AS1" s="76" t="s">
        <v>1213</v>
      </c>
      <c r="AT1" s="67" t="s">
        <v>1336</v>
      </c>
      <c r="AU1" s="67" t="s">
        <v>56</v>
      </c>
    </row>
    <row r="2" spans="1:47" x14ac:dyDescent="0.3">
      <c r="A2" s="57" t="str">
        <f>AA2&amp;AB2&amp;AC2&amp;AE2&amp;AK2&amp;AO2</f>
        <v>BLS9107345691073456AADM_TLSFIN45901</v>
      </c>
      <c r="B2" s="57">
        <f>COUNTIF(CONT_SUP[Unique Contract],CONT_SUP[[#This Row],[Unique Contract]])-1</f>
        <v>0</v>
      </c>
      <c r="C2" s="57">
        <f>IFERROR(IF(FIND(CONT_SUP[[#This Row],[SchoolCode]],_xlfn.XLOOKUP(CONT_SUP[[#This Row],[StaffMemberCode]],MEMBERS[StaffMemberCode],MEMBERS[SchoolCodes]))&gt;0,0,1),1)</f>
        <v>0</v>
      </c>
      <c r="D2" s="57" cm="1">
        <f t="array" ref="D2">IF(_xlfn.XLOOKUP(CONT_SUP[[#This Row],[StaffRoleCode]],ROLES[StaffRoleCode],ROLES[AvailableToAllSchools],1,0,)=TRUE,0,IF(ISERROR(FIND(CONT_SUP[[#This Row],[SchoolCode]],_xlfn.TEXTJOIN(",",TRUE,_xlfn.UNIQUE(IF(ROLES[StaffRoleCode]=CONT_SUP[[#This Row],[StaffRoleCode]],ROLES[SchoolCodes],""))))),1,0))</f>
        <v>0</v>
      </c>
      <c r="E2" s="66" cm="1">
        <f t="array" ref="E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 s="57" cm="1">
        <f t="array" ref="F2">IF(_xlfn.XLOOKUP(CONT_SUP[[#This Row],[PayScaleCode]],PAYSCALES[PayScaleCode],PAYSCALES[AvailableToAllSchools],1,0,)=TRUE,0,IF(ISERROR(FIND(CONT_SUP[[#This Row],[SchoolCode]],_xlfn.TEXTJOIN(",",TRUE,_xlfn.UNIQUE(IF(PAYSCALES[PayScaleCode]=CONT_SUP[[#This Row],[PayScaleCode]],PAYSCALES[SchoolCodes],""))))),1,0))</f>
        <v>0</v>
      </c>
      <c r="G2" s="57">
        <f>IF(_xlfn.XLOOKUP(CONT_SUP[[#This Row],[PayScaleGradeCode]],GRADES[PayScaleGradeCode],GRADES[AvailableToAllSchools])=TRUE,0,IFERROR(IF(FIND(CONT_SUP[[#This Row],[SchoolCode]],_xlfn.XLOOKUP(CONT_SUP[[#This Row],[PayScaleGradeCode]],GRADES[PayScaleGradeCode],GRADES[SchoolCodes]))&gt;=1,0,1),1))</f>
        <v>0</v>
      </c>
      <c r="H2" s="66">
        <f>IF(ISERROR(IF((_xlfn.XLOOKUP(CONT_SUP[[#This Row],[PayScaleGradeCode]],GRADES[PayScaleGradeCode],GRADES[PayScaleCode])=CONT_SUP[[#This Row],[PayScaleCode]]),0,1)),1,0)</f>
        <v>0</v>
      </c>
      <c r="I2" s="66" cm="1">
        <f t="array" ref="I2">IF(ISERROR(FIND(CONT_SUP[[#This Row],[PayScalePointCode]],_xlfn.TEXTJOIN(",",TRUE,IF(PSPOINTS[PayScaleCode]=CONT_SUP[[#This Row],[PayScaleCode]],PSPOINTS[PayScalePointCode])))),1,0)</f>
        <v>0</v>
      </c>
      <c r="J2" s="57" cm="1">
        <f t="array" ref="J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 s="66">
        <f>IF(_xlfn.XLOOKUP(CONT_SUP[[#This Row],[PayScalePointCode]],PSPOINTS[PayScalePointCode],PSPOINTS[PayScalePointEnabled])=TRUE,0,1)</f>
        <v>0</v>
      </c>
      <c r="L2" s="57" cm="1">
        <f t="array" ref="L2">IF(_xlfn.XLOOKUP(CONT_SUP[[#This Row],[DepartmentCode]],DEPTS[DepartmentCode],DEPTS[AvailableToAllSchools],1,0,)=TRUE,0,IF(ISERROR(FIND(CONT_SUP[[#This Row],[SchoolCode]],_xlfn.TEXTJOIN(",",TRUE,_xlfn.UNIQUE(IF(DEPTS[DepartmentCode]=CONT_SUP[[#This Row],[DepartmentCode]],DEPTS[SchoolCodes],""))))),1,0))</f>
        <v>0</v>
      </c>
      <c r="M2" s="57">
        <f>IFERROR(IF(_xlfn.XLOOKUP(CONT_SUP[[#This Row],[SRG Gross]],FinanceCodesBudget[FinanceCode],FinanceCodesBudget[LedgerCode])=_xlfn.XLOOKUP(CONT_SUP[[#This Row],[DepartmentCode]],DEPTS[DepartmentCode],DEPTS[LedgerCode]),0,1),1)</f>
        <v>0</v>
      </c>
      <c r="N2" s="66" cm="1">
        <f t="array" ref="N2">IF(_xlfn.XLOOKUP(CONT_SUP[[#This Row],[PensionCode]],PENS[PensionCode],PENS[AvailableToAllSchools],1,0,)=TRUE,0,IF(ISERROR(FIND(CONT_SUP[[#This Row],[SchoolCode]],_xlfn.TEXTJOIN(",",TRUE,_xlfn.UNIQUE(IF(PENS[PensionCode]=CONT_SUP[[#This Row],[PensionCode]],PENS[SchoolCodes],""))))),1,0))</f>
        <v>0</v>
      </c>
      <c r="O2" s="66" cm="1">
        <f t="array" ref="O2">IF(_xlfn.XLOOKUP(CONT_SUP[[#This Row],[EquatedWeekPatternCode]],EQW[EquatedWeekPatternCode],EQW[AvailableToAllSchools],1,0,)=TRUE,0,IF(ISERROR(FIND(CONT_SUP[[#This Row],[SchoolCode]],_xlfn.TEXTJOIN(",",TRUE,_xlfn.UNIQUE(IF(EQW[EquatedWeekPatternCode]=CONT_SUP[[#This Row],[EquatedWeekPatternCode]],EQW[SchoolCodes],""))))),1,0))</f>
        <v>0</v>
      </c>
      <c r="P2" s="57">
        <f>1-COUNTIF(ContractTypes[Code],CONT_SUP[[#This Row],[ContractTypeCode]])</f>
        <v>0</v>
      </c>
      <c r="Q2" s="57">
        <f>IF(VLOOKUP(CONT_SUP[[#This Row],[StaffMemberCode]],MEMBERS[[StaffMemberCode]:[ServiceStartDate]],5,0)&gt;CONT_SUP[[#This Row],[DateFrom]],1,0)</f>
        <v>0</v>
      </c>
      <c r="R2" s="57">
        <f>IF(_xlfn.XLOOKUP(CONT_SUP[[#This Row],[StaffMemberCode]],MEMBERS[StaffMemberCode],MEMBERS[ServiceEndDate])="",0,IF(CONT_SUP[[#This Row],[DateTo]]="",1,IF(_xlfn.XLOOKUP(CONT_SUP[[#This Row],[StaffMemberCode]],MEMBERS[StaffMemberCode],MEMBERS[ServiceEndDate])&lt;CONT_SUP[[#This Row],[DateTo]],1,0)))</f>
        <v>0</v>
      </c>
      <c r="S2" s="57">
        <f>IF(ISBLANK(CONT_SUP[[#This Row],[DateTo]]),0,IF(CONT_SUP[[#This Row],[DateFrom]]=CONT_SUP[[#This Row],[DateTo]],0,IF(CONT_SUP[[#This Row],[DateFrom]]&lt;CONT_SUP[[#This Row],[DateTo]],0,1)))</f>
        <v>0</v>
      </c>
      <c r="T2" s="57" cm="1">
        <f t="array" aca="1" ref="T2" ca="1">IF(CELL("format",CONT_SUP[[#This Row],[DateFrom]])="D1",0,1)+IF(CELL("format",CONT_SUP[[#This Row],[DateTo]])="D1",0,1)</f>
        <v>0</v>
      </c>
      <c r="U2" s="57">
        <f>IF(OR(CONT_SUP[[#This Row],[MatEditOnly]]=TRUE,CONT_SUP[[#This Row],[MatEditOnly]]=FALSE),IF(OR(CONT_SUP[[#This Row],[NoIncrement]]=TRUE,CONT_SUP[[#This Row],[NoIncrement]]=FALSE),0,1),1)</f>
        <v>0</v>
      </c>
      <c r="V2" s="57">
        <f>IF(ISBLANK(CONT_SUP[[#This Row],[FundCode]])=TRUE,0,IF(COUNTIF(FUNDS[FundCode],CONT_SUP[[#This Row],[FundCode]])=1,0,1))</f>
        <v>0</v>
      </c>
      <c r="W2" s="57">
        <f>IF(LEN(CONT_SUP[[#This Row],[Notes]])&lt;4000,0,1)</f>
        <v>0</v>
      </c>
      <c r="X2" s="57">
        <f>IF(SUBSTITUTE(TEXT(CONT_SUP[[#This Row],[Reference]],10)," ","")=TEXT(CONT_SUP[[#This Row],[Reference]],10),0,1)</f>
        <v>0</v>
      </c>
      <c r="Y2" s="57">
        <f ca="1">SUM(CONT_SUP[[#This Row],[Duplicate Contract]:[Space in Code]])</f>
        <v>0</v>
      </c>
      <c r="AA2" s="63" t="s">
        <v>2094</v>
      </c>
      <c r="AB2" s="63">
        <v>91073456</v>
      </c>
      <c r="AC2" s="63" t="s">
        <v>4601</v>
      </c>
      <c r="AD2" s="57" t="str">
        <f>_xlfn.XLOOKUP(CONT_SUP[[#This Row],[StaffMemberCode]],StaffMembers!O:O,StaffMembers!R:R)</f>
        <v>Moira Moller</v>
      </c>
      <c r="AE2" s="12" t="s">
        <v>4216</v>
      </c>
      <c r="AF2" s="66">
        <f>_xlfn.XLOOKUP(CONT_SUP[[#This Row],[SRG]],SRG[StaffRoleGroupCode],SRG[GrossSalaryFinanceCode])</f>
        <v>625100</v>
      </c>
      <c r="AG2" s="57" t="str">
        <f>_xlfn.XLOOKUP(CONT_SUP[[#This Row],[StaffRoleCode]],ROLES[StaffRoleCode],ROLES[StaffRoleGroupCode])</f>
        <v>ADM</v>
      </c>
      <c r="AH2" s="57" t="str">
        <f>_xlfn.XLOOKUP(CONT_SUP[[#This Row],[StaffRoleCode]],ROLES[StaffRoleCode],ROLES[PayScaleCode])</f>
        <v>NJC_CHE</v>
      </c>
      <c r="AI2" s="12" t="s">
        <v>3124</v>
      </c>
      <c r="AJ2" s="12">
        <v>14</v>
      </c>
      <c r="AK2" s="12" t="s">
        <v>2483</v>
      </c>
      <c r="AM2" s="68" t="s">
        <v>3132</v>
      </c>
      <c r="AN2" s="12" t="s">
        <v>3137</v>
      </c>
      <c r="AO2" s="21">
        <v>45901</v>
      </c>
      <c r="AQ2" s="12">
        <v>37</v>
      </c>
      <c r="AR2" t="b">
        <v>0</v>
      </c>
      <c r="AS2" t="b">
        <v>0</v>
      </c>
      <c r="AT2" s="12" t="s">
        <v>1574</v>
      </c>
    </row>
    <row r="3" spans="1:47" x14ac:dyDescent="0.3">
      <c r="A3" s="57" t="str">
        <f t="shared" ref="A3:A34" si="0">AA3&amp;AB3&amp;AC3&amp;AE3&amp;AK3&amp;AO3</f>
        <v>ALS91324723RECSFIN45901</v>
      </c>
      <c r="B3" s="57">
        <f>COUNTIF(CONT_SUP[Unique Contract],CONT_SUP[[#This Row],[Unique Contract]])-1</f>
        <v>0</v>
      </c>
      <c r="C3" s="57">
        <f>IFERROR(IF(FIND(CONT_SUP[[#This Row],[SchoolCode]],_xlfn.XLOOKUP(CONT_SUP[[#This Row],[StaffMemberCode]],MEMBERS[StaffMemberCode],MEMBERS[SchoolCodes]))&gt;0,0,1),1)</f>
        <v>0</v>
      </c>
      <c r="D3" s="57" cm="1">
        <f t="array" ref="D3">IF(_xlfn.XLOOKUP(CONT_SUP[[#This Row],[StaffRoleCode]],ROLES[StaffRoleCode],ROLES[AvailableToAllSchools],1,0,)=TRUE,0,IF(ISERROR(FIND(CONT_SUP[[#This Row],[SchoolCode]],_xlfn.TEXTJOIN(",",TRUE,_xlfn.UNIQUE(IF(ROLES[StaffRoleCode]=CONT_SUP[[#This Row],[StaffRoleCode]],ROLES[SchoolCodes],""))))),1,0))</f>
        <v>0</v>
      </c>
      <c r="E3" s="66" cm="1">
        <f t="array" ref="E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 s="57" cm="1">
        <f t="array" ref="F3">IF(_xlfn.XLOOKUP(CONT_SUP[[#This Row],[PayScaleCode]],PAYSCALES[PayScaleCode],PAYSCALES[AvailableToAllSchools],1,0,)=TRUE,0,IF(ISERROR(FIND(CONT_SUP[[#This Row],[SchoolCode]],_xlfn.TEXTJOIN(",",TRUE,_xlfn.UNIQUE(IF(PAYSCALES[PayScaleCode]=CONT_SUP[[#This Row],[PayScaleCode]],PAYSCALES[SchoolCodes],""))))),1,0))</f>
        <v>0</v>
      </c>
      <c r="G3" s="57">
        <f>IF(_xlfn.XLOOKUP(CONT_SUP[[#This Row],[PayScaleGradeCode]],GRADES[PayScaleGradeCode],GRADES[AvailableToAllSchools])=TRUE,0,IFERROR(IF(FIND(CONT_SUP[[#This Row],[SchoolCode]],_xlfn.XLOOKUP(CONT_SUP[[#This Row],[PayScaleGradeCode]],GRADES[PayScaleGradeCode],GRADES[SchoolCodes]))&gt;=1,0,1),1))</f>
        <v>0</v>
      </c>
      <c r="H3" s="66">
        <f>IF(ISERROR(IF((_xlfn.XLOOKUP(CONT_SUP[[#This Row],[PayScaleGradeCode]],GRADES[PayScaleGradeCode],GRADES[PayScaleCode])=CONT_SUP[[#This Row],[PayScaleCode]]),0,1)),1,0)</f>
        <v>0</v>
      </c>
      <c r="I3" s="66" cm="1">
        <f t="array" ref="I3">IF(ISERROR(FIND(CONT_SUP[[#This Row],[PayScalePointCode]],_xlfn.TEXTJOIN(",",TRUE,IF(PSPOINTS[PayScaleCode]=CONT_SUP[[#This Row],[PayScaleCode]],PSPOINTS[PayScalePointCode])))),1,0)</f>
        <v>0</v>
      </c>
      <c r="J3" s="57" cm="1">
        <f t="array" ref="J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 s="66">
        <f>IF(_xlfn.XLOOKUP(CONT_SUP[[#This Row],[PayScalePointCode]],PSPOINTS[PayScalePointCode],PSPOINTS[PayScalePointEnabled])=TRUE,0,1)</f>
        <v>0</v>
      </c>
      <c r="L3" s="57" cm="1">
        <f t="array" ref="L3">IF(_xlfn.XLOOKUP(CONT_SUP[[#This Row],[DepartmentCode]],DEPTS[DepartmentCode],DEPTS[AvailableToAllSchools],1,0,)=TRUE,0,IF(ISERROR(FIND(CONT_SUP[[#This Row],[SchoolCode]],_xlfn.TEXTJOIN(",",TRUE,_xlfn.UNIQUE(IF(DEPTS[DepartmentCode]=CONT_SUP[[#This Row],[DepartmentCode]],DEPTS[SchoolCodes],""))))),1,0))</f>
        <v>0</v>
      </c>
      <c r="M3" s="57">
        <f>IFERROR(IF(_xlfn.XLOOKUP(CONT_SUP[[#This Row],[SRG Gross]],FinanceCodesBudget[FinanceCode],FinanceCodesBudget[LedgerCode])=_xlfn.XLOOKUP(CONT_SUP[[#This Row],[DepartmentCode]],DEPTS[DepartmentCode],DEPTS[LedgerCode]),0,1),1)</f>
        <v>0</v>
      </c>
      <c r="N3" s="66" cm="1">
        <f t="array" ref="N3">IF(_xlfn.XLOOKUP(CONT_SUP[[#This Row],[PensionCode]],PENS[PensionCode],PENS[AvailableToAllSchools],1,0,)=TRUE,0,IF(ISERROR(FIND(CONT_SUP[[#This Row],[SchoolCode]],_xlfn.TEXTJOIN(",",TRUE,_xlfn.UNIQUE(IF(PENS[PensionCode]=CONT_SUP[[#This Row],[PensionCode]],PENS[SchoolCodes],""))))),1,0))</f>
        <v>0</v>
      </c>
      <c r="O3" s="66" cm="1">
        <f t="array" ref="O3">IF(_xlfn.XLOOKUP(CONT_SUP[[#This Row],[EquatedWeekPatternCode]],EQW[EquatedWeekPatternCode],EQW[AvailableToAllSchools],1,0,)=TRUE,0,IF(ISERROR(FIND(CONT_SUP[[#This Row],[SchoolCode]],_xlfn.TEXTJOIN(",",TRUE,_xlfn.UNIQUE(IF(EQW[EquatedWeekPatternCode]=CONT_SUP[[#This Row],[EquatedWeekPatternCode]],EQW[SchoolCodes],""))))),1,0))</f>
        <v>0</v>
      </c>
      <c r="P3" s="57">
        <f>1-COUNTIF(ContractTypes[Code],CONT_SUP[[#This Row],[ContractTypeCode]])</f>
        <v>0</v>
      </c>
      <c r="Q3" s="57">
        <f>IF(VLOOKUP(CONT_SUP[[#This Row],[StaffMemberCode]],MEMBERS[[StaffMemberCode]:[ServiceStartDate]],5,0)&gt;CONT_SUP[[#This Row],[DateFrom]],1,0)</f>
        <v>0</v>
      </c>
      <c r="R3" s="57">
        <f>IF(_xlfn.XLOOKUP(CONT_SUP[[#This Row],[StaffMemberCode]],MEMBERS[StaffMemberCode],MEMBERS[ServiceEndDate])="",0,IF(CONT_SUP[[#This Row],[DateTo]]="",1,IF(_xlfn.XLOOKUP(CONT_SUP[[#This Row],[StaffMemberCode]],MEMBERS[StaffMemberCode],MEMBERS[ServiceEndDate])&lt;CONT_SUP[[#This Row],[DateTo]],1,0)))</f>
        <v>0</v>
      </c>
      <c r="S3" s="57">
        <f>IF(ISBLANK(CONT_SUP[[#This Row],[DateTo]]),0,IF(CONT_SUP[[#This Row],[DateFrom]]=CONT_SUP[[#This Row],[DateTo]],0,IF(CONT_SUP[[#This Row],[DateFrom]]&lt;CONT_SUP[[#This Row],[DateTo]],0,1)))</f>
        <v>0</v>
      </c>
      <c r="T3" s="57" cm="1">
        <f t="array" aca="1" ref="T3" ca="1">IF(CELL("format",CONT_SUP[[#This Row],[DateFrom]])="D1",0,1)+IF(CELL("format",CONT_SUP[[#This Row],[DateTo]])="D1",0,1)</f>
        <v>0</v>
      </c>
      <c r="U3" s="57">
        <f>IF(OR(CONT_SUP[[#This Row],[MatEditOnly]]=TRUE,CONT_SUP[[#This Row],[MatEditOnly]]=FALSE),IF(OR(CONT_SUP[[#This Row],[NoIncrement]]=TRUE,CONT_SUP[[#This Row],[NoIncrement]]=FALSE),0,1),1)</f>
        <v>0</v>
      </c>
      <c r="V3" s="57">
        <f>IF(ISBLANK(CONT_SUP[[#This Row],[FundCode]])=TRUE,0,IF(COUNTIF(FUNDS[FundCode],CONT_SUP[[#This Row],[FundCode]])=1,0,1))</f>
        <v>0</v>
      </c>
      <c r="W3" s="57">
        <f>IF(LEN(CONT_SUP[[#This Row],[Notes]])&lt;4000,0,1)</f>
        <v>0</v>
      </c>
      <c r="X3" s="57">
        <f>IF(SUBSTITUTE(TEXT(CONT_SUP[[#This Row],[Reference]],10)," ","")=TEXT(CONT_SUP[[#This Row],[Reference]],10),0,1)</f>
        <v>0</v>
      </c>
      <c r="Y3" s="57">
        <f ca="1">SUM(CONT_SUP[[#This Row],[Duplicate Contract]:[Space in Code]])</f>
        <v>0</v>
      </c>
      <c r="AA3" s="12" t="s">
        <v>2082</v>
      </c>
      <c r="AB3" s="63">
        <v>91324723</v>
      </c>
      <c r="AC3" s="63"/>
      <c r="AD3" s="57" t="str">
        <f>_xlfn.XLOOKUP(CONT_SUP[[#This Row],[StaffMemberCode]],StaffMembers!O:O,StaffMembers!R:R)</f>
        <v>Elaine Abbott</v>
      </c>
      <c r="AE3" s="12" t="s">
        <v>1563</v>
      </c>
      <c r="AF3" s="66">
        <f>_xlfn.XLOOKUP(CONT_SUP[[#This Row],[SRG]],SRG[StaffRoleGroupCode],SRG[GrossSalaryFinanceCode])</f>
        <v>625100</v>
      </c>
      <c r="AG3" s="57" t="str">
        <f>_xlfn.XLOOKUP(CONT_SUP[[#This Row],[StaffRoleCode]],ROLES[StaffRoleCode],ROLES[StaffRoleGroupCode])</f>
        <v>ADM</v>
      </c>
      <c r="AH3" s="57" t="str">
        <f>_xlfn.XLOOKUP(CONT_SUP[[#This Row],[StaffRoleCode]],ROLES[StaffRoleCode],ROLES[PayScaleCode])</f>
        <v>NJC_CHE</v>
      </c>
      <c r="AI3" s="12" t="s">
        <v>3122</v>
      </c>
      <c r="AJ3" s="12">
        <v>5</v>
      </c>
      <c r="AK3" s="12" t="s">
        <v>2483</v>
      </c>
      <c r="AM3" s="68" t="s">
        <v>3132</v>
      </c>
      <c r="AN3" s="12" t="s">
        <v>3135</v>
      </c>
      <c r="AO3" s="21">
        <v>45901</v>
      </c>
      <c r="AQ3" s="12">
        <v>19</v>
      </c>
      <c r="AR3" t="b">
        <v>0</v>
      </c>
      <c r="AS3" t="b">
        <v>0</v>
      </c>
      <c r="AT3" s="12" t="s">
        <v>65</v>
      </c>
    </row>
    <row r="4" spans="1:47" x14ac:dyDescent="0.3">
      <c r="A4" s="57" t="str">
        <f t="shared" si="0"/>
        <v>BLS9132813391328133AADM_ASTSFIN45901</v>
      </c>
      <c r="B4" s="57">
        <f>COUNTIF(CONT_SUP[Unique Contract],CONT_SUP[[#This Row],[Unique Contract]])-1</f>
        <v>0</v>
      </c>
      <c r="C4" s="57">
        <f>IFERROR(IF(FIND(CONT_SUP[[#This Row],[SchoolCode]],_xlfn.XLOOKUP(CONT_SUP[[#This Row],[StaffMemberCode]],MEMBERS[StaffMemberCode],MEMBERS[SchoolCodes]))&gt;0,0,1),1)</f>
        <v>0</v>
      </c>
      <c r="D4" s="57" cm="1">
        <f t="array" ref="D4">IF(_xlfn.XLOOKUP(CONT_SUP[[#This Row],[StaffRoleCode]],ROLES[StaffRoleCode],ROLES[AvailableToAllSchools],1,0,)=TRUE,0,IF(ISERROR(FIND(CONT_SUP[[#This Row],[SchoolCode]],_xlfn.TEXTJOIN(",",TRUE,_xlfn.UNIQUE(IF(ROLES[StaffRoleCode]=CONT_SUP[[#This Row],[StaffRoleCode]],ROLES[SchoolCodes],""))))),1,0))</f>
        <v>0</v>
      </c>
      <c r="E4" s="66" cm="1">
        <f t="array" ref="E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4" s="57" cm="1">
        <f t="array" ref="F4">IF(_xlfn.XLOOKUP(CONT_SUP[[#This Row],[PayScaleCode]],PAYSCALES[PayScaleCode],PAYSCALES[AvailableToAllSchools],1,0,)=TRUE,0,IF(ISERROR(FIND(CONT_SUP[[#This Row],[SchoolCode]],_xlfn.TEXTJOIN(",",TRUE,_xlfn.UNIQUE(IF(PAYSCALES[PayScaleCode]=CONT_SUP[[#This Row],[PayScaleCode]],PAYSCALES[SchoolCodes],""))))),1,0))</f>
        <v>0</v>
      </c>
      <c r="G4" s="57">
        <f>IF(_xlfn.XLOOKUP(CONT_SUP[[#This Row],[PayScaleGradeCode]],GRADES[PayScaleGradeCode],GRADES[AvailableToAllSchools])=TRUE,0,IFERROR(IF(FIND(CONT_SUP[[#This Row],[SchoolCode]],_xlfn.XLOOKUP(CONT_SUP[[#This Row],[PayScaleGradeCode]],GRADES[PayScaleGradeCode],GRADES[SchoolCodes]))&gt;=1,0,1),1))</f>
        <v>0</v>
      </c>
      <c r="H4" s="66">
        <f>IF(ISERROR(IF((_xlfn.XLOOKUP(CONT_SUP[[#This Row],[PayScaleGradeCode]],GRADES[PayScaleGradeCode],GRADES[PayScaleCode])=CONT_SUP[[#This Row],[PayScaleCode]]),0,1)),1,0)</f>
        <v>0</v>
      </c>
      <c r="I4" s="66" cm="1">
        <f t="array" ref="I4">IF(ISERROR(FIND(CONT_SUP[[#This Row],[PayScalePointCode]],_xlfn.TEXTJOIN(",",TRUE,IF(PSPOINTS[PayScaleCode]=CONT_SUP[[#This Row],[PayScaleCode]],PSPOINTS[PayScalePointCode])))),1,0)</f>
        <v>0</v>
      </c>
      <c r="J4" s="57" cm="1">
        <f t="array" ref="J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4" s="66">
        <f>IF(_xlfn.XLOOKUP(CONT_SUP[[#This Row],[PayScalePointCode]],PSPOINTS[PayScalePointCode],PSPOINTS[PayScalePointEnabled])=TRUE,0,1)</f>
        <v>0</v>
      </c>
      <c r="L4" s="57" cm="1">
        <f t="array" ref="L4">IF(_xlfn.XLOOKUP(CONT_SUP[[#This Row],[DepartmentCode]],DEPTS[DepartmentCode],DEPTS[AvailableToAllSchools],1,0,)=TRUE,0,IF(ISERROR(FIND(CONT_SUP[[#This Row],[SchoolCode]],_xlfn.TEXTJOIN(",",TRUE,_xlfn.UNIQUE(IF(DEPTS[DepartmentCode]=CONT_SUP[[#This Row],[DepartmentCode]],DEPTS[SchoolCodes],""))))),1,0))</f>
        <v>0</v>
      </c>
      <c r="M4" s="57">
        <f>IFERROR(IF(_xlfn.XLOOKUP(CONT_SUP[[#This Row],[SRG Gross]],FinanceCodesBudget[FinanceCode],FinanceCodesBudget[LedgerCode])=_xlfn.XLOOKUP(CONT_SUP[[#This Row],[DepartmentCode]],DEPTS[DepartmentCode],DEPTS[LedgerCode]),0,1),1)</f>
        <v>0</v>
      </c>
      <c r="N4" s="66" cm="1">
        <f t="array" ref="N4">IF(_xlfn.XLOOKUP(CONT_SUP[[#This Row],[PensionCode]],PENS[PensionCode],PENS[AvailableToAllSchools],1,0,)=TRUE,0,IF(ISERROR(FIND(CONT_SUP[[#This Row],[SchoolCode]],_xlfn.TEXTJOIN(",",TRUE,_xlfn.UNIQUE(IF(PENS[PensionCode]=CONT_SUP[[#This Row],[PensionCode]],PENS[SchoolCodes],""))))),1,0))</f>
        <v>0</v>
      </c>
      <c r="O4" s="66" cm="1">
        <f t="array" ref="O4">IF(_xlfn.XLOOKUP(CONT_SUP[[#This Row],[EquatedWeekPatternCode]],EQW[EquatedWeekPatternCode],EQW[AvailableToAllSchools],1,0,)=TRUE,0,IF(ISERROR(FIND(CONT_SUP[[#This Row],[SchoolCode]],_xlfn.TEXTJOIN(",",TRUE,_xlfn.UNIQUE(IF(EQW[EquatedWeekPatternCode]=CONT_SUP[[#This Row],[EquatedWeekPatternCode]],EQW[SchoolCodes],""))))),1,0))</f>
        <v>0</v>
      </c>
      <c r="P4" s="57">
        <f>1-COUNTIF(ContractTypes[Code],CONT_SUP[[#This Row],[ContractTypeCode]])</f>
        <v>0</v>
      </c>
      <c r="Q4" s="57">
        <f>IF(VLOOKUP(CONT_SUP[[#This Row],[StaffMemberCode]],MEMBERS[[StaffMemberCode]:[ServiceStartDate]],5,0)&gt;CONT_SUP[[#This Row],[DateFrom]],1,0)</f>
        <v>0</v>
      </c>
      <c r="R4" s="57">
        <f>IF(_xlfn.XLOOKUP(CONT_SUP[[#This Row],[StaffMemberCode]],MEMBERS[StaffMemberCode],MEMBERS[ServiceEndDate])="",0,IF(CONT_SUP[[#This Row],[DateTo]]="",1,IF(_xlfn.XLOOKUP(CONT_SUP[[#This Row],[StaffMemberCode]],MEMBERS[StaffMemberCode],MEMBERS[ServiceEndDate])&lt;CONT_SUP[[#This Row],[DateTo]],1,0)))</f>
        <v>0</v>
      </c>
      <c r="S4" s="57">
        <f>IF(ISBLANK(CONT_SUP[[#This Row],[DateTo]]),0,IF(CONT_SUP[[#This Row],[DateFrom]]=CONT_SUP[[#This Row],[DateTo]],0,IF(CONT_SUP[[#This Row],[DateFrom]]&lt;CONT_SUP[[#This Row],[DateTo]],0,1)))</f>
        <v>0</v>
      </c>
      <c r="T4" s="57" cm="1">
        <f t="array" aca="1" ref="T4" ca="1">IF(CELL("format",CONT_SUP[[#This Row],[DateFrom]])="D1",0,1)+IF(CELL("format",CONT_SUP[[#This Row],[DateTo]])="D1",0,1)</f>
        <v>0</v>
      </c>
      <c r="U4" s="57">
        <f>IF(OR(CONT_SUP[[#This Row],[MatEditOnly]]=TRUE,CONT_SUP[[#This Row],[MatEditOnly]]=FALSE),IF(OR(CONT_SUP[[#This Row],[NoIncrement]]=TRUE,CONT_SUP[[#This Row],[NoIncrement]]=FALSE),0,1),1)</f>
        <v>0</v>
      </c>
      <c r="V4" s="57">
        <f>IF(ISBLANK(CONT_SUP[[#This Row],[FundCode]])=TRUE,0,IF(COUNTIF(FUNDS[FundCode],CONT_SUP[[#This Row],[FundCode]])=1,0,1))</f>
        <v>0</v>
      </c>
      <c r="W4" s="57">
        <f>IF(LEN(CONT_SUP[[#This Row],[Notes]])&lt;4000,0,1)</f>
        <v>0</v>
      </c>
      <c r="X4" s="57">
        <f>IF(SUBSTITUTE(TEXT(CONT_SUP[[#This Row],[Reference]],10)," ","")=TEXT(CONT_SUP[[#This Row],[Reference]],10),0,1)</f>
        <v>0</v>
      </c>
      <c r="Y4" s="57">
        <f ca="1">SUM(CONT_SUP[[#This Row],[Duplicate Contract]:[Space in Code]])</f>
        <v>0</v>
      </c>
      <c r="AA4" s="12" t="s">
        <v>2094</v>
      </c>
      <c r="AB4" s="63">
        <v>91328133</v>
      </c>
      <c r="AC4" s="63" t="s">
        <v>4602</v>
      </c>
      <c r="AD4" s="57" t="str">
        <f>_xlfn.XLOOKUP(CONT_SUP[[#This Row],[StaffMemberCode]],StaffMembers!O:O,StaffMembers!R:R)</f>
        <v>Joanna Clowes</v>
      </c>
      <c r="AE4" s="12" t="s">
        <v>1617</v>
      </c>
      <c r="AF4" s="66">
        <f>_xlfn.XLOOKUP(CONT_SUP[[#This Row],[SRG]],SRG[StaffRoleGroupCode],SRG[GrossSalaryFinanceCode])</f>
        <v>625100</v>
      </c>
      <c r="AG4" s="57" t="str">
        <f>_xlfn.XLOOKUP(CONT_SUP[[#This Row],[StaffRoleCode]],ROLES[StaffRoleCode],ROLES[StaffRoleGroupCode])</f>
        <v>ADM</v>
      </c>
      <c r="AH4" s="57" t="str">
        <f>_xlfn.XLOOKUP(CONT_SUP[[#This Row],[StaffRoleCode]],ROLES[StaffRoleCode],ROLES[PayScaleCode])</f>
        <v>NJC_CHE</v>
      </c>
      <c r="AI4" s="12" t="s">
        <v>3122</v>
      </c>
      <c r="AJ4" s="12">
        <v>5</v>
      </c>
      <c r="AK4" s="12" t="s">
        <v>2483</v>
      </c>
      <c r="AM4" s="68" t="s">
        <v>3132</v>
      </c>
      <c r="AN4" s="12" t="s">
        <v>3135</v>
      </c>
      <c r="AO4" s="21">
        <v>45901</v>
      </c>
      <c r="AQ4" s="12">
        <v>32.5</v>
      </c>
      <c r="AR4" t="b">
        <v>0</v>
      </c>
      <c r="AS4" t="b">
        <v>0</v>
      </c>
      <c r="AT4" s="12" t="s">
        <v>1574</v>
      </c>
    </row>
    <row r="5" spans="1:47" x14ac:dyDescent="0.3">
      <c r="A5" s="57" t="str">
        <f t="shared" si="0"/>
        <v>BLS9185005291850052AADM_ASTSFIN45901</v>
      </c>
      <c r="B5" s="57">
        <f>COUNTIF(CONT_SUP[Unique Contract],CONT_SUP[[#This Row],[Unique Contract]])-1</f>
        <v>0</v>
      </c>
      <c r="C5" s="57">
        <f>IFERROR(IF(FIND(CONT_SUP[[#This Row],[SchoolCode]],_xlfn.XLOOKUP(CONT_SUP[[#This Row],[StaffMemberCode]],MEMBERS[StaffMemberCode],MEMBERS[SchoolCodes]))&gt;0,0,1),1)</f>
        <v>0</v>
      </c>
      <c r="D5" s="57" cm="1">
        <f t="array" ref="D5">IF(_xlfn.XLOOKUP(CONT_SUP[[#This Row],[StaffRoleCode]],ROLES[StaffRoleCode],ROLES[AvailableToAllSchools],1,0,)=TRUE,0,IF(ISERROR(FIND(CONT_SUP[[#This Row],[SchoolCode]],_xlfn.TEXTJOIN(",",TRUE,_xlfn.UNIQUE(IF(ROLES[StaffRoleCode]=CONT_SUP[[#This Row],[StaffRoleCode]],ROLES[SchoolCodes],""))))),1,0))</f>
        <v>0</v>
      </c>
      <c r="E5" s="66" cm="1">
        <f t="array" ref="E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5" s="57" cm="1">
        <f t="array" ref="F5">IF(_xlfn.XLOOKUP(CONT_SUP[[#This Row],[PayScaleCode]],PAYSCALES[PayScaleCode],PAYSCALES[AvailableToAllSchools],1,0,)=TRUE,0,IF(ISERROR(FIND(CONT_SUP[[#This Row],[SchoolCode]],_xlfn.TEXTJOIN(",",TRUE,_xlfn.UNIQUE(IF(PAYSCALES[PayScaleCode]=CONT_SUP[[#This Row],[PayScaleCode]],PAYSCALES[SchoolCodes],""))))),1,0))</f>
        <v>0</v>
      </c>
      <c r="G5" s="57">
        <f>IF(_xlfn.XLOOKUP(CONT_SUP[[#This Row],[PayScaleGradeCode]],GRADES[PayScaleGradeCode],GRADES[AvailableToAllSchools])=TRUE,0,IFERROR(IF(FIND(CONT_SUP[[#This Row],[SchoolCode]],_xlfn.XLOOKUP(CONT_SUP[[#This Row],[PayScaleGradeCode]],GRADES[PayScaleGradeCode],GRADES[SchoolCodes]))&gt;=1,0,1),1))</f>
        <v>0</v>
      </c>
      <c r="H5" s="66">
        <f>IF(ISERROR(IF((_xlfn.XLOOKUP(CONT_SUP[[#This Row],[PayScaleGradeCode]],GRADES[PayScaleGradeCode],GRADES[PayScaleCode])=CONT_SUP[[#This Row],[PayScaleCode]]),0,1)),1,0)</f>
        <v>0</v>
      </c>
      <c r="I5" s="66" cm="1">
        <f t="array" ref="I5">IF(ISERROR(FIND(CONT_SUP[[#This Row],[PayScalePointCode]],_xlfn.TEXTJOIN(",",TRUE,IF(PSPOINTS[PayScaleCode]=CONT_SUP[[#This Row],[PayScaleCode]],PSPOINTS[PayScalePointCode])))),1,0)</f>
        <v>0</v>
      </c>
      <c r="J5" s="57" cm="1">
        <f t="array" ref="J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5" s="66">
        <f>IF(_xlfn.XLOOKUP(CONT_SUP[[#This Row],[PayScalePointCode]],PSPOINTS[PayScalePointCode],PSPOINTS[PayScalePointEnabled])=TRUE,0,1)</f>
        <v>0</v>
      </c>
      <c r="L5" s="57" cm="1">
        <f t="array" ref="L5">IF(_xlfn.XLOOKUP(CONT_SUP[[#This Row],[DepartmentCode]],DEPTS[DepartmentCode],DEPTS[AvailableToAllSchools],1,0,)=TRUE,0,IF(ISERROR(FIND(CONT_SUP[[#This Row],[SchoolCode]],_xlfn.TEXTJOIN(",",TRUE,_xlfn.UNIQUE(IF(DEPTS[DepartmentCode]=CONT_SUP[[#This Row],[DepartmentCode]],DEPTS[SchoolCodes],""))))),1,0))</f>
        <v>0</v>
      </c>
      <c r="M5" s="57">
        <f>IFERROR(IF(_xlfn.XLOOKUP(CONT_SUP[[#This Row],[SRG Gross]],FinanceCodesBudget[FinanceCode],FinanceCodesBudget[LedgerCode])=_xlfn.XLOOKUP(CONT_SUP[[#This Row],[DepartmentCode]],DEPTS[DepartmentCode],DEPTS[LedgerCode]),0,1),1)</f>
        <v>0</v>
      </c>
      <c r="N5" s="66" cm="1">
        <f t="array" ref="N5">IF(_xlfn.XLOOKUP(CONT_SUP[[#This Row],[PensionCode]],PENS[PensionCode],PENS[AvailableToAllSchools],1,0,)=TRUE,0,IF(ISERROR(FIND(CONT_SUP[[#This Row],[SchoolCode]],_xlfn.TEXTJOIN(",",TRUE,_xlfn.UNIQUE(IF(PENS[PensionCode]=CONT_SUP[[#This Row],[PensionCode]],PENS[SchoolCodes],""))))),1,0))</f>
        <v>0</v>
      </c>
      <c r="O5" s="66" cm="1">
        <f t="array" ref="O5">IF(_xlfn.XLOOKUP(CONT_SUP[[#This Row],[EquatedWeekPatternCode]],EQW[EquatedWeekPatternCode],EQW[AvailableToAllSchools],1,0,)=TRUE,0,IF(ISERROR(FIND(CONT_SUP[[#This Row],[SchoolCode]],_xlfn.TEXTJOIN(",",TRUE,_xlfn.UNIQUE(IF(EQW[EquatedWeekPatternCode]=CONT_SUP[[#This Row],[EquatedWeekPatternCode]],EQW[SchoolCodes],""))))),1,0))</f>
        <v>0</v>
      </c>
      <c r="P5" s="57">
        <f>1-COUNTIF(ContractTypes[Code],CONT_SUP[[#This Row],[ContractTypeCode]])</f>
        <v>0</v>
      </c>
      <c r="Q5" s="57">
        <f>IF(VLOOKUP(CONT_SUP[[#This Row],[StaffMemberCode]],MEMBERS[[StaffMemberCode]:[ServiceStartDate]],5,0)&gt;CONT_SUP[[#This Row],[DateFrom]],1,0)</f>
        <v>0</v>
      </c>
      <c r="R5" s="57">
        <f>IF(_xlfn.XLOOKUP(CONT_SUP[[#This Row],[StaffMemberCode]],MEMBERS[StaffMemberCode],MEMBERS[ServiceEndDate])="",0,IF(CONT_SUP[[#This Row],[DateTo]]="",1,IF(_xlfn.XLOOKUP(CONT_SUP[[#This Row],[StaffMemberCode]],MEMBERS[StaffMemberCode],MEMBERS[ServiceEndDate])&lt;CONT_SUP[[#This Row],[DateTo]],1,0)))</f>
        <v>0</v>
      </c>
      <c r="S5" s="57">
        <f>IF(ISBLANK(CONT_SUP[[#This Row],[DateTo]]),0,IF(CONT_SUP[[#This Row],[DateFrom]]=CONT_SUP[[#This Row],[DateTo]],0,IF(CONT_SUP[[#This Row],[DateFrom]]&lt;CONT_SUP[[#This Row],[DateTo]],0,1)))</f>
        <v>0</v>
      </c>
      <c r="T5" s="57" cm="1">
        <f t="array" aca="1" ref="T5" ca="1">IF(CELL("format",CONT_SUP[[#This Row],[DateFrom]])="D1",0,1)+IF(CELL("format",CONT_SUP[[#This Row],[DateTo]])="D1",0,1)</f>
        <v>0</v>
      </c>
      <c r="U5" s="57">
        <f>IF(OR(CONT_SUP[[#This Row],[MatEditOnly]]=TRUE,CONT_SUP[[#This Row],[MatEditOnly]]=FALSE),IF(OR(CONT_SUP[[#This Row],[NoIncrement]]=TRUE,CONT_SUP[[#This Row],[NoIncrement]]=FALSE),0,1),1)</f>
        <v>0</v>
      </c>
      <c r="V5" s="57">
        <f>IF(ISBLANK(CONT_SUP[[#This Row],[FundCode]])=TRUE,0,IF(COUNTIF(FUNDS[FundCode],CONT_SUP[[#This Row],[FundCode]])=1,0,1))</f>
        <v>0</v>
      </c>
      <c r="W5" s="57">
        <f>IF(LEN(CONT_SUP[[#This Row],[Notes]])&lt;4000,0,1)</f>
        <v>0</v>
      </c>
      <c r="X5" s="57">
        <f>IF(SUBSTITUTE(TEXT(CONT_SUP[[#This Row],[Reference]],10)," ","")=TEXT(CONT_SUP[[#This Row],[Reference]],10),0,1)</f>
        <v>0</v>
      </c>
      <c r="Y5" s="57">
        <f ca="1">SUM(CONT_SUP[[#This Row],[Duplicate Contract]:[Space in Code]])</f>
        <v>0</v>
      </c>
      <c r="AA5" s="12" t="s">
        <v>2094</v>
      </c>
      <c r="AB5" s="63">
        <v>91850052</v>
      </c>
      <c r="AC5" s="63" t="s">
        <v>4603</v>
      </c>
      <c r="AD5" s="57" t="str">
        <f>_xlfn.XLOOKUP(CONT_SUP[[#This Row],[StaffMemberCode]],StaffMembers!O:O,StaffMembers!R:R)</f>
        <v>Rachel Martin</v>
      </c>
      <c r="AE5" s="12" t="s">
        <v>1617</v>
      </c>
      <c r="AF5" s="66">
        <f>_xlfn.XLOOKUP(CONT_SUP[[#This Row],[SRG]],SRG[StaffRoleGroupCode],SRG[GrossSalaryFinanceCode])</f>
        <v>625100</v>
      </c>
      <c r="AG5" s="57" t="str">
        <f>_xlfn.XLOOKUP(CONT_SUP[[#This Row],[StaffRoleCode]],ROLES[StaffRoleCode],ROLES[StaffRoleGroupCode])</f>
        <v>ADM</v>
      </c>
      <c r="AH5" s="57" t="str">
        <f>_xlfn.XLOOKUP(CONT_SUP[[#This Row],[StaffRoleCode]],ROLES[StaffRoleCode],ROLES[PayScaleCode])</f>
        <v>NJC_CHE</v>
      </c>
      <c r="AI5" s="12" t="s">
        <v>3122</v>
      </c>
      <c r="AJ5" s="12">
        <v>5</v>
      </c>
      <c r="AK5" s="12" t="s">
        <v>2483</v>
      </c>
      <c r="AM5" s="68" t="s">
        <v>3132</v>
      </c>
      <c r="AN5" s="12" t="s">
        <v>3137</v>
      </c>
      <c r="AO5" s="21">
        <v>45901</v>
      </c>
      <c r="AQ5" s="12">
        <v>37</v>
      </c>
      <c r="AR5" t="b">
        <v>0</v>
      </c>
      <c r="AS5" t="b">
        <v>0</v>
      </c>
      <c r="AT5" s="12" t="s">
        <v>1574</v>
      </c>
    </row>
    <row r="6" spans="1:47" x14ac:dyDescent="0.3">
      <c r="A6" s="57" t="str">
        <f t="shared" si="0"/>
        <v>SBL9107576691075766AADM_ASTSFIN45901</v>
      </c>
      <c r="B6" s="57">
        <f>COUNTIF(CONT_SUP[Unique Contract],CONT_SUP[[#This Row],[Unique Contract]])-1</f>
        <v>0</v>
      </c>
      <c r="C6" s="57">
        <f>IFERROR(IF(FIND(CONT_SUP[[#This Row],[SchoolCode]],_xlfn.XLOOKUP(CONT_SUP[[#This Row],[StaffMemberCode]],MEMBERS[StaffMemberCode],MEMBERS[SchoolCodes]))&gt;0,0,1),1)</f>
        <v>0</v>
      </c>
      <c r="D6" s="57" cm="1">
        <f t="array" ref="D6">IF(_xlfn.XLOOKUP(CONT_SUP[[#This Row],[StaffRoleCode]],ROLES[StaffRoleCode],ROLES[AvailableToAllSchools],1,0,)=TRUE,0,IF(ISERROR(FIND(CONT_SUP[[#This Row],[SchoolCode]],_xlfn.TEXTJOIN(",",TRUE,_xlfn.UNIQUE(IF(ROLES[StaffRoleCode]=CONT_SUP[[#This Row],[StaffRoleCode]],ROLES[SchoolCodes],""))))),1,0))</f>
        <v>0</v>
      </c>
      <c r="E6" s="66" cm="1">
        <f t="array" ref="E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6" s="57" cm="1">
        <f t="array" ref="F6">IF(_xlfn.XLOOKUP(CONT_SUP[[#This Row],[PayScaleCode]],PAYSCALES[PayScaleCode],PAYSCALES[AvailableToAllSchools],1,0,)=TRUE,0,IF(ISERROR(FIND(CONT_SUP[[#This Row],[SchoolCode]],_xlfn.TEXTJOIN(",",TRUE,_xlfn.UNIQUE(IF(PAYSCALES[PayScaleCode]=CONT_SUP[[#This Row],[PayScaleCode]],PAYSCALES[SchoolCodes],""))))),1,0))</f>
        <v>0</v>
      </c>
      <c r="G6" s="57">
        <f>IF(_xlfn.XLOOKUP(CONT_SUP[[#This Row],[PayScaleGradeCode]],GRADES[PayScaleGradeCode],GRADES[AvailableToAllSchools])=TRUE,0,IFERROR(IF(FIND(CONT_SUP[[#This Row],[SchoolCode]],_xlfn.XLOOKUP(CONT_SUP[[#This Row],[PayScaleGradeCode]],GRADES[PayScaleGradeCode],GRADES[SchoolCodes]))&gt;=1,0,1),1))</f>
        <v>0</v>
      </c>
      <c r="H6" s="66">
        <f>IF(ISERROR(IF((_xlfn.XLOOKUP(CONT_SUP[[#This Row],[PayScaleGradeCode]],GRADES[PayScaleGradeCode],GRADES[PayScaleCode])=CONT_SUP[[#This Row],[PayScaleCode]]),0,1)),1,0)</f>
        <v>0</v>
      </c>
      <c r="I6" s="66" cm="1">
        <f t="array" ref="I6">IF(ISERROR(FIND(CONT_SUP[[#This Row],[PayScalePointCode]],_xlfn.TEXTJOIN(",",TRUE,IF(PSPOINTS[PayScaleCode]=CONT_SUP[[#This Row],[PayScaleCode]],PSPOINTS[PayScalePointCode])))),1,0)</f>
        <v>0</v>
      </c>
      <c r="J6" s="57" cm="1">
        <f t="array" ref="J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6" s="66">
        <f>IF(_xlfn.XLOOKUP(CONT_SUP[[#This Row],[PayScalePointCode]],PSPOINTS[PayScalePointCode],PSPOINTS[PayScalePointEnabled])=TRUE,0,1)</f>
        <v>0</v>
      </c>
      <c r="L6" s="57" cm="1">
        <f t="array" ref="L6">IF(_xlfn.XLOOKUP(CONT_SUP[[#This Row],[DepartmentCode]],DEPTS[DepartmentCode],DEPTS[AvailableToAllSchools],1,0,)=TRUE,0,IF(ISERROR(FIND(CONT_SUP[[#This Row],[SchoolCode]],_xlfn.TEXTJOIN(",",TRUE,_xlfn.UNIQUE(IF(DEPTS[DepartmentCode]=CONT_SUP[[#This Row],[DepartmentCode]],DEPTS[SchoolCodes],""))))),1,0))</f>
        <v>0</v>
      </c>
      <c r="M6" s="57">
        <f>IFERROR(IF(_xlfn.XLOOKUP(CONT_SUP[[#This Row],[SRG Gross]],FinanceCodesBudget[FinanceCode],FinanceCodesBudget[LedgerCode])=_xlfn.XLOOKUP(CONT_SUP[[#This Row],[DepartmentCode]],DEPTS[DepartmentCode],DEPTS[LedgerCode]),0,1),1)</f>
        <v>0</v>
      </c>
      <c r="N6" s="66" cm="1">
        <f t="array" ref="N6">IF(_xlfn.XLOOKUP(CONT_SUP[[#This Row],[PensionCode]],PENS[PensionCode],PENS[AvailableToAllSchools],1,0,)=TRUE,0,IF(ISERROR(FIND(CONT_SUP[[#This Row],[SchoolCode]],_xlfn.TEXTJOIN(",",TRUE,_xlfn.UNIQUE(IF(PENS[PensionCode]=CONT_SUP[[#This Row],[PensionCode]],PENS[SchoolCodes],""))))),1,0))</f>
        <v>0</v>
      </c>
      <c r="O6" s="66" cm="1">
        <f t="array" ref="O6">IF(_xlfn.XLOOKUP(CONT_SUP[[#This Row],[EquatedWeekPatternCode]],EQW[EquatedWeekPatternCode],EQW[AvailableToAllSchools],1,0,)=TRUE,0,IF(ISERROR(FIND(CONT_SUP[[#This Row],[SchoolCode]],_xlfn.TEXTJOIN(",",TRUE,_xlfn.UNIQUE(IF(EQW[EquatedWeekPatternCode]=CONT_SUP[[#This Row],[EquatedWeekPatternCode]],EQW[SchoolCodes],""))))),1,0))</f>
        <v>0</v>
      </c>
      <c r="P6" s="57">
        <f>1-COUNTIF(ContractTypes[Code],CONT_SUP[[#This Row],[ContractTypeCode]])</f>
        <v>0</v>
      </c>
      <c r="Q6" s="57">
        <f>IF(VLOOKUP(CONT_SUP[[#This Row],[StaffMemberCode]],MEMBERS[[StaffMemberCode]:[ServiceStartDate]],5,0)&gt;CONT_SUP[[#This Row],[DateFrom]],1,0)</f>
        <v>0</v>
      </c>
      <c r="R6" s="57">
        <f>IF(_xlfn.XLOOKUP(CONT_SUP[[#This Row],[StaffMemberCode]],MEMBERS[StaffMemberCode],MEMBERS[ServiceEndDate])="",0,IF(CONT_SUP[[#This Row],[DateTo]]="",1,IF(_xlfn.XLOOKUP(CONT_SUP[[#This Row],[StaffMemberCode]],MEMBERS[StaffMemberCode],MEMBERS[ServiceEndDate])&lt;CONT_SUP[[#This Row],[DateTo]],1,0)))</f>
        <v>0</v>
      </c>
      <c r="S6" s="57">
        <f>IF(ISBLANK(CONT_SUP[[#This Row],[DateTo]]),0,IF(CONT_SUP[[#This Row],[DateFrom]]=CONT_SUP[[#This Row],[DateTo]],0,IF(CONT_SUP[[#This Row],[DateFrom]]&lt;CONT_SUP[[#This Row],[DateTo]],0,1)))</f>
        <v>0</v>
      </c>
      <c r="T6" s="57" cm="1">
        <f t="array" aca="1" ref="T6" ca="1">IF(CELL("format",CONT_SUP[[#This Row],[DateFrom]])="D1",0,1)+IF(CELL("format",CONT_SUP[[#This Row],[DateTo]])="D1",0,1)</f>
        <v>0</v>
      </c>
      <c r="U6" s="57">
        <f>IF(OR(CONT_SUP[[#This Row],[MatEditOnly]]=TRUE,CONT_SUP[[#This Row],[MatEditOnly]]=FALSE),IF(OR(CONT_SUP[[#This Row],[NoIncrement]]=TRUE,CONT_SUP[[#This Row],[NoIncrement]]=FALSE),0,1),1)</f>
        <v>0</v>
      </c>
      <c r="V6" s="57">
        <f>IF(ISBLANK(CONT_SUP[[#This Row],[FundCode]])=TRUE,0,IF(COUNTIF(FUNDS[FundCode],CONT_SUP[[#This Row],[FundCode]])=1,0,1))</f>
        <v>0</v>
      </c>
      <c r="W6" s="57">
        <f>IF(LEN(CONT_SUP[[#This Row],[Notes]])&lt;4000,0,1)</f>
        <v>0</v>
      </c>
      <c r="X6" s="57">
        <f>IF(SUBSTITUTE(TEXT(CONT_SUP[[#This Row],[Reference]],10)," ","")=TEXT(CONT_SUP[[#This Row],[Reference]],10),0,1)</f>
        <v>0</v>
      </c>
      <c r="Y6" s="57">
        <f ca="1">SUM(CONT_SUP[[#This Row],[Duplicate Contract]:[Space in Code]])</f>
        <v>0</v>
      </c>
      <c r="AA6" s="12" t="s">
        <v>2200</v>
      </c>
      <c r="AB6" s="63">
        <v>91075766</v>
      </c>
      <c r="AC6" s="63" t="s">
        <v>4604</v>
      </c>
      <c r="AD6" s="57" t="str">
        <f>_xlfn.XLOOKUP(CONT_SUP[[#This Row],[StaffMemberCode]],StaffMembers!O:O,StaffMembers!R:R)</f>
        <v>Sophie Willett</v>
      </c>
      <c r="AE6" s="12" t="s">
        <v>1617</v>
      </c>
      <c r="AF6" s="66">
        <f>_xlfn.XLOOKUP(CONT_SUP[[#This Row],[SRG]],SRG[StaffRoleGroupCode],SRG[GrossSalaryFinanceCode])</f>
        <v>625100</v>
      </c>
      <c r="AG6" s="57" t="str">
        <f>_xlfn.XLOOKUP(CONT_SUP[[#This Row],[StaffRoleCode]],ROLES[StaffRoleCode],ROLES[StaffRoleGroupCode])</f>
        <v>ADM</v>
      </c>
      <c r="AH6" s="57" t="str">
        <f>_xlfn.XLOOKUP(CONT_SUP[[#This Row],[StaffRoleCode]],ROLES[StaffRoleCode],ROLES[PayScaleCode])</f>
        <v>NJC_CHE</v>
      </c>
      <c r="AI6" s="12" t="s">
        <v>3122</v>
      </c>
      <c r="AJ6" s="12">
        <v>6</v>
      </c>
      <c r="AK6" s="12" t="s">
        <v>2483</v>
      </c>
      <c r="AM6" s="68" t="s">
        <v>3132</v>
      </c>
      <c r="AN6" s="12" t="s">
        <v>3135</v>
      </c>
      <c r="AO6" s="21">
        <v>45901</v>
      </c>
      <c r="AQ6" s="12">
        <v>37</v>
      </c>
      <c r="AR6" t="b">
        <v>0</v>
      </c>
      <c r="AS6" t="b">
        <v>0</v>
      </c>
      <c r="AT6" s="12" t="s">
        <v>1574</v>
      </c>
    </row>
    <row r="7" spans="1:47" x14ac:dyDescent="0.3">
      <c r="A7" s="57" t="str">
        <f t="shared" si="0"/>
        <v>BLS9107347691073476AADM_ASTSFIN45901</v>
      </c>
      <c r="B7" s="57">
        <f>COUNTIF(CONT_SUP[Unique Contract],CONT_SUP[[#This Row],[Unique Contract]])-1</f>
        <v>0</v>
      </c>
      <c r="C7" s="57">
        <f>IFERROR(IF(FIND(CONT_SUP[[#This Row],[SchoolCode]],_xlfn.XLOOKUP(CONT_SUP[[#This Row],[StaffMemberCode]],MEMBERS[StaffMemberCode],MEMBERS[SchoolCodes]))&gt;0,0,1),1)</f>
        <v>0</v>
      </c>
      <c r="D7" s="57" cm="1">
        <f t="array" ref="D7">IF(_xlfn.XLOOKUP(CONT_SUP[[#This Row],[StaffRoleCode]],ROLES[StaffRoleCode],ROLES[AvailableToAllSchools],1,0,)=TRUE,0,IF(ISERROR(FIND(CONT_SUP[[#This Row],[SchoolCode]],_xlfn.TEXTJOIN(",",TRUE,_xlfn.UNIQUE(IF(ROLES[StaffRoleCode]=CONT_SUP[[#This Row],[StaffRoleCode]],ROLES[SchoolCodes],""))))),1,0))</f>
        <v>0</v>
      </c>
      <c r="E7" s="66" cm="1">
        <f t="array" ref="E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7" s="57" cm="1">
        <f t="array" ref="F7">IF(_xlfn.XLOOKUP(CONT_SUP[[#This Row],[PayScaleCode]],PAYSCALES[PayScaleCode],PAYSCALES[AvailableToAllSchools],1,0,)=TRUE,0,IF(ISERROR(FIND(CONT_SUP[[#This Row],[SchoolCode]],_xlfn.TEXTJOIN(",",TRUE,_xlfn.UNIQUE(IF(PAYSCALES[PayScaleCode]=CONT_SUP[[#This Row],[PayScaleCode]],PAYSCALES[SchoolCodes],""))))),1,0))</f>
        <v>0</v>
      </c>
      <c r="G7" s="57">
        <f>IF(_xlfn.XLOOKUP(CONT_SUP[[#This Row],[PayScaleGradeCode]],GRADES[PayScaleGradeCode],GRADES[AvailableToAllSchools])=TRUE,0,IFERROR(IF(FIND(CONT_SUP[[#This Row],[SchoolCode]],_xlfn.XLOOKUP(CONT_SUP[[#This Row],[PayScaleGradeCode]],GRADES[PayScaleGradeCode],GRADES[SchoolCodes]))&gt;=1,0,1),1))</f>
        <v>0</v>
      </c>
      <c r="H7" s="66">
        <f>IF(ISERROR(IF((_xlfn.XLOOKUP(CONT_SUP[[#This Row],[PayScaleGradeCode]],GRADES[PayScaleGradeCode],GRADES[PayScaleCode])=CONT_SUP[[#This Row],[PayScaleCode]]),0,1)),1,0)</f>
        <v>0</v>
      </c>
      <c r="I7" s="66" cm="1">
        <f t="array" ref="I7">IF(ISERROR(FIND(CONT_SUP[[#This Row],[PayScalePointCode]],_xlfn.TEXTJOIN(",",TRUE,IF(PSPOINTS[PayScaleCode]=CONT_SUP[[#This Row],[PayScaleCode]],PSPOINTS[PayScalePointCode])))),1,0)</f>
        <v>0</v>
      </c>
      <c r="J7" s="57" cm="1">
        <f t="array" ref="J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7" s="66">
        <f>IF(_xlfn.XLOOKUP(CONT_SUP[[#This Row],[PayScalePointCode]],PSPOINTS[PayScalePointCode],PSPOINTS[PayScalePointEnabled])=TRUE,0,1)</f>
        <v>0</v>
      </c>
      <c r="L7" s="57" cm="1">
        <f t="array" ref="L7">IF(_xlfn.XLOOKUP(CONT_SUP[[#This Row],[DepartmentCode]],DEPTS[DepartmentCode],DEPTS[AvailableToAllSchools],1,0,)=TRUE,0,IF(ISERROR(FIND(CONT_SUP[[#This Row],[SchoolCode]],_xlfn.TEXTJOIN(",",TRUE,_xlfn.UNIQUE(IF(DEPTS[DepartmentCode]=CONT_SUP[[#This Row],[DepartmentCode]],DEPTS[SchoolCodes],""))))),1,0))</f>
        <v>0</v>
      </c>
      <c r="M7" s="57">
        <f>IFERROR(IF(_xlfn.XLOOKUP(CONT_SUP[[#This Row],[SRG Gross]],FinanceCodesBudget[FinanceCode],FinanceCodesBudget[LedgerCode])=_xlfn.XLOOKUP(CONT_SUP[[#This Row],[DepartmentCode]],DEPTS[DepartmentCode],DEPTS[LedgerCode]),0,1),1)</f>
        <v>0</v>
      </c>
      <c r="N7" s="66" cm="1">
        <f t="array" ref="N7">IF(_xlfn.XLOOKUP(CONT_SUP[[#This Row],[PensionCode]],PENS[PensionCode],PENS[AvailableToAllSchools],1,0,)=TRUE,0,IF(ISERROR(FIND(CONT_SUP[[#This Row],[SchoolCode]],_xlfn.TEXTJOIN(",",TRUE,_xlfn.UNIQUE(IF(PENS[PensionCode]=CONT_SUP[[#This Row],[PensionCode]],PENS[SchoolCodes],""))))),1,0))</f>
        <v>0</v>
      </c>
      <c r="O7" s="66" cm="1">
        <f t="array" ref="O7">IF(_xlfn.XLOOKUP(CONT_SUP[[#This Row],[EquatedWeekPatternCode]],EQW[EquatedWeekPatternCode],EQW[AvailableToAllSchools],1,0,)=TRUE,0,IF(ISERROR(FIND(CONT_SUP[[#This Row],[SchoolCode]],_xlfn.TEXTJOIN(",",TRUE,_xlfn.UNIQUE(IF(EQW[EquatedWeekPatternCode]=CONT_SUP[[#This Row],[EquatedWeekPatternCode]],EQW[SchoolCodes],""))))),1,0))</f>
        <v>0</v>
      </c>
      <c r="P7" s="57">
        <f>1-COUNTIF(ContractTypes[Code],CONT_SUP[[#This Row],[ContractTypeCode]])</f>
        <v>0</v>
      </c>
      <c r="Q7" s="57">
        <f>IF(VLOOKUP(CONT_SUP[[#This Row],[StaffMemberCode]],MEMBERS[[StaffMemberCode]:[ServiceStartDate]],5,0)&gt;CONT_SUP[[#This Row],[DateFrom]],1,0)</f>
        <v>0</v>
      </c>
      <c r="R7" s="57">
        <f>IF(_xlfn.XLOOKUP(CONT_SUP[[#This Row],[StaffMemberCode]],MEMBERS[StaffMemberCode],MEMBERS[ServiceEndDate])="",0,IF(CONT_SUP[[#This Row],[DateTo]]="",1,IF(_xlfn.XLOOKUP(CONT_SUP[[#This Row],[StaffMemberCode]],MEMBERS[StaffMemberCode],MEMBERS[ServiceEndDate])&lt;CONT_SUP[[#This Row],[DateTo]],1,0)))</f>
        <v>0</v>
      </c>
      <c r="S7" s="57">
        <f>IF(ISBLANK(CONT_SUP[[#This Row],[DateTo]]),0,IF(CONT_SUP[[#This Row],[DateFrom]]=CONT_SUP[[#This Row],[DateTo]],0,IF(CONT_SUP[[#This Row],[DateFrom]]&lt;CONT_SUP[[#This Row],[DateTo]],0,1)))</f>
        <v>0</v>
      </c>
      <c r="T7" s="57" cm="1">
        <f t="array" aca="1" ref="T7" ca="1">IF(CELL("format",CONT_SUP[[#This Row],[DateFrom]])="D1",0,1)+IF(CELL("format",CONT_SUP[[#This Row],[DateTo]])="D1",0,1)</f>
        <v>0</v>
      </c>
      <c r="U7" s="57">
        <f>IF(OR(CONT_SUP[[#This Row],[MatEditOnly]]=TRUE,CONT_SUP[[#This Row],[MatEditOnly]]=FALSE),IF(OR(CONT_SUP[[#This Row],[NoIncrement]]=TRUE,CONT_SUP[[#This Row],[NoIncrement]]=FALSE),0,1),1)</f>
        <v>0</v>
      </c>
      <c r="V7" s="57">
        <f>IF(ISBLANK(CONT_SUP[[#This Row],[FundCode]])=TRUE,0,IF(COUNTIF(FUNDS[FundCode],CONT_SUP[[#This Row],[FundCode]])=1,0,1))</f>
        <v>0</v>
      </c>
      <c r="W7" s="57">
        <f>IF(LEN(CONT_SUP[[#This Row],[Notes]])&lt;4000,0,1)</f>
        <v>0</v>
      </c>
      <c r="X7" s="57">
        <f>IF(SUBSTITUTE(TEXT(CONT_SUP[[#This Row],[Reference]],10)," ","")=TEXT(CONT_SUP[[#This Row],[Reference]],10),0,1)</f>
        <v>0</v>
      </c>
      <c r="Y7" s="57">
        <f ca="1">SUM(CONT_SUP[[#This Row],[Duplicate Contract]:[Space in Code]])</f>
        <v>0</v>
      </c>
      <c r="AA7" s="12" t="s">
        <v>2094</v>
      </c>
      <c r="AB7" s="63">
        <v>91073476</v>
      </c>
      <c r="AC7" s="63" t="s">
        <v>4605</v>
      </c>
      <c r="AD7" s="57" t="str">
        <f>_xlfn.XLOOKUP(CONT_SUP[[#This Row],[StaffMemberCode]],StaffMembers!O:O,StaffMembers!R:R)</f>
        <v>Victoria Lockett</v>
      </c>
      <c r="AE7" s="12" t="s">
        <v>1617</v>
      </c>
      <c r="AF7" s="66">
        <f>_xlfn.XLOOKUP(CONT_SUP[[#This Row],[SRG]],SRG[StaffRoleGroupCode],SRG[GrossSalaryFinanceCode])</f>
        <v>625100</v>
      </c>
      <c r="AG7" s="57" t="str">
        <f>_xlfn.XLOOKUP(CONT_SUP[[#This Row],[StaffRoleCode]],ROLES[StaffRoleCode],ROLES[StaffRoleGroupCode])</f>
        <v>ADM</v>
      </c>
      <c r="AH7" s="57" t="str">
        <f>_xlfn.XLOOKUP(CONT_SUP[[#This Row],[StaffRoleCode]],ROLES[StaffRoleCode],ROLES[PayScaleCode])</f>
        <v>NJC_CHE</v>
      </c>
      <c r="AI7" s="12" t="s">
        <v>3123</v>
      </c>
      <c r="AJ7" s="12">
        <v>11</v>
      </c>
      <c r="AK7" s="12" t="s">
        <v>2483</v>
      </c>
      <c r="AM7" s="68" t="s">
        <v>3132</v>
      </c>
      <c r="AN7" s="12" t="s">
        <v>3135</v>
      </c>
      <c r="AO7" s="21">
        <v>45901</v>
      </c>
      <c r="AQ7" s="12">
        <v>37</v>
      </c>
      <c r="AR7" t="b">
        <v>0</v>
      </c>
      <c r="AS7" t="b">
        <v>0</v>
      </c>
      <c r="AT7" s="12" t="s">
        <v>1574</v>
      </c>
    </row>
    <row r="8" spans="1:47" x14ac:dyDescent="0.3">
      <c r="A8" s="57" t="str">
        <f t="shared" si="0"/>
        <v>PTP9107392491073924AADM_OFFSFIN45901</v>
      </c>
      <c r="B8" s="57">
        <f>COUNTIF(CONT_SUP[Unique Contract],CONT_SUP[[#This Row],[Unique Contract]])-1</f>
        <v>0</v>
      </c>
      <c r="C8" s="57">
        <f>IFERROR(IF(FIND(CONT_SUP[[#This Row],[SchoolCode]],_xlfn.XLOOKUP(CONT_SUP[[#This Row],[StaffMemberCode]],MEMBERS[StaffMemberCode],MEMBERS[SchoolCodes]))&gt;0,0,1),1)</f>
        <v>0</v>
      </c>
      <c r="D8" s="57" cm="1">
        <f t="array" ref="D8">IF(_xlfn.XLOOKUP(CONT_SUP[[#This Row],[StaffRoleCode]],ROLES[StaffRoleCode],ROLES[AvailableToAllSchools],1,0,)=TRUE,0,IF(ISERROR(FIND(CONT_SUP[[#This Row],[SchoolCode]],_xlfn.TEXTJOIN(",",TRUE,_xlfn.UNIQUE(IF(ROLES[StaffRoleCode]=CONT_SUP[[#This Row],[StaffRoleCode]],ROLES[SchoolCodes],""))))),1,0))</f>
        <v>0</v>
      </c>
      <c r="E8" s="66" cm="1">
        <f t="array" ref="E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8" s="57" cm="1">
        <f t="array" ref="F8">IF(_xlfn.XLOOKUP(CONT_SUP[[#This Row],[PayScaleCode]],PAYSCALES[PayScaleCode],PAYSCALES[AvailableToAllSchools],1,0,)=TRUE,0,IF(ISERROR(FIND(CONT_SUP[[#This Row],[SchoolCode]],_xlfn.TEXTJOIN(",",TRUE,_xlfn.UNIQUE(IF(PAYSCALES[PayScaleCode]=CONT_SUP[[#This Row],[PayScaleCode]],PAYSCALES[SchoolCodes],""))))),1,0))</f>
        <v>0</v>
      </c>
      <c r="G8" s="57">
        <f>IF(_xlfn.XLOOKUP(CONT_SUP[[#This Row],[PayScaleGradeCode]],GRADES[PayScaleGradeCode],GRADES[AvailableToAllSchools])=TRUE,0,IFERROR(IF(FIND(CONT_SUP[[#This Row],[SchoolCode]],_xlfn.XLOOKUP(CONT_SUP[[#This Row],[PayScaleGradeCode]],GRADES[PayScaleGradeCode],GRADES[SchoolCodes]))&gt;=1,0,1),1))</f>
        <v>0</v>
      </c>
      <c r="H8" s="66">
        <f>IF(ISERROR(IF((_xlfn.XLOOKUP(CONT_SUP[[#This Row],[PayScaleGradeCode]],GRADES[PayScaleGradeCode],GRADES[PayScaleCode])=CONT_SUP[[#This Row],[PayScaleCode]]),0,1)),1,0)</f>
        <v>0</v>
      </c>
      <c r="I8" s="66" cm="1">
        <f t="array" ref="I8">IF(ISERROR(FIND(CONT_SUP[[#This Row],[PayScalePointCode]],_xlfn.TEXTJOIN(",",TRUE,IF(PSPOINTS[PayScaleCode]=CONT_SUP[[#This Row],[PayScaleCode]],PSPOINTS[PayScalePointCode])))),1,0)</f>
        <v>0</v>
      </c>
      <c r="J8" s="57" cm="1">
        <f t="array" ref="J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8" s="66">
        <f>IF(_xlfn.XLOOKUP(CONT_SUP[[#This Row],[PayScalePointCode]],PSPOINTS[PayScalePointCode],PSPOINTS[PayScalePointEnabled])=TRUE,0,1)</f>
        <v>0</v>
      </c>
      <c r="L8" s="57" cm="1">
        <f t="array" ref="L8">IF(_xlfn.XLOOKUP(CONT_SUP[[#This Row],[DepartmentCode]],DEPTS[DepartmentCode],DEPTS[AvailableToAllSchools],1,0,)=TRUE,0,IF(ISERROR(FIND(CONT_SUP[[#This Row],[SchoolCode]],_xlfn.TEXTJOIN(",",TRUE,_xlfn.UNIQUE(IF(DEPTS[DepartmentCode]=CONT_SUP[[#This Row],[DepartmentCode]],DEPTS[SchoolCodes],""))))),1,0))</f>
        <v>0</v>
      </c>
      <c r="M8" s="57">
        <f>IFERROR(IF(_xlfn.XLOOKUP(CONT_SUP[[#This Row],[SRG Gross]],FinanceCodesBudget[FinanceCode],FinanceCodesBudget[LedgerCode])=_xlfn.XLOOKUP(CONT_SUP[[#This Row],[DepartmentCode]],DEPTS[DepartmentCode],DEPTS[LedgerCode]),0,1),1)</f>
        <v>0</v>
      </c>
      <c r="N8" s="66" cm="1">
        <f t="array" ref="N8">IF(_xlfn.XLOOKUP(CONT_SUP[[#This Row],[PensionCode]],PENS[PensionCode],PENS[AvailableToAllSchools],1,0,)=TRUE,0,IF(ISERROR(FIND(CONT_SUP[[#This Row],[SchoolCode]],_xlfn.TEXTJOIN(",",TRUE,_xlfn.UNIQUE(IF(PENS[PensionCode]=CONT_SUP[[#This Row],[PensionCode]],PENS[SchoolCodes],""))))),1,0))</f>
        <v>0</v>
      </c>
      <c r="O8" s="66" cm="1">
        <f t="array" ref="O8">IF(_xlfn.XLOOKUP(CONT_SUP[[#This Row],[EquatedWeekPatternCode]],EQW[EquatedWeekPatternCode],EQW[AvailableToAllSchools],1,0,)=TRUE,0,IF(ISERROR(FIND(CONT_SUP[[#This Row],[SchoolCode]],_xlfn.TEXTJOIN(",",TRUE,_xlfn.UNIQUE(IF(EQW[EquatedWeekPatternCode]=CONT_SUP[[#This Row],[EquatedWeekPatternCode]],EQW[SchoolCodes],""))))),1,0))</f>
        <v>0</v>
      </c>
      <c r="P8" s="57">
        <f>1-COUNTIF(ContractTypes[Code],CONT_SUP[[#This Row],[ContractTypeCode]])</f>
        <v>0</v>
      </c>
      <c r="Q8" s="57">
        <f>IF(VLOOKUP(CONT_SUP[[#This Row],[StaffMemberCode]],MEMBERS[[StaffMemberCode]:[ServiceStartDate]],5,0)&gt;CONT_SUP[[#This Row],[DateFrom]],1,0)</f>
        <v>0</v>
      </c>
      <c r="R8" s="57">
        <f>IF(_xlfn.XLOOKUP(CONT_SUP[[#This Row],[StaffMemberCode]],MEMBERS[StaffMemberCode],MEMBERS[ServiceEndDate])="",0,IF(CONT_SUP[[#This Row],[DateTo]]="",1,IF(_xlfn.XLOOKUP(CONT_SUP[[#This Row],[StaffMemberCode]],MEMBERS[StaffMemberCode],MEMBERS[ServiceEndDate])&lt;CONT_SUP[[#This Row],[DateTo]],1,0)))</f>
        <v>0</v>
      </c>
      <c r="S8" s="57">
        <f>IF(ISBLANK(CONT_SUP[[#This Row],[DateTo]]),0,IF(CONT_SUP[[#This Row],[DateFrom]]=CONT_SUP[[#This Row],[DateTo]],0,IF(CONT_SUP[[#This Row],[DateFrom]]&lt;CONT_SUP[[#This Row],[DateTo]],0,1)))</f>
        <v>0</v>
      </c>
      <c r="T8" s="57" cm="1">
        <f t="array" aca="1" ref="T8" ca="1">IF(CELL("format",CONT_SUP[[#This Row],[DateFrom]])="D1",0,1)+IF(CELL("format",CONT_SUP[[#This Row],[DateTo]])="D1",0,1)</f>
        <v>0</v>
      </c>
      <c r="U8" s="57">
        <f>IF(OR(CONT_SUP[[#This Row],[MatEditOnly]]=TRUE,CONT_SUP[[#This Row],[MatEditOnly]]=FALSE),IF(OR(CONT_SUP[[#This Row],[NoIncrement]]=TRUE,CONT_SUP[[#This Row],[NoIncrement]]=FALSE),0,1),1)</f>
        <v>0</v>
      </c>
      <c r="V8" s="57">
        <f>IF(ISBLANK(CONT_SUP[[#This Row],[FundCode]])=TRUE,0,IF(COUNTIF(FUNDS[FundCode],CONT_SUP[[#This Row],[FundCode]])=1,0,1))</f>
        <v>0</v>
      </c>
      <c r="W8" s="57">
        <f>IF(LEN(CONT_SUP[[#This Row],[Notes]])&lt;4000,0,1)</f>
        <v>0</v>
      </c>
      <c r="X8" s="57">
        <f>IF(SUBSTITUTE(TEXT(CONT_SUP[[#This Row],[Reference]],10)," ","")=TEXT(CONT_SUP[[#This Row],[Reference]],10),0,1)</f>
        <v>0</v>
      </c>
      <c r="Y8" s="57">
        <f ca="1">SUM(CONT_SUP[[#This Row],[Duplicate Contract]:[Space in Code]])</f>
        <v>0</v>
      </c>
      <c r="AA8" s="12" t="s">
        <v>2299</v>
      </c>
      <c r="AB8" s="63">
        <v>91073924</v>
      </c>
      <c r="AC8" s="63" t="s">
        <v>4606</v>
      </c>
      <c r="AD8" s="57" t="str">
        <f>_xlfn.XLOOKUP(CONT_SUP[[#This Row],[StaffMemberCode]],StaffMembers!O:O,StaffMembers!R:R)</f>
        <v>Jane Nixon</v>
      </c>
      <c r="AE8" s="12" t="s">
        <v>4214</v>
      </c>
      <c r="AF8" s="66">
        <f>_xlfn.XLOOKUP(CONT_SUP[[#This Row],[SRG]],SRG[StaffRoleGroupCode],SRG[GrossSalaryFinanceCode])</f>
        <v>625100</v>
      </c>
      <c r="AG8" s="57" t="str">
        <f>_xlfn.XLOOKUP(CONT_SUP[[#This Row],[StaffRoleCode]],ROLES[StaffRoleCode],ROLES[StaffRoleGroupCode])</f>
        <v>ADM</v>
      </c>
      <c r="AH8" s="57" t="str">
        <f>_xlfn.XLOOKUP(CONT_SUP[[#This Row],[StaffRoleCode]],ROLES[StaffRoleCode],ROLES[PayScaleCode])</f>
        <v>NJC_CHE</v>
      </c>
      <c r="AI8" s="12" t="s">
        <v>3124</v>
      </c>
      <c r="AJ8" s="12">
        <v>17</v>
      </c>
      <c r="AK8" s="12" t="s">
        <v>2483</v>
      </c>
      <c r="AM8" s="68" t="s">
        <v>3132</v>
      </c>
      <c r="AN8" s="12" t="s">
        <v>3137</v>
      </c>
      <c r="AO8" s="21">
        <v>45901</v>
      </c>
      <c r="AQ8" s="12">
        <v>29</v>
      </c>
      <c r="AR8" t="b">
        <v>0</v>
      </c>
      <c r="AS8" t="b">
        <v>0</v>
      </c>
      <c r="AT8" s="12" t="s">
        <v>1574</v>
      </c>
    </row>
    <row r="9" spans="1:47" x14ac:dyDescent="0.3">
      <c r="A9" s="57" t="str">
        <f t="shared" si="0"/>
        <v>ALS9107379391073793AADMSFIN45901</v>
      </c>
      <c r="B9" s="57">
        <f>COUNTIF(CONT_SUP[Unique Contract],CONT_SUP[[#This Row],[Unique Contract]])-1</f>
        <v>0</v>
      </c>
      <c r="C9" s="57">
        <f>IFERROR(IF(FIND(CONT_SUP[[#This Row],[SchoolCode]],_xlfn.XLOOKUP(CONT_SUP[[#This Row],[StaffMemberCode]],MEMBERS[StaffMemberCode],MEMBERS[SchoolCodes]))&gt;0,0,1),1)</f>
        <v>0</v>
      </c>
      <c r="D9" s="57" cm="1">
        <f t="array" ref="D9">IF(_xlfn.XLOOKUP(CONT_SUP[[#This Row],[StaffRoleCode]],ROLES[StaffRoleCode],ROLES[AvailableToAllSchools],1,0,)=TRUE,0,IF(ISERROR(FIND(CONT_SUP[[#This Row],[SchoolCode]],_xlfn.TEXTJOIN(",",TRUE,_xlfn.UNIQUE(IF(ROLES[StaffRoleCode]=CONT_SUP[[#This Row],[StaffRoleCode]],ROLES[SchoolCodes],""))))),1,0))</f>
        <v>0</v>
      </c>
      <c r="E9" s="66" cm="1">
        <f t="array" ref="E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9" s="57" cm="1">
        <f t="array" ref="F9">IF(_xlfn.XLOOKUP(CONT_SUP[[#This Row],[PayScaleCode]],PAYSCALES[PayScaleCode],PAYSCALES[AvailableToAllSchools],1,0,)=TRUE,0,IF(ISERROR(FIND(CONT_SUP[[#This Row],[SchoolCode]],_xlfn.TEXTJOIN(",",TRUE,_xlfn.UNIQUE(IF(PAYSCALES[PayScaleCode]=CONT_SUP[[#This Row],[PayScaleCode]],PAYSCALES[SchoolCodes],""))))),1,0))</f>
        <v>0</v>
      </c>
      <c r="G9" s="57">
        <f>IF(_xlfn.XLOOKUP(CONT_SUP[[#This Row],[PayScaleGradeCode]],GRADES[PayScaleGradeCode],GRADES[AvailableToAllSchools])=TRUE,0,IFERROR(IF(FIND(CONT_SUP[[#This Row],[SchoolCode]],_xlfn.XLOOKUP(CONT_SUP[[#This Row],[PayScaleGradeCode]],GRADES[PayScaleGradeCode],GRADES[SchoolCodes]))&gt;=1,0,1),1))</f>
        <v>0</v>
      </c>
      <c r="H9" s="66">
        <f>IF(ISERROR(IF((_xlfn.XLOOKUP(CONT_SUP[[#This Row],[PayScaleGradeCode]],GRADES[PayScaleGradeCode],GRADES[PayScaleCode])=CONT_SUP[[#This Row],[PayScaleCode]]),0,1)),1,0)</f>
        <v>0</v>
      </c>
      <c r="I9" s="66" cm="1">
        <f t="array" ref="I9">IF(ISERROR(FIND(CONT_SUP[[#This Row],[PayScalePointCode]],_xlfn.TEXTJOIN(",",TRUE,IF(PSPOINTS[PayScaleCode]=CONT_SUP[[#This Row],[PayScaleCode]],PSPOINTS[PayScalePointCode])))),1,0)</f>
        <v>0</v>
      </c>
      <c r="J9" s="57" cm="1">
        <f t="array" ref="J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9" s="66">
        <f>IF(_xlfn.XLOOKUP(CONT_SUP[[#This Row],[PayScalePointCode]],PSPOINTS[PayScalePointCode],PSPOINTS[PayScalePointEnabled])=TRUE,0,1)</f>
        <v>0</v>
      </c>
      <c r="L9" s="57" cm="1">
        <f t="array" ref="L9">IF(_xlfn.XLOOKUP(CONT_SUP[[#This Row],[DepartmentCode]],DEPTS[DepartmentCode],DEPTS[AvailableToAllSchools],1,0,)=TRUE,0,IF(ISERROR(FIND(CONT_SUP[[#This Row],[SchoolCode]],_xlfn.TEXTJOIN(",",TRUE,_xlfn.UNIQUE(IF(DEPTS[DepartmentCode]=CONT_SUP[[#This Row],[DepartmentCode]],DEPTS[SchoolCodes],""))))),1,0))</f>
        <v>0</v>
      </c>
      <c r="M9" s="57">
        <f>IFERROR(IF(_xlfn.XLOOKUP(CONT_SUP[[#This Row],[SRG Gross]],FinanceCodesBudget[FinanceCode],FinanceCodesBudget[LedgerCode])=_xlfn.XLOOKUP(CONT_SUP[[#This Row],[DepartmentCode]],DEPTS[DepartmentCode],DEPTS[LedgerCode]),0,1),1)</f>
        <v>0</v>
      </c>
      <c r="N9" s="66" cm="1">
        <f t="array" ref="N9">IF(_xlfn.XLOOKUP(CONT_SUP[[#This Row],[PensionCode]],PENS[PensionCode],PENS[AvailableToAllSchools],1,0,)=TRUE,0,IF(ISERROR(FIND(CONT_SUP[[#This Row],[SchoolCode]],_xlfn.TEXTJOIN(",",TRUE,_xlfn.UNIQUE(IF(PENS[PensionCode]=CONT_SUP[[#This Row],[PensionCode]],PENS[SchoolCodes],""))))),1,0))</f>
        <v>0</v>
      </c>
      <c r="O9" s="66" cm="1">
        <f t="array" ref="O9">IF(_xlfn.XLOOKUP(CONT_SUP[[#This Row],[EquatedWeekPatternCode]],EQW[EquatedWeekPatternCode],EQW[AvailableToAllSchools],1,0,)=TRUE,0,IF(ISERROR(FIND(CONT_SUP[[#This Row],[SchoolCode]],_xlfn.TEXTJOIN(",",TRUE,_xlfn.UNIQUE(IF(EQW[EquatedWeekPatternCode]=CONT_SUP[[#This Row],[EquatedWeekPatternCode]],EQW[SchoolCodes],""))))),1,0))</f>
        <v>0</v>
      </c>
      <c r="P9" s="57">
        <f>1-COUNTIF(ContractTypes[Code],CONT_SUP[[#This Row],[ContractTypeCode]])</f>
        <v>0</v>
      </c>
      <c r="Q9" s="57">
        <f>IF(VLOOKUP(CONT_SUP[[#This Row],[StaffMemberCode]],MEMBERS[[StaffMemberCode]:[ServiceStartDate]],5,0)&gt;CONT_SUP[[#This Row],[DateFrom]],1,0)</f>
        <v>0</v>
      </c>
      <c r="R9" s="57">
        <f>IF(_xlfn.XLOOKUP(CONT_SUP[[#This Row],[StaffMemberCode]],MEMBERS[StaffMemberCode],MEMBERS[ServiceEndDate])="",0,IF(CONT_SUP[[#This Row],[DateTo]]="",1,IF(_xlfn.XLOOKUP(CONT_SUP[[#This Row],[StaffMemberCode]],MEMBERS[StaffMemberCode],MEMBERS[ServiceEndDate])&lt;CONT_SUP[[#This Row],[DateTo]],1,0)))</f>
        <v>0</v>
      </c>
      <c r="S9" s="57">
        <f>IF(ISBLANK(CONT_SUP[[#This Row],[DateTo]]),0,IF(CONT_SUP[[#This Row],[DateFrom]]=CONT_SUP[[#This Row],[DateTo]],0,IF(CONT_SUP[[#This Row],[DateFrom]]&lt;CONT_SUP[[#This Row],[DateTo]],0,1)))</f>
        <v>0</v>
      </c>
      <c r="T9" s="57" cm="1">
        <f t="array" aca="1" ref="T9" ca="1">IF(CELL("format",CONT_SUP[[#This Row],[DateFrom]])="D1",0,1)+IF(CELL("format",CONT_SUP[[#This Row],[DateTo]])="D1",0,1)</f>
        <v>0</v>
      </c>
      <c r="U9" s="57">
        <f>IF(OR(CONT_SUP[[#This Row],[MatEditOnly]]=TRUE,CONT_SUP[[#This Row],[MatEditOnly]]=FALSE),IF(OR(CONT_SUP[[#This Row],[NoIncrement]]=TRUE,CONT_SUP[[#This Row],[NoIncrement]]=FALSE),0,1),1)</f>
        <v>0</v>
      </c>
      <c r="V9" s="57">
        <f>IF(ISBLANK(CONT_SUP[[#This Row],[FundCode]])=TRUE,0,IF(COUNTIF(FUNDS[FundCode],CONT_SUP[[#This Row],[FundCode]])=1,0,1))</f>
        <v>0</v>
      </c>
      <c r="W9" s="57">
        <f>IF(LEN(CONT_SUP[[#This Row],[Notes]])&lt;4000,0,1)</f>
        <v>0</v>
      </c>
      <c r="X9" s="57">
        <f>IF(SUBSTITUTE(TEXT(CONT_SUP[[#This Row],[Reference]],10)," ","")=TEXT(CONT_SUP[[#This Row],[Reference]],10),0,1)</f>
        <v>0</v>
      </c>
      <c r="Y9" s="57">
        <f ca="1">SUM(CONT_SUP[[#This Row],[Duplicate Contract]:[Space in Code]])</f>
        <v>0</v>
      </c>
      <c r="AA9" s="12" t="s">
        <v>2082</v>
      </c>
      <c r="AB9" s="63">
        <v>91073793</v>
      </c>
      <c r="AC9" s="63" t="s">
        <v>4607</v>
      </c>
      <c r="AD9" s="57" t="str">
        <f>_xlfn.XLOOKUP(CONT_SUP[[#This Row],[StaffMemberCode]],StaffMembers!O:O,StaffMembers!R:R)</f>
        <v>Rachael Butler</v>
      </c>
      <c r="AE9" s="12" t="s">
        <v>1186</v>
      </c>
      <c r="AF9" s="66">
        <f>_xlfn.XLOOKUP(CONT_SUP[[#This Row],[SRG]],SRG[StaffRoleGroupCode],SRG[GrossSalaryFinanceCode])</f>
        <v>625100</v>
      </c>
      <c r="AG9" s="57" t="str">
        <f>_xlfn.XLOOKUP(CONT_SUP[[#This Row],[StaffRoleCode]],ROLES[StaffRoleCode],ROLES[StaffRoleGroupCode])</f>
        <v>ADM</v>
      </c>
      <c r="AH9" s="57" t="str">
        <f>_xlfn.XLOOKUP(CONT_SUP[[#This Row],[StaffRoleCode]],ROLES[StaffRoleCode],ROLES[PayScaleCode])</f>
        <v>NJC_CHE</v>
      </c>
      <c r="AI9" s="12" t="s">
        <v>3121</v>
      </c>
      <c r="AJ9" s="12">
        <v>4</v>
      </c>
      <c r="AK9" s="12" t="s">
        <v>2483</v>
      </c>
      <c r="AM9" s="68" t="s">
        <v>3132</v>
      </c>
      <c r="AN9" s="12" t="s">
        <v>3134</v>
      </c>
      <c r="AO9" s="21">
        <v>45901</v>
      </c>
      <c r="AQ9" s="12">
        <v>37</v>
      </c>
      <c r="AR9" t="b">
        <v>0</v>
      </c>
      <c r="AS9" t="b">
        <v>0</v>
      </c>
      <c r="AT9" s="12" t="s">
        <v>1574</v>
      </c>
    </row>
    <row r="10" spans="1:47" x14ac:dyDescent="0.3">
      <c r="A10" s="57" t="str">
        <f t="shared" si="0"/>
        <v>BLS9107357891073578AATT_OFFSFIN45901</v>
      </c>
      <c r="B10" s="57">
        <f>COUNTIF(CONT_SUP[Unique Contract],CONT_SUP[[#This Row],[Unique Contract]])-1</f>
        <v>0</v>
      </c>
      <c r="C10" s="57">
        <f>IFERROR(IF(FIND(CONT_SUP[[#This Row],[SchoolCode]],_xlfn.XLOOKUP(CONT_SUP[[#This Row],[StaffMemberCode]],MEMBERS[StaffMemberCode],MEMBERS[SchoolCodes]))&gt;0,0,1),1)</f>
        <v>0</v>
      </c>
      <c r="D10" s="57" cm="1">
        <f t="array" ref="D10">IF(_xlfn.XLOOKUP(CONT_SUP[[#This Row],[StaffRoleCode]],ROLES[StaffRoleCode],ROLES[AvailableToAllSchools],1,0,)=TRUE,0,IF(ISERROR(FIND(CONT_SUP[[#This Row],[SchoolCode]],_xlfn.TEXTJOIN(",",TRUE,_xlfn.UNIQUE(IF(ROLES[StaffRoleCode]=CONT_SUP[[#This Row],[StaffRoleCode]],ROLES[SchoolCodes],""))))),1,0))</f>
        <v>0</v>
      </c>
      <c r="E10" s="66" cm="1">
        <f t="array" ref="E1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0" s="57" cm="1">
        <f t="array" ref="F10">IF(_xlfn.XLOOKUP(CONT_SUP[[#This Row],[PayScaleCode]],PAYSCALES[PayScaleCode],PAYSCALES[AvailableToAllSchools],1,0,)=TRUE,0,IF(ISERROR(FIND(CONT_SUP[[#This Row],[SchoolCode]],_xlfn.TEXTJOIN(",",TRUE,_xlfn.UNIQUE(IF(PAYSCALES[PayScaleCode]=CONT_SUP[[#This Row],[PayScaleCode]],PAYSCALES[SchoolCodes],""))))),1,0))</f>
        <v>0</v>
      </c>
      <c r="G10" s="57">
        <f>IF(_xlfn.XLOOKUP(CONT_SUP[[#This Row],[PayScaleGradeCode]],GRADES[PayScaleGradeCode],GRADES[AvailableToAllSchools])=TRUE,0,IFERROR(IF(FIND(CONT_SUP[[#This Row],[SchoolCode]],_xlfn.XLOOKUP(CONT_SUP[[#This Row],[PayScaleGradeCode]],GRADES[PayScaleGradeCode],GRADES[SchoolCodes]))&gt;=1,0,1),1))</f>
        <v>0</v>
      </c>
      <c r="H10" s="66">
        <f>IF(ISERROR(IF((_xlfn.XLOOKUP(CONT_SUP[[#This Row],[PayScaleGradeCode]],GRADES[PayScaleGradeCode],GRADES[PayScaleCode])=CONT_SUP[[#This Row],[PayScaleCode]]),0,1)),1,0)</f>
        <v>0</v>
      </c>
      <c r="I10" s="66" cm="1">
        <f t="array" ref="I10">IF(ISERROR(FIND(CONT_SUP[[#This Row],[PayScalePointCode]],_xlfn.TEXTJOIN(",",TRUE,IF(PSPOINTS[PayScaleCode]=CONT_SUP[[#This Row],[PayScaleCode]],PSPOINTS[PayScalePointCode])))),1,0)</f>
        <v>0</v>
      </c>
      <c r="J10" s="57" cm="1">
        <f t="array" ref="J1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0" s="66">
        <f>IF(_xlfn.XLOOKUP(CONT_SUP[[#This Row],[PayScalePointCode]],PSPOINTS[PayScalePointCode],PSPOINTS[PayScalePointEnabled])=TRUE,0,1)</f>
        <v>0</v>
      </c>
      <c r="L10" s="57" cm="1">
        <f t="array" ref="L10">IF(_xlfn.XLOOKUP(CONT_SUP[[#This Row],[DepartmentCode]],DEPTS[DepartmentCode],DEPTS[AvailableToAllSchools],1,0,)=TRUE,0,IF(ISERROR(FIND(CONT_SUP[[#This Row],[SchoolCode]],_xlfn.TEXTJOIN(",",TRUE,_xlfn.UNIQUE(IF(DEPTS[DepartmentCode]=CONT_SUP[[#This Row],[DepartmentCode]],DEPTS[SchoolCodes],""))))),1,0))</f>
        <v>0</v>
      </c>
      <c r="M10" s="57">
        <f>IFERROR(IF(_xlfn.XLOOKUP(CONT_SUP[[#This Row],[SRG Gross]],FinanceCodesBudget[FinanceCode],FinanceCodesBudget[LedgerCode])=_xlfn.XLOOKUP(CONT_SUP[[#This Row],[DepartmentCode]],DEPTS[DepartmentCode],DEPTS[LedgerCode]),0,1),1)</f>
        <v>0</v>
      </c>
      <c r="N10" s="66" cm="1">
        <f t="array" ref="N10">IF(_xlfn.XLOOKUP(CONT_SUP[[#This Row],[PensionCode]],PENS[PensionCode],PENS[AvailableToAllSchools],1,0,)=TRUE,0,IF(ISERROR(FIND(CONT_SUP[[#This Row],[SchoolCode]],_xlfn.TEXTJOIN(",",TRUE,_xlfn.UNIQUE(IF(PENS[PensionCode]=CONT_SUP[[#This Row],[PensionCode]],PENS[SchoolCodes],""))))),1,0))</f>
        <v>0</v>
      </c>
      <c r="O10" s="66" cm="1">
        <f t="array" ref="O10">IF(_xlfn.XLOOKUP(CONT_SUP[[#This Row],[EquatedWeekPatternCode]],EQW[EquatedWeekPatternCode],EQW[AvailableToAllSchools],1,0,)=TRUE,0,IF(ISERROR(FIND(CONT_SUP[[#This Row],[SchoolCode]],_xlfn.TEXTJOIN(",",TRUE,_xlfn.UNIQUE(IF(EQW[EquatedWeekPatternCode]=CONT_SUP[[#This Row],[EquatedWeekPatternCode]],EQW[SchoolCodes],""))))),1,0))</f>
        <v>0</v>
      </c>
      <c r="P10" s="57">
        <f>1-COUNTIF(ContractTypes[Code],CONT_SUP[[#This Row],[ContractTypeCode]])</f>
        <v>0</v>
      </c>
      <c r="Q10" s="57">
        <f>IF(VLOOKUP(CONT_SUP[[#This Row],[StaffMemberCode]],MEMBERS[[StaffMemberCode]:[ServiceStartDate]],5,0)&gt;CONT_SUP[[#This Row],[DateFrom]],1,0)</f>
        <v>0</v>
      </c>
      <c r="R10" s="57">
        <f>IF(_xlfn.XLOOKUP(CONT_SUP[[#This Row],[StaffMemberCode]],MEMBERS[StaffMemberCode],MEMBERS[ServiceEndDate])="",0,IF(CONT_SUP[[#This Row],[DateTo]]="",1,IF(_xlfn.XLOOKUP(CONT_SUP[[#This Row],[StaffMemberCode]],MEMBERS[StaffMemberCode],MEMBERS[ServiceEndDate])&lt;CONT_SUP[[#This Row],[DateTo]],1,0)))</f>
        <v>0</v>
      </c>
      <c r="S10" s="57">
        <f>IF(ISBLANK(CONT_SUP[[#This Row],[DateTo]]),0,IF(CONT_SUP[[#This Row],[DateFrom]]=CONT_SUP[[#This Row],[DateTo]],0,IF(CONT_SUP[[#This Row],[DateFrom]]&lt;CONT_SUP[[#This Row],[DateTo]],0,1)))</f>
        <v>0</v>
      </c>
      <c r="T10" s="57" cm="1">
        <f t="array" aca="1" ref="T10" ca="1">IF(CELL("format",CONT_SUP[[#This Row],[DateFrom]])="D1",0,1)+IF(CELL("format",CONT_SUP[[#This Row],[DateTo]])="D1",0,1)</f>
        <v>0</v>
      </c>
      <c r="U10" s="57">
        <f>IF(OR(CONT_SUP[[#This Row],[MatEditOnly]]=TRUE,CONT_SUP[[#This Row],[MatEditOnly]]=FALSE),IF(OR(CONT_SUP[[#This Row],[NoIncrement]]=TRUE,CONT_SUP[[#This Row],[NoIncrement]]=FALSE),0,1),1)</f>
        <v>0</v>
      </c>
      <c r="V10" s="57">
        <f>IF(ISBLANK(CONT_SUP[[#This Row],[FundCode]])=TRUE,0,IF(COUNTIF(FUNDS[FundCode],CONT_SUP[[#This Row],[FundCode]])=1,0,1))</f>
        <v>0</v>
      </c>
      <c r="W10" s="57">
        <f>IF(LEN(CONT_SUP[[#This Row],[Notes]])&lt;4000,0,1)</f>
        <v>0</v>
      </c>
      <c r="X10" s="57">
        <f>IF(SUBSTITUTE(TEXT(CONT_SUP[[#This Row],[Reference]],10)," ","")=TEXT(CONT_SUP[[#This Row],[Reference]],10),0,1)</f>
        <v>0</v>
      </c>
      <c r="Y10" s="57">
        <f ca="1">SUM(CONT_SUP[[#This Row],[Duplicate Contract]:[Space in Code]])</f>
        <v>0</v>
      </c>
      <c r="AA10" s="12" t="s">
        <v>2094</v>
      </c>
      <c r="AB10" s="63">
        <v>91073578</v>
      </c>
      <c r="AC10" s="63" t="s">
        <v>4608</v>
      </c>
      <c r="AD10" s="57" t="str">
        <f>_xlfn.XLOOKUP(CONT_SUP[[#This Row],[StaffMemberCode]],StaffMembers!O:O,StaffMembers!R:R)</f>
        <v>Anika Allen</v>
      </c>
      <c r="AE10" s="12" t="s">
        <v>4219</v>
      </c>
      <c r="AF10" s="66">
        <f>_xlfn.XLOOKUP(CONT_SUP[[#This Row],[SRG]],SRG[StaffRoleGroupCode],SRG[GrossSalaryFinanceCode])</f>
        <v>625100</v>
      </c>
      <c r="AG10" s="57" t="str">
        <f>_xlfn.XLOOKUP(CONT_SUP[[#This Row],[StaffRoleCode]],ROLES[StaffRoleCode],ROLES[StaffRoleGroupCode])</f>
        <v>ADM</v>
      </c>
      <c r="AH10" s="57" t="str">
        <f>_xlfn.XLOOKUP(CONT_SUP[[#This Row],[StaffRoleCode]],ROLES[StaffRoleCode],ROLES[PayScaleCode])</f>
        <v>NJC_CHE</v>
      </c>
      <c r="AI10" s="12" t="s">
        <v>3123</v>
      </c>
      <c r="AJ10" s="12">
        <v>9</v>
      </c>
      <c r="AK10" s="12" t="s">
        <v>2483</v>
      </c>
      <c r="AM10" s="68" t="s">
        <v>3132</v>
      </c>
      <c r="AN10" s="12" t="s">
        <v>3137</v>
      </c>
      <c r="AO10" s="21">
        <v>45901</v>
      </c>
      <c r="AQ10" s="12">
        <v>37</v>
      </c>
      <c r="AR10" t="b">
        <v>0</v>
      </c>
      <c r="AS10" t="b">
        <v>0</v>
      </c>
      <c r="AT10" s="12" t="s">
        <v>1574</v>
      </c>
    </row>
    <row r="11" spans="1:47" x14ac:dyDescent="0.3">
      <c r="A11" s="57" t="str">
        <f t="shared" si="0"/>
        <v>HIG9107388091073880ABURSFIN45901</v>
      </c>
      <c r="B11" s="57">
        <f>COUNTIF(CONT_SUP[Unique Contract],CONT_SUP[[#This Row],[Unique Contract]])-1</f>
        <v>0</v>
      </c>
      <c r="C11" s="57">
        <f>IFERROR(IF(FIND(CONT_SUP[[#This Row],[SchoolCode]],_xlfn.XLOOKUP(CONT_SUP[[#This Row],[StaffMemberCode]],MEMBERS[StaffMemberCode],MEMBERS[SchoolCodes]))&gt;0,0,1),1)</f>
        <v>0</v>
      </c>
      <c r="D11" s="57" cm="1">
        <f t="array" ref="D11">IF(_xlfn.XLOOKUP(CONT_SUP[[#This Row],[StaffRoleCode]],ROLES[StaffRoleCode],ROLES[AvailableToAllSchools],1,0,)=TRUE,0,IF(ISERROR(FIND(CONT_SUP[[#This Row],[SchoolCode]],_xlfn.TEXTJOIN(",",TRUE,_xlfn.UNIQUE(IF(ROLES[StaffRoleCode]=CONT_SUP[[#This Row],[StaffRoleCode]],ROLES[SchoolCodes],""))))),1,0))</f>
        <v>0</v>
      </c>
      <c r="E11" s="66" cm="1">
        <f t="array" ref="E1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1" s="57" cm="1">
        <f t="array" ref="F11">IF(_xlfn.XLOOKUP(CONT_SUP[[#This Row],[PayScaleCode]],PAYSCALES[PayScaleCode],PAYSCALES[AvailableToAllSchools],1,0,)=TRUE,0,IF(ISERROR(FIND(CONT_SUP[[#This Row],[SchoolCode]],_xlfn.TEXTJOIN(",",TRUE,_xlfn.UNIQUE(IF(PAYSCALES[PayScaleCode]=CONT_SUP[[#This Row],[PayScaleCode]],PAYSCALES[SchoolCodes],""))))),1,0))</f>
        <v>0</v>
      </c>
      <c r="G11" s="57">
        <f>IF(_xlfn.XLOOKUP(CONT_SUP[[#This Row],[PayScaleGradeCode]],GRADES[PayScaleGradeCode],GRADES[AvailableToAllSchools])=TRUE,0,IFERROR(IF(FIND(CONT_SUP[[#This Row],[SchoolCode]],_xlfn.XLOOKUP(CONT_SUP[[#This Row],[PayScaleGradeCode]],GRADES[PayScaleGradeCode],GRADES[SchoolCodes]))&gt;=1,0,1),1))</f>
        <v>0</v>
      </c>
      <c r="H11" s="66">
        <f>IF(ISERROR(IF((_xlfn.XLOOKUP(CONT_SUP[[#This Row],[PayScaleGradeCode]],GRADES[PayScaleGradeCode],GRADES[PayScaleCode])=CONT_SUP[[#This Row],[PayScaleCode]]),0,1)),1,0)</f>
        <v>0</v>
      </c>
      <c r="I11" s="66" cm="1">
        <f t="array" ref="I11">IF(ISERROR(FIND(CONT_SUP[[#This Row],[PayScalePointCode]],_xlfn.TEXTJOIN(",",TRUE,IF(PSPOINTS[PayScaleCode]=CONT_SUP[[#This Row],[PayScaleCode]],PSPOINTS[PayScalePointCode])))),1,0)</f>
        <v>0</v>
      </c>
      <c r="J11" s="57" cm="1">
        <f t="array" ref="J1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1" s="66">
        <f>IF(_xlfn.XLOOKUP(CONT_SUP[[#This Row],[PayScalePointCode]],PSPOINTS[PayScalePointCode],PSPOINTS[PayScalePointEnabled])=TRUE,0,1)</f>
        <v>0</v>
      </c>
      <c r="L11" s="57" cm="1">
        <f t="array" ref="L11">IF(_xlfn.XLOOKUP(CONT_SUP[[#This Row],[DepartmentCode]],DEPTS[DepartmentCode],DEPTS[AvailableToAllSchools],1,0,)=TRUE,0,IF(ISERROR(FIND(CONT_SUP[[#This Row],[SchoolCode]],_xlfn.TEXTJOIN(",",TRUE,_xlfn.UNIQUE(IF(DEPTS[DepartmentCode]=CONT_SUP[[#This Row],[DepartmentCode]],DEPTS[SchoolCodes],""))))),1,0))</f>
        <v>0</v>
      </c>
      <c r="M11" s="57">
        <f>IFERROR(IF(_xlfn.XLOOKUP(CONT_SUP[[#This Row],[SRG Gross]],FinanceCodesBudget[FinanceCode],FinanceCodesBudget[LedgerCode])=_xlfn.XLOOKUP(CONT_SUP[[#This Row],[DepartmentCode]],DEPTS[DepartmentCode],DEPTS[LedgerCode]),0,1),1)</f>
        <v>0</v>
      </c>
      <c r="N11" s="66" cm="1">
        <f t="array" ref="N11">IF(_xlfn.XLOOKUP(CONT_SUP[[#This Row],[PensionCode]],PENS[PensionCode],PENS[AvailableToAllSchools],1,0,)=TRUE,0,IF(ISERROR(FIND(CONT_SUP[[#This Row],[SchoolCode]],_xlfn.TEXTJOIN(",",TRUE,_xlfn.UNIQUE(IF(PENS[PensionCode]=CONT_SUP[[#This Row],[PensionCode]],PENS[SchoolCodes],""))))),1,0))</f>
        <v>0</v>
      </c>
      <c r="O11" s="66" cm="1">
        <f t="array" ref="O11">IF(_xlfn.XLOOKUP(CONT_SUP[[#This Row],[EquatedWeekPatternCode]],EQW[EquatedWeekPatternCode],EQW[AvailableToAllSchools],1,0,)=TRUE,0,IF(ISERROR(FIND(CONT_SUP[[#This Row],[SchoolCode]],_xlfn.TEXTJOIN(",",TRUE,_xlfn.UNIQUE(IF(EQW[EquatedWeekPatternCode]=CONT_SUP[[#This Row],[EquatedWeekPatternCode]],EQW[SchoolCodes],""))))),1,0))</f>
        <v>0</v>
      </c>
      <c r="P11" s="57">
        <f>1-COUNTIF(ContractTypes[Code],CONT_SUP[[#This Row],[ContractTypeCode]])</f>
        <v>0</v>
      </c>
      <c r="Q11" s="57">
        <f>IF(VLOOKUP(CONT_SUP[[#This Row],[StaffMemberCode]],MEMBERS[[StaffMemberCode]:[ServiceStartDate]],5,0)&gt;CONT_SUP[[#This Row],[DateFrom]],1,0)</f>
        <v>0</v>
      </c>
      <c r="R11" s="57">
        <f>IF(_xlfn.XLOOKUP(CONT_SUP[[#This Row],[StaffMemberCode]],MEMBERS[StaffMemberCode],MEMBERS[ServiceEndDate])="",0,IF(CONT_SUP[[#This Row],[DateTo]]="",1,IF(_xlfn.XLOOKUP(CONT_SUP[[#This Row],[StaffMemberCode]],MEMBERS[StaffMemberCode],MEMBERS[ServiceEndDate])&lt;CONT_SUP[[#This Row],[DateTo]],1,0)))</f>
        <v>0</v>
      </c>
      <c r="S11" s="57">
        <f>IF(ISBLANK(CONT_SUP[[#This Row],[DateTo]]),0,IF(CONT_SUP[[#This Row],[DateFrom]]=CONT_SUP[[#This Row],[DateTo]],0,IF(CONT_SUP[[#This Row],[DateFrom]]&lt;CONT_SUP[[#This Row],[DateTo]],0,1)))</f>
        <v>0</v>
      </c>
      <c r="T11" s="57" cm="1">
        <f t="array" aca="1" ref="T11" ca="1">IF(CELL("format",CONT_SUP[[#This Row],[DateFrom]])="D1",0,1)+IF(CELL("format",CONT_SUP[[#This Row],[DateTo]])="D1",0,1)</f>
        <v>0</v>
      </c>
      <c r="U11" s="57">
        <f>IF(OR(CONT_SUP[[#This Row],[MatEditOnly]]=TRUE,CONT_SUP[[#This Row],[MatEditOnly]]=FALSE),IF(OR(CONT_SUP[[#This Row],[NoIncrement]]=TRUE,CONT_SUP[[#This Row],[NoIncrement]]=FALSE),0,1),1)</f>
        <v>0</v>
      </c>
      <c r="V11" s="57">
        <f>IF(ISBLANK(CONT_SUP[[#This Row],[FundCode]])=TRUE,0,IF(COUNTIF(FUNDS[FundCode],CONT_SUP[[#This Row],[FundCode]])=1,0,1))</f>
        <v>0</v>
      </c>
      <c r="W11" s="57">
        <f>IF(LEN(CONT_SUP[[#This Row],[Notes]])&lt;4000,0,1)</f>
        <v>0</v>
      </c>
      <c r="X11" s="57">
        <f>IF(SUBSTITUTE(TEXT(CONT_SUP[[#This Row],[Reference]],10)," ","")=TEXT(CONT_SUP[[#This Row],[Reference]],10),0,1)</f>
        <v>0</v>
      </c>
      <c r="Y11" s="57">
        <f ca="1">SUM(CONT_SUP[[#This Row],[Duplicate Contract]:[Space in Code]])</f>
        <v>0</v>
      </c>
      <c r="AA11" s="12" t="s">
        <v>2266</v>
      </c>
      <c r="AB11" s="63">
        <v>91073880</v>
      </c>
      <c r="AC11" s="63" t="s">
        <v>4609</v>
      </c>
      <c r="AD11" s="57" t="str">
        <f>_xlfn.XLOOKUP(CONT_SUP[[#This Row],[StaffMemberCode]],StaffMembers!O:O,StaffMembers!R:R)</f>
        <v>Joanne Riley</v>
      </c>
      <c r="AE11" s="12" t="s">
        <v>4221</v>
      </c>
      <c r="AF11" s="66">
        <f>_xlfn.XLOOKUP(CONT_SUP[[#This Row],[SRG]],SRG[StaffRoleGroupCode],SRG[GrossSalaryFinanceCode])</f>
        <v>625100</v>
      </c>
      <c r="AG11" s="57" t="str">
        <f>_xlfn.XLOOKUP(CONT_SUP[[#This Row],[StaffRoleCode]],ROLES[StaffRoleCode],ROLES[StaffRoleGroupCode])</f>
        <v>ADM</v>
      </c>
      <c r="AH11" s="57" t="str">
        <f>_xlfn.XLOOKUP(CONT_SUP[[#This Row],[StaffRoleCode]],ROLES[StaffRoleCode],ROLES[PayScaleCode])</f>
        <v>NJC_CHE</v>
      </c>
      <c r="AI11" s="12" t="s">
        <v>3126</v>
      </c>
      <c r="AJ11" s="12">
        <v>24</v>
      </c>
      <c r="AK11" s="12" t="s">
        <v>2483</v>
      </c>
      <c r="AM11" s="68" t="s">
        <v>3132</v>
      </c>
      <c r="AN11" s="12" t="s">
        <v>3137</v>
      </c>
      <c r="AO11" s="21">
        <v>45901</v>
      </c>
      <c r="AQ11" s="12">
        <v>37</v>
      </c>
      <c r="AR11" t="b">
        <v>0</v>
      </c>
      <c r="AS11" t="b">
        <v>0</v>
      </c>
      <c r="AT11" s="12" t="s">
        <v>1574</v>
      </c>
    </row>
    <row r="12" spans="1:47" x14ac:dyDescent="0.3">
      <c r="A12" s="57" t="str">
        <f t="shared" si="0"/>
        <v>AUD9107365191073651ABMSFIN45901</v>
      </c>
      <c r="B12" s="57">
        <f>COUNTIF(CONT_SUP[Unique Contract],CONT_SUP[[#This Row],[Unique Contract]])-1</f>
        <v>0</v>
      </c>
      <c r="C12" s="57">
        <f>IFERROR(IF(FIND(CONT_SUP[[#This Row],[SchoolCode]],_xlfn.XLOOKUP(CONT_SUP[[#This Row],[StaffMemberCode]],MEMBERS[StaffMemberCode],MEMBERS[SchoolCodes]))&gt;0,0,1),1)</f>
        <v>0</v>
      </c>
      <c r="D12" s="57" cm="1">
        <f t="array" ref="D12">IF(_xlfn.XLOOKUP(CONT_SUP[[#This Row],[StaffRoleCode]],ROLES[StaffRoleCode],ROLES[AvailableToAllSchools],1,0,)=TRUE,0,IF(ISERROR(FIND(CONT_SUP[[#This Row],[SchoolCode]],_xlfn.TEXTJOIN(",",TRUE,_xlfn.UNIQUE(IF(ROLES[StaffRoleCode]=CONT_SUP[[#This Row],[StaffRoleCode]],ROLES[SchoolCodes],""))))),1,0))</f>
        <v>0</v>
      </c>
      <c r="E12" s="66" cm="1">
        <f t="array" ref="E1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2" s="57" cm="1">
        <f t="array" ref="F12">IF(_xlfn.XLOOKUP(CONT_SUP[[#This Row],[PayScaleCode]],PAYSCALES[PayScaleCode],PAYSCALES[AvailableToAllSchools],1,0,)=TRUE,0,IF(ISERROR(FIND(CONT_SUP[[#This Row],[SchoolCode]],_xlfn.TEXTJOIN(",",TRUE,_xlfn.UNIQUE(IF(PAYSCALES[PayScaleCode]=CONT_SUP[[#This Row],[PayScaleCode]],PAYSCALES[SchoolCodes],""))))),1,0))</f>
        <v>0</v>
      </c>
      <c r="G12" s="57">
        <f>IF(_xlfn.XLOOKUP(CONT_SUP[[#This Row],[PayScaleGradeCode]],GRADES[PayScaleGradeCode],GRADES[AvailableToAllSchools])=TRUE,0,IFERROR(IF(FIND(CONT_SUP[[#This Row],[SchoolCode]],_xlfn.XLOOKUP(CONT_SUP[[#This Row],[PayScaleGradeCode]],GRADES[PayScaleGradeCode],GRADES[SchoolCodes]))&gt;=1,0,1),1))</f>
        <v>0</v>
      </c>
      <c r="H12" s="66">
        <f>IF(ISERROR(IF((_xlfn.XLOOKUP(CONT_SUP[[#This Row],[PayScaleGradeCode]],GRADES[PayScaleGradeCode],GRADES[PayScaleCode])=CONT_SUP[[#This Row],[PayScaleCode]]),0,1)),1,0)</f>
        <v>0</v>
      </c>
      <c r="I12" s="66" cm="1">
        <f t="array" ref="I12">IF(ISERROR(FIND(CONT_SUP[[#This Row],[PayScalePointCode]],_xlfn.TEXTJOIN(",",TRUE,IF(PSPOINTS[PayScaleCode]=CONT_SUP[[#This Row],[PayScaleCode]],PSPOINTS[PayScalePointCode])))),1,0)</f>
        <v>0</v>
      </c>
      <c r="J12" s="57" cm="1">
        <f t="array" ref="J1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2" s="66">
        <f>IF(_xlfn.XLOOKUP(CONT_SUP[[#This Row],[PayScalePointCode]],PSPOINTS[PayScalePointCode],PSPOINTS[PayScalePointEnabled])=TRUE,0,1)</f>
        <v>0</v>
      </c>
      <c r="L12" s="57" cm="1">
        <f t="array" ref="L12">IF(_xlfn.XLOOKUP(CONT_SUP[[#This Row],[DepartmentCode]],DEPTS[DepartmentCode],DEPTS[AvailableToAllSchools],1,0,)=TRUE,0,IF(ISERROR(FIND(CONT_SUP[[#This Row],[SchoolCode]],_xlfn.TEXTJOIN(",",TRUE,_xlfn.UNIQUE(IF(DEPTS[DepartmentCode]=CONT_SUP[[#This Row],[DepartmentCode]],DEPTS[SchoolCodes],""))))),1,0))</f>
        <v>0</v>
      </c>
      <c r="M12" s="57">
        <f>IFERROR(IF(_xlfn.XLOOKUP(CONT_SUP[[#This Row],[SRG Gross]],FinanceCodesBudget[FinanceCode],FinanceCodesBudget[LedgerCode])=_xlfn.XLOOKUP(CONT_SUP[[#This Row],[DepartmentCode]],DEPTS[DepartmentCode],DEPTS[LedgerCode]),0,1),1)</f>
        <v>0</v>
      </c>
      <c r="N12" s="66" cm="1">
        <f t="array" ref="N12">IF(_xlfn.XLOOKUP(CONT_SUP[[#This Row],[PensionCode]],PENS[PensionCode],PENS[AvailableToAllSchools],1,0,)=TRUE,0,IF(ISERROR(FIND(CONT_SUP[[#This Row],[SchoolCode]],_xlfn.TEXTJOIN(",",TRUE,_xlfn.UNIQUE(IF(PENS[PensionCode]=CONT_SUP[[#This Row],[PensionCode]],PENS[SchoolCodes],""))))),1,0))</f>
        <v>0</v>
      </c>
      <c r="O12" s="66" cm="1">
        <f t="array" ref="O12">IF(_xlfn.XLOOKUP(CONT_SUP[[#This Row],[EquatedWeekPatternCode]],EQW[EquatedWeekPatternCode],EQW[AvailableToAllSchools],1,0,)=TRUE,0,IF(ISERROR(FIND(CONT_SUP[[#This Row],[SchoolCode]],_xlfn.TEXTJOIN(",",TRUE,_xlfn.UNIQUE(IF(EQW[EquatedWeekPatternCode]=CONT_SUP[[#This Row],[EquatedWeekPatternCode]],EQW[SchoolCodes],""))))),1,0))</f>
        <v>0</v>
      </c>
      <c r="P12" s="57">
        <f>1-COUNTIF(ContractTypes[Code],CONT_SUP[[#This Row],[ContractTypeCode]])</f>
        <v>0</v>
      </c>
      <c r="Q12" s="57">
        <f>IF(VLOOKUP(CONT_SUP[[#This Row],[StaffMemberCode]],MEMBERS[[StaffMemberCode]:[ServiceStartDate]],5,0)&gt;CONT_SUP[[#This Row],[DateFrom]],1,0)</f>
        <v>0</v>
      </c>
      <c r="R12" s="57">
        <f>IF(_xlfn.XLOOKUP(CONT_SUP[[#This Row],[StaffMemberCode]],MEMBERS[StaffMemberCode],MEMBERS[ServiceEndDate])="",0,IF(CONT_SUP[[#This Row],[DateTo]]="",1,IF(_xlfn.XLOOKUP(CONT_SUP[[#This Row],[StaffMemberCode]],MEMBERS[StaffMemberCode],MEMBERS[ServiceEndDate])&lt;CONT_SUP[[#This Row],[DateTo]],1,0)))</f>
        <v>0</v>
      </c>
      <c r="S12" s="57">
        <f>IF(ISBLANK(CONT_SUP[[#This Row],[DateTo]]),0,IF(CONT_SUP[[#This Row],[DateFrom]]=CONT_SUP[[#This Row],[DateTo]],0,IF(CONT_SUP[[#This Row],[DateFrom]]&lt;CONT_SUP[[#This Row],[DateTo]],0,1)))</f>
        <v>0</v>
      </c>
      <c r="T12" s="57" cm="1">
        <f t="array" aca="1" ref="T12" ca="1">IF(CELL("format",CONT_SUP[[#This Row],[DateFrom]])="D1",0,1)+IF(CELL("format",CONT_SUP[[#This Row],[DateTo]])="D1",0,1)</f>
        <v>0</v>
      </c>
      <c r="U12" s="57">
        <f>IF(OR(CONT_SUP[[#This Row],[MatEditOnly]]=TRUE,CONT_SUP[[#This Row],[MatEditOnly]]=FALSE),IF(OR(CONT_SUP[[#This Row],[NoIncrement]]=TRUE,CONT_SUP[[#This Row],[NoIncrement]]=FALSE),0,1),1)</f>
        <v>0</v>
      </c>
      <c r="V12" s="57">
        <f>IF(ISBLANK(CONT_SUP[[#This Row],[FundCode]])=TRUE,0,IF(COUNTIF(FUNDS[FundCode],CONT_SUP[[#This Row],[FundCode]])=1,0,1))</f>
        <v>0</v>
      </c>
      <c r="W12" s="57">
        <f>IF(LEN(CONT_SUP[[#This Row],[Notes]])&lt;4000,0,1)</f>
        <v>0</v>
      </c>
      <c r="X12" s="57">
        <f>IF(SUBSTITUTE(TEXT(CONT_SUP[[#This Row],[Reference]],10)," ","")=TEXT(CONT_SUP[[#This Row],[Reference]],10),0,1)</f>
        <v>0</v>
      </c>
      <c r="Y12" s="57">
        <f ca="1">SUM(CONT_SUP[[#This Row],[Duplicate Contract]:[Space in Code]])</f>
        <v>0</v>
      </c>
      <c r="AA12" s="12" t="s">
        <v>2089</v>
      </c>
      <c r="AB12" s="63">
        <v>91073651</v>
      </c>
      <c r="AC12" s="63" t="s">
        <v>4610</v>
      </c>
      <c r="AD12" s="57" t="str">
        <f>_xlfn.XLOOKUP(CONT_SUP[[#This Row],[StaffMemberCode]],StaffMembers!O:O,StaffMembers!R:R)</f>
        <v>Jill Taylor</v>
      </c>
      <c r="AE12" s="12" t="s">
        <v>4223</v>
      </c>
      <c r="AF12" s="66">
        <f>_xlfn.XLOOKUP(CONT_SUP[[#This Row],[SRG]],SRG[StaffRoleGroupCode],SRG[GrossSalaryFinanceCode])</f>
        <v>625100</v>
      </c>
      <c r="AG12" s="57" t="str">
        <f>_xlfn.XLOOKUP(CONT_SUP[[#This Row],[StaffRoleCode]],ROLES[StaffRoleCode],ROLES[StaffRoleGroupCode])</f>
        <v>ADM</v>
      </c>
      <c r="AH12" s="57" t="str">
        <f>_xlfn.XLOOKUP(CONT_SUP[[#This Row],[StaffRoleCode]],ROLES[StaffRoleCode],ROLES[PayScaleCode])</f>
        <v>NJC_CHE</v>
      </c>
      <c r="AI12" s="12" t="s">
        <v>3125</v>
      </c>
      <c r="AJ12" s="12">
        <v>21</v>
      </c>
      <c r="AK12" s="12" t="s">
        <v>2483</v>
      </c>
      <c r="AM12" s="68" t="s">
        <v>3132</v>
      </c>
      <c r="AN12" s="12" t="s">
        <v>3137</v>
      </c>
      <c r="AO12" s="21">
        <v>45901</v>
      </c>
      <c r="AQ12" s="12">
        <v>14.5</v>
      </c>
      <c r="AR12" t="b">
        <v>0</v>
      </c>
      <c r="AS12" t="b">
        <v>0</v>
      </c>
      <c r="AT12" s="12" t="s">
        <v>1574</v>
      </c>
    </row>
    <row r="13" spans="1:47" x14ac:dyDescent="0.3">
      <c r="A13" s="57" t="str">
        <f t="shared" si="0"/>
        <v>PTP9107365191073651BBMSFIN45901</v>
      </c>
      <c r="B13" s="57">
        <f>COUNTIF(CONT_SUP[Unique Contract],CONT_SUP[[#This Row],[Unique Contract]])-1</f>
        <v>0</v>
      </c>
      <c r="C13" s="57">
        <f>IFERROR(IF(FIND(CONT_SUP[[#This Row],[SchoolCode]],_xlfn.XLOOKUP(CONT_SUP[[#This Row],[StaffMemberCode]],MEMBERS[StaffMemberCode],MEMBERS[SchoolCodes]))&gt;0,0,1),1)</f>
        <v>0</v>
      </c>
      <c r="D13" s="57" cm="1">
        <f t="array" ref="D13">IF(_xlfn.XLOOKUP(CONT_SUP[[#This Row],[StaffRoleCode]],ROLES[StaffRoleCode],ROLES[AvailableToAllSchools],1,0,)=TRUE,0,IF(ISERROR(FIND(CONT_SUP[[#This Row],[SchoolCode]],_xlfn.TEXTJOIN(",",TRUE,_xlfn.UNIQUE(IF(ROLES[StaffRoleCode]=CONT_SUP[[#This Row],[StaffRoleCode]],ROLES[SchoolCodes],""))))),1,0))</f>
        <v>0</v>
      </c>
      <c r="E13" s="66" cm="1">
        <f t="array" ref="E1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3" s="57" cm="1">
        <f t="array" ref="F13">IF(_xlfn.XLOOKUP(CONT_SUP[[#This Row],[PayScaleCode]],PAYSCALES[PayScaleCode],PAYSCALES[AvailableToAllSchools],1,0,)=TRUE,0,IF(ISERROR(FIND(CONT_SUP[[#This Row],[SchoolCode]],_xlfn.TEXTJOIN(",",TRUE,_xlfn.UNIQUE(IF(PAYSCALES[PayScaleCode]=CONT_SUP[[#This Row],[PayScaleCode]],PAYSCALES[SchoolCodes],""))))),1,0))</f>
        <v>0</v>
      </c>
      <c r="G13" s="57">
        <f>IF(_xlfn.XLOOKUP(CONT_SUP[[#This Row],[PayScaleGradeCode]],GRADES[PayScaleGradeCode],GRADES[AvailableToAllSchools])=TRUE,0,IFERROR(IF(FIND(CONT_SUP[[#This Row],[SchoolCode]],_xlfn.XLOOKUP(CONT_SUP[[#This Row],[PayScaleGradeCode]],GRADES[PayScaleGradeCode],GRADES[SchoolCodes]))&gt;=1,0,1),1))</f>
        <v>0</v>
      </c>
      <c r="H13" s="66">
        <f>IF(ISERROR(IF((_xlfn.XLOOKUP(CONT_SUP[[#This Row],[PayScaleGradeCode]],GRADES[PayScaleGradeCode],GRADES[PayScaleCode])=CONT_SUP[[#This Row],[PayScaleCode]]),0,1)),1,0)</f>
        <v>0</v>
      </c>
      <c r="I13" s="66" cm="1">
        <f t="array" ref="I13">IF(ISERROR(FIND(CONT_SUP[[#This Row],[PayScalePointCode]],_xlfn.TEXTJOIN(",",TRUE,IF(PSPOINTS[PayScaleCode]=CONT_SUP[[#This Row],[PayScaleCode]],PSPOINTS[PayScalePointCode])))),1,0)</f>
        <v>0</v>
      </c>
      <c r="J13" s="57" cm="1">
        <f t="array" ref="J1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3" s="66">
        <f>IF(_xlfn.XLOOKUP(CONT_SUP[[#This Row],[PayScalePointCode]],PSPOINTS[PayScalePointCode],PSPOINTS[PayScalePointEnabled])=TRUE,0,1)</f>
        <v>0</v>
      </c>
      <c r="L13" s="57" cm="1">
        <f t="array" ref="L13">IF(_xlfn.XLOOKUP(CONT_SUP[[#This Row],[DepartmentCode]],DEPTS[DepartmentCode],DEPTS[AvailableToAllSchools],1,0,)=TRUE,0,IF(ISERROR(FIND(CONT_SUP[[#This Row],[SchoolCode]],_xlfn.TEXTJOIN(",",TRUE,_xlfn.UNIQUE(IF(DEPTS[DepartmentCode]=CONT_SUP[[#This Row],[DepartmentCode]],DEPTS[SchoolCodes],""))))),1,0))</f>
        <v>0</v>
      </c>
      <c r="M13" s="57">
        <f>IFERROR(IF(_xlfn.XLOOKUP(CONT_SUP[[#This Row],[SRG Gross]],FinanceCodesBudget[FinanceCode],FinanceCodesBudget[LedgerCode])=_xlfn.XLOOKUP(CONT_SUP[[#This Row],[DepartmentCode]],DEPTS[DepartmentCode],DEPTS[LedgerCode]),0,1),1)</f>
        <v>0</v>
      </c>
      <c r="N13" s="66" cm="1">
        <f t="array" ref="N13">IF(_xlfn.XLOOKUP(CONT_SUP[[#This Row],[PensionCode]],PENS[PensionCode],PENS[AvailableToAllSchools],1,0,)=TRUE,0,IF(ISERROR(FIND(CONT_SUP[[#This Row],[SchoolCode]],_xlfn.TEXTJOIN(",",TRUE,_xlfn.UNIQUE(IF(PENS[PensionCode]=CONT_SUP[[#This Row],[PensionCode]],PENS[SchoolCodes],""))))),1,0))</f>
        <v>0</v>
      </c>
      <c r="O13" s="66" cm="1">
        <f t="array" ref="O13">IF(_xlfn.XLOOKUP(CONT_SUP[[#This Row],[EquatedWeekPatternCode]],EQW[EquatedWeekPatternCode],EQW[AvailableToAllSchools],1,0,)=TRUE,0,IF(ISERROR(FIND(CONT_SUP[[#This Row],[SchoolCode]],_xlfn.TEXTJOIN(",",TRUE,_xlfn.UNIQUE(IF(EQW[EquatedWeekPatternCode]=CONT_SUP[[#This Row],[EquatedWeekPatternCode]],EQW[SchoolCodes],""))))),1,0))</f>
        <v>0</v>
      </c>
      <c r="P13" s="57">
        <f>1-COUNTIF(ContractTypes[Code],CONT_SUP[[#This Row],[ContractTypeCode]])</f>
        <v>0</v>
      </c>
      <c r="Q13" s="57">
        <f>IF(VLOOKUP(CONT_SUP[[#This Row],[StaffMemberCode]],MEMBERS[[StaffMemberCode]:[ServiceStartDate]],5,0)&gt;CONT_SUP[[#This Row],[DateFrom]],1,0)</f>
        <v>0</v>
      </c>
      <c r="R13" s="57">
        <f>IF(_xlfn.XLOOKUP(CONT_SUP[[#This Row],[StaffMemberCode]],MEMBERS[StaffMemberCode],MEMBERS[ServiceEndDate])="",0,IF(CONT_SUP[[#This Row],[DateTo]]="",1,IF(_xlfn.XLOOKUP(CONT_SUP[[#This Row],[StaffMemberCode]],MEMBERS[StaffMemberCode],MEMBERS[ServiceEndDate])&lt;CONT_SUP[[#This Row],[DateTo]],1,0)))</f>
        <v>0</v>
      </c>
      <c r="S13" s="57">
        <f>IF(ISBLANK(CONT_SUP[[#This Row],[DateTo]]),0,IF(CONT_SUP[[#This Row],[DateFrom]]=CONT_SUP[[#This Row],[DateTo]],0,IF(CONT_SUP[[#This Row],[DateFrom]]&lt;CONT_SUP[[#This Row],[DateTo]],0,1)))</f>
        <v>0</v>
      </c>
      <c r="T13" s="57" cm="1">
        <f t="array" aca="1" ref="T13" ca="1">IF(CELL("format",CONT_SUP[[#This Row],[DateFrom]])="D1",0,1)+IF(CELL("format",CONT_SUP[[#This Row],[DateTo]])="D1",0,1)</f>
        <v>0</v>
      </c>
      <c r="U13" s="57">
        <f>IF(OR(CONT_SUP[[#This Row],[MatEditOnly]]=TRUE,CONT_SUP[[#This Row],[MatEditOnly]]=FALSE),IF(OR(CONT_SUP[[#This Row],[NoIncrement]]=TRUE,CONT_SUP[[#This Row],[NoIncrement]]=FALSE),0,1),1)</f>
        <v>0</v>
      </c>
      <c r="V13" s="57">
        <f>IF(ISBLANK(CONT_SUP[[#This Row],[FundCode]])=TRUE,0,IF(COUNTIF(FUNDS[FundCode],CONT_SUP[[#This Row],[FundCode]])=1,0,1))</f>
        <v>0</v>
      </c>
      <c r="W13" s="57">
        <f>IF(LEN(CONT_SUP[[#This Row],[Notes]])&lt;4000,0,1)</f>
        <v>0</v>
      </c>
      <c r="X13" s="57">
        <f>IF(SUBSTITUTE(TEXT(CONT_SUP[[#This Row],[Reference]],10)," ","")=TEXT(CONT_SUP[[#This Row],[Reference]],10),0,1)</f>
        <v>0</v>
      </c>
      <c r="Y13" s="57">
        <f ca="1">SUM(CONT_SUP[[#This Row],[Duplicate Contract]:[Space in Code]])</f>
        <v>0</v>
      </c>
      <c r="AA13" s="12" t="s">
        <v>2299</v>
      </c>
      <c r="AB13" s="63">
        <v>91073651</v>
      </c>
      <c r="AC13" s="63" t="s">
        <v>4611</v>
      </c>
      <c r="AD13" s="57" t="str">
        <f>_xlfn.XLOOKUP(CONT_SUP[[#This Row],[StaffMemberCode]],StaffMembers!O:O,StaffMembers!R:R)</f>
        <v>Jill Taylor</v>
      </c>
      <c r="AE13" s="12" t="s">
        <v>4223</v>
      </c>
      <c r="AF13" s="66">
        <f>_xlfn.XLOOKUP(CONT_SUP[[#This Row],[SRG]],SRG[StaffRoleGroupCode],SRG[GrossSalaryFinanceCode])</f>
        <v>625100</v>
      </c>
      <c r="AG13" s="57" t="str">
        <f>_xlfn.XLOOKUP(CONT_SUP[[#This Row],[StaffRoleCode]],ROLES[StaffRoleCode],ROLES[StaffRoleGroupCode])</f>
        <v>ADM</v>
      </c>
      <c r="AH13" s="57" t="str">
        <f>_xlfn.XLOOKUP(CONT_SUP[[#This Row],[StaffRoleCode]],ROLES[StaffRoleCode],ROLES[PayScaleCode])</f>
        <v>NJC_CHE</v>
      </c>
      <c r="AI13" s="12" t="s">
        <v>3125</v>
      </c>
      <c r="AJ13" s="12">
        <v>21</v>
      </c>
      <c r="AK13" s="12" t="s">
        <v>2483</v>
      </c>
      <c r="AM13" s="68" t="s">
        <v>3132</v>
      </c>
      <c r="AN13" s="12" t="s">
        <v>3137</v>
      </c>
      <c r="AO13" s="21">
        <v>45901</v>
      </c>
      <c r="AQ13" s="12">
        <v>22.5</v>
      </c>
      <c r="AR13" t="b">
        <v>0</v>
      </c>
      <c r="AS13" t="b">
        <v>0</v>
      </c>
      <c r="AT13" s="12" t="s">
        <v>65</v>
      </c>
    </row>
    <row r="14" spans="1:47" x14ac:dyDescent="0.3">
      <c r="A14" s="57" t="str">
        <f t="shared" si="0"/>
        <v>HIG9107390091073900ACLER_ASTSFIN45901</v>
      </c>
      <c r="B14" s="57">
        <f>COUNTIF(CONT_SUP[Unique Contract],CONT_SUP[[#This Row],[Unique Contract]])-1</f>
        <v>0</v>
      </c>
      <c r="C14" s="57">
        <f>IFERROR(IF(FIND(CONT_SUP[[#This Row],[SchoolCode]],_xlfn.XLOOKUP(CONT_SUP[[#This Row],[StaffMemberCode]],MEMBERS[StaffMemberCode],MEMBERS[SchoolCodes]))&gt;0,0,1),1)</f>
        <v>0</v>
      </c>
      <c r="D14" s="57" cm="1">
        <f t="array" ref="D14">IF(_xlfn.XLOOKUP(CONT_SUP[[#This Row],[StaffRoleCode]],ROLES[StaffRoleCode],ROLES[AvailableToAllSchools],1,0,)=TRUE,0,IF(ISERROR(FIND(CONT_SUP[[#This Row],[SchoolCode]],_xlfn.TEXTJOIN(",",TRUE,_xlfn.UNIQUE(IF(ROLES[StaffRoleCode]=CONT_SUP[[#This Row],[StaffRoleCode]],ROLES[SchoolCodes],""))))),1,0))</f>
        <v>0</v>
      </c>
      <c r="E14" s="66" cm="1">
        <f t="array" ref="E1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4" s="57" cm="1">
        <f t="array" ref="F14">IF(_xlfn.XLOOKUP(CONT_SUP[[#This Row],[PayScaleCode]],PAYSCALES[PayScaleCode],PAYSCALES[AvailableToAllSchools],1,0,)=TRUE,0,IF(ISERROR(FIND(CONT_SUP[[#This Row],[SchoolCode]],_xlfn.TEXTJOIN(",",TRUE,_xlfn.UNIQUE(IF(PAYSCALES[PayScaleCode]=CONT_SUP[[#This Row],[PayScaleCode]],PAYSCALES[SchoolCodes],""))))),1,0))</f>
        <v>0</v>
      </c>
      <c r="G14" s="57">
        <f>IF(_xlfn.XLOOKUP(CONT_SUP[[#This Row],[PayScaleGradeCode]],GRADES[PayScaleGradeCode],GRADES[AvailableToAllSchools])=TRUE,0,IFERROR(IF(FIND(CONT_SUP[[#This Row],[SchoolCode]],_xlfn.XLOOKUP(CONT_SUP[[#This Row],[PayScaleGradeCode]],GRADES[PayScaleGradeCode],GRADES[SchoolCodes]))&gt;=1,0,1),1))</f>
        <v>0</v>
      </c>
      <c r="H14" s="66">
        <f>IF(ISERROR(IF((_xlfn.XLOOKUP(CONT_SUP[[#This Row],[PayScaleGradeCode]],GRADES[PayScaleGradeCode],GRADES[PayScaleCode])=CONT_SUP[[#This Row],[PayScaleCode]]),0,1)),1,0)</f>
        <v>0</v>
      </c>
      <c r="I14" s="66" cm="1">
        <f t="array" ref="I14">IF(ISERROR(FIND(CONT_SUP[[#This Row],[PayScalePointCode]],_xlfn.TEXTJOIN(",",TRUE,IF(PSPOINTS[PayScaleCode]=CONT_SUP[[#This Row],[PayScaleCode]],PSPOINTS[PayScalePointCode])))),1,0)</f>
        <v>0</v>
      </c>
      <c r="J14" s="57" cm="1">
        <f t="array" ref="J1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4" s="66">
        <f>IF(_xlfn.XLOOKUP(CONT_SUP[[#This Row],[PayScalePointCode]],PSPOINTS[PayScalePointCode],PSPOINTS[PayScalePointEnabled])=TRUE,0,1)</f>
        <v>0</v>
      </c>
      <c r="L14" s="57" cm="1">
        <f t="array" ref="L14">IF(_xlfn.XLOOKUP(CONT_SUP[[#This Row],[DepartmentCode]],DEPTS[DepartmentCode],DEPTS[AvailableToAllSchools],1,0,)=TRUE,0,IF(ISERROR(FIND(CONT_SUP[[#This Row],[SchoolCode]],_xlfn.TEXTJOIN(",",TRUE,_xlfn.UNIQUE(IF(DEPTS[DepartmentCode]=CONT_SUP[[#This Row],[DepartmentCode]],DEPTS[SchoolCodes],""))))),1,0))</f>
        <v>0</v>
      </c>
      <c r="M14" s="57">
        <f>IFERROR(IF(_xlfn.XLOOKUP(CONT_SUP[[#This Row],[SRG Gross]],FinanceCodesBudget[FinanceCode],FinanceCodesBudget[LedgerCode])=_xlfn.XLOOKUP(CONT_SUP[[#This Row],[DepartmentCode]],DEPTS[DepartmentCode],DEPTS[LedgerCode]),0,1),1)</f>
        <v>0</v>
      </c>
      <c r="N14" s="66" cm="1">
        <f t="array" ref="N14">IF(_xlfn.XLOOKUP(CONT_SUP[[#This Row],[PensionCode]],PENS[PensionCode],PENS[AvailableToAllSchools],1,0,)=TRUE,0,IF(ISERROR(FIND(CONT_SUP[[#This Row],[SchoolCode]],_xlfn.TEXTJOIN(",",TRUE,_xlfn.UNIQUE(IF(PENS[PensionCode]=CONT_SUP[[#This Row],[PensionCode]],PENS[SchoolCodes],""))))),1,0))</f>
        <v>0</v>
      </c>
      <c r="O14" s="66" cm="1">
        <f t="array" ref="O14">IF(_xlfn.XLOOKUP(CONT_SUP[[#This Row],[EquatedWeekPatternCode]],EQW[EquatedWeekPatternCode],EQW[AvailableToAllSchools],1,0,)=TRUE,0,IF(ISERROR(FIND(CONT_SUP[[#This Row],[SchoolCode]],_xlfn.TEXTJOIN(",",TRUE,_xlfn.UNIQUE(IF(EQW[EquatedWeekPatternCode]=CONT_SUP[[#This Row],[EquatedWeekPatternCode]],EQW[SchoolCodes],""))))),1,0))</f>
        <v>0</v>
      </c>
      <c r="P14" s="57">
        <f>1-COUNTIF(ContractTypes[Code],CONT_SUP[[#This Row],[ContractTypeCode]])</f>
        <v>0</v>
      </c>
      <c r="Q14" s="57">
        <f>IF(VLOOKUP(CONT_SUP[[#This Row],[StaffMemberCode]],MEMBERS[[StaffMemberCode]:[ServiceStartDate]],5,0)&gt;CONT_SUP[[#This Row],[DateFrom]],1,0)</f>
        <v>0</v>
      </c>
      <c r="R14" s="57">
        <f>IF(_xlfn.XLOOKUP(CONT_SUP[[#This Row],[StaffMemberCode]],MEMBERS[StaffMemberCode],MEMBERS[ServiceEndDate])="",0,IF(CONT_SUP[[#This Row],[DateTo]]="",1,IF(_xlfn.XLOOKUP(CONT_SUP[[#This Row],[StaffMemberCode]],MEMBERS[StaffMemberCode],MEMBERS[ServiceEndDate])&lt;CONT_SUP[[#This Row],[DateTo]],1,0)))</f>
        <v>0</v>
      </c>
      <c r="S14" s="57">
        <f>IF(ISBLANK(CONT_SUP[[#This Row],[DateTo]]),0,IF(CONT_SUP[[#This Row],[DateFrom]]=CONT_SUP[[#This Row],[DateTo]],0,IF(CONT_SUP[[#This Row],[DateFrom]]&lt;CONT_SUP[[#This Row],[DateTo]],0,1)))</f>
        <v>0</v>
      </c>
      <c r="T14" s="57" cm="1">
        <f t="array" aca="1" ref="T14" ca="1">IF(CELL("format",CONT_SUP[[#This Row],[DateFrom]])="D1",0,1)+IF(CELL("format",CONT_SUP[[#This Row],[DateTo]])="D1",0,1)</f>
        <v>0</v>
      </c>
      <c r="U14" s="57">
        <f>IF(OR(CONT_SUP[[#This Row],[MatEditOnly]]=TRUE,CONT_SUP[[#This Row],[MatEditOnly]]=FALSE),IF(OR(CONT_SUP[[#This Row],[NoIncrement]]=TRUE,CONT_SUP[[#This Row],[NoIncrement]]=FALSE),0,1),1)</f>
        <v>0</v>
      </c>
      <c r="V14" s="57">
        <f>IF(ISBLANK(CONT_SUP[[#This Row],[FundCode]])=TRUE,0,IF(COUNTIF(FUNDS[FundCode],CONT_SUP[[#This Row],[FundCode]])=1,0,1))</f>
        <v>0</v>
      </c>
      <c r="W14" s="57">
        <f>IF(LEN(CONT_SUP[[#This Row],[Notes]])&lt;4000,0,1)</f>
        <v>0</v>
      </c>
      <c r="X14" s="57">
        <f>IF(SUBSTITUTE(TEXT(CONT_SUP[[#This Row],[Reference]],10)," ","")=TEXT(CONT_SUP[[#This Row],[Reference]],10),0,1)</f>
        <v>0</v>
      </c>
      <c r="Y14" s="57">
        <f ca="1">SUM(CONT_SUP[[#This Row],[Duplicate Contract]:[Space in Code]])</f>
        <v>0</v>
      </c>
      <c r="AA14" s="12" t="s">
        <v>2266</v>
      </c>
      <c r="AB14" s="63">
        <v>91073900</v>
      </c>
      <c r="AC14" s="63" t="s">
        <v>4612</v>
      </c>
      <c r="AD14" s="57" t="str">
        <f>_xlfn.XLOOKUP(CONT_SUP[[#This Row],[StaffMemberCode]],StaffMembers!O:O,StaffMembers!R:R)</f>
        <v>Jane Eden</v>
      </c>
      <c r="AE14" s="12" t="s">
        <v>4225</v>
      </c>
      <c r="AF14" s="66">
        <f>_xlfn.XLOOKUP(CONT_SUP[[#This Row],[SRG]],SRG[StaffRoleGroupCode],SRG[GrossSalaryFinanceCode])</f>
        <v>625100</v>
      </c>
      <c r="AG14" s="57" t="str">
        <f>_xlfn.XLOOKUP(CONT_SUP[[#This Row],[StaffRoleCode]],ROLES[StaffRoleCode],ROLES[StaffRoleGroupCode])</f>
        <v>ADM</v>
      </c>
      <c r="AH14" s="57" t="str">
        <f>_xlfn.XLOOKUP(CONT_SUP[[#This Row],[StaffRoleCode]],ROLES[StaffRoleCode],ROLES[PayScaleCode])</f>
        <v>NJC_CHE</v>
      </c>
      <c r="AI14" s="12" t="s">
        <v>3121</v>
      </c>
      <c r="AJ14" s="12">
        <v>4</v>
      </c>
      <c r="AK14" s="12" t="s">
        <v>2483</v>
      </c>
      <c r="AM14" s="68" t="s">
        <v>3132</v>
      </c>
      <c r="AN14" s="12" t="s">
        <v>3135</v>
      </c>
      <c r="AO14" s="21">
        <v>45901</v>
      </c>
      <c r="AQ14" s="12">
        <v>33.5</v>
      </c>
      <c r="AR14" t="b">
        <v>0</v>
      </c>
      <c r="AS14" t="b">
        <v>0</v>
      </c>
      <c r="AT14" s="12" t="s">
        <v>1574</v>
      </c>
    </row>
    <row r="15" spans="1:47" x14ac:dyDescent="0.3">
      <c r="A15" s="57" t="str">
        <f t="shared" si="0"/>
        <v>PTP9107394191073941ACLER_OFFSFIN45901</v>
      </c>
      <c r="B15" s="57">
        <f>COUNTIF(CONT_SUP[Unique Contract],CONT_SUP[[#This Row],[Unique Contract]])-1</f>
        <v>0</v>
      </c>
      <c r="C15" s="57">
        <f>IFERROR(IF(FIND(CONT_SUP[[#This Row],[SchoolCode]],_xlfn.XLOOKUP(CONT_SUP[[#This Row],[StaffMemberCode]],MEMBERS[StaffMemberCode],MEMBERS[SchoolCodes]))&gt;0,0,1),1)</f>
        <v>0</v>
      </c>
      <c r="D15" s="57" cm="1">
        <f t="array" ref="D15">IF(_xlfn.XLOOKUP(CONT_SUP[[#This Row],[StaffRoleCode]],ROLES[StaffRoleCode],ROLES[AvailableToAllSchools],1,0,)=TRUE,0,IF(ISERROR(FIND(CONT_SUP[[#This Row],[SchoolCode]],_xlfn.TEXTJOIN(",",TRUE,_xlfn.UNIQUE(IF(ROLES[StaffRoleCode]=CONT_SUP[[#This Row],[StaffRoleCode]],ROLES[SchoolCodes],""))))),1,0))</f>
        <v>0</v>
      </c>
      <c r="E15" s="66" cm="1">
        <f t="array" ref="E1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5" s="57" cm="1">
        <f t="array" ref="F15">IF(_xlfn.XLOOKUP(CONT_SUP[[#This Row],[PayScaleCode]],PAYSCALES[PayScaleCode],PAYSCALES[AvailableToAllSchools],1,0,)=TRUE,0,IF(ISERROR(FIND(CONT_SUP[[#This Row],[SchoolCode]],_xlfn.TEXTJOIN(",",TRUE,_xlfn.UNIQUE(IF(PAYSCALES[PayScaleCode]=CONT_SUP[[#This Row],[PayScaleCode]],PAYSCALES[SchoolCodes],""))))),1,0))</f>
        <v>0</v>
      </c>
      <c r="G15" s="57">
        <f>IF(_xlfn.XLOOKUP(CONT_SUP[[#This Row],[PayScaleGradeCode]],GRADES[PayScaleGradeCode],GRADES[AvailableToAllSchools])=TRUE,0,IFERROR(IF(FIND(CONT_SUP[[#This Row],[SchoolCode]],_xlfn.XLOOKUP(CONT_SUP[[#This Row],[PayScaleGradeCode]],GRADES[PayScaleGradeCode],GRADES[SchoolCodes]))&gt;=1,0,1),1))</f>
        <v>0</v>
      </c>
      <c r="H15" s="66">
        <f>IF(ISERROR(IF((_xlfn.XLOOKUP(CONT_SUP[[#This Row],[PayScaleGradeCode]],GRADES[PayScaleGradeCode],GRADES[PayScaleCode])=CONT_SUP[[#This Row],[PayScaleCode]]),0,1)),1,0)</f>
        <v>0</v>
      </c>
      <c r="I15" s="66" cm="1">
        <f t="array" ref="I15">IF(ISERROR(FIND(CONT_SUP[[#This Row],[PayScalePointCode]],_xlfn.TEXTJOIN(",",TRUE,IF(PSPOINTS[PayScaleCode]=CONT_SUP[[#This Row],[PayScaleCode]],PSPOINTS[PayScalePointCode])))),1,0)</f>
        <v>0</v>
      </c>
      <c r="J15" s="57" cm="1">
        <f t="array" ref="J1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5" s="66">
        <f>IF(_xlfn.XLOOKUP(CONT_SUP[[#This Row],[PayScalePointCode]],PSPOINTS[PayScalePointCode],PSPOINTS[PayScalePointEnabled])=TRUE,0,1)</f>
        <v>0</v>
      </c>
      <c r="L15" s="57" cm="1">
        <f t="array" ref="L15">IF(_xlfn.XLOOKUP(CONT_SUP[[#This Row],[DepartmentCode]],DEPTS[DepartmentCode],DEPTS[AvailableToAllSchools],1,0,)=TRUE,0,IF(ISERROR(FIND(CONT_SUP[[#This Row],[SchoolCode]],_xlfn.TEXTJOIN(",",TRUE,_xlfn.UNIQUE(IF(DEPTS[DepartmentCode]=CONT_SUP[[#This Row],[DepartmentCode]],DEPTS[SchoolCodes],""))))),1,0))</f>
        <v>0</v>
      </c>
      <c r="M15" s="57">
        <f>IFERROR(IF(_xlfn.XLOOKUP(CONT_SUP[[#This Row],[SRG Gross]],FinanceCodesBudget[FinanceCode],FinanceCodesBudget[LedgerCode])=_xlfn.XLOOKUP(CONT_SUP[[#This Row],[DepartmentCode]],DEPTS[DepartmentCode],DEPTS[LedgerCode]),0,1),1)</f>
        <v>0</v>
      </c>
      <c r="N15" s="66" cm="1">
        <f t="array" ref="N15">IF(_xlfn.XLOOKUP(CONT_SUP[[#This Row],[PensionCode]],PENS[PensionCode],PENS[AvailableToAllSchools],1,0,)=TRUE,0,IF(ISERROR(FIND(CONT_SUP[[#This Row],[SchoolCode]],_xlfn.TEXTJOIN(",",TRUE,_xlfn.UNIQUE(IF(PENS[PensionCode]=CONT_SUP[[#This Row],[PensionCode]],PENS[SchoolCodes],""))))),1,0))</f>
        <v>0</v>
      </c>
      <c r="O15" s="66" cm="1">
        <f t="array" ref="O15">IF(_xlfn.XLOOKUP(CONT_SUP[[#This Row],[EquatedWeekPatternCode]],EQW[EquatedWeekPatternCode],EQW[AvailableToAllSchools],1,0,)=TRUE,0,IF(ISERROR(FIND(CONT_SUP[[#This Row],[SchoolCode]],_xlfn.TEXTJOIN(",",TRUE,_xlfn.UNIQUE(IF(EQW[EquatedWeekPatternCode]=CONT_SUP[[#This Row],[EquatedWeekPatternCode]],EQW[SchoolCodes],""))))),1,0))</f>
        <v>0</v>
      </c>
      <c r="P15" s="57">
        <f>1-COUNTIF(ContractTypes[Code],CONT_SUP[[#This Row],[ContractTypeCode]])</f>
        <v>0</v>
      </c>
      <c r="Q15" s="57">
        <f>IF(VLOOKUP(CONT_SUP[[#This Row],[StaffMemberCode]],MEMBERS[[StaffMemberCode]:[ServiceStartDate]],5,0)&gt;CONT_SUP[[#This Row],[DateFrom]],1,0)</f>
        <v>0</v>
      </c>
      <c r="R15" s="57">
        <f>IF(_xlfn.XLOOKUP(CONT_SUP[[#This Row],[StaffMemberCode]],MEMBERS[StaffMemberCode],MEMBERS[ServiceEndDate])="",0,IF(CONT_SUP[[#This Row],[DateTo]]="",1,IF(_xlfn.XLOOKUP(CONT_SUP[[#This Row],[StaffMemberCode]],MEMBERS[StaffMemberCode],MEMBERS[ServiceEndDate])&lt;CONT_SUP[[#This Row],[DateTo]],1,0)))</f>
        <v>0</v>
      </c>
      <c r="S15" s="57">
        <f>IF(ISBLANK(CONT_SUP[[#This Row],[DateTo]]),0,IF(CONT_SUP[[#This Row],[DateFrom]]=CONT_SUP[[#This Row],[DateTo]],0,IF(CONT_SUP[[#This Row],[DateFrom]]&lt;CONT_SUP[[#This Row],[DateTo]],0,1)))</f>
        <v>0</v>
      </c>
      <c r="T15" s="57" cm="1">
        <f t="array" aca="1" ref="T15" ca="1">IF(CELL("format",CONT_SUP[[#This Row],[DateFrom]])="D1",0,1)+IF(CELL("format",CONT_SUP[[#This Row],[DateTo]])="D1",0,1)</f>
        <v>0</v>
      </c>
      <c r="U15" s="57">
        <f>IF(OR(CONT_SUP[[#This Row],[MatEditOnly]]=TRUE,CONT_SUP[[#This Row],[MatEditOnly]]=FALSE),IF(OR(CONT_SUP[[#This Row],[NoIncrement]]=TRUE,CONT_SUP[[#This Row],[NoIncrement]]=FALSE),0,1),1)</f>
        <v>0</v>
      </c>
      <c r="V15" s="57">
        <f>IF(ISBLANK(CONT_SUP[[#This Row],[FundCode]])=TRUE,0,IF(COUNTIF(FUNDS[FundCode],CONT_SUP[[#This Row],[FundCode]])=1,0,1))</f>
        <v>0</v>
      </c>
      <c r="W15" s="57">
        <f>IF(LEN(CONT_SUP[[#This Row],[Notes]])&lt;4000,0,1)</f>
        <v>0</v>
      </c>
      <c r="X15" s="57">
        <f>IF(SUBSTITUTE(TEXT(CONT_SUP[[#This Row],[Reference]],10)," ","")=TEXT(CONT_SUP[[#This Row],[Reference]],10),0,1)</f>
        <v>0</v>
      </c>
      <c r="Y15" s="57">
        <f ca="1">SUM(CONT_SUP[[#This Row],[Duplicate Contract]:[Space in Code]])</f>
        <v>0</v>
      </c>
      <c r="AA15" s="12" t="s">
        <v>2299</v>
      </c>
      <c r="AB15" s="63">
        <v>91073941</v>
      </c>
      <c r="AC15" s="63" t="s">
        <v>4613</v>
      </c>
      <c r="AD15" s="57" t="str">
        <f>_xlfn.XLOOKUP(CONT_SUP[[#This Row],[StaffMemberCode]],StaffMembers!O:O,StaffMembers!R:R)</f>
        <v>Donna Sheppard</v>
      </c>
      <c r="AE15" s="12" t="s">
        <v>4227</v>
      </c>
      <c r="AF15" s="66">
        <f>_xlfn.XLOOKUP(CONT_SUP[[#This Row],[SRG]],SRG[StaffRoleGroupCode],SRG[GrossSalaryFinanceCode])</f>
        <v>625100</v>
      </c>
      <c r="AG15" s="57" t="str">
        <f>_xlfn.XLOOKUP(CONT_SUP[[#This Row],[StaffRoleCode]],ROLES[StaffRoleCode],ROLES[StaffRoleGroupCode])</f>
        <v>ADM</v>
      </c>
      <c r="AH15" s="57" t="str">
        <f>_xlfn.XLOOKUP(CONT_SUP[[#This Row],[StaffRoleCode]],ROLES[StaffRoleCode],ROLES[PayScaleCode])</f>
        <v>NJC_CHE</v>
      </c>
      <c r="AI15" s="12" t="s">
        <v>3121</v>
      </c>
      <c r="AJ15" s="12">
        <v>4</v>
      </c>
      <c r="AK15" s="12" t="s">
        <v>2483</v>
      </c>
      <c r="AM15" s="68" t="s">
        <v>3132</v>
      </c>
      <c r="AN15" s="12" t="s">
        <v>3134</v>
      </c>
      <c r="AO15" s="21">
        <v>45901</v>
      </c>
      <c r="AQ15" s="12">
        <v>19.5</v>
      </c>
      <c r="AR15" t="b">
        <v>0</v>
      </c>
      <c r="AS15" t="b">
        <v>0</v>
      </c>
      <c r="AT15" s="12" t="s">
        <v>1574</v>
      </c>
    </row>
    <row r="16" spans="1:47" x14ac:dyDescent="0.3">
      <c r="A16" s="57" t="str">
        <f t="shared" si="0"/>
        <v>PTP9107393991073939ACLER_OFFSFIN45901</v>
      </c>
      <c r="B16" s="57">
        <f>COUNTIF(CONT_SUP[Unique Contract],CONT_SUP[[#This Row],[Unique Contract]])-1</f>
        <v>0</v>
      </c>
      <c r="C16" s="57">
        <f>IFERROR(IF(FIND(CONT_SUP[[#This Row],[SchoolCode]],_xlfn.XLOOKUP(CONT_SUP[[#This Row],[StaffMemberCode]],MEMBERS[StaffMemberCode],MEMBERS[SchoolCodes]))&gt;0,0,1),1)</f>
        <v>0</v>
      </c>
      <c r="D16" s="57" cm="1">
        <f t="array" ref="D16">IF(_xlfn.XLOOKUP(CONT_SUP[[#This Row],[StaffRoleCode]],ROLES[StaffRoleCode],ROLES[AvailableToAllSchools],1,0,)=TRUE,0,IF(ISERROR(FIND(CONT_SUP[[#This Row],[SchoolCode]],_xlfn.TEXTJOIN(",",TRUE,_xlfn.UNIQUE(IF(ROLES[StaffRoleCode]=CONT_SUP[[#This Row],[StaffRoleCode]],ROLES[SchoolCodes],""))))),1,0))</f>
        <v>0</v>
      </c>
      <c r="E16" s="66" cm="1">
        <f t="array" ref="E1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6" s="57" cm="1">
        <f t="array" ref="F16">IF(_xlfn.XLOOKUP(CONT_SUP[[#This Row],[PayScaleCode]],PAYSCALES[PayScaleCode],PAYSCALES[AvailableToAllSchools],1,0,)=TRUE,0,IF(ISERROR(FIND(CONT_SUP[[#This Row],[SchoolCode]],_xlfn.TEXTJOIN(",",TRUE,_xlfn.UNIQUE(IF(PAYSCALES[PayScaleCode]=CONT_SUP[[#This Row],[PayScaleCode]],PAYSCALES[SchoolCodes],""))))),1,0))</f>
        <v>0</v>
      </c>
      <c r="G16" s="57">
        <f>IF(_xlfn.XLOOKUP(CONT_SUP[[#This Row],[PayScaleGradeCode]],GRADES[PayScaleGradeCode],GRADES[AvailableToAllSchools])=TRUE,0,IFERROR(IF(FIND(CONT_SUP[[#This Row],[SchoolCode]],_xlfn.XLOOKUP(CONT_SUP[[#This Row],[PayScaleGradeCode]],GRADES[PayScaleGradeCode],GRADES[SchoolCodes]))&gt;=1,0,1),1))</f>
        <v>0</v>
      </c>
      <c r="H16" s="66">
        <f>IF(ISERROR(IF((_xlfn.XLOOKUP(CONT_SUP[[#This Row],[PayScaleGradeCode]],GRADES[PayScaleGradeCode],GRADES[PayScaleCode])=CONT_SUP[[#This Row],[PayScaleCode]]),0,1)),1,0)</f>
        <v>0</v>
      </c>
      <c r="I16" s="66" cm="1">
        <f t="array" ref="I16">IF(ISERROR(FIND(CONT_SUP[[#This Row],[PayScalePointCode]],_xlfn.TEXTJOIN(",",TRUE,IF(PSPOINTS[PayScaleCode]=CONT_SUP[[#This Row],[PayScaleCode]],PSPOINTS[PayScalePointCode])))),1,0)</f>
        <v>0</v>
      </c>
      <c r="J16" s="57" cm="1">
        <f t="array" ref="J1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6" s="66">
        <f>IF(_xlfn.XLOOKUP(CONT_SUP[[#This Row],[PayScalePointCode]],PSPOINTS[PayScalePointCode],PSPOINTS[PayScalePointEnabled])=TRUE,0,1)</f>
        <v>0</v>
      </c>
      <c r="L16" s="57" cm="1">
        <f t="array" ref="L16">IF(_xlfn.XLOOKUP(CONT_SUP[[#This Row],[DepartmentCode]],DEPTS[DepartmentCode],DEPTS[AvailableToAllSchools],1,0,)=TRUE,0,IF(ISERROR(FIND(CONT_SUP[[#This Row],[SchoolCode]],_xlfn.TEXTJOIN(",",TRUE,_xlfn.UNIQUE(IF(DEPTS[DepartmentCode]=CONT_SUP[[#This Row],[DepartmentCode]],DEPTS[SchoolCodes],""))))),1,0))</f>
        <v>0</v>
      </c>
      <c r="M16" s="57">
        <f>IFERROR(IF(_xlfn.XLOOKUP(CONT_SUP[[#This Row],[SRG Gross]],FinanceCodesBudget[FinanceCode],FinanceCodesBudget[LedgerCode])=_xlfn.XLOOKUP(CONT_SUP[[#This Row],[DepartmentCode]],DEPTS[DepartmentCode],DEPTS[LedgerCode]),0,1),1)</f>
        <v>0</v>
      </c>
      <c r="N16" s="66" cm="1">
        <f t="array" ref="N16">IF(_xlfn.XLOOKUP(CONT_SUP[[#This Row],[PensionCode]],PENS[PensionCode],PENS[AvailableToAllSchools],1,0,)=TRUE,0,IF(ISERROR(FIND(CONT_SUP[[#This Row],[SchoolCode]],_xlfn.TEXTJOIN(",",TRUE,_xlfn.UNIQUE(IF(PENS[PensionCode]=CONT_SUP[[#This Row],[PensionCode]],PENS[SchoolCodes],""))))),1,0))</f>
        <v>0</v>
      </c>
      <c r="O16" s="66" cm="1">
        <f t="array" ref="O16">IF(_xlfn.XLOOKUP(CONT_SUP[[#This Row],[EquatedWeekPatternCode]],EQW[EquatedWeekPatternCode],EQW[AvailableToAllSchools],1,0,)=TRUE,0,IF(ISERROR(FIND(CONT_SUP[[#This Row],[SchoolCode]],_xlfn.TEXTJOIN(",",TRUE,_xlfn.UNIQUE(IF(EQW[EquatedWeekPatternCode]=CONT_SUP[[#This Row],[EquatedWeekPatternCode]],EQW[SchoolCodes],""))))),1,0))</f>
        <v>0</v>
      </c>
      <c r="P16" s="57">
        <f>1-COUNTIF(ContractTypes[Code],CONT_SUP[[#This Row],[ContractTypeCode]])</f>
        <v>0</v>
      </c>
      <c r="Q16" s="57">
        <f>IF(VLOOKUP(CONT_SUP[[#This Row],[StaffMemberCode]],MEMBERS[[StaffMemberCode]:[ServiceStartDate]],5,0)&gt;CONT_SUP[[#This Row],[DateFrom]],1,0)</f>
        <v>0</v>
      </c>
      <c r="R16" s="57">
        <f>IF(_xlfn.XLOOKUP(CONT_SUP[[#This Row],[StaffMemberCode]],MEMBERS[StaffMemberCode],MEMBERS[ServiceEndDate])="",0,IF(CONT_SUP[[#This Row],[DateTo]]="",1,IF(_xlfn.XLOOKUP(CONT_SUP[[#This Row],[StaffMemberCode]],MEMBERS[StaffMemberCode],MEMBERS[ServiceEndDate])&lt;CONT_SUP[[#This Row],[DateTo]],1,0)))</f>
        <v>0</v>
      </c>
      <c r="S16" s="57">
        <f>IF(ISBLANK(CONT_SUP[[#This Row],[DateTo]]),0,IF(CONT_SUP[[#This Row],[DateFrom]]=CONT_SUP[[#This Row],[DateTo]],0,IF(CONT_SUP[[#This Row],[DateFrom]]&lt;CONT_SUP[[#This Row],[DateTo]],0,1)))</f>
        <v>0</v>
      </c>
      <c r="T16" s="57" cm="1">
        <f t="array" aca="1" ref="T16" ca="1">IF(CELL("format",CONT_SUP[[#This Row],[DateFrom]])="D1",0,1)+IF(CELL("format",CONT_SUP[[#This Row],[DateTo]])="D1",0,1)</f>
        <v>0</v>
      </c>
      <c r="U16" s="57">
        <f>IF(OR(CONT_SUP[[#This Row],[MatEditOnly]]=TRUE,CONT_SUP[[#This Row],[MatEditOnly]]=FALSE),IF(OR(CONT_SUP[[#This Row],[NoIncrement]]=TRUE,CONT_SUP[[#This Row],[NoIncrement]]=FALSE),0,1),1)</f>
        <v>0</v>
      </c>
      <c r="V16" s="57">
        <f>IF(ISBLANK(CONT_SUP[[#This Row],[FundCode]])=TRUE,0,IF(COUNTIF(FUNDS[FundCode],CONT_SUP[[#This Row],[FundCode]])=1,0,1))</f>
        <v>0</v>
      </c>
      <c r="W16" s="57">
        <f>IF(LEN(CONT_SUP[[#This Row],[Notes]])&lt;4000,0,1)</f>
        <v>0</v>
      </c>
      <c r="X16" s="57">
        <f>IF(SUBSTITUTE(TEXT(CONT_SUP[[#This Row],[Reference]],10)," ","")=TEXT(CONT_SUP[[#This Row],[Reference]],10),0,1)</f>
        <v>0</v>
      </c>
      <c r="Y16" s="57">
        <f ca="1">SUM(CONT_SUP[[#This Row],[Duplicate Contract]:[Space in Code]])</f>
        <v>0</v>
      </c>
      <c r="AA16" s="12" t="s">
        <v>2299</v>
      </c>
      <c r="AB16" s="63">
        <v>91073939</v>
      </c>
      <c r="AC16" s="63" t="s">
        <v>4614</v>
      </c>
      <c r="AD16" s="57" t="str">
        <f>_xlfn.XLOOKUP(CONT_SUP[[#This Row],[StaffMemberCode]],StaffMembers!O:O,StaffMembers!R:R)</f>
        <v>Nicola Stocks-Moore</v>
      </c>
      <c r="AE16" s="12" t="s">
        <v>4227</v>
      </c>
      <c r="AF16" s="66">
        <f>_xlfn.XLOOKUP(CONT_SUP[[#This Row],[SRG]],SRG[StaffRoleGroupCode],SRG[GrossSalaryFinanceCode])</f>
        <v>625100</v>
      </c>
      <c r="AG16" s="57" t="str">
        <f>_xlfn.XLOOKUP(CONT_SUP[[#This Row],[StaffRoleCode]],ROLES[StaffRoleCode],ROLES[StaffRoleGroupCode])</f>
        <v>ADM</v>
      </c>
      <c r="AH16" s="57" t="str">
        <f>_xlfn.XLOOKUP(CONT_SUP[[#This Row],[StaffRoleCode]],ROLES[StaffRoleCode],ROLES[PayScaleCode])</f>
        <v>NJC_CHE</v>
      </c>
      <c r="AI16" s="12" t="s">
        <v>3122</v>
      </c>
      <c r="AJ16" s="12">
        <v>6</v>
      </c>
      <c r="AK16" s="12" t="s">
        <v>2483</v>
      </c>
      <c r="AM16" s="68" t="s">
        <v>3132</v>
      </c>
      <c r="AN16" s="12" t="s">
        <v>3134</v>
      </c>
      <c r="AO16" s="21">
        <v>45901</v>
      </c>
      <c r="AQ16" s="12">
        <v>6</v>
      </c>
      <c r="AR16" t="b">
        <v>0</v>
      </c>
      <c r="AS16" t="b">
        <v>0</v>
      </c>
      <c r="AT16" s="12" t="s">
        <v>1574</v>
      </c>
    </row>
    <row r="17" spans="1:46" x14ac:dyDescent="0.3">
      <c r="A17" s="57" t="str">
        <f t="shared" si="0"/>
        <v>PTP9107393991073939BCLER_GOVSFIN45901</v>
      </c>
      <c r="B17" s="57">
        <f>COUNTIF(CONT_SUP[Unique Contract],CONT_SUP[[#This Row],[Unique Contract]])-1</f>
        <v>0</v>
      </c>
      <c r="C17" s="57">
        <f>IFERROR(IF(FIND(CONT_SUP[[#This Row],[SchoolCode]],_xlfn.XLOOKUP(CONT_SUP[[#This Row],[StaffMemberCode]],MEMBERS[StaffMemberCode],MEMBERS[SchoolCodes]))&gt;0,0,1),1)</f>
        <v>0</v>
      </c>
      <c r="D17" s="57" cm="1">
        <f t="array" ref="D17">IF(_xlfn.XLOOKUP(CONT_SUP[[#This Row],[StaffRoleCode]],ROLES[StaffRoleCode],ROLES[AvailableToAllSchools],1,0,)=TRUE,0,IF(ISERROR(FIND(CONT_SUP[[#This Row],[SchoolCode]],_xlfn.TEXTJOIN(",",TRUE,_xlfn.UNIQUE(IF(ROLES[StaffRoleCode]=CONT_SUP[[#This Row],[StaffRoleCode]],ROLES[SchoolCodes],""))))),1,0))</f>
        <v>0</v>
      </c>
      <c r="E17" s="66" cm="1">
        <f t="array" ref="E1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7" s="57" cm="1">
        <f t="array" ref="F17">IF(_xlfn.XLOOKUP(CONT_SUP[[#This Row],[PayScaleCode]],PAYSCALES[PayScaleCode],PAYSCALES[AvailableToAllSchools],1,0,)=TRUE,0,IF(ISERROR(FIND(CONT_SUP[[#This Row],[SchoolCode]],_xlfn.TEXTJOIN(",",TRUE,_xlfn.UNIQUE(IF(PAYSCALES[PayScaleCode]=CONT_SUP[[#This Row],[PayScaleCode]],PAYSCALES[SchoolCodes],""))))),1,0))</f>
        <v>0</v>
      </c>
      <c r="G17" s="57">
        <f>IF(_xlfn.XLOOKUP(CONT_SUP[[#This Row],[PayScaleGradeCode]],GRADES[PayScaleGradeCode],GRADES[AvailableToAllSchools])=TRUE,0,IFERROR(IF(FIND(CONT_SUP[[#This Row],[SchoolCode]],_xlfn.XLOOKUP(CONT_SUP[[#This Row],[PayScaleGradeCode]],GRADES[PayScaleGradeCode],GRADES[SchoolCodes]))&gt;=1,0,1),1))</f>
        <v>0</v>
      </c>
      <c r="H17" s="66">
        <f>IF(ISERROR(IF((_xlfn.XLOOKUP(CONT_SUP[[#This Row],[PayScaleGradeCode]],GRADES[PayScaleGradeCode],GRADES[PayScaleCode])=CONT_SUP[[#This Row],[PayScaleCode]]),0,1)),1,0)</f>
        <v>0</v>
      </c>
      <c r="I17" s="66" cm="1">
        <f t="array" ref="I17">IF(ISERROR(FIND(CONT_SUP[[#This Row],[PayScalePointCode]],_xlfn.TEXTJOIN(",",TRUE,IF(PSPOINTS[PayScaleCode]=CONT_SUP[[#This Row],[PayScaleCode]],PSPOINTS[PayScalePointCode])))),1,0)</f>
        <v>0</v>
      </c>
      <c r="J17" s="57" cm="1">
        <f t="array" ref="J1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7" s="66">
        <f>IF(_xlfn.XLOOKUP(CONT_SUP[[#This Row],[PayScalePointCode]],PSPOINTS[PayScalePointCode],PSPOINTS[PayScalePointEnabled])=TRUE,0,1)</f>
        <v>0</v>
      </c>
      <c r="L17" s="57" cm="1">
        <f t="array" ref="L17">IF(_xlfn.XLOOKUP(CONT_SUP[[#This Row],[DepartmentCode]],DEPTS[DepartmentCode],DEPTS[AvailableToAllSchools],1,0,)=TRUE,0,IF(ISERROR(FIND(CONT_SUP[[#This Row],[SchoolCode]],_xlfn.TEXTJOIN(",",TRUE,_xlfn.UNIQUE(IF(DEPTS[DepartmentCode]=CONT_SUP[[#This Row],[DepartmentCode]],DEPTS[SchoolCodes],""))))),1,0))</f>
        <v>0</v>
      </c>
      <c r="M17" s="57">
        <f>IFERROR(IF(_xlfn.XLOOKUP(CONT_SUP[[#This Row],[SRG Gross]],FinanceCodesBudget[FinanceCode],FinanceCodesBudget[LedgerCode])=_xlfn.XLOOKUP(CONT_SUP[[#This Row],[DepartmentCode]],DEPTS[DepartmentCode],DEPTS[LedgerCode]),0,1),1)</f>
        <v>0</v>
      </c>
      <c r="N17" s="66" cm="1">
        <f t="array" ref="N17">IF(_xlfn.XLOOKUP(CONT_SUP[[#This Row],[PensionCode]],PENS[PensionCode],PENS[AvailableToAllSchools],1,0,)=TRUE,0,IF(ISERROR(FIND(CONT_SUP[[#This Row],[SchoolCode]],_xlfn.TEXTJOIN(",",TRUE,_xlfn.UNIQUE(IF(PENS[PensionCode]=CONT_SUP[[#This Row],[PensionCode]],PENS[SchoolCodes],""))))),1,0))</f>
        <v>0</v>
      </c>
      <c r="O17" s="66" cm="1">
        <f t="array" ref="O17">IF(_xlfn.XLOOKUP(CONT_SUP[[#This Row],[EquatedWeekPatternCode]],EQW[EquatedWeekPatternCode],EQW[AvailableToAllSchools],1,0,)=TRUE,0,IF(ISERROR(FIND(CONT_SUP[[#This Row],[SchoolCode]],_xlfn.TEXTJOIN(",",TRUE,_xlfn.UNIQUE(IF(EQW[EquatedWeekPatternCode]=CONT_SUP[[#This Row],[EquatedWeekPatternCode]],EQW[SchoolCodes],""))))),1,0))</f>
        <v>0</v>
      </c>
      <c r="P17" s="57">
        <f>1-COUNTIF(ContractTypes[Code],CONT_SUP[[#This Row],[ContractTypeCode]])</f>
        <v>0</v>
      </c>
      <c r="Q17" s="57">
        <f>IF(VLOOKUP(CONT_SUP[[#This Row],[StaffMemberCode]],MEMBERS[[StaffMemberCode]:[ServiceStartDate]],5,0)&gt;CONT_SUP[[#This Row],[DateFrom]],1,0)</f>
        <v>0</v>
      </c>
      <c r="R17" s="57">
        <f>IF(_xlfn.XLOOKUP(CONT_SUP[[#This Row],[StaffMemberCode]],MEMBERS[StaffMemberCode],MEMBERS[ServiceEndDate])="",0,IF(CONT_SUP[[#This Row],[DateTo]]="",1,IF(_xlfn.XLOOKUP(CONT_SUP[[#This Row],[StaffMemberCode]],MEMBERS[StaffMemberCode],MEMBERS[ServiceEndDate])&lt;CONT_SUP[[#This Row],[DateTo]],1,0)))</f>
        <v>0</v>
      </c>
      <c r="S17" s="57">
        <f>IF(ISBLANK(CONT_SUP[[#This Row],[DateTo]]),0,IF(CONT_SUP[[#This Row],[DateFrom]]=CONT_SUP[[#This Row],[DateTo]],0,IF(CONT_SUP[[#This Row],[DateFrom]]&lt;CONT_SUP[[#This Row],[DateTo]],0,1)))</f>
        <v>0</v>
      </c>
      <c r="T17" s="57" cm="1">
        <f t="array" aca="1" ref="T17" ca="1">IF(CELL("format",CONT_SUP[[#This Row],[DateFrom]])="D1",0,1)+IF(CELL("format",CONT_SUP[[#This Row],[DateTo]])="D1",0,1)</f>
        <v>0</v>
      </c>
      <c r="U17" s="57">
        <f>IF(OR(CONT_SUP[[#This Row],[MatEditOnly]]=TRUE,CONT_SUP[[#This Row],[MatEditOnly]]=FALSE),IF(OR(CONT_SUP[[#This Row],[NoIncrement]]=TRUE,CONT_SUP[[#This Row],[NoIncrement]]=FALSE),0,1),1)</f>
        <v>0</v>
      </c>
      <c r="V17" s="57">
        <f>IF(ISBLANK(CONT_SUP[[#This Row],[FundCode]])=TRUE,0,IF(COUNTIF(FUNDS[FundCode],CONT_SUP[[#This Row],[FundCode]])=1,0,1))</f>
        <v>0</v>
      </c>
      <c r="W17" s="57">
        <f>IF(LEN(CONT_SUP[[#This Row],[Notes]])&lt;4000,0,1)</f>
        <v>0</v>
      </c>
      <c r="X17" s="57">
        <f>IF(SUBSTITUTE(TEXT(CONT_SUP[[#This Row],[Reference]],10)," ","")=TEXT(CONT_SUP[[#This Row],[Reference]],10),0,1)</f>
        <v>0</v>
      </c>
      <c r="Y17" s="57">
        <f ca="1">SUM(CONT_SUP[[#This Row],[Duplicate Contract]:[Space in Code]])</f>
        <v>0</v>
      </c>
      <c r="AA17" s="12" t="s">
        <v>2299</v>
      </c>
      <c r="AB17" s="63">
        <v>91073939</v>
      </c>
      <c r="AC17" s="63" t="s">
        <v>4615</v>
      </c>
      <c r="AD17" s="57" t="str">
        <f>_xlfn.XLOOKUP(CONT_SUP[[#This Row],[StaffMemberCode]],StaffMembers!O:O,StaffMembers!R:R)</f>
        <v>Nicola Stocks-Moore</v>
      </c>
      <c r="AE17" s="12" t="s">
        <v>4229</v>
      </c>
      <c r="AF17" s="66">
        <f>_xlfn.XLOOKUP(CONT_SUP[[#This Row],[SRG]],SRG[StaffRoleGroupCode],SRG[GrossSalaryFinanceCode])</f>
        <v>625100</v>
      </c>
      <c r="AG17" s="57" t="str">
        <f>_xlfn.XLOOKUP(CONT_SUP[[#This Row],[StaffRoleCode]],ROLES[StaffRoleCode],ROLES[StaffRoleGroupCode])</f>
        <v>ADM</v>
      </c>
      <c r="AH17" s="57" t="str">
        <f>_xlfn.XLOOKUP(CONT_SUP[[#This Row],[StaffRoleCode]],ROLES[StaffRoleCode],ROLES[PayScaleCode])</f>
        <v>NJC_CHE</v>
      </c>
      <c r="AI17" s="12" t="s">
        <v>3124</v>
      </c>
      <c r="AJ17" s="12">
        <v>12</v>
      </c>
      <c r="AK17" s="12" t="s">
        <v>2483</v>
      </c>
      <c r="AM17" s="68" t="s">
        <v>3132</v>
      </c>
      <c r="AN17" s="12" t="s">
        <v>3134</v>
      </c>
      <c r="AO17" s="21">
        <v>45901</v>
      </c>
      <c r="AQ17" s="12">
        <v>4</v>
      </c>
      <c r="AR17" t="b">
        <v>0</v>
      </c>
      <c r="AS17" t="b">
        <v>0</v>
      </c>
      <c r="AT17" s="12" t="s">
        <v>1574</v>
      </c>
    </row>
    <row r="18" spans="1:46" x14ac:dyDescent="0.3">
      <c r="A18" s="57" t="str">
        <f t="shared" si="0"/>
        <v>AUD9107365991073659ACLER_GOVSFIN45901</v>
      </c>
      <c r="B18" s="57">
        <f>COUNTIF(CONT_SUP[Unique Contract],CONT_SUP[[#This Row],[Unique Contract]])-1</f>
        <v>0</v>
      </c>
      <c r="C18" s="57">
        <f>IFERROR(IF(FIND(CONT_SUP[[#This Row],[SchoolCode]],_xlfn.XLOOKUP(CONT_SUP[[#This Row],[StaffMemberCode]],MEMBERS[StaffMemberCode],MEMBERS[SchoolCodes]))&gt;0,0,1),1)</f>
        <v>0</v>
      </c>
      <c r="D18" s="57" cm="1">
        <f t="array" ref="D18">IF(_xlfn.XLOOKUP(CONT_SUP[[#This Row],[StaffRoleCode]],ROLES[StaffRoleCode],ROLES[AvailableToAllSchools],1,0,)=TRUE,0,IF(ISERROR(FIND(CONT_SUP[[#This Row],[SchoolCode]],_xlfn.TEXTJOIN(",",TRUE,_xlfn.UNIQUE(IF(ROLES[StaffRoleCode]=CONT_SUP[[#This Row],[StaffRoleCode]],ROLES[SchoolCodes],""))))),1,0))</f>
        <v>0</v>
      </c>
      <c r="E18" s="66" cm="1">
        <f t="array" ref="E1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8" s="57" cm="1">
        <f t="array" ref="F18">IF(_xlfn.XLOOKUP(CONT_SUP[[#This Row],[PayScaleCode]],PAYSCALES[PayScaleCode],PAYSCALES[AvailableToAllSchools],1,0,)=TRUE,0,IF(ISERROR(FIND(CONT_SUP[[#This Row],[SchoolCode]],_xlfn.TEXTJOIN(",",TRUE,_xlfn.UNIQUE(IF(PAYSCALES[PayScaleCode]=CONT_SUP[[#This Row],[PayScaleCode]],PAYSCALES[SchoolCodes],""))))),1,0))</f>
        <v>0</v>
      </c>
      <c r="G18" s="57">
        <f>IF(_xlfn.XLOOKUP(CONT_SUP[[#This Row],[PayScaleGradeCode]],GRADES[PayScaleGradeCode],GRADES[AvailableToAllSchools])=TRUE,0,IFERROR(IF(FIND(CONT_SUP[[#This Row],[SchoolCode]],_xlfn.XLOOKUP(CONT_SUP[[#This Row],[PayScaleGradeCode]],GRADES[PayScaleGradeCode],GRADES[SchoolCodes]))&gt;=1,0,1),1))</f>
        <v>0</v>
      </c>
      <c r="H18" s="66">
        <f>IF(ISERROR(IF((_xlfn.XLOOKUP(CONT_SUP[[#This Row],[PayScaleGradeCode]],GRADES[PayScaleGradeCode],GRADES[PayScaleCode])=CONT_SUP[[#This Row],[PayScaleCode]]),0,1)),1,0)</f>
        <v>0</v>
      </c>
      <c r="I18" s="66" cm="1">
        <f t="array" ref="I18">IF(ISERROR(FIND(CONT_SUP[[#This Row],[PayScalePointCode]],_xlfn.TEXTJOIN(",",TRUE,IF(PSPOINTS[PayScaleCode]=CONT_SUP[[#This Row],[PayScaleCode]],PSPOINTS[PayScalePointCode])))),1,0)</f>
        <v>0</v>
      </c>
      <c r="J18" s="57" cm="1">
        <f t="array" ref="J1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8" s="66">
        <f>IF(_xlfn.XLOOKUP(CONT_SUP[[#This Row],[PayScalePointCode]],PSPOINTS[PayScalePointCode],PSPOINTS[PayScalePointEnabled])=TRUE,0,1)</f>
        <v>0</v>
      </c>
      <c r="L18" s="57" cm="1">
        <f t="array" ref="L18">IF(_xlfn.XLOOKUP(CONT_SUP[[#This Row],[DepartmentCode]],DEPTS[DepartmentCode],DEPTS[AvailableToAllSchools],1,0,)=TRUE,0,IF(ISERROR(FIND(CONT_SUP[[#This Row],[SchoolCode]],_xlfn.TEXTJOIN(",",TRUE,_xlfn.UNIQUE(IF(DEPTS[DepartmentCode]=CONT_SUP[[#This Row],[DepartmentCode]],DEPTS[SchoolCodes],""))))),1,0))</f>
        <v>0</v>
      </c>
      <c r="M18" s="57">
        <f>IFERROR(IF(_xlfn.XLOOKUP(CONT_SUP[[#This Row],[SRG Gross]],FinanceCodesBudget[FinanceCode],FinanceCodesBudget[LedgerCode])=_xlfn.XLOOKUP(CONT_SUP[[#This Row],[DepartmentCode]],DEPTS[DepartmentCode],DEPTS[LedgerCode]),0,1),1)</f>
        <v>0</v>
      </c>
      <c r="N18" s="66" cm="1">
        <f t="array" ref="N18">IF(_xlfn.XLOOKUP(CONT_SUP[[#This Row],[PensionCode]],PENS[PensionCode],PENS[AvailableToAllSchools],1,0,)=TRUE,0,IF(ISERROR(FIND(CONT_SUP[[#This Row],[SchoolCode]],_xlfn.TEXTJOIN(",",TRUE,_xlfn.UNIQUE(IF(PENS[PensionCode]=CONT_SUP[[#This Row],[PensionCode]],PENS[SchoolCodes],""))))),1,0))</f>
        <v>0</v>
      </c>
      <c r="O18" s="66" cm="1">
        <f t="array" ref="O18">IF(_xlfn.XLOOKUP(CONT_SUP[[#This Row],[EquatedWeekPatternCode]],EQW[EquatedWeekPatternCode],EQW[AvailableToAllSchools],1,0,)=TRUE,0,IF(ISERROR(FIND(CONT_SUP[[#This Row],[SchoolCode]],_xlfn.TEXTJOIN(",",TRUE,_xlfn.UNIQUE(IF(EQW[EquatedWeekPatternCode]=CONT_SUP[[#This Row],[EquatedWeekPatternCode]],EQW[SchoolCodes],""))))),1,0))</f>
        <v>0</v>
      </c>
      <c r="P18" s="57">
        <f>1-COUNTIF(ContractTypes[Code],CONT_SUP[[#This Row],[ContractTypeCode]])</f>
        <v>0</v>
      </c>
      <c r="Q18" s="57">
        <f>IF(VLOOKUP(CONT_SUP[[#This Row],[StaffMemberCode]],MEMBERS[[StaffMemberCode]:[ServiceStartDate]],5,0)&gt;CONT_SUP[[#This Row],[DateFrom]],1,0)</f>
        <v>0</v>
      </c>
      <c r="R18" s="57">
        <f>IF(_xlfn.XLOOKUP(CONT_SUP[[#This Row],[StaffMemberCode]],MEMBERS[StaffMemberCode],MEMBERS[ServiceEndDate])="",0,IF(CONT_SUP[[#This Row],[DateTo]]="",1,IF(_xlfn.XLOOKUP(CONT_SUP[[#This Row],[StaffMemberCode]],MEMBERS[StaffMemberCode],MEMBERS[ServiceEndDate])&lt;CONT_SUP[[#This Row],[DateTo]],1,0)))</f>
        <v>0</v>
      </c>
      <c r="S18" s="57">
        <f>IF(ISBLANK(CONT_SUP[[#This Row],[DateTo]]),0,IF(CONT_SUP[[#This Row],[DateFrom]]=CONT_SUP[[#This Row],[DateTo]],0,IF(CONT_SUP[[#This Row],[DateFrom]]&lt;CONT_SUP[[#This Row],[DateTo]],0,1)))</f>
        <v>0</v>
      </c>
      <c r="T18" s="57" cm="1">
        <f t="array" aca="1" ref="T18" ca="1">IF(CELL("format",CONT_SUP[[#This Row],[DateFrom]])="D1",0,1)+IF(CELL("format",CONT_SUP[[#This Row],[DateTo]])="D1",0,1)</f>
        <v>0</v>
      </c>
      <c r="U18" s="57">
        <f>IF(OR(CONT_SUP[[#This Row],[MatEditOnly]]=TRUE,CONT_SUP[[#This Row],[MatEditOnly]]=FALSE),IF(OR(CONT_SUP[[#This Row],[NoIncrement]]=TRUE,CONT_SUP[[#This Row],[NoIncrement]]=FALSE),0,1),1)</f>
        <v>0</v>
      </c>
      <c r="V18" s="57">
        <f>IF(ISBLANK(CONT_SUP[[#This Row],[FundCode]])=TRUE,0,IF(COUNTIF(FUNDS[FundCode],CONT_SUP[[#This Row],[FundCode]])=1,0,1))</f>
        <v>0</v>
      </c>
      <c r="W18" s="57">
        <f>IF(LEN(CONT_SUP[[#This Row],[Notes]])&lt;4000,0,1)</f>
        <v>0</v>
      </c>
      <c r="X18" s="57">
        <f>IF(SUBSTITUTE(TEXT(CONT_SUP[[#This Row],[Reference]],10)," ","")=TEXT(CONT_SUP[[#This Row],[Reference]],10),0,1)</f>
        <v>0</v>
      </c>
      <c r="Y18" s="57">
        <f ca="1">SUM(CONT_SUP[[#This Row],[Duplicate Contract]:[Space in Code]])</f>
        <v>0</v>
      </c>
      <c r="AA18" s="12" t="s">
        <v>2089</v>
      </c>
      <c r="AB18" s="63">
        <v>91073659</v>
      </c>
      <c r="AC18" s="63" t="s">
        <v>4616</v>
      </c>
      <c r="AD18" s="57" t="str">
        <f>_xlfn.XLOOKUP(CONT_SUP[[#This Row],[StaffMemberCode]],StaffMembers!O:O,StaffMembers!R:R)</f>
        <v>Samantha Davies</v>
      </c>
      <c r="AE18" s="12" t="s">
        <v>4229</v>
      </c>
      <c r="AF18" s="66">
        <f>_xlfn.XLOOKUP(CONT_SUP[[#This Row],[SRG]],SRG[StaffRoleGroupCode],SRG[GrossSalaryFinanceCode])</f>
        <v>625100</v>
      </c>
      <c r="AG18" s="57" t="str">
        <f>_xlfn.XLOOKUP(CONT_SUP[[#This Row],[StaffRoleCode]],ROLES[StaffRoleCode],ROLES[StaffRoleGroupCode])</f>
        <v>ADM</v>
      </c>
      <c r="AH18" s="57" t="str">
        <f>_xlfn.XLOOKUP(CONT_SUP[[#This Row],[StaffRoleCode]],ROLES[StaffRoleCode],ROLES[PayScaleCode])</f>
        <v>NJC_CHE</v>
      </c>
      <c r="AI18" s="12" t="s">
        <v>3124</v>
      </c>
      <c r="AJ18" s="12">
        <v>15</v>
      </c>
      <c r="AK18" s="12" t="s">
        <v>2483</v>
      </c>
      <c r="AM18" s="68" t="s">
        <v>3132</v>
      </c>
      <c r="AN18" s="12" t="s">
        <v>3134</v>
      </c>
      <c r="AO18" s="21">
        <v>45901</v>
      </c>
      <c r="AQ18" s="12">
        <v>5.52</v>
      </c>
      <c r="AR18" t="b">
        <v>0</v>
      </c>
      <c r="AS18" t="b">
        <v>0</v>
      </c>
      <c r="AT18" s="12" t="s">
        <v>1574</v>
      </c>
    </row>
    <row r="19" spans="1:46" x14ac:dyDescent="0.3">
      <c r="A19" s="57" t="str">
        <f t="shared" si="0"/>
        <v>MAT9107391091073910ACLER_GOVSFINMAT45901</v>
      </c>
      <c r="B19" s="57">
        <f>COUNTIF(CONT_SUP[Unique Contract],CONT_SUP[[#This Row],[Unique Contract]])-1</f>
        <v>0</v>
      </c>
      <c r="C19" s="57">
        <f>IFERROR(IF(FIND(CONT_SUP[[#This Row],[SchoolCode]],_xlfn.XLOOKUP(CONT_SUP[[#This Row],[StaffMemberCode]],MEMBERS[StaffMemberCode],MEMBERS[SchoolCodes]))&gt;0,0,1),1)</f>
        <v>0</v>
      </c>
      <c r="D19" s="57" cm="1">
        <f t="array" ref="D19">IF(_xlfn.XLOOKUP(CONT_SUP[[#This Row],[StaffRoleCode]],ROLES[StaffRoleCode],ROLES[AvailableToAllSchools],1,0,)=TRUE,0,IF(ISERROR(FIND(CONT_SUP[[#This Row],[SchoolCode]],_xlfn.TEXTJOIN(",",TRUE,_xlfn.UNIQUE(IF(ROLES[StaffRoleCode]=CONT_SUP[[#This Row],[StaffRoleCode]],ROLES[SchoolCodes],""))))),1,0))</f>
        <v>0</v>
      </c>
      <c r="E19" s="66" cm="1">
        <f t="array" ref="E1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9" s="57" cm="1">
        <f t="array" ref="F19">IF(_xlfn.XLOOKUP(CONT_SUP[[#This Row],[PayScaleCode]],PAYSCALES[PayScaleCode],PAYSCALES[AvailableToAllSchools],1,0,)=TRUE,0,IF(ISERROR(FIND(CONT_SUP[[#This Row],[SchoolCode]],_xlfn.TEXTJOIN(",",TRUE,_xlfn.UNIQUE(IF(PAYSCALES[PayScaleCode]=CONT_SUP[[#This Row],[PayScaleCode]],PAYSCALES[SchoolCodes],""))))),1,0))</f>
        <v>0</v>
      </c>
      <c r="G19" s="57">
        <f>IF(_xlfn.XLOOKUP(CONT_SUP[[#This Row],[PayScaleGradeCode]],GRADES[PayScaleGradeCode],GRADES[AvailableToAllSchools])=TRUE,0,IFERROR(IF(FIND(CONT_SUP[[#This Row],[SchoolCode]],_xlfn.XLOOKUP(CONT_SUP[[#This Row],[PayScaleGradeCode]],GRADES[PayScaleGradeCode],GRADES[SchoolCodes]))&gt;=1,0,1),1))</f>
        <v>0</v>
      </c>
      <c r="H19" s="66">
        <f>IF(ISERROR(IF((_xlfn.XLOOKUP(CONT_SUP[[#This Row],[PayScaleGradeCode]],GRADES[PayScaleGradeCode],GRADES[PayScaleCode])=CONT_SUP[[#This Row],[PayScaleCode]]),0,1)),1,0)</f>
        <v>0</v>
      </c>
      <c r="I19" s="66" cm="1">
        <f t="array" ref="I19">IF(ISERROR(FIND(CONT_SUP[[#This Row],[PayScalePointCode]],_xlfn.TEXTJOIN(",",TRUE,IF(PSPOINTS[PayScaleCode]=CONT_SUP[[#This Row],[PayScaleCode]],PSPOINTS[PayScalePointCode])))),1,0)</f>
        <v>0</v>
      </c>
      <c r="J19" s="57" cm="1">
        <f t="array" ref="J1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9" s="66">
        <f>IF(_xlfn.XLOOKUP(CONT_SUP[[#This Row],[PayScalePointCode]],PSPOINTS[PayScalePointCode],PSPOINTS[PayScalePointEnabled])=TRUE,0,1)</f>
        <v>0</v>
      </c>
      <c r="L19" s="57" cm="1">
        <f t="array" ref="L19">IF(_xlfn.XLOOKUP(CONT_SUP[[#This Row],[DepartmentCode]],DEPTS[DepartmentCode],DEPTS[AvailableToAllSchools],1,0,)=TRUE,0,IF(ISERROR(FIND(CONT_SUP[[#This Row],[SchoolCode]],_xlfn.TEXTJOIN(",",TRUE,_xlfn.UNIQUE(IF(DEPTS[DepartmentCode]=CONT_SUP[[#This Row],[DepartmentCode]],DEPTS[SchoolCodes],""))))),1,0))</f>
        <v>0</v>
      </c>
      <c r="M19" s="57">
        <f>IFERROR(IF(_xlfn.XLOOKUP(CONT_SUP[[#This Row],[SRG Gross]],FinanceCodesBudget[FinanceCode],FinanceCodesBudget[LedgerCode])=_xlfn.XLOOKUP(CONT_SUP[[#This Row],[DepartmentCode]],DEPTS[DepartmentCode],DEPTS[LedgerCode]),0,1),1)</f>
        <v>0</v>
      </c>
      <c r="N19" s="66" cm="1">
        <f t="array" ref="N19">IF(_xlfn.XLOOKUP(CONT_SUP[[#This Row],[PensionCode]],PENS[PensionCode],PENS[AvailableToAllSchools],1,0,)=TRUE,0,IF(ISERROR(FIND(CONT_SUP[[#This Row],[SchoolCode]],_xlfn.TEXTJOIN(",",TRUE,_xlfn.UNIQUE(IF(PENS[PensionCode]=CONT_SUP[[#This Row],[PensionCode]],PENS[SchoolCodes],""))))),1,0))</f>
        <v>0</v>
      </c>
      <c r="O19" s="66" cm="1">
        <f t="array" ref="O19">IF(_xlfn.XLOOKUP(CONT_SUP[[#This Row],[EquatedWeekPatternCode]],EQW[EquatedWeekPatternCode],EQW[AvailableToAllSchools],1,0,)=TRUE,0,IF(ISERROR(FIND(CONT_SUP[[#This Row],[SchoolCode]],_xlfn.TEXTJOIN(",",TRUE,_xlfn.UNIQUE(IF(EQW[EquatedWeekPatternCode]=CONT_SUP[[#This Row],[EquatedWeekPatternCode]],EQW[SchoolCodes],""))))),1,0))</f>
        <v>0</v>
      </c>
      <c r="P19" s="57">
        <f>1-COUNTIF(ContractTypes[Code],CONT_SUP[[#This Row],[ContractTypeCode]])</f>
        <v>0</v>
      </c>
      <c r="Q19" s="57">
        <f>IF(VLOOKUP(CONT_SUP[[#This Row],[StaffMemberCode]],MEMBERS[[StaffMemberCode]:[ServiceStartDate]],5,0)&gt;CONT_SUP[[#This Row],[DateFrom]],1,0)</f>
        <v>0</v>
      </c>
      <c r="R19" s="57">
        <f>IF(_xlfn.XLOOKUP(CONT_SUP[[#This Row],[StaffMemberCode]],MEMBERS[StaffMemberCode],MEMBERS[ServiceEndDate])="",0,IF(CONT_SUP[[#This Row],[DateTo]]="",1,IF(_xlfn.XLOOKUP(CONT_SUP[[#This Row],[StaffMemberCode]],MEMBERS[StaffMemberCode],MEMBERS[ServiceEndDate])&lt;CONT_SUP[[#This Row],[DateTo]],1,0)))</f>
        <v>0</v>
      </c>
      <c r="S19" s="57">
        <f>IF(ISBLANK(CONT_SUP[[#This Row],[DateTo]]),0,IF(CONT_SUP[[#This Row],[DateFrom]]=CONT_SUP[[#This Row],[DateTo]],0,IF(CONT_SUP[[#This Row],[DateFrom]]&lt;CONT_SUP[[#This Row],[DateTo]],0,1)))</f>
        <v>0</v>
      </c>
      <c r="T19" s="57" cm="1">
        <f t="array" aca="1" ref="T19" ca="1">IF(CELL("format",CONT_SUP[[#This Row],[DateFrom]])="D1",0,1)+IF(CELL("format",CONT_SUP[[#This Row],[DateTo]])="D1",0,1)</f>
        <v>0</v>
      </c>
      <c r="U19" s="57">
        <f>IF(OR(CONT_SUP[[#This Row],[MatEditOnly]]=TRUE,CONT_SUP[[#This Row],[MatEditOnly]]=FALSE),IF(OR(CONT_SUP[[#This Row],[NoIncrement]]=TRUE,CONT_SUP[[#This Row],[NoIncrement]]=FALSE),0,1),1)</f>
        <v>0</v>
      </c>
      <c r="V19" s="57">
        <f>IF(ISBLANK(CONT_SUP[[#This Row],[FundCode]])=TRUE,0,IF(COUNTIF(FUNDS[FundCode],CONT_SUP[[#This Row],[FundCode]])=1,0,1))</f>
        <v>0</v>
      </c>
      <c r="W19" s="57">
        <f>IF(LEN(CONT_SUP[[#This Row],[Notes]])&lt;4000,0,1)</f>
        <v>0</v>
      </c>
      <c r="X19" s="57">
        <f>IF(SUBSTITUTE(TEXT(CONT_SUP[[#This Row],[Reference]],10)," ","")=TEXT(CONT_SUP[[#This Row],[Reference]],10),0,1)</f>
        <v>0</v>
      </c>
      <c r="Y19" s="57">
        <f ca="1">SUM(CONT_SUP[[#This Row],[Duplicate Contract]:[Space in Code]])</f>
        <v>0</v>
      </c>
      <c r="AA19" s="12" t="s">
        <v>51</v>
      </c>
      <c r="AB19" s="63">
        <v>91073910</v>
      </c>
      <c r="AC19" s="63" t="s">
        <v>4617</v>
      </c>
      <c r="AD19" s="57" t="str">
        <f>_xlfn.XLOOKUP(CONT_SUP[[#This Row],[StaffMemberCode]],StaffMembers!O:O,StaffMembers!R:R)</f>
        <v>Tara Sanchez</v>
      </c>
      <c r="AE19" s="12" t="s">
        <v>4229</v>
      </c>
      <c r="AF19" s="66">
        <f>_xlfn.XLOOKUP(CONT_SUP[[#This Row],[SRG]],SRG[StaffRoleGroupCode],SRG[GrossSalaryFinanceCode])</f>
        <v>625100</v>
      </c>
      <c r="AG19" s="57" t="str">
        <f>_xlfn.XLOOKUP(CONT_SUP[[#This Row],[StaffRoleCode]],ROLES[StaffRoleCode],ROLES[StaffRoleGroupCode])</f>
        <v>ADM</v>
      </c>
      <c r="AH19" s="57" t="str">
        <f>_xlfn.XLOOKUP(CONT_SUP[[#This Row],[StaffRoleCode]],ROLES[StaffRoleCode],ROLES[PayScaleCode])</f>
        <v>NJC_CHE</v>
      </c>
      <c r="AI19" s="12" t="s">
        <v>3124</v>
      </c>
      <c r="AJ19" s="12">
        <v>13</v>
      </c>
      <c r="AK19" s="12" t="s">
        <v>4925</v>
      </c>
      <c r="AM19" s="68" t="s">
        <v>3132</v>
      </c>
      <c r="AN19" s="12" t="s">
        <v>3134</v>
      </c>
      <c r="AO19" s="21">
        <v>45901</v>
      </c>
      <c r="AQ19" s="12">
        <v>5</v>
      </c>
      <c r="AR19" t="b">
        <v>0</v>
      </c>
      <c r="AS19" t="b">
        <v>0</v>
      </c>
      <c r="AT19" s="12" t="s">
        <v>1574</v>
      </c>
    </row>
    <row r="20" spans="1:46" x14ac:dyDescent="0.3">
      <c r="A20" s="57" t="str">
        <f t="shared" si="0"/>
        <v>BLS9107349191073491ACOV_OFFSFIN45901</v>
      </c>
      <c r="B20" s="57">
        <f>COUNTIF(CONT_SUP[Unique Contract],CONT_SUP[[#This Row],[Unique Contract]])-1</f>
        <v>0</v>
      </c>
      <c r="C20" s="57">
        <f>IFERROR(IF(FIND(CONT_SUP[[#This Row],[SchoolCode]],_xlfn.XLOOKUP(CONT_SUP[[#This Row],[StaffMemberCode]],MEMBERS[StaffMemberCode],MEMBERS[SchoolCodes]))&gt;0,0,1),1)</f>
        <v>0</v>
      </c>
      <c r="D20" s="57" cm="1">
        <f t="array" ref="D20">IF(_xlfn.XLOOKUP(CONT_SUP[[#This Row],[StaffRoleCode]],ROLES[StaffRoleCode],ROLES[AvailableToAllSchools],1,0,)=TRUE,0,IF(ISERROR(FIND(CONT_SUP[[#This Row],[SchoolCode]],_xlfn.TEXTJOIN(",",TRUE,_xlfn.UNIQUE(IF(ROLES[StaffRoleCode]=CONT_SUP[[#This Row],[StaffRoleCode]],ROLES[SchoolCodes],""))))),1,0))</f>
        <v>0</v>
      </c>
      <c r="E20" s="66" cm="1">
        <f t="array" ref="E2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0" s="57" cm="1">
        <f t="array" ref="F20">IF(_xlfn.XLOOKUP(CONT_SUP[[#This Row],[PayScaleCode]],PAYSCALES[PayScaleCode],PAYSCALES[AvailableToAllSchools],1,0,)=TRUE,0,IF(ISERROR(FIND(CONT_SUP[[#This Row],[SchoolCode]],_xlfn.TEXTJOIN(",",TRUE,_xlfn.UNIQUE(IF(PAYSCALES[PayScaleCode]=CONT_SUP[[#This Row],[PayScaleCode]],PAYSCALES[SchoolCodes],""))))),1,0))</f>
        <v>0</v>
      </c>
      <c r="G20" s="57">
        <f>IF(_xlfn.XLOOKUP(CONT_SUP[[#This Row],[PayScaleGradeCode]],GRADES[PayScaleGradeCode],GRADES[AvailableToAllSchools])=TRUE,0,IFERROR(IF(FIND(CONT_SUP[[#This Row],[SchoolCode]],_xlfn.XLOOKUP(CONT_SUP[[#This Row],[PayScaleGradeCode]],GRADES[PayScaleGradeCode],GRADES[SchoolCodes]))&gt;=1,0,1),1))</f>
        <v>0</v>
      </c>
      <c r="H20" s="66">
        <f>IF(ISERROR(IF((_xlfn.XLOOKUP(CONT_SUP[[#This Row],[PayScaleGradeCode]],GRADES[PayScaleGradeCode],GRADES[PayScaleCode])=CONT_SUP[[#This Row],[PayScaleCode]]),0,1)),1,0)</f>
        <v>0</v>
      </c>
      <c r="I20" s="66" cm="1">
        <f t="array" ref="I20">IF(ISERROR(FIND(CONT_SUP[[#This Row],[PayScalePointCode]],_xlfn.TEXTJOIN(",",TRUE,IF(PSPOINTS[PayScaleCode]=CONT_SUP[[#This Row],[PayScaleCode]],PSPOINTS[PayScalePointCode])))),1,0)</f>
        <v>0</v>
      </c>
      <c r="J20" s="57" cm="1">
        <f t="array" ref="J2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0" s="66">
        <f>IF(_xlfn.XLOOKUP(CONT_SUP[[#This Row],[PayScalePointCode]],PSPOINTS[PayScalePointCode],PSPOINTS[PayScalePointEnabled])=TRUE,0,1)</f>
        <v>0</v>
      </c>
      <c r="L20" s="57" cm="1">
        <f t="array" ref="L20">IF(_xlfn.XLOOKUP(CONT_SUP[[#This Row],[DepartmentCode]],DEPTS[DepartmentCode],DEPTS[AvailableToAllSchools],1,0,)=TRUE,0,IF(ISERROR(FIND(CONT_SUP[[#This Row],[SchoolCode]],_xlfn.TEXTJOIN(",",TRUE,_xlfn.UNIQUE(IF(DEPTS[DepartmentCode]=CONT_SUP[[#This Row],[DepartmentCode]],DEPTS[SchoolCodes],""))))),1,0))</f>
        <v>0</v>
      </c>
      <c r="M20" s="57">
        <f>IFERROR(IF(_xlfn.XLOOKUP(CONT_SUP[[#This Row],[SRG Gross]],FinanceCodesBudget[FinanceCode],FinanceCodesBudget[LedgerCode])=_xlfn.XLOOKUP(CONT_SUP[[#This Row],[DepartmentCode]],DEPTS[DepartmentCode],DEPTS[LedgerCode]),0,1),1)</f>
        <v>0</v>
      </c>
      <c r="N20" s="66" cm="1">
        <f t="array" ref="N20">IF(_xlfn.XLOOKUP(CONT_SUP[[#This Row],[PensionCode]],PENS[PensionCode],PENS[AvailableToAllSchools],1,0,)=TRUE,0,IF(ISERROR(FIND(CONT_SUP[[#This Row],[SchoolCode]],_xlfn.TEXTJOIN(",",TRUE,_xlfn.UNIQUE(IF(PENS[PensionCode]=CONT_SUP[[#This Row],[PensionCode]],PENS[SchoolCodes],""))))),1,0))</f>
        <v>0</v>
      </c>
      <c r="O20" s="66" cm="1">
        <f t="array" ref="O20">IF(_xlfn.XLOOKUP(CONT_SUP[[#This Row],[EquatedWeekPatternCode]],EQW[EquatedWeekPatternCode],EQW[AvailableToAllSchools],1,0,)=TRUE,0,IF(ISERROR(FIND(CONT_SUP[[#This Row],[SchoolCode]],_xlfn.TEXTJOIN(",",TRUE,_xlfn.UNIQUE(IF(EQW[EquatedWeekPatternCode]=CONT_SUP[[#This Row],[EquatedWeekPatternCode]],EQW[SchoolCodes],""))))),1,0))</f>
        <v>0</v>
      </c>
      <c r="P20" s="57">
        <f>1-COUNTIF(ContractTypes[Code],CONT_SUP[[#This Row],[ContractTypeCode]])</f>
        <v>0</v>
      </c>
      <c r="Q20" s="57">
        <f>IF(VLOOKUP(CONT_SUP[[#This Row],[StaffMemberCode]],MEMBERS[[StaffMemberCode]:[ServiceStartDate]],5,0)&gt;CONT_SUP[[#This Row],[DateFrom]],1,0)</f>
        <v>0</v>
      </c>
      <c r="R20" s="57">
        <f>IF(_xlfn.XLOOKUP(CONT_SUP[[#This Row],[StaffMemberCode]],MEMBERS[StaffMemberCode],MEMBERS[ServiceEndDate])="",0,IF(CONT_SUP[[#This Row],[DateTo]]="",1,IF(_xlfn.XLOOKUP(CONT_SUP[[#This Row],[StaffMemberCode]],MEMBERS[StaffMemberCode],MEMBERS[ServiceEndDate])&lt;CONT_SUP[[#This Row],[DateTo]],1,0)))</f>
        <v>0</v>
      </c>
      <c r="S20" s="57">
        <f>IF(ISBLANK(CONT_SUP[[#This Row],[DateTo]]),0,IF(CONT_SUP[[#This Row],[DateFrom]]=CONT_SUP[[#This Row],[DateTo]],0,IF(CONT_SUP[[#This Row],[DateFrom]]&lt;CONT_SUP[[#This Row],[DateTo]],0,1)))</f>
        <v>0</v>
      </c>
      <c r="T20" s="57" cm="1">
        <f t="array" aca="1" ref="T20" ca="1">IF(CELL("format",CONT_SUP[[#This Row],[DateFrom]])="D1",0,1)+IF(CELL("format",CONT_SUP[[#This Row],[DateTo]])="D1",0,1)</f>
        <v>0</v>
      </c>
      <c r="U20" s="57">
        <f>IF(OR(CONT_SUP[[#This Row],[MatEditOnly]]=TRUE,CONT_SUP[[#This Row],[MatEditOnly]]=FALSE),IF(OR(CONT_SUP[[#This Row],[NoIncrement]]=TRUE,CONT_SUP[[#This Row],[NoIncrement]]=FALSE),0,1),1)</f>
        <v>0</v>
      </c>
      <c r="V20" s="57">
        <f>IF(ISBLANK(CONT_SUP[[#This Row],[FundCode]])=TRUE,0,IF(COUNTIF(FUNDS[FundCode],CONT_SUP[[#This Row],[FundCode]])=1,0,1))</f>
        <v>0</v>
      </c>
      <c r="W20" s="57">
        <f>IF(LEN(CONT_SUP[[#This Row],[Notes]])&lt;4000,0,1)</f>
        <v>0</v>
      </c>
      <c r="X20" s="57">
        <f>IF(SUBSTITUTE(TEXT(CONT_SUP[[#This Row],[Reference]],10)," ","")=TEXT(CONT_SUP[[#This Row],[Reference]],10),0,1)</f>
        <v>0</v>
      </c>
      <c r="Y20" s="57">
        <f ca="1">SUM(CONT_SUP[[#This Row],[Duplicate Contract]:[Space in Code]])</f>
        <v>0</v>
      </c>
      <c r="AA20" s="12" t="s">
        <v>2094</v>
      </c>
      <c r="AB20" s="63">
        <v>91073491</v>
      </c>
      <c r="AC20" s="63" t="s">
        <v>4618</v>
      </c>
      <c r="AD20" s="57" t="str">
        <f>_xlfn.XLOOKUP(CONT_SUP[[#This Row],[StaffMemberCode]],StaffMembers!O:O,StaffMembers!R:R)</f>
        <v>Heather Radcliffe</v>
      </c>
      <c r="AE20" s="12" t="s">
        <v>4231</v>
      </c>
      <c r="AF20" s="66">
        <f>_xlfn.XLOOKUP(CONT_SUP[[#This Row],[SRG]],SRG[StaffRoleGroupCode],SRG[GrossSalaryFinanceCode])</f>
        <v>625100</v>
      </c>
      <c r="AG20" s="57" t="str">
        <f>_xlfn.XLOOKUP(CONT_SUP[[#This Row],[StaffRoleCode]],ROLES[StaffRoleCode],ROLES[StaffRoleGroupCode])</f>
        <v>ADM</v>
      </c>
      <c r="AH20" s="57" t="str">
        <f>_xlfn.XLOOKUP(CONT_SUP[[#This Row],[StaffRoleCode]],ROLES[StaffRoleCode],ROLES[PayScaleCode])</f>
        <v>NJC_CHE</v>
      </c>
      <c r="AI20" s="12" t="s">
        <v>3123</v>
      </c>
      <c r="AJ20" s="12">
        <v>8</v>
      </c>
      <c r="AK20" s="12" t="s">
        <v>2483</v>
      </c>
      <c r="AM20" s="68" t="s">
        <v>3132</v>
      </c>
      <c r="AN20" s="12" t="s">
        <v>3137</v>
      </c>
      <c r="AO20" s="21">
        <v>45901</v>
      </c>
      <c r="AQ20" s="12">
        <v>37</v>
      </c>
      <c r="AR20" t="b">
        <v>0</v>
      </c>
      <c r="AS20" t="b">
        <v>0</v>
      </c>
      <c r="AT20" s="12" t="s">
        <v>1574</v>
      </c>
    </row>
    <row r="21" spans="1:46" x14ac:dyDescent="0.3">
      <c r="A21" s="57" t="str">
        <f t="shared" si="0"/>
        <v>ALS9107370491073704ACUR_SUP_MGRSFIN45901</v>
      </c>
      <c r="B21" s="57">
        <f>COUNTIF(CONT_SUP[Unique Contract],CONT_SUP[[#This Row],[Unique Contract]])-1</f>
        <v>0</v>
      </c>
      <c r="C21" s="57">
        <f>IFERROR(IF(FIND(CONT_SUP[[#This Row],[SchoolCode]],_xlfn.XLOOKUP(CONT_SUP[[#This Row],[StaffMemberCode]],MEMBERS[StaffMemberCode],MEMBERS[SchoolCodes]))&gt;0,0,1),1)</f>
        <v>0</v>
      </c>
      <c r="D21" s="57" cm="1">
        <f t="array" ref="D21">IF(_xlfn.XLOOKUP(CONT_SUP[[#This Row],[StaffRoleCode]],ROLES[StaffRoleCode],ROLES[AvailableToAllSchools],1,0,)=TRUE,0,IF(ISERROR(FIND(CONT_SUP[[#This Row],[SchoolCode]],_xlfn.TEXTJOIN(",",TRUE,_xlfn.UNIQUE(IF(ROLES[StaffRoleCode]=CONT_SUP[[#This Row],[StaffRoleCode]],ROLES[SchoolCodes],""))))),1,0))</f>
        <v>0</v>
      </c>
      <c r="E21" s="66" cm="1">
        <f t="array" ref="E2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1" s="57" cm="1">
        <f t="array" ref="F21">IF(_xlfn.XLOOKUP(CONT_SUP[[#This Row],[PayScaleCode]],PAYSCALES[PayScaleCode],PAYSCALES[AvailableToAllSchools],1,0,)=TRUE,0,IF(ISERROR(FIND(CONT_SUP[[#This Row],[SchoolCode]],_xlfn.TEXTJOIN(",",TRUE,_xlfn.UNIQUE(IF(PAYSCALES[PayScaleCode]=CONT_SUP[[#This Row],[PayScaleCode]],PAYSCALES[SchoolCodes],""))))),1,0))</f>
        <v>0</v>
      </c>
      <c r="G21" s="57">
        <f>IF(_xlfn.XLOOKUP(CONT_SUP[[#This Row],[PayScaleGradeCode]],GRADES[PayScaleGradeCode],GRADES[AvailableToAllSchools])=TRUE,0,IFERROR(IF(FIND(CONT_SUP[[#This Row],[SchoolCode]],_xlfn.XLOOKUP(CONT_SUP[[#This Row],[PayScaleGradeCode]],GRADES[PayScaleGradeCode],GRADES[SchoolCodes]))&gt;=1,0,1),1))</f>
        <v>0</v>
      </c>
      <c r="H21" s="66">
        <f>IF(ISERROR(IF((_xlfn.XLOOKUP(CONT_SUP[[#This Row],[PayScaleGradeCode]],GRADES[PayScaleGradeCode],GRADES[PayScaleCode])=CONT_SUP[[#This Row],[PayScaleCode]]),0,1)),1,0)</f>
        <v>0</v>
      </c>
      <c r="I21" s="66" cm="1">
        <f t="array" ref="I21">IF(ISERROR(FIND(CONT_SUP[[#This Row],[PayScalePointCode]],_xlfn.TEXTJOIN(",",TRUE,IF(PSPOINTS[PayScaleCode]=CONT_SUP[[#This Row],[PayScaleCode]],PSPOINTS[PayScalePointCode])))),1,0)</f>
        <v>0</v>
      </c>
      <c r="J21" s="57" cm="1">
        <f t="array" ref="J2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1" s="66">
        <f>IF(_xlfn.XLOOKUP(CONT_SUP[[#This Row],[PayScalePointCode]],PSPOINTS[PayScalePointCode],PSPOINTS[PayScalePointEnabled])=TRUE,0,1)</f>
        <v>0</v>
      </c>
      <c r="L21" s="57" cm="1">
        <f t="array" ref="L21">IF(_xlfn.XLOOKUP(CONT_SUP[[#This Row],[DepartmentCode]],DEPTS[DepartmentCode],DEPTS[AvailableToAllSchools],1,0,)=TRUE,0,IF(ISERROR(FIND(CONT_SUP[[#This Row],[SchoolCode]],_xlfn.TEXTJOIN(",",TRUE,_xlfn.UNIQUE(IF(DEPTS[DepartmentCode]=CONT_SUP[[#This Row],[DepartmentCode]],DEPTS[SchoolCodes],""))))),1,0))</f>
        <v>0</v>
      </c>
      <c r="M21" s="57">
        <f>IFERROR(IF(_xlfn.XLOOKUP(CONT_SUP[[#This Row],[SRG Gross]],FinanceCodesBudget[FinanceCode],FinanceCodesBudget[LedgerCode])=_xlfn.XLOOKUP(CONT_SUP[[#This Row],[DepartmentCode]],DEPTS[DepartmentCode],DEPTS[LedgerCode]),0,1),1)</f>
        <v>0</v>
      </c>
      <c r="N21" s="66" cm="1">
        <f t="array" ref="N21">IF(_xlfn.XLOOKUP(CONT_SUP[[#This Row],[PensionCode]],PENS[PensionCode],PENS[AvailableToAllSchools],1,0,)=TRUE,0,IF(ISERROR(FIND(CONT_SUP[[#This Row],[SchoolCode]],_xlfn.TEXTJOIN(",",TRUE,_xlfn.UNIQUE(IF(PENS[PensionCode]=CONT_SUP[[#This Row],[PensionCode]],PENS[SchoolCodes],""))))),1,0))</f>
        <v>0</v>
      </c>
      <c r="O21" s="66" cm="1">
        <f t="array" ref="O21">IF(_xlfn.XLOOKUP(CONT_SUP[[#This Row],[EquatedWeekPatternCode]],EQW[EquatedWeekPatternCode],EQW[AvailableToAllSchools],1,0,)=TRUE,0,IF(ISERROR(FIND(CONT_SUP[[#This Row],[SchoolCode]],_xlfn.TEXTJOIN(",",TRUE,_xlfn.UNIQUE(IF(EQW[EquatedWeekPatternCode]=CONT_SUP[[#This Row],[EquatedWeekPatternCode]],EQW[SchoolCodes],""))))),1,0))</f>
        <v>0</v>
      </c>
      <c r="P21" s="57">
        <f>1-COUNTIF(ContractTypes[Code],CONT_SUP[[#This Row],[ContractTypeCode]])</f>
        <v>0</v>
      </c>
      <c r="Q21" s="57">
        <f>IF(VLOOKUP(CONT_SUP[[#This Row],[StaffMemberCode]],MEMBERS[[StaffMemberCode]:[ServiceStartDate]],5,0)&gt;CONT_SUP[[#This Row],[DateFrom]],1,0)</f>
        <v>0</v>
      </c>
      <c r="R21" s="57">
        <f>IF(_xlfn.XLOOKUP(CONT_SUP[[#This Row],[StaffMemberCode]],MEMBERS[StaffMemberCode],MEMBERS[ServiceEndDate])="",0,IF(CONT_SUP[[#This Row],[DateTo]]="",1,IF(_xlfn.XLOOKUP(CONT_SUP[[#This Row],[StaffMemberCode]],MEMBERS[StaffMemberCode],MEMBERS[ServiceEndDate])&lt;CONT_SUP[[#This Row],[DateTo]],1,0)))</f>
        <v>0</v>
      </c>
      <c r="S21" s="57">
        <f>IF(ISBLANK(CONT_SUP[[#This Row],[DateTo]]),0,IF(CONT_SUP[[#This Row],[DateFrom]]=CONT_SUP[[#This Row],[DateTo]],0,IF(CONT_SUP[[#This Row],[DateFrom]]&lt;CONT_SUP[[#This Row],[DateTo]],0,1)))</f>
        <v>0</v>
      </c>
      <c r="T21" s="57" cm="1">
        <f t="array" aca="1" ref="T21" ca="1">IF(CELL("format",CONT_SUP[[#This Row],[DateFrom]])="D1",0,1)+IF(CELL("format",CONT_SUP[[#This Row],[DateTo]])="D1",0,1)</f>
        <v>0</v>
      </c>
      <c r="U21" s="57">
        <f>IF(OR(CONT_SUP[[#This Row],[MatEditOnly]]=TRUE,CONT_SUP[[#This Row],[MatEditOnly]]=FALSE),IF(OR(CONT_SUP[[#This Row],[NoIncrement]]=TRUE,CONT_SUP[[#This Row],[NoIncrement]]=FALSE),0,1),1)</f>
        <v>0</v>
      </c>
      <c r="V21" s="57">
        <f>IF(ISBLANK(CONT_SUP[[#This Row],[FundCode]])=TRUE,0,IF(COUNTIF(FUNDS[FundCode],CONT_SUP[[#This Row],[FundCode]])=1,0,1))</f>
        <v>0</v>
      </c>
      <c r="W21" s="57">
        <f>IF(LEN(CONT_SUP[[#This Row],[Notes]])&lt;4000,0,1)</f>
        <v>0</v>
      </c>
      <c r="X21" s="57">
        <f>IF(SUBSTITUTE(TEXT(CONT_SUP[[#This Row],[Reference]],10)," ","")=TEXT(CONT_SUP[[#This Row],[Reference]],10),0,1)</f>
        <v>0</v>
      </c>
      <c r="Y21" s="57">
        <f ca="1">SUM(CONT_SUP[[#This Row],[Duplicate Contract]:[Space in Code]])</f>
        <v>0</v>
      </c>
      <c r="AA21" s="12" t="s">
        <v>2082</v>
      </c>
      <c r="AB21" s="63">
        <v>91073704</v>
      </c>
      <c r="AC21" s="63" t="s">
        <v>4619</v>
      </c>
      <c r="AD21" s="57" t="str">
        <f>_xlfn.XLOOKUP(CONT_SUP[[#This Row],[StaffMemberCode]],StaffMembers!O:O,StaffMembers!R:R)</f>
        <v>Jacqueline Lamprell</v>
      </c>
      <c r="AE21" s="12" t="s">
        <v>4233</v>
      </c>
      <c r="AF21" s="66">
        <f>_xlfn.XLOOKUP(CONT_SUP[[#This Row],[SRG]],SRG[StaffRoleGroupCode],SRG[GrossSalaryFinanceCode])</f>
        <v>625100</v>
      </c>
      <c r="AG21" s="57" t="str">
        <f>_xlfn.XLOOKUP(CONT_SUP[[#This Row],[StaffRoleCode]],ROLES[StaffRoleCode],ROLES[StaffRoleGroupCode])</f>
        <v>ADM</v>
      </c>
      <c r="AH21" s="57" t="str">
        <f>_xlfn.XLOOKUP(CONT_SUP[[#This Row],[StaffRoleCode]],ROLES[StaffRoleCode],ROLES[PayScaleCode])</f>
        <v>NJC_CHE</v>
      </c>
      <c r="AI21" s="12" t="s">
        <v>3126</v>
      </c>
      <c r="AJ21" s="12">
        <v>28</v>
      </c>
      <c r="AK21" s="12" t="s">
        <v>2483</v>
      </c>
      <c r="AM21" s="68" t="s">
        <v>3132</v>
      </c>
      <c r="AN21" s="12" t="s">
        <v>3145</v>
      </c>
      <c r="AO21" s="21">
        <v>45901</v>
      </c>
      <c r="AQ21" s="12">
        <v>37</v>
      </c>
      <c r="AR21" t="b">
        <v>0</v>
      </c>
      <c r="AS21" t="b">
        <v>0</v>
      </c>
      <c r="AT21" s="12" t="s">
        <v>1574</v>
      </c>
    </row>
    <row r="22" spans="1:46" x14ac:dyDescent="0.3">
      <c r="A22" s="57" t="str">
        <f t="shared" si="0"/>
        <v>BLS9133055191330551BDATA_MGRSFIN45901</v>
      </c>
      <c r="B22" s="57">
        <f>COUNTIF(CONT_SUP[Unique Contract],CONT_SUP[[#This Row],[Unique Contract]])-1</f>
        <v>0</v>
      </c>
      <c r="C22" s="57">
        <f>IFERROR(IF(FIND(CONT_SUP[[#This Row],[SchoolCode]],_xlfn.XLOOKUP(CONT_SUP[[#This Row],[StaffMemberCode]],MEMBERS[StaffMemberCode],MEMBERS[SchoolCodes]))&gt;0,0,1),1)</f>
        <v>0</v>
      </c>
      <c r="D22" s="57" cm="1">
        <f t="array" ref="D22">IF(_xlfn.XLOOKUP(CONT_SUP[[#This Row],[StaffRoleCode]],ROLES[StaffRoleCode],ROLES[AvailableToAllSchools],1,0,)=TRUE,0,IF(ISERROR(FIND(CONT_SUP[[#This Row],[SchoolCode]],_xlfn.TEXTJOIN(",",TRUE,_xlfn.UNIQUE(IF(ROLES[StaffRoleCode]=CONT_SUP[[#This Row],[StaffRoleCode]],ROLES[SchoolCodes],""))))),1,0))</f>
        <v>0</v>
      </c>
      <c r="E22" s="66" cm="1">
        <f t="array" ref="E2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2" s="57" cm="1">
        <f t="array" ref="F22">IF(_xlfn.XLOOKUP(CONT_SUP[[#This Row],[PayScaleCode]],PAYSCALES[PayScaleCode],PAYSCALES[AvailableToAllSchools],1,0,)=TRUE,0,IF(ISERROR(FIND(CONT_SUP[[#This Row],[SchoolCode]],_xlfn.TEXTJOIN(",",TRUE,_xlfn.UNIQUE(IF(PAYSCALES[PayScaleCode]=CONT_SUP[[#This Row],[PayScaleCode]],PAYSCALES[SchoolCodes],""))))),1,0))</f>
        <v>0</v>
      </c>
      <c r="G22" s="57">
        <f>IF(_xlfn.XLOOKUP(CONT_SUP[[#This Row],[PayScaleGradeCode]],GRADES[PayScaleGradeCode],GRADES[AvailableToAllSchools])=TRUE,0,IFERROR(IF(FIND(CONT_SUP[[#This Row],[SchoolCode]],_xlfn.XLOOKUP(CONT_SUP[[#This Row],[PayScaleGradeCode]],GRADES[PayScaleGradeCode],GRADES[SchoolCodes]))&gt;=1,0,1),1))</f>
        <v>0</v>
      </c>
      <c r="H22" s="66">
        <f>IF(ISERROR(IF((_xlfn.XLOOKUP(CONT_SUP[[#This Row],[PayScaleGradeCode]],GRADES[PayScaleGradeCode],GRADES[PayScaleCode])=CONT_SUP[[#This Row],[PayScaleCode]]),0,1)),1,0)</f>
        <v>0</v>
      </c>
      <c r="I22" s="66" cm="1">
        <f t="array" ref="I22">IF(ISERROR(FIND(CONT_SUP[[#This Row],[PayScalePointCode]],_xlfn.TEXTJOIN(",",TRUE,IF(PSPOINTS[PayScaleCode]=CONT_SUP[[#This Row],[PayScaleCode]],PSPOINTS[PayScalePointCode])))),1,0)</f>
        <v>0</v>
      </c>
      <c r="J22" s="57" cm="1">
        <f t="array" ref="J2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2" s="66">
        <f>IF(_xlfn.XLOOKUP(CONT_SUP[[#This Row],[PayScalePointCode]],PSPOINTS[PayScalePointCode],PSPOINTS[PayScalePointEnabled])=TRUE,0,1)</f>
        <v>0</v>
      </c>
      <c r="L22" s="57" cm="1">
        <f t="array" ref="L22">IF(_xlfn.XLOOKUP(CONT_SUP[[#This Row],[DepartmentCode]],DEPTS[DepartmentCode],DEPTS[AvailableToAllSchools],1,0,)=TRUE,0,IF(ISERROR(FIND(CONT_SUP[[#This Row],[SchoolCode]],_xlfn.TEXTJOIN(",",TRUE,_xlfn.UNIQUE(IF(DEPTS[DepartmentCode]=CONT_SUP[[#This Row],[DepartmentCode]],DEPTS[SchoolCodes],""))))),1,0))</f>
        <v>0</v>
      </c>
      <c r="M22" s="57">
        <f>IFERROR(IF(_xlfn.XLOOKUP(CONT_SUP[[#This Row],[SRG Gross]],FinanceCodesBudget[FinanceCode],FinanceCodesBudget[LedgerCode])=_xlfn.XLOOKUP(CONT_SUP[[#This Row],[DepartmentCode]],DEPTS[DepartmentCode],DEPTS[LedgerCode]),0,1),1)</f>
        <v>0</v>
      </c>
      <c r="N22" s="66" cm="1">
        <f t="array" ref="N22">IF(_xlfn.XLOOKUP(CONT_SUP[[#This Row],[PensionCode]],PENS[PensionCode],PENS[AvailableToAllSchools],1,0,)=TRUE,0,IF(ISERROR(FIND(CONT_SUP[[#This Row],[SchoolCode]],_xlfn.TEXTJOIN(",",TRUE,_xlfn.UNIQUE(IF(PENS[PensionCode]=CONT_SUP[[#This Row],[PensionCode]],PENS[SchoolCodes],""))))),1,0))</f>
        <v>0</v>
      </c>
      <c r="O22" s="66" cm="1">
        <f t="array" ref="O22">IF(_xlfn.XLOOKUP(CONT_SUP[[#This Row],[EquatedWeekPatternCode]],EQW[EquatedWeekPatternCode],EQW[AvailableToAllSchools],1,0,)=TRUE,0,IF(ISERROR(FIND(CONT_SUP[[#This Row],[SchoolCode]],_xlfn.TEXTJOIN(",",TRUE,_xlfn.UNIQUE(IF(EQW[EquatedWeekPatternCode]=CONT_SUP[[#This Row],[EquatedWeekPatternCode]],EQW[SchoolCodes],""))))),1,0))</f>
        <v>0</v>
      </c>
      <c r="P22" s="57">
        <f>1-COUNTIF(ContractTypes[Code],CONT_SUP[[#This Row],[ContractTypeCode]])</f>
        <v>0</v>
      </c>
      <c r="Q22" s="57">
        <f>IF(VLOOKUP(CONT_SUP[[#This Row],[StaffMemberCode]],MEMBERS[[StaffMemberCode]:[ServiceStartDate]],5,0)&gt;CONT_SUP[[#This Row],[DateFrom]],1,0)</f>
        <v>0</v>
      </c>
      <c r="R22" s="57">
        <f>IF(_xlfn.XLOOKUP(CONT_SUP[[#This Row],[StaffMemberCode]],MEMBERS[StaffMemberCode],MEMBERS[ServiceEndDate])="",0,IF(CONT_SUP[[#This Row],[DateTo]]="",1,IF(_xlfn.XLOOKUP(CONT_SUP[[#This Row],[StaffMemberCode]],MEMBERS[StaffMemberCode],MEMBERS[ServiceEndDate])&lt;CONT_SUP[[#This Row],[DateTo]],1,0)))</f>
        <v>0</v>
      </c>
      <c r="S22" s="57">
        <f>IF(ISBLANK(CONT_SUP[[#This Row],[DateTo]]),0,IF(CONT_SUP[[#This Row],[DateFrom]]=CONT_SUP[[#This Row],[DateTo]],0,IF(CONT_SUP[[#This Row],[DateFrom]]&lt;CONT_SUP[[#This Row],[DateTo]],0,1)))</f>
        <v>0</v>
      </c>
      <c r="T22" s="57" cm="1">
        <f t="array" aca="1" ref="T22" ca="1">IF(CELL("format",CONT_SUP[[#This Row],[DateFrom]])="D1",0,1)+IF(CELL("format",CONT_SUP[[#This Row],[DateTo]])="D1",0,1)</f>
        <v>0</v>
      </c>
      <c r="U22" s="57">
        <f>IF(OR(CONT_SUP[[#This Row],[MatEditOnly]]=TRUE,CONT_SUP[[#This Row],[MatEditOnly]]=FALSE),IF(OR(CONT_SUP[[#This Row],[NoIncrement]]=TRUE,CONT_SUP[[#This Row],[NoIncrement]]=FALSE),0,1),1)</f>
        <v>0</v>
      </c>
      <c r="V22" s="57">
        <f>IF(ISBLANK(CONT_SUP[[#This Row],[FundCode]])=TRUE,0,IF(COUNTIF(FUNDS[FundCode],CONT_SUP[[#This Row],[FundCode]])=1,0,1))</f>
        <v>0</v>
      </c>
      <c r="W22" s="57">
        <f>IF(LEN(CONT_SUP[[#This Row],[Notes]])&lt;4000,0,1)</f>
        <v>0</v>
      </c>
      <c r="X22" s="57">
        <f>IF(SUBSTITUTE(TEXT(CONT_SUP[[#This Row],[Reference]],10)," ","")=TEXT(CONT_SUP[[#This Row],[Reference]],10),0,1)</f>
        <v>0</v>
      </c>
      <c r="Y22" s="57">
        <f ca="1">SUM(CONT_SUP[[#This Row],[Duplicate Contract]:[Space in Code]])</f>
        <v>0</v>
      </c>
      <c r="AA22" s="12" t="s">
        <v>2094</v>
      </c>
      <c r="AB22" s="63">
        <v>91330551</v>
      </c>
      <c r="AC22" s="63" t="s">
        <v>4620</v>
      </c>
      <c r="AD22" s="57" t="str">
        <f>_xlfn.XLOOKUP(CONT_SUP[[#This Row],[StaffMemberCode]],StaffMembers!O:O,StaffMembers!R:R)</f>
        <v>Annabelle Harthern</v>
      </c>
      <c r="AE22" s="12" t="s">
        <v>4235</v>
      </c>
      <c r="AF22" s="66">
        <f>_xlfn.XLOOKUP(CONT_SUP[[#This Row],[SRG]],SRG[StaffRoleGroupCode],SRG[GrossSalaryFinanceCode])</f>
        <v>625100</v>
      </c>
      <c r="AG22" s="57" t="str">
        <f>_xlfn.XLOOKUP(CONT_SUP[[#This Row],[StaffRoleCode]],ROLES[StaffRoleCode],ROLES[StaffRoleGroupCode])</f>
        <v>ADM</v>
      </c>
      <c r="AH22" s="57" t="str">
        <f>_xlfn.XLOOKUP(CONT_SUP[[#This Row],[StaffRoleCode]],ROLES[StaffRoleCode],ROLES[PayScaleCode])</f>
        <v>NJC_CHE</v>
      </c>
      <c r="AI22" s="12" t="s">
        <v>3126</v>
      </c>
      <c r="AJ22" s="12">
        <v>24</v>
      </c>
      <c r="AK22" s="12" t="s">
        <v>2483</v>
      </c>
      <c r="AM22" s="68" t="s">
        <v>3132</v>
      </c>
      <c r="AN22" s="12" t="s">
        <v>3137</v>
      </c>
      <c r="AO22" s="21">
        <v>45901</v>
      </c>
      <c r="AQ22" s="12">
        <v>37</v>
      </c>
      <c r="AR22" t="b">
        <v>0</v>
      </c>
      <c r="AS22" t="b">
        <v>0</v>
      </c>
      <c r="AT22" s="12" t="s">
        <v>65</v>
      </c>
    </row>
    <row r="23" spans="1:46" x14ac:dyDescent="0.3">
      <c r="A23" s="57" t="str">
        <f t="shared" si="0"/>
        <v>BLS9107353391073533AMAR_COSFIN45901</v>
      </c>
      <c r="B23" s="57">
        <f>COUNTIF(CONT_SUP[Unique Contract],CONT_SUP[[#This Row],[Unique Contract]])-1</f>
        <v>0</v>
      </c>
      <c r="C23" s="57">
        <f>IFERROR(IF(FIND(CONT_SUP[[#This Row],[SchoolCode]],_xlfn.XLOOKUP(CONT_SUP[[#This Row],[StaffMemberCode]],MEMBERS[StaffMemberCode],MEMBERS[SchoolCodes]))&gt;0,0,1),1)</f>
        <v>0</v>
      </c>
      <c r="D23" s="57" cm="1">
        <f t="array" ref="D23">IF(_xlfn.XLOOKUP(CONT_SUP[[#This Row],[StaffRoleCode]],ROLES[StaffRoleCode],ROLES[AvailableToAllSchools],1,0,)=TRUE,0,IF(ISERROR(FIND(CONT_SUP[[#This Row],[SchoolCode]],_xlfn.TEXTJOIN(",",TRUE,_xlfn.UNIQUE(IF(ROLES[StaffRoleCode]=CONT_SUP[[#This Row],[StaffRoleCode]],ROLES[SchoolCodes],""))))),1,0))</f>
        <v>0</v>
      </c>
      <c r="E23" s="66" cm="1">
        <f t="array" ref="E2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3" s="57" cm="1">
        <f t="array" ref="F23">IF(_xlfn.XLOOKUP(CONT_SUP[[#This Row],[PayScaleCode]],PAYSCALES[PayScaleCode],PAYSCALES[AvailableToAllSchools],1,0,)=TRUE,0,IF(ISERROR(FIND(CONT_SUP[[#This Row],[SchoolCode]],_xlfn.TEXTJOIN(",",TRUE,_xlfn.UNIQUE(IF(PAYSCALES[PayScaleCode]=CONT_SUP[[#This Row],[PayScaleCode]],PAYSCALES[SchoolCodes],""))))),1,0))</f>
        <v>0</v>
      </c>
      <c r="G23" s="57">
        <f>IF(_xlfn.XLOOKUP(CONT_SUP[[#This Row],[PayScaleGradeCode]],GRADES[PayScaleGradeCode],GRADES[AvailableToAllSchools])=TRUE,0,IFERROR(IF(FIND(CONT_SUP[[#This Row],[SchoolCode]],_xlfn.XLOOKUP(CONT_SUP[[#This Row],[PayScaleGradeCode]],GRADES[PayScaleGradeCode],GRADES[SchoolCodes]))&gt;=1,0,1),1))</f>
        <v>0</v>
      </c>
      <c r="H23" s="66">
        <f>IF(ISERROR(IF((_xlfn.XLOOKUP(CONT_SUP[[#This Row],[PayScaleGradeCode]],GRADES[PayScaleGradeCode],GRADES[PayScaleCode])=CONT_SUP[[#This Row],[PayScaleCode]]),0,1)),1,0)</f>
        <v>0</v>
      </c>
      <c r="I23" s="66" cm="1">
        <f t="array" ref="I23">IF(ISERROR(FIND(CONT_SUP[[#This Row],[PayScalePointCode]],_xlfn.TEXTJOIN(",",TRUE,IF(PSPOINTS[PayScaleCode]=CONT_SUP[[#This Row],[PayScaleCode]],PSPOINTS[PayScalePointCode])))),1,0)</f>
        <v>0</v>
      </c>
      <c r="J23" s="57" cm="1">
        <f t="array" ref="J2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3" s="66">
        <f>IF(_xlfn.XLOOKUP(CONT_SUP[[#This Row],[PayScalePointCode]],PSPOINTS[PayScalePointCode],PSPOINTS[PayScalePointEnabled])=TRUE,0,1)</f>
        <v>0</v>
      </c>
      <c r="L23" s="57" cm="1">
        <f t="array" ref="L23">IF(_xlfn.XLOOKUP(CONT_SUP[[#This Row],[DepartmentCode]],DEPTS[DepartmentCode],DEPTS[AvailableToAllSchools],1,0,)=TRUE,0,IF(ISERROR(FIND(CONT_SUP[[#This Row],[SchoolCode]],_xlfn.TEXTJOIN(",",TRUE,_xlfn.UNIQUE(IF(DEPTS[DepartmentCode]=CONT_SUP[[#This Row],[DepartmentCode]],DEPTS[SchoolCodes],""))))),1,0))</f>
        <v>0</v>
      </c>
      <c r="M23" s="57">
        <f>IFERROR(IF(_xlfn.XLOOKUP(CONT_SUP[[#This Row],[SRG Gross]],FinanceCodesBudget[FinanceCode],FinanceCodesBudget[LedgerCode])=_xlfn.XLOOKUP(CONT_SUP[[#This Row],[DepartmentCode]],DEPTS[DepartmentCode],DEPTS[LedgerCode]),0,1),1)</f>
        <v>0</v>
      </c>
      <c r="N23" s="66" cm="1">
        <f t="array" ref="N23">IF(_xlfn.XLOOKUP(CONT_SUP[[#This Row],[PensionCode]],PENS[PensionCode],PENS[AvailableToAllSchools],1,0,)=TRUE,0,IF(ISERROR(FIND(CONT_SUP[[#This Row],[SchoolCode]],_xlfn.TEXTJOIN(",",TRUE,_xlfn.UNIQUE(IF(PENS[PensionCode]=CONT_SUP[[#This Row],[PensionCode]],PENS[SchoolCodes],""))))),1,0))</f>
        <v>0</v>
      </c>
      <c r="O23" s="66" cm="1">
        <f t="array" ref="O23">IF(_xlfn.XLOOKUP(CONT_SUP[[#This Row],[EquatedWeekPatternCode]],EQW[EquatedWeekPatternCode],EQW[AvailableToAllSchools],1,0,)=TRUE,0,IF(ISERROR(FIND(CONT_SUP[[#This Row],[SchoolCode]],_xlfn.TEXTJOIN(",",TRUE,_xlfn.UNIQUE(IF(EQW[EquatedWeekPatternCode]=CONT_SUP[[#This Row],[EquatedWeekPatternCode]],EQW[SchoolCodes],""))))),1,0))</f>
        <v>0</v>
      </c>
      <c r="P23" s="57">
        <f>1-COUNTIF(ContractTypes[Code],CONT_SUP[[#This Row],[ContractTypeCode]])</f>
        <v>0</v>
      </c>
      <c r="Q23" s="57">
        <f>IF(VLOOKUP(CONT_SUP[[#This Row],[StaffMemberCode]],MEMBERS[[StaffMemberCode]:[ServiceStartDate]],5,0)&gt;CONT_SUP[[#This Row],[DateFrom]],1,0)</f>
        <v>0</v>
      </c>
      <c r="R23" s="57">
        <f>IF(_xlfn.XLOOKUP(CONT_SUP[[#This Row],[StaffMemberCode]],MEMBERS[StaffMemberCode],MEMBERS[ServiceEndDate])="",0,IF(CONT_SUP[[#This Row],[DateTo]]="",1,IF(_xlfn.XLOOKUP(CONT_SUP[[#This Row],[StaffMemberCode]],MEMBERS[StaffMemberCode],MEMBERS[ServiceEndDate])&lt;CONT_SUP[[#This Row],[DateTo]],1,0)))</f>
        <v>0</v>
      </c>
      <c r="S23" s="57">
        <f>IF(ISBLANK(CONT_SUP[[#This Row],[DateTo]]),0,IF(CONT_SUP[[#This Row],[DateFrom]]=CONT_SUP[[#This Row],[DateTo]],0,IF(CONT_SUP[[#This Row],[DateFrom]]&lt;CONT_SUP[[#This Row],[DateTo]],0,1)))</f>
        <v>0</v>
      </c>
      <c r="T23" s="57" cm="1">
        <f t="array" aca="1" ref="T23" ca="1">IF(CELL("format",CONT_SUP[[#This Row],[DateFrom]])="D1",0,1)+IF(CELL("format",CONT_SUP[[#This Row],[DateTo]])="D1",0,1)</f>
        <v>0</v>
      </c>
      <c r="U23" s="57">
        <f>IF(OR(CONT_SUP[[#This Row],[MatEditOnly]]=TRUE,CONT_SUP[[#This Row],[MatEditOnly]]=FALSE),IF(OR(CONT_SUP[[#This Row],[NoIncrement]]=TRUE,CONT_SUP[[#This Row],[NoIncrement]]=FALSE),0,1),1)</f>
        <v>0</v>
      </c>
      <c r="V23" s="57">
        <f>IF(ISBLANK(CONT_SUP[[#This Row],[FundCode]])=TRUE,0,IF(COUNTIF(FUNDS[FundCode],CONT_SUP[[#This Row],[FundCode]])=1,0,1))</f>
        <v>0</v>
      </c>
      <c r="W23" s="57">
        <f>IF(LEN(CONT_SUP[[#This Row],[Notes]])&lt;4000,0,1)</f>
        <v>0</v>
      </c>
      <c r="X23" s="57">
        <f>IF(SUBSTITUTE(TEXT(CONT_SUP[[#This Row],[Reference]],10)," ","")=TEXT(CONT_SUP[[#This Row],[Reference]],10),0,1)</f>
        <v>0</v>
      </c>
      <c r="Y23" s="57">
        <f ca="1">SUM(CONT_SUP[[#This Row],[Duplicate Contract]:[Space in Code]])</f>
        <v>0</v>
      </c>
      <c r="AA23" s="12" t="s">
        <v>2094</v>
      </c>
      <c r="AB23" s="63">
        <v>91073533</v>
      </c>
      <c r="AC23" s="63" t="s">
        <v>4621</v>
      </c>
      <c r="AD23" s="57" t="str">
        <f>_xlfn.XLOOKUP(CONT_SUP[[#This Row],[StaffMemberCode]],StaffMembers!O:O,StaffMembers!R:R)</f>
        <v>Ann Broady</v>
      </c>
      <c r="AE23" s="12" t="s">
        <v>4237</v>
      </c>
      <c r="AF23" s="66">
        <f>_xlfn.XLOOKUP(CONT_SUP[[#This Row],[SRG]],SRG[StaffRoleGroupCode],SRG[GrossSalaryFinanceCode])</f>
        <v>625100</v>
      </c>
      <c r="AG23" s="57" t="str">
        <f>_xlfn.XLOOKUP(CONT_SUP[[#This Row],[StaffRoleCode]],ROLES[StaffRoleCode],ROLES[StaffRoleGroupCode])</f>
        <v>ADM</v>
      </c>
      <c r="AH23" s="57" t="str">
        <f>_xlfn.XLOOKUP(CONT_SUP[[#This Row],[StaffRoleCode]],ROLES[StaffRoleCode],ROLES[PayScaleCode])</f>
        <v>NJC_CHE</v>
      </c>
      <c r="AI23" s="12" t="s">
        <v>3122</v>
      </c>
      <c r="AJ23" s="12">
        <v>6</v>
      </c>
      <c r="AK23" s="12" t="s">
        <v>2483</v>
      </c>
      <c r="AM23" s="68" t="s">
        <v>1149</v>
      </c>
      <c r="AN23" s="12" t="s">
        <v>3135</v>
      </c>
      <c r="AO23" s="21">
        <v>45901</v>
      </c>
      <c r="AQ23" s="12">
        <v>18</v>
      </c>
      <c r="AR23" t="b">
        <v>0</v>
      </c>
      <c r="AS23" t="b">
        <v>0</v>
      </c>
      <c r="AT23" s="12" t="s">
        <v>1574</v>
      </c>
    </row>
    <row r="24" spans="1:46" x14ac:dyDescent="0.3">
      <c r="A24" s="57" t="str">
        <f t="shared" si="0"/>
        <v>BLS9107345591073455AEXA_OFFSFIN45901</v>
      </c>
      <c r="B24" s="57">
        <f>COUNTIF(CONT_SUP[Unique Contract],CONT_SUP[[#This Row],[Unique Contract]])-1</f>
        <v>0</v>
      </c>
      <c r="C24" s="57">
        <f>IFERROR(IF(FIND(CONT_SUP[[#This Row],[SchoolCode]],_xlfn.XLOOKUP(CONT_SUP[[#This Row],[StaffMemberCode]],MEMBERS[StaffMemberCode],MEMBERS[SchoolCodes]))&gt;0,0,1),1)</f>
        <v>0</v>
      </c>
      <c r="D24" s="57" cm="1">
        <f t="array" ref="D24">IF(_xlfn.XLOOKUP(CONT_SUP[[#This Row],[StaffRoleCode]],ROLES[StaffRoleCode],ROLES[AvailableToAllSchools],1,0,)=TRUE,0,IF(ISERROR(FIND(CONT_SUP[[#This Row],[SchoolCode]],_xlfn.TEXTJOIN(",",TRUE,_xlfn.UNIQUE(IF(ROLES[StaffRoleCode]=CONT_SUP[[#This Row],[StaffRoleCode]],ROLES[SchoolCodes],""))))),1,0))</f>
        <v>0</v>
      </c>
      <c r="E24" s="66" cm="1">
        <f t="array" ref="E2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4" s="57" cm="1">
        <f t="array" ref="F24">IF(_xlfn.XLOOKUP(CONT_SUP[[#This Row],[PayScaleCode]],PAYSCALES[PayScaleCode],PAYSCALES[AvailableToAllSchools],1,0,)=TRUE,0,IF(ISERROR(FIND(CONT_SUP[[#This Row],[SchoolCode]],_xlfn.TEXTJOIN(",",TRUE,_xlfn.UNIQUE(IF(PAYSCALES[PayScaleCode]=CONT_SUP[[#This Row],[PayScaleCode]],PAYSCALES[SchoolCodes],""))))),1,0))</f>
        <v>0</v>
      </c>
      <c r="G24" s="57">
        <f>IF(_xlfn.XLOOKUP(CONT_SUP[[#This Row],[PayScaleGradeCode]],GRADES[PayScaleGradeCode],GRADES[AvailableToAllSchools])=TRUE,0,IFERROR(IF(FIND(CONT_SUP[[#This Row],[SchoolCode]],_xlfn.XLOOKUP(CONT_SUP[[#This Row],[PayScaleGradeCode]],GRADES[PayScaleGradeCode],GRADES[SchoolCodes]))&gt;=1,0,1),1))</f>
        <v>0</v>
      </c>
      <c r="H24" s="66">
        <f>IF(ISERROR(IF((_xlfn.XLOOKUP(CONT_SUP[[#This Row],[PayScaleGradeCode]],GRADES[PayScaleGradeCode],GRADES[PayScaleCode])=CONT_SUP[[#This Row],[PayScaleCode]]),0,1)),1,0)</f>
        <v>0</v>
      </c>
      <c r="I24" s="66" cm="1">
        <f t="array" ref="I24">IF(ISERROR(FIND(CONT_SUP[[#This Row],[PayScalePointCode]],_xlfn.TEXTJOIN(",",TRUE,IF(PSPOINTS[PayScaleCode]=CONT_SUP[[#This Row],[PayScaleCode]],PSPOINTS[PayScalePointCode])))),1,0)</f>
        <v>0</v>
      </c>
      <c r="J24" s="57" cm="1">
        <f t="array" ref="J2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4" s="66">
        <f>IF(_xlfn.XLOOKUP(CONT_SUP[[#This Row],[PayScalePointCode]],PSPOINTS[PayScalePointCode],PSPOINTS[PayScalePointEnabled])=TRUE,0,1)</f>
        <v>0</v>
      </c>
      <c r="L24" s="57" cm="1">
        <f t="array" ref="L24">IF(_xlfn.XLOOKUP(CONT_SUP[[#This Row],[DepartmentCode]],DEPTS[DepartmentCode],DEPTS[AvailableToAllSchools],1,0,)=TRUE,0,IF(ISERROR(FIND(CONT_SUP[[#This Row],[SchoolCode]],_xlfn.TEXTJOIN(",",TRUE,_xlfn.UNIQUE(IF(DEPTS[DepartmentCode]=CONT_SUP[[#This Row],[DepartmentCode]],DEPTS[SchoolCodes],""))))),1,0))</f>
        <v>0</v>
      </c>
      <c r="M24" s="57">
        <f>IFERROR(IF(_xlfn.XLOOKUP(CONT_SUP[[#This Row],[SRG Gross]],FinanceCodesBudget[FinanceCode],FinanceCodesBudget[LedgerCode])=_xlfn.XLOOKUP(CONT_SUP[[#This Row],[DepartmentCode]],DEPTS[DepartmentCode],DEPTS[LedgerCode]),0,1),1)</f>
        <v>0</v>
      </c>
      <c r="N24" s="66" cm="1">
        <f t="array" ref="N24">IF(_xlfn.XLOOKUP(CONT_SUP[[#This Row],[PensionCode]],PENS[PensionCode],PENS[AvailableToAllSchools],1,0,)=TRUE,0,IF(ISERROR(FIND(CONT_SUP[[#This Row],[SchoolCode]],_xlfn.TEXTJOIN(",",TRUE,_xlfn.UNIQUE(IF(PENS[PensionCode]=CONT_SUP[[#This Row],[PensionCode]],PENS[SchoolCodes],""))))),1,0))</f>
        <v>0</v>
      </c>
      <c r="O24" s="66" cm="1">
        <f t="array" ref="O24">IF(_xlfn.XLOOKUP(CONT_SUP[[#This Row],[EquatedWeekPatternCode]],EQW[EquatedWeekPatternCode],EQW[AvailableToAllSchools],1,0,)=TRUE,0,IF(ISERROR(FIND(CONT_SUP[[#This Row],[SchoolCode]],_xlfn.TEXTJOIN(",",TRUE,_xlfn.UNIQUE(IF(EQW[EquatedWeekPatternCode]=CONT_SUP[[#This Row],[EquatedWeekPatternCode]],EQW[SchoolCodes],""))))),1,0))</f>
        <v>0</v>
      </c>
      <c r="P24" s="57">
        <f>1-COUNTIF(ContractTypes[Code],CONT_SUP[[#This Row],[ContractTypeCode]])</f>
        <v>0</v>
      </c>
      <c r="Q24" s="57">
        <f>IF(VLOOKUP(CONT_SUP[[#This Row],[StaffMemberCode]],MEMBERS[[StaffMemberCode]:[ServiceStartDate]],5,0)&gt;CONT_SUP[[#This Row],[DateFrom]],1,0)</f>
        <v>0</v>
      </c>
      <c r="R24" s="57">
        <f>IF(_xlfn.XLOOKUP(CONT_SUP[[#This Row],[StaffMemberCode]],MEMBERS[StaffMemberCode],MEMBERS[ServiceEndDate])="",0,IF(CONT_SUP[[#This Row],[DateTo]]="",1,IF(_xlfn.XLOOKUP(CONT_SUP[[#This Row],[StaffMemberCode]],MEMBERS[StaffMemberCode],MEMBERS[ServiceEndDate])&lt;CONT_SUP[[#This Row],[DateTo]],1,0)))</f>
        <v>0</v>
      </c>
      <c r="S24" s="57">
        <f>IF(ISBLANK(CONT_SUP[[#This Row],[DateTo]]),0,IF(CONT_SUP[[#This Row],[DateFrom]]=CONT_SUP[[#This Row],[DateTo]],0,IF(CONT_SUP[[#This Row],[DateFrom]]&lt;CONT_SUP[[#This Row],[DateTo]],0,1)))</f>
        <v>0</v>
      </c>
      <c r="T24" s="57" cm="1">
        <f t="array" aca="1" ref="T24" ca="1">IF(CELL("format",CONT_SUP[[#This Row],[DateFrom]])="D1",0,1)+IF(CELL("format",CONT_SUP[[#This Row],[DateTo]])="D1",0,1)</f>
        <v>0</v>
      </c>
      <c r="U24" s="57">
        <f>IF(OR(CONT_SUP[[#This Row],[MatEditOnly]]=TRUE,CONT_SUP[[#This Row],[MatEditOnly]]=FALSE),IF(OR(CONT_SUP[[#This Row],[NoIncrement]]=TRUE,CONT_SUP[[#This Row],[NoIncrement]]=FALSE),0,1),1)</f>
        <v>0</v>
      </c>
      <c r="V24" s="57">
        <f>IF(ISBLANK(CONT_SUP[[#This Row],[FundCode]])=TRUE,0,IF(COUNTIF(FUNDS[FundCode],CONT_SUP[[#This Row],[FundCode]])=1,0,1))</f>
        <v>0</v>
      </c>
      <c r="W24" s="57">
        <f>IF(LEN(CONT_SUP[[#This Row],[Notes]])&lt;4000,0,1)</f>
        <v>0</v>
      </c>
      <c r="X24" s="57">
        <f>IF(SUBSTITUTE(TEXT(CONT_SUP[[#This Row],[Reference]],10)," ","")=TEXT(CONT_SUP[[#This Row],[Reference]],10),0,1)</f>
        <v>0</v>
      </c>
      <c r="Y24" s="57">
        <f ca="1">SUM(CONT_SUP[[#This Row],[Duplicate Contract]:[Space in Code]])</f>
        <v>0</v>
      </c>
      <c r="AA24" s="12" t="s">
        <v>2094</v>
      </c>
      <c r="AB24" s="63">
        <v>91073455</v>
      </c>
      <c r="AC24" s="63" t="s">
        <v>4622</v>
      </c>
      <c r="AD24" s="57" t="str">
        <f>_xlfn.XLOOKUP(CONT_SUP[[#This Row],[StaffMemberCode]],StaffMembers!O:O,StaffMembers!R:R)</f>
        <v>Louise Doyle</v>
      </c>
      <c r="AE24" s="12" t="s">
        <v>4239</v>
      </c>
      <c r="AF24" s="66">
        <f>_xlfn.XLOOKUP(CONT_SUP[[#This Row],[SRG]],SRG[StaffRoleGroupCode],SRG[GrossSalaryFinanceCode])</f>
        <v>625100</v>
      </c>
      <c r="AG24" s="57" t="str">
        <f>_xlfn.XLOOKUP(CONT_SUP[[#This Row],[StaffRoleCode]],ROLES[StaffRoleCode],ROLES[StaffRoleGroupCode])</f>
        <v>ADM</v>
      </c>
      <c r="AH24" s="57" t="str">
        <f>_xlfn.XLOOKUP(CONT_SUP[[#This Row],[StaffRoleCode]],ROLES[StaffRoleCode],ROLES[PayScaleCode])</f>
        <v>NJC_CHE</v>
      </c>
      <c r="AI24" s="12" t="s">
        <v>3124</v>
      </c>
      <c r="AJ24" s="12">
        <v>17</v>
      </c>
      <c r="AK24" s="12" t="s">
        <v>2483</v>
      </c>
      <c r="AM24" s="68" t="s">
        <v>3132</v>
      </c>
      <c r="AN24" s="12" t="s">
        <v>3137</v>
      </c>
      <c r="AO24" s="21">
        <v>45901</v>
      </c>
      <c r="AQ24" s="12">
        <v>37</v>
      </c>
      <c r="AR24" t="b">
        <v>0</v>
      </c>
      <c r="AS24" t="b">
        <v>0</v>
      </c>
      <c r="AT24" s="12" t="s">
        <v>1574</v>
      </c>
    </row>
    <row r="25" spans="1:46" x14ac:dyDescent="0.3">
      <c r="A25" s="57" t="str">
        <f t="shared" si="0"/>
        <v>BLS9185007191850071AFIN_OP_ADMSFIN45962</v>
      </c>
      <c r="B25" s="57">
        <f>COUNTIF(CONT_SUP[Unique Contract],CONT_SUP[[#This Row],[Unique Contract]])-1</f>
        <v>0</v>
      </c>
      <c r="C25" s="57">
        <f>IFERROR(IF(FIND(CONT_SUP[[#This Row],[SchoolCode]],_xlfn.XLOOKUP(CONT_SUP[[#This Row],[StaffMemberCode]],MEMBERS[StaffMemberCode],MEMBERS[SchoolCodes]))&gt;0,0,1),1)</f>
        <v>0</v>
      </c>
      <c r="D25" s="57" cm="1">
        <f t="array" ref="D25">IF(_xlfn.XLOOKUP(CONT_SUP[[#This Row],[StaffRoleCode]],ROLES[StaffRoleCode],ROLES[AvailableToAllSchools],1,0,)=TRUE,0,IF(ISERROR(FIND(CONT_SUP[[#This Row],[SchoolCode]],_xlfn.TEXTJOIN(",",TRUE,_xlfn.UNIQUE(IF(ROLES[StaffRoleCode]=CONT_SUP[[#This Row],[StaffRoleCode]],ROLES[SchoolCodes],""))))),1,0))</f>
        <v>0</v>
      </c>
      <c r="E25" s="66" cm="1">
        <f t="array" ref="E2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5" s="57" cm="1">
        <f t="array" ref="F25">IF(_xlfn.XLOOKUP(CONT_SUP[[#This Row],[PayScaleCode]],PAYSCALES[PayScaleCode],PAYSCALES[AvailableToAllSchools],1,0,)=TRUE,0,IF(ISERROR(FIND(CONT_SUP[[#This Row],[SchoolCode]],_xlfn.TEXTJOIN(",",TRUE,_xlfn.UNIQUE(IF(PAYSCALES[PayScaleCode]=CONT_SUP[[#This Row],[PayScaleCode]],PAYSCALES[SchoolCodes],""))))),1,0))</f>
        <v>0</v>
      </c>
      <c r="G25" s="57">
        <f>IF(_xlfn.XLOOKUP(CONT_SUP[[#This Row],[PayScaleGradeCode]],GRADES[PayScaleGradeCode],GRADES[AvailableToAllSchools])=TRUE,0,IFERROR(IF(FIND(CONT_SUP[[#This Row],[SchoolCode]],_xlfn.XLOOKUP(CONT_SUP[[#This Row],[PayScaleGradeCode]],GRADES[PayScaleGradeCode],GRADES[SchoolCodes]))&gt;=1,0,1),1))</f>
        <v>0</v>
      </c>
      <c r="H25" s="66">
        <f>IF(ISERROR(IF((_xlfn.XLOOKUP(CONT_SUP[[#This Row],[PayScaleGradeCode]],GRADES[PayScaleGradeCode],GRADES[PayScaleCode])=CONT_SUP[[#This Row],[PayScaleCode]]),0,1)),1,0)</f>
        <v>0</v>
      </c>
      <c r="I25" s="66" cm="1">
        <f t="array" ref="I25">IF(ISERROR(FIND(CONT_SUP[[#This Row],[PayScalePointCode]],_xlfn.TEXTJOIN(",",TRUE,IF(PSPOINTS[PayScaleCode]=CONT_SUP[[#This Row],[PayScaleCode]],PSPOINTS[PayScalePointCode])))),1,0)</f>
        <v>0</v>
      </c>
      <c r="J25" s="57" cm="1">
        <f t="array" ref="J2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5" s="66">
        <f>IF(_xlfn.XLOOKUP(CONT_SUP[[#This Row],[PayScalePointCode]],PSPOINTS[PayScalePointCode],PSPOINTS[PayScalePointEnabled])=TRUE,0,1)</f>
        <v>0</v>
      </c>
      <c r="L25" s="57" cm="1">
        <f t="array" ref="L25">IF(_xlfn.XLOOKUP(CONT_SUP[[#This Row],[DepartmentCode]],DEPTS[DepartmentCode],DEPTS[AvailableToAllSchools],1,0,)=TRUE,0,IF(ISERROR(FIND(CONT_SUP[[#This Row],[SchoolCode]],_xlfn.TEXTJOIN(",",TRUE,_xlfn.UNIQUE(IF(DEPTS[DepartmentCode]=CONT_SUP[[#This Row],[DepartmentCode]],DEPTS[SchoolCodes],""))))),1,0))</f>
        <v>0</v>
      </c>
      <c r="M25" s="57">
        <f>IFERROR(IF(_xlfn.XLOOKUP(CONT_SUP[[#This Row],[SRG Gross]],FinanceCodesBudget[FinanceCode],FinanceCodesBudget[LedgerCode])=_xlfn.XLOOKUP(CONT_SUP[[#This Row],[DepartmentCode]],DEPTS[DepartmentCode],DEPTS[LedgerCode]),0,1),1)</f>
        <v>0</v>
      </c>
      <c r="N25" s="66" cm="1">
        <f t="array" ref="N25">IF(_xlfn.XLOOKUP(CONT_SUP[[#This Row],[PensionCode]],PENS[PensionCode],PENS[AvailableToAllSchools],1,0,)=TRUE,0,IF(ISERROR(FIND(CONT_SUP[[#This Row],[SchoolCode]],_xlfn.TEXTJOIN(",",TRUE,_xlfn.UNIQUE(IF(PENS[PensionCode]=CONT_SUP[[#This Row],[PensionCode]],PENS[SchoolCodes],""))))),1,0))</f>
        <v>0</v>
      </c>
      <c r="O25" s="66" cm="1">
        <f t="array" ref="O25">IF(_xlfn.XLOOKUP(CONT_SUP[[#This Row],[EquatedWeekPatternCode]],EQW[EquatedWeekPatternCode],EQW[AvailableToAllSchools],1,0,)=TRUE,0,IF(ISERROR(FIND(CONT_SUP[[#This Row],[SchoolCode]],_xlfn.TEXTJOIN(",",TRUE,_xlfn.UNIQUE(IF(EQW[EquatedWeekPatternCode]=CONT_SUP[[#This Row],[EquatedWeekPatternCode]],EQW[SchoolCodes],""))))),1,0))</f>
        <v>0</v>
      </c>
      <c r="P25" s="57">
        <f>1-COUNTIF(ContractTypes[Code],CONT_SUP[[#This Row],[ContractTypeCode]])</f>
        <v>0</v>
      </c>
      <c r="Q25" s="57">
        <f>IF(VLOOKUP(CONT_SUP[[#This Row],[StaffMemberCode]],MEMBERS[[StaffMemberCode]:[ServiceStartDate]],5,0)&gt;CONT_SUP[[#This Row],[DateFrom]],1,0)</f>
        <v>0</v>
      </c>
      <c r="R25" s="57">
        <f>IF(_xlfn.XLOOKUP(CONT_SUP[[#This Row],[StaffMemberCode]],MEMBERS[StaffMemberCode],MEMBERS[ServiceEndDate])="",0,IF(CONT_SUP[[#This Row],[DateTo]]="",1,IF(_xlfn.XLOOKUP(CONT_SUP[[#This Row],[StaffMemberCode]],MEMBERS[StaffMemberCode],MEMBERS[ServiceEndDate])&lt;CONT_SUP[[#This Row],[DateTo]],1,0)))</f>
        <v>0</v>
      </c>
      <c r="S25" s="57">
        <f>IF(ISBLANK(CONT_SUP[[#This Row],[DateTo]]),0,IF(CONT_SUP[[#This Row],[DateFrom]]=CONT_SUP[[#This Row],[DateTo]],0,IF(CONT_SUP[[#This Row],[DateFrom]]&lt;CONT_SUP[[#This Row],[DateTo]],0,1)))</f>
        <v>0</v>
      </c>
      <c r="T25" s="57" cm="1">
        <f t="array" aca="1" ref="T25" ca="1">IF(CELL("format",CONT_SUP[[#This Row],[DateFrom]])="D1",0,1)+IF(CELL("format",CONT_SUP[[#This Row],[DateTo]])="D1",0,1)</f>
        <v>0</v>
      </c>
      <c r="U25" s="57">
        <f>IF(OR(CONT_SUP[[#This Row],[MatEditOnly]]=TRUE,CONT_SUP[[#This Row],[MatEditOnly]]=FALSE),IF(OR(CONT_SUP[[#This Row],[NoIncrement]]=TRUE,CONT_SUP[[#This Row],[NoIncrement]]=FALSE),0,1),1)</f>
        <v>0</v>
      </c>
      <c r="V25" s="57">
        <f>IF(ISBLANK(CONT_SUP[[#This Row],[FundCode]])=TRUE,0,IF(COUNTIF(FUNDS[FundCode],CONT_SUP[[#This Row],[FundCode]])=1,0,1))</f>
        <v>0</v>
      </c>
      <c r="W25" s="57">
        <f>IF(LEN(CONT_SUP[[#This Row],[Notes]])&lt;4000,0,1)</f>
        <v>0</v>
      </c>
      <c r="X25" s="57">
        <f>IF(SUBSTITUTE(TEXT(CONT_SUP[[#This Row],[Reference]],10)," ","")=TEXT(CONT_SUP[[#This Row],[Reference]],10),0,1)</f>
        <v>0</v>
      </c>
      <c r="Y25" s="57">
        <f ca="1">SUM(CONT_SUP[[#This Row],[Duplicate Contract]:[Space in Code]])</f>
        <v>0</v>
      </c>
      <c r="AA25" s="12" t="s">
        <v>2094</v>
      </c>
      <c r="AB25" s="63">
        <v>91850071</v>
      </c>
      <c r="AC25" s="63" t="s">
        <v>4623</v>
      </c>
      <c r="AD25" s="57" t="str">
        <f>_xlfn.XLOOKUP(CONT_SUP[[#This Row],[StaffMemberCode]],StaffMembers!O:O,StaffMembers!R:R)</f>
        <v>Claire Perks</v>
      </c>
      <c r="AE25" s="12" t="s">
        <v>4241</v>
      </c>
      <c r="AF25" s="66">
        <f>_xlfn.XLOOKUP(CONT_SUP[[#This Row],[SRG]],SRG[StaffRoleGroupCode],SRG[GrossSalaryFinanceCode])</f>
        <v>625100</v>
      </c>
      <c r="AG25" s="57" t="str">
        <f>_xlfn.XLOOKUP(CONT_SUP[[#This Row],[StaffRoleCode]],ROLES[StaffRoleCode],ROLES[StaffRoleGroupCode])</f>
        <v>ADM</v>
      </c>
      <c r="AH25" s="57" t="str">
        <f>_xlfn.XLOOKUP(CONT_SUP[[#This Row],[StaffRoleCode]],ROLES[StaffRoleCode],ROLES[PayScaleCode])</f>
        <v>NJC_CHE</v>
      </c>
      <c r="AI25" s="12" t="s">
        <v>3126</v>
      </c>
      <c r="AJ25" s="12">
        <v>24</v>
      </c>
      <c r="AK25" s="12" t="s">
        <v>2483</v>
      </c>
      <c r="AM25" s="68" t="s">
        <v>3132</v>
      </c>
      <c r="AN25" s="12" t="s">
        <v>1702</v>
      </c>
      <c r="AO25" s="21">
        <v>45962</v>
      </c>
      <c r="AQ25" s="12">
        <v>37</v>
      </c>
      <c r="AR25" t="b">
        <v>0</v>
      </c>
      <c r="AS25" t="b">
        <v>0</v>
      </c>
      <c r="AT25" s="12" t="s">
        <v>1574</v>
      </c>
    </row>
    <row r="26" spans="1:46" x14ac:dyDescent="0.3">
      <c r="A26" s="57" t="str">
        <f t="shared" si="0"/>
        <v>ALS9107383291073832AFIN_ASTSFIN45901</v>
      </c>
      <c r="B26" s="57">
        <f>COUNTIF(CONT_SUP[Unique Contract],CONT_SUP[[#This Row],[Unique Contract]])-1</f>
        <v>0</v>
      </c>
      <c r="C26" s="57">
        <f>IFERROR(IF(FIND(CONT_SUP[[#This Row],[SchoolCode]],_xlfn.XLOOKUP(CONT_SUP[[#This Row],[StaffMemberCode]],MEMBERS[StaffMemberCode],MEMBERS[SchoolCodes]))&gt;0,0,1),1)</f>
        <v>0</v>
      </c>
      <c r="D26" s="57" cm="1">
        <f t="array" ref="D26">IF(_xlfn.XLOOKUP(CONT_SUP[[#This Row],[StaffRoleCode]],ROLES[StaffRoleCode],ROLES[AvailableToAllSchools],1,0,)=TRUE,0,IF(ISERROR(FIND(CONT_SUP[[#This Row],[SchoolCode]],_xlfn.TEXTJOIN(",",TRUE,_xlfn.UNIQUE(IF(ROLES[StaffRoleCode]=CONT_SUP[[#This Row],[StaffRoleCode]],ROLES[SchoolCodes],""))))),1,0))</f>
        <v>0</v>
      </c>
      <c r="E26" s="66" cm="1">
        <f t="array" ref="E2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6" s="57" cm="1">
        <f t="array" ref="F26">IF(_xlfn.XLOOKUP(CONT_SUP[[#This Row],[PayScaleCode]],PAYSCALES[PayScaleCode],PAYSCALES[AvailableToAllSchools],1,0,)=TRUE,0,IF(ISERROR(FIND(CONT_SUP[[#This Row],[SchoolCode]],_xlfn.TEXTJOIN(",",TRUE,_xlfn.UNIQUE(IF(PAYSCALES[PayScaleCode]=CONT_SUP[[#This Row],[PayScaleCode]],PAYSCALES[SchoolCodes],""))))),1,0))</f>
        <v>0</v>
      </c>
      <c r="G26" s="57">
        <f>IF(_xlfn.XLOOKUP(CONT_SUP[[#This Row],[PayScaleGradeCode]],GRADES[PayScaleGradeCode],GRADES[AvailableToAllSchools])=TRUE,0,IFERROR(IF(FIND(CONT_SUP[[#This Row],[SchoolCode]],_xlfn.XLOOKUP(CONT_SUP[[#This Row],[PayScaleGradeCode]],GRADES[PayScaleGradeCode],GRADES[SchoolCodes]))&gt;=1,0,1),1))</f>
        <v>0</v>
      </c>
      <c r="H26" s="66">
        <f>IF(ISERROR(IF((_xlfn.XLOOKUP(CONT_SUP[[#This Row],[PayScaleGradeCode]],GRADES[PayScaleGradeCode],GRADES[PayScaleCode])=CONT_SUP[[#This Row],[PayScaleCode]]),0,1)),1,0)</f>
        <v>0</v>
      </c>
      <c r="I26" s="66" cm="1">
        <f t="array" ref="I26">IF(ISERROR(FIND(CONT_SUP[[#This Row],[PayScalePointCode]],_xlfn.TEXTJOIN(",",TRUE,IF(PSPOINTS[PayScaleCode]=CONT_SUP[[#This Row],[PayScaleCode]],PSPOINTS[PayScalePointCode])))),1,0)</f>
        <v>0</v>
      </c>
      <c r="J26" s="57" cm="1">
        <f t="array" ref="J2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6" s="66">
        <f>IF(_xlfn.XLOOKUP(CONT_SUP[[#This Row],[PayScalePointCode]],PSPOINTS[PayScalePointCode],PSPOINTS[PayScalePointEnabled])=TRUE,0,1)</f>
        <v>0</v>
      </c>
      <c r="L26" s="57" cm="1">
        <f t="array" ref="L26">IF(_xlfn.XLOOKUP(CONT_SUP[[#This Row],[DepartmentCode]],DEPTS[DepartmentCode],DEPTS[AvailableToAllSchools],1,0,)=TRUE,0,IF(ISERROR(FIND(CONT_SUP[[#This Row],[SchoolCode]],_xlfn.TEXTJOIN(",",TRUE,_xlfn.UNIQUE(IF(DEPTS[DepartmentCode]=CONT_SUP[[#This Row],[DepartmentCode]],DEPTS[SchoolCodes],""))))),1,0))</f>
        <v>0</v>
      </c>
      <c r="M26" s="57">
        <f>IFERROR(IF(_xlfn.XLOOKUP(CONT_SUP[[#This Row],[SRG Gross]],FinanceCodesBudget[FinanceCode],FinanceCodesBudget[LedgerCode])=_xlfn.XLOOKUP(CONT_SUP[[#This Row],[DepartmentCode]],DEPTS[DepartmentCode],DEPTS[LedgerCode]),0,1),1)</f>
        <v>0</v>
      </c>
      <c r="N26" s="66" cm="1">
        <f t="array" ref="N26">IF(_xlfn.XLOOKUP(CONT_SUP[[#This Row],[PensionCode]],PENS[PensionCode],PENS[AvailableToAllSchools],1,0,)=TRUE,0,IF(ISERROR(FIND(CONT_SUP[[#This Row],[SchoolCode]],_xlfn.TEXTJOIN(",",TRUE,_xlfn.UNIQUE(IF(PENS[PensionCode]=CONT_SUP[[#This Row],[PensionCode]],PENS[SchoolCodes],""))))),1,0))</f>
        <v>0</v>
      </c>
      <c r="O26" s="66" cm="1">
        <f t="array" ref="O26">IF(_xlfn.XLOOKUP(CONT_SUP[[#This Row],[EquatedWeekPatternCode]],EQW[EquatedWeekPatternCode],EQW[AvailableToAllSchools],1,0,)=TRUE,0,IF(ISERROR(FIND(CONT_SUP[[#This Row],[SchoolCode]],_xlfn.TEXTJOIN(",",TRUE,_xlfn.UNIQUE(IF(EQW[EquatedWeekPatternCode]=CONT_SUP[[#This Row],[EquatedWeekPatternCode]],EQW[SchoolCodes],""))))),1,0))</f>
        <v>0</v>
      </c>
      <c r="P26" s="57">
        <f>1-COUNTIF(ContractTypes[Code],CONT_SUP[[#This Row],[ContractTypeCode]])</f>
        <v>0</v>
      </c>
      <c r="Q26" s="57">
        <f>IF(VLOOKUP(CONT_SUP[[#This Row],[StaffMemberCode]],MEMBERS[[StaffMemberCode]:[ServiceStartDate]],5,0)&gt;CONT_SUP[[#This Row],[DateFrom]],1,0)</f>
        <v>0</v>
      </c>
      <c r="R26" s="57">
        <f>IF(_xlfn.XLOOKUP(CONT_SUP[[#This Row],[StaffMemberCode]],MEMBERS[StaffMemberCode],MEMBERS[ServiceEndDate])="",0,IF(CONT_SUP[[#This Row],[DateTo]]="",1,IF(_xlfn.XLOOKUP(CONT_SUP[[#This Row],[StaffMemberCode]],MEMBERS[StaffMemberCode],MEMBERS[ServiceEndDate])&lt;CONT_SUP[[#This Row],[DateTo]],1,0)))</f>
        <v>0</v>
      </c>
      <c r="S26" s="57">
        <f>IF(ISBLANK(CONT_SUP[[#This Row],[DateTo]]),0,IF(CONT_SUP[[#This Row],[DateFrom]]=CONT_SUP[[#This Row],[DateTo]],0,IF(CONT_SUP[[#This Row],[DateFrom]]&lt;CONT_SUP[[#This Row],[DateTo]],0,1)))</f>
        <v>0</v>
      </c>
      <c r="T26" s="57" cm="1">
        <f t="array" aca="1" ref="T26" ca="1">IF(CELL("format",CONT_SUP[[#This Row],[DateFrom]])="D1",0,1)+IF(CELL("format",CONT_SUP[[#This Row],[DateTo]])="D1",0,1)</f>
        <v>0</v>
      </c>
      <c r="U26" s="57">
        <f>IF(OR(CONT_SUP[[#This Row],[MatEditOnly]]=TRUE,CONT_SUP[[#This Row],[MatEditOnly]]=FALSE),IF(OR(CONT_SUP[[#This Row],[NoIncrement]]=TRUE,CONT_SUP[[#This Row],[NoIncrement]]=FALSE),0,1),1)</f>
        <v>0</v>
      </c>
      <c r="V26" s="57">
        <f>IF(ISBLANK(CONT_SUP[[#This Row],[FundCode]])=TRUE,0,IF(COUNTIF(FUNDS[FundCode],CONT_SUP[[#This Row],[FundCode]])=1,0,1))</f>
        <v>0</v>
      </c>
      <c r="W26" s="57">
        <f>IF(LEN(CONT_SUP[[#This Row],[Notes]])&lt;4000,0,1)</f>
        <v>0</v>
      </c>
      <c r="X26" s="57">
        <f>IF(SUBSTITUTE(TEXT(CONT_SUP[[#This Row],[Reference]],10)," ","")=TEXT(CONT_SUP[[#This Row],[Reference]],10),0,1)</f>
        <v>0</v>
      </c>
      <c r="Y26" s="57">
        <f ca="1">SUM(CONT_SUP[[#This Row],[Duplicate Contract]:[Space in Code]])</f>
        <v>0</v>
      </c>
      <c r="AA26" s="12" t="s">
        <v>2082</v>
      </c>
      <c r="AB26" s="63">
        <v>91073832</v>
      </c>
      <c r="AC26" s="63" t="s">
        <v>4624</v>
      </c>
      <c r="AD26" s="57" t="str">
        <f>_xlfn.XLOOKUP(CONT_SUP[[#This Row],[StaffMemberCode]],StaffMembers!O:O,StaffMembers!R:R)</f>
        <v>Joanne Catterall</v>
      </c>
      <c r="AE26" s="12" t="s">
        <v>1615</v>
      </c>
      <c r="AF26" s="66">
        <f>_xlfn.XLOOKUP(CONT_SUP[[#This Row],[SRG]],SRG[StaffRoleGroupCode],SRG[GrossSalaryFinanceCode])</f>
        <v>625100</v>
      </c>
      <c r="AG26" s="57" t="str">
        <f>_xlfn.XLOOKUP(CONT_SUP[[#This Row],[StaffRoleCode]],ROLES[StaffRoleCode],ROLES[StaffRoleGroupCode])</f>
        <v>ADM</v>
      </c>
      <c r="AH26" s="57" t="str">
        <f>_xlfn.XLOOKUP(CONT_SUP[[#This Row],[StaffRoleCode]],ROLES[StaffRoleCode],ROLES[PayScaleCode])</f>
        <v>NJC_CHE</v>
      </c>
      <c r="AI26" s="12" t="s">
        <v>3122</v>
      </c>
      <c r="AJ26" s="12">
        <v>6</v>
      </c>
      <c r="AK26" s="12" t="s">
        <v>2483</v>
      </c>
      <c r="AM26" s="68" t="s">
        <v>3132</v>
      </c>
      <c r="AN26" s="12" t="s">
        <v>1702</v>
      </c>
      <c r="AO26" s="21">
        <v>45901</v>
      </c>
      <c r="AQ26" s="12">
        <v>30</v>
      </c>
      <c r="AR26" t="b">
        <v>0</v>
      </c>
      <c r="AS26" t="b">
        <v>0</v>
      </c>
      <c r="AT26" s="12" t="s">
        <v>1574</v>
      </c>
    </row>
    <row r="27" spans="1:46" x14ac:dyDescent="0.3">
      <c r="A27" s="57" t="str">
        <f t="shared" si="0"/>
        <v>WVP9107343491073434AFIN_ASTSFIN45901</v>
      </c>
      <c r="B27" s="57">
        <f>COUNTIF(CONT_SUP[Unique Contract],CONT_SUP[[#This Row],[Unique Contract]])-1</f>
        <v>0</v>
      </c>
      <c r="C27" s="57">
        <f>IFERROR(IF(FIND(CONT_SUP[[#This Row],[SchoolCode]],_xlfn.XLOOKUP(CONT_SUP[[#This Row],[StaffMemberCode]],MEMBERS[StaffMemberCode],MEMBERS[SchoolCodes]))&gt;0,0,1),1)</f>
        <v>0</v>
      </c>
      <c r="D27" s="57" cm="1">
        <f t="array" ref="D27">IF(_xlfn.XLOOKUP(CONT_SUP[[#This Row],[StaffRoleCode]],ROLES[StaffRoleCode],ROLES[AvailableToAllSchools],1,0,)=TRUE,0,IF(ISERROR(FIND(CONT_SUP[[#This Row],[SchoolCode]],_xlfn.TEXTJOIN(",",TRUE,_xlfn.UNIQUE(IF(ROLES[StaffRoleCode]=CONT_SUP[[#This Row],[StaffRoleCode]],ROLES[SchoolCodes],""))))),1,0))</f>
        <v>0</v>
      </c>
      <c r="E27" s="66" cm="1">
        <f t="array" ref="E2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7" s="57" cm="1">
        <f t="array" ref="F27">IF(_xlfn.XLOOKUP(CONT_SUP[[#This Row],[PayScaleCode]],PAYSCALES[PayScaleCode],PAYSCALES[AvailableToAllSchools],1,0,)=TRUE,0,IF(ISERROR(FIND(CONT_SUP[[#This Row],[SchoolCode]],_xlfn.TEXTJOIN(",",TRUE,_xlfn.UNIQUE(IF(PAYSCALES[PayScaleCode]=CONT_SUP[[#This Row],[PayScaleCode]],PAYSCALES[SchoolCodes],""))))),1,0))</f>
        <v>0</v>
      </c>
      <c r="G27" s="57">
        <f>IF(_xlfn.XLOOKUP(CONT_SUP[[#This Row],[PayScaleGradeCode]],GRADES[PayScaleGradeCode],GRADES[AvailableToAllSchools])=TRUE,0,IFERROR(IF(FIND(CONT_SUP[[#This Row],[SchoolCode]],_xlfn.XLOOKUP(CONT_SUP[[#This Row],[PayScaleGradeCode]],GRADES[PayScaleGradeCode],GRADES[SchoolCodes]))&gt;=1,0,1),1))</f>
        <v>0</v>
      </c>
      <c r="H27" s="66">
        <f>IF(ISERROR(IF((_xlfn.XLOOKUP(CONT_SUP[[#This Row],[PayScaleGradeCode]],GRADES[PayScaleGradeCode],GRADES[PayScaleCode])=CONT_SUP[[#This Row],[PayScaleCode]]),0,1)),1,0)</f>
        <v>0</v>
      </c>
      <c r="I27" s="66" cm="1">
        <f t="array" ref="I27">IF(ISERROR(FIND(CONT_SUP[[#This Row],[PayScalePointCode]],_xlfn.TEXTJOIN(",",TRUE,IF(PSPOINTS[PayScaleCode]=CONT_SUP[[#This Row],[PayScaleCode]],PSPOINTS[PayScalePointCode])))),1,0)</f>
        <v>0</v>
      </c>
      <c r="J27" s="57" cm="1">
        <f t="array" ref="J2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7" s="66">
        <f>IF(_xlfn.XLOOKUP(CONT_SUP[[#This Row],[PayScalePointCode]],PSPOINTS[PayScalePointCode],PSPOINTS[PayScalePointEnabled])=TRUE,0,1)</f>
        <v>0</v>
      </c>
      <c r="L27" s="57" cm="1">
        <f t="array" ref="L27">IF(_xlfn.XLOOKUP(CONT_SUP[[#This Row],[DepartmentCode]],DEPTS[DepartmentCode],DEPTS[AvailableToAllSchools],1,0,)=TRUE,0,IF(ISERROR(FIND(CONT_SUP[[#This Row],[SchoolCode]],_xlfn.TEXTJOIN(",",TRUE,_xlfn.UNIQUE(IF(DEPTS[DepartmentCode]=CONT_SUP[[#This Row],[DepartmentCode]],DEPTS[SchoolCodes],""))))),1,0))</f>
        <v>0</v>
      </c>
      <c r="M27" s="57">
        <f>IFERROR(IF(_xlfn.XLOOKUP(CONT_SUP[[#This Row],[SRG Gross]],FinanceCodesBudget[FinanceCode],FinanceCodesBudget[LedgerCode])=_xlfn.XLOOKUP(CONT_SUP[[#This Row],[DepartmentCode]],DEPTS[DepartmentCode],DEPTS[LedgerCode]),0,1),1)</f>
        <v>0</v>
      </c>
      <c r="N27" s="66" cm="1">
        <f t="array" ref="N27">IF(_xlfn.XLOOKUP(CONT_SUP[[#This Row],[PensionCode]],PENS[PensionCode],PENS[AvailableToAllSchools],1,0,)=TRUE,0,IF(ISERROR(FIND(CONT_SUP[[#This Row],[SchoolCode]],_xlfn.TEXTJOIN(",",TRUE,_xlfn.UNIQUE(IF(PENS[PensionCode]=CONT_SUP[[#This Row],[PensionCode]],PENS[SchoolCodes],""))))),1,0))</f>
        <v>0</v>
      </c>
      <c r="O27" s="66" cm="1">
        <f t="array" ref="O27">IF(_xlfn.XLOOKUP(CONT_SUP[[#This Row],[EquatedWeekPatternCode]],EQW[EquatedWeekPatternCode],EQW[AvailableToAllSchools],1,0,)=TRUE,0,IF(ISERROR(FIND(CONT_SUP[[#This Row],[SchoolCode]],_xlfn.TEXTJOIN(",",TRUE,_xlfn.UNIQUE(IF(EQW[EquatedWeekPatternCode]=CONT_SUP[[#This Row],[EquatedWeekPatternCode]],EQW[SchoolCodes],""))))),1,0))</f>
        <v>0</v>
      </c>
      <c r="P27" s="57">
        <f>1-COUNTIF(ContractTypes[Code],CONT_SUP[[#This Row],[ContractTypeCode]])</f>
        <v>0</v>
      </c>
      <c r="Q27" s="57">
        <f>IF(VLOOKUP(CONT_SUP[[#This Row],[StaffMemberCode]],MEMBERS[[StaffMemberCode]:[ServiceStartDate]],5,0)&gt;CONT_SUP[[#This Row],[DateFrom]],1,0)</f>
        <v>0</v>
      </c>
      <c r="R27" s="57">
        <f>IF(_xlfn.XLOOKUP(CONT_SUP[[#This Row],[StaffMemberCode]],MEMBERS[StaffMemberCode],MEMBERS[ServiceEndDate])="",0,IF(CONT_SUP[[#This Row],[DateTo]]="",1,IF(_xlfn.XLOOKUP(CONT_SUP[[#This Row],[StaffMemberCode]],MEMBERS[StaffMemberCode],MEMBERS[ServiceEndDate])&lt;CONT_SUP[[#This Row],[DateTo]],1,0)))</f>
        <v>0</v>
      </c>
      <c r="S27" s="57">
        <f>IF(ISBLANK(CONT_SUP[[#This Row],[DateTo]]),0,IF(CONT_SUP[[#This Row],[DateFrom]]=CONT_SUP[[#This Row],[DateTo]],0,IF(CONT_SUP[[#This Row],[DateFrom]]&lt;CONT_SUP[[#This Row],[DateTo]],0,1)))</f>
        <v>0</v>
      </c>
      <c r="T27" s="57" cm="1">
        <f t="array" aca="1" ref="T27" ca="1">IF(CELL("format",CONT_SUP[[#This Row],[DateFrom]])="D1",0,1)+IF(CELL("format",CONT_SUP[[#This Row],[DateTo]])="D1",0,1)</f>
        <v>0</v>
      </c>
      <c r="U27" s="57">
        <f>IF(OR(CONT_SUP[[#This Row],[MatEditOnly]]=TRUE,CONT_SUP[[#This Row],[MatEditOnly]]=FALSE),IF(OR(CONT_SUP[[#This Row],[NoIncrement]]=TRUE,CONT_SUP[[#This Row],[NoIncrement]]=FALSE),0,1),1)</f>
        <v>0</v>
      </c>
      <c r="V27" s="57">
        <f>IF(ISBLANK(CONT_SUP[[#This Row],[FundCode]])=TRUE,0,IF(COUNTIF(FUNDS[FundCode],CONT_SUP[[#This Row],[FundCode]])=1,0,1))</f>
        <v>0</v>
      </c>
      <c r="W27" s="57">
        <f>IF(LEN(CONT_SUP[[#This Row],[Notes]])&lt;4000,0,1)</f>
        <v>0</v>
      </c>
      <c r="X27" s="57">
        <f>IF(SUBSTITUTE(TEXT(CONT_SUP[[#This Row],[Reference]],10)," ","")=TEXT(CONT_SUP[[#This Row],[Reference]],10),0,1)</f>
        <v>0</v>
      </c>
      <c r="Y27" s="57">
        <f ca="1">SUM(CONT_SUP[[#This Row],[Duplicate Contract]:[Space in Code]])</f>
        <v>0</v>
      </c>
      <c r="AA27" s="12" t="s">
        <v>2275</v>
      </c>
      <c r="AB27" s="63">
        <v>91073434</v>
      </c>
      <c r="AC27" s="63" t="s">
        <v>4625</v>
      </c>
      <c r="AD27" s="57" t="str">
        <f>_xlfn.XLOOKUP(CONT_SUP[[#This Row],[StaffMemberCode]],StaffMembers!O:O,StaffMembers!R:R)</f>
        <v>Nicola Blackburn</v>
      </c>
      <c r="AE27" s="12" t="s">
        <v>1615</v>
      </c>
      <c r="AF27" s="66">
        <f>_xlfn.XLOOKUP(CONT_SUP[[#This Row],[SRG]],SRG[StaffRoleGroupCode],SRG[GrossSalaryFinanceCode])</f>
        <v>625100</v>
      </c>
      <c r="AG27" s="57" t="str">
        <f>_xlfn.XLOOKUP(CONT_SUP[[#This Row],[StaffRoleCode]],ROLES[StaffRoleCode],ROLES[StaffRoleGroupCode])</f>
        <v>ADM</v>
      </c>
      <c r="AH27" s="57" t="str">
        <f>_xlfn.XLOOKUP(CONT_SUP[[#This Row],[StaffRoleCode]],ROLES[StaffRoleCode],ROLES[PayScaleCode])</f>
        <v>NJC_CHE</v>
      </c>
      <c r="AI27" s="12" t="s">
        <v>3123</v>
      </c>
      <c r="AJ27" s="12">
        <v>8</v>
      </c>
      <c r="AK27" s="12" t="s">
        <v>2483</v>
      </c>
      <c r="AM27" s="68" t="s">
        <v>3132</v>
      </c>
      <c r="AN27" s="12" t="s">
        <v>3137</v>
      </c>
      <c r="AO27" s="21">
        <v>45901</v>
      </c>
      <c r="AQ27" s="12">
        <v>29</v>
      </c>
      <c r="AR27" t="b">
        <v>0</v>
      </c>
      <c r="AS27" t="b">
        <v>0</v>
      </c>
      <c r="AT27" s="12" t="s">
        <v>1574</v>
      </c>
    </row>
    <row r="28" spans="1:46" x14ac:dyDescent="0.3">
      <c r="A28" s="57" t="str">
        <f t="shared" si="0"/>
        <v>BLS9107347991073479AFIN_ASTSFIN45901</v>
      </c>
      <c r="B28" s="57">
        <f>COUNTIF(CONT_SUP[Unique Contract],CONT_SUP[[#This Row],[Unique Contract]])-1</f>
        <v>0</v>
      </c>
      <c r="C28" s="57">
        <f>IFERROR(IF(FIND(CONT_SUP[[#This Row],[SchoolCode]],_xlfn.XLOOKUP(CONT_SUP[[#This Row],[StaffMemberCode]],MEMBERS[StaffMemberCode],MEMBERS[SchoolCodes]))&gt;0,0,1),1)</f>
        <v>0</v>
      </c>
      <c r="D28" s="57" cm="1">
        <f t="array" ref="D28">IF(_xlfn.XLOOKUP(CONT_SUP[[#This Row],[StaffRoleCode]],ROLES[StaffRoleCode],ROLES[AvailableToAllSchools],1,0,)=TRUE,0,IF(ISERROR(FIND(CONT_SUP[[#This Row],[SchoolCode]],_xlfn.TEXTJOIN(",",TRUE,_xlfn.UNIQUE(IF(ROLES[StaffRoleCode]=CONT_SUP[[#This Row],[StaffRoleCode]],ROLES[SchoolCodes],""))))),1,0))</f>
        <v>0</v>
      </c>
      <c r="E28" s="66" cm="1">
        <f t="array" ref="E2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8" s="57" cm="1">
        <f t="array" ref="F28">IF(_xlfn.XLOOKUP(CONT_SUP[[#This Row],[PayScaleCode]],PAYSCALES[PayScaleCode],PAYSCALES[AvailableToAllSchools],1,0,)=TRUE,0,IF(ISERROR(FIND(CONT_SUP[[#This Row],[SchoolCode]],_xlfn.TEXTJOIN(",",TRUE,_xlfn.UNIQUE(IF(PAYSCALES[PayScaleCode]=CONT_SUP[[#This Row],[PayScaleCode]],PAYSCALES[SchoolCodes],""))))),1,0))</f>
        <v>0</v>
      </c>
      <c r="G28" s="57">
        <f>IF(_xlfn.XLOOKUP(CONT_SUP[[#This Row],[PayScaleGradeCode]],GRADES[PayScaleGradeCode],GRADES[AvailableToAllSchools])=TRUE,0,IFERROR(IF(FIND(CONT_SUP[[#This Row],[SchoolCode]],_xlfn.XLOOKUP(CONT_SUP[[#This Row],[PayScaleGradeCode]],GRADES[PayScaleGradeCode],GRADES[SchoolCodes]))&gt;=1,0,1),1))</f>
        <v>0</v>
      </c>
      <c r="H28" s="66">
        <f>IF(ISERROR(IF((_xlfn.XLOOKUP(CONT_SUP[[#This Row],[PayScaleGradeCode]],GRADES[PayScaleGradeCode],GRADES[PayScaleCode])=CONT_SUP[[#This Row],[PayScaleCode]]),0,1)),1,0)</f>
        <v>0</v>
      </c>
      <c r="I28" s="66" cm="1">
        <f t="array" ref="I28">IF(ISERROR(FIND(CONT_SUP[[#This Row],[PayScalePointCode]],_xlfn.TEXTJOIN(",",TRUE,IF(PSPOINTS[PayScaleCode]=CONT_SUP[[#This Row],[PayScaleCode]],PSPOINTS[PayScalePointCode])))),1,0)</f>
        <v>0</v>
      </c>
      <c r="J28" s="57" cm="1">
        <f t="array" ref="J2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8" s="66">
        <f>IF(_xlfn.XLOOKUP(CONT_SUP[[#This Row],[PayScalePointCode]],PSPOINTS[PayScalePointCode],PSPOINTS[PayScalePointEnabled])=TRUE,0,1)</f>
        <v>0</v>
      </c>
      <c r="L28" s="57" cm="1">
        <f t="array" ref="L28">IF(_xlfn.XLOOKUP(CONT_SUP[[#This Row],[DepartmentCode]],DEPTS[DepartmentCode],DEPTS[AvailableToAllSchools],1,0,)=TRUE,0,IF(ISERROR(FIND(CONT_SUP[[#This Row],[SchoolCode]],_xlfn.TEXTJOIN(",",TRUE,_xlfn.UNIQUE(IF(DEPTS[DepartmentCode]=CONT_SUP[[#This Row],[DepartmentCode]],DEPTS[SchoolCodes],""))))),1,0))</f>
        <v>0</v>
      </c>
      <c r="M28" s="57">
        <f>IFERROR(IF(_xlfn.XLOOKUP(CONT_SUP[[#This Row],[SRG Gross]],FinanceCodesBudget[FinanceCode],FinanceCodesBudget[LedgerCode])=_xlfn.XLOOKUP(CONT_SUP[[#This Row],[DepartmentCode]],DEPTS[DepartmentCode],DEPTS[LedgerCode]),0,1),1)</f>
        <v>0</v>
      </c>
      <c r="N28" s="66" cm="1">
        <f t="array" ref="N28">IF(_xlfn.XLOOKUP(CONT_SUP[[#This Row],[PensionCode]],PENS[PensionCode],PENS[AvailableToAllSchools],1,0,)=TRUE,0,IF(ISERROR(FIND(CONT_SUP[[#This Row],[SchoolCode]],_xlfn.TEXTJOIN(",",TRUE,_xlfn.UNIQUE(IF(PENS[PensionCode]=CONT_SUP[[#This Row],[PensionCode]],PENS[SchoolCodes],""))))),1,0))</f>
        <v>0</v>
      </c>
      <c r="O28" s="66" cm="1">
        <f t="array" ref="O28">IF(_xlfn.XLOOKUP(CONT_SUP[[#This Row],[EquatedWeekPatternCode]],EQW[EquatedWeekPatternCode],EQW[AvailableToAllSchools],1,0,)=TRUE,0,IF(ISERROR(FIND(CONT_SUP[[#This Row],[SchoolCode]],_xlfn.TEXTJOIN(",",TRUE,_xlfn.UNIQUE(IF(EQW[EquatedWeekPatternCode]=CONT_SUP[[#This Row],[EquatedWeekPatternCode]],EQW[SchoolCodes],""))))),1,0))</f>
        <v>0</v>
      </c>
      <c r="P28" s="57">
        <f>1-COUNTIF(ContractTypes[Code],CONT_SUP[[#This Row],[ContractTypeCode]])</f>
        <v>0</v>
      </c>
      <c r="Q28" s="57">
        <f>IF(VLOOKUP(CONT_SUP[[#This Row],[StaffMemberCode]],MEMBERS[[StaffMemberCode]:[ServiceStartDate]],5,0)&gt;CONT_SUP[[#This Row],[DateFrom]],1,0)</f>
        <v>0</v>
      </c>
      <c r="R28" s="57">
        <f>IF(_xlfn.XLOOKUP(CONT_SUP[[#This Row],[StaffMemberCode]],MEMBERS[StaffMemberCode],MEMBERS[ServiceEndDate])="",0,IF(CONT_SUP[[#This Row],[DateTo]]="",1,IF(_xlfn.XLOOKUP(CONT_SUP[[#This Row],[StaffMemberCode]],MEMBERS[StaffMemberCode],MEMBERS[ServiceEndDate])&lt;CONT_SUP[[#This Row],[DateTo]],1,0)))</f>
        <v>0</v>
      </c>
      <c r="S28" s="57">
        <f>IF(ISBLANK(CONT_SUP[[#This Row],[DateTo]]),0,IF(CONT_SUP[[#This Row],[DateFrom]]=CONT_SUP[[#This Row],[DateTo]],0,IF(CONT_SUP[[#This Row],[DateFrom]]&lt;CONT_SUP[[#This Row],[DateTo]],0,1)))</f>
        <v>0</v>
      </c>
      <c r="T28" s="57" cm="1">
        <f t="array" aca="1" ref="T28" ca="1">IF(CELL("format",CONT_SUP[[#This Row],[DateFrom]])="D1",0,1)+IF(CELL("format",CONT_SUP[[#This Row],[DateTo]])="D1",0,1)</f>
        <v>0</v>
      </c>
      <c r="U28" s="57">
        <f>IF(OR(CONT_SUP[[#This Row],[MatEditOnly]]=TRUE,CONT_SUP[[#This Row],[MatEditOnly]]=FALSE),IF(OR(CONT_SUP[[#This Row],[NoIncrement]]=TRUE,CONT_SUP[[#This Row],[NoIncrement]]=FALSE),0,1),1)</f>
        <v>0</v>
      </c>
      <c r="V28" s="57">
        <f>IF(ISBLANK(CONT_SUP[[#This Row],[FundCode]])=TRUE,0,IF(COUNTIF(FUNDS[FundCode],CONT_SUP[[#This Row],[FundCode]])=1,0,1))</f>
        <v>0</v>
      </c>
      <c r="W28" s="57">
        <f>IF(LEN(CONT_SUP[[#This Row],[Notes]])&lt;4000,0,1)</f>
        <v>0</v>
      </c>
      <c r="X28" s="57">
        <f>IF(SUBSTITUTE(TEXT(CONT_SUP[[#This Row],[Reference]],10)," ","")=TEXT(CONT_SUP[[#This Row],[Reference]],10),0,1)</f>
        <v>0</v>
      </c>
      <c r="Y28" s="57">
        <f ca="1">SUM(CONT_SUP[[#This Row],[Duplicate Contract]:[Space in Code]])</f>
        <v>0</v>
      </c>
      <c r="AA28" s="12" t="s">
        <v>2094</v>
      </c>
      <c r="AB28" s="63">
        <v>91073479</v>
      </c>
      <c r="AC28" s="63" t="s">
        <v>4626</v>
      </c>
      <c r="AD28" s="57" t="str">
        <f>_xlfn.XLOOKUP(CONT_SUP[[#This Row],[StaffMemberCode]],StaffMembers!O:O,StaffMembers!R:R)</f>
        <v>Paula Clive</v>
      </c>
      <c r="AE28" s="12" t="s">
        <v>1615</v>
      </c>
      <c r="AF28" s="66">
        <f>_xlfn.XLOOKUP(CONT_SUP[[#This Row],[SRG]],SRG[StaffRoleGroupCode],SRG[GrossSalaryFinanceCode])</f>
        <v>625100</v>
      </c>
      <c r="AG28" s="57" t="str">
        <f>_xlfn.XLOOKUP(CONT_SUP[[#This Row],[StaffRoleCode]],ROLES[StaffRoleCode],ROLES[StaffRoleGroupCode])</f>
        <v>ADM</v>
      </c>
      <c r="AH28" s="57" t="str">
        <f>_xlfn.XLOOKUP(CONT_SUP[[#This Row],[StaffRoleCode]],ROLES[StaffRoleCode],ROLES[PayScaleCode])</f>
        <v>NJC_CHE</v>
      </c>
      <c r="AI28" s="12" t="s">
        <v>3122</v>
      </c>
      <c r="AJ28" s="12">
        <v>6</v>
      </c>
      <c r="AK28" s="12" t="s">
        <v>2483</v>
      </c>
      <c r="AM28" s="68" t="s">
        <v>3132</v>
      </c>
      <c r="AN28" s="12" t="s">
        <v>3134</v>
      </c>
      <c r="AO28" s="21">
        <v>45901</v>
      </c>
      <c r="AQ28" s="12">
        <v>20</v>
      </c>
      <c r="AR28" t="b">
        <v>0</v>
      </c>
      <c r="AS28" t="b">
        <v>0</v>
      </c>
      <c r="AT28" s="12" t="s">
        <v>1574</v>
      </c>
    </row>
    <row r="29" spans="1:46" x14ac:dyDescent="0.3">
      <c r="A29" s="57" t="str">
        <f t="shared" si="0"/>
        <v>MAT9107390391073903AFIN_LDSFINMAT45901</v>
      </c>
      <c r="B29" s="57">
        <f>COUNTIF(CONT_SUP[Unique Contract],CONT_SUP[[#This Row],[Unique Contract]])-1</f>
        <v>0</v>
      </c>
      <c r="C29" s="57">
        <f>IFERROR(IF(FIND(CONT_SUP[[#This Row],[SchoolCode]],_xlfn.XLOOKUP(CONT_SUP[[#This Row],[StaffMemberCode]],MEMBERS[StaffMemberCode],MEMBERS[SchoolCodes]))&gt;0,0,1),1)</f>
        <v>0</v>
      </c>
      <c r="D29" s="57" cm="1">
        <f t="array" ref="D29">IF(_xlfn.XLOOKUP(CONT_SUP[[#This Row],[StaffRoleCode]],ROLES[StaffRoleCode],ROLES[AvailableToAllSchools],1,0,)=TRUE,0,IF(ISERROR(FIND(CONT_SUP[[#This Row],[SchoolCode]],_xlfn.TEXTJOIN(",",TRUE,_xlfn.UNIQUE(IF(ROLES[StaffRoleCode]=CONT_SUP[[#This Row],[StaffRoleCode]],ROLES[SchoolCodes],""))))),1,0))</f>
        <v>0</v>
      </c>
      <c r="E29" s="66" cm="1">
        <f t="array" ref="E2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9" s="57" cm="1">
        <f t="array" ref="F29">IF(_xlfn.XLOOKUP(CONT_SUP[[#This Row],[PayScaleCode]],PAYSCALES[PayScaleCode],PAYSCALES[AvailableToAllSchools],1,0,)=TRUE,0,IF(ISERROR(FIND(CONT_SUP[[#This Row],[SchoolCode]],_xlfn.TEXTJOIN(",",TRUE,_xlfn.UNIQUE(IF(PAYSCALES[PayScaleCode]=CONT_SUP[[#This Row],[PayScaleCode]],PAYSCALES[SchoolCodes],""))))),1,0))</f>
        <v>0</v>
      </c>
      <c r="G29" s="57">
        <f>IF(_xlfn.XLOOKUP(CONT_SUP[[#This Row],[PayScaleGradeCode]],GRADES[PayScaleGradeCode],GRADES[AvailableToAllSchools])=TRUE,0,IFERROR(IF(FIND(CONT_SUP[[#This Row],[SchoolCode]],_xlfn.XLOOKUP(CONT_SUP[[#This Row],[PayScaleGradeCode]],GRADES[PayScaleGradeCode],GRADES[SchoolCodes]))&gt;=1,0,1),1))</f>
        <v>0</v>
      </c>
      <c r="H29" s="66">
        <f>IF(ISERROR(IF((_xlfn.XLOOKUP(CONT_SUP[[#This Row],[PayScaleGradeCode]],GRADES[PayScaleGradeCode],GRADES[PayScaleCode])=CONT_SUP[[#This Row],[PayScaleCode]]),0,1)),1,0)</f>
        <v>0</v>
      </c>
      <c r="I29" s="66" cm="1">
        <f t="array" ref="I29">IF(ISERROR(FIND(CONT_SUP[[#This Row],[PayScalePointCode]],_xlfn.TEXTJOIN(",",TRUE,IF(PSPOINTS[PayScaleCode]=CONT_SUP[[#This Row],[PayScaleCode]],PSPOINTS[PayScalePointCode])))),1,0)</f>
        <v>0</v>
      </c>
      <c r="J29" s="57" cm="1">
        <f t="array" ref="J2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9" s="66">
        <f>IF(_xlfn.XLOOKUP(CONT_SUP[[#This Row],[PayScalePointCode]],PSPOINTS[PayScalePointCode],PSPOINTS[PayScalePointEnabled])=TRUE,0,1)</f>
        <v>0</v>
      </c>
      <c r="L29" s="57" cm="1">
        <f t="array" ref="L29">IF(_xlfn.XLOOKUP(CONT_SUP[[#This Row],[DepartmentCode]],DEPTS[DepartmentCode],DEPTS[AvailableToAllSchools],1,0,)=TRUE,0,IF(ISERROR(FIND(CONT_SUP[[#This Row],[SchoolCode]],_xlfn.TEXTJOIN(",",TRUE,_xlfn.UNIQUE(IF(DEPTS[DepartmentCode]=CONT_SUP[[#This Row],[DepartmentCode]],DEPTS[SchoolCodes],""))))),1,0))</f>
        <v>0</v>
      </c>
      <c r="M29" s="57">
        <f>IFERROR(IF(_xlfn.XLOOKUP(CONT_SUP[[#This Row],[SRG Gross]],FinanceCodesBudget[FinanceCode],FinanceCodesBudget[LedgerCode])=_xlfn.XLOOKUP(CONT_SUP[[#This Row],[DepartmentCode]],DEPTS[DepartmentCode],DEPTS[LedgerCode]),0,1),1)</f>
        <v>0</v>
      </c>
      <c r="N29" s="66" cm="1">
        <f t="array" ref="N29">IF(_xlfn.XLOOKUP(CONT_SUP[[#This Row],[PensionCode]],PENS[PensionCode],PENS[AvailableToAllSchools],1,0,)=TRUE,0,IF(ISERROR(FIND(CONT_SUP[[#This Row],[SchoolCode]],_xlfn.TEXTJOIN(",",TRUE,_xlfn.UNIQUE(IF(PENS[PensionCode]=CONT_SUP[[#This Row],[PensionCode]],PENS[SchoolCodes],""))))),1,0))</f>
        <v>0</v>
      </c>
      <c r="O29" s="66" cm="1">
        <f t="array" ref="O29">IF(_xlfn.XLOOKUP(CONT_SUP[[#This Row],[EquatedWeekPatternCode]],EQW[EquatedWeekPatternCode],EQW[AvailableToAllSchools],1,0,)=TRUE,0,IF(ISERROR(FIND(CONT_SUP[[#This Row],[SchoolCode]],_xlfn.TEXTJOIN(",",TRUE,_xlfn.UNIQUE(IF(EQW[EquatedWeekPatternCode]=CONT_SUP[[#This Row],[EquatedWeekPatternCode]],EQW[SchoolCodes],""))))),1,0))</f>
        <v>0</v>
      </c>
      <c r="P29" s="57">
        <f>1-COUNTIF(ContractTypes[Code],CONT_SUP[[#This Row],[ContractTypeCode]])</f>
        <v>0</v>
      </c>
      <c r="Q29" s="57">
        <f>IF(VLOOKUP(CONT_SUP[[#This Row],[StaffMemberCode]],MEMBERS[[StaffMemberCode]:[ServiceStartDate]],5,0)&gt;CONT_SUP[[#This Row],[DateFrom]],1,0)</f>
        <v>0</v>
      </c>
      <c r="R29" s="57">
        <f>IF(_xlfn.XLOOKUP(CONT_SUP[[#This Row],[StaffMemberCode]],MEMBERS[StaffMemberCode],MEMBERS[ServiceEndDate])="",0,IF(CONT_SUP[[#This Row],[DateTo]]="",1,IF(_xlfn.XLOOKUP(CONT_SUP[[#This Row],[StaffMemberCode]],MEMBERS[StaffMemberCode],MEMBERS[ServiceEndDate])&lt;CONT_SUP[[#This Row],[DateTo]],1,0)))</f>
        <v>0</v>
      </c>
      <c r="S29" s="57">
        <f>IF(ISBLANK(CONT_SUP[[#This Row],[DateTo]]),0,IF(CONT_SUP[[#This Row],[DateFrom]]=CONT_SUP[[#This Row],[DateTo]],0,IF(CONT_SUP[[#This Row],[DateFrom]]&lt;CONT_SUP[[#This Row],[DateTo]],0,1)))</f>
        <v>0</v>
      </c>
      <c r="T29" s="57" cm="1">
        <f t="array" aca="1" ref="T29" ca="1">IF(CELL("format",CONT_SUP[[#This Row],[DateFrom]])="D1",0,1)+IF(CELL("format",CONT_SUP[[#This Row],[DateTo]])="D1",0,1)</f>
        <v>0</v>
      </c>
      <c r="U29" s="57">
        <f>IF(OR(CONT_SUP[[#This Row],[MatEditOnly]]=TRUE,CONT_SUP[[#This Row],[MatEditOnly]]=FALSE),IF(OR(CONT_SUP[[#This Row],[NoIncrement]]=TRUE,CONT_SUP[[#This Row],[NoIncrement]]=FALSE),0,1),1)</f>
        <v>0</v>
      </c>
      <c r="V29" s="57">
        <f>IF(ISBLANK(CONT_SUP[[#This Row],[FundCode]])=TRUE,0,IF(COUNTIF(FUNDS[FundCode],CONT_SUP[[#This Row],[FundCode]])=1,0,1))</f>
        <v>0</v>
      </c>
      <c r="W29" s="57">
        <f>IF(LEN(CONT_SUP[[#This Row],[Notes]])&lt;4000,0,1)</f>
        <v>0</v>
      </c>
      <c r="X29" s="57">
        <f>IF(SUBSTITUTE(TEXT(CONT_SUP[[#This Row],[Reference]],10)," ","")=TEXT(CONT_SUP[[#This Row],[Reference]],10),0,1)</f>
        <v>0</v>
      </c>
      <c r="Y29" s="57">
        <f ca="1">SUM(CONT_SUP[[#This Row],[Duplicate Contract]:[Space in Code]])</f>
        <v>0</v>
      </c>
      <c r="AA29" s="12" t="s">
        <v>51</v>
      </c>
      <c r="AB29" s="63">
        <v>91073903</v>
      </c>
      <c r="AC29" s="63" t="s">
        <v>4627</v>
      </c>
      <c r="AD29" s="57" t="str">
        <f>_xlfn.XLOOKUP(CONT_SUP[[#This Row],[StaffMemberCode]],StaffMembers!O:O,StaffMembers!R:R)</f>
        <v>Sarah Durose</v>
      </c>
      <c r="AE29" s="12" t="s">
        <v>4243</v>
      </c>
      <c r="AF29" s="66">
        <f>_xlfn.XLOOKUP(CONT_SUP[[#This Row],[SRG]],SRG[StaffRoleGroupCode],SRG[GrossSalaryFinanceCode])</f>
        <v>625100</v>
      </c>
      <c r="AG29" s="57" t="str">
        <f>_xlfn.XLOOKUP(CONT_SUP[[#This Row],[StaffRoleCode]],ROLES[StaffRoleCode],ROLES[StaffRoleGroupCode])</f>
        <v>ADM</v>
      </c>
      <c r="AH29" s="57" t="str">
        <f>_xlfn.XLOOKUP(CONT_SUP[[#This Row],[StaffRoleCode]],ROLES[StaffRoleCode],ROLES[PayScaleCode])</f>
        <v>NJC_CHE</v>
      </c>
      <c r="AI29" s="12" t="s">
        <v>3130</v>
      </c>
      <c r="AJ29" s="12">
        <v>44</v>
      </c>
      <c r="AK29" s="12" t="s">
        <v>4925</v>
      </c>
      <c r="AM29" s="68" t="s">
        <v>3132</v>
      </c>
      <c r="AN29" s="12" t="s">
        <v>1702</v>
      </c>
      <c r="AO29" s="21">
        <v>45901</v>
      </c>
      <c r="AQ29" s="12">
        <v>37</v>
      </c>
      <c r="AR29" t="b">
        <v>0</v>
      </c>
      <c r="AS29" t="b">
        <v>0</v>
      </c>
      <c r="AT29" s="12" t="s">
        <v>1574</v>
      </c>
    </row>
    <row r="30" spans="1:46" x14ac:dyDescent="0.3">
      <c r="A30" s="57" t="str">
        <f t="shared" si="0"/>
        <v>ALS9107374491073744AFIN_OFFSFIN45901</v>
      </c>
      <c r="B30" s="57">
        <f>COUNTIF(CONT_SUP[Unique Contract],CONT_SUP[[#This Row],[Unique Contract]])-1</f>
        <v>0</v>
      </c>
      <c r="C30" s="57">
        <f>IFERROR(IF(FIND(CONT_SUP[[#This Row],[SchoolCode]],_xlfn.XLOOKUP(CONT_SUP[[#This Row],[StaffMemberCode]],MEMBERS[StaffMemberCode],MEMBERS[SchoolCodes]))&gt;0,0,1),1)</f>
        <v>0</v>
      </c>
      <c r="D30" s="57" cm="1">
        <f t="array" ref="D30">IF(_xlfn.XLOOKUP(CONT_SUP[[#This Row],[StaffRoleCode]],ROLES[StaffRoleCode],ROLES[AvailableToAllSchools],1,0,)=TRUE,0,IF(ISERROR(FIND(CONT_SUP[[#This Row],[SchoolCode]],_xlfn.TEXTJOIN(",",TRUE,_xlfn.UNIQUE(IF(ROLES[StaffRoleCode]=CONT_SUP[[#This Row],[StaffRoleCode]],ROLES[SchoolCodes],""))))),1,0))</f>
        <v>0</v>
      </c>
      <c r="E30" s="66" cm="1">
        <f t="array" ref="E3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0" s="57" cm="1">
        <f t="array" ref="F30">IF(_xlfn.XLOOKUP(CONT_SUP[[#This Row],[PayScaleCode]],PAYSCALES[PayScaleCode],PAYSCALES[AvailableToAllSchools],1,0,)=TRUE,0,IF(ISERROR(FIND(CONT_SUP[[#This Row],[SchoolCode]],_xlfn.TEXTJOIN(",",TRUE,_xlfn.UNIQUE(IF(PAYSCALES[PayScaleCode]=CONT_SUP[[#This Row],[PayScaleCode]],PAYSCALES[SchoolCodes],""))))),1,0))</f>
        <v>0</v>
      </c>
      <c r="G30" s="57">
        <f>IF(_xlfn.XLOOKUP(CONT_SUP[[#This Row],[PayScaleGradeCode]],GRADES[PayScaleGradeCode],GRADES[AvailableToAllSchools])=TRUE,0,IFERROR(IF(FIND(CONT_SUP[[#This Row],[SchoolCode]],_xlfn.XLOOKUP(CONT_SUP[[#This Row],[PayScaleGradeCode]],GRADES[PayScaleGradeCode],GRADES[SchoolCodes]))&gt;=1,0,1),1))</f>
        <v>0</v>
      </c>
      <c r="H30" s="66">
        <f>IF(ISERROR(IF((_xlfn.XLOOKUP(CONT_SUP[[#This Row],[PayScaleGradeCode]],GRADES[PayScaleGradeCode],GRADES[PayScaleCode])=CONT_SUP[[#This Row],[PayScaleCode]]),0,1)),1,0)</f>
        <v>0</v>
      </c>
      <c r="I30" s="66" cm="1">
        <f t="array" ref="I30">IF(ISERROR(FIND(CONT_SUP[[#This Row],[PayScalePointCode]],_xlfn.TEXTJOIN(",",TRUE,IF(PSPOINTS[PayScaleCode]=CONT_SUP[[#This Row],[PayScaleCode]],PSPOINTS[PayScalePointCode])))),1,0)</f>
        <v>0</v>
      </c>
      <c r="J30" s="57" cm="1">
        <f t="array" ref="J3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0" s="66">
        <f>IF(_xlfn.XLOOKUP(CONT_SUP[[#This Row],[PayScalePointCode]],PSPOINTS[PayScalePointCode],PSPOINTS[PayScalePointEnabled])=TRUE,0,1)</f>
        <v>0</v>
      </c>
      <c r="L30" s="57" cm="1">
        <f t="array" ref="L30">IF(_xlfn.XLOOKUP(CONT_SUP[[#This Row],[DepartmentCode]],DEPTS[DepartmentCode],DEPTS[AvailableToAllSchools],1,0,)=TRUE,0,IF(ISERROR(FIND(CONT_SUP[[#This Row],[SchoolCode]],_xlfn.TEXTJOIN(",",TRUE,_xlfn.UNIQUE(IF(DEPTS[DepartmentCode]=CONT_SUP[[#This Row],[DepartmentCode]],DEPTS[SchoolCodes],""))))),1,0))</f>
        <v>0</v>
      </c>
      <c r="M30" s="57">
        <f>IFERROR(IF(_xlfn.XLOOKUP(CONT_SUP[[#This Row],[SRG Gross]],FinanceCodesBudget[FinanceCode],FinanceCodesBudget[LedgerCode])=_xlfn.XLOOKUP(CONT_SUP[[#This Row],[DepartmentCode]],DEPTS[DepartmentCode],DEPTS[LedgerCode]),0,1),1)</f>
        <v>0</v>
      </c>
      <c r="N30" s="66" cm="1">
        <f t="array" ref="N30">IF(_xlfn.XLOOKUP(CONT_SUP[[#This Row],[PensionCode]],PENS[PensionCode],PENS[AvailableToAllSchools],1,0,)=TRUE,0,IF(ISERROR(FIND(CONT_SUP[[#This Row],[SchoolCode]],_xlfn.TEXTJOIN(",",TRUE,_xlfn.UNIQUE(IF(PENS[PensionCode]=CONT_SUP[[#This Row],[PensionCode]],PENS[SchoolCodes],""))))),1,0))</f>
        <v>0</v>
      </c>
      <c r="O30" s="66" cm="1">
        <f t="array" ref="O30">IF(_xlfn.XLOOKUP(CONT_SUP[[#This Row],[EquatedWeekPatternCode]],EQW[EquatedWeekPatternCode],EQW[AvailableToAllSchools],1,0,)=TRUE,0,IF(ISERROR(FIND(CONT_SUP[[#This Row],[SchoolCode]],_xlfn.TEXTJOIN(",",TRUE,_xlfn.UNIQUE(IF(EQW[EquatedWeekPatternCode]=CONT_SUP[[#This Row],[EquatedWeekPatternCode]],EQW[SchoolCodes],""))))),1,0))</f>
        <v>0</v>
      </c>
      <c r="P30" s="57">
        <f>1-COUNTIF(ContractTypes[Code],CONT_SUP[[#This Row],[ContractTypeCode]])</f>
        <v>0</v>
      </c>
      <c r="Q30" s="57">
        <f>IF(VLOOKUP(CONT_SUP[[#This Row],[StaffMemberCode]],MEMBERS[[StaffMemberCode]:[ServiceStartDate]],5,0)&gt;CONT_SUP[[#This Row],[DateFrom]],1,0)</f>
        <v>0</v>
      </c>
      <c r="R30" s="57">
        <f>IF(_xlfn.XLOOKUP(CONT_SUP[[#This Row],[StaffMemberCode]],MEMBERS[StaffMemberCode],MEMBERS[ServiceEndDate])="",0,IF(CONT_SUP[[#This Row],[DateTo]]="",1,IF(_xlfn.XLOOKUP(CONT_SUP[[#This Row],[StaffMemberCode]],MEMBERS[StaffMemberCode],MEMBERS[ServiceEndDate])&lt;CONT_SUP[[#This Row],[DateTo]],1,0)))</f>
        <v>0</v>
      </c>
      <c r="S30" s="57">
        <f>IF(ISBLANK(CONT_SUP[[#This Row],[DateTo]]),0,IF(CONT_SUP[[#This Row],[DateFrom]]=CONT_SUP[[#This Row],[DateTo]],0,IF(CONT_SUP[[#This Row],[DateFrom]]&lt;CONT_SUP[[#This Row],[DateTo]],0,1)))</f>
        <v>0</v>
      </c>
      <c r="T30" s="57" cm="1">
        <f t="array" aca="1" ref="T30" ca="1">IF(CELL("format",CONT_SUP[[#This Row],[DateFrom]])="D1",0,1)+IF(CELL("format",CONT_SUP[[#This Row],[DateTo]])="D1",0,1)</f>
        <v>0</v>
      </c>
      <c r="U30" s="57">
        <f>IF(OR(CONT_SUP[[#This Row],[MatEditOnly]]=TRUE,CONT_SUP[[#This Row],[MatEditOnly]]=FALSE),IF(OR(CONT_SUP[[#This Row],[NoIncrement]]=TRUE,CONT_SUP[[#This Row],[NoIncrement]]=FALSE),0,1),1)</f>
        <v>0</v>
      </c>
      <c r="V30" s="57">
        <f>IF(ISBLANK(CONT_SUP[[#This Row],[FundCode]])=TRUE,0,IF(COUNTIF(FUNDS[FundCode],CONT_SUP[[#This Row],[FundCode]])=1,0,1))</f>
        <v>0</v>
      </c>
      <c r="W30" s="57">
        <f>IF(LEN(CONT_SUP[[#This Row],[Notes]])&lt;4000,0,1)</f>
        <v>0</v>
      </c>
      <c r="X30" s="57">
        <f>IF(SUBSTITUTE(TEXT(CONT_SUP[[#This Row],[Reference]],10)," ","")=TEXT(CONT_SUP[[#This Row],[Reference]],10),0,1)</f>
        <v>0</v>
      </c>
      <c r="Y30" s="57">
        <f ca="1">SUM(CONT_SUP[[#This Row],[Duplicate Contract]:[Space in Code]])</f>
        <v>0</v>
      </c>
      <c r="AA30" s="12" t="s">
        <v>2082</v>
      </c>
      <c r="AB30" s="63">
        <v>91073744</v>
      </c>
      <c r="AC30" s="63" t="s">
        <v>4628</v>
      </c>
      <c r="AD30" s="57" t="str">
        <f>_xlfn.XLOOKUP(CONT_SUP[[#This Row],[StaffMemberCode]],StaffMembers!O:O,StaffMembers!R:R)</f>
        <v>Sarah Franks</v>
      </c>
      <c r="AE30" s="12" t="s">
        <v>4245</v>
      </c>
      <c r="AF30" s="66">
        <f>_xlfn.XLOOKUP(CONT_SUP[[#This Row],[SRG]],SRG[StaffRoleGroupCode],SRG[GrossSalaryFinanceCode])</f>
        <v>625100</v>
      </c>
      <c r="AG30" s="57" t="str">
        <f>_xlfn.XLOOKUP(CONT_SUP[[#This Row],[StaffRoleCode]],ROLES[StaffRoleCode],ROLES[StaffRoleGroupCode])</f>
        <v>ADM</v>
      </c>
      <c r="AH30" s="57" t="str">
        <f>_xlfn.XLOOKUP(CONT_SUP[[#This Row],[StaffRoleCode]],ROLES[StaffRoleCode],ROLES[PayScaleCode])</f>
        <v>NJC_CHE</v>
      </c>
      <c r="AI30" s="12" t="s">
        <v>3123</v>
      </c>
      <c r="AJ30" s="12">
        <v>11</v>
      </c>
      <c r="AK30" s="12" t="s">
        <v>2483</v>
      </c>
      <c r="AM30" s="68" t="s">
        <v>3132</v>
      </c>
      <c r="AN30" s="12" t="s">
        <v>3141</v>
      </c>
      <c r="AO30" s="21">
        <v>45901</v>
      </c>
      <c r="AQ30" s="12">
        <v>25</v>
      </c>
      <c r="AR30" t="b">
        <v>0</v>
      </c>
      <c r="AS30" t="b">
        <v>0</v>
      </c>
      <c r="AT30" s="12" t="s">
        <v>1574</v>
      </c>
    </row>
    <row r="31" spans="1:46" x14ac:dyDescent="0.3">
      <c r="A31" s="57" t="str">
        <f t="shared" si="0"/>
        <v>MAT9107391091073910BGOV_COM_PROSFINMAT45901</v>
      </c>
      <c r="B31" s="57">
        <f>COUNTIF(CONT_SUP[Unique Contract],CONT_SUP[[#This Row],[Unique Contract]])-1</f>
        <v>0</v>
      </c>
      <c r="C31" s="57">
        <f>IFERROR(IF(FIND(CONT_SUP[[#This Row],[SchoolCode]],_xlfn.XLOOKUP(CONT_SUP[[#This Row],[StaffMemberCode]],MEMBERS[StaffMemberCode],MEMBERS[SchoolCodes]))&gt;0,0,1),1)</f>
        <v>0</v>
      </c>
      <c r="D31" s="57" cm="1">
        <f t="array" ref="D31">IF(_xlfn.XLOOKUP(CONT_SUP[[#This Row],[StaffRoleCode]],ROLES[StaffRoleCode],ROLES[AvailableToAllSchools],1,0,)=TRUE,0,IF(ISERROR(FIND(CONT_SUP[[#This Row],[SchoolCode]],_xlfn.TEXTJOIN(",",TRUE,_xlfn.UNIQUE(IF(ROLES[StaffRoleCode]=CONT_SUP[[#This Row],[StaffRoleCode]],ROLES[SchoolCodes],""))))),1,0))</f>
        <v>0</v>
      </c>
      <c r="E31" s="66" cm="1">
        <f t="array" ref="E3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1" s="57" cm="1">
        <f t="array" ref="F31">IF(_xlfn.XLOOKUP(CONT_SUP[[#This Row],[PayScaleCode]],PAYSCALES[PayScaleCode],PAYSCALES[AvailableToAllSchools],1,0,)=TRUE,0,IF(ISERROR(FIND(CONT_SUP[[#This Row],[SchoolCode]],_xlfn.TEXTJOIN(",",TRUE,_xlfn.UNIQUE(IF(PAYSCALES[PayScaleCode]=CONT_SUP[[#This Row],[PayScaleCode]],PAYSCALES[SchoolCodes],""))))),1,0))</f>
        <v>0</v>
      </c>
      <c r="G31" s="57">
        <f>IF(_xlfn.XLOOKUP(CONT_SUP[[#This Row],[PayScaleGradeCode]],GRADES[PayScaleGradeCode],GRADES[AvailableToAllSchools])=TRUE,0,IFERROR(IF(FIND(CONT_SUP[[#This Row],[SchoolCode]],_xlfn.XLOOKUP(CONT_SUP[[#This Row],[PayScaleGradeCode]],GRADES[PayScaleGradeCode],GRADES[SchoolCodes]))&gt;=1,0,1),1))</f>
        <v>0</v>
      </c>
      <c r="H31" s="66">
        <f>IF(ISERROR(IF((_xlfn.XLOOKUP(CONT_SUP[[#This Row],[PayScaleGradeCode]],GRADES[PayScaleGradeCode],GRADES[PayScaleCode])=CONT_SUP[[#This Row],[PayScaleCode]]),0,1)),1,0)</f>
        <v>0</v>
      </c>
      <c r="I31" s="66" cm="1">
        <f t="array" ref="I31">IF(ISERROR(FIND(CONT_SUP[[#This Row],[PayScalePointCode]],_xlfn.TEXTJOIN(",",TRUE,IF(PSPOINTS[PayScaleCode]=CONT_SUP[[#This Row],[PayScaleCode]],PSPOINTS[PayScalePointCode])))),1,0)</f>
        <v>0</v>
      </c>
      <c r="J31" s="57" cm="1">
        <f t="array" ref="J3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1" s="66">
        <f>IF(_xlfn.XLOOKUP(CONT_SUP[[#This Row],[PayScalePointCode]],PSPOINTS[PayScalePointCode],PSPOINTS[PayScalePointEnabled])=TRUE,0,1)</f>
        <v>0</v>
      </c>
      <c r="L31" s="57" cm="1">
        <f t="array" ref="L31">IF(_xlfn.XLOOKUP(CONT_SUP[[#This Row],[DepartmentCode]],DEPTS[DepartmentCode],DEPTS[AvailableToAllSchools],1,0,)=TRUE,0,IF(ISERROR(FIND(CONT_SUP[[#This Row],[SchoolCode]],_xlfn.TEXTJOIN(",",TRUE,_xlfn.UNIQUE(IF(DEPTS[DepartmentCode]=CONT_SUP[[#This Row],[DepartmentCode]],DEPTS[SchoolCodes],""))))),1,0))</f>
        <v>0</v>
      </c>
      <c r="M31" s="57">
        <f>IFERROR(IF(_xlfn.XLOOKUP(CONT_SUP[[#This Row],[SRG Gross]],FinanceCodesBudget[FinanceCode],FinanceCodesBudget[LedgerCode])=_xlfn.XLOOKUP(CONT_SUP[[#This Row],[DepartmentCode]],DEPTS[DepartmentCode],DEPTS[LedgerCode]),0,1),1)</f>
        <v>0</v>
      </c>
      <c r="N31" s="66" cm="1">
        <f t="array" ref="N31">IF(_xlfn.XLOOKUP(CONT_SUP[[#This Row],[PensionCode]],PENS[PensionCode],PENS[AvailableToAllSchools],1,0,)=TRUE,0,IF(ISERROR(FIND(CONT_SUP[[#This Row],[SchoolCode]],_xlfn.TEXTJOIN(",",TRUE,_xlfn.UNIQUE(IF(PENS[PensionCode]=CONT_SUP[[#This Row],[PensionCode]],PENS[SchoolCodes],""))))),1,0))</f>
        <v>0</v>
      </c>
      <c r="O31" s="66" cm="1">
        <f t="array" ref="O31">IF(_xlfn.XLOOKUP(CONT_SUP[[#This Row],[EquatedWeekPatternCode]],EQW[EquatedWeekPatternCode],EQW[AvailableToAllSchools],1,0,)=TRUE,0,IF(ISERROR(FIND(CONT_SUP[[#This Row],[SchoolCode]],_xlfn.TEXTJOIN(",",TRUE,_xlfn.UNIQUE(IF(EQW[EquatedWeekPatternCode]=CONT_SUP[[#This Row],[EquatedWeekPatternCode]],EQW[SchoolCodes],""))))),1,0))</f>
        <v>0</v>
      </c>
      <c r="P31" s="57">
        <f>1-COUNTIF(ContractTypes[Code],CONT_SUP[[#This Row],[ContractTypeCode]])</f>
        <v>0</v>
      </c>
      <c r="Q31" s="57">
        <f>IF(VLOOKUP(CONT_SUP[[#This Row],[StaffMemberCode]],MEMBERS[[StaffMemberCode]:[ServiceStartDate]],5,0)&gt;CONT_SUP[[#This Row],[DateFrom]],1,0)</f>
        <v>0</v>
      </c>
      <c r="R31" s="57">
        <f>IF(_xlfn.XLOOKUP(CONT_SUP[[#This Row],[StaffMemberCode]],MEMBERS[StaffMemberCode],MEMBERS[ServiceEndDate])="",0,IF(CONT_SUP[[#This Row],[DateTo]]="",1,IF(_xlfn.XLOOKUP(CONT_SUP[[#This Row],[StaffMemberCode]],MEMBERS[StaffMemberCode],MEMBERS[ServiceEndDate])&lt;CONT_SUP[[#This Row],[DateTo]],1,0)))</f>
        <v>0</v>
      </c>
      <c r="S31" s="57">
        <f>IF(ISBLANK(CONT_SUP[[#This Row],[DateTo]]),0,IF(CONT_SUP[[#This Row],[DateFrom]]=CONT_SUP[[#This Row],[DateTo]],0,IF(CONT_SUP[[#This Row],[DateFrom]]&lt;CONT_SUP[[#This Row],[DateTo]],0,1)))</f>
        <v>0</v>
      </c>
      <c r="T31" s="57" cm="1">
        <f t="array" aca="1" ref="T31" ca="1">IF(CELL("format",CONT_SUP[[#This Row],[DateFrom]])="D1",0,1)+IF(CELL("format",CONT_SUP[[#This Row],[DateTo]])="D1",0,1)</f>
        <v>0</v>
      </c>
      <c r="U31" s="57">
        <f>IF(OR(CONT_SUP[[#This Row],[MatEditOnly]]=TRUE,CONT_SUP[[#This Row],[MatEditOnly]]=FALSE),IF(OR(CONT_SUP[[#This Row],[NoIncrement]]=TRUE,CONT_SUP[[#This Row],[NoIncrement]]=FALSE),0,1),1)</f>
        <v>0</v>
      </c>
      <c r="V31" s="57">
        <f>IF(ISBLANK(CONT_SUP[[#This Row],[FundCode]])=TRUE,0,IF(COUNTIF(FUNDS[FundCode],CONT_SUP[[#This Row],[FundCode]])=1,0,1))</f>
        <v>0</v>
      </c>
      <c r="W31" s="57">
        <f>IF(LEN(CONT_SUP[[#This Row],[Notes]])&lt;4000,0,1)</f>
        <v>0</v>
      </c>
      <c r="X31" s="57">
        <f>IF(SUBSTITUTE(TEXT(CONT_SUP[[#This Row],[Reference]],10)," ","")=TEXT(CONT_SUP[[#This Row],[Reference]],10),0,1)</f>
        <v>0</v>
      </c>
      <c r="Y31" s="57">
        <f ca="1">SUM(CONT_SUP[[#This Row],[Duplicate Contract]:[Space in Code]])</f>
        <v>0</v>
      </c>
      <c r="AA31" s="12" t="s">
        <v>51</v>
      </c>
      <c r="AB31" s="63">
        <v>91073910</v>
      </c>
      <c r="AC31" s="63" t="s">
        <v>4629</v>
      </c>
      <c r="AD31" s="57" t="str">
        <f>_xlfn.XLOOKUP(CONT_SUP[[#This Row],[StaffMemberCode]],StaffMembers!O:O,StaffMembers!R:R)</f>
        <v>Tara Sanchez</v>
      </c>
      <c r="AE31" s="12" t="s">
        <v>4247</v>
      </c>
      <c r="AF31" s="66">
        <f>_xlfn.XLOOKUP(CONT_SUP[[#This Row],[SRG]],SRG[StaffRoleGroupCode],SRG[GrossSalaryFinanceCode])</f>
        <v>625100</v>
      </c>
      <c r="AG31" s="57" t="str">
        <f>_xlfn.XLOOKUP(CONT_SUP[[#This Row],[StaffRoleCode]],ROLES[StaffRoleCode],ROLES[StaffRoleGroupCode])</f>
        <v>ADM</v>
      </c>
      <c r="AH31" s="57" t="str">
        <f>_xlfn.XLOOKUP(CONT_SUP[[#This Row],[StaffRoleCode]],ROLES[StaffRoleCode],ROLES[PayScaleCode])</f>
        <v>NJC_CHE</v>
      </c>
      <c r="AI31" s="12" t="s">
        <v>3127</v>
      </c>
      <c r="AJ31" s="12">
        <v>30</v>
      </c>
      <c r="AK31" s="12" t="s">
        <v>4925</v>
      </c>
      <c r="AM31" s="68" t="s">
        <v>3132</v>
      </c>
      <c r="AN31" s="12" t="s">
        <v>3134</v>
      </c>
      <c r="AO31" s="21">
        <v>45901</v>
      </c>
      <c r="AQ31" s="12">
        <v>18.5</v>
      </c>
      <c r="AR31" t="b">
        <v>0</v>
      </c>
      <c r="AS31" t="b">
        <v>0</v>
      </c>
      <c r="AT31" s="12" t="s">
        <v>1574</v>
      </c>
    </row>
    <row r="32" spans="1:46" x14ac:dyDescent="0.3">
      <c r="A32" s="57" t="str">
        <f t="shared" si="0"/>
        <v>BLS9185007291850072AHO_ADMSFIN45962</v>
      </c>
      <c r="B32" s="57">
        <f>COUNTIF(CONT_SUP[Unique Contract],CONT_SUP[[#This Row],[Unique Contract]])-1</f>
        <v>0</v>
      </c>
      <c r="C32" s="57">
        <f>IFERROR(IF(FIND(CONT_SUP[[#This Row],[SchoolCode]],_xlfn.XLOOKUP(CONT_SUP[[#This Row],[StaffMemberCode]],MEMBERS[StaffMemberCode],MEMBERS[SchoolCodes]))&gt;0,0,1),1)</f>
        <v>0</v>
      </c>
      <c r="D32" s="57" cm="1">
        <f t="array" ref="D32">IF(_xlfn.XLOOKUP(CONT_SUP[[#This Row],[StaffRoleCode]],ROLES[StaffRoleCode],ROLES[AvailableToAllSchools],1,0,)=TRUE,0,IF(ISERROR(FIND(CONT_SUP[[#This Row],[SchoolCode]],_xlfn.TEXTJOIN(",",TRUE,_xlfn.UNIQUE(IF(ROLES[StaffRoleCode]=CONT_SUP[[#This Row],[StaffRoleCode]],ROLES[SchoolCodes],""))))),1,0))</f>
        <v>0</v>
      </c>
      <c r="E32" s="66" cm="1">
        <f t="array" ref="E3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2" s="57" cm="1">
        <f t="array" ref="F32">IF(_xlfn.XLOOKUP(CONT_SUP[[#This Row],[PayScaleCode]],PAYSCALES[PayScaleCode],PAYSCALES[AvailableToAllSchools],1,0,)=TRUE,0,IF(ISERROR(FIND(CONT_SUP[[#This Row],[SchoolCode]],_xlfn.TEXTJOIN(",",TRUE,_xlfn.UNIQUE(IF(PAYSCALES[PayScaleCode]=CONT_SUP[[#This Row],[PayScaleCode]],PAYSCALES[SchoolCodes],""))))),1,0))</f>
        <v>0</v>
      </c>
      <c r="G32" s="57">
        <f>IF(_xlfn.XLOOKUP(CONT_SUP[[#This Row],[PayScaleGradeCode]],GRADES[PayScaleGradeCode],GRADES[AvailableToAllSchools])=TRUE,0,IFERROR(IF(FIND(CONT_SUP[[#This Row],[SchoolCode]],_xlfn.XLOOKUP(CONT_SUP[[#This Row],[PayScaleGradeCode]],GRADES[PayScaleGradeCode],GRADES[SchoolCodes]))&gt;=1,0,1),1))</f>
        <v>0</v>
      </c>
      <c r="H32" s="66">
        <f>IF(ISERROR(IF((_xlfn.XLOOKUP(CONT_SUP[[#This Row],[PayScaleGradeCode]],GRADES[PayScaleGradeCode],GRADES[PayScaleCode])=CONT_SUP[[#This Row],[PayScaleCode]]),0,1)),1,0)</f>
        <v>0</v>
      </c>
      <c r="I32" s="66" cm="1">
        <f t="array" ref="I32">IF(ISERROR(FIND(CONT_SUP[[#This Row],[PayScalePointCode]],_xlfn.TEXTJOIN(",",TRUE,IF(PSPOINTS[PayScaleCode]=CONT_SUP[[#This Row],[PayScaleCode]],PSPOINTS[PayScalePointCode])))),1,0)</f>
        <v>0</v>
      </c>
      <c r="J32" s="57" cm="1">
        <f t="array" ref="J3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2" s="66">
        <f>IF(_xlfn.XLOOKUP(CONT_SUP[[#This Row],[PayScalePointCode]],PSPOINTS[PayScalePointCode],PSPOINTS[PayScalePointEnabled])=TRUE,0,1)</f>
        <v>0</v>
      </c>
      <c r="L32" s="57" cm="1">
        <f t="array" ref="L32">IF(_xlfn.XLOOKUP(CONT_SUP[[#This Row],[DepartmentCode]],DEPTS[DepartmentCode],DEPTS[AvailableToAllSchools],1,0,)=TRUE,0,IF(ISERROR(FIND(CONT_SUP[[#This Row],[SchoolCode]],_xlfn.TEXTJOIN(",",TRUE,_xlfn.UNIQUE(IF(DEPTS[DepartmentCode]=CONT_SUP[[#This Row],[DepartmentCode]],DEPTS[SchoolCodes],""))))),1,0))</f>
        <v>0</v>
      </c>
      <c r="M32" s="57">
        <f>IFERROR(IF(_xlfn.XLOOKUP(CONT_SUP[[#This Row],[SRG Gross]],FinanceCodesBudget[FinanceCode],FinanceCodesBudget[LedgerCode])=_xlfn.XLOOKUP(CONT_SUP[[#This Row],[DepartmentCode]],DEPTS[DepartmentCode],DEPTS[LedgerCode]),0,1),1)</f>
        <v>0</v>
      </c>
      <c r="N32" s="66" cm="1">
        <f t="array" ref="N32">IF(_xlfn.XLOOKUP(CONT_SUP[[#This Row],[PensionCode]],PENS[PensionCode],PENS[AvailableToAllSchools],1,0,)=TRUE,0,IF(ISERROR(FIND(CONT_SUP[[#This Row],[SchoolCode]],_xlfn.TEXTJOIN(",",TRUE,_xlfn.UNIQUE(IF(PENS[PensionCode]=CONT_SUP[[#This Row],[PensionCode]],PENS[SchoolCodes],""))))),1,0))</f>
        <v>0</v>
      </c>
      <c r="O32" s="66" cm="1">
        <f t="array" ref="O32">IF(_xlfn.XLOOKUP(CONT_SUP[[#This Row],[EquatedWeekPatternCode]],EQW[EquatedWeekPatternCode],EQW[AvailableToAllSchools],1,0,)=TRUE,0,IF(ISERROR(FIND(CONT_SUP[[#This Row],[SchoolCode]],_xlfn.TEXTJOIN(",",TRUE,_xlfn.UNIQUE(IF(EQW[EquatedWeekPatternCode]=CONT_SUP[[#This Row],[EquatedWeekPatternCode]],EQW[SchoolCodes],""))))),1,0))</f>
        <v>0</v>
      </c>
      <c r="P32" s="57">
        <f>1-COUNTIF(ContractTypes[Code],CONT_SUP[[#This Row],[ContractTypeCode]])</f>
        <v>0</v>
      </c>
      <c r="Q32" s="57">
        <f>IF(VLOOKUP(CONT_SUP[[#This Row],[StaffMemberCode]],MEMBERS[[StaffMemberCode]:[ServiceStartDate]],5,0)&gt;CONT_SUP[[#This Row],[DateFrom]],1,0)</f>
        <v>0</v>
      </c>
      <c r="R32" s="57">
        <f>IF(_xlfn.XLOOKUP(CONT_SUP[[#This Row],[StaffMemberCode]],MEMBERS[StaffMemberCode],MEMBERS[ServiceEndDate])="",0,IF(CONT_SUP[[#This Row],[DateTo]]="",1,IF(_xlfn.XLOOKUP(CONT_SUP[[#This Row],[StaffMemberCode]],MEMBERS[StaffMemberCode],MEMBERS[ServiceEndDate])&lt;CONT_SUP[[#This Row],[DateTo]],1,0)))</f>
        <v>0</v>
      </c>
      <c r="S32" s="57">
        <f>IF(ISBLANK(CONT_SUP[[#This Row],[DateTo]]),0,IF(CONT_SUP[[#This Row],[DateFrom]]=CONT_SUP[[#This Row],[DateTo]],0,IF(CONT_SUP[[#This Row],[DateFrom]]&lt;CONT_SUP[[#This Row],[DateTo]],0,1)))</f>
        <v>0</v>
      </c>
      <c r="T32" s="57" cm="1">
        <f t="array" aca="1" ref="T32" ca="1">IF(CELL("format",CONT_SUP[[#This Row],[DateFrom]])="D1",0,1)+IF(CELL("format",CONT_SUP[[#This Row],[DateTo]])="D1",0,1)</f>
        <v>0</v>
      </c>
      <c r="U32" s="57">
        <f>IF(OR(CONT_SUP[[#This Row],[MatEditOnly]]=TRUE,CONT_SUP[[#This Row],[MatEditOnly]]=FALSE),IF(OR(CONT_SUP[[#This Row],[NoIncrement]]=TRUE,CONT_SUP[[#This Row],[NoIncrement]]=FALSE),0,1),1)</f>
        <v>0</v>
      </c>
      <c r="V32" s="57">
        <f>IF(ISBLANK(CONT_SUP[[#This Row],[FundCode]])=TRUE,0,IF(COUNTIF(FUNDS[FundCode],CONT_SUP[[#This Row],[FundCode]])=1,0,1))</f>
        <v>0</v>
      </c>
      <c r="W32" s="57">
        <f>IF(LEN(CONT_SUP[[#This Row],[Notes]])&lt;4000,0,1)</f>
        <v>0</v>
      </c>
      <c r="X32" s="57">
        <f>IF(SUBSTITUTE(TEXT(CONT_SUP[[#This Row],[Reference]],10)," ","")=TEXT(CONT_SUP[[#This Row],[Reference]],10),0,1)</f>
        <v>0</v>
      </c>
      <c r="Y32" s="57">
        <f ca="1">SUM(CONT_SUP[[#This Row],[Duplicate Contract]:[Space in Code]])</f>
        <v>0</v>
      </c>
      <c r="AA32" s="12" t="s">
        <v>2094</v>
      </c>
      <c r="AB32" s="63">
        <v>91850072</v>
      </c>
      <c r="AC32" s="63" t="s">
        <v>4630</v>
      </c>
      <c r="AD32" s="57" t="str">
        <f>_xlfn.XLOOKUP(CONT_SUP[[#This Row],[StaffMemberCode]],StaffMembers!O:O,StaffMembers!R:R)</f>
        <v>Claire Radcliffe</v>
      </c>
      <c r="AE32" s="12" t="s">
        <v>4249</v>
      </c>
      <c r="AF32" s="66">
        <f>_xlfn.XLOOKUP(CONT_SUP[[#This Row],[SRG]],SRG[StaffRoleGroupCode],SRG[GrossSalaryFinanceCode])</f>
        <v>625100</v>
      </c>
      <c r="AG32" s="57" t="str">
        <f>_xlfn.XLOOKUP(CONT_SUP[[#This Row],[StaffRoleCode]],ROLES[StaffRoleCode],ROLES[StaffRoleGroupCode])</f>
        <v>ADM</v>
      </c>
      <c r="AH32" s="57" t="str">
        <f>_xlfn.XLOOKUP(CONT_SUP[[#This Row],[StaffRoleCode]],ROLES[StaffRoleCode],ROLES[PayScaleCode])</f>
        <v>NJC_CHE</v>
      </c>
      <c r="AI32" s="12" t="s">
        <v>3127</v>
      </c>
      <c r="AJ32" s="12">
        <v>31</v>
      </c>
      <c r="AK32" s="12" t="s">
        <v>2483</v>
      </c>
      <c r="AM32" s="68" t="s">
        <v>3132</v>
      </c>
      <c r="AN32" s="12" t="s">
        <v>1702</v>
      </c>
      <c r="AO32" s="21">
        <v>45962</v>
      </c>
      <c r="AQ32" s="12">
        <v>37</v>
      </c>
      <c r="AR32" t="b">
        <v>0</v>
      </c>
      <c r="AS32" t="b">
        <v>0</v>
      </c>
      <c r="AT32" s="12" t="s">
        <v>1574</v>
      </c>
    </row>
    <row r="33" spans="1:46" x14ac:dyDescent="0.3">
      <c r="A33" s="57" t="str">
        <f t="shared" si="0"/>
        <v>MAT9185004791850047AHR_ADMSFINMAT45901</v>
      </c>
      <c r="B33" s="57">
        <f>COUNTIF(CONT_SUP[Unique Contract],CONT_SUP[[#This Row],[Unique Contract]])-1</f>
        <v>0</v>
      </c>
      <c r="C33" s="57">
        <f>IFERROR(IF(FIND(CONT_SUP[[#This Row],[SchoolCode]],_xlfn.XLOOKUP(CONT_SUP[[#This Row],[StaffMemberCode]],MEMBERS[StaffMemberCode],MEMBERS[SchoolCodes]))&gt;0,0,1),1)</f>
        <v>0</v>
      </c>
      <c r="D33" s="57" cm="1">
        <f t="array" ref="D33">IF(_xlfn.XLOOKUP(CONT_SUP[[#This Row],[StaffRoleCode]],ROLES[StaffRoleCode],ROLES[AvailableToAllSchools],1,0,)=TRUE,0,IF(ISERROR(FIND(CONT_SUP[[#This Row],[SchoolCode]],_xlfn.TEXTJOIN(",",TRUE,_xlfn.UNIQUE(IF(ROLES[StaffRoleCode]=CONT_SUP[[#This Row],[StaffRoleCode]],ROLES[SchoolCodes],""))))),1,0))</f>
        <v>0</v>
      </c>
      <c r="E33" s="66" cm="1">
        <f t="array" ref="E3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3" s="57" cm="1">
        <f t="array" ref="F33">IF(_xlfn.XLOOKUP(CONT_SUP[[#This Row],[PayScaleCode]],PAYSCALES[PayScaleCode],PAYSCALES[AvailableToAllSchools],1,0,)=TRUE,0,IF(ISERROR(FIND(CONT_SUP[[#This Row],[SchoolCode]],_xlfn.TEXTJOIN(",",TRUE,_xlfn.UNIQUE(IF(PAYSCALES[PayScaleCode]=CONT_SUP[[#This Row],[PayScaleCode]],PAYSCALES[SchoolCodes],""))))),1,0))</f>
        <v>0</v>
      </c>
      <c r="G33" s="57">
        <f>IF(_xlfn.XLOOKUP(CONT_SUP[[#This Row],[PayScaleGradeCode]],GRADES[PayScaleGradeCode],GRADES[AvailableToAllSchools])=TRUE,0,IFERROR(IF(FIND(CONT_SUP[[#This Row],[SchoolCode]],_xlfn.XLOOKUP(CONT_SUP[[#This Row],[PayScaleGradeCode]],GRADES[PayScaleGradeCode],GRADES[SchoolCodes]))&gt;=1,0,1),1))</f>
        <v>0</v>
      </c>
      <c r="H33" s="66">
        <f>IF(ISERROR(IF((_xlfn.XLOOKUP(CONT_SUP[[#This Row],[PayScaleGradeCode]],GRADES[PayScaleGradeCode],GRADES[PayScaleCode])=CONT_SUP[[#This Row],[PayScaleCode]]),0,1)),1,0)</f>
        <v>0</v>
      </c>
      <c r="I33" s="66" cm="1">
        <f t="array" ref="I33">IF(ISERROR(FIND(CONT_SUP[[#This Row],[PayScalePointCode]],_xlfn.TEXTJOIN(",",TRUE,IF(PSPOINTS[PayScaleCode]=CONT_SUP[[#This Row],[PayScaleCode]],PSPOINTS[PayScalePointCode])))),1,0)</f>
        <v>0</v>
      </c>
      <c r="J33" s="57" cm="1">
        <f t="array" ref="J3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3" s="66">
        <f>IF(_xlfn.XLOOKUP(CONT_SUP[[#This Row],[PayScalePointCode]],PSPOINTS[PayScalePointCode],PSPOINTS[PayScalePointEnabled])=TRUE,0,1)</f>
        <v>0</v>
      </c>
      <c r="L33" s="57" cm="1">
        <f t="array" ref="L33">IF(_xlfn.XLOOKUP(CONT_SUP[[#This Row],[DepartmentCode]],DEPTS[DepartmentCode],DEPTS[AvailableToAllSchools],1,0,)=TRUE,0,IF(ISERROR(FIND(CONT_SUP[[#This Row],[SchoolCode]],_xlfn.TEXTJOIN(",",TRUE,_xlfn.UNIQUE(IF(DEPTS[DepartmentCode]=CONT_SUP[[#This Row],[DepartmentCode]],DEPTS[SchoolCodes],""))))),1,0))</f>
        <v>0</v>
      </c>
      <c r="M33" s="57">
        <f>IFERROR(IF(_xlfn.XLOOKUP(CONT_SUP[[#This Row],[SRG Gross]],FinanceCodesBudget[FinanceCode],FinanceCodesBudget[LedgerCode])=_xlfn.XLOOKUP(CONT_SUP[[#This Row],[DepartmentCode]],DEPTS[DepartmentCode],DEPTS[LedgerCode]),0,1),1)</f>
        <v>0</v>
      </c>
      <c r="N33" s="66" cm="1">
        <f t="array" ref="N33">IF(_xlfn.XLOOKUP(CONT_SUP[[#This Row],[PensionCode]],PENS[PensionCode],PENS[AvailableToAllSchools],1,0,)=TRUE,0,IF(ISERROR(FIND(CONT_SUP[[#This Row],[SchoolCode]],_xlfn.TEXTJOIN(",",TRUE,_xlfn.UNIQUE(IF(PENS[PensionCode]=CONT_SUP[[#This Row],[PensionCode]],PENS[SchoolCodes],""))))),1,0))</f>
        <v>0</v>
      </c>
      <c r="O33" s="66" cm="1">
        <f t="array" ref="O33">IF(_xlfn.XLOOKUP(CONT_SUP[[#This Row],[EquatedWeekPatternCode]],EQW[EquatedWeekPatternCode],EQW[AvailableToAllSchools],1,0,)=TRUE,0,IF(ISERROR(FIND(CONT_SUP[[#This Row],[SchoolCode]],_xlfn.TEXTJOIN(",",TRUE,_xlfn.UNIQUE(IF(EQW[EquatedWeekPatternCode]=CONT_SUP[[#This Row],[EquatedWeekPatternCode]],EQW[SchoolCodes],""))))),1,0))</f>
        <v>0</v>
      </c>
      <c r="P33" s="57">
        <f>1-COUNTIF(ContractTypes[Code],CONT_SUP[[#This Row],[ContractTypeCode]])</f>
        <v>0</v>
      </c>
      <c r="Q33" s="57">
        <f>IF(VLOOKUP(CONT_SUP[[#This Row],[StaffMemberCode]],MEMBERS[[StaffMemberCode]:[ServiceStartDate]],5,0)&gt;CONT_SUP[[#This Row],[DateFrom]],1,0)</f>
        <v>0</v>
      </c>
      <c r="R33" s="57">
        <f>IF(_xlfn.XLOOKUP(CONT_SUP[[#This Row],[StaffMemberCode]],MEMBERS[StaffMemberCode],MEMBERS[ServiceEndDate])="",0,IF(CONT_SUP[[#This Row],[DateTo]]="",1,IF(_xlfn.XLOOKUP(CONT_SUP[[#This Row],[StaffMemberCode]],MEMBERS[StaffMemberCode],MEMBERS[ServiceEndDate])&lt;CONT_SUP[[#This Row],[DateTo]],1,0)))</f>
        <v>0</v>
      </c>
      <c r="S33" s="57">
        <f>IF(ISBLANK(CONT_SUP[[#This Row],[DateTo]]),0,IF(CONT_SUP[[#This Row],[DateFrom]]=CONT_SUP[[#This Row],[DateTo]],0,IF(CONT_SUP[[#This Row],[DateFrom]]&lt;CONT_SUP[[#This Row],[DateTo]],0,1)))</f>
        <v>0</v>
      </c>
      <c r="T33" s="57" cm="1">
        <f t="array" aca="1" ref="T33" ca="1">IF(CELL("format",CONT_SUP[[#This Row],[DateFrom]])="D1",0,1)+IF(CELL("format",CONT_SUP[[#This Row],[DateTo]])="D1",0,1)</f>
        <v>0</v>
      </c>
      <c r="U33" s="57">
        <f>IF(OR(CONT_SUP[[#This Row],[MatEditOnly]]=TRUE,CONT_SUP[[#This Row],[MatEditOnly]]=FALSE),IF(OR(CONT_SUP[[#This Row],[NoIncrement]]=TRUE,CONT_SUP[[#This Row],[NoIncrement]]=FALSE),0,1),1)</f>
        <v>0</v>
      </c>
      <c r="V33" s="57">
        <f>IF(ISBLANK(CONT_SUP[[#This Row],[FundCode]])=TRUE,0,IF(COUNTIF(FUNDS[FundCode],CONT_SUP[[#This Row],[FundCode]])=1,0,1))</f>
        <v>0</v>
      </c>
      <c r="W33" s="57">
        <f>IF(LEN(CONT_SUP[[#This Row],[Notes]])&lt;4000,0,1)</f>
        <v>0</v>
      </c>
      <c r="X33" s="57">
        <f>IF(SUBSTITUTE(TEXT(CONT_SUP[[#This Row],[Reference]],10)," ","")=TEXT(CONT_SUP[[#This Row],[Reference]],10),0,1)</f>
        <v>0</v>
      </c>
      <c r="Y33" s="57">
        <f ca="1">SUM(CONT_SUP[[#This Row],[Duplicate Contract]:[Space in Code]])</f>
        <v>0</v>
      </c>
      <c r="AA33" s="12" t="s">
        <v>51</v>
      </c>
      <c r="AB33" s="63">
        <v>91850047</v>
      </c>
      <c r="AC33" s="63" t="s">
        <v>4631</v>
      </c>
      <c r="AD33" s="57" t="str">
        <f>_xlfn.XLOOKUP(CONT_SUP[[#This Row],[StaffMemberCode]],StaffMembers!O:O,StaffMembers!R:R)</f>
        <v>Kathryn Cheetham</v>
      </c>
      <c r="AE33" s="12" t="s">
        <v>4251</v>
      </c>
      <c r="AF33" s="66">
        <f>_xlfn.XLOOKUP(CONT_SUP[[#This Row],[SRG]],SRG[StaffRoleGroupCode],SRG[GrossSalaryFinanceCode])</f>
        <v>625100</v>
      </c>
      <c r="AG33" s="57" t="str">
        <f>_xlfn.XLOOKUP(CONT_SUP[[#This Row],[StaffRoleCode]],ROLES[StaffRoleCode],ROLES[StaffRoleGroupCode])</f>
        <v>ADM</v>
      </c>
      <c r="AH33" s="57" t="str">
        <f>_xlfn.XLOOKUP(CONT_SUP[[#This Row],[StaffRoleCode]],ROLES[StaffRoleCode],ROLES[PayScaleCode])</f>
        <v>NJC_CHE</v>
      </c>
      <c r="AI33" s="12" t="s">
        <v>3123</v>
      </c>
      <c r="AJ33" s="12">
        <v>7</v>
      </c>
      <c r="AK33" s="12" t="s">
        <v>4925</v>
      </c>
      <c r="AM33" s="68" t="s">
        <v>3132</v>
      </c>
      <c r="AN33" s="12" t="s">
        <v>3137</v>
      </c>
      <c r="AO33" s="21">
        <v>45901</v>
      </c>
      <c r="AQ33" s="12">
        <v>37</v>
      </c>
      <c r="AR33" t="b">
        <v>0</v>
      </c>
      <c r="AS33" t="b">
        <v>0</v>
      </c>
      <c r="AT33" s="12" t="s">
        <v>65</v>
      </c>
    </row>
    <row r="34" spans="1:46" x14ac:dyDescent="0.3">
      <c r="A34" s="57" t="str">
        <f t="shared" si="0"/>
        <v>MAT9107390491073904BHR_LDSFINMAT45901</v>
      </c>
      <c r="B34" s="57">
        <f>COUNTIF(CONT_SUP[Unique Contract],CONT_SUP[[#This Row],[Unique Contract]])-1</f>
        <v>0</v>
      </c>
      <c r="C34" s="57">
        <f>IFERROR(IF(FIND(CONT_SUP[[#This Row],[SchoolCode]],_xlfn.XLOOKUP(CONT_SUP[[#This Row],[StaffMemberCode]],MEMBERS[StaffMemberCode],MEMBERS[SchoolCodes]))&gt;0,0,1),1)</f>
        <v>0</v>
      </c>
      <c r="D34" s="57" cm="1">
        <f t="array" ref="D34">IF(_xlfn.XLOOKUP(CONT_SUP[[#This Row],[StaffRoleCode]],ROLES[StaffRoleCode],ROLES[AvailableToAllSchools],1,0,)=TRUE,0,IF(ISERROR(FIND(CONT_SUP[[#This Row],[SchoolCode]],_xlfn.TEXTJOIN(",",TRUE,_xlfn.UNIQUE(IF(ROLES[StaffRoleCode]=CONT_SUP[[#This Row],[StaffRoleCode]],ROLES[SchoolCodes],""))))),1,0))</f>
        <v>0</v>
      </c>
      <c r="E34" s="66" cm="1">
        <f t="array" ref="E3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4" s="57" cm="1">
        <f t="array" ref="F34">IF(_xlfn.XLOOKUP(CONT_SUP[[#This Row],[PayScaleCode]],PAYSCALES[PayScaleCode],PAYSCALES[AvailableToAllSchools],1,0,)=TRUE,0,IF(ISERROR(FIND(CONT_SUP[[#This Row],[SchoolCode]],_xlfn.TEXTJOIN(",",TRUE,_xlfn.UNIQUE(IF(PAYSCALES[PayScaleCode]=CONT_SUP[[#This Row],[PayScaleCode]],PAYSCALES[SchoolCodes],""))))),1,0))</f>
        <v>0</v>
      </c>
      <c r="G34" s="57">
        <f>IF(_xlfn.XLOOKUP(CONT_SUP[[#This Row],[PayScaleGradeCode]],GRADES[PayScaleGradeCode],GRADES[AvailableToAllSchools])=TRUE,0,IFERROR(IF(FIND(CONT_SUP[[#This Row],[SchoolCode]],_xlfn.XLOOKUP(CONT_SUP[[#This Row],[PayScaleGradeCode]],GRADES[PayScaleGradeCode],GRADES[SchoolCodes]))&gt;=1,0,1),1))</f>
        <v>0</v>
      </c>
      <c r="H34" s="66">
        <f>IF(ISERROR(IF((_xlfn.XLOOKUP(CONT_SUP[[#This Row],[PayScaleGradeCode]],GRADES[PayScaleGradeCode],GRADES[PayScaleCode])=CONT_SUP[[#This Row],[PayScaleCode]]),0,1)),1,0)</f>
        <v>0</v>
      </c>
      <c r="I34" s="66" cm="1">
        <f t="array" ref="I34">IF(ISERROR(FIND(CONT_SUP[[#This Row],[PayScalePointCode]],_xlfn.TEXTJOIN(",",TRUE,IF(PSPOINTS[PayScaleCode]=CONT_SUP[[#This Row],[PayScaleCode]],PSPOINTS[PayScalePointCode])))),1,0)</f>
        <v>0</v>
      </c>
      <c r="J34" s="57" cm="1">
        <f t="array" ref="J3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4" s="66">
        <f>IF(_xlfn.XLOOKUP(CONT_SUP[[#This Row],[PayScalePointCode]],PSPOINTS[PayScalePointCode],PSPOINTS[PayScalePointEnabled])=TRUE,0,1)</f>
        <v>0</v>
      </c>
      <c r="L34" s="57" cm="1">
        <f t="array" ref="L34">IF(_xlfn.XLOOKUP(CONT_SUP[[#This Row],[DepartmentCode]],DEPTS[DepartmentCode],DEPTS[AvailableToAllSchools],1,0,)=TRUE,0,IF(ISERROR(FIND(CONT_SUP[[#This Row],[SchoolCode]],_xlfn.TEXTJOIN(",",TRUE,_xlfn.UNIQUE(IF(DEPTS[DepartmentCode]=CONT_SUP[[#This Row],[DepartmentCode]],DEPTS[SchoolCodes],""))))),1,0))</f>
        <v>0</v>
      </c>
      <c r="M34" s="57">
        <f>IFERROR(IF(_xlfn.XLOOKUP(CONT_SUP[[#This Row],[SRG Gross]],FinanceCodesBudget[FinanceCode],FinanceCodesBudget[LedgerCode])=_xlfn.XLOOKUP(CONT_SUP[[#This Row],[DepartmentCode]],DEPTS[DepartmentCode],DEPTS[LedgerCode]),0,1),1)</f>
        <v>0</v>
      </c>
      <c r="N34" s="66" cm="1">
        <f t="array" ref="N34">IF(_xlfn.XLOOKUP(CONT_SUP[[#This Row],[PensionCode]],PENS[PensionCode],PENS[AvailableToAllSchools],1,0,)=TRUE,0,IF(ISERROR(FIND(CONT_SUP[[#This Row],[SchoolCode]],_xlfn.TEXTJOIN(",",TRUE,_xlfn.UNIQUE(IF(PENS[PensionCode]=CONT_SUP[[#This Row],[PensionCode]],PENS[SchoolCodes],""))))),1,0))</f>
        <v>0</v>
      </c>
      <c r="O34" s="66" cm="1">
        <f t="array" ref="O34">IF(_xlfn.XLOOKUP(CONT_SUP[[#This Row],[EquatedWeekPatternCode]],EQW[EquatedWeekPatternCode],EQW[AvailableToAllSchools],1,0,)=TRUE,0,IF(ISERROR(FIND(CONT_SUP[[#This Row],[SchoolCode]],_xlfn.TEXTJOIN(",",TRUE,_xlfn.UNIQUE(IF(EQW[EquatedWeekPatternCode]=CONT_SUP[[#This Row],[EquatedWeekPatternCode]],EQW[SchoolCodes],""))))),1,0))</f>
        <v>0</v>
      </c>
      <c r="P34" s="57">
        <f>1-COUNTIF(ContractTypes[Code],CONT_SUP[[#This Row],[ContractTypeCode]])</f>
        <v>0</v>
      </c>
      <c r="Q34" s="57">
        <f>IF(VLOOKUP(CONT_SUP[[#This Row],[StaffMemberCode]],MEMBERS[[StaffMemberCode]:[ServiceStartDate]],5,0)&gt;CONT_SUP[[#This Row],[DateFrom]],1,0)</f>
        <v>0</v>
      </c>
      <c r="R34" s="57">
        <f>IF(_xlfn.XLOOKUP(CONT_SUP[[#This Row],[StaffMemberCode]],MEMBERS[StaffMemberCode],MEMBERS[ServiceEndDate])="",0,IF(CONT_SUP[[#This Row],[DateTo]]="",1,IF(_xlfn.XLOOKUP(CONT_SUP[[#This Row],[StaffMemberCode]],MEMBERS[StaffMemberCode],MEMBERS[ServiceEndDate])&lt;CONT_SUP[[#This Row],[DateTo]],1,0)))</f>
        <v>0</v>
      </c>
      <c r="S34" s="57">
        <f>IF(ISBLANK(CONT_SUP[[#This Row],[DateTo]]),0,IF(CONT_SUP[[#This Row],[DateFrom]]=CONT_SUP[[#This Row],[DateTo]],0,IF(CONT_SUP[[#This Row],[DateFrom]]&lt;CONT_SUP[[#This Row],[DateTo]],0,1)))</f>
        <v>0</v>
      </c>
      <c r="T34" s="57" cm="1">
        <f t="array" aca="1" ref="T34" ca="1">IF(CELL("format",CONT_SUP[[#This Row],[DateFrom]])="D1",0,1)+IF(CELL("format",CONT_SUP[[#This Row],[DateTo]])="D1",0,1)</f>
        <v>0</v>
      </c>
      <c r="U34" s="57">
        <f>IF(OR(CONT_SUP[[#This Row],[MatEditOnly]]=TRUE,CONT_SUP[[#This Row],[MatEditOnly]]=FALSE),IF(OR(CONT_SUP[[#This Row],[NoIncrement]]=TRUE,CONT_SUP[[#This Row],[NoIncrement]]=FALSE),0,1),1)</f>
        <v>0</v>
      </c>
      <c r="V34" s="57">
        <f>IF(ISBLANK(CONT_SUP[[#This Row],[FundCode]])=TRUE,0,IF(COUNTIF(FUNDS[FundCode],CONT_SUP[[#This Row],[FundCode]])=1,0,1))</f>
        <v>0</v>
      </c>
      <c r="W34" s="57">
        <f>IF(LEN(CONT_SUP[[#This Row],[Notes]])&lt;4000,0,1)</f>
        <v>0</v>
      </c>
      <c r="X34" s="57">
        <f>IF(SUBSTITUTE(TEXT(CONT_SUP[[#This Row],[Reference]],10)," ","")=TEXT(CONT_SUP[[#This Row],[Reference]],10),0,1)</f>
        <v>0</v>
      </c>
      <c r="Y34" s="57">
        <f ca="1">SUM(CONT_SUP[[#This Row],[Duplicate Contract]:[Space in Code]])</f>
        <v>0</v>
      </c>
      <c r="AA34" s="12" t="s">
        <v>51</v>
      </c>
      <c r="AB34" s="63">
        <v>91073904</v>
      </c>
      <c r="AC34" s="63" t="s">
        <v>4632</v>
      </c>
      <c r="AD34" s="57" t="str">
        <f>_xlfn.XLOOKUP(CONT_SUP[[#This Row],[StaffMemberCode]],StaffMembers!O:O,StaffMembers!R:R)</f>
        <v>Sharon Houghton</v>
      </c>
      <c r="AE34" s="12" t="s">
        <v>4253</v>
      </c>
      <c r="AF34" s="66">
        <f>_xlfn.XLOOKUP(CONT_SUP[[#This Row],[SRG]],SRG[StaffRoleGroupCode],SRG[GrossSalaryFinanceCode])</f>
        <v>625100</v>
      </c>
      <c r="AG34" s="57" t="str">
        <f>_xlfn.XLOOKUP(CONT_SUP[[#This Row],[StaffRoleCode]],ROLES[StaffRoleCode],ROLES[StaffRoleGroupCode])</f>
        <v>ADM</v>
      </c>
      <c r="AH34" s="57" t="str">
        <f>_xlfn.XLOOKUP(CONT_SUP[[#This Row],[StaffRoleCode]],ROLES[StaffRoleCode],ROLES[PayScaleCode])</f>
        <v>NJC_CHE</v>
      </c>
      <c r="AI34" s="12" t="s">
        <v>3130</v>
      </c>
      <c r="AJ34" s="12">
        <v>42</v>
      </c>
      <c r="AK34" s="12" t="s">
        <v>4925</v>
      </c>
      <c r="AM34" s="68" t="s">
        <v>3132</v>
      </c>
      <c r="AN34" s="12" t="s">
        <v>1702</v>
      </c>
      <c r="AO34" s="21">
        <v>45901</v>
      </c>
      <c r="AQ34" s="12">
        <v>37</v>
      </c>
      <c r="AR34" t="b">
        <v>0</v>
      </c>
      <c r="AS34" t="b">
        <v>0</v>
      </c>
      <c r="AT34" s="12" t="s">
        <v>1574</v>
      </c>
    </row>
    <row r="35" spans="1:46" x14ac:dyDescent="0.3">
      <c r="A35" s="57" t="str">
        <f t="shared" ref="A35:A66" si="1">AA35&amp;AB35&amp;AC35&amp;AE35&amp;AK35&amp;AO35</f>
        <v>MAT9107390891073908AHR_MGRSFINMAT45901</v>
      </c>
      <c r="B35" s="57">
        <f>COUNTIF(CONT_SUP[Unique Contract],CONT_SUP[[#This Row],[Unique Contract]])-1</f>
        <v>0</v>
      </c>
      <c r="C35" s="57">
        <f>IFERROR(IF(FIND(CONT_SUP[[#This Row],[SchoolCode]],_xlfn.XLOOKUP(CONT_SUP[[#This Row],[StaffMemberCode]],MEMBERS[StaffMemberCode],MEMBERS[SchoolCodes]))&gt;0,0,1),1)</f>
        <v>0</v>
      </c>
      <c r="D35" s="57" cm="1">
        <f t="array" ref="D35">IF(_xlfn.XLOOKUP(CONT_SUP[[#This Row],[StaffRoleCode]],ROLES[StaffRoleCode],ROLES[AvailableToAllSchools],1,0,)=TRUE,0,IF(ISERROR(FIND(CONT_SUP[[#This Row],[SchoolCode]],_xlfn.TEXTJOIN(",",TRUE,_xlfn.UNIQUE(IF(ROLES[StaffRoleCode]=CONT_SUP[[#This Row],[StaffRoleCode]],ROLES[SchoolCodes],""))))),1,0))</f>
        <v>0</v>
      </c>
      <c r="E35" s="66" cm="1">
        <f t="array" ref="E3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5" s="57" cm="1">
        <f t="array" ref="F35">IF(_xlfn.XLOOKUP(CONT_SUP[[#This Row],[PayScaleCode]],PAYSCALES[PayScaleCode],PAYSCALES[AvailableToAllSchools],1,0,)=TRUE,0,IF(ISERROR(FIND(CONT_SUP[[#This Row],[SchoolCode]],_xlfn.TEXTJOIN(",",TRUE,_xlfn.UNIQUE(IF(PAYSCALES[PayScaleCode]=CONT_SUP[[#This Row],[PayScaleCode]],PAYSCALES[SchoolCodes],""))))),1,0))</f>
        <v>0</v>
      </c>
      <c r="G35" s="57">
        <f>IF(_xlfn.XLOOKUP(CONT_SUP[[#This Row],[PayScaleGradeCode]],GRADES[PayScaleGradeCode],GRADES[AvailableToAllSchools])=TRUE,0,IFERROR(IF(FIND(CONT_SUP[[#This Row],[SchoolCode]],_xlfn.XLOOKUP(CONT_SUP[[#This Row],[PayScaleGradeCode]],GRADES[PayScaleGradeCode],GRADES[SchoolCodes]))&gt;=1,0,1),1))</f>
        <v>0</v>
      </c>
      <c r="H35" s="66">
        <f>IF(ISERROR(IF((_xlfn.XLOOKUP(CONT_SUP[[#This Row],[PayScaleGradeCode]],GRADES[PayScaleGradeCode],GRADES[PayScaleCode])=CONT_SUP[[#This Row],[PayScaleCode]]),0,1)),1,0)</f>
        <v>0</v>
      </c>
      <c r="I35" s="66" cm="1">
        <f t="array" ref="I35">IF(ISERROR(FIND(CONT_SUP[[#This Row],[PayScalePointCode]],_xlfn.TEXTJOIN(",",TRUE,IF(PSPOINTS[PayScaleCode]=CONT_SUP[[#This Row],[PayScaleCode]],PSPOINTS[PayScalePointCode])))),1,0)</f>
        <v>0</v>
      </c>
      <c r="J35" s="57" cm="1">
        <f t="array" ref="J3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5" s="66">
        <f>IF(_xlfn.XLOOKUP(CONT_SUP[[#This Row],[PayScalePointCode]],PSPOINTS[PayScalePointCode],PSPOINTS[PayScalePointEnabled])=TRUE,0,1)</f>
        <v>0</v>
      </c>
      <c r="L35" s="57" cm="1">
        <f t="array" ref="L35">IF(_xlfn.XLOOKUP(CONT_SUP[[#This Row],[DepartmentCode]],DEPTS[DepartmentCode],DEPTS[AvailableToAllSchools],1,0,)=TRUE,0,IF(ISERROR(FIND(CONT_SUP[[#This Row],[SchoolCode]],_xlfn.TEXTJOIN(",",TRUE,_xlfn.UNIQUE(IF(DEPTS[DepartmentCode]=CONT_SUP[[#This Row],[DepartmentCode]],DEPTS[SchoolCodes],""))))),1,0))</f>
        <v>0</v>
      </c>
      <c r="M35" s="57">
        <f>IFERROR(IF(_xlfn.XLOOKUP(CONT_SUP[[#This Row],[SRG Gross]],FinanceCodesBudget[FinanceCode],FinanceCodesBudget[LedgerCode])=_xlfn.XLOOKUP(CONT_SUP[[#This Row],[DepartmentCode]],DEPTS[DepartmentCode],DEPTS[LedgerCode]),0,1),1)</f>
        <v>0</v>
      </c>
      <c r="N35" s="66" cm="1">
        <f t="array" ref="N35">IF(_xlfn.XLOOKUP(CONT_SUP[[#This Row],[PensionCode]],PENS[PensionCode],PENS[AvailableToAllSchools],1,0,)=TRUE,0,IF(ISERROR(FIND(CONT_SUP[[#This Row],[SchoolCode]],_xlfn.TEXTJOIN(",",TRUE,_xlfn.UNIQUE(IF(PENS[PensionCode]=CONT_SUP[[#This Row],[PensionCode]],PENS[SchoolCodes],""))))),1,0))</f>
        <v>0</v>
      </c>
      <c r="O35" s="66" cm="1">
        <f t="array" ref="O35">IF(_xlfn.XLOOKUP(CONT_SUP[[#This Row],[EquatedWeekPatternCode]],EQW[EquatedWeekPatternCode],EQW[AvailableToAllSchools],1,0,)=TRUE,0,IF(ISERROR(FIND(CONT_SUP[[#This Row],[SchoolCode]],_xlfn.TEXTJOIN(",",TRUE,_xlfn.UNIQUE(IF(EQW[EquatedWeekPatternCode]=CONT_SUP[[#This Row],[EquatedWeekPatternCode]],EQW[SchoolCodes],""))))),1,0))</f>
        <v>0</v>
      </c>
      <c r="P35" s="57">
        <f>1-COUNTIF(ContractTypes[Code],CONT_SUP[[#This Row],[ContractTypeCode]])</f>
        <v>0</v>
      </c>
      <c r="Q35" s="57">
        <f>IF(VLOOKUP(CONT_SUP[[#This Row],[StaffMemberCode]],MEMBERS[[StaffMemberCode]:[ServiceStartDate]],5,0)&gt;CONT_SUP[[#This Row],[DateFrom]],1,0)</f>
        <v>0</v>
      </c>
      <c r="R35" s="57">
        <f>IF(_xlfn.XLOOKUP(CONT_SUP[[#This Row],[StaffMemberCode]],MEMBERS[StaffMemberCode],MEMBERS[ServiceEndDate])="",0,IF(CONT_SUP[[#This Row],[DateTo]]="",1,IF(_xlfn.XLOOKUP(CONT_SUP[[#This Row],[StaffMemberCode]],MEMBERS[StaffMemberCode],MEMBERS[ServiceEndDate])&lt;CONT_SUP[[#This Row],[DateTo]],1,0)))</f>
        <v>0</v>
      </c>
      <c r="S35" s="57">
        <f>IF(ISBLANK(CONT_SUP[[#This Row],[DateTo]]),0,IF(CONT_SUP[[#This Row],[DateFrom]]=CONT_SUP[[#This Row],[DateTo]],0,IF(CONT_SUP[[#This Row],[DateFrom]]&lt;CONT_SUP[[#This Row],[DateTo]],0,1)))</f>
        <v>0</v>
      </c>
      <c r="T35" s="57" cm="1">
        <f t="array" aca="1" ref="T35" ca="1">IF(CELL("format",CONT_SUP[[#This Row],[DateFrom]])="D1",0,1)+IF(CELL("format",CONT_SUP[[#This Row],[DateTo]])="D1",0,1)</f>
        <v>0</v>
      </c>
      <c r="U35" s="57">
        <f>IF(OR(CONT_SUP[[#This Row],[MatEditOnly]]=TRUE,CONT_SUP[[#This Row],[MatEditOnly]]=FALSE),IF(OR(CONT_SUP[[#This Row],[NoIncrement]]=TRUE,CONT_SUP[[#This Row],[NoIncrement]]=FALSE),0,1),1)</f>
        <v>0</v>
      </c>
      <c r="V35" s="57">
        <f>IF(ISBLANK(CONT_SUP[[#This Row],[FundCode]])=TRUE,0,IF(COUNTIF(FUNDS[FundCode],CONT_SUP[[#This Row],[FundCode]])=1,0,1))</f>
        <v>0</v>
      </c>
      <c r="W35" s="57">
        <f>IF(LEN(CONT_SUP[[#This Row],[Notes]])&lt;4000,0,1)</f>
        <v>0</v>
      </c>
      <c r="X35" s="57">
        <f>IF(SUBSTITUTE(TEXT(CONT_SUP[[#This Row],[Reference]],10)," ","")=TEXT(CONT_SUP[[#This Row],[Reference]],10),0,1)</f>
        <v>0</v>
      </c>
      <c r="Y35" s="57">
        <f ca="1">SUM(CONT_SUP[[#This Row],[Duplicate Contract]:[Space in Code]])</f>
        <v>0</v>
      </c>
      <c r="AA35" s="12" t="s">
        <v>51</v>
      </c>
      <c r="AB35" s="63">
        <v>91073908</v>
      </c>
      <c r="AC35" s="63" t="s">
        <v>4633</v>
      </c>
      <c r="AD35" s="57" t="str">
        <f>_xlfn.XLOOKUP(CONT_SUP[[#This Row],[StaffMemberCode]],StaffMembers!O:O,StaffMembers!R:R)</f>
        <v>Ashley Owen</v>
      </c>
      <c r="AE35" s="12" t="s">
        <v>1616</v>
      </c>
      <c r="AF35" s="66">
        <f>_xlfn.XLOOKUP(CONT_SUP[[#This Row],[SRG]],SRG[StaffRoleGroupCode],SRG[GrossSalaryFinanceCode])</f>
        <v>625100</v>
      </c>
      <c r="AG35" s="57" t="str">
        <f>_xlfn.XLOOKUP(CONT_SUP[[#This Row],[StaffRoleCode]],ROLES[StaffRoleCode],ROLES[StaffRoleGroupCode])</f>
        <v>ADM</v>
      </c>
      <c r="AH35" s="57" t="str">
        <f>_xlfn.XLOOKUP(CONT_SUP[[#This Row],[StaffRoleCode]],ROLES[StaffRoleCode],ROLES[PayScaleCode])</f>
        <v>NJC_CHE</v>
      </c>
      <c r="AI35" s="12" t="s">
        <v>3128</v>
      </c>
      <c r="AJ35" s="12">
        <v>35</v>
      </c>
      <c r="AK35" s="12" t="s">
        <v>4925</v>
      </c>
      <c r="AM35" s="68" t="s">
        <v>3132</v>
      </c>
      <c r="AN35" s="12" t="s">
        <v>1702</v>
      </c>
      <c r="AO35" s="21">
        <v>45901</v>
      </c>
      <c r="AQ35" s="12">
        <v>37</v>
      </c>
      <c r="AR35" t="b">
        <v>0</v>
      </c>
      <c r="AS35" t="b">
        <v>0</v>
      </c>
      <c r="AT35" s="12" t="s">
        <v>1574</v>
      </c>
    </row>
    <row r="36" spans="1:46" x14ac:dyDescent="0.3">
      <c r="A36" s="57" t="str">
        <f t="shared" si="1"/>
        <v>ALS9107383091073830BOFF_SUPSFIN45901</v>
      </c>
      <c r="B36" s="57">
        <f>COUNTIF(CONT_SUP[Unique Contract],CONT_SUP[[#This Row],[Unique Contract]])-1</f>
        <v>0</v>
      </c>
      <c r="C36" s="57">
        <f>IFERROR(IF(FIND(CONT_SUP[[#This Row],[SchoolCode]],_xlfn.XLOOKUP(CONT_SUP[[#This Row],[StaffMemberCode]],MEMBERS[StaffMemberCode],MEMBERS[SchoolCodes]))&gt;0,0,1),1)</f>
        <v>0</v>
      </c>
      <c r="D36" s="57" cm="1">
        <f t="array" ref="D36">IF(_xlfn.XLOOKUP(CONT_SUP[[#This Row],[StaffRoleCode]],ROLES[StaffRoleCode],ROLES[AvailableToAllSchools],1,0,)=TRUE,0,IF(ISERROR(FIND(CONT_SUP[[#This Row],[SchoolCode]],_xlfn.TEXTJOIN(",",TRUE,_xlfn.UNIQUE(IF(ROLES[StaffRoleCode]=CONT_SUP[[#This Row],[StaffRoleCode]],ROLES[SchoolCodes],""))))),1,0))</f>
        <v>0</v>
      </c>
      <c r="E36" s="66" cm="1">
        <f t="array" ref="E3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6" s="57" cm="1">
        <f t="array" ref="F36">IF(_xlfn.XLOOKUP(CONT_SUP[[#This Row],[PayScaleCode]],PAYSCALES[PayScaleCode],PAYSCALES[AvailableToAllSchools],1,0,)=TRUE,0,IF(ISERROR(FIND(CONT_SUP[[#This Row],[SchoolCode]],_xlfn.TEXTJOIN(",",TRUE,_xlfn.UNIQUE(IF(PAYSCALES[PayScaleCode]=CONT_SUP[[#This Row],[PayScaleCode]],PAYSCALES[SchoolCodes],""))))),1,0))</f>
        <v>0</v>
      </c>
      <c r="G36" s="57">
        <f>IF(_xlfn.XLOOKUP(CONT_SUP[[#This Row],[PayScaleGradeCode]],GRADES[PayScaleGradeCode],GRADES[AvailableToAllSchools])=TRUE,0,IFERROR(IF(FIND(CONT_SUP[[#This Row],[SchoolCode]],_xlfn.XLOOKUP(CONT_SUP[[#This Row],[PayScaleGradeCode]],GRADES[PayScaleGradeCode],GRADES[SchoolCodes]))&gt;=1,0,1),1))</f>
        <v>0</v>
      </c>
      <c r="H36" s="66">
        <f>IF(ISERROR(IF((_xlfn.XLOOKUP(CONT_SUP[[#This Row],[PayScaleGradeCode]],GRADES[PayScaleGradeCode],GRADES[PayScaleCode])=CONT_SUP[[#This Row],[PayScaleCode]]),0,1)),1,0)</f>
        <v>0</v>
      </c>
      <c r="I36" s="66" cm="1">
        <f t="array" ref="I36">IF(ISERROR(FIND(CONT_SUP[[#This Row],[PayScalePointCode]],_xlfn.TEXTJOIN(",",TRUE,IF(PSPOINTS[PayScaleCode]=CONT_SUP[[#This Row],[PayScaleCode]],PSPOINTS[PayScalePointCode])))),1,0)</f>
        <v>0</v>
      </c>
      <c r="J36" s="57" cm="1">
        <f t="array" ref="J3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6" s="66">
        <f>IF(_xlfn.XLOOKUP(CONT_SUP[[#This Row],[PayScalePointCode]],PSPOINTS[PayScalePointCode],PSPOINTS[PayScalePointEnabled])=TRUE,0,1)</f>
        <v>0</v>
      </c>
      <c r="L36" s="57" cm="1">
        <f t="array" ref="L36">IF(_xlfn.XLOOKUP(CONT_SUP[[#This Row],[DepartmentCode]],DEPTS[DepartmentCode],DEPTS[AvailableToAllSchools],1,0,)=TRUE,0,IF(ISERROR(FIND(CONT_SUP[[#This Row],[SchoolCode]],_xlfn.TEXTJOIN(",",TRUE,_xlfn.UNIQUE(IF(DEPTS[DepartmentCode]=CONT_SUP[[#This Row],[DepartmentCode]],DEPTS[SchoolCodes],""))))),1,0))</f>
        <v>0</v>
      </c>
      <c r="M36" s="57">
        <f>IFERROR(IF(_xlfn.XLOOKUP(CONT_SUP[[#This Row],[SRG Gross]],FinanceCodesBudget[FinanceCode],FinanceCodesBudget[LedgerCode])=_xlfn.XLOOKUP(CONT_SUP[[#This Row],[DepartmentCode]],DEPTS[DepartmentCode],DEPTS[LedgerCode]),0,1),1)</f>
        <v>0</v>
      </c>
      <c r="N36" s="66" cm="1">
        <f t="array" ref="N36">IF(_xlfn.XLOOKUP(CONT_SUP[[#This Row],[PensionCode]],PENS[PensionCode],PENS[AvailableToAllSchools],1,0,)=TRUE,0,IF(ISERROR(FIND(CONT_SUP[[#This Row],[SchoolCode]],_xlfn.TEXTJOIN(",",TRUE,_xlfn.UNIQUE(IF(PENS[PensionCode]=CONT_SUP[[#This Row],[PensionCode]],PENS[SchoolCodes],""))))),1,0))</f>
        <v>0</v>
      </c>
      <c r="O36" s="66" cm="1">
        <f t="array" ref="O36">IF(_xlfn.XLOOKUP(CONT_SUP[[#This Row],[EquatedWeekPatternCode]],EQW[EquatedWeekPatternCode],EQW[AvailableToAllSchools],1,0,)=TRUE,0,IF(ISERROR(FIND(CONT_SUP[[#This Row],[SchoolCode]],_xlfn.TEXTJOIN(",",TRUE,_xlfn.UNIQUE(IF(EQW[EquatedWeekPatternCode]=CONT_SUP[[#This Row],[EquatedWeekPatternCode]],EQW[SchoolCodes],""))))),1,0))</f>
        <v>0</v>
      </c>
      <c r="P36" s="57">
        <f>1-COUNTIF(ContractTypes[Code],CONT_SUP[[#This Row],[ContractTypeCode]])</f>
        <v>0</v>
      </c>
      <c r="Q36" s="57">
        <f>IF(VLOOKUP(CONT_SUP[[#This Row],[StaffMemberCode]],MEMBERS[[StaffMemberCode]:[ServiceStartDate]],5,0)&gt;CONT_SUP[[#This Row],[DateFrom]],1,0)</f>
        <v>0</v>
      </c>
      <c r="R36" s="57">
        <f>IF(_xlfn.XLOOKUP(CONT_SUP[[#This Row],[StaffMemberCode]],MEMBERS[StaffMemberCode],MEMBERS[ServiceEndDate])="",0,IF(CONT_SUP[[#This Row],[DateTo]]="",1,IF(_xlfn.XLOOKUP(CONT_SUP[[#This Row],[StaffMemberCode]],MEMBERS[StaffMemberCode],MEMBERS[ServiceEndDate])&lt;CONT_SUP[[#This Row],[DateTo]],1,0)))</f>
        <v>0</v>
      </c>
      <c r="S36" s="57">
        <f>IF(ISBLANK(CONT_SUP[[#This Row],[DateTo]]),0,IF(CONT_SUP[[#This Row],[DateFrom]]=CONT_SUP[[#This Row],[DateTo]],0,IF(CONT_SUP[[#This Row],[DateFrom]]&lt;CONT_SUP[[#This Row],[DateTo]],0,1)))</f>
        <v>0</v>
      </c>
      <c r="T36" s="57" cm="1">
        <f t="array" aca="1" ref="T36" ca="1">IF(CELL("format",CONT_SUP[[#This Row],[DateFrom]])="D1",0,1)+IF(CELL("format",CONT_SUP[[#This Row],[DateTo]])="D1",0,1)</f>
        <v>0</v>
      </c>
      <c r="U36" s="57">
        <f>IF(OR(CONT_SUP[[#This Row],[MatEditOnly]]=TRUE,CONT_SUP[[#This Row],[MatEditOnly]]=FALSE),IF(OR(CONT_SUP[[#This Row],[NoIncrement]]=TRUE,CONT_SUP[[#This Row],[NoIncrement]]=FALSE),0,1),1)</f>
        <v>0</v>
      </c>
      <c r="V36" s="57">
        <f>IF(ISBLANK(CONT_SUP[[#This Row],[FundCode]])=TRUE,0,IF(COUNTIF(FUNDS[FundCode],CONT_SUP[[#This Row],[FundCode]])=1,0,1))</f>
        <v>0</v>
      </c>
      <c r="W36" s="57">
        <f>IF(LEN(CONT_SUP[[#This Row],[Notes]])&lt;4000,0,1)</f>
        <v>0</v>
      </c>
      <c r="X36" s="57">
        <f>IF(SUBSTITUTE(TEXT(CONT_SUP[[#This Row],[Reference]],10)," ","")=TEXT(CONT_SUP[[#This Row],[Reference]],10),0,1)</f>
        <v>0</v>
      </c>
      <c r="Y36" s="57">
        <f ca="1">SUM(CONT_SUP[[#This Row],[Duplicate Contract]:[Space in Code]])</f>
        <v>0</v>
      </c>
      <c r="AA36" s="12" t="s">
        <v>2082</v>
      </c>
      <c r="AB36" s="63">
        <v>91073830</v>
      </c>
      <c r="AC36" s="63" t="s">
        <v>4634</v>
      </c>
      <c r="AD36" s="57" t="str">
        <f>_xlfn.XLOOKUP(CONT_SUP[[#This Row],[StaffMemberCode]],StaffMembers!O:O,StaffMembers!R:R)</f>
        <v>Rebecca Clay</v>
      </c>
      <c r="AE36" s="12" t="s">
        <v>4261</v>
      </c>
      <c r="AF36" s="66">
        <f>_xlfn.XLOOKUP(CONT_SUP[[#This Row],[SRG]],SRG[StaffRoleGroupCode],SRG[GrossSalaryFinanceCode])</f>
        <v>625100</v>
      </c>
      <c r="AG36" s="57" t="str">
        <f>_xlfn.XLOOKUP(CONT_SUP[[#This Row],[StaffRoleCode]],ROLES[StaffRoleCode],ROLES[StaffRoleGroupCode])</f>
        <v>ADM</v>
      </c>
      <c r="AH36" s="57" t="str">
        <f>_xlfn.XLOOKUP(CONT_SUP[[#This Row],[StaffRoleCode]],ROLES[StaffRoleCode],ROLES[PayScaleCode])</f>
        <v>NJC_CHE</v>
      </c>
      <c r="AI36" s="12" t="s">
        <v>3124</v>
      </c>
      <c r="AJ36" s="12">
        <v>12</v>
      </c>
      <c r="AK36" s="12" t="s">
        <v>2483</v>
      </c>
      <c r="AM36" s="68" t="s">
        <v>3132</v>
      </c>
      <c r="AN36" s="12" t="s">
        <v>3137</v>
      </c>
      <c r="AO36" s="21">
        <v>45901</v>
      </c>
      <c r="AQ36" s="12">
        <v>34</v>
      </c>
      <c r="AR36" t="b">
        <v>0</v>
      </c>
      <c r="AS36" t="b">
        <v>0</v>
      </c>
      <c r="AT36" s="12" t="s">
        <v>1574</v>
      </c>
    </row>
    <row r="37" spans="1:46" x14ac:dyDescent="0.3">
      <c r="A37" s="57" t="str">
        <f t="shared" si="1"/>
        <v>MAT9107352191073521BPAY_OFFSFINMAT45901</v>
      </c>
      <c r="B37" s="57">
        <f>COUNTIF(CONT_SUP[Unique Contract],CONT_SUP[[#This Row],[Unique Contract]])-1</f>
        <v>0</v>
      </c>
      <c r="C37" s="57">
        <f>IFERROR(IF(FIND(CONT_SUP[[#This Row],[SchoolCode]],_xlfn.XLOOKUP(CONT_SUP[[#This Row],[StaffMemberCode]],MEMBERS[StaffMemberCode],MEMBERS[SchoolCodes]))&gt;0,0,1),1)</f>
        <v>0</v>
      </c>
      <c r="D37" s="57" cm="1">
        <f t="array" ref="D37">IF(_xlfn.XLOOKUP(CONT_SUP[[#This Row],[StaffRoleCode]],ROLES[StaffRoleCode],ROLES[AvailableToAllSchools],1,0,)=TRUE,0,IF(ISERROR(FIND(CONT_SUP[[#This Row],[SchoolCode]],_xlfn.TEXTJOIN(",",TRUE,_xlfn.UNIQUE(IF(ROLES[StaffRoleCode]=CONT_SUP[[#This Row],[StaffRoleCode]],ROLES[SchoolCodes],""))))),1,0))</f>
        <v>0</v>
      </c>
      <c r="E37" s="66" cm="1">
        <f t="array" ref="E3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7" s="57" cm="1">
        <f t="array" ref="F37">IF(_xlfn.XLOOKUP(CONT_SUP[[#This Row],[PayScaleCode]],PAYSCALES[PayScaleCode],PAYSCALES[AvailableToAllSchools],1,0,)=TRUE,0,IF(ISERROR(FIND(CONT_SUP[[#This Row],[SchoolCode]],_xlfn.TEXTJOIN(",",TRUE,_xlfn.UNIQUE(IF(PAYSCALES[PayScaleCode]=CONT_SUP[[#This Row],[PayScaleCode]],PAYSCALES[SchoolCodes],""))))),1,0))</f>
        <v>0</v>
      </c>
      <c r="G37" s="57">
        <f>IF(_xlfn.XLOOKUP(CONT_SUP[[#This Row],[PayScaleGradeCode]],GRADES[PayScaleGradeCode],GRADES[AvailableToAllSchools])=TRUE,0,IFERROR(IF(FIND(CONT_SUP[[#This Row],[SchoolCode]],_xlfn.XLOOKUP(CONT_SUP[[#This Row],[PayScaleGradeCode]],GRADES[PayScaleGradeCode],GRADES[SchoolCodes]))&gt;=1,0,1),1))</f>
        <v>0</v>
      </c>
      <c r="H37" s="66">
        <f>IF(ISERROR(IF((_xlfn.XLOOKUP(CONT_SUP[[#This Row],[PayScaleGradeCode]],GRADES[PayScaleGradeCode],GRADES[PayScaleCode])=CONT_SUP[[#This Row],[PayScaleCode]]),0,1)),1,0)</f>
        <v>0</v>
      </c>
      <c r="I37" s="66" cm="1">
        <f t="array" ref="I37">IF(ISERROR(FIND(CONT_SUP[[#This Row],[PayScalePointCode]],_xlfn.TEXTJOIN(",",TRUE,IF(PSPOINTS[PayScaleCode]=CONT_SUP[[#This Row],[PayScaleCode]],PSPOINTS[PayScalePointCode])))),1,0)</f>
        <v>0</v>
      </c>
      <c r="J37" s="57" cm="1">
        <f t="array" ref="J3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7" s="66">
        <f>IF(_xlfn.XLOOKUP(CONT_SUP[[#This Row],[PayScalePointCode]],PSPOINTS[PayScalePointCode],PSPOINTS[PayScalePointEnabled])=TRUE,0,1)</f>
        <v>0</v>
      </c>
      <c r="L37" s="57" cm="1">
        <f t="array" ref="L37">IF(_xlfn.XLOOKUP(CONT_SUP[[#This Row],[DepartmentCode]],DEPTS[DepartmentCode],DEPTS[AvailableToAllSchools],1,0,)=TRUE,0,IF(ISERROR(FIND(CONT_SUP[[#This Row],[SchoolCode]],_xlfn.TEXTJOIN(",",TRUE,_xlfn.UNIQUE(IF(DEPTS[DepartmentCode]=CONT_SUP[[#This Row],[DepartmentCode]],DEPTS[SchoolCodes],""))))),1,0))</f>
        <v>0</v>
      </c>
      <c r="M37" s="57">
        <f>IFERROR(IF(_xlfn.XLOOKUP(CONT_SUP[[#This Row],[SRG Gross]],FinanceCodesBudget[FinanceCode],FinanceCodesBudget[LedgerCode])=_xlfn.XLOOKUP(CONT_SUP[[#This Row],[DepartmentCode]],DEPTS[DepartmentCode],DEPTS[LedgerCode]),0,1),1)</f>
        <v>0</v>
      </c>
      <c r="N37" s="66" cm="1">
        <f t="array" ref="N37">IF(_xlfn.XLOOKUP(CONT_SUP[[#This Row],[PensionCode]],PENS[PensionCode],PENS[AvailableToAllSchools],1,0,)=TRUE,0,IF(ISERROR(FIND(CONT_SUP[[#This Row],[SchoolCode]],_xlfn.TEXTJOIN(",",TRUE,_xlfn.UNIQUE(IF(PENS[PensionCode]=CONT_SUP[[#This Row],[PensionCode]],PENS[SchoolCodes],""))))),1,0))</f>
        <v>0</v>
      </c>
      <c r="O37" s="66" cm="1">
        <f t="array" ref="O37">IF(_xlfn.XLOOKUP(CONT_SUP[[#This Row],[EquatedWeekPatternCode]],EQW[EquatedWeekPatternCode],EQW[AvailableToAllSchools],1,0,)=TRUE,0,IF(ISERROR(FIND(CONT_SUP[[#This Row],[SchoolCode]],_xlfn.TEXTJOIN(",",TRUE,_xlfn.UNIQUE(IF(EQW[EquatedWeekPatternCode]=CONT_SUP[[#This Row],[EquatedWeekPatternCode]],EQW[SchoolCodes],""))))),1,0))</f>
        <v>0</v>
      </c>
      <c r="P37" s="57">
        <f>1-COUNTIF(ContractTypes[Code],CONT_SUP[[#This Row],[ContractTypeCode]])</f>
        <v>0</v>
      </c>
      <c r="Q37" s="57">
        <f>IF(VLOOKUP(CONT_SUP[[#This Row],[StaffMemberCode]],MEMBERS[[StaffMemberCode]:[ServiceStartDate]],5,0)&gt;CONT_SUP[[#This Row],[DateFrom]],1,0)</f>
        <v>0</v>
      </c>
      <c r="R37" s="57">
        <f>IF(_xlfn.XLOOKUP(CONT_SUP[[#This Row],[StaffMemberCode]],MEMBERS[StaffMemberCode],MEMBERS[ServiceEndDate])="",0,IF(CONT_SUP[[#This Row],[DateTo]]="",1,IF(_xlfn.XLOOKUP(CONT_SUP[[#This Row],[StaffMemberCode]],MEMBERS[StaffMemberCode],MEMBERS[ServiceEndDate])&lt;CONT_SUP[[#This Row],[DateTo]],1,0)))</f>
        <v>0</v>
      </c>
      <c r="S37" s="57">
        <f>IF(ISBLANK(CONT_SUP[[#This Row],[DateTo]]),0,IF(CONT_SUP[[#This Row],[DateFrom]]=CONT_SUP[[#This Row],[DateTo]],0,IF(CONT_SUP[[#This Row],[DateFrom]]&lt;CONT_SUP[[#This Row],[DateTo]],0,1)))</f>
        <v>0</v>
      </c>
      <c r="T37" s="57" cm="1">
        <f t="array" aca="1" ref="T37" ca="1">IF(CELL("format",CONT_SUP[[#This Row],[DateFrom]])="D1",0,1)+IF(CELL("format",CONT_SUP[[#This Row],[DateTo]])="D1",0,1)</f>
        <v>0</v>
      </c>
      <c r="U37" s="57">
        <f>IF(OR(CONT_SUP[[#This Row],[MatEditOnly]]=TRUE,CONT_SUP[[#This Row],[MatEditOnly]]=FALSE),IF(OR(CONT_SUP[[#This Row],[NoIncrement]]=TRUE,CONT_SUP[[#This Row],[NoIncrement]]=FALSE),0,1),1)</f>
        <v>0</v>
      </c>
      <c r="V37" s="57">
        <f>IF(ISBLANK(CONT_SUP[[#This Row],[FundCode]])=TRUE,0,IF(COUNTIF(FUNDS[FundCode],CONT_SUP[[#This Row],[FundCode]])=1,0,1))</f>
        <v>0</v>
      </c>
      <c r="W37" s="57">
        <f>IF(LEN(CONT_SUP[[#This Row],[Notes]])&lt;4000,0,1)</f>
        <v>0</v>
      </c>
      <c r="X37" s="57">
        <f>IF(SUBSTITUTE(TEXT(CONT_SUP[[#This Row],[Reference]],10)," ","")=TEXT(CONT_SUP[[#This Row],[Reference]],10),0,1)</f>
        <v>0</v>
      </c>
      <c r="Y37" s="57">
        <f ca="1">SUM(CONT_SUP[[#This Row],[Duplicate Contract]:[Space in Code]])</f>
        <v>0</v>
      </c>
      <c r="AA37" s="12" t="s">
        <v>51</v>
      </c>
      <c r="AB37" s="63">
        <v>91073521</v>
      </c>
      <c r="AC37" s="63" t="s">
        <v>4635</v>
      </c>
      <c r="AD37" s="57" t="str">
        <f>_xlfn.XLOOKUP(CONT_SUP[[#This Row],[StaffMemberCode]],StaffMembers!O:O,StaffMembers!R:R)</f>
        <v>Cally Quarterman</v>
      </c>
      <c r="AE37" s="12" t="s">
        <v>4263</v>
      </c>
      <c r="AF37" s="66">
        <f>_xlfn.XLOOKUP(CONT_SUP[[#This Row],[SRG]],SRG[StaffRoleGroupCode],SRG[GrossSalaryFinanceCode])</f>
        <v>625100</v>
      </c>
      <c r="AG37" s="57" t="str">
        <f>_xlfn.XLOOKUP(CONT_SUP[[#This Row],[StaffRoleCode]],ROLES[StaffRoleCode],ROLES[StaffRoleGroupCode])</f>
        <v>ADM</v>
      </c>
      <c r="AH37" s="57" t="str">
        <f>_xlfn.XLOOKUP(CONT_SUP[[#This Row],[StaffRoleCode]],ROLES[StaffRoleCode],ROLES[PayScaleCode])</f>
        <v>NJC_CHE</v>
      </c>
      <c r="AI37" s="12" t="s">
        <v>3124</v>
      </c>
      <c r="AJ37" s="12">
        <v>15</v>
      </c>
      <c r="AK37" s="12" t="s">
        <v>4925</v>
      </c>
      <c r="AM37" s="68" t="s">
        <v>3132</v>
      </c>
      <c r="AN37" s="12" t="s">
        <v>3137</v>
      </c>
      <c r="AO37" s="21">
        <v>45901</v>
      </c>
      <c r="AQ37" s="12">
        <v>37</v>
      </c>
      <c r="AR37" t="b">
        <v>0</v>
      </c>
      <c r="AS37" t="b">
        <v>0</v>
      </c>
      <c r="AT37" s="12" t="s">
        <v>1574</v>
      </c>
    </row>
    <row r="38" spans="1:46" x14ac:dyDescent="0.3">
      <c r="A38" s="57" t="str">
        <f t="shared" si="1"/>
        <v>ALS9132955891329558ARECSFIN45901</v>
      </c>
      <c r="B38" s="57">
        <f>COUNTIF(CONT_SUP[Unique Contract],CONT_SUP[[#This Row],[Unique Contract]])-1</f>
        <v>0</v>
      </c>
      <c r="C38" s="57">
        <f>IFERROR(IF(FIND(CONT_SUP[[#This Row],[SchoolCode]],_xlfn.XLOOKUP(CONT_SUP[[#This Row],[StaffMemberCode]],MEMBERS[StaffMemberCode],MEMBERS[SchoolCodes]))&gt;0,0,1),1)</f>
        <v>0</v>
      </c>
      <c r="D38" s="57" cm="1">
        <f t="array" ref="D38">IF(_xlfn.XLOOKUP(CONT_SUP[[#This Row],[StaffRoleCode]],ROLES[StaffRoleCode],ROLES[AvailableToAllSchools],1,0,)=TRUE,0,IF(ISERROR(FIND(CONT_SUP[[#This Row],[SchoolCode]],_xlfn.TEXTJOIN(",",TRUE,_xlfn.UNIQUE(IF(ROLES[StaffRoleCode]=CONT_SUP[[#This Row],[StaffRoleCode]],ROLES[SchoolCodes],""))))),1,0))</f>
        <v>0</v>
      </c>
      <c r="E38" s="66" cm="1">
        <f t="array" ref="E3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8" s="57" cm="1">
        <f t="array" ref="F38">IF(_xlfn.XLOOKUP(CONT_SUP[[#This Row],[PayScaleCode]],PAYSCALES[PayScaleCode],PAYSCALES[AvailableToAllSchools],1,0,)=TRUE,0,IF(ISERROR(FIND(CONT_SUP[[#This Row],[SchoolCode]],_xlfn.TEXTJOIN(",",TRUE,_xlfn.UNIQUE(IF(PAYSCALES[PayScaleCode]=CONT_SUP[[#This Row],[PayScaleCode]],PAYSCALES[SchoolCodes],""))))),1,0))</f>
        <v>0</v>
      </c>
      <c r="G38" s="57">
        <f>IF(_xlfn.XLOOKUP(CONT_SUP[[#This Row],[PayScaleGradeCode]],GRADES[PayScaleGradeCode],GRADES[AvailableToAllSchools])=TRUE,0,IFERROR(IF(FIND(CONT_SUP[[#This Row],[SchoolCode]],_xlfn.XLOOKUP(CONT_SUP[[#This Row],[PayScaleGradeCode]],GRADES[PayScaleGradeCode],GRADES[SchoolCodes]))&gt;=1,0,1),1))</f>
        <v>0</v>
      </c>
      <c r="H38" s="66">
        <f>IF(ISERROR(IF((_xlfn.XLOOKUP(CONT_SUP[[#This Row],[PayScaleGradeCode]],GRADES[PayScaleGradeCode],GRADES[PayScaleCode])=CONT_SUP[[#This Row],[PayScaleCode]]),0,1)),1,0)</f>
        <v>0</v>
      </c>
      <c r="I38" s="66" cm="1">
        <f t="array" ref="I38">IF(ISERROR(FIND(CONT_SUP[[#This Row],[PayScalePointCode]],_xlfn.TEXTJOIN(",",TRUE,IF(PSPOINTS[PayScaleCode]=CONT_SUP[[#This Row],[PayScaleCode]],PSPOINTS[PayScalePointCode])))),1,0)</f>
        <v>0</v>
      </c>
      <c r="J38" s="57" cm="1">
        <f t="array" ref="J3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8" s="66">
        <f>IF(_xlfn.XLOOKUP(CONT_SUP[[#This Row],[PayScalePointCode]],PSPOINTS[PayScalePointCode],PSPOINTS[PayScalePointEnabled])=TRUE,0,1)</f>
        <v>0</v>
      </c>
      <c r="L38" s="57" cm="1">
        <f t="array" ref="L38">IF(_xlfn.XLOOKUP(CONT_SUP[[#This Row],[DepartmentCode]],DEPTS[DepartmentCode],DEPTS[AvailableToAllSchools],1,0,)=TRUE,0,IF(ISERROR(FIND(CONT_SUP[[#This Row],[SchoolCode]],_xlfn.TEXTJOIN(",",TRUE,_xlfn.UNIQUE(IF(DEPTS[DepartmentCode]=CONT_SUP[[#This Row],[DepartmentCode]],DEPTS[SchoolCodes],""))))),1,0))</f>
        <v>0</v>
      </c>
      <c r="M38" s="57">
        <f>IFERROR(IF(_xlfn.XLOOKUP(CONT_SUP[[#This Row],[SRG Gross]],FinanceCodesBudget[FinanceCode],FinanceCodesBudget[LedgerCode])=_xlfn.XLOOKUP(CONT_SUP[[#This Row],[DepartmentCode]],DEPTS[DepartmentCode],DEPTS[LedgerCode]),0,1),1)</f>
        <v>0</v>
      </c>
      <c r="N38" s="66" cm="1">
        <f t="array" ref="N38">IF(_xlfn.XLOOKUP(CONT_SUP[[#This Row],[PensionCode]],PENS[PensionCode],PENS[AvailableToAllSchools],1,0,)=TRUE,0,IF(ISERROR(FIND(CONT_SUP[[#This Row],[SchoolCode]],_xlfn.TEXTJOIN(",",TRUE,_xlfn.UNIQUE(IF(PENS[PensionCode]=CONT_SUP[[#This Row],[PensionCode]],PENS[SchoolCodes],""))))),1,0))</f>
        <v>0</v>
      </c>
      <c r="O38" s="66" cm="1">
        <f t="array" ref="O38">IF(_xlfn.XLOOKUP(CONT_SUP[[#This Row],[EquatedWeekPatternCode]],EQW[EquatedWeekPatternCode],EQW[AvailableToAllSchools],1,0,)=TRUE,0,IF(ISERROR(FIND(CONT_SUP[[#This Row],[SchoolCode]],_xlfn.TEXTJOIN(",",TRUE,_xlfn.UNIQUE(IF(EQW[EquatedWeekPatternCode]=CONT_SUP[[#This Row],[EquatedWeekPatternCode]],EQW[SchoolCodes],""))))),1,0))</f>
        <v>0</v>
      </c>
      <c r="P38" s="57">
        <f>1-COUNTIF(ContractTypes[Code],CONT_SUP[[#This Row],[ContractTypeCode]])</f>
        <v>0</v>
      </c>
      <c r="Q38" s="57">
        <f>IF(VLOOKUP(CONT_SUP[[#This Row],[StaffMemberCode]],MEMBERS[[StaffMemberCode]:[ServiceStartDate]],5,0)&gt;CONT_SUP[[#This Row],[DateFrom]],1,0)</f>
        <v>0</v>
      </c>
      <c r="R38" s="57">
        <f>IF(_xlfn.XLOOKUP(CONT_SUP[[#This Row],[StaffMemberCode]],MEMBERS[StaffMemberCode],MEMBERS[ServiceEndDate])="",0,IF(CONT_SUP[[#This Row],[DateTo]]="",1,IF(_xlfn.XLOOKUP(CONT_SUP[[#This Row],[StaffMemberCode]],MEMBERS[StaffMemberCode],MEMBERS[ServiceEndDate])&lt;CONT_SUP[[#This Row],[DateTo]],1,0)))</f>
        <v>0</v>
      </c>
      <c r="S38" s="57">
        <f>IF(ISBLANK(CONT_SUP[[#This Row],[DateTo]]),0,IF(CONT_SUP[[#This Row],[DateFrom]]=CONT_SUP[[#This Row],[DateTo]],0,IF(CONT_SUP[[#This Row],[DateFrom]]&lt;CONT_SUP[[#This Row],[DateTo]],0,1)))</f>
        <v>0</v>
      </c>
      <c r="T38" s="57" cm="1">
        <f t="array" aca="1" ref="T38" ca="1">IF(CELL("format",CONT_SUP[[#This Row],[DateFrom]])="D1",0,1)+IF(CELL("format",CONT_SUP[[#This Row],[DateTo]])="D1",0,1)</f>
        <v>0</v>
      </c>
      <c r="U38" s="57">
        <f>IF(OR(CONT_SUP[[#This Row],[MatEditOnly]]=TRUE,CONT_SUP[[#This Row],[MatEditOnly]]=FALSE),IF(OR(CONT_SUP[[#This Row],[NoIncrement]]=TRUE,CONT_SUP[[#This Row],[NoIncrement]]=FALSE),0,1),1)</f>
        <v>0</v>
      </c>
      <c r="V38" s="57">
        <f>IF(ISBLANK(CONT_SUP[[#This Row],[FundCode]])=TRUE,0,IF(COUNTIF(FUNDS[FundCode],CONT_SUP[[#This Row],[FundCode]])=1,0,1))</f>
        <v>0</v>
      </c>
      <c r="W38" s="57">
        <f>IF(LEN(CONT_SUP[[#This Row],[Notes]])&lt;4000,0,1)</f>
        <v>0</v>
      </c>
      <c r="X38" s="57">
        <f>IF(SUBSTITUTE(TEXT(CONT_SUP[[#This Row],[Reference]],10)," ","")=TEXT(CONT_SUP[[#This Row],[Reference]],10),0,1)</f>
        <v>0</v>
      </c>
      <c r="Y38" s="57">
        <f ca="1">SUM(CONT_SUP[[#This Row],[Duplicate Contract]:[Space in Code]])</f>
        <v>0</v>
      </c>
      <c r="AA38" s="12" t="s">
        <v>2082</v>
      </c>
      <c r="AB38" s="63">
        <v>91329558</v>
      </c>
      <c r="AC38" s="63" t="s">
        <v>4636</v>
      </c>
      <c r="AD38" s="57" t="str">
        <f>_xlfn.XLOOKUP(CONT_SUP[[#This Row],[StaffMemberCode]],StaffMembers!O:O,StaffMembers!R:R)</f>
        <v>Gemma Sheehan</v>
      </c>
      <c r="AE38" s="12" t="s">
        <v>1563</v>
      </c>
      <c r="AF38" s="66">
        <f>_xlfn.XLOOKUP(CONT_SUP[[#This Row],[SRG]],SRG[StaffRoleGroupCode],SRG[GrossSalaryFinanceCode])</f>
        <v>625100</v>
      </c>
      <c r="AG38" s="57" t="str">
        <f>_xlfn.XLOOKUP(CONT_SUP[[#This Row],[StaffRoleCode]],ROLES[StaffRoleCode],ROLES[StaffRoleGroupCode])</f>
        <v>ADM</v>
      </c>
      <c r="AH38" s="57" t="str">
        <f>_xlfn.XLOOKUP(CONT_SUP[[#This Row],[StaffRoleCode]],ROLES[StaffRoleCode],ROLES[PayScaleCode])</f>
        <v>NJC_CHE</v>
      </c>
      <c r="AI38" s="12" t="s">
        <v>3121</v>
      </c>
      <c r="AJ38" s="12">
        <v>3</v>
      </c>
      <c r="AK38" s="12" t="s">
        <v>2483</v>
      </c>
      <c r="AM38" s="68" t="s">
        <v>3132</v>
      </c>
      <c r="AN38" s="12" t="s">
        <v>3134</v>
      </c>
      <c r="AO38" s="21">
        <v>45901</v>
      </c>
      <c r="AQ38" s="12">
        <v>37</v>
      </c>
      <c r="AR38" t="b">
        <v>0</v>
      </c>
      <c r="AS38" t="b">
        <v>0</v>
      </c>
      <c r="AT38" s="12" t="s">
        <v>1574</v>
      </c>
    </row>
    <row r="39" spans="1:46" x14ac:dyDescent="0.3">
      <c r="A39" s="57" t="str">
        <f t="shared" si="1"/>
        <v>ALS9185001491850014ARECSFIN45901</v>
      </c>
      <c r="B39" s="57">
        <f>COUNTIF(CONT_SUP[Unique Contract],CONT_SUP[[#This Row],[Unique Contract]])-1</f>
        <v>0</v>
      </c>
      <c r="C39" s="57">
        <f>IFERROR(IF(FIND(CONT_SUP[[#This Row],[SchoolCode]],_xlfn.XLOOKUP(CONT_SUP[[#This Row],[StaffMemberCode]],MEMBERS[StaffMemberCode],MEMBERS[SchoolCodes]))&gt;0,0,1),1)</f>
        <v>0</v>
      </c>
      <c r="D39" s="57" cm="1">
        <f t="array" ref="D39">IF(_xlfn.XLOOKUP(CONT_SUP[[#This Row],[StaffRoleCode]],ROLES[StaffRoleCode],ROLES[AvailableToAllSchools],1,0,)=TRUE,0,IF(ISERROR(FIND(CONT_SUP[[#This Row],[SchoolCode]],_xlfn.TEXTJOIN(",",TRUE,_xlfn.UNIQUE(IF(ROLES[StaffRoleCode]=CONT_SUP[[#This Row],[StaffRoleCode]],ROLES[SchoolCodes],""))))),1,0))</f>
        <v>0</v>
      </c>
      <c r="E39" s="66" cm="1">
        <f t="array" ref="E3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9" s="57" cm="1">
        <f t="array" ref="F39">IF(_xlfn.XLOOKUP(CONT_SUP[[#This Row],[PayScaleCode]],PAYSCALES[PayScaleCode],PAYSCALES[AvailableToAllSchools],1,0,)=TRUE,0,IF(ISERROR(FIND(CONT_SUP[[#This Row],[SchoolCode]],_xlfn.TEXTJOIN(",",TRUE,_xlfn.UNIQUE(IF(PAYSCALES[PayScaleCode]=CONT_SUP[[#This Row],[PayScaleCode]],PAYSCALES[SchoolCodes],""))))),1,0))</f>
        <v>0</v>
      </c>
      <c r="G39" s="57">
        <f>IF(_xlfn.XLOOKUP(CONT_SUP[[#This Row],[PayScaleGradeCode]],GRADES[PayScaleGradeCode],GRADES[AvailableToAllSchools])=TRUE,0,IFERROR(IF(FIND(CONT_SUP[[#This Row],[SchoolCode]],_xlfn.XLOOKUP(CONT_SUP[[#This Row],[PayScaleGradeCode]],GRADES[PayScaleGradeCode],GRADES[SchoolCodes]))&gt;=1,0,1),1))</f>
        <v>0</v>
      </c>
      <c r="H39" s="66">
        <f>IF(ISERROR(IF((_xlfn.XLOOKUP(CONT_SUP[[#This Row],[PayScaleGradeCode]],GRADES[PayScaleGradeCode],GRADES[PayScaleCode])=CONT_SUP[[#This Row],[PayScaleCode]]),0,1)),1,0)</f>
        <v>0</v>
      </c>
      <c r="I39" s="66" cm="1">
        <f t="array" ref="I39">IF(ISERROR(FIND(CONT_SUP[[#This Row],[PayScalePointCode]],_xlfn.TEXTJOIN(",",TRUE,IF(PSPOINTS[PayScaleCode]=CONT_SUP[[#This Row],[PayScaleCode]],PSPOINTS[PayScalePointCode])))),1,0)</f>
        <v>0</v>
      </c>
      <c r="J39" s="57" cm="1">
        <f t="array" ref="J3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9" s="66">
        <f>IF(_xlfn.XLOOKUP(CONT_SUP[[#This Row],[PayScalePointCode]],PSPOINTS[PayScalePointCode],PSPOINTS[PayScalePointEnabled])=TRUE,0,1)</f>
        <v>0</v>
      </c>
      <c r="L39" s="57" cm="1">
        <f t="array" ref="L39">IF(_xlfn.XLOOKUP(CONT_SUP[[#This Row],[DepartmentCode]],DEPTS[DepartmentCode],DEPTS[AvailableToAllSchools],1,0,)=TRUE,0,IF(ISERROR(FIND(CONT_SUP[[#This Row],[SchoolCode]],_xlfn.TEXTJOIN(",",TRUE,_xlfn.UNIQUE(IF(DEPTS[DepartmentCode]=CONT_SUP[[#This Row],[DepartmentCode]],DEPTS[SchoolCodes],""))))),1,0))</f>
        <v>0</v>
      </c>
      <c r="M39" s="57">
        <f>IFERROR(IF(_xlfn.XLOOKUP(CONT_SUP[[#This Row],[SRG Gross]],FinanceCodesBudget[FinanceCode],FinanceCodesBudget[LedgerCode])=_xlfn.XLOOKUP(CONT_SUP[[#This Row],[DepartmentCode]],DEPTS[DepartmentCode],DEPTS[LedgerCode]),0,1),1)</f>
        <v>0</v>
      </c>
      <c r="N39" s="66" cm="1">
        <f t="array" ref="N39">IF(_xlfn.XLOOKUP(CONT_SUP[[#This Row],[PensionCode]],PENS[PensionCode],PENS[AvailableToAllSchools],1,0,)=TRUE,0,IF(ISERROR(FIND(CONT_SUP[[#This Row],[SchoolCode]],_xlfn.TEXTJOIN(",",TRUE,_xlfn.UNIQUE(IF(PENS[PensionCode]=CONT_SUP[[#This Row],[PensionCode]],PENS[SchoolCodes],""))))),1,0))</f>
        <v>0</v>
      </c>
      <c r="O39" s="66" cm="1">
        <f t="array" ref="O39">IF(_xlfn.XLOOKUP(CONT_SUP[[#This Row],[EquatedWeekPatternCode]],EQW[EquatedWeekPatternCode],EQW[AvailableToAllSchools],1,0,)=TRUE,0,IF(ISERROR(FIND(CONT_SUP[[#This Row],[SchoolCode]],_xlfn.TEXTJOIN(",",TRUE,_xlfn.UNIQUE(IF(EQW[EquatedWeekPatternCode]=CONT_SUP[[#This Row],[EquatedWeekPatternCode]],EQW[SchoolCodes],""))))),1,0))</f>
        <v>0</v>
      </c>
      <c r="P39" s="57">
        <f>1-COUNTIF(ContractTypes[Code],CONT_SUP[[#This Row],[ContractTypeCode]])</f>
        <v>0</v>
      </c>
      <c r="Q39" s="57">
        <f>IF(VLOOKUP(CONT_SUP[[#This Row],[StaffMemberCode]],MEMBERS[[StaffMemberCode]:[ServiceStartDate]],5,0)&gt;CONT_SUP[[#This Row],[DateFrom]],1,0)</f>
        <v>0</v>
      </c>
      <c r="R39" s="57">
        <f>IF(_xlfn.XLOOKUP(CONT_SUP[[#This Row],[StaffMemberCode]],MEMBERS[StaffMemberCode],MEMBERS[ServiceEndDate])="",0,IF(CONT_SUP[[#This Row],[DateTo]]="",1,IF(_xlfn.XLOOKUP(CONT_SUP[[#This Row],[StaffMemberCode]],MEMBERS[StaffMemberCode],MEMBERS[ServiceEndDate])&lt;CONT_SUP[[#This Row],[DateTo]],1,0)))</f>
        <v>0</v>
      </c>
      <c r="S39" s="57">
        <f>IF(ISBLANK(CONT_SUP[[#This Row],[DateTo]]),0,IF(CONT_SUP[[#This Row],[DateFrom]]=CONT_SUP[[#This Row],[DateTo]],0,IF(CONT_SUP[[#This Row],[DateFrom]]&lt;CONT_SUP[[#This Row],[DateTo]],0,1)))</f>
        <v>0</v>
      </c>
      <c r="T39" s="57" cm="1">
        <f t="array" aca="1" ref="T39" ca="1">IF(CELL("format",CONT_SUP[[#This Row],[DateFrom]])="D1",0,1)+IF(CELL("format",CONT_SUP[[#This Row],[DateTo]])="D1",0,1)</f>
        <v>0</v>
      </c>
      <c r="U39" s="57">
        <f>IF(OR(CONT_SUP[[#This Row],[MatEditOnly]]=TRUE,CONT_SUP[[#This Row],[MatEditOnly]]=FALSE),IF(OR(CONT_SUP[[#This Row],[NoIncrement]]=TRUE,CONT_SUP[[#This Row],[NoIncrement]]=FALSE),0,1),1)</f>
        <v>0</v>
      </c>
      <c r="V39" s="57">
        <f>IF(ISBLANK(CONT_SUP[[#This Row],[FundCode]])=TRUE,0,IF(COUNTIF(FUNDS[FundCode],CONT_SUP[[#This Row],[FundCode]])=1,0,1))</f>
        <v>0</v>
      </c>
      <c r="W39" s="57">
        <f>IF(LEN(CONT_SUP[[#This Row],[Notes]])&lt;4000,0,1)</f>
        <v>0</v>
      </c>
      <c r="X39" s="57">
        <f>IF(SUBSTITUTE(TEXT(CONT_SUP[[#This Row],[Reference]],10)," ","")=TEXT(CONT_SUP[[#This Row],[Reference]],10),0,1)</f>
        <v>0</v>
      </c>
      <c r="Y39" s="57">
        <f ca="1">SUM(CONT_SUP[[#This Row],[Duplicate Contract]:[Space in Code]])</f>
        <v>0</v>
      </c>
      <c r="AA39" s="12" t="s">
        <v>2082</v>
      </c>
      <c r="AB39" s="63">
        <v>91850014</v>
      </c>
      <c r="AC39" s="63" t="s">
        <v>4637</v>
      </c>
      <c r="AD39" s="57" t="str">
        <f>_xlfn.XLOOKUP(CONT_SUP[[#This Row],[StaffMemberCode]],StaffMembers!O:O,StaffMembers!R:R)</f>
        <v>Karen Atkinson</v>
      </c>
      <c r="AE39" s="12" t="s">
        <v>1563</v>
      </c>
      <c r="AF39" s="66">
        <f>_xlfn.XLOOKUP(CONT_SUP[[#This Row],[SRG]],SRG[StaffRoleGroupCode],SRG[GrossSalaryFinanceCode])</f>
        <v>625100</v>
      </c>
      <c r="AG39" s="57" t="str">
        <f>_xlfn.XLOOKUP(CONT_SUP[[#This Row],[StaffRoleCode]],ROLES[StaffRoleCode],ROLES[StaffRoleGroupCode])</f>
        <v>ADM</v>
      </c>
      <c r="AH39" s="57" t="str">
        <f>_xlfn.XLOOKUP(CONT_SUP[[#This Row],[StaffRoleCode]],ROLES[StaffRoleCode],ROLES[PayScaleCode])</f>
        <v>NJC_CHE</v>
      </c>
      <c r="AI39" s="12" t="s">
        <v>3122</v>
      </c>
      <c r="AJ39" s="12">
        <v>5</v>
      </c>
      <c r="AK39" s="12" t="s">
        <v>2483</v>
      </c>
      <c r="AM39" s="68" t="s">
        <v>3132</v>
      </c>
      <c r="AN39" s="12" t="s">
        <v>3135</v>
      </c>
      <c r="AO39" s="21">
        <v>45901</v>
      </c>
      <c r="AQ39" s="12">
        <v>25</v>
      </c>
      <c r="AR39" t="b">
        <v>0</v>
      </c>
      <c r="AS39" t="b">
        <v>0</v>
      </c>
      <c r="AT39" s="12" t="s">
        <v>1574</v>
      </c>
    </row>
    <row r="40" spans="1:46" x14ac:dyDescent="0.3">
      <c r="A40" s="57" t="str">
        <f t="shared" si="1"/>
        <v>BLS9107357991073579ARECSFIN45901</v>
      </c>
      <c r="B40" s="57">
        <f>COUNTIF(CONT_SUP[Unique Contract],CONT_SUP[[#This Row],[Unique Contract]])-1</f>
        <v>0</v>
      </c>
      <c r="C40" s="57">
        <f>IFERROR(IF(FIND(CONT_SUP[[#This Row],[SchoolCode]],_xlfn.XLOOKUP(CONT_SUP[[#This Row],[StaffMemberCode]],MEMBERS[StaffMemberCode],MEMBERS[SchoolCodes]))&gt;0,0,1),1)</f>
        <v>0</v>
      </c>
      <c r="D40" s="57" cm="1">
        <f t="array" ref="D40">IF(_xlfn.XLOOKUP(CONT_SUP[[#This Row],[StaffRoleCode]],ROLES[StaffRoleCode],ROLES[AvailableToAllSchools],1,0,)=TRUE,0,IF(ISERROR(FIND(CONT_SUP[[#This Row],[SchoolCode]],_xlfn.TEXTJOIN(",",TRUE,_xlfn.UNIQUE(IF(ROLES[StaffRoleCode]=CONT_SUP[[#This Row],[StaffRoleCode]],ROLES[SchoolCodes],""))))),1,0))</f>
        <v>0</v>
      </c>
      <c r="E40" s="66" cm="1">
        <f t="array" ref="E4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40" s="57" cm="1">
        <f t="array" ref="F40">IF(_xlfn.XLOOKUP(CONT_SUP[[#This Row],[PayScaleCode]],PAYSCALES[PayScaleCode],PAYSCALES[AvailableToAllSchools],1,0,)=TRUE,0,IF(ISERROR(FIND(CONT_SUP[[#This Row],[SchoolCode]],_xlfn.TEXTJOIN(",",TRUE,_xlfn.UNIQUE(IF(PAYSCALES[PayScaleCode]=CONT_SUP[[#This Row],[PayScaleCode]],PAYSCALES[SchoolCodes],""))))),1,0))</f>
        <v>0</v>
      </c>
      <c r="G40" s="57">
        <f>IF(_xlfn.XLOOKUP(CONT_SUP[[#This Row],[PayScaleGradeCode]],GRADES[PayScaleGradeCode],GRADES[AvailableToAllSchools])=TRUE,0,IFERROR(IF(FIND(CONT_SUP[[#This Row],[SchoolCode]],_xlfn.XLOOKUP(CONT_SUP[[#This Row],[PayScaleGradeCode]],GRADES[PayScaleGradeCode],GRADES[SchoolCodes]))&gt;=1,0,1),1))</f>
        <v>0</v>
      </c>
      <c r="H40" s="66">
        <f>IF(ISERROR(IF((_xlfn.XLOOKUP(CONT_SUP[[#This Row],[PayScaleGradeCode]],GRADES[PayScaleGradeCode],GRADES[PayScaleCode])=CONT_SUP[[#This Row],[PayScaleCode]]),0,1)),1,0)</f>
        <v>0</v>
      </c>
      <c r="I40" s="66" cm="1">
        <f t="array" ref="I40">IF(ISERROR(FIND(CONT_SUP[[#This Row],[PayScalePointCode]],_xlfn.TEXTJOIN(",",TRUE,IF(PSPOINTS[PayScaleCode]=CONT_SUP[[#This Row],[PayScaleCode]],PSPOINTS[PayScalePointCode])))),1,0)</f>
        <v>0</v>
      </c>
      <c r="J40" s="57" cm="1">
        <f t="array" ref="J4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40" s="66">
        <f>IF(_xlfn.XLOOKUP(CONT_SUP[[#This Row],[PayScalePointCode]],PSPOINTS[PayScalePointCode],PSPOINTS[PayScalePointEnabled])=TRUE,0,1)</f>
        <v>0</v>
      </c>
      <c r="L40" s="57" cm="1">
        <f t="array" ref="L40">IF(_xlfn.XLOOKUP(CONT_SUP[[#This Row],[DepartmentCode]],DEPTS[DepartmentCode],DEPTS[AvailableToAllSchools],1,0,)=TRUE,0,IF(ISERROR(FIND(CONT_SUP[[#This Row],[SchoolCode]],_xlfn.TEXTJOIN(",",TRUE,_xlfn.UNIQUE(IF(DEPTS[DepartmentCode]=CONT_SUP[[#This Row],[DepartmentCode]],DEPTS[SchoolCodes],""))))),1,0))</f>
        <v>0</v>
      </c>
      <c r="M40" s="57">
        <f>IFERROR(IF(_xlfn.XLOOKUP(CONT_SUP[[#This Row],[SRG Gross]],FinanceCodesBudget[FinanceCode],FinanceCodesBudget[LedgerCode])=_xlfn.XLOOKUP(CONT_SUP[[#This Row],[DepartmentCode]],DEPTS[DepartmentCode],DEPTS[LedgerCode]),0,1),1)</f>
        <v>0</v>
      </c>
      <c r="N40" s="66" cm="1">
        <f t="array" ref="N40">IF(_xlfn.XLOOKUP(CONT_SUP[[#This Row],[PensionCode]],PENS[PensionCode],PENS[AvailableToAllSchools],1,0,)=TRUE,0,IF(ISERROR(FIND(CONT_SUP[[#This Row],[SchoolCode]],_xlfn.TEXTJOIN(",",TRUE,_xlfn.UNIQUE(IF(PENS[PensionCode]=CONT_SUP[[#This Row],[PensionCode]],PENS[SchoolCodes],""))))),1,0))</f>
        <v>0</v>
      </c>
      <c r="O40" s="66" cm="1">
        <f t="array" ref="O40">IF(_xlfn.XLOOKUP(CONT_SUP[[#This Row],[EquatedWeekPatternCode]],EQW[EquatedWeekPatternCode],EQW[AvailableToAllSchools],1,0,)=TRUE,0,IF(ISERROR(FIND(CONT_SUP[[#This Row],[SchoolCode]],_xlfn.TEXTJOIN(",",TRUE,_xlfn.UNIQUE(IF(EQW[EquatedWeekPatternCode]=CONT_SUP[[#This Row],[EquatedWeekPatternCode]],EQW[SchoolCodes],""))))),1,0))</f>
        <v>0</v>
      </c>
      <c r="P40" s="57">
        <f>1-COUNTIF(ContractTypes[Code],CONT_SUP[[#This Row],[ContractTypeCode]])</f>
        <v>0</v>
      </c>
      <c r="Q40" s="57">
        <f>IF(VLOOKUP(CONT_SUP[[#This Row],[StaffMemberCode]],MEMBERS[[StaffMemberCode]:[ServiceStartDate]],5,0)&gt;CONT_SUP[[#This Row],[DateFrom]],1,0)</f>
        <v>0</v>
      </c>
      <c r="R40" s="57">
        <f>IF(_xlfn.XLOOKUP(CONT_SUP[[#This Row],[StaffMemberCode]],MEMBERS[StaffMemberCode],MEMBERS[ServiceEndDate])="",0,IF(CONT_SUP[[#This Row],[DateTo]]="",1,IF(_xlfn.XLOOKUP(CONT_SUP[[#This Row],[StaffMemberCode]],MEMBERS[StaffMemberCode],MEMBERS[ServiceEndDate])&lt;CONT_SUP[[#This Row],[DateTo]],1,0)))</f>
        <v>0</v>
      </c>
      <c r="S40" s="57">
        <f>IF(ISBLANK(CONT_SUP[[#This Row],[DateTo]]),0,IF(CONT_SUP[[#This Row],[DateFrom]]=CONT_SUP[[#This Row],[DateTo]],0,IF(CONT_SUP[[#This Row],[DateFrom]]&lt;CONT_SUP[[#This Row],[DateTo]],0,1)))</f>
        <v>0</v>
      </c>
      <c r="T40" s="57" cm="1">
        <f t="array" aca="1" ref="T40" ca="1">IF(CELL("format",CONT_SUP[[#This Row],[DateFrom]])="D1",0,1)+IF(CELL("format",CONT_SUP[[#This Row],[DateTo]])="D1",0,1)</f>
        <v>0</v>
      </c>
      <c r="U40" s="57">
        <f>IF(OR(CONT_SUP[[#This Row],[MatEditOnly]]=TRUE,CONT_SUP[[#This Row],[MatEditOnly]]=FALSE),IF(OR(CONT_SUP[[#This Row],[NoIncrement]]=TRUE,CONT_SUP[[#This Row],[NoIncrement]]=FALSE),0,1),1)</f>
        <v>0</v>
      </c>
      <c r="V40" s="57">
        <f>IF(ISBLANK(CONT_SUP[[#This Row],[FundCode]])=TRUE,0,IF(COUNTIF(FUNDS[FundCode],CONT_SUP[[#This Row],[FundCode]])=1,0,1))</f>
        <v>0</v>
      </c>
      <c r="W40" s="57">
        <f>IF(LEN(CONT_SUP[[#This Row],[Notes]])&lt;4000,0,1)</f>
        <v>0</v>
      </c>
      <c r="X40" s="57">
        <f>IF(SUBSTITUTE(TEXT(CONT_SUP[[#This Row],[Reference]],10)," ","")=TEXT(CONT_SUP[[#This Row],[Reference]],10),0,1)</f>
        <v>0</v>
      </c>
      <c r="Y40" s="57">
        <f ca="1">SUM(CONT_SUP[[#This Row],[Duplicate Contract]:[Space in Code]])</f>
        <v>0</v>
      </c>
      <c r="AA40" s="12" t="s">
        <v>2094</v>
      </c>
      <c r="AB40" s="63">
        <v>91073579</v>
      </c>
      <c r="AC40" s="63" t="s">
        <v>4638</v>
      </c>
      <c r="AD40" s="57" t="str">
        <f>_xlfn.XLOOKUP(CONT_SUP[[#This Row],[StaffMemberCode]],StaffMembers!O:O,StaffMembers!R:R)</f>
        <v>Louise Monks</v>
      </c>
      <c r="AE40" s="12" t="s">
        <v>1563</v>
      </c>
      <c r="AF40" s="66">
        <f>_xlfn.XLOOKUP(CONT_SUP[[#This Row],[SRG]],SRG[StaffRoleGroupCode],SRG[GrossSalaryFinanceCode])</f>
        <v>625100</v>
      </c>
      <c r="AG40" s="57" t="str">
        <f>_xlfn.XLOOKUP(CONT_SUP[[#This Row],[StaffRoleCode]],ROLES[StaffRoleCode],ROLES[StaffRoleGroupCode])</f>
        <v>ADM</v>
      </c>
      <c r="AH40" s="57" t="str">
        <f>_xlfn.XLOOKUP(CONT_SUP[[#This Row],[StaffRoleCode]],ROLES[StaffRoleCode],ROLES[PayScaleCode])</f>
        <v>NJC_CHE</v>
      </c>
      <c r="AI40" s="12" t="s">
        <v>3122</v>
      </c>
      <c r="AJ40" s="12">
        <v>6</v>
      </c>
      <c r="AK40" s="12" t="s">
        <v>2483</v>
      </c>
      <c r="AM40" s="68" t="s">
        <v>3132</v>
      </c>
      <c r="AN40" s="12" t="s">
        <v>3137</v>
      </c>
      <c r="AO40" s="21">
        <v>45901</v>
      </c>
      <c r="AQ40" s="12">
        <v>32</v>
      </c>
      <c r="AR40" t="b">
        <v>0</v>
      </c>
      <c r="AS40" t="b">
        <v>0</v>
      </c>
      <c r="AT40" s="12" t="s">
        <v>1574</v>
      </c>
    </row>
    <row r="41" spans="1:46" x14ac:dyDescent="0.3">
      <c r="A41" s="57" t="str">
        <f t="shared" si="1"/>
        <v>AUD9185000891850008ARECSFIN45901</v>
      </c>
      <c r="B41" s="57">
        <f>COUNTIF(CONT_SUP[Unique Contract],CONT_SUP[[#This Row],[Unique Contract]])-1</f>
        <v>0</v>
      </c>
      <c r="C41" s="57">
        <f>IFERROR(IF(FIND(CONT_SUP[[#This Row],[SchoolCode]],_xlfn.XLOOKUP(CONT_SUP[[#This Row],[StaffMemberCode]],MEMBERS[StaffMemberCode],MEMBERS[SchoolCodes]))&gt;0,0,1),1)</f>
        <v>0</v>
      </c>
      <c r="D41" s="57" cm="1">
        <f t="array" ref="D41">IF(_xlfn.XLOOKUP(CONT_SUP[[#This Row],[StaffRoleCode]],ROLES[StaffRoleCode],ROLES[AvailableToAllSchools],1,0,)=TRUE,0,IF(ISERROR(FIND(CONT_SUP[[#This Row],[SchoolCode]],_xlfn.TEXTJOIN(",",TRUE,_xlfn.UNIQUE(IF(ROLES[StaffRoleCode]=CONT_SUP[[#This Row],[StaffRoleCode]],ROLES[SchoolCodes],""))))),1,0))</f>
        <v>0</v>
      </c>
      <c r="E41" s="66" cm="1">
        <f t="array" ref="E4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41" s="57" cm="1">
        <f t="array" ref="F41">IF(_xlfn.XLOOKUP(CONT_SUP[[#This Row],[PayScaleCode]],PAYSCALES[PayScaleCode],PAYSCALES[AvailableToAllSchools],1,0,)=TRUE,0,IF(ISERROR(FIND(CONT_SUP[[#This Row],[SchoolCode]],_xlfn.TEXTJOIN(",",TRUE,_xlfn.UNIQUE(IF(PAYSCALES[PayScaleCode]=CONT_SUP[[#This Row],[PayScaleCode]],PAYSCALES[SchoolCodes],""))))),1,0))</f>
        <v>0</v>
      </c>
      <c r="G41" s="57">
        <f>IF(_xlfn.XLOOKUP(CONT_SUP[[#This Row],[PayScaleGradeCode]],GRADES[PayScaleGradeCode],GRADES[AvailableToAllSchools])=TRUE,0,IFERROR(IF(FIND(CONT_SUP[[#This Row],[SchoolCode]],_xlfn.XLOOKUP(CONT_SUP[[#This Row],[PayScaleGradeCode]],GRADES[PayScaleGradeCode],GRADES[SchoolCodes]))&gt;=1,0,1),1))</f>
        <v>0</v>
      </c>
      <c r="H41" s="66">
        <f>IF(ISERROR(IF((_xlfn.XLOOKUP(CONT_SUP[[#This Row],[PayScaleGradeCode]],GRADES[PayScaleGradeCode],GRADES[PayScaleCode])=CONT_SUP[[#This Row],[PayScaleCode]]),0,1)),1,0)</f>
        <v>0</v>
      </c>
      <c r="I41" s="66" cm="1">
        <f t="array" ref="I41">IF(ISERROR(FIND(CONT_SUP[[#This Row],[PayScalePointCode]],_xlfn.TEXTJOIN(",",TRUE,IF(PSPOINTS[PayScaleCode]=CONT_SUP[[#This Row],[PayScaleCode]],PSPOINTS[PayScalePointCode])))),1,0)</f>
        <v>0</v>
      </c>
      <c r="J41" s="57" cm="1">
        <f t="array" ref="J4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41" s="66">
        <f>IF(_xlfn.XLOOKUP(CONT_SUP[[#This Row],[PayScalePointCode]],PSPOINTS[PayScalePointCode],PSPOINTS[PayScalePointEnabled])=TRUE,0,1)</f>
        <v>0</v>
      </c>
      <c r="L41" s="57" cm="1">
        <f t="array" ref="L41">IF(_xlfn.XLOOKUP(CONT_SUP[[#This Row],[DepartmentCode]],DEPTS[DepartmentCode],DEPTS[AvailableToAllSchools],1,0,)=TRUE,0,IF(ISERROR(FIND(CONT_SUP[[#This Row],[SchoolCode]],_xlfn.TEXTJOIN(",",TRUE,_xlfn.UNIQUE(IF(DEPTS[DepartmentCode]=CONT_SUP[[#This Row],[DepartmentCode]],DEPTS[SchoolCodes],""))))),1,0))</f>
        <v>0</v>
      </c>
      <c r="M41" s="57">
        <f>IFERROR(IF(_xlfn.XLOOKUP(CONT_SUP[[#This Row],[SRG Gross]],FinanceCodesBudget[FinanceCode],FinanceCodesBudget[LedgerCode])=_xlfn.XLOOKUP(CONT_SUP[[#This Row],[DepartmentCode]],DEPTS[DepartmentCode],DEPTS[LedgerCode]),0,1),1)</f>
        <v>0</v>
      </c>
      <c r="N41" s="66" cm="1">
        <f t="array" ref="N41">IF(_xlfn.XLOOKUP(CONT_SUP[[#This Row],[PensionCode]],PENS[PensionCode],PENS[AvailableToAllSchools],1,0,)=TRUE,0,IF(ISERROR(FIND(CONT_SUP[[#This Row],[SchoolCode]],_xlfn.TEXTJOIN(",",TRUE,_xlfn.UNIQUE(IF(PENS[PensionCode]=CONT_SUP[[#This Row],[PensionCode]],PENS[SchoolCodes],""))))),1,0))</f>
        <v>0</v>
      </c>
      <c r="O41" s="66" cm="1">
        <f t="array" ref="O41">IF(_xlfn.XLOOKUP(CONT_SUP[[#This Row],[EquatedWeekPatternCode]],EQW[EquatedWeekPatternCode],EQW[AvailableToAllSchools],1,0,)=TRUE,0,IF(ISERROR(FIND(CONT_SUP[[#This Row],[SchoolCode]],_xlfn.TEXTJOIN(",",TRUE,_xlfn.UNIQUE(IF(EQW[EquatedWeekPatternCode]=CONT_SUP[[#This Row],[EquatedWeekPatternCode]],EQW[SchoolCodes],""))))),1,0))</f>
        <v>0</v>
      </c>
      <c r="P41" s="57">
        <f>1-COUNTIF(ContractTypes[Code],CONT_SUP[[#This Row],[ContractTypeCode]])</f>
        <v>0</v>
      </c>
      <c r="Q41" s="57">
        <f>IF(VLOOKUP(CONT_SUP[[#This Row],[StaffMemberCode]],MEMBERS[[StaffMemberCode]:[ServiceStartDate]],5,0)&gt;CONT_SUP[[#This Row],[DateFrom]],1,0)</f>
        <v>0</v>
      </c>
      <c r="R41" s="57">
        <f>IF(_xlfn.XLOOKUP(CONT_SUP[[#This Row],[StaffMemberCode]],MEMBERS[StaffMemberCode],MEMBERS[ServiceEndDate])="",0,IF(CONT_SUP[[#This Row],[DateTo]]="",1,IF(_xlfn.XLOOKUP(CONT_SUP[[#This Row],[StaffMemberCode]],MEMBERS[StaffMemberCode],MEMBERS[ServiceEndDate])&lt;CONT_SUP[[#This Row],[DateTo]],1,0)))</f>
        <v>0</v>
      </c>
      <c r="S41" s="57">
        <f>IF(ISBLANK(CONT_SUP[[#This Row],[DateTo]]),0,IF(CONT_SUP[[#This Row],[DateFrom]]=CONT_SUP[[#This Row],[DateTo]],0,IF(CONT_SUP[[#This Row],[DateFrom]]&lt;CONT_SUP[[#This Row],[DateTo]],0,1)))</f>
        <v>0</v>
      </c>
      <c r="T41" s="57" cm="1">
        <f t="array" aca="1" ref="T41" ca="1">IF(CELL("format",CONT_SUP[[#This Row],[DateFrom]])="D1",0,1)+IF(CELL("format",CONT_SUP[[#This Row],[DateTo]])="D1",0,1)</f>
        <v>0</v>
      </c>
      <c r="U41" s="57">
        <f>IF(OR(CONT_SUP[[#This Row],[MatEditOnly]]=TRUE,CONT_SUP[[#This Row],[MatEditOnly]]=FALSE),IF(OR(CONT_SUP[[#This Row],[NoIncrement]]=TRUE,CONT_SUP[[#This Row],[NoIncrement]]=FALSE),0,1),1)</f>
        <v>0</v>
      </c>
      <c r="V41" s="57">
        <f>IF(ISBLANK(CONT_SUP[[#This Row],[FundCode]])=TRUE,0,IF(COUNTIF(FUNDS[FundCode],CONT_SUP[[#This Row],[FundCode]])=1,0,1))</f>
        <v>0</v>
      </c>
      <c r="W41" s="57">
        <f>IF(LEN(CONT_SUP[[#This Row],[Notes]])&lt;4000,0,1)</f>
        <v>0</v>
      </c>
      <c r="X41" s="57">
        <f>IF(SUBSTITUTE(TEXT(CONT_SUP[[#This Row],[Reference]],10)," ","")=TEXT(CONT_SUP[[#This Row],[Reference]],10),0,1)</f>
        <v>0</v>
      </c>
      <c r="Y41" s="57">
        <f ca="1">SUM(CONT_SUP[[#This Row],[Duplicate Contract]:[Space in Code]])</f>
        <v>0</v>
      </c>
      <c r="AA41" s="12" t="s">
        <v>2089</v>
      </c>
      <c r="AB41" s="63">
        <v>91850008</v>
      </c>
      <c r="AC41" s="63" t="s">
        <v>4639</v>
      </c>
      <c r="AD41" s="57" t="str">
        <f>_xlfn.XLOOKUP(CONT_SUP[[#This Row],[StaffMemberCode]],StaffMembers!O:O,StaffMembers!R:R)</f>
        <v>Sharon Meadows</v>
      </c>
      <c r="AE41" s="12" t="s">
        <v>1563</v>
      </c>
      <c r="AF41" s="66">
        <f>_xlfn.XLOOKUP(CONT_SUP[[#This Row],[SRG]],SRG[StaffRoleGroupCode],SRG[GrossSalaryFinanceCode])</f>
        <v>625100</v>
      </c>
      <c r="AG41" s="57" t="str">
        <f>_xlfn.XLOOKUP(CONT_SUP[[#This Row],[StaffRoleCode]],ROLES[StaffRoleCode],ROLES[StaffRoleGroupCode])</f>
        <v>ADM</v>
      </c>
      <c r="AH41" s="57" t="str">
        <f>_xlfn.XLOOKUP(CONT_SUP[[#This Row],[StaffRoleCode]],ROLES[StaffRoleCode],ROLES[PayScaleCode])</f>
        <v>NJC_CHE</v>
      </c>
      <c r="AI41" s="12" t="s">
        <v>3122</v>
      </c>
      <c r="AJ41" s="12">
        <v>5</v>
      </c>
      <c r="AK41" s="12" t="s">
        <v>2483</v>
      </c>
      <c r="AM41" s="68" t="s">
        <v>3132</v>
      </c>
      <c r="AN41" s="12" t="s">
        <v>3134</v>
      </c>
      <c r="AO41" s="21">
        <v>45901</v>
      </c>
      <c r="AQ41" s="12">
        <v>35</v>
      </c>
      <c r="AR41" t="b">
        <v>0</v>
      </c>
      <c r="AS41" t="b">
        <v>0</v>
      </c>
      <c r="AT41" s="12" t="s">
        <v>1574</v>
      </c>
    </row>
    <row r="42" spans="1:46" x14ac:dyDescent="0.3">
      <c r="A42" s="57" t="str">
        <f t="shared" si="1"/>
        <v>ALS9132472391324723AREP_OFFSFIN45901</v>
      </c>
      <c r="B42" s="57">
        <f>COUNTIF(CONT_SUP[Unique Contract],CONT_SUP[[#This Row],[Unique Contract]])-1</f>
        <v>0</v>
      </c>
      <c r="C42" s="57">
        <f>IFERROR(IF(FIND(CONT_SUP[[#This Row],[SchoolCode]],_xlfn.XLOOKUP(CONT_SUP[[#This Row],[StaffMemberCode]],MEMBERS[StaffMemberCode],MEMBERS[SchoolCodes]))&gt;0,0,1),1)</f>
        <v>0</v>
      </c>
      <c r="D42" s="57" cm="1">
        <f t="array" ref="D42">IF(_xlfn.XLOOKUP(CONT_SUP[[#This Row],[StaffRoleCode]],ROLES[StaffRoleCode],ROLES[AvailableToAllSchools],1,0,)=TRUE,0,IF(ISERROR(FIND(CONT_SUP[[#This Row],[SchoolCode]],_xlfn.TEXTJOIN(",",TRUE,_xlfn.UNIQUE(IF(ROLES[StaffRoleCode]=CONT_SUP[[#This Row],[StaffRoleCode]],ROLES[SchoolCodes],""))))),1,0))</f>
        <v>0</v>
      </c>
      <c r="E42" s="66" cm="1">
        <f t="array" ref="E4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42" s="57" cm="1">
        <f t="array" ref="F42">IF(_xlfn.XLOOKUP(CONT_SUP[[#This Row],[PayScaleCode]],PAYSCALES[PayScaleCode],PAYSCALES[AvailableToAllSchools],1,0,)=TRUE,0,IF(ISERROR(FIND(CONT_SUP[[#This Row],[SchoolCode]],_xlfn.TEXTJOIN(",",TRUE,_xlfn.UNIQUE(IF(PAYSCALES[PayScaleCode]=CONT_SUP[[#This Row],[PayScaleCode]],PAYSCALES[SchoolCodes],""))))),1,0))</f>
        <v>0</v>
      </c>
      <c r="G42" s="57">
        <f>IF(_xlfn.XLOOKUP(CONT_SUP[[#This Row],[PayScaleGradeCode]],GRADES[PayScaleGradeCode],GRADES[AvailableToAllSchools])=TRUE,0,IFERROR(IF(FIND(CONT_SUP[[#This Row],[SchoolCode]],_xlfn.XLOOKUP(CONT_SUP[[#This Row],[PayScaleGradeCode]],GRADES[PayScaleGradeCode],GRADES[SchoolCodes]))&gt;=1,0,1),1))</f>
        <v>0</v>
      </c>
      <c r="H42" s="66">
        <f>IF(ISERROR(IF((_xlfn.XLOOKUP(CONT_SUP[[#This Row],[PayScaleGradeCode]],GRADES[PayScaleGradeCode],GRADES[PayScaleCode])=CONT_SUP[[#This Row],[PayScaleCode]]),0,1)),1,0)</f>
        <v>0</v>
      </c>
      <c r="I42" s="66" cm="1">
        <f t="array" ref="I42">IF(ISERROR(FIND(CONT_SUP[[#This Row],[PayScalePointCode]],_xlfn.TEXTJOIN(",",TRUE,IF(PSPOINTS[PayScaleCode]=CONT_SUP[[#This Row],[PayScaleCode]],PSPOINTS[PayScalePointCode])))),1,0)</f>
        <v>0</v>
      </c>
      <c r="J42" s="57" cm="1">
        <f t="array" ref="J4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42" s="66">
        <f>IF(_xlfn.XLOOKUP(CONT_SUP[[#This Row],[PayScalePointCode]],PSPOINTS[PayScalePointCode],PSPOINTS[PayScalePointEnabled])=TRUE,0,1)</f>
        <v>0</v>
      </c>
      <c r="L42" s="57" cm="1">
        <f t="array" ref="L42">IF(_xlfn.XLOOKUP(CONT_SUP[[#This Row],[DepartmentCode]],DEPTS[DepartmentCode],DEPTS[AvailableToAllSchools],1,0,)=TRUE,0,IF(ISERROR(FIND(CONT_SUP[[#This Row],[SchoolCode]],_xlfn.TEXTJOIN(",",TRUE,_xlfn.UNIQUE(IF(DEPTS[DepartmentCode]=CONT_SUP[[#This Row],[DepartmentCode]],DEPTS[SchoolCodes],""))))),1,0))</f>
        <v>0</v>
      </c>
      <c r="M42" s="57">
        <f>IFERROR(IF(_xlfn.XLOOKUP(CONT_SUP[[#This Row],[SRG Gross]],FinanceCodesBudget[FinanceCode],FinanceCodesBudget[LedgerCode])=_xlfn.XLOOKUP(CONT_SUP[[#This Row],[DepartmentCode]],DEPTS[DepartmentCode],DEPTS[LedgerCode]),0,1),1)</f>
        <v>0</v>
      </c>
      <c r="N42" s="66" cm="1">
        <f t="array" ref="N42">IF(_xlfn.XLOOKUP(CONT_SUP[[#This Row],[PensionCode]],PENS[PensionCode],PENS[AvailableToAllSchools],1,0,)=TRUE,0,IF(ISERROR(FIND(CONT_SUP[[#This Row],[SchoolCode]],_xlfn.TEXTJOIN(",",TRUE,_xlfn.UNIQUE(IF(PENS[PensionCode]=CONT_SUP[[#This Row],[PensionCode]],PENS[SchoolCodes],""))))),1,0))</f>
        <v>0</v>
      </c>
      <c r="O42" s="66" cm="1">
        <f t="array" ref="O42">IF(_xlfn.XLOOKUP(CONT_SUP[[#This Row],[EquatedWeekPatternCode]],EQW[EquatedWeekPatternCode],EQW[AvailableToAllSchools],1,0,)=TRUE,0,IF(ISERROR(FIND(CONT_SUP[[#This Row],[SchoolCode]],_xlfn.TEXTJOIN(",",TRUE,_xlfn.UNIQUE(IF(EQW[EquatedWeekPatternCode]=CONT_SUP[[#This Row],[EquatedWeekPatternCode]],EQW[SchoolCodes],""))))),1,0))</f>
        <v>0</v>
      </c>
      <c r="P42" s="57">
        <f>1-COUNTIF(ContractTypes[Code],CONT_SUP[[#This Row],[ContractTypeCode]])</f>
        <v>0</v>
      </c>
      <c r="Q42" s="57">
        <f>IF(VLOOKUP(CONT_SUP[[#This Row],[StaffMemberCode]],MEMBERS[[StaffMemberCode]:[ServiceStartDate]],5,0)&gt;CONT_SUP[[#This Row],[DateFrom]],1,0)</f>
        <v>0</v>
      </c>
      <c r="R42" s="57">
        <f>IF(_xlfn.XLOOKUP(CONT_SUP[[#This Row],[StaffMemberCode]],MEMBERS[StaffMemberCode],MEMBERS[ServiceEndDate])="",0,IF(CONT_SUP[[#This Row],[DateTo]]="",1,IF(_xlfn.XLOOKUP(CONT_SUP[[#This Row],[StaffMemberCode]],MEMBERS[StaffMemberCode],MEMBERS[ServiceEndDate])&lt;CONT_SUP[[#This Row],[DateTo]],1,0)))</f>
        <v>0</v>
      </c>
      <c r="S42" s="57">
        <f>IF(ISBLANK(CONT_SUP[[#This Row],[DateTo]]),0,IF(CONT_SUP[[#This Row],[DateFrom]]=CONT_SUP[[#This Row],[DateTo]],0,IF(CONT_SUP[[#This Row],[DateFrom]]&lt;CONT_SUP[[#This Row],[DateTo]],0,1)))</f>
        <v>0</v>
      </c>
      <c r="T42" s="57" cm="1">
        <f t="array" aca="1" ref="T42" ca="1">IF(CELL("format",CONT_SUP[[#This Row],[DateFrom]])="D1",0,1)+IF(CELL("format",CONT_SUP[[#This Row],[DateTo]])="D1",0,1)</f>
        <v>0</v>
      </c>
      <c r="U42" s="57">
        <f>IF(OR(CONT_SUP[[#This Row],[MatEditOnly]]=TRUE,CONT_SUP[[#This Row],[MatEditOnly]]=FALSE),IF(OR(CONT_SUP[[#This Row],[NoIncrement]]=TRUE,CONT_SUP[[#This Row],[NoIncrement]]=FALSE),0,1),1)</f>
        <v>0</v>
      </c>
      <c r="V42" s="57">
        <f>IF(ISBLANK(CONT_SUP[[#This Row],[FundCode]])=TRUE,0,IF(COUNTIF(FUNDS[FundCode],CONT_SUP[[#This Row],[FundCode]])=1,0,1))</f>
        <v>0</v>
      </c>
      <c r="W42" s="57">
        <f>IF(LEN(CONT_SUP[[#This Row],[Notes]])&lt;4000,0,1)</f>
        <v>0</v>
      </c>
      <c r="X42" s="57">
        <f>IF(SUBSTITUTE(TEXT(CONT_SUP[[#This Row],[Reference]],10)," ","")=TEXT(CONT_SUP[[#This Row],[Reference]],10),0,1)</f>
        <v>0</v>
      </c>
      <c r="Y42" s="57">
        <f ca="1">SUM(CONT_SUP[[#This Row],[Duplicate Contract]:[Space in Code]])</f>
        <v>0</v>
      </c>
      <c r="AA42" s="12" t="s">
        <v>2082</v>
      </c>
      <c r="AB42" s="63">
        <v>91324723</v>
      </c>
      <c r="AC42" s="63" t="s">
        <v>4640</v>
      </c>
      <c r="AD42" s="57" t="str">
        <f>_xlfn.XLOOKUP(CONT_SUP[[#This Row],[StaffMemberCode]],StaffMembers!O:O,StaffMembers!R:R)</f>
        <v>Elaine Abbott</v>
      </c>
      <c r="AE42" s="12" t="s">
        <v>4265</v>
      </c>
      <c r="AF42" s="66">
        <f>_xlfn.XLOOKUP(CONT_SUP[[#This Row],[SRG]],SRG[StaffRoleGroupCode],SRG[GrossSalaryFinanceCode])</f>
        <v>625100</v>
      </c>
      <c r="AG42" s="57" t="str">
        <f>_xlfn.XLOOKUP(CONT_SUP[[#This Row],[StaffRoleCode]],ROLES[StaffRoleCode],ROLES[StaffRoleGroupCode])</f>
        <v>ADM</v>
      </c>
      <c r="AH42" s="57" t="str">
        <f>_xlfn.XLOOKUP(CONT_SUP[[#This Row],[StaffRoleCode]],ROLES[StaffRoleCode],ROLES[PayScaleCode])</f>
        <v>NJC_CHE</v>
      </c>
      <c r="AI42" s="12" t="s">
        <v>3121</v>
      </c>
      <c r="AJ42" s="12">
        <v>4</v>
      </c>
      <c r="AK42" s="12" t="s">
        <v>2483</v>
      </c>
      <c r="AM42" s="68" t="s">
        <v>3132</v>
      </c>
      <c r="AN42" s="12" t="s">
        <v>3135</v>
      </c>
      <c r="AO42" s="21">
        <v>45901</v>
      </c>
      <c r="AQ42" s="12">
        <v>18</v>
      </c>
      <c r="AR42" t="b">
        <v>0</v>
      </c>
      <c r="AS42" t="b">
        <v>0</v>
      </c>
      <c r="AT42" s="12" t="s">
        <v>1574</v>
      </c>
    </row>
    <row r="43" spans="1:46" x14ac:dyDescent="0.3">
      <c r="A43" s="57" t="str">
        <f t="shared" si="1"/>
        <v>BLS9107353791073537AREP_OFFSFIN45901</v>
      </c>
      <c r="B43" s="57">
        <f>COUNTIF(CONT_SUP[Unique Contract],CONT_SUP[[#This Row],[Unique Contract]])-1</f>
        <v>0</v>
      </c>
      <c r="C43" s="57">
        <f>IFERROR(IF(FIND(CONT_SUP[[#This Row],[SchoolCode]],_xlfn.XLOOKUP(CONT_SUP[[#This Row],[StaffMemberCode]],MEMBERS[StaffMemberCode],MEMBERS[SchoolCodes]))&gt;0,0,1),1)</f>
        <v>0</v>
      </c>
      <c r="D43" s="57" cm="1">
        <f t="array" ref="D43">IF(_xlfn.XLOOKUP(CONT_SUP[[#This Row],[StaffRoleCode]],ROLES[StaffRoleCode],ROLES[AvailableToAllSchools],1,0,)=TRUE,0,IF(ISERROR(FIND(CONT_SUP[[#This Row],[SchoolCode]],_xlfn.TEXTJOIN(",",TRUE,_xlfn.UNIQUE(IF(ROLES[StaffRoleCode]=CONT_SUP[[#This Row],[StaffRoleCode]],ROLES[SchoolCodes],""))))),1,0))</f>
        <v>0</v>
      </c>
      <c r="E43" s="66" cm="1">
        <f t="array" ref="E4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43" s="57" cm="1">
        <f t="array" ref="F43">IF(_xlfn.XLOOKUP(CONT_SUP[[#This Row],[PayScaleCode]],PAYSCALES[PayScaleCode],PAYSCALES[AvailableToAllSchools],1,0,)=TRUE,0,IF(ISERROR(FIND(CONT_SUP[[#This Row],[SchoolCode]],_xlfn.TEXTJOIN(",",TRUE,_xlfn.UNIQUE(IF(PAYSCALES[PayScaleCode]=CONT_SUP[[#This Row],[PayScaleCode]],PAYSCALES[SchoolCodes],""))))),1,0))</f>
        <v>0</v>
      </c>
      <c r="G43" s="57">
        <f>IF(_xlfn.XLOOKUP(CONT_SUP[[#This Row],[PayScaleGradeCode]],GRADES[PayScaleGradeCode],GRADES[AvailableToAllSchools])=TRUE,0,IFERROR(IF(FIND(CONT_SUP[[#This Row],[SchoolCode]],_xlfn.XLOOKUP(CONT_SUP[[#This Row],[PayScaleGradeCode]],GRADES[PayScaleGradeCode],GRADES[SchoolCodes]))&gt;=1,0,1),1))</f>
        <v>0</v>
      </c>
      <c r="H43" s="66">
        <f>IF(ISERROR(IF((_xlfn.XLOOKUP(CONT_SUP[[#This Row],[PayScaleGradeCode]],GRADES[PayScaleGradeCode],GRADES[PayScaleCode])=CONT_SUP[[#This Row],[PayScaleCode]]),0,1)),1,0)</f>
        <v>0</v>
      </c>
      <c r="I43" s="66" cm="1">
        <f t="array" ref="I43">IF(ISERROR(FIND(CONT_SUP[[#This Row],[PayScalePointCode]],_xlfn.TEXTJOIN(",",TRUE,IF(PSPOINTS[PayScaleCode]=CONT_SUP[[#This Row],[PayScaleCode]],PSPOINTS[PayScalePointCode])))),1,0)</f>
        <v>0</v>
      </c>
      <c r="J43" s="57" cm="1">
        <f t="array" ref="J4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43" s="66">
        <f>IF(_xlfn.XLOOKUP(CONT_SUP[[#This Row],[PayScalePointCode]],PSPOINTS[PayScalePointCode],PSPOINTS[PayScalePointEnabled])=TRUE,0,1)</f>
        <v>0</v>
      </c>
      <c r="L43" s="57" cm="1">
        <f t="array" ref="L43">IF(_xlfn.XLOOKUP(CONT_SUP[[#This Row],[DepartmentCode]],DEPTS[DepartmentCode],DEPTS[AvailableToAllSchools],1,0,)=TRUE,0,IF(ISERROR(FIND(CONT_SUP[[#This Row],[SchoolCode]],_xlfn.TEXTJOIN(",",TRUE,_xlfn.UNIQUE(IF(DEPTS[DepartmentCode]=CONT_SUP[[#This Row],[DepartmentCode]],DEPTS[SchoolCodes],""))))),1,0))</f>
        <v>0</v>
      </c>
      <c r="M43" s="57">
        <f>IFERROR(IF(_xlfn.XLOOKUP(CONT_SUP[[#This Row],[SRG Gross]],FinanceCodesBudget[FinanceCode],FinanceCodesBudget[LedgerCode])=_xlfn.XLOOKUP(CONT_SUP[[#This Row],[DepartmentCode]],DEPTS[DepartmentCode],DEPTS[LedgerCode]),0,1),1)</f>
        <v>0</v>
      </c>
      <c r="N43" s="66" cm="1">
        <f t="array" ref="N43">IF(_xlfn.XLOOKUP(CONT_SUP[[#This Row],[PensionCode]],PENS[PensionCode],PENS[AvailableToAllSchools],1,0,)=TRUE,0,IF(ISERROR(FIND(CONT_SUP[[#This Row],[SchoolCode]],_xlfn.TEXTJOIN(",",TRUE,_xlfn.UNIQUE(IF(PENS[PensionCode]=CONT_SUP[[#This Row],[PensionCode]],PENS[SchoolCodes],""))))),1,0))</f>
        <v>0</v>
      </c>
      <c r="O43" s="66" cm="1">
        <f t="array" ref="O43">IF(_xlfn.XLOOKUP(CONT_SUP[[#This Row],[EquatedWeekPatternCode]],EQW[EquatedWeekPatternCode],EQW[AvailableToAllSchools],1,0,)=TRUE,0,IF(ISERROR(FIND(CONT_SUP[[#This Row],[SchoolCode]],_xlfn.TEXTJOIN(",",TRUE,_xlfn.UNIQUE(IF(EQW[EquatedWeekPatternCode]=CONT_SUP[[#This Row],[EquatedWeekPatternCode]],EQW[SchoolCodes],""))))),1,0))</f>
        <v>0</v>
      </c>
      <c r="P43" s="57">
        <f>1-COUNTIF(ContractTypes[Code],CONT_SUP[[#This Row],[ContractTypeCode]])</f>
        <v>0</v>
      </c>
      <c r="Q43" s="57">
        <f>IF(VLOOKUP(CONT_SUP[[#This Row],[StaffMemberCode]],MEMBERS[[StaffMemberCode]:[ServiceStartDate]],5,0)&gt;CONT_SUP[[#This Row],[DateFrom]],1,0)</f>
        <v>0</v>
      </c>
      <c r="R43" s="57">
        <f>IF(_xlfn.XLOOKUP(CONT_SUP[[#This Row],[StaffMemberCode]],MEMBERS[StaffMemberCode],MEMBERS[ServiceEndDate])="",0,IF(CONT_SUP[[#This Row],[DateTo]]="",1,IF(_xlfn.XLOOKUP(CONT_SUP[[#This Row],[StaffMemberCode]],MEMBERS[StaffMemberCode],MEMBERS[ServiceEndDate])&lt;CONT_SUP[[#This Row],[DateTo]],1,0)))</f>
        <v>0</v>
      </c>
      <c r="S43" s="57">
        <f>IF(ISBLANK(CONT_SUP[[#This Row],[DateTo]]),0,IF(CONT_SUP[[#This Row],[DateFrom]]=CONT_SUP[[#This Row],[DateTo]],0,IF(CONT_SUP[[#This Row],[DateFrom]]&lt;CONT_SUP[[#This Row],[DateTo]],0,1)))</f>
        <v>0</v>
      </c>
      <c r="T43" s="57" cm="1">
        <f t="array" aca="1" ref="T43" ca="1">IF(CELL("format",CONT_SUP[[#This Row],[DateFrom]])="D1",0,1)+IF(CELL("format",CONT_SUP[[#This Row],[DateTo]])="D1",0,1)</f>
        <v>0</v>
      </c>
      <c r="U43" s="57">
        <f>IF(OR(CONT_SUP[[#This Row],[MatEditOnly]]=TRUE,CONT_SUP[[#This Row],[MatEditOnly]]=FALSE),IF(OR(CONT_SUP[[#This Row],[NoIncrement]]=TRUE,CONT_SUP[[#This Row],[NoIncrement]]=FALSE),0,1),1)</f>
        <v>0</v>
      </c>
      <c r="V43" s="57">
        <f>IF(ISBLANK(CONT_SUP[[#This Row],[FundCode]])=TRUE,0,IF(COUNTIF(FUNDS[FundCode],CONT_SUP[[#This Row],[FundCode]])=1,0,1))</f>
        <v>0</v>
      </c>
      <c r="W43" s="57">
        <f>IF(LEN(CONT_SUP[[#This Row],[Notes]])&lt;4000,0,1)</f>
        <v>0</v>
      </c>
      <c r="X43" s="57">
        <f>IF(SUBSTITUTE(TEXT(CONT_SUP[[#This Row],[Reference]],10)," ","")=TEXT(CONT_SUP[[#This Row],[Reference]],10),0,1)</f>
        <v>0</v>
      </c>
      <c r="Y43" s="57">
        <f ca="1">SUM(CONT_SUP[[#This Row],[Duplicate Contract]:[Space in Code]])</f>
        <v>0</v>
      </c>
      <c r="AA43" s="12" t="s">
        <v>2094</v>
      </c>
      <c r="AB43" s="63">
        <v>91073537</v>
      </c>
      <c r="AC43" s="63" t="s">
        <v>4641</v>
      </c>
      <c r="AD43" s="57" t="str">
        <f>_xlfn.XLOOKUP(CONT_SUP[[#This Row],[StaffMemberCode]],StaffMembers!O:O,StaffMembers!R:R)</f>
        <v>Michaela Waring</v>
      </c>
      <c r="AE43" s="12" t="s">
        <v>4265</v>
      </c>
      <c r="AF43" s="66">
        <f>_xlfn.XLOOKUP(CONT_SUP[[#This Row],[SRG]],SRG[StaffRoleGroupCode],SRG[GrossSalaryFinanceCode])</f>
        <v>625100</v>
      </c>
      <c r="AG43" s="57" t="str">
        <f>_xlfn.XLOOKUP(CONT_SUP[[#This Row],[StaffRoleCode]],ROLES[StaffRoleCode],ROLES[StaffRoleGroupCode])</f>
        <v>ADM</v>
      </c>
      <c r="AH43" s="57" t="str">
        <f>_xlfn.XLOOKUP(CONT_SUP[[#This Row],[StaffRoleCode]],ROLES[StaffRoleCode],ROLES[PayScaleCode])</f>
        <v>NJC_CHE</v>
      </c>
      <c r="AI43" s="12" t="s">
        <v>3121</v>
      </c>
      <c r="AJ43" s="12">
        <v>4</v>
      </c>
      <c r="AK43" s="12" t="s">
        <v>2483</v>
      </c>
      <c r="AM43" s="68" t="s">
        <v>3132</v>
      </c>
      <c r="AN43" s="12" t="s">
        <v>3135</v>
      </c>
      <c r="AO43" s="21">
        <v>45901</v>
      </c>
      <c r="AQ43" s="12">
        <v>32.5</v>
      </c>
      <c r="AR43" t="b">
        <v>0</v>
      </c>
      <c r="AS43" t="b">
        <v>0</v>
      </c>
      <c r="AT43" s="12" t="s">
        <v>1574</v>
      </c>
    </row>
    <row r="44" spans="1:46" x14ac:dyDescent="0.3">
      <c r="A44" s="57" t="str">
        <f t="shared" si="1"/>
        <v>WVP9107340991073409ASBMSFIN45901</v>
      </c>
      <c r="B44" s="57">
        <f>COUNTIF(CONT_SUP[Unique Contract],CONT_SUP[[#This Row],[Unique Contract]])-1</f>
        <v>0</v>
      </c>
      <c r="C44" s="57">
        <f>IFERROR(IF(FIND(CONT_SUP[[#This Row],[SchoolCode]],_xlfn.XLOOKUP(CONT_SUP[[#This Row],[StaffMemberCode]],MEMBERS[StaffMemberCode],MEMBERS[SchoolCodes]))&gt;0,0,1),1)</f>
        <v>0</v>
      </c>
      <c r="D44" s="57" cm="1">
        <f t="array" ref="D44">IF(_xlfn.XLOOKUP(CONT_SUP[[#This Row],[StaffRoleCode]],ROLES[StaffRoleCode],ROLES[AvailableToAllSchools],1,0,)=TRUE,0,IF(ISERROR(FIND(CONT_SUP[[#This Row],[SchoolCode]],_xlfn.TEXTJOIN(",",TRUE,_xlfn.UNIQUE(IF(ROLES[StaffRoleCode]=CONT_SUP[[#This Row],[StaffRoleCode]],ROLES[SchoolCodes],""))))),1,0))</f>
        <v>0</v>
      </c>
      <c r="E44" s="66" cm="1">
        <f t="array" ref="E4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44" s="57" cm="1">
        <f t="array" ref="F44">IF(_xlfn.XLOOKUP(CONT_SUP[[#This Row],[PayScaleCode]],PAYSCALES[PayScaleCode],PAYSCALES[AvailableToAllSchools],1,0,)=TRUE,0,IF(ISERROR(FIND(CONT_SUP[[#This Row],[SchoolCode]],_xlfn.TEXTJOIN(",",TRUE,_xlfn.UNIQUE(IF(PAYSCALES[PayScaleCode]=CONT_SUP[[#This Row],[PayScaleCode]],PAYSCALES[SchoolCodes],""))))),1,0))</f>
        <v>0</v>
      </c>
      <c r="G44" s="57">
        <f>IF(_xlfn.XLOOKUP(CONT_SUP[[#This Row],[PayScaleGradeCode]],GRADES[PayScaleGradeCode],GRADES[AvailableToAllSchools])=TRUE,0,IFERROR(IF(FIND(CONT_SUP[[#This Row],[SchoolCode]],_xlfn.XLOOKUP(CONT_SUP[[#This Row],[PayScaleGradeCode]],GRADES[PayScaleGradeCode],GRADES[SchoolCodes]))&gt;=1,0,1),1))</f>
        <v>0</v>
      </c>
      <c r="H44" s="66">
        <f>IF(ISERROR(IF((_xlfn.XLOOKUP(CONT_SUP[[#This Row],[PayScaleGradeCode]],GRADES[PayScaleGradeCode],GRADES[PayScaleCode])=CONT_SUP[[#This Row],[PayScaleCode]]),0,1)),1,0)</f>
        <v>0</v>
      </c>
      <c r="I44" s="66" cm="1">
        <f t="array" ref="I44">IF(ISERROR(FIND(CONT_SUP[[#This Row],[PayScalePointCode]],_xlfn.TEXTJOIN(",",TRUE,IF(PSPOINTS[PayScaleCode]=CONT_SUP[[#This Row],[PayScaleCode]],PSPOINTS[PayScalePointCode])))),1,0)</f>
        <v>0</v>
      </c>
      <c r="J44" s="57" cm="1">
        <f t="array" ref="J4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44" s="66">
        <f>IF(_xlfn.XLOOKUP(CONT_SUP[[#This Row],[PayScalePointCode]],PSPOINTS[PayScalePointCode],PSPOINTS[PayScalePointEnabled])=TRUE,0,1)</f>
        <v>0</v>
      </c>
      <c r="L44" s="57" cm="1">
        <f t="array" ref="L44">IF(_xlfn.XLOOKUP(CONT_SUP[[#This Row],[DepartmentCode]],DEPTS[DepartmentCode],DEPTS[AvailableToAllSchools],1,0,)=TRUE,0,IF(ISERROR(FIND(CONT_SUP[[#This Row],[SchoolCode]],_xlfn.TEXTJOIN(",",TRUE,_xlfn.UNIQUE(IF(DEPTS[DepartmentCode]=CONT_SUP[[#This Row],[DepartmentCode]],DEPTS[SchoolCodes],""))))),1,0))</f>
        <v>0</v>
      </c>
      <c r="M44" s="57">
        <f>IFERROR(IF(_xlfn.XLOOKUP(CONT_SUP[[#This Row],[SRG Gross]],FinanceCodesBudget[FinanceCode],FinanceCodesBudget[LedgerCode])=_xlfn.XLOOKUP(CONT_SUP[[#This Row],[DepartmentCode]],DEPTS[DepartmentCode],DEPTS[LedgerCode]),0,1),1)</f>
        <v>0</v>
      </c>
      <c r="N44" s="66" cm="1">
        <f t="array" ref="N44">IF(_xlfn.XLOOKUP(CONT_SUP[[#This Row],[PensionCode]],PENS[PensionCode],PENS[AvailableToAllSchools],1,0,)=TRUE,0,IF(ISERROR(FIND(CONT_SUP[[#This Row],[SchoolCode]],_xlfn.TEXTJOIN(",",TRUE,_xlfn.UNIQUE(IF(PENS[PensionCode]=CONT_SUP[[#This Row],[PensionCode]],PENS[SchoolCodes],""))))),1,0))</f>
        <v>0</v>
      </c>
      <c r="O44" s="66" cm="1">
        <f t="array" ref="O44">IF(_xlfn.XLOOKUP(CONT_SUP[[#This Row],[EquatedWeekPatternCode]],EQW[EquatedWeekPatternCode],EQW[AvailableToAllSchools],1,0,)=TRUE,0,IF(ISERROR(FIND(CONT_SUP[[#This Row],[SchoolCode]],_xlfn.TEXTJOIN(",",TRUE,_xlfn.UNIQUE(IF(EQW[EquatedWeekPatternCode]=CONT_SUP[[#This Row],[EquatedWeekPatternCode]],EQW[SchoolCodes],""))))),1,0))</f>
        <v>0</v>
      </c>
      <c r="P44" s="57">
        <f>1-COUNTIF(ContractTypes[Code],CONT_SUP[[#This Row],[ContractTypeCode]])</f>
        <v>0</v>
      </c>
      <c r="Q44" s="57">
        <f>IF(VLOOKUP(CONT_SUP[[#This Row],[StaffMemberCode]],MEMBERS[[StaffMemberCode]:[ServiceStartDate]],5,0)&gt;CONT_SUP[[#This Row],[DateFrom]],1,0)</f>
        <v>0</v>
      </c>
      <c r="R44" s="57">
        <f>IF(_xlfn.XLOOKUP(CONT_SUP[[#This Row],[StaffMemberCode]],MEMBERS[StaffMemberCode],MEMBERS[ServiceEndDate])="",0,IF(CONT_SUP[[#This Row],[DateTo]]="",1,IF(_xlfn.XLOOKUP(CONT_SUP[[#This Row],[StaffMemberCode]],MEMBERS[StaffMemberCode],MEMBERS[ServiceEndDate])&lt;CONT_SUP[[#This Row],[DateTo]],1,0)))</f>
        <v>0</v>
      </c>
      <c r="S44" s="57">
        <f>IF(ISBLANK(CONT_SUP[[#This Row],[DateTo]]),0,IF(CONT_SUP[[#This Row],[DateFrom]]=CONT_SUP[[#This Row],[DateTo]],0,IF(CONT_SUP[[#This Row],[DateFrom]]&lt;CONT_SUP[[#This Row],[DateTo]],0,1)))</f>
        <v>0</v>
      </c>
      <c r="T44" s="57" cm="1">
        <f t="array" aca="1" ref="T44" ca="1">IF(CELL("format",CONT_SUP[[#This Row],[DateFrom]])="D1",0,1)+IF(CELL("format",CONT_SUP[[#This Row],[DateTo]])="D1",0,1)</f>
        <v>0</v>
      </c>
      <c r="U44" s="57">
        <f>IF(OR(CONT_SUP[[#This Row],[MatEditOnly]]=TRUE,CONT_SUP[[#This Row],[MatEditOnly]]=FALSE),IF(OR(CONT_SUP[[#This Row],[NoIncrement]]=TRUE,CONT_SUP[[#This Row],[NoIncrement]]=FALSE),0,1),1)</f>
        <v>0</v>
      </c>
      <c r="V44" s="57">
        <f>IF(ISBLANK(CONT_SUP[[#This Row],[FundCode]])=TRUE,0,IF(COUNTIF(FUNDS[FundCode],CONT_SUP[[#This Row],[FundCode]])=1,0,1))</f>
        <v>0</v>
      </c>
      <c r="W44" s="57">
        <f>IF(LEN(CONT_SUP[[#This Row],[Notes]])&lt;4000,0,1)</f>
        <v>0</v>
      </c>
      <c r="X44" s="57">
        <f>IF(SUBSTITUTE(TEXT(CONT_SUP[[#This Row],[Reference]],10)," ","")=TEXT(CONT_SUP[[#This Row],[Reference]],10),0,1)</f>
        <v>0</v>
      </c>
      <c r="Y44" s="57">
        <f ca="1">SUM(CONT_SUP[[#This Row],[Duplicate Contract]:[Space in Code]])</f>
        <v>0</v>
      </c>
      <c r="AA44" s="12" t="s">
        <v>2275</v>
      </c>
      <c r="AB44" s="63">
        <v>91073409</v>
      </c>
      <c r="AC44" s="63" t="s">
        <v>4642</v>
      </c>
      <c r="AD44" s="57" t="str">
        <f>_xlfn.XLOOKUP(CONT_SUP[[#This Row],[StaffMemberCode]],StaffMembers!O:O,StaffMembers!R:R)</f>
        <v>Audrey Machin</v>
      </c>
      <c r="AE44" s="12" t="s">
        <v>1559</v>
      </c>
      <c r="AF44" s="66">
        <f>_xlfn.XLOOKUP(CONT_SUP[[#This Row],[SRG]],SRG[StaffRoleGroupCode],SRG[GrossSalaryFinanceCode])</f>
        <v>625100</v>
      </c>
      <c r="AG44" s="57" t="str">
        <f>_xlfn.XLOOKUP(CONT_SUP[[#This Row],[StaffRoleCode]],ROLES[StaffRoleCode],ROLES[StaffRoleGroupCode])</f>
        <v>ADM</v>
      </c>
      <c r="AH44" s="57" t="str">
        <f>_xlfn.XLOOKUP(CONT_SUP[[#This Row],[StaffRoleCode]],ROLES[StaffRoleCode],ROLES[PayScaleCode])</f>
        <v>NJC_CHE</v>
      </c>
      <c r="AI44" s="12" t="s">
        <v>3126</v>
      </c>
      <c r="AJ44" s="12">
        <v>28</v>
      </c>
      <c r="AK44" s="12" t="s">
        <v>2483</v>
      </c>
      <c r="AM44" s="68" t="s">
        <v>3132</v>
      </c>
      <c r="AN44" s="12" t="s">
        <v>3139</v>
      </c>
      <c r="AO44" s="21">
        <v>45901</v>
      </c>
      <c r="AQ44" s="12">
        <v>37</v>
      </c>
      <c r="AR44" t="b">
        <v>0</v>
      </c>
      <c r="AS44" t="b">
        <v>0</v>
      </c>
      <c r="AT44" s="12" t="s">
        <v>1574</v>
      </c>
    </row>
    <row r="45" spans="1:46" x14ac:dyDescent="0.3">
      <c r="A45" s="57" t="str">
        <f t="shared" si="1"/>
        <v>SBL9107576391075763ASBMSFIN45901</v>
      </c>
      <c r="B45" s="57">
        <f>COUNTIF(CONT_SUP[Unique Contract],CONT_SUP[[#This Row],[Unique Contract]])-1</f>
        <v>0</v>
      </c>
      <c r="C45" s="57">
        <f>IFERROR(IF(FIND(CONT_SUP[[#This Row],[SchoolCode]],_xlfn.XLOOKUP(CONT_SUP[[#This Row],[StaffMemberCode]],MEMBERS[StaffMemberCode],MEMBERS[SchoolCodes]))&gt;0,0,1),1)</f>
        <v>0</v>
      </c>
      <c r="D45" s="57" cm="1">
        <f t="array" ref="D45">IF(_xlfn.XLOOKUP(CONT_SUP[[#This Row],[StaffRoleCode]],ROLES[StaffRoleCode],ROLES[AvailableToAllSchools],1,0,)=TRUE,0,IF(ISERROR(FIND(CONT_SUP[[#This Row],[SchoolCode]],_xlfn.TEXTJOIN(",",TRUE,_xlfn.UNIQUE(IF(ROLES[StaffRoleCode]=CONT_SUP[[#This Row],[StaffRoleCode]],ROLES[SchoolCodes],""))))),1,0))</f>
        <v>0</v>
      </c>
      <c r="E45" s="66" cm="1">
        <f t="array" ref="E4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45" s="57" cm="1">
        <f t="array" ref="F45">IF(_xlfn.XLOOKUP(CONT_SUP[[#This Row],[PayScaleCode]],PAYSCALES[PayScaleCode],PAYSCALES[AvailableToAllSchools],1,0,)=TRUE,0,IF(ISERROR(FIND(CONT_SUP[[#This Row],[SchoolCode]],_xlfn.TEXTJOIN(",",TRUE,_xlfn.UNIQUE(IF(PAYSCALES[PayScaleCode]=CONT_SUP[[#This Row],[PayScaleCode]],PAYSCALES[SchoolCodes],""))))),1,0))</f>
        <v>0</v>
      </c>
      <c r="G45" s="57">
        <f>IF(_xlfn.XLOOKUP(CONT_SUP[[#This Row],[PayScaleGradeCode]],GRADES[PayScaleGradeCode],GRADES[AvailableToAllSchools])=TRUE,0,IFERROR(IF(FIND(CONT_SUP[[#This Row],[SchoolCode]],_xlfn.XLOOKUP(CONT_SUP[[#This Row],[PayScaleGradeCode]],GRADES[PayScaleGradeCode],GRADES[SchoolCodes]))&gt;=1,0,1),1))</f>
        <v>0</v>
      </c>
      <c r="H45" s="66">
        <f>IF(ISERROR(IF((_xlfn.XLOOKUP(CONT_SUP[[#This Row],[PayScaleGradeCode]],GRADES[PayScaleGradeCode],GRADES[PayScaleCode])=CONT_SUP[[#This Row],[PayScaleCode]]),0,1)),1,0)</f>
        <v>0</v>
      </c>
      <c r="I45" s="66" cm="1">
        <f t="array" ref="I45">IF(ISERROR(FIND(CONT_SUP[[#This Row],[PayScalePointCode]],_xlfn.TEXTJOIN(",",TRUE,IF(PSPOINTS[PayScaleCode]=CONT_SUP[[#This Row],[PayScaleCode]],PSPOINTS[PayScalePointCode])))),1,0)</f>
        <v>0</v>
      </c>
      <c r="J45" s="57" cm="1">
        <f t="array" ref="J4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45" s="66">
        <f>IF(_xlfn.XLOOKUP(CONT_SUP[[#This Row],[PayScalePointCode]],PSPOINTS[PayScalePointCode],PSPOINTS[PayScalePointEnabled])=TRUE,0,1)</f>
        <v>0</v>
      </c>
      <c r="L45" s="57" cm="1">
        <f t="array" ref="L45">IF(_xlfn.XLOOKUP(CONT_SUP[[#This Row],[DepartmentCode]],DEPTS[DepartmentCode],DEPTS[AvailableToAllSchools],1,0,)=TRUE,0,IF(ISERROR(FIND(CONT_SUP[[#This Row],[SchoolCode]],_xlfn.TEXTJOIN(",",TRUE,_xlfn.UNIQUE(IF(DEPTS[DepartmentCode]=CONT_SUP[[#This Row],[DepartmentCode]],DEPTS[SchoolCodes],""))))),1,0))</f>
        <v>0</v>
      </c>
      <c r="M45" s="57">
        <f>IFERROR(IF(_xlfn.XLOOKUP(CONT_SUP[[#This Row],[SRG Gross]],FinanceCodesBudget[FinanceCode],FinanceCodesBudget[LedgerCode])=_xlfn.XLOOKUP(CONT_SUP[[#This Row],[DepartmentCode]],DEPTS[DepartmentCode],DEPTS[LedgerCode]),0,1),1)</f>
        <v>0</v>
      </c>
      <c r="N45" s="66" cm="1">
        <f t="array" ref="N45">IF(_xlfn.XLOOKUP(CONT_SUP[[#This Row],[PensionCode]],PENS[PensionCode],PENS[AvailableToAllSchools],1,0,)=TRUE,0,IF(ISERROR(FIND(CONT_SUP[[#This Row],[SchoolCode]],_xlfn.TEXTJOIN(",",TRUE,_xlfn.UNIQUE(IF(PENS[PensionCode]=CONT_SUP[[#This Row],[PensionCode]],PENS[SchoolCodes],""))))),1,0))</f>
        <v>0</v>
      </c>
      <c r="O45" s="66" cm="1">
        <f t="array" ref="O45">IF(_xlfn.XLOOKUP(CONT_SUP[[#This Row],[EquatedWeekPatternCode]],EQW[EquatedWeekPatternCode],EQW[AvailableToAllSchools],1,0,)=TRUE,0,IF(ISERROR(FIND(CONT_SUP[[#This Row],[SchoolCode]],_xlfn.TEXTJOIN(",",TRUE,_xlfn.UNIQUE(IF(EQW[EquatedWeekPatternCode]=CONT_SUP[[#This Row],[EquatedWeekPatternCode]],EQW[SchoolCodes],""))))),1,0))</f>
        <v>0</v>
      </c>
      <c r="P45" s="57">
        <f>1-COUNTIF(ContractTypes[Code],CONT_SUP[[#This Row],[ContractTypeCode]])</f>
        <v>0</v>
      </c>
      <c r="Q45" s="57">
        <f>IF(VLOOKUP(CONT_SUP[[#This Row],[StaffMemberCode]],MEMBERS[[StaffMemberCode]:[ServiceStartDate]],5,0)&gt;CONT_SUP[[#This Row],[DateFrom]],1,0)</f>
        <v>0</v>
      </c>
      <c r="R45" s="57">
        <f>IF(_xlfn.XLOOKUP(CONT_SUP[[#This Row],[StaffMemberCode]],MEMBERS[StaffMemberCode],MEMBERS[ServiceEndDate])="",0,IF(CONT_SUP[[#This Row],[DateTo]]="",1,IF(_xlfn.XLOOKUP(CONT_SUP[[#This Row],[StaffMemberCode]],MEMBERS[StaffMemberCode],MEMBERS[ServiceEndDate])&lt;CONT_SUP[[#This Row],[DateTo]],1,0)))</f>
        <v>0</v>
      </c>
      <c r="S45" s="57">
        <f>IF(ISBLANK(CONT_SUP[[#This Row],[DateTo]]),0,IF(CONT_SUP[[#This Row],[DateFrom]]=CONT_SUP[[#This Row],[DateTo]],0,IF(CONT_SUP[[#This Row],[DateFrom]]&lt;CONT_SUP[[#This Row],[DateTo]],0,1)))</f>
        <v>0</v>
      </c>
      <c r="T45" s="57" cm="1">
        <f t="array" aca="1" ref="T45" ca="1">IF(CELL("format",CONT_SUP[[#This Row],[DateFrom]])="D1",0,1)+IF(CELL("format",CONT_SUP[[#This Row],[DateTo]])="D1",0,1)</f>
        <v>0</v>
      </c>
      <c r="U45" s="57">
        <f>IF(OR(CONT_SUP[[#This Row],[MatEditOnly]]=TRUE,CONT_SUP[[#This Row],[MatEditOnly]]=FALSE),IF(OR(CONT_SUP[[#This Row],[NoIncrement]]=TRUE,CONT_SUP[[#This Row],[NoIncrement]]=FALSE),0,1),1)</f>
        <v>0</v>
      </c>
      <c r="V45" s="57">
        <f>IF(ISBLANK(CONT_SUP[[#This Row],[FundCode]])=TRUE,0,IF(COUNTIF(FUNDS[FundCode],CONT_SUP[[#This Row],[FundCode]])=1,0,1))</f>
        <v>0</v>
      </c>
      <c r="W45" s="57">
        <f>IF(LEN(CONT_SUP[[#This Row],[Notes]])&lt;4000,0,1)</f>
        <v>0</v>
      </c>
      <c r="X45" s="57">
        <f>IF(SUBSTITUTE(TEXT(CONT_SUP[[#This Row],[Reference]],10)," ","")=TEXT(CONT_SUP[[#This Row],[Reference]],10),0,1)</f>
        <v>0</v>
      </c>
      <c r="Y45" s="57">
        <f ca="1">SUM(CONT_SUP[[#This Row],[Duplicate Contract]:[Space in Code]])</f>
        <v>0</v>
      </c>
      <c r="AA45" s="12" t="s">
        <v>2200</v>
      </c>
      <c r="AB45" s="63">
        <v>91075763</v>
      </c>
      <c r="AC45" s="63" t="s">
        <v>4643</v>
      </c>
      <c r="AD45" s="57" t="str">
        <f>_xlfn.XLOOKUP(CONT_SUP[[#This Row],[StaffMemberCode]],StaffMembers!O:O,StaffMembers!R:R)</f>
        <v>Stephen McVicar</v>
      </c>
      <c r="AE45" s="12" t="s">
        <v>1559</v>
      </c>
      <c r="AF45" s="66">
        <f>_xlfn.XLOOKUP(CONT_SUP[[#This Row],[SRG]],SRG[StaffRoleGroupCode],SRG[GrossSalaryFinanceCode])</f>
        <v>625100</v>
      </c>
      <c r="AG45" s="57" t="str">
        <f>_xlfn.XLOOKUP(CONT_SUP[[#This Row],[StaffRoleCode]],ROLES[StaffRoleCode],ROLES[StaffRoleGroupCode])</f>
        <v>ADM</v>
      </c>
      <c r="AH45" s="57" t="str">
        <f>_xlfn.XLOOKUP(CONT_SUP[[#This Row],[StaffRoleCode]],ROLES[StaffRoleCode],ROLES[PayScaleCode])</f>
        <v>NJC_CHE</v>
      </c>
      <c r="AI45" s="12" t="s">
        <v>3126</v>
      </c>
      <c r="AJ45" s="12">
        <v>27</v>
      </c>
      <c r="AK45" s="12" t="s">
        <v>2483</v>
      </c>
      <c r="AM45" s="68" t="s">
        <v>3132</v>
      </c>
      <c r="AN45" s="12" t="s">
        <v>3139</v>
      </c>
      <c r="AO45" s="21">
        <v>45901</v>
      </c>
      <c r="AQ45" s="12">
        <v>37</v>
      </c>
      <c r="AR45" t="b">
        <v>0</v>
      </c>
      <c r="AS45" t="b">
        <v>0</v>
      </c>
      <c r="AT45" s="12" t="s">
        <v>1574</v>
      </c>
    </row>
    <row r="46" spans="1:46" x14ac:dyDescent="0.3">
      <c r="A46" s="57" t="str">
        <f t="shared" si="1"/>
        <v>BLS9107356491073564ASEC_SNR_TUTSFIN45901</v>
      </c>
      <c r="B46" s="57">
        <f>COUNTIF(CONT_SUP[Unique Contract],CONT_SUP[[#This Row],[Unique Contract]])-1</f>
        <v>0</v>
      </c>
      <c r="C46" s="57">
        <f>IFERROR(IF(FIND(CONT_SUP[[#This Row],[SchoolCode]],_xlfn.XLOOKUP(CONT_SUP[[#This Row],[StaffMemberCode]],MEMBERS[StaffMemberCode],MEMBERS[SchoolCodes]))&gt;0,0,1),1)</f>
        <v>0</v>
      </c>
      <c r="D46" s="57" cm="1">
        <f t="array" ref="D46">IF(_xlfn.XLOOKUP(CONT_SUP[[#This Row],[StaffRoleCode]],ROLES[StaffRoleCode],ROLES[AvailableToAllSchools],1,0,)=TRUE,0,IF(ISERROR(FIND(CONT_SUP[[#This Row],[SchoolCode]],_xlfn.TEXTJOIN(",",TRUE,_xlfn.UNIQUE(IF(ROLES[StaffRoleCode]=CONT_SUP[[#This Row],[StaffRoleCode]],ROLES[SchoolCodes],""))))),1,0))</f>
        <v>0</v>
      </c>
      <c r="E46" s="66" cm="1">
        <f t="array" ref="E4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46" s="57" cm="1">
        <f t="array" ref="F46">IF(_xlfn.XLOOKUP(CONT_SUP[[#This Row],[PayScaleCode]],PAYSCALES[PayScaleCode],PAYSCALES[AvailableToAllSchools],1,0,)=TRUE,0,IF(ISERROR(FIND(CONT_SUP[[#This Row],[SchoolCode]],_xlfn.TEXTJOIN(",",TRUE,_xlfn.UNIQUE(IF(PAYSCALES[PayScaleCode]=CONT_SUP[[#This Row],[PayScaleCode]],PAYSCALES[SchoolCodes],""))))),1,0))</f>
        <v>0</v>
      </c>
      <c r="G46" s="57">
        <f>IF(_xlfn.XLOOKUP(CONT_SUP[[#This Row],[PayScaleGradeCode]],GRADES[PayScaleGradeCode],GRADES[AvailableToAllSchools])=TRUE,0,IFERROR(IF(FIND(CONT_SUP[[#This Row],[SchoolCode]],_xlfn.XLOOKUP(CONT_SUP[[#This Row],[PayScaleGradeCode]],GRADES[PayScaleGradeCode],GRADES[SchoolCodes]))&gt;=1,0,1),1))</f>
        <v>0</v>
      </c>
      <c r="H46" s="66">
        <f>IF(ISERROR(IF((_xlfn.XLOOKUP(CONT_SUP[[#This Row],[PayScaleGradeCode]],GRADES[PayScaleGradeCode],GRADES[PayScaleCode])=CONT_SUP[[#This Row],[PayScaleCode]]),0,1)),1,0)</f>
        <v>0</v>
      </c>
      <c r="I46" s="66" cm="1">
        <f t="array" ref="I46">IF(ISERROR(FIND(CONT_SUP[[#This Row],[PayScalePointCode]],_xlfn.TEXTJOIN(",",TRUE,IF(PSPOINTS[PayScaleCode]=CONT_SUP[[#This Row],[PayScaleCode]],PSPOINTS[PayScalePointCode])))),1,0)</f>
        <v>0</v>
      </c>
      <c r="J46" s="57" cm="1">
        <f t="array" ref="J4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46" s="66">
        <f>IF(_xlfn.XLOOKUP(CONT_SUP[[#This Row],[PayScalePointCode]],PSPOINTS[PayScalePointCode],PSPOINTS[PayScalePointEnabled])=TRUE,0,1)</f>
        <v>0</v>
      </c>
      <c r="L46" s="57" cm="1">
        <f t="array" ref="L46">IF(_xlfn.XLOOKUP(CONT_SUP[[#This Row],[DepartmentCode]],DEPTS[DepartmentCode],DEPTS[AvailableToAllSchools],1,0,)=TRUE,0,IF(ISERROR(FIND(CONT_SUP[[#This Row],[SchoolCode]],_xlfn.TEXTJOIN(",",TRUE,_xlfn.UNIQUE(IF(DEPTS[DepartmentCode]=CONT_SUP[[#This Row],[DepartmentCode]],DEPTS[SchoolCodes],""))))),1,0))</f>
        <v>0</v>
      </c>
      <c r="M46" s="57">
        <f>IFERROR(IF(_xlfn.XLOOKUP(CONT_SUP[[#This Row],[SRG Gross]],FinanceCodesBudget[FinanceCode],FinanceCodesBudget[LedgerCode])=_xlfn.XLOOKUP(CONT_SUP[[#This Row],[DepartmentCode]],DEPTS[DepartmentCode],DEPTS[LedgerCode]),0,1),1)</f>
        <v>0</v>
      </c>
      <c r="N46" s="66" cm="1">
        <f t="array" ref="N46">IF(_xlfn.XLOOKUP(CONT_SUP[[#This Row],[PensionCode]],PENS[PensionCode],PENS[AvailableToAllSchools],1,0,)=TRUE,0,IF(ISERROR(FIND(CONT_SUP[[#This Row],[SchoolCode]],_xlfn.TEXTJOIN(",",TRUE,_xlfn.UNIQUE(IF(PENS[PensionCode]=CONT_SUP[[#This Row],[PensionCode]],PENS[SchoolCodes],""))))),1,0))</f>
        <v>0</v>
      </c>
      <c r="O46" s="66" cm="1">
        <f t="array" ref="O46">IF(_xlfn.XLOOKUP(CONT_SUP[[#This Row],[EquatedWeekPatternCode]],EQW[EquatedWeekPatternCode],EQW[AvailableToAllSchools],1,0,)=TRUE,0,IF(ISERROR(FIND(CONT_SUP[[#This Row],[SchoolCode]],_xlfn.TEXTJOIN(",",TRUE,_xlfn.UNIQUE(IF(EQW[EquatedWeekPatternCode]=CONT_SUP[[#This Row],[EquatedWeekPatternCode]],EQW[SchoolCodes],""))))),1,0))</f>
        <v>0</v>
      </c>
      <c r="P46" s="57">
        <f>1-COUNTIF(ContractTypes[Code],CONT_SUP[[#This Row],[ContractTypeCode]])</f>
        <v>0</v>
      </c>
      <c r="Q46" s="57">
        <f>IF(VLOOKUP(CONT_SUP[[#This Row],[StaffMemberCode]],MEMBERS[[StaffMemberCode]:[ServiceStartDate]],5,0)&gt;CONT_SUP[[#This Row],[DateFrom]],1,0)</f>
        <v>0</v>
      </c>
      <c r="R46" s="57">
        <f>IF(_xlfn.XLOOKUP(CONT_SUP[[#This Row],[StaffMemberCode]],MEMBERS[StaffMemberCode],MEMBERS[ServiceEndDate])="",0,IF(CONT_SUP[[#This Row],[DateTo]]="",1,IF(_xlfn.XLOOKUP(CONT_SUP[[#This Row],[StaffMemberCode]],MEMBERS[StaffMemberCode],MEMBERS[ServiceEndDate])&lt;CONT_SUP[[#This Row],[DateTo]],1,0)))</f>
        <v>0</v>
      </c>
      <c r="S46" s="57">
        <f>IF(ISBLANK(CONT_SUP[[#This Row],[DateTo]]),0,IF(CONT_SUP[[#This Row],[DateFrom]]=CONT_SUP[[#This Row],[DateTo]],0,IF(CONT_SUP[[#This Row],[DateFrom]]&lt;CONT_SUP[[#This Row],[DateTo]],0,1)))</f>
        <v>0</v>
      </c>
      <c r="T46" s="57" cm="1">
        <f t="array" aca="1" ref="T46" ca="1">IF(CELL("format",CONT_SUP[[#This Row],[DateFrom]])="D1",0,1)+IF(CELL("format",CONT_SUP[[#This Row],[DateTo]])="D1",0,1)</f>
        <v>0</v>
      </c>
      <c r="U46" s="57">
        <f>IF(OR(CONT_SUP[[#This Row],[MatEditOnly]]=TRUE,CONT_SUP[[#This Row],[MatEditOnly]]=FALSE),IF(OR(CONT_SUP[[#This Row],[NoIncrement]]=TRUE,CONT_SUP[[#This Row],[NoIncrement]]=FALSE),0,1),1)</f>
        <v>0</v>
      </c>
      <c r="V46" s="57">
        <f>IF(ISBLANK(CONT_SUP[[#This Row],[FundCode]])=TRUE,0,IF(COUNTIF(FUNDS[FundCode],CONT_SUP[[#This Row],[FundCode]])=1,0,1))</f>
        <v>0</v>
      </c>
      <c r="W46" s="57">
        <f>IF(LEN(CONT_SUP[[#This Row],[Notes]])&lt;4000,0,1)</f>
        <v>0</v>
      </c>
      <c r="X46" s="57">
        <f>IF(SUBSTITUTE(TEXT(CONT_SUP[[#This Row],[Reference]],10)," ","")=TEXT(CONT_SUP[[#This Row],[Reference]],10),0,1)</f>
        <v>0</v>
      </c>
      <c r="Y46" s="57">
        <f ca="1">SUM(CONT_SUP[[#This Row],[Duplicate Contract]:[Space in Code]])</f>
        <v>0</v>
      </c>
      <c r="AA46" s="12" t="s">
        <v>2094</v>
      </c>
      <c r="AB46" s="63">
        <v>91073564</v>
      </c>
      <c r="AC46" s="63" t="s">
        <v>4644</v>
      </c>
      <c r="AD46" s="57" t="str">
        <f>_xlfn.XLOOKUP(CONT_SUP[[#This Row],[StaffMemberCode]],StaffMembers!O:O,StaffMembers!R:R)</f>
        <v>Colette Platt</v>
      </c>
      <c r="AE46" s="12" t="s">
        <v>4267</v>
      </c>
      <c r="AF46" s="66">
        <f>_xlfn.XLOOKUP(CONT_SUP[[#This Row],[SRG]],SRG[StaffRoleGroupCode],SRG[GrossSalaryFinanceCode])</f>
        <v>625100</v>
      </c>
      <c r="AG46" s="57" t="str">
        <f>_xlfn.XLOOKUP(CONT_SUP[[#This Row],[StaffRoleCode]],ROLES[StaffRoleCode],ROLES[StaffRoleGroupCode])</f>
        <v>ADM</v>
      </c>
      <c r="AH46" s="57" t="str">
        <f>_xlfn.XLOOKUP(CONT_SUP[[#This Row],[StaffRoleCode]],ROLES[StaffRoleCode],ROLES[PayScaleCode])</f>
        <v>NJC_CHE</v>
      </c>
      <c r="AI46" s="12" t="s">
        <v>3122</v>
      </c>
      <c r="AJ46" s="12">
        <v>6</v>
      </c>
      <c r="AK46" s="12" t="s">
        <v>2483</v>
      </c>
      <c r="AM46" s="68" t="s">
        <v>3132</v>
      </c>
      <c r="AN46" s="12" t="s">
        <v>3135</v>
      </c>
      <c r="AO46" s="21">
        <v>45901</v>
      </c>
      <c r="AQ46" s="12">
        <v>32.5</v>
      </c>
      <c r="AR46" t="b">
        <v>0</v>
      </c>
      <c r="AS46" t="b">
        <v>0</v>
      </c>
      <c r="AT46" s="12" t="s">
        <v>1574</v>
      </c>
    </row>
    <row r="47" spans="1:46" x14ac:dyDescent="0.3">
      <c r="A47" s="57" t="str">
        <f t="shared" si="1"/>
        <v>MAT9107391191073911AFIN_OFF_SNRSFINMAT45901</v>
      </c>
      <c r="B47" s="57">
        <f>COUNTIF(CONT_SUP[Unique Contract],CONT_SUP[[#This Row],[Unique Contract]])-1</f>
        <v>0</v>
      </c>
      <c r="C47" s="57">
        <f>IFERROR(IF(FIND(CONT_SUP[[#This Row],[SchoolCode]],_xlfn.XLOOKUP(CONT_SUP[[#This Row],[StaffMemberCode]],MEMBERS[StaffMemberCode],MEMBERS[SchoolCodes]))&gt;0,0,1),1)</f>
        <v>0</v>
      </c>
      <c r="D47" s="57" cm="1">
        <f t="array" ref="D47">IF(_xlfn.XLOOKUP(CONT_SUP[[#This Row],[StaffRoleCode]],ROLES[StaffRoleCode],ROLES[AvailableToAllSchools],1,0,)=TRUE,0,IF(ISERROR(FIND(CONT_SUP[[#This Row],[SchoolCode]],_xlfn.TEXTJOIN(",",TRUE,_xlfn.UNIQUE(IF(ROLES[StaffRoleCode]=CONT_SUP[[#This Row],[StaffRoleCode]],ROLES[SchoolCodes],""))))),1,0))</f>
        <v>0</v>
      </c>
      <c r="E47" s="66" cm="1">
        <f t="array" ref="E4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47" s="57" cm="1">
        <f t="array" ref="F47">IF(_xlfn.XLOOKUP(CONT_SUP[[#This Row],[PayScaleCode]],PAYSCALES[PayScaleCode],PAYSCALES[AvailableToAllSchools],1,0,)=TRUE,0,IF(ISERROR(FIND(CONT_SUP[[#This Row],[SchoolCode]],_xlfn.TEXTJOIN(",",TRUE,_xlfn.UNIQUE(IF(PAYSCALES[PayScaleCode]=CONT_SUP[[#This Row],[PayScaleCode]],PAYSCALES[SchoolCodes],""))))),1,0))</f>
        <v>0</v>
      </c>
      <c r="G47" s="57">
        <f>IF(_xlfn.XLOOKUP(CONT_SUP[[#This Row],[PayScaleGradeCode]],GRADES[PayScaleGradeCode],GRADES[AvailableToAllSchools])=TRUE,0,IFERROR(IF(FIND(CONT_SUP[[#This Row],[SchoolCode]],_xlfn.XLOOKUP(CONT_SUP[[#This Row],[PayScaleGradeCode]],GRADES[PayScaleGradeCode],GRADES[SchoolCodes]))&gt;=1,0,1),1))</f>
        <v>0</v>
      </c>
      <c r="H47" s="66">
        <f>IF(ISERROR(IF((_xlfn.XLOOKUP(CONT_SUP[[#This Row],[PayScaleGradeCode]],GRADES[PayScaleGradeCode],GRADES[PayScaleCode])=CONT_SUP[[#This Row],[PayScaleCode]]),0,1)),1,0)</f>
        <v>0</v>
      </c>
      <c r="I47" s="66" cm="1">
        <f t="array" ref="I47">IF(ISERROR(FIND(CONT_SUP[[#This Row],[PayScalePointCode]],_xlfn.TEXTJOIN(",",TRUE,IF(PSPOINTS[PayScaleCode]=CONT_SUP[[#This Row],[PayScaleCode]],PSPOINTS[PayScalePointCode])))),1,0)</f>
        <v>0</v>
      </c>
      <c r="J47" s="57" cm="1">
        <f t="array" ref="J4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47" s="66">
        <f>IF(_xlfn.XLOOKUP(CONT_SUP[[#This Row],[PayScalePointCode]],PSPOINTS[PayScalePointCode],PSPOINTS[PayScalePointEnabled])=TRUE,0,1)</f>
        <v>0</v>
      </c>
      <c r="L47" s="57" cm="1">
        <f t="array" ref="L47">IF(_xlfn.XLOOKUP(CONT_SUP[[#This Row],[DepartmentCode]],DEPTS[DepartmentCode],DEPTS[AvailableToAllSchools],1,0,)=TRUE,0,IF(ISERROR(FIND(CONT_SUP[[#This Row],[SchoolCode]],_xlfn.TEXTJOIN(",",TRUE,_xlfn.UNIQUE(IF(DEPTS[DepartmentCode]=CONT_SUP[[#This Row],[DepartmentCode]],DEPTS[SchoolCodes],""))))),1,0))</f>
        <v>0</v>
      </c>
      <c r="M47" s="57">
        <f>IFERROR(IF(_xlfn.XLOOKUP(CONT_SUP[[#This Row],[SRG Gross]],FinanceCodesBudget[FinanceCode],FinanceCodesBudget[LedgerCode])=_xlfn.XLOOKUP(CONT_SUP[[#This Row],[DepartmentCode]],DEPTS[DepartmentCode],DEPTS[LedgerCode]),0,1),1)</f>
        <v>0</v>
      </c>
      <c r="N47" s="66" cm="1">
        <f t="array" ref="N47">IF(_xlfn.XLOOKUP(CONT_SUP[[#This Row],[PensionCode]],PENS[PensionCode],PENS[AvailableToAllSchools],1,0,)=TRUE,0,IF(ISERROR(FIND(CONT_SUP[[#This Row],[SchoolCode]],_xlfn.TEXTJOIN(",",TRUE,_xlfn.UNIQUE(IF(PENS[PensionCode]=CONT_SUP[[#This Row],[PensionCode]],PENS[SchoolCodes],""))))),1,0))</f>
        <v>0</v>
      </c>
      <c r="O47" s="66" cm="1">
        <f t="array" ref="O47">IF(_xlfn.XLOOKUP(CONT_SUP[[#This Row],[EquatedWeekPatternCode]],EQW[EquatedWeekPatternCode],EQW[AvailableToAllSchools],1,0,)=TRUE,0,IF(ISERROR(FIND(CONT_SUP[[#This Row],[SchoolCode]],_xlfn.TEXTJOIN(",",TRUE,_xlfn.UNIQUE(IF(EQW[EquatedWeekPatternCode]=CONT_SUP[[#This Row],[EquatedWeekPatternCode]],EQW[SchoolCodes],""))))),1,0))</f>
        <v>0</v>
      </c>
      <c r="P47" s="57">
        <f>1-COUNTIF(ContractTypes[Code],CONT_SUP[[#This Row],[ContractTypeCode]])</f>
        <v>0</v>
      </c>
      <c r="Q47" s="57">
        <f>IF(VLOOKUP(CONT_SUP[[#This Row],[StaffMemberCode]],MEMBERS[[StaffMemberCode]:[ServiceStartDate]],5,0)&gt;CONT_SUP[[#This Row],[DateFrom]],1,0)</f>
        <v>0</v>
      </c>
      <c r="R47" s="57">
        <f>IF(_xlfn.XLOOKUP(CONT_SUP[[#This Row],[StaffMemberCode]],MEMBERS[StaffMemberCode],MEMBERS[ServiceEndDate])="",0,IF(CONT_SUP[[#This Row],[DateTo]]="",1,IF(_xlfn.XLOOKUP(CONT_SUP[[#This Row],[StaffMemberCode]],MEMBERS[StaffMemberCode],MEMBERS[ServiceEndDate])&lt;CONT_SUP[[#This Row],[DateTo]],1,0)))</f>
        <v>0</v>
      </c>
      <c r="S47" s="57">
        <f>IF(ISBLANK(CONT_SUP[[#This Row],[DateTo]]),0,IF(CONT_SUP[[#This Row],[DateFrom]]=CONT_SUP[[#This Row],[DateTo]],0,IF(CONT_SUP[[#This Row],[DateFrom]]&lt;CONT_SUP[[#This Row],[DateTo]],0,1)))</f>
        <v>0</v>
      </c>
      <c r="T47" s="57" cm="1">
        <f t="array" aca="1" ref="T47" ca="1">IF(CELL("format",CONT_SUP[[#This Row],[DateFrom]])="D1",0,1)+IF(CELL("format",CONT_SUP[[#This Row],[DateTo]])="D1",0,1)</f>
        <v>0</v>
      </c>
      <c r="U47" s="57">
        <f>IF(OR(CONT_SUP[[#This Row],[MatEditOnly]]=TRUE,CONT_SUP[[#This Row],[MatEditOnly]]=FALSE),IF(OR(CONT_SUP[[#This Row],[NoIncrement]]=TRUE,CONT_SUP[[#This Row],[NoIncrement]]=FALSE),0,1),1)</f>
        <v>0</v>
      </c>
      <c r="V47" s="57">
        <f>IF(ISBLANK(CONT_SUP[[#This Row],[FundCode]])=TRUE,0,IF(COUNTIF(FUNDS[FundCode],CONT_SUP[[#This Row],[FundCode]])=1,0,1))</f>
        <v>0</v>
      </c>
      <c r="W47" s="57">
        <f>IF(LEN(CONT_SUP[[#This Row],[Notes]])&lt;4000,0,1)</f>
        <v>0</v>
      </c>
      <c r="X47" s="57">
        <f>IF(SUBSTITUTE(TEXT(CONT_SUP[[#This Row],[Reference]],10)," ","")=TEXT(CONT_SUP[[#This Row],[Reference]],10),0,1)</f>
        <v>0</v>
      </c>
      <c r="Y47" s="57">
        <f ca="1">SUM(CONT_SUP[[#This Row],[Duplicate Contract]:[Space in Code]])</f>
        <v>0</v>
      </c>
      <c r="AA47" s="12" t="s">
        <v>51</v>
      </c>
      <c r="AB47" s="63">
        <v>91073911</v>
      </c>
      <c r="AC47" s="63" t="s">
        <v>4645</v>
      </c>
      <c r="AD47" s="57" t="str">
        <f>_xlfn.XLOOKUP(CONT_SUP[[#This Row],[StaffMemberCode]],StaffMembers!O:O,StaffMembers!R:R)</f>
        <v>Kerry Moore</v>
      </c>
      <c r="AE47" s="12" t="s">
        <v>4269</v>
      </c>
      <c r="AF47" s="66">
        <f>_xlfn.XLOOKUP(CONT_SUP[[#This Row],[SRG]],SRG[StaffRoleGroupCode],SRG[GrossSalaryFinanceCode])</f>
        <v>625100</v>
      </c>
      <c r="AG47" s="57" t="str">
        <f>_xlfn.XLOOKUP(CONT_SUP[[#This Row],[StaffRoleCode]],ROLES[StaffRoleCode],ROLES[StaffRoleGroupCode])</f>
        <v>ADM</v>
      </c>
      <c r="AH47" s="57" t="str">
        <f>_xlfn.XLOOKUP(CONT_SUP[[#This Row],[StaffRoleCode]],ROLES[StaffRoleCode],ROLES[PayScaleCode])</f>
        <v>NJC_CHE</v>
      </c>
      <c r="AI47" s="12" t="s">
        <v>3126</v>
      </c>
      <c r="AJ47" s="12">
        <v>28</v>
      </c>
      <c r="AK47" s="12" t="s">
        <v>4925</v>
      </c>
      <c r="AM47" s="68" t="s">
        <v>3132</v>
      </c>
      <c r="AN47" s="12" t="s">
        <v>1702</v>
      </c>
      <c r="AO47" s="21">
        <v>45901</v>
      </c>
      <c r="AQ47" s="12">
        <v>37</v>
      </c>
      <c r="AR47" t="b">
        <v>0</v>
      </c>
      <c r="AS47" t="b">
        <v>0</v>
      </c>
      <c r="AT47" s="12" t="s">
        <v>1574</v>
      </c>
    </row>
    <row r="48" spans="1:46" x14ac:dyDescent="0.3">
      <c r="A48" s="57" t="str">
        <f t="shared" si="1"/>
        <v>BLS9107350091073500ACLESPREM45901</v>
      </c>
      <c r="B48" s="57">
        <f>COUNTIF(CONT_SUP[Unique Contract],CONT_SUP[[#This Row],[Unique Contract]])-1</f>
        <v>0</v>
      </c>
      <c r="C48" s="57">
        <f>IFERROR(IF(FIND(CONT_SUP[[#This Row],[SchoolCode]],_xlfn.XLOOKUP(CONT_SUP[[#This Row],[StaffMemberCode]],MEMBERS[StaffMemberCode],MEMBERS[SchoolCodes]))&gt;0,0,1),1)</f>
        <v>0</v>
      </c>
      <c r="D48" s="57" cm="1">
        <f t="array" ref="D48">IF(_xlfn.XLOOKUP(CONT_SUP[[#This Row],[StaffRoleCode]],ROLES[StaffRoleCode],ROLES[AvailableToAllSchools],1,0,)=TRUE,0,IF(ISERROR(FIND(CONT_SUP[[#This Row],[SchoolCode]],_xlfn.TEXTJOIN(",",TRUE,_xlfn.UNIQUE(IF(ROLES[StaffRoleCode]=CONT_SUP[[#This Row],[StaffRoleCode]],ROLES[SchoolCodes],""))))),1,0))</f>
        <v>0</v>
      </c>
      <c r="E48" s="66" cm="1">
        <f t="array" ref="E4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48" s="57" cm="1">
        <f t="array" ref="F48">IF(_xlfn.XLOOKUP(CONT_SUP[[#This Row],[PayScaleCode]],PAYSCALES[PayScaleCode],PAYSCALES[AvailableToAllSchools],1,0,)=TRUE,0,IF(ISERROR(FIND(CONT_SUP[[#This Row],[SchoolCode]],_xlfn.TEXTJOIN(",",TRUE,_xlfn.UNIQUE(IF(PAYSCALES[PayScaleCode]=CONT_SUP[[#This Row],[PayScaleCode]],PAYSCALES[SchoolCodes],""))))),1,0))</f>
        <v>0</v>
      </c>
      <c r="G48" s="57">
        <f>IF(_xlfn.XLOOKUP(CONT_SUP[[#This Row],[PayScaleGradeCode]],GRADES[PayScaleGradeCode],GRADES[AvailableToAllSchools])=TRUE,0,IFERROR(IF(FIND(CONT_SUP[[#This Row],[SchoolCode]],_xlfn.XLOOKUP(CONT_SUP[[#This Row],[PayScaleGradeCode]],GRADES[PayScaleGradeCode],GRADES[SchoolCodes]))&gt;=1,0,1),1))</f>
        <v>0</v>
      </c>
      <c r="H48" s="66">
        <f>IF(ISERROR(IF((_xlfn.XLOOKUP(CONT_SUP[[#This Row],[PayScaleGradeCode]],GRADES[PayScaleGradeCode],GRADES[PayScaleCode])=CONT_SUP[[#This Row],[PayScaleCode]]),0,1)),1,0)</f>
        <v>0</v>
      </c>
      <c r="I48" s="66" cm="1">
        <f t="array" ref="I48">IF(ISERROR(FIND(CONT_SUP[[#This Row],[PayScalePointCode]],_xlfn.TEXTJOIN(",",TRUE,IF(PSPOINTS[PayScaleCode]=CONT_SUP[[#This Row],[PayScaleCode]],PSPOINTS[PayScalePointCode])))),1,0)</f>
        <v>0</v>
      </c>
      <c r="J48" s="57" cm="1">
        <f t="array" ref="J4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48" s="66">
        <f>IF(_xlfn.XLOOKUP(CONT_SUP[[#This Row],[PayScalePointCode]],PSPOINTS[PayScalePointCode],PSPOINTS[PayScalePointEnabled])=TRUE,0,1)</f>
        <v>0</v>
      </c>
      <c r="L48" s="57" cm="1">
        <f t="array" ref="L48">IF(_xlfn.XLOOKUP(CONT_SUP[[#This Row],[DepartmentCode]],DEPTS[DepartmentCode],DEPTS[AvailableToAllSchools],1,0,)=TRUE,0,IF(ISERROR(FIND(CONT_SUP[[#This Row],[SchoolCode]],_xlfn.TEXTJOIN(",",TRUE,_xlfn.UNIQUE(IF(DEPTS[DepartmentCode]=CONT_SUP[[#This Row],[DepartmentCode]],DEPTS[SchoolCodes],""))))),1,0))</f>
        <v>0</v>
      </c>
      <c r="M48" s="57">
        <f>IFERROR(IF(_xlfn.XLOOKUP(CONT_SUP[[#This Row],[SRG Gross]],FinanceCodesBudget[FinanceCode],FinanceCodesBudget[LedgerCode])=_xlfn.XLOOKUP(CONT_SUP[[#This Row],[DepartmentCode]],DEPTS[DepartmentCode],DEPTS[LedgerCode]),0,1),1)</f>
        <v>0</v>
      </c>
      <c r="N48" s="66" cm="1">
        <f t="array" ref="N48">IF(_xlfn.XLOOKUP(CONT_SUP[[#This Row],[PensionCode]],PENS[PensionCode],PENS[AvailableToAllSchools],1,0,)=TRUE,0,IF(ISERROR(FIND(CONT_SUP[[#This Row],[SchoolCode]],_xlfn.TEXTJOIN(",",TRUE,_xlfn.UNIQUE(IF(PENS[PensionCode]=CONT_SUP[[#This Row],[PensionCode]],PENS[SchoolCodes],""))))),1,0))</f>
        <v>0</v>
      </c>
      <c r="O48" s="66" cm="1">
        <f t="array" ref="O48">IF(_xlfn.XLOOKUP(CONT_SUP[[#This Row],[EquatedWeekPatternCode]],EQW[EquatedWeekPatternCode],EQW[AvailableToAllSchools],1,0,)=TRUE,0,IF(ISERROR(FIND(CONT_SUP[[#This Row],[SchoolCode]],_xlfn.TEXTJOIN(",",TRUE,_xlfn.UNIQUE(IF(EQW[EquatedWeekPatternCode]=CONT_SUP[[#This Row],[EquatedWeekPatternCode]],EQW[SchoolCodes],""))))),1,0))</f>
        <v>0</v>
      </c>
      <c r="P48" s="57">
        <f>1-COUNTIF(ContractTypes[Code],CONT_SUP[[#This Row],[ContractTypeCode]])</f>
        <v>0</v>
      </c>
      <c r="Q48" s="57">
        <f>IF(VLOOKUP(CONT_SUP[[#This Row],[StaffMemberCode]],MEMBERS[[StaffMemberCode]:[ServiceStartDate]],5,0)&gt;CONT_SUP[[#This Row],[DateFrom]],1,0)</f>
        <v>0</v>
      </c>
      <c r="R48" s="57">
        <f>IF(_xlfn.XLOOKUP(CONT_SUP[[#This Row],[StaffMemberCode]],MEMBERS[StaffMemberCode],MEMBERS[ServiceEndDate])="",0,IF(CONT_SUP[[#This Row],[DateTo]]="",1,IF(_xlfn.XLOOKUP(CONT_SUP[[#This Row],[StaffMemberCode]],MEMBERS[StaffMemberCode],MEMBERS[ServiceEndDate])&lt;CONT_SUP[[#This Row],[DateTo]],1,0)))</f>
        <v>0</v>
      </c>
      <c r="S48" s="57">
        <f>IF(ISBLANK(CONT_SUP[[#This Row],[DateTo]]),0,IF(CONT_SUP[[#This Row],[DateFrom]]=CONT_SUP[[#This Row],[DateTo]],0,IF(CONT_SUP[[#This Row],[DateFrom]]&lt;CONT_SUP[[#This Row],[DateTo]],0,1)))</f>
        <v>0</v>
      </c>
      <c r="T48" s="57" cm="1">
        <f t="array" aca="1" ref="T48" ca="1">IF(CELL("format",CONT_SUP[[#This Row],[DateFrom]])="D1",0,1)+IF(CELL("format",CONT_SUP[[#This Row],[DateTo]])="D1",0,1)</f>
        <v>0</v>
      </c>
      <c r="U48" s="57">
        <f>IF(OR(CONT_SUP[[#This Row],[MatEditOnly]]=TRUE,CONT_SUP[[#This Row],[MatEditOnly]]=FALSE),IF(OR(CONT_SUP[[#This Row],[NoIncrement]]=TRUE,CONT_SUP[[#This Row],[NoIncrement]]=FALSE),0,1),1)</f>
        <v>0</v>
      </c>
      <c r="V48" s="57">
        <f>IF(ISBLANK(CONT_SUP[[#This Row],[FundCode]])=TRUE,0,IF(COUNTIF(FUNDS[FundCode],CONT_SUP[[#This Row],[FundCode]])=1,0,1))</f>
        <v>0</v>
      </c>
      <c r="W48" s="57">
        <f>IF(LEN(CONT_SUP[[#This Row],[Notes]])&lt;4000,0,1)</f>
        <v>0</v>
      </c>
      <c r="X48" s="57">
        <f>IF(SUBSTITUTE(TEXT(CONT_SUP[[#This Row],[Reference]],10)," ","")=TEXT(CONT_SUP[[#This Row],[Reference]],10),0,1)</f>
        <v>0</v>
      </c>
      <c r="Y48" s="57">
        <f ca="1">SUM(CONT_SUP[[#This Row],[Duplicate Contract]:[Space in Code]])</f>
        <v>0</v>
      </c>
      <c r="AA48" s="12" t="s">
        <v>2094</v>
      </c>
      <c r="AB48" s="63">
        <v>91073500</v>
      </c>
      <c r="AC48" s="63" t="s">
        <v>4646</v>
      </c>
      <c r="AD48" s="57" t="str">
        <f>_xlfn.XLOOKUP(CONT_SUP[[#This Row],[StaffMemberCode]],StaffMembers!O:O,StaffMembers!R:R)</f>
        <v>Sarah Peel</v>
      </c>
      <c r="AE48" s="12" t="s">
        <v>1190</v>
      </c>
      <c r="AF48" s="66">
        <f>_xlfn.XLOOKUP(CONT_SUP[[#This Row],[SRG]],SRG[StaffRoleGroupCode],SRG[GrossSalaryFinanceCode])</f>
        <v>630100</v>
      </c>
      <c r="AG48" s="57" t="str">
        <f>_xlfn.XLOOKUP(CONT_SUP[[#This Row],[StaffRoleCode]],ROLES[StaffRoleCode],ROLES[StaffRoleGroupCode])</f>
        <v>CLE</v>
      </c>
      <c r="AH48" s="57" t="str">
        <f>_xlfn.XLOOKUP(CONT_SUP[[#This Row],[StaffRoleCode]],ROLES[StaffRoleCode],ROLES[PayScaleCode])</f>
        <v>NJC_CHE</v>
      </c>
      <c r="AI48" s="12" t="s">
        <v>3120</v>
      </c>
      <c r="AJ48" s="12">
        <v>2</v>
      </c>
      <c r="AK48" s="12" t="s">
        <v>2495</v>
      </c>
      <c r="AM48" s="68" t="s">
        <v>3132</v>
      </c>
      <c r="AN48" s="12" t="s">
        <v>1702</v>
      </c>
      <c r="AO48" s="21">
        <v>45901</v>
      </c>
      <c r="AQ48" s="12">
        <v>30</v>
      </c>
      <c r="AR48" t="b">
        <v>0</v>
      </c>
      <c r="AS48" t="b">
        <v>0</v>
      </c>
      <c r="AT48" s="12" t="s">
        <v>1574</v>
      </c>
    </row>
    <row r="49" spans="1:46" x14ac:dyDescent="0.3">
      <c r="A49" s="57" t="str">
        <f t="shared" si="1"/>
        <v>ALS9185002691850026ACLESPREM45901</v>
      </c>
      <c r="B49" s="57">
        <f>COUNTIF(CONT_SUP[Unique Contract],CONT_SUP[[#This Row],[Unique Contract]])-1</f>
        <v>0</v>
      </c>
      <c r="C49" s="57">
        <f>IFERROR(IF(FIND(CONT_SUP[[#This Row],[SchoolCode]],_xlfn.XLOOKUP(CONT_SUP[[#This Row],[StaffMemberCode]],MEMBERS[StaffMemberCode],MEMBERS[SchoolCodes]))&gt;0,0,1),1)</f>
        <v>0</v>
      </c>
      <c r="D49" s="57" cm="1">
        <f t="array" ref="D49">IF(_xlfn.XLOOKUP(CONT_SUP[[#This Row],[StaffRoleCode]],ROLES[StaffRoleCode],ROLES[AvailableToAllSchools],1,0,)=TRUE,0,IF(ISERROR(FIND(CONT_SUP[[#This Row],[SchoolCode]],_xlfn.TEXTJOIN(",",TRUE,_xlfn.UNIQUE(IF(ROLES[StaffRoleCode]=CONT_SUP[[#This Row],[StaffRoleCode]],ROLES[SchoolCodes],""))))),1,0))</f>
        <v>0</v>
      </c>
      <c r="E49" s="66" cm="1">
        <f t="array" ref="E4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49" s="57" cm="1">
        <f t="array" ref="F49">IF(_xlfn.XLOOKUP(CONT_SUP[[#This Row],[PayScaleCode]],PAYSCALES[PayScaleCode],PAYSCALES[AvailableToAllSchools],1,0,)=TRUE,0,IF(ISERROR(FIND(CONT_SUP[[#This Row],[SchoolCode]],_xlfn.TEXTJOIN(",",TRUE,_xlfn.UNIQUE(IF(PAYSCALES[PayScaleCode]=CONT_SUP[[#This Row],[PayScaleCode]],PAYSCALES[SchoolCodes],""))))),1,0))</f>
        <v>0</v>
      </c>
      <c r="G49" s="57">
        <f>IF(_xlfn.XLOOKUP(CONT_SUP[[#This Row],[PayScaleGradeCode]],GRADES[PayScaleGradeCode],GRADES[AvailableToAllSchools])=TRUE,0,IFERROR(IF(FIND(CONT_SUP[[#This Row],[SchoolCode]],_xlfn.XLOOKUP(CONT_SUP[[#This Row],[PayScaleGradeCode]],GRADES[PayScaleGradeCode],GRADES[SchoolCodes]))&gt;=1,0,1),1))</f>
        <v>0</v>
      </c>
      <c r="H49" s="66">
        <f>IF(ISERROR(IF((_xlfn.XLOOKUP(CONT_SUP[[#This Row],[PayScaleGradeCode]],GRADES[PayScaleGradeCode],GRADES[PayScaleCode])=CONT_SUP[[#This Row],[PayScaleCode]]),0,1)),1,0)</f>
        <v>0</v>
      </c>
      <c r="I49" s="66" cm="1">
        <f t="array" ref="I49">IF(ISERROR(FIND(CONT_SUP[[#This Row],[PayScalePointCode]],_xlfn.TEXTJOIN(",",TRUE,IF(PSPOINTS[PayScaleCode]=CONT_SUP[[#This Row],[PayScaleCode]],PSPOINTS[PayScalePointCode])))),1,0)</f>
        <v>0</v>
      </c>
      <c r="J49" s="57" cm="1">
        <f t="array" ref="J4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49" s="66">
        <f>IF(_xlfn.XLOOKUP(CONT_SUP[[#This Row],[PayScalePointCode]],PSPOINTS[PayScalePointCode],PSPOINTS[PayScalePointEnabled])=TRUE,0,1)</f>
        <v>0</v>
      </c>
      <c r="L49" s="57" cm="1">
        <f t="array" ref="L49">IF(_xlfn.XLOOKUP(CONT_SUP[[#This Row],[DepartmentCode]],DEPTS[DepartmentCode],DEPTS[AvailableToAllSchools],1,0,)=TRUE,0,IF(ISERROR(FIND(CONT_SUP[[#This Row],[SchoolCode]],_xlfn.TEXTJOIN(",",TRUE,_xlfn.UNIQUE(IF(DEPTS[DepartmentCode]=CONT_SUP[[#This Row],[DepartmentCode]],DEPTS[SchoolCodes],""))))),1,0))</f>
        <v>0</v>
      </c>
      <c r="M49" s="57">
        <f>IFERROR(IF(_xlfn.XLOOKUP(CONT_SUP[[#This Row],[SRG Gross]],FinanceCodesBudget[FinanceCode],FinanceCodesBudget[LedgerCode])=_xlfn.XLOOKUP(CONT_SUP[[#This Row],[DepartmentCode]],DEPTS[DepartmentCode],DEPTS[LedgerCode]),0,1),1)</f>
        <v>0</v>
      </c>
      <c r="N49" s="66" cm="1">
        <f t="array" ref="N49">IF(_xlfn.XLOOKUP(CONT_SUP[[#This Row],[PensionCode]],PENS[PensionCode],PENS[AvailableToAllSchools],1,0,)=TRUE,0,IF(ISERROR(FIND(CONT_SUP[[#This Row],[SchoolCode]],_xlfn.TEXTJOIN(",",TRUE,_xlfn.UNIQUE(IF(PENS[PensionCode]=CONT_SUP[[#This Row],[PensionCode]],PENS[SchoolCodes],""))))),1,0))</f>
        <v>0</v>
      </c>
      <c r="O49" s="66" cm="1">
        <f t="array" ref="O49">IF(_xlfn.XLOOKUP(CONT_SUP[[#This Row],[EquatedWeekPatternCode]],EQW[EquatedWeekPatternCode],EQW[AvailableToAllSchools],1,0,)=TRUE,0,IF(ISERROR(FIND(CONT_SUP[[#This Row],[SchoolCode]],_xlfn.TEXTJOIN(",",TRUE,_xlfn.UNIQUE(IF(EQW[EquatedWeekPatternCode]=CONT_SUP[[#This Row],[EquatedWeekPatternCode]],EQW[SchoolCodes],""))))),1,0))</f>
        <v>0</v>
      </c>
      <c r="P49" s="57">
        <f>1-COUNTIF(ContractTypes[Code],CONT_SUP[[#This Row],[ContractTypeCode]])</f>
        <v>0</v>
      </c>
      <c r="Q49" s="57">
        <f>IF(VLOOKUP(CONT_SUP[[#This Row],[StaffMemberCode]],MEMBERS[[StaffMemberCode]:[ServiceStartDate]],5,0)&gt;CONT_SUP[[#This Row],[DateFrom]],1,0)</f>
        <v>0</v>
      </c>
      <c r="R49" s="57">
        <f>IF(_xlfn.XLOOKUP(CONT_SUP[[#This Row],[StaffMemberCode]],MEMBERS[StaffMemberCode],MEMBERS[ServiceEndDate])="",0,IF(CONT_SUP[[#This Row],[DateTo]]="",1,IF(_xlfn.XLOOKUP(CONT_SUP[[#This Row],[StaffMemberCode]],MEMBERS[StaffMemberCode],MEMBERS[ServiceEndDate])&lt;CONT_SUP[[#This Row],[DateTo]],1,0)))</f>
        <v>0</v>
      </c>
      <c r="S49" s="57">
        <f>IF(ISBLANK(CONT_SUP[[#This Row],[DateTo]]),0,IF(CONT_SUP[[#This Row],[DateFrom]]=CONT_SUP[[#This Row],[DateTo]],0,IF(CONT_SUP[[#This Row],[DateFrom]]&lt;CONT_SUP[[#This Row],[DateTo]],0,1)))</f>
        <v>0</v>
      </c>
      <c r="T49" s="57" cm="1">
        <f t="array" aca="1" ref="T49" ca="1">IF(CELL("format",CONT_SUP[[#This Row],[DateFrom]])="D1",0,1)+IF(CELL("format",CONT_SUP[[#This Row],[DateTo]])="D1",0,1)</f>
        <v>0</v>
      </c>
      <c r="U49" s="57">
        <f>IF(OR(CONT_SUP[[#This Row],[MatEditOnly]]=TRUE,CONT_SUP[[#This Row],[MatEditOnly]]=FALSE),IF(OR(CONT_SUP[[#This Row],[NoIncrement]]=TRUE,CONT_SUP[[#This Row],[NoIncrement]]=FALSE),0,1),1)</f>
        <v>0</v>
      </c>
      <c r="V49" s="57">
        <f>IF(ISBLANK(CONT_SUP[[#This Row],[FundCode]])=TRUE,0,IF(COUNTIF(FUNDS[FundCode],CONT_SUP[[#This Row],[FundCode]])=1,0,1))</f>
        <v>0</v>
      </c>
      <c r="W49" s="57">
        <f>IF(LEN(CONT_SUP[[#This Row],[Notes]])&lt;4000,0,1)</f>
        <v>0</v>
      </c>
      <c r="X49" s="57">
        <f>IF(SUBSTITUTE(TEXT(CONT_SUP[[#This Row],[Reference]],10)," ","")=TEXT(CONT_SUP[[#This Row],[Reference]],10),0,1)</f>
        <v>0</v>
      </c>
      <c r="Y49" s="57">
        <f ca="1">SUM(CONT_SUP[[#This Row],[Duplicate Contract]:[Space in Code]])</f>
        <v>0</v>
      </c>
      <c r="AA49" s="12" t="s">
        <v>2082</v>
      </c>
      <c r="AB49" s="63">
        <v>91850026</v>
      </c>
      <c r="AC49" s="63" t="s">
        <v>4647</v>
      </c>
      <c r="AD49" s="57" t="str">
        <f>_xlfn.XLOOKUP(CONT_SUP[[#This Row],[StaffMemberCode]],StaffMembers!O:O,StaffMembers!R:R)</f>
        <v>Abi Hackett</v>
      </c>
      <c r="AE49" s="12" t="s">
        <v>1190</v>
      </c>
      <c r="AF49" s="66">
        <f>_xlfn.XLOOKUP(CONT_SUP[[#This Row],[SRG]],SRG[StaffRoleGroupCode],SRG[GrossSalaryFinanceCode])</f>
        <v>630100</v>
      </c>
      <c r="AG49" s="57" t="str">
        <f>_xlfn.XLOOKUP(CONT_SUP[[#This Row],[StaffRoleCode]],ROLES[StaffRoleCode],ROLES[StaffRoleGroupCode])</f>
        <v>CLE</v>
      </c>
      <c r="AH49" s="57" t="str">
        <f>_xlfn.XLOOKUP(CONT_SUP[[#This Row],[StaffRoleCode]],ROLES[StaffRoleCode],ROLES[PayScaleCode])</f>
        <v>NJC_CHE</v>
      </c>
      <c r="AI49" s="12" t="s">
        <v>3120</v>
      </c>
      <c r="AJ49" s="12">
        <v>2</v>
      </c>
      <c r="AK49" s="12" t="s">
        <v>2495</v>
      </c>
      <c r="AM49" s="68" t="s">
        <v>3132</v>
      </c>
      <c r="AN49" s="12" t="s">
        <v>3145</v>
      </c>
      <c r="AO49" s="21">
        <v>45901</v>
      </c>
      <c r="AQ49" s="12">
        <v>15</v>
      </c>
      <c r="AR49" t="b">
        <v>0</v>
      </c>
      <c r="AS49" t="b">
        <v>0</v>
      </c>
      <c r="AT49" s="12" t="s">
        <v>1574</v>
      </c>
    </row>
    <row r="50" spans="1:46" x14ac:dyDescent="0.3">
      <c r="A50" s="57" t="str">
        <f t="shared" si="1"/>
        <v>HIG9107386291073862BCLESPREM45901</v>
      </c>
      <c r="B50" s="57">
        <f>COUNTIF(CONT_SUP[Unique Contract],CONT_SUP[[#This Row],[Unique Contract]])-1</f>
        <v>0</v>
      </c>
      <c r="C50" s="57">
        <f>IFERROR(IF(FIND(CONT_SUP[[#This Row],[SchoolCode]],_xlfn.XLOOKUP(CONT_SUP[[#This Row],[StaffMemberCode]],MEMBERS[StaffMemberCode],MEMBERS[SchoolCodes]))&gt;0,0,1),1)</f>
        <v>0</v>
      </c>
      <c r="D50" s="57" cm="1">
        <f t="array" ref="D50">IF(_xlfn.XLOOKUP(CONT_SUP[[#This Row],[StaffRoleCode]],ROLES[StaffRoleCode],ROLES[AvailableToAllSchools],1,0,)=TRUE,0,IF(ISERROR(FIND(CONT_SUP[[#This Row],[SchoolCode]],_xlfn.TEXTJOIN(",",TRUE,_xlfn.UNIQUE(IF(ROLES[StaffRoleCode]=CONT_SUP[[#This Row],[StaffRoleCode]],ROLES[SchoolCodes],""))))),1,0))</f>
        <v>0</v>
      </c>
      <c r="E50" s="66" cm="1">
        <f t="array" ref="E5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50" s="57" cm="1">
        <f t="array" ref="F50">IF(_xlfn.XLOOKUP(CONT_SUP[[#This Row],[PayScaleCode]],PAYSCALES[PayScaleCode],PAYSCALES[AvailableToAllSchools],1,0,)=TRUE,0,IF(ISERROR(FIND(CONT_SUP[[#This Row],[SchoolCode]],_xlfn.TEXTJOIN(",",TRUE,_xlfn.UNIQUE(IF(PAYSCALES[PayScaleCode]=CONT_SUP[[#This Row],[PayScaleCode]],PAYSCALES[SchoolCodes],""))))),1,0))</f>
        <v>0</v>
      </c>
      <c r="G50" s="57">
        <f>IF(_xlfn.XLOOKUP(CONT_SUP[[#This Row],[PayScaleGradeCode]],GRADES[PayScaleGradeCode],GRADES[AvailableToAllSchools])=TRUE,0,IFERROR(IF(FIND(CONT_SUP[[#This Row],[SchoolCode]],_xlfn.XLOOKUP(CONT_SUP[[#This Row],[PayScaleGradeCode]],GRADES[PayScaleGradeCode],GRADES[SchoolCodes]))&gt;=1,0,1),1))</f>
        <v>0</v>
      </c>
      <c r="H50" s="66">
        <f>IF(ISERROR(IF((_xlfn.XLOOKUP(CONT_SUP[[#This Row],[PayScaleGradeCode]],GRADES[PayScaleGradeCode],GRADES[PayScaleCode])=CONT_SUP[[#This Row],[PayScaleCode]]),0,1)),1,0)</f>
        <v>0</v>
      </c>
      <c r="I50" s="66" cm="1">
        <f t="array" ref="I50">IF(ISERROR(FIND(CONT_SUP[[#This Row],[PayScalePointCode]],_xlfn.TEXTJOIN(",",TRUE,IF(PSPOINTS[PayScaleCode]=CONT_SUP[[#This Row],[PayScaleCode]],PSPOINTS[PayScalePointCode])))),1,0)</f>
        <v>0</v>
      </c>
      <c r="J50" s="57" cm="1">
        <f t="array" ref="J5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50" s="66">
        <f>IF(_xlfn.XLOOKUP(CONT_SUP[[#This Row],[PayScalePointCode]],PSPOINTS[PayScalePointCode],PSPOINTS[PayScalePointEnabled])=TRUE,0,1)</f>
        <v>0</v>
      </c>
      <c r="L50" s="57" cm="1">
        <f t="array" ref="L50">IF(_xlfn.XLOOKUP(CONT_SUP[[#This Row],[DepartmentCode]],DEPTS[DepartmentCode],DEPTS[AvailableToAllSchools],1,0,)=TRUE,0,IF(ISERROR(FIND(CONT_SUP[[#This Row],[SchoolCode]],_xlfn.TEXTJOIN(",",TRUE,_xlfn.UNIQUE(IF(DEPTS[DepartmentCode]=CONT_SUP[[#This Row],[DepartmentCode]],DEPTS[SchoolCodes],""))))),1,0))</f>
        <v>0</v>
      </c>
      <c r="M50" s="57">
        <f>IFERROR(IF(_xlfn.XLOOKUP(CONT_SUP[[#This Row],[SRG Gross]],FinanceCodesBudget[FinanceCode],FinanceCodesBudget[LedgerCode])=_xlfn.XLOOKUP(CONT_SUP[[#This Row],[DepartmentCode]],DEPTS[DepartmentCode],DEPTS[LedgerCode]),0,1),1)</f>
        <v>0</v>
      </c>
      <c r="N50" s="66" cm="1">
        <f t="array" ref="N50">IF(_xlfn.XLOOKUP(CONT_SUP[[#This Row],[PensionCode]],PENS[PensionCode],PENS[AvailableToAllSchools],1,0,)=TRUE,0,IF(ISERROR(FIND(CONT_SUP[[#This Row],[SchoolCode]],_xlfn.TEXTJOIN(",",TRUE,_xlfn.UNIQUE(IF(PENS[PensionCode]=CONT_SUP[[#This Row],[PensionCode]],PENS[SchoolCodes],""))))),1,0))</f>
        <v>0</v>
      </c>
      <c r="O50" s="66" cm="1">
        <f t="array" ref="O50">IF(_xlfn.XLOOKUP(CONT_SUP[[#This Row],[EquatedWeekPatternCode]],EQW[EquatedWeekPatternCode],EQW[AvailableToAllSchools],1,0,)=TRUE,0,IF(ISERROR(FIND(CONT_SUP[[#This Row],[SchoolCode]],_xlfn.TEXTJOIN(",",TRUE,_xlfn.UNIQUE(IF(EQW[EquatedWeekPatternCode]=CONT_SUP[[#This Row],[EquatedWeekPatternCode]],EQW[SchoolCodes],""))))),1,0))</f>
        <v>0</v>
      </c>
      <c r="P50" s="57">
        <f>1-COUNTIF(ContractTypes[Code],CONT_SUP[[#This Row],[ContractTypeCode]])</f>
        <v>0</v>
      </c>
      <c r="Q50" s="57">
        <f>IF(VLOOKUP(CONT_SUP[[#This Row],[StaffMemberCode]],MEMBERS[[StaffMemberCode]:[ServiceStartDate]],5,0)&gt;CONT_SUP[[#This Row],[DateFrom]],1,0)</f>
        <v>0</v>
      </c>
      <c r="R50" s="57">
        <f>IF(_xlfn.XLOOKUP(CONT_SUP[[#This Row],[StaffMemberCode]],MEMBERS[StaffMemberCode],MEMBERS[ServiceEndDate])="",0,IF(CONT_SUP[[#This Row],[DateTo]]="",1,IF(_xlfn.XLOOKUP(CONT_SUP[[#This Row],[StaffMemberCode]],MEMBERS[StaffMemberCode],MEMBERS[ServiceEndDate])&lt;CONT_SUP[[#This Row],[DateTo]],1,0)))</f>
        <v>0</v>
      </c>
      <c r="S50" s="57">
        <f>IF(ISBLANK(CONT_SUP[[#This Row],[DateTo]]),0,IF(CONT_SUP[[#This Row],[DateFrom]]=CONT_SUP[[#This Row],[DateTo]],0,IF(CONT_SUP[[#This Row],[DateFrom]]&lt;CONT_SUP[[#This Row],[DateTo]],0,1)))</f>
        <v>0</v>
      </c>
      <c r="T50" s="57" cm="1">
        <f t="array" aca="1" ref="T50" ca="1">IF(CELL("format",CONT_SUP[[#This Row],[DateFrom]])="D1",0,1)+IF(CELL("format",CONT_SUP[[#This Row],[DateTo]])="D1",0,1)</f>
        <v>0</v>
      </c>
      <c r="U50" s="57">
        <f>IF(OR(CONT_SUP[[#This Row],[MatEditOnly]]=TRUE,CONT_SUP[[#This Row],[MatEditOnly]]=FALSE),IF(OR(CONT_SUP[[#This Row],[NoIncrement]]=TRUE,CONT_SUP[[#This Row],[NoIncrement]]=FALSE),0,1),1)</f>
        <v>0</v>
      </c>
      <c r="V50" s="57">
        <f>IF(ISBLANK(CONT_SUP[[#This Row],[FundCode]])=TRUE,0,IF(COUNTIF(FUNDS[FundCode],CONT_SUP[[#This Row],[FundCode]])=1,0,1))</f>
        <v>0</v>
      </c>
      <c r="W50" s="57">
        <f>IF(LEN(CONT_SUP[[#This Row],[Notes]])&lt;4000,0,1)</f>
        <v>0</v>
      </c>
      <c r="X50" s="57">
        <f>IF(SUBSTITUTE(TEXT(CONT_SUP[[#This Row],[Reference]],10)," ","")=TEXT(CONT_SUP[[#This Row],[Reference]],10),0,1)</f>
        <v>0</v>
      </c>
      <c r="Y50" s="57">
        <f ca="1">SUM(CONT_SUP[[#This Row],[Duplicate Contract]:[Space in Code]])</f>
        <v>0</v>
      </c>
      <c r="AA50" s="12" t="s">
        <v>2266</v>
      </c>
      <c r="AB50" s="63">
        <v>91073862</v>
      </c>
      <c r="AC50" s="63" t="s">
        <v>4648</v>
      </c>
      <c r="AD50" s="57" t="str">
        <f>_xlfn.XLOOKUP(CONT_SUP[[#This Row],[StaffMemberCode]],StaffMembers!O:O,StaffMembers!R:R)</f>
        <v>Ayla Freeman</v>
      </c>
      <c r="AE50" s="12" t="s">
        <v>1190</v>
      </c>
      <c r="AF50" s="66">
        <f>_xlfn.XLOOKUP(CONT_SUP[[#This Row],[SRG]],SRG[StaffRoleGroupCode],SRG[GrossSalaryFinanceCode])</f>
        <v>630100</v>
      </c>
      <c r="AG50" s="57" t="str">
        <f>_xlfn.XLOOKUP(CONT_SUP[[#This Row],[StaffRoleCode]],ROLES[StaffRoleCode],ROLES[StaffRoleGroupCode])</f>
        <v>CLE</v>
      </c>
      <c r="AH50" s="57" t="str">
        <f>_xlfn.XLOOKUP(CONT_SUP[[#This Row],[StaffRoleCode]],ROLES[StaffRoleCode],ROLES[PayScaleCode])</f>
        <v>NJC_CHE</v>
      </c>
      <c r="AI50" s="12" t="s">
        <v>3120</v>
      </c>
      <c r="AJ50" s="12">
        <v>2</v>
      </c>
      <c r="AK50" s="12" t="s">
        <v>2495</v>
      </c>
      <c r="AM50" s="68" t="s">
        <v>1149</v>
      </c>
      <c r="AN50" s="12" t="s">
        <v>3137</v>
      </c>
      <c r="AO50" s="21">
        <v>45901</v>
      </c>
      <c r="AQ50" s="12">
        <v>10</v>
      </c>
      <c r="AR50" t="b">
        <v>0</v>
      </c>
      <c r="AS50" t="b">
        <v>0</v>
      </c>
      <c r="AT50" s="12" t="s">
        <v>1574</v>
      </c>
    </row>
    <row r="51" spans="1:46" x14ac:dyDescent="0.3">
      <c r="A51" s="57" t="str">
        <f t="shared" si="1"/>
        <v>MAT9107391391073913ACLESPREMMAT45901</v>
      </c>
      <c r="B51" s="57">
        <f>COUNTIF(CONT_SUP[Unique Contract],CONT_SUP[[#This Row],[Unique Contract]])-1</f>
        <v>0</v>
      </c>
      <c r="C51" s="57">
        <f>IFERROR(IF(FIND(CONT_SUP[[#This Row],[SchoolCode]],_xlfn.XLOOKUP(CONT_SUP[[#This Row],[StaffMemberCode]],MEMBERS[StaffMemberCode],MEMBERS[SchoolCodes]))&gt;0,0,1),1)</f>
        <v>0</v>
      </c>
      <c r="D51" s="57" cm="1">
        <f t="array" ref="D51">IF(_xlfn.XLOOKUP(CONT_SUP[[#This Row],[StaffRoleCode]],ROLES[StaffRoleCode],ROLES[AvailableToAllSchools],1,0,)=TRUE,0,IF(ISERROR(FIND(CONT_SUP[[#This Row],[SchoolCode]],_xlfn.TEXTJOIN(",",TRUE,_xlfn.UNIQUE(IF(ROLES[StaffRoleCode]=CONT_SUP[[#This Row],[StaffRoleCode]],ROLES[SchoolCodes],""))))),1,0))</f>
        <v>0</v>
      </c>
      <c r="E51" s="66" cm="1">
        <f t="array" ref="E5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51" s="57" cm="1">
        <f t="array" ref="F51">IF(_xlfn.XLOOKUP(CONT_SUP[[#This Row],[PayScaleCode]],PAYSCALES[PayScaleCode],PAYSCALES[AvailableToAllSchools],1,0,)=TRUE,0,IF(ISERROR(FIND(CONT_SUP[[#This Row],[SchoolCode]],_xlfn.TEXTJOIN(",",TRUE,_xlfn.UNIQUE(IF(PAYSCALES[PayScaleCode]=CONT_SUP[[#This Row],[PayScaleCode]],PAYSCALES[SchoolCodes],""))))),1,0))</f>
        <v>0</v>
      </c>
      <c r="G51" s="57">
        <f>IF(_xlfn.XLOOKUP(CONT_SUP[[#This Row],[PayScaleGradeCode]],GRADES[PayScaleGradeCode],GRADES[AvailableToAllSchools])=TRUE,0,IFERROR(IF(FIND(CONT_SUP[[#This Row],[SchoolCode]],_xlfn.XLOOKUP(CONT_SUP[[#This Row],[PayScaleGradeCode]],GRADES[PayScaleGradeCode],GRADES[SchoolCodes]))&gt;=1,0,1),1))</f>
        <v>0</v>
      </c>
      <c r="H51" s="66">
        <f>IF(ISERROR(IF((_xlfn.XLOOKUP(CONT_SUP[[#This Row],[PayScaleGradeCode]],GRADES[PayScaleGradeCode],GRADES[PayScaleCode])=CONT_SUP[[#This Row],[PayScaleCode]]),0,1)),1,0)</f>
        <v>0</v>
      </c>
      <c r="I51" s="66" cm="1">
        <f t="array" ref="I51">IF(ISERROR(FIND(CONT_SUP[[#This Row],[PayScalePointCode]],_xlfn.TEXTJOIN(",",TRUE,IF(PSPOINTS[PayScaleCode]=CONT_SUP[[#This Row],[PayScaleCode]],PSPOINTS[PayScalePointCode])))),1,0)</f>
        <v>0</v>
      </c>
      <c r="J51" s="57" cm="1">
        <f t="array" ref="J5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51" s="66">
        <f>IF(_xlfn.XLOOKUP(CONT_SUP[[#This Row],[PayScalePointCode]],PSPOINTS[PayScalePointCode],PSPOINTS[PayScalePointEnabled])=TRUE,0,1)</f>
        <v>0</v>
      </c>
      <c r="L51" s="57" cm="1">
        <f t="array" ref="L51">IF(_xlfn.XLOOKUP(CONT_SUP[[#This Row],[DepartmentCode]],DEPTS[DepartmentCode],DEPTS[AvailableToAllSchools],1,0,)=TRUE,0,IF(ISERROR(FIND(CONT_SUP[[#This Row],[SchoolCode]],_xlfn.TEXTJOIN(",",TRUE,_xlfn.UNIQUE(IF(DEPTS[DepartmentCode]=CONT_SUP[[#This Row],[DepartmentCode]],DEPTS[SchoolCodes],""))))),1,0))</f>
        <v>0</v>
      </c>
      <c r="M51" s="57">
        <f>IFERROR(IF(_xlfn.XLOOKUP(CONT_SUP[[#This Row],[SRG Gross]],FinanceCodesBudget[FinanceCode],FinanceCodesBudget[LedgerCode])=_xlfn.XLOOKUP(CONT_SUP[[#This Row],[DepartmentCode]],DEPTS[DepartmentCode],DEPTS[LedgerCode]),0,1),1)</f>
        <v>0</v>
      </c>
      <c r="N51" s="66" cm="1">
        <f t="array" ref="N51">IF(_xlfn.XLOOKUP(CONT_SUP[[#This Row],[PensionCode]],PENS[PensionCode],PENS[AvailableToAllSchools],1,0,)=TRUE,0,IF(ISERROR(FIND(CONT_SUP[[#This Row],[SchoolCode]],_xlfn.TEXTJOIN(",",TRUE,_xlfn.UNIQUE(IF(PENS[PensionCode]=CONT_SUP[[#This Row],[PensionCode]],PENS[SchoolCodes],""))))),1,0))</f>
        <v>0</v>
      </c>
      <c r="O51" s="66" cm="1">
        <f t="array" ref="O51">IF(_xlfn.XLOOKUP(CONT_SUP[[#This Row],[EquatedWeekPatternCode]],EQW[EquatedWeekPatternCode],EQW[AvailableToAllSchools],1,0,)=TRUE,0,IF(ISERROR(FIND(CONT_SUP[[#This Row],[SchoolCode]],_xlfn.TEXTJOIN(",",TRUE,_xlfn.UNIQUE(IF(EQW[EquatedWeekPatternCode]=CONT_SUP[[#This Row],[EquatedWeekPatternCode]],EQW[SchoolCodes],""))))),1,0))</f>
        <v>0</v>
      </c>
      <c r="P51" s="57">
        <f>1-COUNTIF(ContractTypes[Code],CONT_SUP[[#This Row],[ContractTypeCode]])</f>
        <v>0</v>
      </c>
      <c r="Q51" s="57">
        <f>IF(VLOOKUP(CONT_SUP[[#This Row],[StaffMemberCode]],MEMBERS[[StaffMemberCode]:[ServiceStartDate]],5,0)&gt;CONT_SUP[[#This Row],[DateFrom]],1,0)</f>
        <v>0</v>
      </c>
      <c r="R51" s="57">
        <f>IF(_xlfn.XLOOKUP(CONT_SUP[[#This Row],[StaffMemberCode]],MEMBERS[StaffMemberCode],MEMBERS[ServiceEndDate])="",0,IF(CONT_SUP[[#This Row],[DateTo]]="",1,IF(_xlfn.XLOOKUP(CONT_SUP[[#This Row],[StaffMemberCode]],MEMBERS[StaffMemberCode],MEMBERS[ServiceEndDate])&lt;CONT_SUP[[#This Row],[DateTo]],1,0)))</f>
        <v>0</v>
      </c>
      <c r="S51" s="57">
        <f>IF(ISBLANK(CONT_SUP[[#This Row],[DateTo]]),0,IF(CONT_SUP[[#This Row],[DateFrom]]=CONT_SUP[[#This Row],[DateTo]],0,IF(CONT_SUP[[#This Row],[DateFrom]]&lt;CONT_SUP[[#This Row],[DateTo]],0,1)))</f>
        <v>0</v>
      </c>
      <c r="T51" s="57" cm="1">
        <f t="array" aca="1" ref="T51" ca="1">IF(CELL("format",CONT_SUP[[#This Row],[DateFrom]])="D1",0,1)+IF(CELL("format",CONT_SUP[[#This Row],[DateTo]])="D1",0,1)</f>
        <v>0</v>
      </c>
      <c r="U51" s="57">
        <f>IF(OR(CONT_SUP[[#This Row],[MatEditOnly]]=TRUE,CONT_SUP[[#This Row],[MatEditOnly]]=FALSE),IF(OR(CONT_SUP[[#This Row],[NoIncrement]]=TRUE,CONT_SUP[[#This Row],[NoIncrement]]=FALSE),0,1),1)</f>
        <v>0</v>
      </c>
      <c r="V51" s="57">
        <f>IF(ISBLANK(CONT_SUP[[#This Row],[FundCode]])=TRUE,0,IF(COUNTIF(FUNDS[FundCode],CONT_SUP[[#This Row],[FundCode]])=1,0,1))</f>
        <v>0</v>
      </c>
      <c r="W51" s="57">
        <f>IF(LEN(CONT_SUP[[#This Row],[Notes]])&lt;4000,0,1)</f>
        <v>0</v>
      </c>
      <c r="X51" s="57">
        <f>IF(SUBSTITUTE(TEXT(CONT_SUP[[#This Row],[Reference]],10)," ","")=TEXT(CONT_SUP[[#This Row],[Reference]],10),0,1)</f>
        <v>0</v>
      </c>
      <c r="Y51" s="57">
        <f ca="1">SUM(CONT_SUP[[#This Row],[Duplicate Contract]:[Space in Code]])</f>
        <v>0</v>
      </c>
      <c r="AA51" s="12" t="s">
        <v>51</v>
      </c>
      <c r="AB51" s="63">
        <v>91073913</v>
      </c>
      <c r="AC51" s="63" t="s">
        <v>4649</v>
      </c>
      <c r="AD51" s="57" t="str">
        <f>_xlfn.XLOOKUP(CONT_SUP[[#This Row],[StaffMemberCode]],StaffMembers!O:O,StaffMembers!R:R)</f>
        <v>Carol Cooper</v>
      </c>
      <c r="AE51" s="12" t="s">
        <v>1190</v>
      </c>
      <c r="AF51" s="66">
        <f>_xlfn.XLOOKUP(CONT_SUP[[#This Row],[SRG]],SRG[StaffRoleGroupCode],SRG[GrossSalaryFinanceCode])</f>
        <v>630100</v>
      </c>
      <c r="AG51" s="57" t="str">
        <f>_xlfn.XLOOKUP(CONT_SUP[[#This Row],[StaffRoleCode]],ROLES[StaffRoleCode],ROLES[StaffRoleGroupCode])</f>
        <v>CLE</v>
      </c>
      <c r="AH51" s="57" t="str">
        <f>_xlfn.XLOOKUP(CONT_SUP[[#This Row],[StaffRoleCode]],ROLES[StaffRoleCode],ROLES[PayScaleCode])</f>
        <v>NJC_CHE</v>
      </c>
      <c r="AI51" s="12" t="s">
        <v>3124</v>
      </c>
      <c r="AJ51" s="12">
        <v>13</v>
      </c>
      <c r="AK51" s="12" t="s">
        <v>4927</v>
      </c>
      <c r="AM51" s="68" t="s">
        <v>3132</v>
      </c>
      <c r="AN51" s="12" t="s">
        <v>1702</v>
      </c>
      <c r="AO51" s="21">
        <v>45901</v>
      </c>
      <c r="AQ51" s="12">
        <v>37</v>
      </c>
      <c r="AR51" t="b">
        <v>0</v>
      </c>
      <c r="AS51" t="b">
        <v>0</v>
      </c>
      <c r="AT51" s="12" t="s">
        <v>1574</v>
      </c>
    </row>
    <row r="52" spans="1:46" x14ac:dyDescent="0.3">
      <c r="A52" s="57" t="str">
        <f t="shared" si="1"/>
        <v>BLS9107391291073912BCLESPREM45901</v>
      </c>
      <c r="B52" s="57">
        <f>COUNTIF(CONT_SUP[Unique Contract],CONT_SUP[[#This Row],[Unique Contract]])-1</f>
        <v>0</v>
      </c>
      <c r="C52" s="57">
        <f>IFERROR(IF(FIND(CONT_SUP[[#This Row],[SchoolCode]],_xlfn.XLOOKUP(CONT_SUP[[#This Row],[StaffMemberCode]],MEMBERS[StaffMemberCode],MEMBERS[SchoolCodes]))&gt;0,0,1),1)</f>
        <v>0</v>
      </c>
      <c r="D52" s="57" cm="1">
        <f t="array" ref="D52">IF(_xlfn.XLOOKUP(CONT_SUP[[#This Row],[StaffRoleCode]],ROLES[StaffRoleCode],ROLES[AvailableToAllSchools],1,0,)=TRUE,0,IF(ISERROR(FIND(CONT_SUP[[#This Row],[SchoolCode]],_xlfn.TEXTJOIN(",",TRUE,_xlfn.UNIQUE(IF(ROLES[StaffRoleCode]=CONT_SUP[[#This Row],[StaffRoleCode]],ROLES[SchoolCodes],""))))),1,0))</f>
        <v>0</v>
      </c>
      <c r="E52" s="66" cm="1">
        <f t="array" ref="E5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52" s="57" cm="1">
        <f t="array" ref="F52">IF(_xlfn.XLOOKUP(CONT_SUP[[#This Row],[PayScaleCode]],PAYSCALES[PayScaleCode],PAYSCALES[AvailableToAllSchools],1,0,)=TRUE,0,IF(ISERROR(FIND(CONT_SUP[[#This Row],[SchoolCode]],_xlfn.TEXTJOIN(",",TRUE,_xlfn.UNIQUE(IF(PAYSCALES[PayScaleCode]=CONT_SUP[[#This Row],[PayScaleCode]],PAYSCALES[SchoolCodes],""))))),1,0))</f>
        <v>0</v>
      </c>
      <c r="G52" s="57">
        <f>IF(_xlfn.XLOOKUP(CONT_SUP[[#This Row],[PayScaleGradeCode]],GRADES[PayScaleGradeCode],GRADES[AvailableToAllSchools])=TRUE,0,IFERROR(IF(FIND(CONT_SUP[[#This Row],[SchoolCode]],_xlfn.XLOOKUP(CONT_SUP[[#This Row],[PayScaleGradeCode]],GRADES[PayScaleGradeCode],GRADES[SchoolCodes]))&gt;=1,0,1),1))</f>
        <v>0</v>
      </c>
      <c r="H52" s="66">
        <f>IF(ISERROR(IF((_xlfn.XLOOKUP(CONT_SUP[[#This Row],[PayScaleGradeCode]],GRADES[PayScaleGradeCode],GRADES[PayScaleCode])=CONT_SUP[[#This Row],[PayScaleCode]]),0,1)),1,0)</f>
        <v>0</v>
      </c>
      <c r="I52" s="66" cm="1">
        <f t="array" ref="I52">IF(ISERROR(FIND(CONT_SUP[[#This Row],[PayScalePointCode]],_xlfn.TEXTJOIN(",",TRUE,IF(PSPOINTS[PayScaleCode]=CONT_SUP[[#This Row],[PayScaleCode]],PSPOINTS[PayScalePointCode])))),1,0)</f>
        <v>0</v>
      </c>
      <c r="J52" s="57" cm="1">
        <f t="array" ref="J5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52" s="66">
        <f>IF(_xlfn.XLOOKUP(CONT_SUP[[#This Row],[PayScalePointCode]],PSPOINTS[PayScalePointCode],PSPOINTS[PayScalePointEnabled])=TRUE,0,1)</f>
        <v>0</v>
      </c>
      <c r="L52" s="57" cm="1">
        <f t="array" ref="L52">IF(_xlfn.XLOOKUP(CONT_SUP[[#This Row],[DepartmentCode]],DEPTS[DepartmentCode],DEPTS[AvailableToAllSchools],1,0,)=TRUE,0,IF(ISERROR(FIND(CONT_SUP[[#This Row],[SchoolCode]],_xlfn.TEXTJOIN(",",TRUE,_xlfn.UNIQUE(IF(DEPTS[DepartmentCode]=CONT_SUP[[#This Row],[DepartmentCode]],DEPTS[SchoolCodes],""))))),1,0))</f>
        <v>0</v>
      </c>
      <c r="M52" s="57">
        <f>IFERROR(IF(_xlfn.XLOOKUP(CONT_SUP[[#This Row],[SRG Gross]],FinanceCodesBudget[FinanceCode],FinanceCodesBudget[LedgerCode])=_xlfn.XLOOKUP(CONT_SUP[[#This Row],[DepartmentCode]],DEPTS[DepartmentCode],DEPTS[LedgerCode]),0,1),1)</f>
        <v>0</v>
      </c>
      <c r="N52" s="66" cm="1">
        <f t="array" ref="N52">IF(_xlfn.XLOOKUP(CONT_SUP[[#This Row],[PensionCode]],PENS[PensionCode],PENS[AvailableToAllSchools],1,0,)=TRUE,0,IF(ISERROR(FIND(CONT_SUP[[#This Row],[SchoolCode]],_xlfn.TEXTJOIN(",",TRUE,_xlfn.UNIQUE(IF(PENS[PensionCode]=CONT_SUP[[#This Row],[PensionCode]],PENS[SchoolCodes],""))))),1,0))</f>
        <v>0</v>
      </c>
      <c r="O52" s="66" cm="1">
        <f t="array" ref="O52">IF(_xlfn.XLOOKUP(CONT_SUP[[#This Row],[EquatedWeekPatternCode]],EQW[EquatedWeekPatternCode],EQW[AvailableToAllSchools],1,0,)=TRUE,0,IF(ISERROR(FIND(CONT_SUP[[#This Row],[SchoolCode]],_xlfn.TEXTJOIN(",",TRUE,_xlfn.UNIQUE(IF(EQW[EquatedWeekPatternCode]=CONT_SUP[[#This Row],[EquatedWeekPatternCode]],EQW[SchoolCodes],""))))),1,0))</f>
        <v>0</v>
      </c>
      <c r="P52" s="57">
        <f>1-COUNTIF(ContractTypes[Code],CONT_SUP[[#This Row],[ContractTypeCode]])</f>
        <v>0</v>
      </c>
      <c r="Q52" s="57">
        <f>IF(VLOOKUP(CONT_SUP[[#This Row],[StaffMemberCode]],MEMBERS[[StaffMemberCode]:[ServiceStartDate]],5,0)&gt;CONT_SUP[[#This Row],[DateFrom]],1,0)</f>
        <v>0</v>
      </c>
      <c r="R52" s="57">
        <f>IF(_xlfn.XLOOKUP(CONT_SUP[[#This Row],[StaffMemberCode]],MEMBERS[StaffMemberCode],MEMBERS[ServiceEndDate])="",0,IF(CONT_SUP[[#This Row],[DateTo]]="",1,IF(_xlfn.XLOOKUP(CONT_SUP[[#This Row],[StaffMemberCode]],MEMBERS[StaffMemberCode],MEMBERS[ServiceEndDate])&lt;CONT_SUP[[#This Row],[DateTo]],1,0)))</f>
        <v>0</v>
      </c>
      <c r="S52" s="57">
        <f>IF(ISBLANK(CONT_SUP[[#This Row],[DateTo]]),0,IF(CONT_SUP[[#This Row],[DateFrom]]=CONT_SUP[[#This Row],[DateTo]],0,IF(CONT_SUP[[#This Row],[DateFrom]]&lt;CONT_SUP[[#This Row],[DateTo]],0,1)))</f>
        <v>0</v>
      </c>
      <c r="T52" s="57" cm="1">
        <f t="array" aca="1" ref="T52" ca="1">IF(CELL("format",CONT_SUP[[#This Row],[DateFrom]])="D1",0,1)+IF(CELL("format",CONT_SUP[[#This Row],[DateTo]])="D1",0,1)</f>
        <v>0</v>
      </c>
      <c r="U52" s="57">
        <f>IF(OR(CONT_SUP[[#This Row],[MatEditOnly]]=TRUE,CONT_SUP[[#This Row],[MatEditOnly]]=FALSE),IF(OR(CONT_SUP[[#This Row],[NoIncrement]]=TRUE,CONT_SUP[[#This Row],[NoIncrement]]=FALSE),0,1),1)</f>
        <v>0</v>
      </c>
      <c r="V52" s="57">
        <f>IF(ISBLANK(CONT_SUP[[#This Row],[FundCode]])=TRUE,0,IF(COUNTIF(FUNDS[FundCode],CONT_SUP[[#This Row],[FundCode]])=1,0,1))</f>
        <v>0</v>
      </c>
      <c r="W52" s="57">
        <f>IF(LEN(CONT_SUP[[#This Row],[Notes]])&lt;4000,0,1)</f>
        <v>0</v>
      </c>
      <c r="X52" s="57">
        <f>IF(SUBSTITUTE(TEXT(CONT_SUP[[#This Row],[Reference]],10)," ","")=TEXT(CONT_SUP[[#This Row],[Reference]],10),0,1)</f>
        <v>0</v>
      </c>
      <c r="Y52" s="57">
        <f ca="1">SUM(CONT_SUP[[#This Row],[Duplicate Contract]:[Space in Code]])</f>
        <v>0</v>
      </c>
      <c r="AA52" s="12" t="s">
        <v>2094</v>
      </c>
      <c r="AB52" s="63">
        <v>91073912</v>
      </c>
      <c r="AC52" s="63" t="s">
        <v>4650</v>
      </c>
      <c r="AD52" s="57" t="str">
        <f>_xlfn.XLOOKUP(CONT_SUP[[#This Row],[StaffMemberCode]],StaffMembers!O:O,StaffMembers!R:R)</f>
        <v>Claire Clarke</v>
      </c>
      <c r="AE52" s="12" t="s">
        <v>1190</v>
      </c>
      <c r="AF52" s="66">
        <f>_xlfn.XLOOKUP(CONT_SUP[[#This Row],[SRG]],SRG[StaffRoleGroupCode],SRG[GrossSalaryFinanceCode])</f>
        <v>630100</v>
      </c>
      <c r="AG52" s="57" t="str">
        <f>_xlfn.XLOOKUP(CONT_SUP[[#This Row],[StaffRoleCode]],ROLES[StaffRoleCode],ROLES[StaffRoleGroupCode])</f>
        <v>CLE</v>
      </c>
      <c r="AH52" s="57" t="str">
        <f>_xlfn.XLOOKUP(CONT_SUP[[#This Row],[StaffRoleCode]],ROLES[StaffRoleCode],ROLES[PayScaleCode])</f>
        <v>NJC_CHE</v>
      </c>
      <c r="AI52" s="12" t="s">
        <v>3120</v>
      </c>
      <c r="AJ52" s="12">
        <v>2</v>
      </c>
      <c r="AK52" s="12" t="s">
        <v>2495</v>
      </c>
      <c r="AM52" s="68" t="s">
        <v>3132</v>
      </c>
      <c r="AN52" s="12" t="s">
        <v>3137</v>
      </c>
      <c r="AO52" s="21">
        <v>45901</v>
      </c>
      <c r="AP52" s="21">
        <v>45963</v>
      </c>
      <c r="AQ52" s="12">
        <v>20</v>
      </c>
      <c r="AR52" t="b">
        <v>0</v>
      </c>
      <c r="AS52" t="b">
        <v>0</v>
      </c>
      <c r="AT52" s="12" t="s">
        <v>1574</v>
      </c>
    </row>
    <row r="53" spans="1:46" x14ac:dyDescent="0.3">
      <c r="A53" s="57" t="str">
        <f t="shared" si="1"/>
        <v>BLS9107354191073541ACLESPREM45901</v>
      </c>
      <c r="B53" s="57">
        <f>COUNTIF(CONT_SUP[Unique Contract],CONT_SUP[[#This Row],[Unique Contract]])-1</f>
        <v>0</v>
      </c>
      <c r="C53" s="57">
        <f>IFERROR(IF(FIND(CONT_SUP[[#This Row],[SchoolCode]],_xlfn.XLOOKUP(CONT_SUP[[#This Row],[StaffMemberCode]],MEMBERS[StaffMemberCode],MEMBERS[SchoolCodes]))&gt;0,0,1),1)</f>
        <v>0</v>
      </c>
      <c r="D53" s="57" cm="1">
        <f t="array" ref="D53">IF(_xlfn.XLOOKUP(CONT_SUP[[#This Row],[StaffRoleCode]],ROLES[StaffRoleCode],ROLES[AvailableToAllSchools],1,0,)=TRUE,0,IF(ISERROR(FIND(CONT_SUP[[#This Row],[SchoolCode]],_xlfn.TEXTJOIN(",",TRUE,_xlfn.UNIQUE(IF(ROLES[StaffRoleCode]=CONT_SUP[[#This Row],[StaffRoleCode]],ROLES[SchoolCodes],""))))),1,0))</f>
        <v>0</v>
      </c>
      <c r="E53" s="66" cm="1">
        <f t="array" ref="E5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53" s="57" cm="1">
        <f t="array" ref="F53">IF(_xlfn.XLOOKUP(CONT_SUP[[#This Row],[PayScaleCode]],PAYSCALES[PayScaleCode],PAYSCALES[AvailableToAllSchools],1,0,)=TRUE,0,IF(ISERROR(FIND(CONT_SUP[[#This Row],[SchoolCode]],_xlfn.TEXTJOIN(",",TRUE,_xlfn.UNIQUE(IF(PAYSCALES[PayScaleCode]=CONT_SUP[[#This Row],[PayScaleCode]],PAYSCALES[SchoolCodes],""))))),1,0))</f>
        <v>0</v>
      </c>
      <c r="G53" s="57">
        <f>IF(_xlfn.XLOOKUP(CONT_SUP[[#This Row],[PayScaleGradeCode]],GRADES[PayScaleGradeCode],GRADES[AvailableToAllSchools])=TRUE,0,IFERROR(IF(FIND(CONT_SUP[[#This Row],[SchoolCode]],_xlfn.XLOOKUP(CONT_SUP[[#This Row],[PayScaleGradeCode]],GRADES[PayScaleGradeCode],GRADES[SchoolCodes]))&gt;=1,0,1),1))</f>
        <v>0</v>
      </c>
      <c r="H53" s="66">
        <f>IF(ISERROR(IF((_xlfn.XLOOKUP(CONT_SUP[[#This Row],[PayScaleGradeCode]],GRADES[PayScaleGradeCode],GRADES[PayScaleCode])=CONT_SUP[[#This Row],[PayScaleCode]]),0,1)),1,0)</f>
        <v>0</v>
      </c>
      <c r="I53" s="66" cm="1">
        <f t="array" ref="I53">IF(ISERROR(FIND(CONT_SUP[[#This Row],[PayScalePointCode]],_xlfn.TEXTJOIN(",",TRUE,IF(PSPOINTS[PayScaleCode]=CONT_SUP[[#This Row],[PayScaleCode]],PSPOINTS[PayScalePointCode])))),1,0)</f>
        <v>0</v>
      </c>
      <c r="J53" s="57" cm="1">
        <f t="array" ref="J5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53" s="66">
        <f>IF(_xlfn.XLOOKUP(CONT_SUP[[#This Row],[PayScalePointCode]],PSPOINTS[PayScalePointCode],PSPOINTS[PayScalePointEnabled])=TRUE,0,1)</f>
        <v>0</v>
      </c>
      <c r="L53" s="57" cm="1">
        <f t="array" ref="L53">IF(_xlfn.XLOOKUP(CONT_SUP[[#This Row],[DepartmentCode]],DEPTS[DepartmentCode],DEPTS[AvailableToAllSchools],1,0,)=TRUE,0,IF(ISERROR(FIND(CONT_SUP[[#This Row],[SchoolCode]],_xlfn.TEXTJOIN(",",TRUE,_xlfn.UNIQUE(IF(DEPTS[DepartmentCode]=CONT_SUP[[#This Row],[DepartmentCode]],DEPTS[SchoolCodes],""))))),1,0))</f>
        <v>0</v>
      </c>
      <c r="M53" s="57">
        <f>IFERROR(IF(_xlfn.XLOOKUP(CONT_SUP[[#This Row],[SRG Gross]],FinanceCodesBudget[FinanceCode],FinanceCodesBudget[LedgerCode])=_xlfn.XLOOKUP(CONT_SUP[[#This Row],[DepartmentCode]],DEPTS[DepartmentCode],DEPTS[LedgerCode]),0,1),1)</f>
        <v>0</v>
      </c>
      <c r="N53" s="66" cm="1">
        <f t="array" ref="N53">IF(_xlfn.XLOOKUP(CONT_SUP[[#This Row],[PensionCode]],PENS[PensionCode],PENS[AvailableToAllSchools],1,0,)=TRUE,0,IF(ISERROR(FIND(CONT_SUP[[#This Row],[SchoolCode]],_xlfn.TEXTJOIN(",",TRUE,_xlfn.UNIQUE(IF(PENS[PensionCode]=CONT_SUP[[#This Row],[PensionCode]],PENS[SchoolCodes],""))))),1,0))</f>
        <v>0</v>
      </c>
      <c r="O53" s="66" cm="1">
        <f t="array" ref="O53">IF(_xlfn.XLOOKUP(CONT_SUP[[#This Row],[EquatedWeekPatternCode]],EQW[EquatedWeekPatternCode],EQW[AvailableToAllSchools],1,0,)=TRUE,0,IF(ISERROR(FIND(CONT_SUP[[#This Row],[SchoolCode]],_xlfn.TEXTJOIN(",",TRUE,_xlfn.UNIQUE(IF(EQW[EquatedWeekPatternCode]=CONT_SUP[[#This Row],[EquatedWeekPatternCode]],EQW[SchoolCodes],""))))),1,0))</f>
        <v>0</v>
      </c>
      <c r="P53" s="57">
        <f>1-COUNTIF(ContractTypes[Code],CONT_SUP[[#This Row],[ContractTypeCode]])</f>
        <v>0</v>
      </c>
      <c r="Q53" s="57">
        <f>IF(VLOOKUP(CONT_SUP[[#This Row],[StaffMemberCode]],MEMBERS[[StaffMemberCode]:[ServiceStartDate]],5,0)&gt;CONT_SUP[[#This Row],[DateFrom]],1,0)</f>
        <v>0</v>
      </c>
      <c r="R53" s="57">
        <f>IF(_xlfn.XLOOKUP(CONT_SUP[[#This Row],[StaffMemberCode]],MEMBERS[StaffMemberCode],MEMBERS[ServiceEndDate])="",0,IF(CONT_SUP[[#This Row],[DateTo]]="",1,IF(_xlfn.XLOOKUP(CONT_SUP[[#This Row],[StaffMemberCode]],MEMBERS[StaffMemberCode],MEMBERS[ServiceEndDate])&lt;CONT_SUP[[#This Row],[DateTo]],1,0)))</f>
        <v>0</v>
      </c>
      <c r="S53" s="57">
        <f>IF(ISBLANK(CONT_SUP[[#This Row],[DateTo]]),0,IF(CONT_SUP[[#This Row],[DateFrom]]=CONT_SUP[[#This Row],[DateTo]],0,IF(CONT_SUP[[#This Row],[DateFrom]]&lt;CONT_SUP[[#This Row],[DateTo]],0,1)))</f>
        <v>0</v>
      </c>
      <c r="T53" s="57" cm="1">
        <f t="array" aca="1" ref="T53" ca="1">IF(CELL("format",CONT_SUP[[#This Row],[DateFrom]])="D1",0,1)+IF(CELL("format",CONT_SUP[[#This Row],[DateTo]])="D1",0,1)</f>
        <v>0</v>
      </c>
      <c r="U53" s="57">
        <f>IF(OR(CONT_SUP[[#This Row],[MatEditOnly]]=TRUE,CONT_SUP[[#This Row],[MatEditOnly]]=FALSE),IF(OR(CONT_SUP[[#This Row],[NoIncrement]]=TRUE,CONT_SUP[[#This Row],[NoIncrement]]=FALSE),0,1),1)</f>
        <v>0</v>
      </c>
      <c r="V53" s="57">
        <f>IF(ISBLANK(CONT_SUP[[#This Row],[FundCode]])=TRUE,0,IF(COUNTIF(FUNDS[FundCode],CONT_SUP[[#This Row],[FundCode]])=1,0,1))</f>
        <v>0</v>
      </c>
      <c r="W53" s="57">
        <f>IF(LEN(CONT_SUP[[#This Row],[Notes]])&lt;4000,0,1)</f>
        <v>0</v>
      </c>
      <c r="X53" s="57">
        <f>IF(SUBSTITUTE(TEXT(CONT_SUP[[#This Row],[Reference]],10)," ","")=TEXT(CONT_SUP[[#This Row],[Reference]],10),0,1)</f>
        <v>0</v>
      </c>
      <c r="Y53" s="57">
        <f ca="1">SUM(CONT_SUP[[#This Row],[Duplicate Contract]:[Space in Code]])</f>
        <v>0</v>
      </c>
      <c r="AA53" s="12" t="s">
        <v>2094</v>
      </c>
      <c r="AB53" s="63">
        <v>91073541</v>
      </c>
      <c r="AC53" s="63" t="s">
        <v>4651</v>
      </c>
      <c r="AD53" s="57" t="str">
        <f>_xlfn.XLOOKUP(CONT_SUP[[#This Row],[StaffMemberCode]],StaffMembers!O:O,StaffMembers!R:R)</f>
        <v>David Slinn</v>
      </c>
      <c r="AE53" s="12" t="s">
        <v>1190</v>
      </c>
      <c r="AF53" s="66">
        <f>_xlfn.XLOOKUP(CONT_SUP[[#This Row],[SRG]],SRG[StaffRoleGroupCode],SRG[GrossSalaryFinanceCode])</f>
        <v>630100</v>
      </c>
      <c r="AG53" s="57" t="str">
        <f>_xlfn.XLOOKUP(CONT_SUP[[#This Row],[StaffRoleCode]],ROLES[StaffRoleCode],ROLES[StaffRoleGroupCode])</f>
        <v>CLE</v>
      </c>
      <c r="AH53" s="57" t="str">
        <f>_xlfn.XLOOKUP(CONT_SUP[[#This Row],[StaffRoleCode]],ROLES[StaffRoleCode],ROLES[PayScaleCode])</f>
        <v>NJC_CHE</v>
      </c>
      <c r="AI53" s="12" t="s">
        <v>3120</v>
      </c>
      <c r="AJ53" s="12">
        <v>2</v>
      </c>
      <c r="AK53" s="12" t="s">
        <v>2495</v>
      </c>
      <c r="AM53" s="68" t="s">
        <v>1149</v>
      </c>
      <c r="AN53" s="12" t="s">
        <v>3137</v>
      </c>
      <c r="AO53" s="21">
        <v>45901</v>
      </c>
      <c r="AQ53" s="12">
        <v>20</v>
      </c>
      <c r="AR53" t="b">
        <v>0</v>
      </c>
      <c r="AS53" t="b">
        <v>0</v>
      </c>
      <c r="AT53" s="12" t="s">
        <v>1574</v>
      </c>
    </row>
    <row r="54" spans="1:46" x14ac:dyDescent="0.3">
      <c r="A54" s="57" t="str">
        <f t="shared" si="1"/>
        <v>WVP9185004691850046ACLESPREM45903</v>
      </c>
      <c r="B54" s="57">
        <f>COUNTIF(CONT_SUP[Unique Contract],CONT_SUP[[#This Row],[Unique Contract]])-1</f>
        <v>0</v>
      </c>
      <c r="C54" s="57">
        <f>IFERROR(IF(FIND(CONT_SUP[[#This Row],[SchoolCode]],_xlfn.XLOOKUP(CONT_SUP[[#This Row],[StaffMemberCode]],MEMBERS[StaffMemberCode],MEMBERS[SchoolCodes]))&gt;0,0,1),1)</f>
        <v>0</v>
      </c>
      <c r="D54" s="57" cm="1">
        <f t="array" ref="D54">IF(_xlfn.XLOOKUP(CONT_SUP[[#This Row],[StaffRoleCode]],ROLES[StaffRoleCode],ROLES[AvailableToAllSchools],1,0,)=TRUE,0,IF(ISERROR(FIND(CONT_SUP[[#This Row],[SchoolCode]],_xlfn.TEXTJOIN(",",TRUE,_xlfn.UNIQUE(IF(ROLES[StaffRoleCode]=CONT_SUP[[#This Row],[StaffRoleCode]],ROLES[SchoolCodes],""))))),1,0))</f>
        <v>0</v>
      </c>
      <c r="E54" s="66" cm="1">
        <f t="array" ref="E5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54" s="57" cm="1">
        <f t="array" ref="F54">IF(_xlfn.XLOOKUP(CONT_SUP[[#This Row],[PayScaleCode]],PAYSCALES[PayScaleCode],PAYSCALES[AvailableToAllSchools],1,0,)=TRUE,0,IF(ISERROR(FIND(CONT_SUP[[#This Row],[SchoolCode]],_xlfn.TEXTJOIN(",",TRUE,_xlfn.UNIQUE(IF(PAYSCALES[PayScaleCode]=CONT_SUP[[#This Row],[PayScaleCode]],PAYSCALES[SchoolCodes],""))))),1,0))</f>
        <v>0</v>
      </c>
      <c r="G54" s="57">
        <f>IF(_xlfn.XLOOKUP(CONT_SUP[[#This Row],[PayScaleGradeCode]],GRADES[PayScaleGradeCode],GRADES[AvailableToAllSchools])=TRUE,0,IFERROR(IF(FIND(CONT_SUP[[#This Row],[SchoolCode]],_xlfn.XLOOKUP(CONT_SUP[[#This Row],[PayScaleGradeCode]],GRADES[PayScaleGradeCode],GRADES[SchoolCodes]))&gt;=1,0,1),1))</f>
        <v>0</v>
      </c>
      <c r="H54" s="66">
        <f>IF(ISERROR(IF((_xlfn.XLOOKUP(CONT_SUP[[#This Row],[PayScaleGradeCode]],GRADES[PayScaleGradeCode],GRADES[PayScaleCode])=CONT_SUP[[#This Row],[PayScaleCode]]),0,1)),1,0)</f>
        <v>0</v>
      </c>
      <c r="I54" s="66" cm="1">
        <f t="array" ref="I54">IF(ISERROR(FIND(CONT_SUP[[#This Row],[PayScalePointCode]],_xlfn.TEXTJOIN(",",TRUE,IF(PSPOINTS[PayScaleCode]=CONT_SUP[[#This Row],[PayScaleCode]],PSPOINTS[PayScalePointCode])))),1,0)</f>
        <v>0</v>
      </c>
      <c r="J54" s="57" cm="1">
        <f t="array" ref="J5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54" s="66">
        <f>IF(_xlfn.XLOOKUP(CONT_SUP[[#This Row],[PayScalePointCode]],PSPOINTS[PayScalePointCode],PSPOINTS[PayScalePointEnabled])=TRUE,0,1)</f>
        <v>0</v>
      </c>
      <c r="L54" s="57" cm="1">
        <f t="array" ref="L54">IF(_xlfn.XLOOKUP(CONT_SUP[[#This Row],[DepartmentCode]],DEPTS[DepartmentCode],DEPTS[AvailableToAllSchools],1,0,)=TRUE,0,IF(ISERROR(FIND(CONT_SUP[[#This Row],[SchoolCode]],_xlfn.TEXTJOIN(",",TRUE,_xlfn.UNIQUE(IF(DEPTS[DepartmentCode]=CONT_SUP[[#This Row],[DepartmentCode]],DEPTS[SchoolCodes],""))))),1,0))</f>
        <v>0</v>
      </c>
      <c r="M54" s="57">
        <f>IFERROR(IF(_xlfn.XLOOKUP(CONT_SUP[[#This Row],[SRG Gross]],FinanceCodesBudget[FinanceCode],FinanceCodesBudget[LedgerCode])=_xlfn.XLOOKUP(CONT_SUP[[#This Row],[DepartmentCode]],DEPTS[DepartmentCode],DEPTS[LedgerCode]),0,1),1)</f>
        <v>0</v>
      </c>
      <c r="N54" s="66" cm="1">
        <f t="array" ref="N54">IF(_xlfn.XLOOKUP(CONT_SUP[[#This Row],[PensionCode]],PENS[PensionCode],PENS[AvailableToAllSchools],1,0,)=TRUE,0,IF(ISERROR(FIND(CONT_SUP[[#This Row],[SchoolCode]],_xlfn.TEXTJOIN(",",TRUE,_xlfn.UNIQUE(IF(PENS[PensionCode]=CONT_SUP[[#This Row],[PensionCode]],PENS[SchoolCodes],""))))),1,0))</f>
        <v>0</v>
      </c>
      <c r="O54" s="66" cm="1">
        <f t="array" ref="O54">IF(_xlfn.XLOOKUP(CONT_SUP[[#This Row],[EquatedWeekPatternCode]],EQW[EquatedWeekPatternCode],EQW[AvailableToAllSchools],1,0,)=TRUE,0,IF(ISERROR(FIND(CONT_SUP[[#This Row],[SchoolCode]],_xlfn.TEXTJOIN(",",TRUE,_xlfn.UNIQUE(IF(EQW[EquatedWeekPatternCode]=CONT_SUP[[#This Row],[EquatedWeekPatternCode]],EQW[SchoolCodes],""))))),1,0))</f>
        <v>0</v>
      </c>
      <c r="P54" s="57">
        <f>1-COUNTIF(ContractTypes[Code],CONT_SUP[[#This Row],[ContractTypeCode]])</f>
        <v>0</v>
      </c>
      <c r="Q54" s="57">
        <f>IF(VLOOKUP(CONT_SUP[[#This Row],[StaffMemberCode]],MEMBERS[[StaffMemberCode]:[ServiceStartDate]],5,0)&gt;CONT_SUP[[#This Row],[DateFrom]],1,0)</f>
        <v>0</v>
      </c>
      <c r="R54" s="57">
        <f>IF(_xlfn.XLOOKUP(CONT_SUP[[#This Row],[StaffMemberCode]],MEMBERS[StaffMemberCode],MEMBERS[ServiceEndDate])="",0,IF(CONT_SUP[[#This Row],[DateTo]]="",1,IF(_xlfn.XLOOKUP(CONT_SUP[[#This Row],[StaffMemberCode]],MEMBERS[StaffMemberCode],MEMBERS[ServiceEndDate])&lt;CONT_SUP[[#This Row],[DateTo]],1,0)))</f>
        <v>0</v>
      </c>
      <c r="S54" s="57">
        <f>IF(ISBLANK(CONT_SUP[[#This Row],[DateTo]]),0,IF(CONT_SUP[[#This Row],[DateFrom]]=CONT_SUP[[#This Row],[DateTo]],0,IF(CONT_SUP[[#This Row],[DateFrom]]&lt;CONT_SUP[[#This Row],[DateTo]],0,1)))</f>
        <v>0</v>
      </c>
      <c r="T54" s="57" cm="1">
        <f t="array" aca="1" ref="T54" ca="1">IF(CELL("format",CONT_SUP[[#This Row],[DateFrom]])="D1",0,1)+IF(CELL("format",CONT_SUP[[#This Row],[DateTo]])="D1",0,1)</f>
        <v>0</v>
      </c>
      <c r="U54" s="57">
        <f>IF(OR(CONT_SUP[[#This Row],[MatEditOnly]]=TRUE,CONT_SUP[[#This Row],[MatEditOnly]]=FALSE),IF(OR(CONT_SUP[[#This Row],[NoIncrement]]=TRUE,CONT_SUP[[#This Row],[NoIncrement]]=FALSE),0,1),1)</f>
        <v>0</v>
      </c>
      <c r="V54" s="57">
        <f>IF(ISBLANK(CONT_SUP[[#This Row],[FundCode]])=TRUE,0,IF(COUNTIF(FUNDS[FundCode],CONT_SUP[[#This Row],[FundCode]])=1,0,1))</f>
        <v>0</v>
      </c>
      <c r="W54" s="57">
        <f>IF(LEN(CONT_SUP[[#This Row],[Notes]])&lt;4000,0,1)</f>
        <v>0</v>
      </c>
      <c r="X54" s="57">
        <f>IF(SUBSTITUTE(TEXT(CONT_SUP[[#This Row],[Reference]],10)," ","")=TEXT(CONT_SUP[[#This Row],[Reference]],10),0,1)</f>
        <v>0</v>
      </c>
      <c r="Y54" s="57">
        <f ca="1">SUM(CONT_SUP[[#This Row],[Duplicate Contract]:[Space in Code]])</f>
        <v>0</v>
      </c>
      <c r="AA54" s="12" t="s">
        <v>2275</v>
      </c>
      <c r="AB54" s="63">
        <v>91850046</v>
      </c>
      <c r="AC54" s="63" t="s">
        <v>4652</v>
      </c>
      <c r="AD54" s="57" t="str">
        <f>_xlfn.XLOOKUP(CONT_SUP[[#This Row],[StaffMemberCode]],StaffMembers!O:O,StaffMembers!R:R)</f>
        <v>Deeanna Young</v>
      </c>
      <c r="AE54" s="12" t="s">
        <v>1190</v>
      </c>
      <c r="AF54" s="66">
        <f>_xlfn.XLOOKUP(CONT_SUP[[#This Row],[SRG]],SRG[StaffRoleGroupCode],SRG[GrossSalaryFinanceCode])</f>
        <v>630100</v>
      </c>
      <c r="AG54" s="57" t="str">
        <f>_xlfn.XLOOKUP(CONT_SUP[[#This Row],[StaffRoleCode]],ROLES[StaffRoleCode],ROLES[StaffRoleGroupCode])</f>
        <v>CLE</v>
      </c>
      <c r="AH54" s="57" t="str">
        <f>_xlfn.XLOOKUP(CONT_SUP[[#This Row],[StaffRoleCode]],ROLES[StaffRoleCode],ROLES[PayScaleCode])</f>
        <v>NJC_CHE</v>
      </c>
      <c r="AI54" s="12" t="s">
        <v>3120</v>
      </c>
      <c r="AJ54" s="12">
        <v>2</v>
      </c>
      <c r="AK54" s="12" t="s">
        <v>2495</v>
      </c>
      <c r="AM54" s="68" t="s">
        <v>3132</v>
      </c>
      <c r="AN54" s="12" t="s">
        <v>3137</v>
      </c>
      <c r="AO54" s="21">
        <v>45903</v>
      </c>
      <c r="AQ54" s="12">
        <v>10</v>
      </c>
      <c r="AR54" t="b">
        <v>0</v>
      </c>
      <c r="AS54" t="b">
        <v>0</v>
      </c>
      <c r="AT54" s="12" t="s">
        <v>1575</v>
      </c>
    </row>
    <row r="55" spans="1:46" x14ac:dyDescent="0.3">
      <c r="A55" s="57" t="str">
        <f t="shared" si="1"/>
        <v>ALS9185000491850004ACLESPREM45901</v>
      </c>
      <c r="B55" s="57">
        <f>COUNTIF(CONT_SUP[Unique Contract],CONT_SUP[[#This Row],[Unique Contract]])-1</f>
        <v>0</v>
      </c>
      <c r="C55" s="57">
        <f>IFERROR(IF(FIND(CONT_SUP[[#This Row],[SchoolCode]],_xlfn.XLOOKUP(CONT_SUP[[#This Row],[StaffMemberCode]],MEMBERS[StaffMemberCode],MEMBERS[SchoolCodes]))&gt;0,0,1),1)</f>
        <v>0</v>
      </c>
      <c r="D55" s="57" cm="1">
        <f t="array" ref="D55">IF(_xlfn.XLOOKUP(CONT_SUP[[#This Row],[StaffRoleCode]],ROLES[StaffRoleCode],ROLES[AvailableToAllSchools],1,0,)=TRUE,0,IF(ISERROR(FIND(CONT_SUP[[#This Row],[SchoolCode]],_xlfn.TEXTJOIN(",",TRUE,_xlfn.UNIQUE(IF(ROLES[StaffRoleCode]=CONT_SUP[[#This Row],[StaffRoleCode]],ROLES[SchoolCodes],""))))),1,0))</f>
        <v>0</v>
      </c>
      <c r="E55" s="66" cm="1">
        <f t="array" ref="E5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55" s="57" cm="1">
        <f t="array" ref="F55">IF(_xlfn.XLOOKUP(CONT_SUP[[#This Row],[PayScaleCode]],PAYSCALES[PayScaleCode],PAYSCALES[AvailableToAllSchools],1,0,)=TRUE,0,IF(ISERROR(FIND(CONT_SUP[[#This Row],[SchoolCode]],_xlfn.TEXTJOIN(",",TRUE,_xlfn.UNIQUE(IF(PAYSCALES[PayScaleCode]=CONT_SUP[[#This Row],[PayScaleCode]],PAYSCALES[SchoolCodes],""))))),1,0))</f>
        <v>0</v>
      </c>
      <c r="G55" s="57">
        <f>IF(_xlfn.XLOOKUP(CONT_SUP[[#This Row],[PayScaleGradeCode]],GRADES[PayScaleGradeCode],GRADES[AvailableToAllSchools])=TRUE,0,IFERROR(IF(FIND(CONT_SUP[[#This Row],[SchoolCode]],_xlfn.XLOOKUP(CONT_SUP[[#This Row],[PayScaleGradeCode]],GRADES[PayScaleGradeCode],GRADES[SchoolCodes]))&gt;=1,0,1),1))</f>
        <v>0</v>
      </c>
      <c r="H55" s="66">
        <f>IF(ISERROR(IF((_xlfn.XLOOKUP(CONT_SUP[[#This Row],[PayScaleGradeCode]],GRADES[PayScaleGradeCode],GRADES[PayScaleCode])=CONT_SUP[[#This Row],[PayScaleCode]]),0,1)),1,0)</f>
        <v>0</v>
      </c>
      <c r="I55" s="66" cm="1">
        <f t="array" ref="I55">IF(ISERROR(FIND(CONT_SUP[[#This Row],[PayScalePointCode]],_xlfn.TEXTJOIN(",",TRUE,IF(PSPOINTS[PayScaleCode]=CONT_SUP[[#This Row],[PayScaleCode]],PSPOINTS[PayScalePointCode])))),1,0)</f>
        <v>0</v>
      </c>
      <c r="J55" s="57" cm="1">
        <f t="array" ref="J5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55" s="66">
        <f>IF(_xlfn.XLOOKUP(CONT_SUP[[#This Row],[PayScalePointCode]],PSPOINTS[PayScalePointCode],PSPOINTS[PayScalePointEnabled])=TRUE,0,1)</f>
        <v>0</v>
      </c>
      <c r="L55" s="57" cm="1">
        <f t="array" ref="L55">IF(_xlfn.XLOOKUP(CONT_SUP[[#This Row],[DepartmentCode]],DEPTS[DepartmentCode],DEPTS[AvailableToAllSchools],1,0,)=TRUE,0,IF(ISERROR(FIND(CONT_SUP[[#This Row],[SchoolCode]],_xlfn.TEXTJOIN(",",TRUE,_xlfn.UNIQUE(IF(DEPTS[DepartmentCode]=CONT_SUP[[#This Row],[DepartmentCode]],DEPTS[SchoolCodes],""))))),1,0))</f>
        <v>0</v>
      </c>
      <c r="M55" s="57">
        <f>IFERROR(IF(_xlfn.XLOOKUP(CONT_SUP[[#This Row],[SRG Gross]],FinanceCodesBudget[FinanceCode],FinanceCodesBudget[LedgerCode])=_xlfn.XLOOKUP(CONT_SUP[[#This Row],[DepartmentCode]],DEPTS[DepartmentCode],DEPTS[LedgerCode]),0,1),1)</f>
        <v>0</v>
      </c>
      <c r="N55" s="66" cm="1">
        <f t="array" ref="N55">IF(_xlfn.XLOOKUP(CONT_SUP[[#This Row],[PensionCode]],PENS[PensionCode],PENS[AvailableToAllSchools],1,0,)=TRUE,0,IF(ISERROR(FIND(CONT_SUP[[#This Row],[SchoolCode]],_xlfn.TEXTJOIN(",",TRUE,_xlfn.UNIQUE(IF(PENS[PensionCode]=CONT_SUP[[#This Row],[PensionCode]],PENS[SchoolCodes],""))))),1,0))</f>
        <v>0</v>
      </c>
      <c r="O55" s="66" cm="1">
        <f t="array" ref="O55">IF(_xlfn.XLOOKUP(CONT_SUP[[#This Row],[EquatedWeekPatternCode]],EQW[EquatedWeekPatternCode],EQW[AvailableToAllSchools],1,0,)=TRUE,0,IF(ISERROR(FIND(CONT_SUP[[#This Row],[SchoolCode]],_xlfn.TEXTJOIN(",",TRUE,_xlfn.UNIQUE(IF(EQW[EquatedWeekPatternCode]=CONT_SUP[[#This Row],[EquatedWeekPatternCode]],EQW[SchoolCodes],""))))),1,0))</f>
        <v>0</v>
      </c>
      <c r="P55" s="57">
        <f>1-COUNTIF(ContractTypes[Code],CONT_SUP[[#This Row],[ContractTypeCode]])</f>
        <v>0</v>
      </c>
      <c r="Q55" s="57">
        <f>IF(VLOOKUP(CONT_SUP[[#This Row],[StaffMemberCode]],MEMBERS[[StaffMemberCode]:[ServiceStartDate]],5,0)&gt;CONT_SUP[[#This Row],[DateFrom]],1,0)</f>
        <v>0</v>
      </c>
      <c r="R55" s="57">
        <f>IF(_xlfn.XLOOKUP(CONT_SUP[[#This Row],[StaffMemberCode]],MEMBERS[StaffMemberCode],MEMBERS[ServiceEndDate])="",0,IF(CONT_SUP[[#This Row],[DateTo]]="",1,IF(_xlfn.XLOOKUP(CONT_SUP[[#This Row],[StaffMemberCode]],MEMBERS[StaffMemberCode],MEMBERS[ServiceEndDate])&lt;CONT_SUP[[#This Row],[DateTo]],1,0)))</f>
        <v>0</v>
      </c>
      <c r="S55" s="57">
        <f>IF(ISBLANK(CONT_SUP[[#This Row],[DateTo]]),0,IF(CONT_SUP[[#This Row],[DateFrom]]=CONT_SUP[[#This Row],[DateTo]],0,IF(CONT_SUP[[#This Row],[DateFrom]]&lt;CONT_SUP[[#This Row],[DateTo]],0,1)))</f>
        <v>0</v>
      </c>
      <c r="T55" s="57" cm="1">
        <f t="array" aca="1" ref="T55" ca="1">IF(CELL("format",CONT_SUP[[#This Row],[DateFrom]])="D1",0,1)+IF(CELL("format",CONT_SUP[[#This Row],[DateTo]])="D1",0,1)</f>
        <v>0</v>
      </c>
      <c r="U55" s="57">
        <f>IF(OR(CONT_SUP[[#This Row],[MatEditOnly]]=TRUE,CONT_SUP[[#This Row],[MatEditOnly]]=FALSE),IF(OR(CONT_SUP[[#This Row],[NoIncrement]]=TRUE,CONT_SUP[[#This Row],[NoIncrement]]=FALSE),0,1),1)</f>
        <v>0</v>
      </c>
      <c r="V55" s="57">
        <f>IF(ISBLANK(CONT_SUP[[#This Row],[FundCode]])=TRUE,0,IF(COUNTIF(FUNDS[FundCode],CONT_SUP[[#This Row],[FundCode]])=1,0,1))</f>
        <v>0</v>
      </c>
      <c r="W55" s="57">
        <f>IF(LEN(CONT_SUP[[#This Row],[Notes]])&lt;4000,0,1)</f>
        <v>0</v>
      </c>
      <c r="X55" s="57">
        <f>IF(SUBSTITUTE(TEXT(CONT_SUP[[#This Row],[Reference]],10)," ","")=TEXT(CONT_SUP[[#This Row],[Reference]],10),0,1)</f>
        <v>0</v>
      </c>
      <c r="Y55" s="57">
        <f ca="1">SUM(CONT_SUP[[#This Row],[Duplicate Contract]:[Space in Code]])</f>
        <v>0</v>
      </c>
      <c r="AA55" s="12" t="s">
        <v>2082</v>
      </c>
      <c r="AB55" s="63">
        <v>91850004</v>
      </c>
      <c r="AC55" s="63" t="s">
        <v>4653</v>
      </c>
      <c r="AD55" s="57" t="str">
        <f>_xlfn.XLOOKUP(CONT_SUP[[#This Row],[StaffMemberCode]],StaffMembers!O:O,StaffMembers!R:R)</f>
        <v>Emma Flanagan</v>
      </c>
      <c r="AE55" s="12" t="s">
        <v>1190</v>
      </c>
      <c r="AF55" s="66">
        <f>_xlfn.XLOOKUP(CONT_SUP[[#This Row],[SRG]],SRG[StaffRoleGroupCode],SRG[GrossSalaryFinanceCode])</f>
        <v>630100</v>
      </c>
      <c r="AG55" s="57" t="str">
        <f>_xlfn.XLOOKUP(CONT_SUP[[#This Row],[StaffRoleCode]],ROLES[StaffRoleCode],ROLES[StaffRoleGroupCode])</f>
        <v>CLE</v>
      </c>
      <c r="AH55" s="57" t="str">
        <f>_xlfn.XLOOKUP(CONT_SUP[[#This Row],[StaffRoleCode]],ROLES[StaffRoleCode],ROLES[PayScaleCode])</f>
        <v>NJC_CHE</v>
      </c>
      <c r="AI55" s="12" t="s">
        <v>3120</v>
      </c>
      <c r="AJ55" s="12">
        <v>2</v>
      </c>
      <c r="AK55" s="12" t="s">
        <v>2495</v>
      </c>
      <c r="AM55" s="68" t="s">
        <v>3132</v>
      </c>
      <c r="AN55" s="12" t="s">
        <v>3145</v>
      </c>
      <c r="AO55" s="21">
        <v>45901</v>
      </c>
      <c r="AQ55" s="12">
        <v>15</v>
      </c>
      <c r="AR55" t="b">
        <v>0</v>
      </c>
      <c r="AS55" t="b">
        <v>0</v>
      </c>
      <c r="AT55" s="12" t="s">
        <v>1574</v>
      </c>
    </row>
    <row r="56" spans="1:46" x14ac:dyDescent="0.3">
      <c r="A56" s="57" t="str">
        <f t="shared" si="1"/>
        <v>ALS9132810091328100ACLESPREM45901</v>
      </c>
      <c r="B56" s="57">
        <f>COUNTIF(CONT_SUP[Unique Contract],CONT_SUP[[#This Row],[Unique Contract]])-1</f>
        <v>0</v>
      </c>
      <c r="C56" s="57">
        <f>IFERROR(IF(FIND(CONT_SUP[[#This Row],[SchoolCode]],_xlfn.XLOOKUP(CONT_SUP[[#This Row],[StaffMemberCode]],MEMBERS[StaffMemberCode],MEMBERS[SchoolCodes]))&gt;0,0,1),1)</f>
        <v>0</v>
      </c>
      <c r="D56" s="57" cm="1">
        <f t="array" ref="D56">IF(_xlfn.XLOOKUP(CONT_SUP[[#This Row],[StaffRoleCode]],ROLES[StaffRoleCode],ROLES[AvailableToAllSchools],1,0,)=TRUE,0,IF(ISERROR(FIND(CONT_SUP[[#This Row],[SchoolCode]],_xlfn.TEXTJOIN(",",TRUE,_xlfn.UNIQUE(IF(ROLES[StaffRoleCode]=CONT_SUP[[#This Row],[StaffRoleCode]],ROLES[SchoolCodes],""))))),1,0))</f>
        <v>0</v>
      </c>
      <c r="E56" s="66" cm="1">
        <f t="array" ref="E5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56" s="57" cm="1">
        <f t="array" ref="F56">IF(_xlfn.XLOOKUP(CONT_SUP[[#This Row],[PayScaleCode]],PAYSCALES[PayScaleCode],PAYSCALES[AvailableToAllSchools],1,0,)=TRUE,0,IF(ISERROR(FIND(CONT_SUP[[#This Row],[SchoolCode]],_xlfn.TEXTJOIN(",",TRUE,_xlfn.UNIQUE(IF(PAYSCALES[PayScaleCode]=CONT_SUP[[#This Row],[PayScaleCode]],PAYSCALES[SchoolCodes],""))))),1,0))</f>
        <v>0</v>
      </c>
      <c r="G56" s="57">
        <f>IF(_xlfn.XLOOKUP(CONT_SUP[[#This Row],[PayScaleGradeCode]],GRADES[PayScaleGradeCode],GRADES[AvailableToAllSchools])=TRUE,0,IFERROR(IF(FIND(CONT_SUP[[#This Row],[SchoolCode]],_xlfn.XLOOKUP(CONT_SUP[[#This Row],[PayScaleGradeCode]],GRADES[PayScaleGradeCode],GRADES[SchoolCodes]))&gt;=1,0,1),1))</f>
        <v>0</v>
      </c>
      <c r="H56" s="66">
        <f>IF(ISERROR(IF((_xlfn.XLOOKUP(CONT_SUP[[#This Row],[PayScaleGradeCode]],GRADES[PayScaleGradeCode],GRADES[PayScaleCode])=CONT_SUP[[#This Row],[PayScaleCode]]),0,1)),1,0)</f>
        <v>0</v>
      </c>
      <c r="I56" s="66" cm="1">
        <f t="array" ref="I56">IF(ISERROR(FIND(CONT_SUP[[#This Row],[PayScalePointCode]],_xlfn.TEXTJOIN(",",TRUE,IF(PSPOINTS[PayScaleCode]=CONT_SUP[[#This Row],[PayScaleCode]],PSPOINTS[PayScalePointCode])))),1,0)</f>
        <v>0</v>
      </c>
      <c r="J56" s="57" cm="1">
        <f t="array" ref="J5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56" s="66">
        <f>IF(_xlfn.XLOOKUP(CONT_SUP[[#This Row],[PayScalePointCode]],PSPOINTS[PayScalePointCode],PSPOINTS[PayScalePointEnabled])=TRUE,0,1)</f>
        <v>0</v>
      </c>
      <c r="L56" s="57" cm="1">
        <f t="array" ref="L56">IF(_xlfn.XLOOKUP(CONT_SUP[[#This Row],[DepartmentCode]],DEPTS[DepartmentCode],DEPTS[AvailableToAllSchools],1,0,)=TRUE,0,IF(ISERROR(FIND(CONT_SUP[[#This Row],[SchoolCode]],_xlfn.TEXTJOIN(",",TRUE,_xlfn.UNIQUE(IF(DEPTS[DepartmentCode]=CONT_SUP[[#This Row],[DepartmentCode]],DEPTS[SchoolCodes],""))))),1,0))</f>
        <v>0</v>
      </c>
      <c r="M56" s="57">
        <f>IFERROR(IF(_xlfn.XLOOKUP(CONT_SUP[[#This Row],[SRG Gross]],FinanceCodesBudget[FinanceCode],FinanceCodesBudget[LedgerCode])=_xlfn.XLOOKUP(CONT_SUP[[#This Row],[DepartmentCode]],DEPTS[DepartmentCode],DEPTS[LedgerCode]),0,1),1)</f>
        <v>0</v>
      </c>
      <c r="N56" s="66" cm="1">
        <f t="array" ref="N56">IF(_xlfn.XLOOKUP(CONT_SUP[[#This Row],[PensionCode]],PENS[PensionCode],PENS[AvailableToAllSchools],1,0,)=TRUE,0,IF(ISERROR(FIND(CONT_SUP[[#This Row],[SchoolCode]],_xlfn.TEXTJOIN(",",TRUE,_xlfn.UNIQUE(IF(PENS[PensionCode]=CONT_SUP[[#This Row],[PensionCode]],PENS[SchoolCodes],""))))),1,0))</f>
        <v>0</v>
      </c>
      <c r="O56" s="66" cm="1">
        <f t="array" ref="O56">IF(_xlfn.XLOOKUP(CONT_SUP[[#This Row],[EquatedWeekPatternCode]],EQW[EquatedWeekPatternCode],EQW[AvailableToAllSchools],1,0,)=TRUE,0,IF(ISERROR(FIND(CONT_SUP[[#This Row],[SchoolCode]],_xlfn.TEXTJOIN(",",TRUE,_xlfn.UNIQUE(IF(EQW[EquatedWeekPatternCode]=CONT_SUP[[#This Row],[EquatedWeekPatternCode]],EQW[SchoolCodes],""))))),1,0))</f>
        <v>0</v>
      </c>
      <c r="P56" s="57">
        <f>1-COUNTIF(ContractTypes[Code],CONT_SUP[[#This Row],[ContractTypeCode]])</f>
        <v>0</v>
      </c>
      <c r="Q56" s="57">
        <f>IF(VLOOKUP(CONT_SUP[[#This Row],[StaffMemberCode]],MEMBERS[[StaffMemberCode]:[ServiceStartDate]],5,0)&gt;CONT_SUP[[#This Row],[DateFrom]],1,0)</f>
        <v>0</v>
      </c>
      <c r="R56" s="57">
        <f>IF(_xlfn.XLOOKUP(CONT_SUP[[#This Row],[StaffMemberCode]],MEMBERS[StaffMemberCode],MEMBERS[ServiceEndDate])="",0,IF(CONT_SUP[[#This Row],[DateTo]]="",1,IF(_xlfn.XLOOKUP(CONT_SUP[[#This Row],[StaffMemberCode]],MEMBERS[StaffMemberCode],MEMBERS[ServiceEndDate])&lt;CONT_SUP[[#This Row],[DateTo]],1,0)))</f>
        <v>0</v>
      </c>
      <c r="S56" s="57">
        <f>IF(ISBLANK(CONT_SUP[[#This Row],[DateTo]]),0,IF(CONT_SUP[[#This Row],[DateFrom]]=CONT_SUP[[#This Row],[DateTo]],0,IF(CONT_SUP[[#This Row],[DateFrom]]&lt;CONT_SUP[[#This Row],[DateTo]],0,1)))</f>
        <v>0</v>
      </c>
      <c r="T56" s="57" cm="1">
        <f t="array" aca="1" ref="T56" ca="1">IF(CELL("format",CONT_SUP[[#This Row],[DateFrom]])="D1",0,1)+IF(CELL("format",CONT_SUP[[#This Row],[DateTo]])="D1",0,1)</f>
        <v>0</v>
      </c>
      <c r="U56" s="57">
        <f>IF(OR(CONT_SUP[[#This Row],[MatEditOnly]]=TRUE,CONT_SUP[[#This Row],[MatEditOnly]]=FALSE),IF(OR(CONT_SUP[[#This Row],[NoIncrement]]=TRUE,CONT_SUP[[#This Row],[NoIncrement]]=FALSE),0,1),1)</f>
        <v>0</v>
      </c>
      <c r="V56" s="57">
        <f>IF(ISBLANK(CONT_SUP[[#This Row],[FundCode]])=TRUE,0,IF(COUNTIF(FUNDS[FundCode],CONT_SUP[[#This Row],[FundCode]])=1,0,1))</f>
        <v>0</v>
      </c>
      <c r="W56" s="57">
        <f>IF(LEN(CONT_SUP[[#This Row],[Notes]])&lt;4000,0,1)</f>
        <v>0</v>
      </c>
      <c r="X56" s="57">
        <f>IF(SUBSTITUTE(TEXT(CONT_SUP[[#This Row],[Reference]],10)," ","")=TEXT(CONT_SUP[[#This Row],[Reference]],10),0,1)</f>
        <v>0</v>
      </c>
      <c r="Y56" s="57">
        <f ca="1">SUM(CONT_SUP[[#This Row],[Duplicate Contract]:[Space in Code]])</f>
        <v>0</v>
      </c>
      <c r="AA56" s="12" t="s">
        <v>2082</v>
      </c>
      <c r="AB56" s="63">
        <v>91328100</v>
      </c>
      <c r="AC56" s="63" t="s">
        <v>4654</v>
      </c>
      <c r="AD56" s="57" t="str">
        <f>_xlfn.XLOOKUP(CONT_SUP[[#This Row],[StaffMemberCode]],StaffMembers!O:O,StaffMembers!R:R)</f>
        <v>Fiona Dean</v>
      </c>
      <c r="AE56" s="12" t="s">
        <v>1190</v>
      </c>
      <c r="AF56" s="66">
        <f>_xlfn.XLOOKUP(CONT_SUP[[#This Row],[SRG]],SRG[StaffRoleGroupCode],SRG[GrossSalaryFinanceCode])</f>
        <v>630100</v>
      </c>
      <c r="AG56" s="57" t="str">
        <f>_xlfn.XLOOKUP(CONT_SUP[[#This Row],[StaffRoleCode]],ROLES[StaffRoleCode],ROLES[StaffRoleGroupCode])</f>
        <v>CLE</v>
      </c>
      <c r="AH56" s="57" t="str">
        <f>_xlfn.XLOOKUP(CONT_SUP[[#This Row],[StaffRoleCode]],ROLES[StaffRoleCode],ROLES[PayScaleCode])</f>
        <v>NJC_CHE</v>
      </c>
      <c r="AI56" s="12" t="s">
        <v>3120</v>
      </c>
      <c r="AJ56" s="12">
        <v>2</v>
      </c>
      <c r="AK56" s="12" t="s">
        <v>2495</v>
      </c>
      <c r="AM56" s="68" t="s">
        <v>3132</v>
      </c>
      <c r="AN56" s="12" t="s">
        <v>3145</v>
      </c>
      <c r="AO56" s="21">
        <v>45901</v>
      </c>
      <c r="AQ56" s="12">
        <v>10</v>
      </c>
      <c r="AR56" t="b">
        <v>0</v>
      </c>
      <c r="AS56" t="b">
        <v>0</v>
      </c>
      <c r="AT56" s="12" t="s">
        <v>1574</v>
      </c>
    </row>
    <row r="57" spans="1:46" x14ac:dyDescent="0.3">
      <c r="A57" s="57" t="str">
        <f t="shared" si="1"/>
        <v>ALS9107376591073765ACLESPREM45901</v>
      </c>
      <c r="B57" s="57">
        <f>COUNTIF(CONT_SUP[Unique Contract],CONT_SUP[[#This Row],[Unique Contract]])-1</f>
        <v>0</v>
      </c>
      <c r="C57" s="57">
        <f>IFERROR(IF(FIND(CONT_SUP[[#This Row],[SchoolCode]],_xlfn.XLOOKUP(CONT_SUP[[#This Row],[StaffMemberCode]],MEMBERS[StaffMemberCode],MEMBERS[SchoolCodes]))&gt;0,0,1),1)</f>
        <v>0</v>
      </c>
      <c r="D57" s="57" cm="1">
        <f t="array" ref="D57">IF(_xlfn.XLOOKUP(CONT_SUP[[#This Row],[StaffRoleCode]],ROLES[StaffRoleCode],ROLES[AvailableToAllSchools],1,0,)=TRUE,0,IF(ISERROR(FIND(CONT_SUP[[#This Row],[SchoolCode]],_xlfn.TEXTJOIN(",",TRUE,_xlfn.UNIQUE(IF(ROLES[StaffRoleCode]=CONT_SUP[[#This Row],[StaffRoleCode]],ROLES[SchoolCodes],""))))),1,0))</f>
        <v>0</v>
      </c>
      <c r="E57" s="66" cm="1">
        <f t="array" ref="E5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57" s="57" cm="1">
        <f t="array" ref="F57">IF(_xlfn.XLOOKUP(CONT_SUP[[#This Row],[PayScaleCode]],PAYSCALES[PayScaleCode],PAYSCALES[AvailableToAllSchools],1,0,)=TRUE,0,IF(ISERROR(FIND(CONT_SUP[[#This Row],[SchoolCode]],_xlfn.TEXTJOIN(",",TRUE,_xlfn.UNIQUE(IF(PAYSCALES[PayScaleCode]=CONT_SUP[[#This Row],[PayScaleCode]],PAYSCALES[SchoolCodes],""))))),1,0))</f>
        <v>0</v>
      </c>
      <c r="G57" s="57">
        <f>IF(_xlfn.XLOOKUP(CONT_SUP[[#This Row],[PayScaleGradeCode]],GRADES[PayScaleGradeCode],GRADES[AvailableToAllSchools])=TRUE,0,IFERROR(IF(FIND(CONT_SUP[[#This Row],[SchoolCode]],_xlfn.XLOOKUP(CONT_SUP[[#This Row],[PayScaleGradeCode]],GRADES[PayScaleGradeCode],GRADES[SchoolCodes]))&gt;=1,0,1),1))</f>
        <v>0</v>
      </c>
      <c r="H57" s="66">
        <f>IF(ISERROR(IF((_xlfn.XLOOKUP(CONT_SUP[[#This Row],[PayScaleGradeCode]],GRADES[PayScaleGradeCode],GRADES[PayScaleCode])=CONT_SUP[[#This Row],[PayScaleCode]]),0,1)),1,0)</f>
        <v>0</v>
      </c>
      <c r="I57" s="66" cm="1">
        <f t="array" ref="I57">IF(ISERROR(FIND(CONT_SUP[[#This Row],[PayScalePointCode]],_xlfn.TEXTJOIN(",",TRUE,IF(PSPOINTS[PayScaleCode]=CONT_SUP[[#This Row],[PayScaleCode]],PSPOINTS[PayScalePointCode])))),1,0)</f>
        <v>0</v>
      </c>
      <c r="J57" s="57" cm="1">
        <f t="array" ref="J5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57" s="66">
        <f>IF(_xlfn.XLOOKUP(CONT_SUP[[#This Row],[PayScalePointCode]],PSPOINTS[PayScalePointCode],PSPOINTS[PayScalePointEnabled])=TRUE,0,1)</f>
        <v>0</v>
      </c>
      <c r="L57" s="57" cm="1">
        <f t="array" ref="L57">IF(_xlfn.XLOOKUP(CONT_SUP[[#This Row],[DepartmentCode]],DEPTS[DepartmentCode],DEPTS[AvailableToAllSchools],1,0,)=TRUE,0,IF(ISERROR(FIND(CONT_SUP[[#This Row],[SchoolCode]],_xlfn.TEXTJOIN(",",TRUE,_xlfn.UNIQUE(IF(DEPTS[DepartmentCode]=CONT_SUP[[#This Row],[DepartmentCode]],DEPTS[SchoolCodes],""))))),1,0))</f>
        <v>0</v>
      </c>
      <c r="M57" s="57">
        <f>IFERROR(IF(_xlfn.XLOOKUP(CONT_SUP[[#This Row],[SRG Gross]],FinanceCodesBudget[FinanceCode],FinanceCodesBudget[LedgerCode])=_xlfn.XLOOKUP(CONT_SUP[[#This Row],[DepartmentCode]],DEPTS[DepartmentCode],DEPTS[LedgerCode]),0,1),1)</f>
        <v>0</v>
      </c>
      <c r="N57" s="66" cm="1">
        <f t="array" ref="N57">IF(_xlfn.XLOOKUP(CONT_SUP[[#This Row],[PensionCode]],PENS[PensionCode],PENS[AvailableToAllSchools],1,0,)=TRUE,0,IF(ISERROR(FIND(CONT_SUP[[#This Row],[SchoolCode]],_xlfn.TEXTJOIN(",",TRUE,_xlfn.UNIQUE(IF(PENS[PensionCode]=CONT_SUP[[#This Row],[PensionCode]],PENS[SchoolCodes],""))))),1,0))</f>
        <v>0</v>
      </c>
      <c r="O57" s="66" cm="1">
        <f t="array" ref="O57">IF(_xlfn.XLOOKUP(CONT_SUP[[#This Row],[EquatedWeekPatternCode]],EQW[EquatedWeekPatternCode],EQW[AvailableToAllSchools],1,0,)=TRUE,0,IF(ISERROR(FIND(CONT_SUP[[#This Row],[SchoolCode]],_xlfn.TEXTJOIN(",",TRUE,_xlfn.UNIQUE(IF(EQW[EquatedWeekPatternCode]=CONT_SUP[[#This Row],[EquatedWeekPatternCode]],EQW[SchoolCodes],""))))),1,0))</f>
        <v>0</v>
      </c>
      <c r="P57" s="57">
        <f>1-COUNTIF(ContractTypes[Code],CONT_SUP[[#This Row],[ContractTypeCode]])</f>
        <v>0</v>
      </c>
      <c r="Q57" s="57">
        <f>IF(VLOOKUP(CONT_SUP[[#This Row],[StaffMemberCode]],MEMBERS[[StaffMemberCode]:[ServiceStartDate]],5,0)&gt;CONT_SUP[[#This Row],[DateFrom]],1,0)</f>
        <v>0</v>
      </c>
      <c r="R57" s="57">
        <f>IF(_xlfn.XLOOKUP(CONT_SUP[[#This Row],[StaffMemberCode]],MEMBERS[StaffMemberCode],MEMBERS[ServiceEndDate])="",0,IF(CONT_SUP[[#This Row],[DateTo]]="",1,IF(_xlfn.XLOOKUP(CONT_SUP[[#This Row],[StaffMemberCode]],MEMBERS[StaffMemberCode],MEMBERS[ServiceEndDate])&lt;CONT_SUP[[#This Row],[DateTo]],1,0)))</f>
        <v>0</v>
      </c>
      <c r="S57" s="57">
        <f>IF(ISBLANK(CONT_SUP[[#This Row],[DateTo]]),0,IF(CONT_SUP[[#This Row],[DateFrom]]=CONT_SUP[[#This Row],[DateTo]],0,IF(CONT_SUP[[#This Row],[DateFrom]]&lt;CONT_SUP[[#This Row],[DateTo]],0,1)))</f>
        <v>0</v>
      </c>
      <c r="T57" s="57" cm="1">
        <f t="array" aca="1" ref="T57" ca="1">IF(CELL("format",CONT_SUP[[#This Row],[DateFrom]])="D1",0,1)+IF(CELL("format",CONT_SUP[[#This Row],[DateTo]])="D1",0,1)</f>
        <v>0</v>
      </c>
      <c r="U57" s="57">
        <f>IF(OR(CONT_SUP[[#This Row],[MatEditOnly]]=TRUE,CONT_SUP[[#This Row],[MatEditOnly]]=FALSE),IF(OR(CONT_SUP[[#This Row],[NoIncrement]]=TRUE,CONT_SUP[[#This Row],[NoIncrement]]=FALSE),0,1),1)</f>
        <v>0</v>
      </c>
      <c r="V57" s="57">
        <f>IF(ISBLANK(CONT_SUP[[#This Row],[FundCode]])=TRUE,0,IF(COUNTIF(FUNDS[FundCode],CONT_SUP[[#This Row],[FundCode]])=1,0,1))</f>
        <v>0</v>
      </c>
      <c r="W57" s="57">
        <f>IF(LEN(CONT_SUP[[#This Row],[Notes]])&lt;4000,0,1)</f>
        <v>0</v>
      </c>
      <c r="X57" s="57">
        <f>IF(SUBSTITUTE(TEXT(CONT_SUP[[#This Row],[Reference]],10)," ","")=TEXT(CONT_SUP[[#This Row],[Reference]],10),0,1)</f>
        <v>0</v>
      </c>
      <c r="Y57" s="57">
        <f ca="1">SUM(CONT_SUP[[#This Row],[Duplicate Contract]:[Space in Code]])</f>
        <v>0</v>
      </c>
      <c r="AA57" s="12" t="s">
        <v>2082</v>
      </c>
      <c r="AB57" s="63">
        <v>91073765</v>
      </c>
      <c r="AC57" s="63" t="s">
        <v>4655</v>
      </c>
      <c r="AD57" s="57" t="str">
        <f>_xlfn.XLOOKUP(CONT_SUP[[#This Row],[StaffMemberCode]],StaffMembers!O:O,StaffMembers!R:R)</f>
        <v>Heather Cleverley</v>
      </c>
      <c r="AE57" s="12" t="s">
        <v>1190</v>
      </c>
      <c r="AF57" s="66">
        <f>_xlfn.XLOOKUP(CONT_SUP[[#This Row],[SRG]],SRG[StaffRoleGroupCode],SRG[GrossSalaryFinanceCode])</f>
        <v>630100</v>
      </c>
      <c r="AG57" s="57" t="str">
        <f>_xlfn.XLOOKUP(CONT_SUP[[#This Row],[StaffRoleCode]],ROLES[StaffRoleCode],ROLES[StaffRoleGroupCode])</f>
        <v>CLE</v>
      </c>
      <c r="AH57" s="57" t="str">
        <f>_xlfn.XLOOKUP(CONT_SUP[[#This Row],[StaffRoleCode]],ROLES[StaffRoleCode],ROLES[PayScaleCode])</f>
        <v>NJC_CHE</v>
      </c>
      <c r="AI57" s="12" t="s">
        <v>3120</v>
      </c>
      <c r="AJ57" s="12">
        <v>2</v>
      </c>
      <c r="AK57" s="12" t="s">
        <v>2495</v>
      </c>
      <c r="AM57" s="68" t="s">
        <v>3132</v>
      </c>
      <c r="AN57" s="12" t="s">
        <v>3159</v>
      </c>
      <c r="AO57" s="21">
        <v>45901</v>
      </c>
      <c r="AQ57" s="12">
        <v>20</v>
      </c>
      <c r="AR57" t="b">
        <v>0</v>
      </c>
      <c r="AS57" t="b">
        <v>0</v>
      </c>
      <c r="AT57" s="12" t="s">
        <v>1574</v>
      </c>
    </row>
    <row r="58" spans="1:46" x14ac:dyDescent="0.3">
      <c r="A58" s="57" t="str">
        <f t="shared" si="1"/>
        <v>ALS9107378891073788ACLESPREM45901</v>
      </c>
      <c r="B58" s="57">
        <f>COUNTIF(CONT_SUP[Unique Contract],CONT_SUP[[#This Row],[Unique Contract]])-1</f>
        <v>0</v>
      </c>
      <c r="C58" s="57">
        <f>IFERROR(IF(FIND(CONT_SUP[[#This Row],[SchoolCode]],_xlfn.XLOOKUP(CONT_SUP[[#This Row],[StaffMemberCode]],MEMBERS[StaffMemberCode],MEMBERS[SchoolCodes]))&gt;0,0,1),1)</f>
        <v>0</v>
      </c>
      <c r="D58" s="57" cm="1">
        <f t="array" ref="D58">IF(_xlfn.XLOOKUP(CONT_SUP[[#This Row],[StaffRoleCode]],ROLES[StaffRoleCode],ROLES[AvailableToAllSchools],1,0,)=TRUE,0,IF(ISERROR(FIND(CONT_SUP[[#This Row],[SchoolCode]],_xlfn.TEXTJOIN(",",TRUE,_xlfn.UNIQUE(IF(ROLES[StaffRoleCode]=CONT_SUP[[#This Row],[StaffRoleCode]],ROLES[SchoolCodes],""))))),1,0))</f>
        <v>0</v>
      </c>
      <c r="E58" s="66" cm="1">
        <f t="array" ref="E5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58" s="57" cm="1">
        <f t="array" ref="F58">IF(_xlfn.XLOOKUP(CONT_SUP[[#This Row],[PayScaleCode]],PAYSCALES[PayScaleCode],PAYSCALES[AvailableToAllSchools],1,0,)=TRUE,0,IF(ISERROR(FIND(CONT_SUP[[#This Row],[SchoolCode]],_xlfn.TEXTJOIN(",",TRUE,_xlfn.UNIQUE(IF(PAYSCALES[PayScaleCode]=CONT_SUP[[#This Row],[PayScaleCode]],PAYSCALES[SchoolCodes],""))))),1,0))</f>
        <v>0</v>
      </c>
      <c r="G58" s="57">
        <f>IF(_xlfn.XLOOKUP(CONT_SUP[[#This Row],[PayScaleGradeCode]],GRADES[PayScaleGradeCode],GRADES[AvailableToAllSchools])=TRUE,0,IFERROR(IF(FIND(CONT_SUP[[#This Row],[SchoolCode]],_xlfn.XLOOKUP(CONT_SUP[[#This Row],[PayScaleGradeCode]],GRADES[PayScaleGradeCode],GRADES[SchoolCodes]))&gt;=1,0,1),1))</f>
        <v>0</v>
      </c>
      <c r="H58" s="66">
        <f>IF(ISERROR(IF((_xlfn.XLOOKUP(CONT_SUP[[#This Row],[PayScaleGradeCode]],GRADES[PayScaleGradeCode],GRADES[PayScaleCode])=CONT_SUP[[#This Row],[PayScaleCode]]),0,1)),1,0)</f>
        <v>0</v>
      </c>
      <c r="I58" s="66" cm="1">
        <f t="array" ref="I58">IF(ISERROR(FIND(CONT_SUP[[#This Row],[PayScalePointCode]],_xlfn.TEXTJOIN(",",TRUE,IF(PSPOINTS[PayScaleCode]=CONT_SUP[[#This Row],[PayScaleCode]],PSPOINTS[PayScalePointCode])))),1,0)</f>
        <v>0</v>
      </c>
      <c r="J58" s="57" cm="1">
        <f t="array" ref="J5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58" s="66">
        <f>IF(_xlfn.XLOOKUP(CONT_SUP[[#This Row],[PayScalePointCode]],PSPOINTS[PayScalePointCode],PSPOINTS[PayScalePointEnabled])=TRUE,0,1)</f>
        <v>0</v>
      </c>
      <c r="L58" s="57" cm="1">
        <f t="array" ref="L58">IF(_xlfn.XLOOKUP(CONT_SUP[[#This Row],[DepartmentCode]],DEPTS[DepartmentCode],DEPTS[AvailableToAllSchools],1,0,)=TRUE,0,IF(ISERROR(FIND(CONT_SUP[[#This Row],[SchoolCode]],_xlfn.TEXTJOIN(",",TRUE,_xlfn.UNIQUE(IF(DEPTS[DepartmentCode]=CONT_SUP[[#This Row],[DepartmentCode]],DEPTS[SchoolCodes],""))))),1,0))</f>
        <v>0</v>
      </c>
      <c r="M58" s="57">
        <f>IFERROR(IF(_xlfn.XLOOKUP(CONT_SUP[[#This Row],[SRG Gross]],FinanceCodesBudget[FinanceCode],FinanceCodesBudget[LedgerCode])=_xlfn.XLOOKUP(CONT_SUP[[#This Row],[DepartmentCode]],DEPTS[DepartmentCode],DEPTS[LedgerCode]),0,1),1)</f>
        <v>0</v>
      </c>
      <c r="N58" s="66" cm="1">
        <f t="array" ref="N58">IF(_xlfn.XLOOKUP(CONT_SUP[[#This Row],[PensionCode]],PENS[PensionCode],PENS[AvailableToAllSchools],1,0,)=TRUE,0,IF(ISERROR(FIND(CONT_SUP[[#This Row],[SchoolCode]],_xlfn.TEXTJOIN(",",TRUE,_xlfn.UNIQUE(IF(PENS[PensionCode]=CONT_SUP[[#This Row],[PensionCode]],PENS[SchoolCodes],""))))),1,0))</f>
        <v>0</v>
      </c>
      <c r="O58" s="66" cm="1">
        <f t="array" ref="O58">IF(_xlfn.XLOOKUP(CONT_SUP[[#This Row],[EquatedWeekPatternCode]],EQW[EquatedWeekPatternCode],EQW[AvailableToAllSchools],1,0,)=TRUE,0,IF(ISERROR(FIND(CONT_SUP[[#This Row],[SchoolCode]],_xlfn.TEXTJOIN(",",TRUE,_xlfn.UNIQUE(IF(EQW[EquatedWeekPatternCode]=CONT_SUP[[#This Row],[EquatedWeekPatternCode]],EQW[SchoolCodes],""))))),1,0))</f>
        <v>0</v>
      </c>
      <c r="P58" s="57">
        <f>1-COUNTIF(ContractTypes[Code],CONT_SUP[[#This Row],[ContractTypeCode]])</f>
        <v>0</v>
      </c>
      <c r="Q58" s="57">
        <f>IF(VLOOKUP(CONT_SUP[[#This Row],[StaffMemberCode]],MEMBERS[[StaffMemberCode]:[ServiceStartDate]],5,0)&gt;CONT_SUP[[#This Row],[DateFrom]],1,0)</f>
        <v>0</v>
      </c>
      <c r="R58" s="57">
        <f>IF(_xlfn.XLOOKUP(CONT_SUP[[#This Row],[StaffMemberCode]],MEMBERS[StaffMemberCode],MEMBERS[ServiceEndDate])="",0,IF(CONT_SUP[[#This Row],[DateTo]]="",1,IF(_xlfn.XLOOKUP(CONT_SUP[[#This Row],[StaffMemberCode]],MEMBERS[StaffMemberCode],MEMBERS[ServiceEndDate])&lt;CONT_SUP[[#This Row],[DateTo]],1,0)))</f>
        <v>0</v>
      </c>
      <c r="S58" s="57">
        <f>IF(ISBLANK(CONT_SUP[[#This Row],[DateTo]]),0,IF(CONT_SUP[[#This Row],[DateFrom]]=CONT_SUP[[#This Row],[DateTo]],0,IF(CONT_SUP[[#This Row],[DateFrom]]&lt;CONT_SUP[[#This Row],[DateTo]],0,1)))</f>
        <v>0</v>
      </c>
      <c r="T58" s="57" cm="1">
        <f t="array" aca="1" ref="T58" ca="1">IF(CELL("format",CONT_SUP[[#This Row],[DateFrom]])="D1",0,1)+IF(CELL("format",CONT_SUP[[#This Row],[DateTo]])="D1",0,1)</f>
        <v>0</v>
      </c>
      <c r="U58" s="57">
        <f>IF(OR(CONT_SUP[[#This Row],[MatEditOnly]]=TRUE,CONT_SUP[[#This Row],[MatEditOnly]]=FALSE),IF(OR(CONT_SUP[[#This Row],[NoIncrement]]=TRUE,CONT_SUP[[#This Row],[NoIncrement]]=FALSE),0,1),1)</f>
        <v>0</v>
      </c>
      <c r="V58" s="57">
        <f>IF(ISBLANK(CONT_SUP[[#This Row],[FundCode]])=TRUE,0,IF(COUNTIF(FUNDS[FundCode],CONT_SUP[[#This Row],[FundCode]])=1,0,1))</f>
        <v>0</v>
      </c>
      <c r="W58" s="57">
        <f>IF(LEN(CONT_SUP[[#This Row],[Notes]])&lt;4000,0,1)</f>
        <v>0</v>
      </c>
      <c r="X58" s="57">
        <f>IF(SUBSTITUTE(TEXT(CONT_SUP[[#This Row],[Reference]],10)," ","")=TEXT(CONT_SUP[[#This Row],[Reference]],10),0,1)</f>
        <v>0</v>
      </c>
      <c r="Y58" s="57">
        <f ca="1">SUM(CONT_SUP[[#This Row],[Duplicate Contract]:[Space in Code]])</f>
        <v>0</v>
      </c>
      <c r="AA58" s="12" t="s">
        <v>2082</v>
      </c>
      <c r="AB58" s="63">
        <v>91073788</v>
      </c>
      <c r="AC58" s="63" t="s">
        <v>4656</v>
      </c>
      <c r="AD58" s="57" t="str">
        <f>_xlfn.XLOOKUP(CONT_SUP[[#This Row],[StaffMemberCode]],StaffMembers!O:O,StaffMembers!R:R)</f>
        <v>Isabella Podmore</v>
      </c>
      <c r="AE58" s="12" t="s">
        <v>1190</v>
      </c>
      <c r="AF58" s="66">
        <f>_xlfn.XLOOKUP(CONT_SUP[[#This Row],[SRG]],SRG[StaffRoleGroupCode],SRG[GrossSalaryFinanceCode])</f>
        <v>630100</v>
      </c>
      <c r="AG58" s="57" t="str">
        <f>_xlfn.XLOOKUP(CONT_SUP[[#This Row],[StaffRoleCode]],ROLES[StaffRoleCode],ROLES[StaffRoleGroupCode])</f>
        <v>CLE</v>
      </c>
      <c r="AH58" s="57" t="str">
        <f>_xlfn.XLOOKUP(CONT_SUP[[#This Row],[StaffRoleCode]],ROLES[StaffRoleCode],ROLES[PayScaleCode])</f>
        <v>NJC_CHE</v>
      </c>
      <c r="AI58" s="12" t="s">
        <v>3120</v>
      </c>
      <c r="AJ58" s="12">
        <v>2</v>
      </c>
      <c r="AK58" s="12" t="s">
        <v>2495</v>
      </c>
      <c r="AM58" s="68" t="s">
        <v>3132</v>
      </c>
      <c r="AN58" s="12" t="s">
        <v>3145</v>
      </c>
      <c r="AO58" s="21">
        <v>45901</v>
      </c>
      <c r="AQ58" s="12">
        <v>20</v>
      </c>
      <c r="AR58" t="b">
        <v>0</v>
      </c>
      <c r="AS58" t="b">
        <v>0</v>
      </c>
      <c r="AT58" s="12" t="s">
        <v>1574</v>
      </c>
    </row>
    <row r="59" spans="1:46" x14ac:dyDescent="0.3">
      <c r="A59" s="57" t="str">
        <f t="shared" si="1"/>
        <v>BLS9107350291073502ACLESPREM45901</v>
      </c>
      <c r="B59" s="57">
        <f>COUNTIF(CONT_SUP[Unique Contract],CONT_SUP[[#This Row],[Unique Contract]])-1</f>
        <v>0</v>
      </c>
      <c r="C59" s="57">
        <f>IFERROR(IF(FIND(CONT_SUP[[#This Row],[SchoolCode]],_xlfn.XLOOKUP(CONT_SUP[[#This Row],[StaffMemberCode]],MEMBERS[StaffMemberCode],MEMBERS[SchoolCodes]))&gt;0,0,1),1)</f>
        <v>0</v>
      </c>
      <c r="D59" s="57" cm="1">
        <f t="array" ref="D59">IF(_xlfn.XLOOKUP(CONT_SUP[[#This Row],[StaffRoleCode]],ROLES[StaffRoleCode],ROLES[AvailableToAllSchools],1,0,)=TRUE,0,IF(ISERROR(FIND(CONT_SUP[[#This Row],[SchoolCode]],_xlfn.TEXTJOIN(",",TRUE,_xlfn.UNIQUE(IF(ROLES[StaffRoleCode]=CONT_SUP[[#This Row],[StaffRoleCode]],ROLES[SchoolCodes],""))))),1,0))</f>
        <v>0</v>
      </c>
      <c r="E59" s="66" cm="1">
        <f t="array" ref="E5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59" s="57" cm="1">
        <f t="array" ref="F59">IF(_xlfn.XLOOKUP(CONT_SUP[[#This Row],[PayScaleCode]],PAYSCALES[PayScaleCode],PAYSCALES[AvailableToAllSchools],1,0,)=TRUE,0,IF(ISERROR(FIND(CONT_SUP[[#This Row],[SchoolCode]],_xlfn.TEXTJOIN(",",TRUE,_xlfn.UNIQUE(IF(PAYSCALES[PayScaleCode]=CONT_SUP[[#This Row],[PayScaleCode]],PAYSCALES[SchoolCodes],""))))),1,0))</f>
        <v>0</v>
      </c>
      <c r="G59" s="57">
        <f>IF(_xlfn.XLOOKUP(CONT_SUP[[#This Row],[PayScaleGradeCode]],GRADES[PayScaleGradeCode],GRADES[AvailableToAllSchools])=TRUE,0,IFERROR(IF(FIND(CONT_SUP[[#This Row],[SchoolCode]],_xlfn.XLOOKUP(CONT_SUP[[#This Row],[PayScaleGradeCode]],GRADES[PayScaleGradeCode],GRADES[SchoolCodes]))&gt;=1,0,1),1))</f>
        <v>0</v>
      </c>
      <c r="H59" s="66">
        <f>IF(ISERROR(IF((_xlfn.XLOOKUP(CONT_SUP[[#This Row],[PayScaleGradeCode]],GRADES[PayScaleGradeCode],GRADES[PayScaleCode])=CONT_SUP[[#This Row],[PayScaleCode]]),0,1)),1,0)</f>
        <v>0</v>
      </c>
      <c r="I59" s="66" cm="1">
        <f t="array" ref="I59">IF(ISERROR(FIND(CONT_SUP[[#This Row],[PayScalePointCode]],_xlfn.TEXTJOIN(",",TRUE,IF(PSPOINTS[PayScaleCode]=CONT_SUP[[#This Row],[PayScaleCode]],PSPOINTS[PayScalePointCode])))),1,0)</f>
        <v>0</v>
      </c>
      <c r="J59" s="57" cm="1">
        <f t="array" ref="J5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59" s="66">
        <f>IF(_xlfn.XLOOKUP(CONT_SUP[[#This Row],[PayScalePointCode]],PSPOINTS[PayScalePointCode],PSPOINTS[PayScalePointEnabled])=TRUE,0,1)</f>
        <v>0</v>
      </c>
      <c r="L59" s="57" cm="1">
        <f t="array" ref="L59">IF(_xlfn.XLOOKUP(CONT_SUP[[#This Row],[DepartmentCode]],DEPTS[DepartmentCode],DEPTS[AvailableToAllSchools],1,0,)=TRUE,0,IF(ISERROR(FIND(CONT_SUP[[#This Row],[SchoolCode]],_xlfn.TEXTJOIN(",",TRUE,_xlfn.UNIQUE(IF(DEPTS[DepartmentCode]=CONT_SUP[[#This Row],[DepartmentCode]],DEPTS[SchoolCodes],""))))),1,0))</f>
        <v>0</v>
      </c>
      <c r="M59" s="57">
        <f>IFERROR(IF(_xlfn.XLOOKUP(CONT_SUP[[#This Row],[SRG Gross]],FinanceCodesBudget[FinanceCode],FinanceCodesBudget[LedgerCode])=_xlfn.XLOOKUP(CONT_SUP[[#This Row],[DepartmentCode]],DEPTS[DepartmentCode],DEPTS[LedgerCode]),0,1),1)</f>
        <v>0</v>
      </c>
      <c r="N59" s="66" cm="1">
        <f t="array" ref="N59">IF(_xlfn.XLOOKUP(CONT_SUP[[#This Row],[PensionCode]],PENS[PensionCode],PENS[AvailableToAllSchools],1,0,)=TRUE,0,IF(ISERROR(FIND(CONT_SUP[[#This Row],[SchoolCode]],_xlfn.TEXTJOIN(",",TRUE,_xlfn.UNIQUE(IF(PENS[PensionCode]=CONT_SUP[[#This Row],[PensionCode]],PENS[SchoolCodes],""))))),1,0))</f>
        <v>0</v>
      </c>
      <c r="O59" s="66" cm="1">
        <f t="array" ref="O59">IF(_xlfn.XLOOKUP(CONT_SUP[[#This Row],[EquatedWeekPatternCode]],EQW[EquatedWeekPatternCode],EQW[AvailableToAllSchools],1,0,)=TRUE,0,IF(ISERROR(FIND(CONT_SUP[[#This Row],[SchoolCode]],_xlfn.TEXTJOIN(",",TRUE,_xlfn.UNIQUE(IF(EQW[EquatedWeekPatternCode]=CONT_SUP[[#This Row],[EquatedWeekPatternCode]],EQW[SchoolCodes],""))))),1,0))</f>
        <v>0</v>
      </c>
      <c r="P59" s="57">
        <f>1-COUNTIF(ContractTypes[Code],CONT_SUP[[#This Row],[ContractTypeCode]])</f>
        <v>0</v>
      </c>
      <c r="Q59" s="57">
        <f>IF(VLOOKUP(CONT_SUP[[#This Row],[StaffMemberCode]],MEMBERS[[StaffMemberCode]:[ServiceStartDate]],5,0)&gt;CONT_SUP[[#This Row],[DateFrom]],1,0)</f>
        <v>0</v>
      </c>
      <c r="R59" s="57">
        <f>IF(_xlfn.XLOOKUP(CONT_SUP[[#This Row],[StaffMemberCode]],MEMBERS[StaffMemberCode],MEMBERS[ServiceEndDate])="",0,IF(CONT_SUP[[#This Row],[DateTo]]="",1,IF(_xlfn.XLOOKUP(CONT_SUP[[#This Row],[StaffMemberCode]],MEMBERS[StaffMemberCode],MEMBERS[ServiceEndDate])&lt;CONT_SUP[[#This Row],[DateTo]],1,0)))</f>
        <v>0</v>
      </c>
      <c r="S59" s="57">
        <f>IF(ISBLANK(CONT_SUP[[#This Row],[DateTo]]),0,IF(CONT_SUP[[#This Row],[DateFrom]]=CONT_SUP[[#This Row],[DateTo]],0,IF(CONT_SUP[[#This Row],[DateFrom]]&lt;CONT_SUP[[#This Row],[DateTo]],0,1)))</f>
        <v>0</v>
      </c>
      <c r="T59" s="57" cm="1">
        <f t="array" aca="1" ref="T59" ca="1">IF(CELL("format",CONT_SUP[[#This Row],[DateFrom]])="D1",0,1)+IF(CELL("format",CONT_SUP[[#This Row],[DateTo]])="D1",0,1)</f>
        <v>0</v>
      </c>
      <c r="U59" s="57">
        <f>IF(OR(CONT_SUP[[#This Row],[MatEditOnly]]=TRUE,CONT_SUP[[#This Row],[MatEditOnly]]=FALSE),IF(OR(CONT_SUP[[#This Row],[NoIncrement]]=TRUE,CONT_SUP[[#This Row],[NoIncrement]]=FALSE),0,1),1)</f>
        <v>0</v>
      </c>
      <c r="V59" s="57">
        <f>IF(ISBLANK(CONT_SUP[[#This Row],[FundCode]])=TRUE,0,IF(COUNTIF(FUNDS[FundCode],CONT_SUP[[#This Row],[FundCode]])=1,0,1))</f>
        <v>0</v>
      </c>
      <c r="W59" s="57">
        <f>IF(LEN(CONT_SUP[[#This Row],[Notes]])&lt;4000,0,1)</f>
        <v>0</v>
      </c>
      <c r="X59" s="57">
        <f>IF(SUBSTITUTE(TEXT(CONT_SUP[[#This Row],[Reference]],10)," ","")=TEXT(CONT_SUP[[#This Row],[Reference]],10),0,1)</f>
        <v>0</v>
      </c>
      <c r="Y59" s="57">
        <f ca="1">SUM(CONT_SUP[[#This Row],[Duplicate Contract]:[Space in Code]])</f>
        <v>0</v>
      </c>
      <c r="AA59" s="12" t="s">
        <v>2094</v>
      </c>
      <c r="AB59" s="63">
        <v>91073502</v>
      </c>
      <c r="AC59" s="63" t="s">
        <v>4657</v>
      </c>
      <c r="AD59" s="57" t="str">
        <f>_xlfn.XLOOKUP(CONT_SUP[[#This Row],[StaffMemberCode]],StaffMembers!O:O,StaffMembers!R:R)</f>
        <v>Jacqueline Lloyd</v>
      </c>
      <c r="AE59" s="12" t="s">
        <v>1190</v>
      </c>
      <c r="AF59" s="66">
        <f>_xlfn.XLOOKUP(CONT_SUP[[#This Row],[SRG]],SRG[StaffRoleGroupCode],SRG[GrossSalaryFinanceCode])</f>
        <v>630100</v>
      </c>
      <c r="AG59" s="57" t="str">
        <f>_xlfn.XLOOKUP(CONT_SUP[[#This Row],[StaffRoleCode]],ROLES[StaffRoleCode],ROLES[StaffRoleGroupCode])</f>
        <v>CLE</v>
      </c>
      <c r="AH59" s="57" t="str">
        <f>_xlfn.XLOOKUP(CONT_SUP[[#This Row],[StaffRoleCode]],ROLES[StaffRoleCode],ROLES[PayScaleCode])</f>
        <v>NJC_CHE</v>
      </c>
      <c r="AI59" s="12" t="s">
        <v>3120</v>
      </c>
      <c r="AJ59" s="12">
        <v>2</v>
      </c>
      <c r="AK59" s="12" t="s">
        <v>2495</v>
      </c>
      <c r="AM59" s="68" t="s">
        <v>3132</v>
      </c>
      <c r="AN59" s="12" t="s">
        <v>1702</v>
      </c>
      <c r="AO59" s="21">
        <v>45901</v>
      </c>
      <c r="AQ59" s="12">
        <v>15</v>
      </c>
      <c r="AR59" t="b">
        <v>0</v>
      </c>
      <c r="AS59" t="b">
        <v>0</v>
      </c>
      <c r="AT59" s="12" t="s">
        <v>1574</v>
      </c>
    </row>
    <row r="60" spans="1:46" x14ac:dyDescent="0.3">
      <c r="A60" s="57" t="str">
        <f t="shared" si="1"/>
        <v>BLS9107350591073505ACLESPREM45901</v>
      </c>
      <c r="B60" s="57">
        <f>COUNTIF(CONT_SUP[Unique Contract],CONT_SUP[[#This Row],[Unique Contract]])-1</f>
        <v>0</v>
      </c>
      <c r="C60" s="57">
        <f>IFERROR(IF(FIND(CONT_SUP[[#This Row],[SchoolCode]],_xlfn.XLOOKUP(CONT_SUP[[#This Row],[StaffMemberCode]],MEMBERS[StaffMemberCode],MEMBERS[SchoolCodes]))&gt;0,0,1),1)</f>
        <v>0</v>
      </c>
      <c r="D60" s="57" cm="1">
        <f t="array" ref="D60">IF(_xlfn.XLOOKUP(CONT_SUP[[#This Row],[StaffRoleCode]],ROLES[StaffRoleCode],ROLES[AvailableToAllSchools],1,0,)=TRUE,0,IF(ISERROR(FIND(CONT_SUP[[#This Row],[SchoolCode]],_xlfn.TEXTJOIN(",",TRUE,_xlfn.UNIQUE(IF(ROLES[StaffRoleCode]=CONT_SUP[[#This Row],[StaffRoleCode]],ROLES[SchoolCodes],""))))),1,0))</f>
        <v>0</v>
      </c>
      <c r="E60" s="66" cm="1">
        <f t="array" ref="E6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60" s="57" cm="1">
        <f t="array" ref="F60">IF(_xlfn.XLOOKUP(CONT_SUP[[#This Row],[PayScaleCode]],PAYSCALES[PayScaleCode],PAYSCALES[AvailableToAllSchools],1,0,)=TRUE,0,IF(ISERROR(FIND(CONT_SUP[[#This Row],[SchoolCode]],_xlfn.TEXTJOIN(",",TRUE,_xlfn.UNIQUE(IF(PAYSCALES[PayScaleCode]=CONT_SUP[[#This Row],[PayScaleCode]],PAYSCALES[SchoolCodes],""))))),1,0))</f>
        <v>0</v>
      </c>
      <c r="G60" s="57">
        <f>IF(_xlfn.XLOOKUP(CONT_SUP[[#This Row],[PayScaleGradeCode]],GRADES[PayScaleGradeCode],GRADES[AvailableToAllSchools])=TRUE,0,IFERROR(IF(FIND(CONT_SUP[[#This Row],[SchoolCode]],_xlfn.XLOOKUP(CONT_SUP[[#This Row],[PayScaleGradeCode]],GRADES[PayScaleGradeCode],GRADES[SchoolCodes]))&gt;=1,0,1),1))</f>
        <v>0</v>
      </c>
      <c r="H60" s="66">
        <f>IF(ISERROR(IF((_xlfn.XLOOKUP(CONT_SUP[[#This Row],[PayScaleGradeCode]],GRADES[PayScaleGradeCode],GRADES[PayScaleCode])=CONT_SUP[[#This Row],[PayScaleCode]]),0,1)),1,0)</f>
        <v>0</v>
      </c>
      <c r="I60" s="66" cm="1">
        <f t="array" ref="I60">IF(ISERROR(FIND(CONT_SUP[[#This Row],[PayScalePointCode]],_xlfn.TEXTJOIN(",",TRUE,IF(PSPOINTS[PayScaleCode]=CONT_SUP[[#This Row],[PayScaleCode]],PSPOINTS[PayScalePointCode])))),1,0)</f>
        <v>0</v>
      </c>
      <c r="J60" s="57" cm="1">
        <f t="array" ref="J6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60" s="66">
        <f>IF(_xlfn.XLOOKUP(CONT_SUP[[#This Row],[PayScalePointCode]],PSPOINTS[PayScalePointCode],PSPOINTS[PayScalePointEnabled])=TRUE,0,1)</f>
        <v>0</v>
      </c>
      <c r="L60" s="57" cm="1">
        <f t="array" ref="L60">IF(_xlfn.XLOOKUP(CONT_SUP[[#This Row],[DepartmentCode]],DEPTS[DepartmentCode],DEPTS[AvailableToAllSchools],1,0,)=TRUE,0,IF(ISERROR(FIND(CONT_SUP[[#This Row],[SchoolCode]],_xlfn.TEXTJOIN(",",TRUE,_xlfn.UNIQUE(IF(DEPTS[DepartmentCode]=CONT_SUP[[#This Row],[DepartmentCode]],DEPTS[SchoolCodes],""))))),1,0))</f>
        <v>0</v>
      </c>
      <c r="M60" s="57">
        <f>IFERROR(IF(_xlfn.XLOOKUP(CONT_SUP[[#This Row],[SRG Gross]],FinanceCodesBudget[FinanceCode],FinanceCodesBudget[LedgerCode])=_xlfn.XLOOKUP(CONT_SUP[[#This Row],[DepartmentCode]],DEPTS[DepartmentCode],DEPTS[LedgerCode]),0,1),1)</f>
        <v>0</v>
      </c>
      <c r="N60" s="66" cm="1">
        <f t="array" ref="N60">IF(_xlfn.XLOOKUP(CONT_SUP[[#This Row],[PensionCode]],PENS[PensionCode],PENS[AvailableToAllSchools],1,0,)=TRUE,0,IF(ISERROR(FIND(CONT_SUP[[#This Row],[SchoolCode]],_xlfn.TEXTJOIN(",",TRUE,_xlfn.UNIQUE(IF(PENS[PensionCode]=CONT_SUP[[#This Row],[PensionCode]],PENS[SchoolCodes],""))))),1,0))</f>
        <v>0</v>
      </c>
      <c r="O60" s="66" cm="1">
        <f t="array" ref="O60">IF(_xlfn.XLOOKUP(CONT_SUP[[#This Row],[EquatedWeekPatternCode]],EQW[EquatedWeekPatternCode],EQW[AvailableToAllSchools],1,0,)=TRUE,0,IF(ISERROR(FIND(CONT_SUP[[#This Row],[SchoolCode]],_xlfn.TEXTJOIN(",",TRUE,_xlfn.UNIQUE(IF(EQW[EquatedWeekPatternCode]=CONT_SUP[[#This Row],[EquatedWeekPatternCode]],EQW[SchoolCodes],""))))),1,0))</f>
        <v>0</v>
      </c>
      <c r="P60" s="57">
        <f>1-COUNTIF(ContractTypes[Code],CONT_SUP[[#This Row],[ContractTypeCode]])</f>
        <v>0</v>
      </c>
      <c r="Q60" s="57">
        <f>IF(VLOOKUP(CONT_SUP[[#This Row],[StaffMemberCode]],MEMBERS[[StaffMemberCode]:[ServiceStartDate]],5,0)&gt;CONT_SUP[[#This Row],[DateFrom]],1,0)</f>
        <v>0</v>
      </c>
      <c r="R60" s="57">
        <f>IF(_xlfn.XLOOKUP(CONT_SUP[[#This Row],[StaffMemberCode]],MEMBERS[StaffMemberCode],MEMBERS[ServiceEndDate])="",0,IF(CONT_SUP[[#This Row],[DateTo]]="",1,IF(_xlfn.XLOOKUP(CONT_SUP[[#This Row],[StaffMemberCode]],MEMBERS[StaffMemberCode],MEMBERS[ServiceEndDate])&lt;CONT_SUP[[#This Row],[DateTo]],1,0)))</f>
        <v>0</v>
      </c>
      <c r="S60" s="57">
        <f>IF(ISBLANK(CONT_SUP[[#This Row],[DateTo]]),0,IF(CONT_SUP[[#This Row],[DateFrom]]=CONT_SUP[[#This Row],[DateTo]],0,IF(CONT_SUP[[#This Row],[DateFrom]]&lt;CONT_SUP[[#This Row],[DateTo]],0,1)))</f>
        <v>0</v>
      </c>
      <c r="T60" s="57" cm="1">
        <f t="array" aca="1" ref="T60" ca="1">IF(CELL("format",CONT_SUP[[#This Row],[DateFrom]])="D1",0,1)+IF(CELL("format",CONT_SUP[[#This Row],[DateTo]])="D1",0,1)</f>
        <v>0</v>
      </c>
      <c r="U60" s="57">
        <f>IF(OR(CONT_SUP[[#This Row],[MatEditOnly]]=TRUE,CONT_SUP[[#This Row],[MatEditOnly]]=FALSE),IF(OR(CONT_SUP[[#This Row],[NoIncrement]]=TRUE,CONT_SUP[[#This Row],[NoIncrement]]=FALSE),0,1),1)</f>
        <v>0</v>
      </c>
      <c r="V60" s="57">
        <f>IF(ISBLANK(CONT_SUP[[#This Row],[FundCode]])=TRUE,0,IF(COUNTIF(FUNDS[FundCode],CONT_SUP[[#This Row],[FundCode]])=1,0,1))</f>
        <v>0</v>
      </c>
      <c r="W60" s="57">
        <f>IF(LEN(CONT_SUP[[#This Row],[Notes]])&lt;4000,0,1)</f>
        <v>0</v>
      </c>
      <c r="X60" s="57">
        <f>IF(SUBSTITUTE(TEXT(CONT_SUP[[#This Row],[Reference]],10)," ","")=TEXT(CONT_SUP[[#This Row],[Reference]],10),0,1)</f>
        <v>0</v>
      </c>
      <c r="Y60" s="57">
        <f ca="1">SUM(CONT_SUP[[#This Row],[Duplicate Contract]:[Space in Code]])</f>
        <v>0</v>
      </c>
      <c r="AA60" s="12" t="s">
        <v>2094</v>
      </c>
      <c r="AB60" s="63">
        <v>91073505</v>
      </c>
      <c r="AC60" s="63" t="s">
        <v>4658</v>
      </c>
      <c r="AD60" s="57" t="str">
        <f>_xlfn.XLOOKUP(CONT_SUP[[#This Row],[StaffMemberCode]],StaffMembers!O:O,StaffMembers!R:R)</f>
        <v>Janette Arrowsmith</v>
      </c>
      <c r="AE60" s="12" t="s">
        <v>1190</v>
      </c>
      <c r="AF60" s="66">
        <f>_xlfn.XLOOKUP(CONT_SUP[[#This Row],[SRG]],SRG[StaffRoleGroupCode],SRG[GrossSalaryFinanceCode])</f>
        <v>630100</v>
      </c>
      <c r="AG60" s="57" t="str">
        <f>_xlfn.XLOOKUP(CONT_SUP[[#This Row],[StaffRoleCode]],ROLES[StaffRoleCode],ROLES[StaffRoleGroupCode])</f>
        <v>CLE</v>
      </c>
      <c r="AH60" s="57" t="str">
        <f>_xlfn.XLOOKUP(CONT_SUP[[#This Row],[StaffRoleCode]],ROLES[StaffRoleCode],ROLES[PayScaleCode])</f>
        <v>NJC_CHE</v>
      </c>
      <c r="AI60" s="12" t="s">
        <v>3120</v>
      </c>
      <c r="AJ60" s="12">
        <v>2</v>
      </c>
      <c r="AK60" s="12" t="s">
        <v>2495</v>
      </c>
      <c r="AM60" s="68" t="s">
        <v>3132</v>
      </c>
      <c r="AN60" s="12" t="s">
        <v>1702</v>
      </c>
      <c r="AO60" s="21">
        <v>45901</v>
      </c>
      <c r="AQ60" s="12">
        <v>15</v>
      </c>
      <c r="AR60" t="b">
        <v>0</v>
      </c>
      <c r="AS60" t="b">
        <v>0</v>
      </c>
      <c r="AT60" s="12" t="s">
        <v>1574</v>
      </c>
    </row>
    <row r="61" spans="1:46" x14ac:dyDescent="0.3">
      <c r="A61" s="57" t="str">
        <f t="shared" si="1"/>
        <v>ALS9185002791850027ACLESPREM45901</v>
      </c>
      <c r="B61" s="57">
        <f>COUNTIF(CONT_SUP[Unique Contract],CONT_SUP[[#This Row],[Unique Contract]])-1</f>
        <v>0</v>
      </c>
      <c r="C61" s="57">
        <f>IFERROR(IF(FIND(CONT_SUP[[#This Row],[SchoolCode]],_xlfn.XLOOKUP(CONT_SUP[[#This Row],[StaffMemberCode]],MEMBERS[StaffMemberCode],MEMBERS[SchoolCodes]))&gt;0,0,1),1)</f>
        <v>0</v>
      </c>
      <c r="D61" s="57" cm="1">
        <f t="array" ref="D61">IF(_xlfn.XLOOKUP(CONT_SUP[[#This Row],[StaffRoleCode]],ROLES[StaffRoleCode],ROLES[AvailableToAllSchools],1,0,)=TRUE,0,IF(ISERROR(FIND(CONT_SUP[[#This Row],[SchoolCode]],_xlfn.TEXTJOIN(",",TRUE,_xlfn.UNIQUE(IF(ROLES[StaffRoleCode]=CONT_SUP[[#This Row],[StaffRoleCode]],ROLES[SchoolCodes],""))))),1,0))</f>
        <v>0</v>
      </c>
      <c r="E61" s="66" cm="1">
        <f t="array" ref="E6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61" s="57" cm="1">
        <f t="array" ref="F61">IF(_xlfn.XLOOKUP(CONT_SUP[[#This Row],[PayScaleCode]],PAYSCALES[PayScaleCode],PAYSCALES[AvailableToAllSchools],1,0,)=TRUE,0,IF(ISERROR(FIND(CONT_SUP[[#This Row],[SchoolCode]],_xlfn.TEXTJOIN(",",TRUE,_xlfn.UNIQUE(IF(PAYSCALES[PayScaleCode]=CONT_SUP[[#This Row],[PayScaleCode]],PAYSCALES[SchoolCodes],""))))),1,0))</f>
        <v>0</v>
      </c>
      <c r="G61" s="57">
        <f>IF(_xlfn.XLOOKUP(CONT_SUP[[#This Row],[PayScaleGradeCode]],GRADES[PayScaleGradeCode],GRADES[AvailableToAllSchools])=TRUE,0,IFERROR(IF(FIND(CONT_SUP[[#This Row],[SchoolCode]],_xlfn.XLOOKUP(CONT_SUP[[#This Row],[PayScaleGradeCode]],GRADES[PayScaleGradeCode],GRADES[SchoolCodes]))&gt;=1,0,1),1))</f>
        <v>0</v>
      </c>
      <c r="H61" s="66">
        <f>IF(ISERROR(IF((_xlfn.XLOOKUP(CONT_SUP[[#This Row],[PayScaleGradeCode]],GRADES[PayScaleGradeCode],GRADES[PayScaleCode])=CONT_SUP[[#This Row],[PayScaleCode]]),0,1)),1,0)</f>
        <v>0</v>
      </c>
      <c r="I61" s="66" cm="1">
        <f t="array" ref="I61">IF(ISERROR(FIND(CONT_SUP[[#This Row],[PayScalePointCode]],_xlfn.TEXTJOIN(",",TRUE,IF(PSPOINTS[PayScaleCode]=CONT_SUP[[#This Row],[PayScaleCode]],PSPOINTS[PayScalePointCode])))),1,0)</f>
        <v>0</v>
      </c>
      <c r="J61" s="57" cm="1">
        <f t="array" ref="J6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61" s="66">
        <f>IF(_xlfn.XLOOKUP(CONT_SUP[[#This Row],[PayScalePointCode]],PSPOINTS[PayScalePointCode],PSPOINTS[PayScalePointEnabled])=TRUE,0,1)</f>
        <v>0</v>
      </c>
      <c r="L61" s="57" cm="1">
        <f t="array" ref="L61">IF(_xlfn.XLOOKUP(CONT_SUP[[#This Row],[DepartmentCode]],DEPTS[DepartmentCode],DEPTS[AvailableToAllSchools],1,0,)=TRUE,0,IF(ISERROR(FIND(CONT_SUP[[#This Row],[SchoolCode]],_xlfn.TEXTJOIN(",",TRUE,_xlfn.UNIQUE(IF(DEPTS[DepartmentCode]=CONT_SUP[[#This Row],[DepartmentCode]],DEPTS[SchoolCodes],""))))),1,0))</f>
        <v>0</v>
      </c>
      <c r="M61" s="57">
        <f>IFERROR(IF(_xlfn.XLOOKUP(CONT_SUP[[#This Row],[SRG Gross]],FinanceCodesBudget[FinanceCode],FinanceCodesBudget[LedgerCode])=_xlfn.XLOOKUP(CONT_SUP[[#This Row],[DepartmentCode]],DEPTS[DepartmentCode],DEPTS[LedgerCode]),0,1),1)</f>
        <v>0</v>
      </c>
      <c r="N61" s="66" cm="1">
        <f t="array" ref="N61">IF(_xlfn.XLOOKUP(CONT_SUP[[#This Row],[PensionCode]],PENS[PensionCode],PENS[AvailableToAllSchools],1,0,)=TRUE,0,IF(ISERROR(FIND(CONT_SUP[[#This Row],[SchoolCode]],_xlfn.TEXTJOIN(",",TRUE,_xlfn.UNIQUE(IF(PENS[PensionCode]=CONT_SUP[[#This Row],[PensionCode]],PENS[SchoolCodes],""))))),1,0))</f>
        <v>0</v>
      </c>
      <c r="O61" s="66" cm="1">
        <f t="array" ref="O61">IF(_xlfn.XLOOKUP(CONT_SUP[[#This Row],[EquatedWeekPatternCode]],EQW[EquatedWeekPatternCode],EQW[AvailableToAllSchools],1,0,)=TRUE,0,IF(ISERROR(FIND(CONT_SUP[[#This Row],[SchoolCode]],_xlfn.TEXTJOIN(",",TRUE,_xlfn.UNIQUE(IF(EQW[EquatedWeekPatternCode]=CONT_SUP[[#This Row],[EquatedWeekPatternCode]],EQW[SchoolCodes],""))))),1,0))</f>
        <v>0</v>
      </c>
      <c r="P61" s="57">
        <f>1-COUNTIF(ContractTypes[Code],CONT_SUP[[#This Row],[ContractTypeCode]])</f>
        <v>0</v>
      </c>
      <c r="Q61" s="57">
        <f>IF(VLOOKUP(CONT_SUP[[#This Row],[StaffMemberCode]],MEMBERS[[StaffMemberCode]:[ServiceStartDate]],5,0)&gt;CONT_SUP[[#This Row],[DateFrom]],1,0)</f>
        <v>0</v>
      </c>
      <c r="R61" s="57">
        <f>IF(_xlfn.XLOOKUP(CONT_SUP[[#This Row],[StaffMemberCode]],MEMBERS[StaffMemberCode],MEMBERS[ServiceEndDate])="",0,IF(CONT_SUP[[#This Row],[DateTo]]="",1,IF(_xlfn.XLOOKUP(CONT_SUP[[#This Row],[StaffMemberCode]],MEMBERS[StaffMemberCode],MEMBERS[ServiceEndDate])&lt;CONT_SUP[[#This Row],[DateTo]],1,0)))</f>
        <v>0</v>
      </c>
      <c r="S61" s="57">
        <f>IF(ISBLANK(CONT_SUP[[#This Row],[DateTo]]),0,IF(CONT_SUP[[#This Row],[DateFrom]]=CONT_SUP[[#This Row],[DateTo]],0,IF(CONT_SUP[[#This Row],[DateFrom]]&lt;CONT_SUP[[#This Row],[DateTo]],0,1)))</f>
        <v>0</v>
      </c>
      <c r="T61" s="57" cm="1">
        <f t="array" aca="1" ref="T61" ca="1">IF(CELL("format",CONT_SUP[[#This Row],[DateFrom]])="D1",0,1)+IF(CELL("format",CONT_SUP[[#This Row],[DateTo]])="D1",0,1)</f>
        <v>0</v>
      </c>
      <c r="U61" s="57">
        <f>IF(OR(CONT_SUP[[#This Row],[MatEditOnly]]=TRUE,CONT_SUP[[#This Row],[MatEditOnly]]=FALSE),IF(OR(CONT_SUP[[#This Row],[NoIncrement]]=TRUE,CONT_SUP[[#This Row],[NoIncrement]]=FALSE),0,1),1)</f>
        <v>0</v>
      </c>
      <c r="V61" s="57">
        <f>IF(ISBLANK(CONT_SUP[[#This Row],[FundCode]])=TRUE,0,IF(COUNTIF(FUNDS[FundCode],CONT_SUP[[#This Row],[FundCode]])=1,0,1))</f>
        <v>0</v>
      </c>
      <c r="W61" s="57">
        <f>IF(LEN(CONT_SUP[[#This Row],[Notes]])&lt;4000,0,1)</f>
        <v>0</v>
      </c>
      <c r="X61" s="57">
        <f>IF(SUBSTITUTE(TEXT(CONT_SUP[[#This Row],[Reference]],10)," ","")=TEXT(CONT_SUP[[#This Row],[Reference]],10),0,1)</f>
        <v>0</v>
      </c>
      <c r="Y61" s="57">
        <f ca="1">SUM(CONT_SUP[[#This Row],[Duplicate Contract]:[Space in Code]])</f>
        <v>0</v>
      </c>
      <c r="AA61" s="12" t="s">
        <v>2082</v>
      </c>
      <c r="AB61" s="63">
        <v>91850027</v>
      </c>
      <c r="AC61" s="63" t="s">
        <v>4659</v>
      </c>
      <c r="AD61" s="57" t="str">
        <f>_xlfn.XLOOKUP(CONT_SUP[[#This Row],[StaffMemberCode]],StaffMembers!O:O,StaffMembers!R:R)</f>
        <v>Jennifer Benn</v>
      </c>
      <c r="AE61" s="12" t="s">
        <v>1190</v>
      </c>
      <c r="AF61" s="66">
        <f>_xlfn.XLOOKUP(CONT_SUP[[#This Row],[SRG]],SRG[StaffRoleGroupCode],SRG[GrossSalaryFinanceCode])</f>
        <v>630100</v>
      </c>
      <c r="AG61" s="57" t="str">
        <f>_xlfn.XLOOKUP(CONT_SUP[[#This Row],[StaffRoleCode]],ROLES[StaffRoleCode],ROLES[StaffRoleGroupCode])</f>
        <v>CLE</v>
      </c>
      <c r="AH61" s="57" t="str">
        <f>_xlfn.XLOOKUP(CONT_SUP[[#This Row],[StaffRoleCode]],ROLES[StaffRoleCode],ROLES[PayScaleCode])</f>
        <v>NJC_CHE</v>
      </c>
      <c r="AI61" s="12" t="s">
        <v>3120</v>
      </c>
      <c r="AJ61" s="12">
        <v>2</v>
      </c>
      <c r="AK61" s="12" t="s">
        <v>2495</v>
      </c>
      <c r="AM61" s="68" t="s">
        <v>1149</v>
      </c>
      <c r="AN61" s="12" t="s">
        <v>3145</v>
      </c>
      <c r="AO61" s="21">
        <v>45901</v>
      </c>
      <c r="AQ61" s="12">
        <v>15</v>
      </c>
      <c r="AR61" t="b">
        <v>0</v>
      </c>
      <c r="AS61" t="b">
        <v>0</v>
      </c>
      <c r="AT61" s="12" t="s">
        <v>1574</v>
      </c>
    </row>
    <row r="62" spans="1:46" x14ac:dyDescent="0.3">
      <c r="A62" s="57" t="str">
        <f t="shared" si="1"/>
        <v>ALS9107383191073831ACLESPREM45901</v>
      </c>
      <c r="B62" s="57">
        <f>COUNTIF(CONT_SUP[Unique Contract],CONT_SUP[[#This Row],[Unique Contract]])-1</f>
        <v>0</v>
      </c>
      <c r="C62" s="57">
        <f>IFERROR(IF(FIND(CONT_SUP[[#This Row],[SchoolCode]],_xlfn.XLOOKUP(CONT_SUP[[#This Row],[StaffMemberCode]],MEMBERS[StaffMemberCode],MEMBERS[SchoolCodes]))&gt;0,0,1),1)</f>
        <v>0</v>
      </c>
      <c r="D62" s="57" cm="1">
        <f t="array" ref="D62">IF(_xlfn.XLOOKUP(CONT_SUP[[#This Row],[StaffRoleCode]],ROLES[StaffRoleCode],ROLES[AvailableToAllSchools],1,0,)=TRUE,0,IF(ISERROR(FIND(CONT_SUP[[#This Row],[SchoolCode]],_xlfn.TEXTJOIN(",",TRUE,_xlfn.UNIQUE(IF(ROLES[StaffRoleCode]=CONT_SUP[[#This Row],[StaffRoleCode]],ROLES[SchoolCodes],""))))),1,0))</f>
        <v>0</v>
      </c>
      <c r="E62" s="66" cm="1">
        <f t="array" ref="E6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62" s="57" cm="1">
        <f t="array" ref="F62">IF(_xlfn.XLOOKUP(CONT_SUP[[#This Row],[PayScaleCode]],PAYSCALES[PayScaleCode],PAYSCALES[AvailableToAllSchools],1,0,)=TRUE,0,IF(ISERROR(FIND(CONT_SUP[[#This Row],[SchoolCode]],_xlfn.TEXTJOIN(",",TRUE,_xlfn.UNIQUE(IF(PAYSCALES[PayScaleCode]=CONT_SUP[[#This Row],[PayScaleCode]],PAYSCALES[SchoolCodes],""))))),1,0))</f>
        <v>0</v>
      </c>
      <c r="G62" s="57">
        <f>IF(_xlfn.XLOOKUP(CONT_SUP[[#This Row],[PayScaleGradeCode]],GRADES[PayScaleGradeCode],GRADES[AvailableToAllSchools])=TRUE,0,IFERROR(IF(FIND(CONT_SUP[[#This Row],[SchoolCode]],_xlfn.XLOOKUP(CONT_SUP[[#This Row],[PayScaleGradeCode]],GRADES[PayScaleGradeCode],GRADES[SchoolCodes]))&gt;=1,0,1),1))</f>
        <v>0</v>
      </c>
      <c r="H62" s="66">
        <f>IF(ISERROR(IF((_xlfn.XLOOKUP(CONT_SUP[[#This Row],[PayScaleGradeCode]],GRADES[PayScaleGradeCode],GRADES[PayScaleCode])=CONT_SUP[[#This Row],[PayScaleCode]]),0,1)),1,0)</f>
        <v>0</v>
      </c>
      <c r="I62" s="66" cm="1">
        <f t="array" ref="I62">IF(ISERROR(FIND(CONT_SUP[[#This Row],[PayScalePointCode]],_xlfn.TEXTJOIN(",",TRUE,IF(PSPOINTS[PayScaleCode]=CONT_SUP[[#This Row],[PayScaleCode]],PSPOINTS[PayScalePointCode])))),1,0)</f>
        <v>0</v>
      </c>
      <c r="J62" s="57" cm="1">
        <f t="array" ref="J6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62" s="66">
        <f>IF(_xlfn.XLOOKUP(CONT_SUP[[#This Row],[PayScalePointCode]],PSPOINTS[PayScalePointCode],PSPOINTS[PayScalePointEnabled])=TRUE,0,1)</f>
        <v>0</v>
      </c>
      <c r="L62" s="57" cm="1">
        <f t="array" ref="L62">IF(_xlfn.XLOOKUP(CONT_SUP[[#This Row],[DepartmentCode]],DEPTS[DepartmentCode],DEPTS[AvailableToAllSchools],1,0,)=TRUE,0,IF(ISERROR(FIND(CONT_SUP[[#This Row],[SchoolCode]],_xlfn.TEXTJOIN(",",TRUE,_xlfn.UNIQUE(IF(DEPTS[DepartmentCode]=CONT_SUP[[#This Row],[DepartmentCode]],DEPTS[SchoolCodes],""))))),1,0))</f>
        <v>0</v>
      </c>
      <c r="M62" s="57">
        <f>IFERROR(IF(_xlfn.XLOOKUP(CONT_SUP[[#This Row],[SRG Gross]],FinanceCodesBudget[FinanceCode],FinanceCodesBudget[LedgerCode])=_xlfn.XLOOKUP(CONT_SUP[[#This Row],[DepartmentCode]],DEPTS[DepartmentCode],DEPTS[LedgerCode]),0,1),1)</f>
        <v>0</v>
      </c>
      <c r="N62" s="66" cm="1">
        <f t="array" ref="N62">IF(_xlfn.XLOOKUP(CONT_SUP[[#This Row],[PensionCode]],PENS[PensionCode],PENS[AvailableToAllSchools],1,0,)=TRUE,0,IF(ISERROR(FIND(CONT_SUP[[#This Row],[SchoolCode]],_xlfn.TEXTJOIN(",",TRUE,_xlfn.UNIQUE(IF(PENS[PensionCode]=CONT_SUP[[#This Row],[PensionCode]],PENS[SchoolCodes],""))))),1,0))</f>
        <v>0</v>
      </c>
      <c r="O62" s="66" cm="1">
        <f t="array" ref="O62">IF(_xlfn.XLOOKUP(CONT_SUP[[#This Row],[EquatedWeekPatternCode]],EQW[EquatedWeekPatternCode],EQW[AvailableToAllSchools],1,0,)=TRUE,0,IF(ISERROR(FIND(CONT_SUP[[#This Row],[SchoolCode]],_xlfn.TEXTJOIN(",",TRUE,_xlfn.UNIQUE(IF(EQW[EquatedWeekPatternCode]=CONT_SUP[[#This Row],[EquatedWeekPatternCode]],EQW[SchoolCodes],""))))),1,0))</f>
        <v>0</v>
      </c>
      <c r="P62" s="57">
        <f>1-COUNTIF(ContractTypes[Code],CONT_SUP[[#This Row],[ContractTypeCode]])</f>
        <v>0</v>
      </c>
      <c r="Q62" s="57">
        <f>IF(VLOOKUP(CONT_SUP[[#This Row],[StaffMemberCode]],MEMBERS[[StaffMemberCode]:[ServiceStartDate]],5,0)&gt;CONT_SUP[[#This Row],[DateFrom]],1,0)</f>
        <v>0</v>
      </c>
      <c r="R62" s="57">
        <f>IF(_xlfn.XLOOKUP(CONT_SUP[[#This Row],[StaffMemberCode]],MEMBERS[StaffMemberCode],MEMBERS[ServiceEndDate])="",0,IF(CONT_SUP[[#This Row],[DateTo]]="",1,IF(_xlfn.XLOOKUP(CONT_SUP[[#This Row],[StaffMemberCode]],MEMBERS[StaffMemberCode],MEMBERS[ServiceEndDate])&lt;CONT_SUP[[#This Row],[DateTo]],1,0)))</f>
        <v>0</v>
      </c>
      <c r="S62" s="57">
        <f>IF(ISBLANK(CONT_SUP[[#This Row],[DateTo]]),0,IF(CONT_SUP[[#This Row],[DateFrom]]=CONT_SUP[[#This Row],[DateTo]],0,IF(CONT_SUP[[#This Row],[DateFrom]]&lt;CONT_SUP[[#This Row],[DateTo]],0,1)))</f>
        <v>0</v>
      </c>
      <c r="T62" s="57" cm="1">
        <f t="array" aca="1" ref="T62" ca="1">IF(CELL("format",CONT_SUP[[#This Row],[DateFrom]])="D1",0,1)+IF(CELL("format",CONT_SUP[[#This Row],[DateTo]])="D1",0,1)</f>
        <v>0</v>
      </c>
      <c r="U62" s="57">
        <f>IF(OR(CONT_SUP[[#This Row],[MatEditOnly]]=TRUE,CONT_SUP[[#This Row],[MatEditOnly]]=FALSE),IF(OR(CONT_SUP[[#This Row],[NoIncrement]]=TRUE,CONT_SUP[[#This Row],[NoIncrement]]=FALSE),0,1),1)</f>
        <v>0</v>
      </c>
      <c r="V62" s="57">
        <f>IF(ISBLANK(CONT_SUP[[#This Row],[FundCode]])=TRUE,0,IF(COUNTIF(FUNDS[FundCode],CONT_SUP[[#This Row],[FundCode]])=1,0,1))</f>
        <v>0</v>
      </c>
      <c r="W62" s="57">
        <f>IF(LEN(CONT_SUP[[#This Row],[Notes]])&lt;4000,0,1)</f>
        <v>0</v>
      </c>
      <c r="X62" s="57">
        <f>IF(SUBSTITUTE(TEXT(CONT_SUP[[#This Row],[Reference]],10)," ","")=TEXT(CONT_SUP[[#This Row],[Reference]],10),0,1)</f>
        <v>0</v>
      </c>
      <c r="Y62" s="57">
        <f ca="1">SUM(CONT_SUP[[#This Row],[Duplicate Contract]:[Space in Code]])</f>
        <v>0</v>
      </c>
      <c r="AA62" s="12" t="s">
        <v>2082</v>
      </c>
      <c r="AB62" s="63">
        <v>91073831</v>
      </c>
      <c r="AC62" s="63" t="s">
        <v>4660</v>
      </c>
      <c r="AD62" s="57" t="str">
        <f>_xlfn.XLOOKUP(CONT_SUP[[#This Row],[StaffMemberCode]],StaffMembers!O:O,StaffMembers!R:R)</f>
        <v>Johnathan Sargeant</v>
      </c>
      <c r="AE62" s="12" t="s">
        <v>1190</v>
      </c>
      <c r="AF62" s="66">
        <f>_xlfn.XLOOKUP(CONT_SUP[[#This Row],[SRG]],SRG[StaffRoleGroupCode],SRG[GrossSalaryFinanceCode])</f>
        <v>630100</v>
      </c>
      <c r="AG62" s="57" t="str">
        <f>_xlfn.XLOOKUP(CONT_SUP[[#This Row],[StaffRoleCode]],ROLES[StaffRoleCode],ROLES[StaffRoleGroupCode])</f>
        <v>CLE</v>
      </c>
      <c r="AH62" s="57" t="str">
        <f>_xlfn.XLOOKUP(CONT_SUP[[#This Row],[StaffRoleCode]],ROLES[StaffRoleCode],ROLES[PayScaleCode])</f>
        <v>NJC_CHE</v>
      </c>
      <c r="AI62" s="12" t="s">
        <v>3120</v>
      </c>
      <c r="AJ62" s="12">
        <v>2</v>
      </c>
      <c r="AK62" s="12" t="s">
        <v>2495</v>
      </c>
      <c r="AM62" s="68" t="s">
        <v>3132</v>
      </c>
      <c r="AN62" s="12" t="s">
        <v>3145</v>
      </c>
      <c r="AO62" s="21">
        <v>45901</v>
      </c>
      <c r="AQ62" s="12">
        <v>20</v>
      </c>
      <c r="AR62" t="b">
        <v>0</v>
      </c>
      <c r="AS62" t="b">
        <v>0</v>
      </c>
      <c r="AT62" s="12" t="s">
        <v>1575</v>
      </c>
    </row>
    <row r="63" spans="1:46" x14ac:dyDescent="0.3">
      <c r="A63" s="57" t="str">
        <f t="shared" si="1"/>
        <v>BLS9107351591073515ACLESPREM45901</v>
      </c>
      <c r="B63" s="57">
        <f>COUNTIF(CONT_SUP[Unique Contract],CONT_SUP[[#This Row],[Unique Contract]])-1</f>
        <v>0</v>
      </c>
      <c r="C63" s="57">
        <f>IFERROR(IF(FIND(CONT_SUP[[#This Row],[SchoolCode]],_xlfn.XLOOKUP(CONT_SUP[[#This Row],[StaffMemberCode]],MEMBERS[StaffMemberCode],MEMBERS[SchoolCodes]))&gt;0,0,1),1)</f>
        <v>0</v>
      </c>
      <c r="D63" s="57" cm="1">
        <f t="array" ref="D63">IF(_xlfn.XLOOKUP(CONT_SUP[[#This Row],[StaffRoleCode]],ROLES[StaffRoleCode],ROLES[AvailableToAllSchools],1,0,)=TRUE,0,IF(ISERROR(FIND(CONT_SUP[[#This Row],[SchoolCode]],_xlfn.TEXTJOIN(",",TRUE,_xlfn.UNIQUE(IF(ROLES[StaffRoleCode]=CONT_SUP[[#This Row],[StaffRoleCode]],ROLES[SchoolCodes],""))))),1,0))</f>
        <v>0</v>
      </c>
      <c r="E63" s="66" cm="1">
        <f t="array" ref="E6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63" s="57" cm="1">
        <f t="array" ref="F63">IF(_xlfn.XLOOKUP(CONT_SUP[[#This Row],[PayScaleCode]],PAYSCALES[PayScaleCode],PAYSCALES[AvailableToAllSchools],1,0,)=TRUE,0,IF(ISERROR(FIND(CONT_SUP[[#This Row],[SchoolCode]],_xlfn.TEXTJOIN(",",TRUE,_xlfn.UNIQUE(IF(PAYSCALES[PayScaleCode]=CONT_SUP[[#This Row],[PayScaleCode]],PAYSCALES[SchoolCodes],""))))),1,0))</f>
        <v>0</v>
      </c>
      <c r="G63" s="57">
        <f>IF(_xlfn.XLOOKUP(CONT_SUP[[#This Row],[PayScaleGradeCode]],GRADES[PayScaleGradeCode],GRADES[AvailableToAllSchools])=TRUE,0,IFERROR(IF(FIND(CONT_SUP[[#This Row],[SchoolCode]],_xlfn.XLOOKUP(CONT_SUP[[#This Row],[PayScaleGradeCode]],GRADES[PayScaleGradeCode],GRADES[SchoolCodes]))&gt;=1,0,1),1))</f>
        <v>0</v>
      </c>
      <c r="H63" s="66">
        <f>IF(ISERROR(IF((_xlfn.XLOOKUP(CONT_SUP[[#This Row],[PayScaleGradeCode]],GRADES[PayScaleGradeCode],GRADES[PayScaleCode])=CONT_SUP[[#This Row],[PayScaleCode]]),0,1)),1,0)</f>
        <v>0</v>
      </c>
      <c r="I63" s="66" cm="1">
        <f t="array" ref="I63">IF(ISERROR(FIND(CONT_SUP[[#This Row],[PayScalePointCode]],_xlfn.TEXTJOIN(",",TRUE,IF(PSPOINTS[PayScaleCode]=CONT_SUP[[#This Row],[PayScaleCode]],PSPOINTS[PayScalePointCode])))),1,0)</f>
        <v>0</v>
      </c>
      <c r="J63" s="57" cm="1">
        <f t="array" ref="J6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63" s="66">
        <f>IF(_xlfn.XLOOKUP(CONT_SUP[[#This Row],[PayScalePointCode]],PSPOINTS[PayScalePointCode],PSPOINTS[PayScalePointEnabled])=TRUE,0,1)</f>
        <v>0</v>
      </c>
      <c r="L63" s="57" cm="1">
        <f t="array" ref="L63">IF(_xlfn.XLOOKUP(CONT_SUP[[#This Row],[DepartmentCode]],DEPTS[DepartmentCode],DEPTS[AvailableToAllSchools],1,0,)=TRUE,0,IF(ISERROR(FIND(CONT_SUP[[#This Row],[SchoolCode]],_xlfn.TEXTJOIN(",",TRUE,_xlfn.UNIQUE(IF(DEPTS[DepartmentCode]=CONT_SUP[[#This Row],[DepartmentCode]],DEPTS[SchoolCodes],""))))),1,0))</f>
        <v>0</v>
      </c>
      <c r="M63" s="57">
        <f>IFERROR(IF(_xlfn.XLOOKUP(CONT_SUP[[#This Row],[SRG Gross]],FinanceCodesBudget[FinanceCode],FinanceCodesBudget[LedgerCode])=_xlfn.XLOOKUP(CONT_SUP[[#This Row],[DepartmentCode]],DEPTS[DepartmentCode],DEPTS[LedgerCode]),0,1),1)</f>
        <v>0</v>
      </c>
      <c r="N63" s="66" cm="1">
        <f t="array" ref="N63">IF(_xlfn.XLOOKUP(CONT_SUP[[#This Row],[PensionCode]],PENS[PensionCode],PENS[AvailableToAllSchools],1,0,)=TRUE,0,IF(ISERROR(FIND(CONT_SUP[[#This Row],[SchoolCode]],_xlfn.TEXTJOIN(",",TRUE,_xlfn.UNIQUE(IF(PENS[PensionCode]=CONT_SUP[[#This Row],[PensionCode]],PENS[SchoolCodes],""))))),1,0))</f>
        <v>0</v>
      </c>
      <c r="O63" s="66" cm="1">
        <f t="array" ref="O63">IF(_xlfn.XLOOKUP(CONT_SUP[[#This Row],[EquatedWeekPatternCode]],EQW[EquatedWeekPatternCode],EQW[AvailableToAllSchools],1,0,)=TRUE,0,IF(ISERROR(FIND(CONT_SUP[[#This Row],[SchoolCode]],_xlfn.TEXTJOIN(",",TRUE,_xlfn.UNIQUE(IF(EQW[EquatedWeekPatternCode]=CONT_SUP[[#This Row],[EquatedWeekPatternCode]],EQW[SchoolCodes],""))))),1,0))</f>
        <v>0</v>
      </c>
      <c r="P63" s="57">
        <f>1-COUNTIF(ContractTypes[Code],CONT_SUP[[#This Row],[ContractTypeCode]])</f>
        <v>0</v>
      </c>
      <c r="Q63" s="57">
        <f>IF(VLOOKUP(CONT_SUP[[#This Row],[StaffMemberCode]],MEMBERS[[StaffMemberCode]:[ServiceStartDate]],5,0)&gt;CONT_SUP[[#This Row],[DateFrom]],1,0)</f>
        <v>0</v>
      </c>
      <c r="R63" s="57">
        <f>IF(_xlfn.XLOOKUP(CONT_SUP[[#This Row],[StaffMemberCode]],MEMBERS[StaffMemberCode],MEMBERS[ServiceEndDate])="",0,IF(CONT_SUP[[#This Row],[DateTo]]="",1,IF(_xlfn.XLOOKUP(CONT_SUP[[#This Row],[StaffMemberCode]],MEMBERS[StaffMemberCode],MEMBERS[ServiceEndDate])&lt;CONT_SUP[[#This Row],[DateTo]],1,0)))</f>
        <v>0</v>
      </c>
      <c r="S63" s="57">
        <f>IF(ISBLANK(CONT_SUP[[#This Row],[DateTo]]),0,IF(CONT_SUP[[#This Row],[DateFrom]]=CONT_SUP[[#This Row],[DateTo]],0,IF(CONT_SUP[[#This Row],[DateFrom]]&lt;CONT_SUP[[#This Row],[DateTo]],0,1)))</f>
        <v>0</v>
      </c>
      <c r="T63" s="57" cm="1">
        <f t="array" aca="1" ref="T63" ca="1">IF(CELL("format",CONT_SUP[[#This Row],[DateFrom]])="D1",0,1)+IF(CELL("format",CONT_SUP[[#This Row],[DateTo]])="D1",0,1)</f>
        <v>0</v>
      </c>
      <c r="U63" s="57">
        <f>IF(OR(CONT_SUP[[#This Row],[MatEditOnly]]=TRUE,CONT_SUP[[#This Row],[MatEditOnly]]=FALSE),IF(OR(CONT_SUP[[#This Row],[NoIncrement]]=TRUE,CONT_SUP[[#This Row],[NoIncrement]]=FALSE),0,1),1)</f>
        <v>0</v>
      </c>
      <c r="V63" s="57">
        <f>IF(ISBLANK(CONT_SUP[[#This Row],[FundCode]])=TRUE,0,IF(COUNTIF(FUNDS[FundCode],CONT_SUP[[#This Row],[FundCode]])=1,0,1))</f>
        <v>0</v>
      </c>
      <c r="W63" s="57">
        <f>IF(LEN(CONT_SUP[[#This Row],[Notes]])&lt;4000,0,1)</f>
        <v>0</v>
      </c>
      <c r="X63" s="57">
        <f>IF(SUBSTITUTE(TEXT(CONT_SUP[[#This Row],[Reference]],10)," ","")=TEXT(CONT_SUP[[#This Row],[Reference]],10),0,1)</f>
        <v>0</v>
      </c>
      <c r="Y63" s="57">
        <f ca="1">SUM(CONT_SUP[[#This Row],[Duplicate Contract]:[Space in Code]])</f>
        <v>0</v>
      </c>
      <c r="AA63" s="12" t="s">
        <v>2094</v>
      </c>
      <c r="AB63" s="63">
        <v>91073515</v>
      </c>
      <c r="AC63" s="63" t="s">
        <v>4661</v>
      </c>
      <c r="AD63" s="57" t="str">
        <f>_xlfn.XLOOKUP(CONT_SUP[[#This Row],[StaffMemberCode]],StaffMembers!O:O,StaffMembers!R:R)</f>
        <v>Judith Hillage</v>
      </c>
      <c r="AE63" s="12" t="s">
        <v>1190</v>
      </c>
      <c r="AF63" s="66">
        <f>_xlfn.XLOOKUP(CONT_SUP[[#This Row],[SRG]],SRG[StaffRoleGroupCode],SRG[GrossSalaryFinanceCode])</f>
        <v>630100</v>
      </c>
      <c r="AG63" s="57" t="str">
        <f>_xlfn.XLOOKUP(CONT_SUP[[#This Row],[StaffRoleCode]],ROLES[StaffRoleCode],ROLES[StaffRoleGroupCode])</f>
        <v>CLE</v>
      </c>
      <c r="AH63" s="57" t="str">
        <f>_xlfn.XLOOKUP(CONT_SUP[[#This Row],[StaffRoleCode]],ROLES[StaffRoleCode],ROLES[PayScaleCode])</f>
        <v>NJC_CHE</v>
      </c>
      <c r="AI63" s="12" t="s">
        <v>3120</v>
      </c>
      <c r="AJ63" s="12">
        <v>2</v>
      </c>
      <c r="AK63" s="12" t="s">
        <v>2495</v>
      </c>
      <c r="AM63" s="68" t="s">
        <v>3132</v>
      </c>
      <c r="AN63" s="12" t="s">
        <v>3137</v>
      </c>
      <c r="AO63" s="21">
        <v>45901</v>
      </c>
      <c r="AP63" s="21">
        <v>46006</v>
      </c>
      <c r="AQ63" s="12">
        <v>15</v>
      </c>
      <c r="AR63" t="b">
        <v>0</v>
      </c>
      <c r="AS63" t="b">
        <v>0</v>
      </c>
      <c r="AT63" s="12" t="s">
        <v>1574</v>
      </c>
    </row>
    <row r="64" spans="1:46" x14ac:dyDescent="0.3">
      <c r="A64" s="57" t="str">
        <f t="shared" si="1"/>
        <v>BLS9107362891073628ACLESPREM45901</v>
      </c>
      <c r="B64" s="57">
        <f>COUNTIF(CONT_SUP[Unique Contract],CONT_SUP[[#This Row],[Unique Contract]])-1</f>
        <v>0</v>
      </c>
      <c r="C64" s="57">
        <f>IFERROR(IF(FIND(CONT_SUP[[#This Row],[SchoolCode]],_xlfn.XLOOKUP(CONT_SUP[[#This Row],[StaffMemberCode]],MEMBERS[StaffMemberCode],MEMBERS[SchoolCodes]))&gt;0,0,1),1)</f>
        <v>0</v>
      </c>
      <c r="D64" s="57" cm="1">
        <f t="array" ref="D64">IF(_xlfn.XLOOKUP(CONT_SUP[[#This Row],[StaffRoleCode]],ROLES[StaffRoleCode],ROLES[AvailableToAllSchools],1,0,)=TRUE,0,IF(ISERROR(FIND(CONT_SUP[[#This Row],[SchoolCode]],_xlfn.TEXTJOIN(",",TRUE,_xlfn.UNIQUE(IF(ROLES[StaffRoleCode]=CONT_SUP[[#This Row],[StaffRoleCode]],ROLES[SchoolCodes],""))))),1,0))</f>
        <v>0</v>
      </c>
      <c r="E64" s="66" cm="1">
        <f t="array" ref="E6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64" s="57" cm="1">
        <f t="array" ref="F64">IF(_xlfn.XLOOKUP(CONT_SUP[[#This Row],[PayScaleCode]],PAYSCALES[PayScaleCode],PAYSCALES[AvailableToAllSchools],1,0,)=TRUE,0,IF(ISERROR(FIND(CONT_SUP[[#This Row],[SchoolCode]],_xlfn.TEXTJOIN(",",TRUE,_xlfn.UNIQUE(IF(PAYSCALES[PayScaleCode]=CONT_SUP[[#This Row],[PayScaleCode]],PAYSCALES[SchoolCodes],""))))),1,0))</f>
        <v>0</v>
      </c>
      <c r="G64" s="57">
        <f>IF(_xlfn.XLOOKUP(CONT_SUP[[#This Row],[PayScaleGradeCode]],GRADES[PayScaleGradeCode],GRADES[AvailableToAllSchools])=TRUE,0,IFERROR(IF(FIND(CONT_SUP[[#This Row],[SchoolCode]],_xlfn.XLOOKUP(CONT_SUP[[#This Row],[PayScaleGradeCode]],GRADES[PayScaleGradeCode],GRADES[SchoolCodes]))&gt;=1,0,1),1))</f>
        <v>0</v>
      </c>
      <c r="H64" s="66">
        <f>IF(ISERROR(IF((_xlfn.XLOOKUP(CONT_SUP[[#This Row],[PayScaleGradeCode]],GRADES[PayScaleGradeCode],GRADES[PayScaleCode])=CONT_SUP[[#This Row],[PayScaleCode]]),0,1)),1,0)</f>
        <v>0</v>
      </c>
      <c r="I64" s="66" cm="1">
        <f t="array" ref="I64">IF(ISERROR(FIND(CONT_SUP[[#This Row],[PayScalePointCode]],_xlfn.TEXTJOIN(",",TRUE,IF(PSPOINTS[PayScaleCode]=CONT_SUP[[#This Row],[PayScaleCode]],PSPOINTS[PayScalePointCode])))),1,0)</f>
        <v>0</v>
      </c>
      <c r="J64" s="57" cm="1">
        <f t="array" ref="J6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64" s="66">
        <f>IF(_xlfn.XLOOKUP(CONT_SUP[[#This Row],[PayScalePointCode]],PSPOINTS[PayScalePointCode],PSPOINTS[PayScalePointEnabled])=TRUE,0,1)</f>
        <v>0</v>
      </c>
      <c r="L64" s="57" cm="1">
        <f t="array" ref="L64">IF(_xlfn.XLOOKUP(CONT_SUP[[#This Row],[DepartmentCode]],DEPTS[DepartmentCode],DEPTS[AvailableToAllSchools],1,0,)=TRUE,0,IF(ISERROR(FIND(CONT_SUP[[#This Row],[SchoolCode]],_xlfn.TEXTJOIN(",",TRUE,_xlfn.UNIQUE(IF(DEPTS[DepartmentCode]=CONT_SUP[[#This Row],[DepartmentCode]],DEPTS[SchoolCodes],""))))),1,0))</f>
        <v>0</v>
      </c>
      <c r="M64" s="57">
        <f>IFERROR(IF(_xlfn.XLOOKUP(CONT_SUP[[#This Row],[SRG Gross]],FinanceCodesBudget[FinanceCode],FinanceCodesBudget[LedgerCode])=_xlfn.XLOOKUP(CONT_SUP[[#This Row],[DepartmentCode]],DEPTS[DepartmentCode],DEPTS[LedgerCode]),0,1),1)</f>
        <v>0</v>
      </c>
      <c r="N64" s="66" cm="1">
        <f t="array" ref="N64">IF(_xlfn.XLOOKUP(CONT_SUP[[#This Row],[PensionCode]],PENS[PensionCode],PENS[AvailableToAllSchools],1,0,)=TRUE,0,IF(ISERROR(FIND(CONT_SUP[[#This Row],[SchoolCode]],_xlfn.TEXTJOIN(",",TRUE,_xlfn.UNIQUE(IF(PENS[PensionCode]=CONT_SUP[[#This Row],[PensionCode]],PENS[SchoolCodes],""))))),1,0))</f>
        <v>0</v>
      </c>
      <c r="O64" s="66" cm="1">
        <f t="array" ref="O64">IF(_xlfn.XLOOKUP(CONT_SUP[[#This Row],[EquatedWeekPatternCode]],EQW[EquatedWeekPatternCode],EQW[AvailableToAllSchools],1,0,)=TRUE,0,IF(ISERROR(FIND(CONT_SUP[[#This Row],[SchoolCode]],_xlfn.TEXTJOIN(",",TRUE,_xlfn.UNIQUE(IF(EQW[EquatedWeekPatternCode]=CONT_SUP[[#This Row],[EquatedWeekPatternCode]],EQW[SchoolCodes],""))))),1,0))</f>
        <v>0</v>
      </c>
      <c r="P64" s="57">
        <f>1-COUNTIF(ContractTypes[Code],CONT_SUP[[#This Row],[ContractTypeCode]])</f>
        <v>0</v>
      </c>
      <c r="Q64" s="57">
        <f>IF(VLOOKUP(CONT_SUP[[#This Row],[StaffMemberCode]],MEMBERS[[StaffMemberCode]:[ServiceStartDate]],5,0)&gt;CONT_SUP[[#This Row],[DateFrom]],1,0)</f>
        <v>0</v>
      </c>
      <c r="R64" s="57">
        <f>IF(_xlfn.XLOOKUP(CONT_SUP[[#This Row],[StaffMemberCode]],MEMBERS[StaffMemberCode],MEMBERS[ServiceEndDate])="",0,IF(CONT_SUP[[#This Row],[DateTo]]="",1,IF(_xlfn.XLOOKUP(CONT_SUP[[#This Row],[StaffMemberCode]],MEMBERS[StaffMemberCode],MEMBERS[ServiceEndDate])&lt;CONT_SUP[[#This Row],[DateTo]],1,0)))</f>
        <v>0</v>
      </c>
      <c r="S64" s="57">
        <f>IF(ISBLANK(CONT_SUP[[#This Row],[DateTo]]),0,IF(CONT_SUP[[#This Row],[DateFrom]]=CONT_SUP[[#This Row],[DateTo]],0,IF(CONT_SUP[[#This Row],[DateFrom]]&lt;CONT_SUP[[#This Row],[DateTo]],0,1)))</f>
        <v>0</v>
      </c>
      <c r="T64" s="57" cm="1">
        <f t="array" aca="1" ref="T64" ca="1">IF(CELL("format",CONT_SUP[[#This Row],[DateFrom]])="D1",0,1)+IF(CELL("format",CONT_SUP[[#This Row],[DateTo]])="D1",0,1)</f>
        <v>0</v>
      </c>
      <c r="U64" s="57">
        <f>IF(OR(CONT_SUP[[#This Row],[MatEditOnly]]=TRUE,CONT_SUP[[#This Row],[MatEditOnly]]=FALSE),IF(OR(CONT_SUP[[#This Row],[NoIncrement]]=TRUE,CONT_SUP[[#This Row],[NoIncrement]]=FALSE),0,1),1)</f>
        <v>0</v>
      </c>
      <c r="V64" s="57">
        <f>IF(ISBLANK(CONT_SUP[[#This Row],[FundCode]])=TRUE,0,IF(COUNTIF(FUNDS[FundCode],CONT_SUP[[#This Row],[FundCode]])=1,0,1))</f>
        <v>0</v>
      </c>
      <c r="W64" s="57">
        <f>IF(LEN(CONT_SUP[[#This Row],[Notes]])&lt;4000,0,1)</f>
        <v>0</v>
      </c>
      <c r="X64" s="57">
        <f>IF(SUBSTITUTE(TEXT(CONT_SUP[[#This Row],[Reference]],10)," ","")=TEXT(CONT_SUP[[#This Row],[Reference]],10),0,1)</f>
        <v>0</v>
      </c>
      <c r="Y64" s="57">
        <f ca="1">SUM(CONT_SUP[[#This Row],[Duplicate Contract]:[Space in Code]])</f>
        <v>0</v>
      </c>
      <c r="AA64" s="12" t="s">
        <v>2094</v>
      </c>
      <c r="AB64" s="63">
        <v>91073628</v>
      </c>
      <c r="AC64" s="63" t="s">
        <v>4662</v>
      </c>
      <c r="AD64" s="57" t="str">
        <f>_xlfn.XLOOKUP(CONT_SUP[[#This Row],[StaffMemberCode]],StaffMembers!O:O,StaffMembers!R:R)</f>
        <v>Julie Williams</v>
      </c>
      <c r="AE64" s="12" t="s">
        <v>1190</v>
      </c>
      <c r="AF64" s="66">
        <f>_xlfn.XLOOKUP(CONT_SUP[[#This Row],[SRG]],SRG[StaffRoleGroupCode],SRG[GrossSalaryFinanceCode])</f>
        <v>630100</v>
      </c>
      <c r="AG64" s="57" t="str">
        <f>_xlfn.XLOOKUP(CONT_SUP[[#This Row],[StaffRoleCode]],ROLES[StaffRoleCode],ROLES[StaffRoleGroupCode])</f>
        <v>CLE</v>
      </c>
      <c r="AH64" s="57" t="str">
        <f>_xlfn.XLOOKUP(CONT_SUP[[#This Row],[StaffRoleCode]],ROLES[StaffRoleCode],ROLES[PayScaleCode])</f>
        <v>NJC_CHE</v>
      </c>
      <c r="AI64" s="12" t="s">
        <v>3120</v>
      </c>
      <c r="AJ64" s="12">
        <v>2</v>
      </c>
      <c r="AK64" s="12" t="s">
        <v>2495</v>
      </c>
      <c r="AM64" s="68" t="s">
        <v>3132</v>
      </c>
      <c r="AN64" s="12" t="s">
        <v>3137</v>
      </c>
      <c r="AO64" s="21">
        <v>45901</v>
      </c>
      <c r="AQ64" s="12">
        <v>25</v>
      </c>
      <c r="AR64" t="b">
        <v>0</v>
      </c>
      <c r="AS64" t="b">
        <v>0</v>
      </c>
      <c r="AT64" s="12" t="s">
        <v>1574</v>
      </c>
    </row>
    <row r="65" spans="1:46" x14ac:dyDescent="0.3">
      <c r="A65" s="57" t="str">
        <f t="shared" si="1"/>
        <v>HIG9107373691073736BCLESPREM45901</v>
      </c>
      <c r="B65" s="57">
        <f>COUNTIF(CONT_SUP[Unique Contract],CONT_SUP[[#This Row],[Unique Contract]])-1</f>
        <v>0</v>
      </c>
      <c r="C65" s="57">
        <f>IFERROR(IF(FIND(CONT_SUP[[#This Row],[SchoolCode]],_xlfn.XLOOKUP(CONT_SUP[[#This Row],[StaffMemberCode]],MEMBERS[StaffMemberCode],MEMBERS[SchoolCodes]))&gt;0,0,1),1)</f>
        <v>0</v>
      </c>
      <c r="D65" s="57" cm="1">
        <f t="array" ref="D65">IF(_xlfn.XLOOKUP(CONT_SUP[[#This Row],[StaffRoleCode]],ROLES[StaffRoleCode],ROLES[AvailableToAllSchools],1,0,)=TRUE,0,IF(ISERROR(FIND(CONT_SUP[[#This Row],[SchoolCode]],_xlfn.TEXTJOIN(",",TRUE,_xlfn.UNIQUE(IF(ROLES[StaffRoleCode]=CONT_SUP[[#This Row],[StaffRoleCode]],ROLES[SchoolCodes],""))))),1,0))</f>
        <v>0</v>
      </c>
      <c r="E65" s="66" cm="1">
        <f t="array" ref="E6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65" s="57" cm="1">
        <f t="array" ref="F65">IF(_xlfn.XLOOKUP(CONT_SUP[[#This Row],[PayScaleCode]],PAYSCALES[PayScaleCode],PAYSCALES[AvailableToAllSchools],1,0,)=TRUE,0,IF(ISERROR(FIND(CONT_SUP[[#This Row],[SchoolCode]],_xlfn.TEXTJOIN(",",TRUE,_xlfn.UNIQUE(IF(PAYSCALES[PayScaleCode]=CONT_SUP[[#This Row],[PayScaleCode]],PAYSCALES[SchoolCodes],""))))),1,0))</f>
        <v>0</v>
      </c>
      <c r="G65" s="57">
        <f>IF(_xlfn.XLOOKUP(CONT_SUP[[#This Row],[PayScaleGradeCode]],GRADES[PayScaleGradeCode],GRADES[AvailableToAllSchools])=TRUE,0,IFERROR(IF(FIND(CONT_SUP[[#This Row],[SchoolCode]],_xlfn.XLOOKUP(CONT_SUP[[#This Row],[PayScaleGradeCode]],GRADES[PayScaleGradeCode],GRADES[SchoolCodes]))&gt;=1,0,1),1))</f>
        <v>0</v>
      </c>
      <c r="H65" s="66">
        <f>IF(ISERROR(IF((_xlfn.XLOOKUP(CONT_SUP[[#This Row],[PayScaleGradeCode]],GRADES[PayScaleGradeCode],GRADES[PayScaleCode])=CONT_SUP[[#This Row],[PayScaleCode]]),0,1)),1,0)</f>
        <v>0</v>
      </c>
      <c r="I65" s="66" cm="1">
        <f t="array" ref="I65">IF(ISERROR(FIND(CONT_SUP[[#This Row],[PayScalePointCode]],_xlfn.TEXTJOIN(",",TRUE,IF(PSPOINTS[PayScaleCode]=CONT_SUP[[#This Row],[PayScaleCode]],PSPOINTS[PayScalePointCode])))),1,0)</f>
        <v>0</v>
      </c>
      <c r="J65" s="57" cm="1">
        <f t="array" ref="J6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65" s="66">
        <f>IF(_xlfn.XLOOKUP(CONT_SUP[[#This Row],[PayScalePointCode]],PSPOINTS[PayScalePointCode],PSPOINTS[PayScalePointEnabled])=TRUE,0,1)</f>
        <v>0</v>
      </c>
      <c r="L65" s="57" cm="1">
        <f t="array" ref="L65">IF(_xlfn.XLOOKUP(CONT_SUP[[#This Row],[DepartmentCode]],DEPTS[DepartmentCode],DEPTS[AvailableToAllSchools],1,0,)=TRUE,0,IF(ISERROR(FIND(CONT_SUP[[#This Row],[SchoolCode]],_xlfn.TEXTJOIN(",",TRUE,_xlfn.UNIQUE(IF(DEPTS[DepartmentCode]=CONT_SUP[[#This Row],[DepartmentCode]],DEPTS[SchoolCodes],""))))),1,0))</f>
        <v>0</v>
      </c>
      <c r="M65" s="57">
        <f>IFERROR(IF(_xlfn.XLOOKUP(CONT_SUP[[#This Row],[SRG Gross]],FinanceCodesBudget[FinanceCode],FinanceCodesBudget[LedgerCode])=_xlfn.XLOOKUP(CONT_SUP[[#This Row],[DepartmentCode]],DEPTS[DepartmentCode],DEPTS[LedgerCode]),0,1),1)</f>
        <v>0</v>
      </c>
      <c r="N65" s="66" cm="1">
        <f t="array" ref="N65">IF(_xlfn.XLOOKUP(CONT_SUP[[#This Row],[PensionCode]],PENS[PensionCode],PENS[AvailableToAllSchools],1,0,)=TRUE,0,IF(ISERROR(FIND(CONT_SUP[[#This Row],[SchoolCode]],_xlfn.TEXTJOIN(",",TRUE,_xlfn.UNIQUE(IF(PENS[PensionCode]=CONT_SUP[[#This Row],[PensionCode]],PENS[SchoolCodes],""))))),1,0))</f>
        <v>0</v>
      </c>
      <c r="O65" s="66" cm="1">
        <f t="array" ref="O65">IF(_xlfn.XLOOKUP(CONT_SUP[[#This Row],[EquatedWeekPatternCode]],EQW[EquatedWeekPatternCode],EQW[AvailableToAllSchools],1,0,)=TRUE,0,IF(ISERROR(FIND(CONT_SUP[[#This Row],[SchoolCode]],_xlfn.TEXTJOIN(",",TRUE,_xlfn.UNIQUE(IF(EQW[EquatedWeekPatternCode]=CONT_SUP[[#This Row],[EquatedWeekPatternCode]],EQW[SchoolCodes],""))))),1,0))</f>
        <v>0</v>
      </c>
      <c r="P65" s="57">
        <f>1-COUNTIF(ContractTypes[Code],CONT_SUP[[#This Row],[ContractTypeCode]])</f>
        <v>0</v>
      </c>
      <c r="Q65" s="57">
        <f>IF(VLOOKUP(CONT_SUP[[#This Row],[StaffMemberCode]],MEMBERS[[StaffMemberCode]:[ServiceStartDate]],5,0)&gt;CONT_SUP[[#This Row],[DateFrom]],1,0)</f>
        <v>0</v>
      </c>
      <c r="R65" s="57">
        <f>IF(_xlfn.XLOOKUP(CONT_SUP[[#This Row],[StaffMemberCode]],MEMBERS[StaffMemberCode],MEMBERS[ServiceEndDate])="",0,IF(CONT_SUP[[#This Row],[DateTo]]="",1,IF(_xlfn.XLOOKUP(CONT_SUP[[#This Row],[StaffMemberCode]],MEMBERS[StaffMemberCode],MEMBERS[ServiceEndDate])&lt;CONT_SUP[[#This Row],[DateTo]],1,0)))</f>
        <v>0</v>
      </c>
      <c r="S65" s="57">
        <f>IF(ISBLANK(CONT_SUP[[#This Row],[DateTo]]),0,IF(CONT_SUP[[#This Row],[DateFrom]]=CONT_SUP[[#This Row],[DateTo]],0,IF(CONT_SUP[[#This Row],[DateFrom]]&lt;CONT_SUP[[#This Row],[DateTo]],0,1)))</f>
        <v>0</v>
      </c>
      <c r="T65" s="57" cm="1">
        <f t="array" aca="1" ref="T65" ca="1">IF(CELL("format",CONT_SUP[[#This Row],[DateFrom]])="D1",0,1)+IF(CELL("format",CONT_SUP[[#This Row],[DateTo]])="D1",0,1)</f>
        <v>0</v>
      </c>
      <c r="U65" s="57">
        <f>IF(OR(CONT_SUP[[#This Row],[MatEditOnly]]=TRUE,CONT_SUP[[#This Row],[MatEditOnly]]=FALSE),IF(OR(CONT_SUP[[#This Row],[NoIncrement]]=TRUE,CONT_SUP[[#This Row],[NoIncrement]]=FALSE),0,1),1)</f>
        <v>0</v>
      </c>
      <c r="V65" s="57">
        <f>IF(ISBLANK(CONT_SUP[[#This Row],[FundCode]])=TRUE,0,IF(COUNTIF(FUNDS[FundCode],CONT_SUP[[#This Row],[FundCode]])=1,0,1))</f>
        <v>0</v>
      </c>
      <c r="W65" s="57">
        <f>IF(LEN(CONT_SUP[[#This Row],[Notes]])&lt;4000,0,1)</f>
        <v>0</v>
      </c>
      <c r="X65" s="57">
        <f>IF(SUBSTITUTE(TEXT(CONT_SUP[[#This Row],[Reference]],10)," ","")=TEXT(CONT_SUP[[#This Row],[Reference]],10),0,1)</f>
        <v>0</v>
      </c>
      <c r="Y65" s="57">
        <f ca="1">SUM(CONT_SUP[[#This Row],[Duplicate Contract]:[Space in Code]])</f>
        <v>0</v>
      </c>
      <c r="AA65" s="12" t="s">
        <v>2266</v>
      </c>
      <c r="AB65" s="63">
        <v>91073736</v>
      </c>
      <c r="AC65" s="63" t="s">
        <v>4663</v>
      </c>
      <c r="AD65" s="57" t="str">
        <f>_xlfn.XLOOKUP(CONT_SUP[[#This Row],[StaffMemberCode]],StaffMembers!O:O,StaffMembers!R:R)</f>
        <v>Karen Button</v>
      </c>
      <c r="AE65" s="12" t="s">
        <v>1190</v>
      </c>
      <c r="AF65" s="66">
        <f>_xlfn.XLOOKUP(CONT_SUP[[#This Row],[SRG]],SRG[StaffRoleGroupCode],SRG[GrossSalaryFinanceCode])</f>
        <v>630100</v>
      </c>
      <c r="AG65" s="57" t="str">
        <f>_xlfn.XLOOKUP(CONT_SUP[[#This Row],[StaffRoleCode]],ROLES[StaffRoleCode],ROLES[StaffRoleGroupCode])</f>
        <v>CLE</v>
      </c>
      <c r="AH65" s="57" t="str">
        <f>_xlfn.XLOOKUP(CONT_SUP[[#This Row],[StaffRoleCode]],ROLES[StaffRoleCode],ROLES[PayScaleCode])</f>
        <v>NJC_CHE</v>
      </c>
      <c r="AI65" s="12" t="s">
        <v>3120</v>
      </c>
      <c r="AJ65" s="12">
        <v>2</v>
      </c>
      <c r="AK65" s="12" t="s">
        <v>2495</v>
      </c>
      <c r="AM65" s="68" t="s">
        <v>3132</v>
      </c>
      <c r="AN65" s="12" t="s">
        <v>3137</v>
      </c>
      <c r="AO65" s="21">
        <v>45901</v>
      </c>
      <c r="AQ65" s="12">
        <v>10</v>
      </c>
      <c r="AR65" t="b">
        <v>0</v>
      </c>
      <c r="AS65" t="b">
        <v>0</v>
      </c>
      <c r="AT65" s="12" t="s">
        <v>1575</v>
      </c>
    </row>
    <row r="66" spans="1:46" x14ac:dyDescent="0.3">
      <c r="A66" s="57" t="str">
        <f t="shared" si="1"/>
        <v>HIG9107389491073894ACLESPREM45901</v>
      </c>
      <c r="B66" s="57">
        <f>COUNTIF(CONT_SUP[Unique Contract],CONT_SUP[[#This Row],[Unique Contract]])-1</f>
        <v>0</v>
      </c>
      <c r="C66" s="57">
        <f>IFERROR(IF(FIND(CONT_SUP[[#This Row],[SchoolCode]],_xlfn.XLOOKUP(CONT_SUP[[#This Row],[StaffMemberCode]],MEMBERS[StaffMemberCode],MEMBERS[SchoolCodes]))&gt;0,0,1),1)</f>
        <v>0</v>
      </c>
      <c r="D66" s="57" cm="1">
        <f t="array" ref="D66">IF(_xlfn.XLOOKUP(CONT_SUP[[#This Row],[StaffRoleCode]],ROLES[StaffRoleCode],ROLES[AvailableToAllSchools],1,0,)=TRUE,0,IF(ISERROR(FIND(CONT_SUP[[#This Row],[SchoolCode]],_xlfn.TEXTJOIN(",",TRUE,_xlfn.UNIQUE(IF(ROLES[StaffRoleCode]=CONT_SUP[[#This Row],[StaffRoleCode]],ROLES[SchoolCodes],""))))),1,0))</f>
        <v>0</v>
      </c>
      <c r="E66" s="66" cm="1">
        <f t="array" ref="E6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66" s="57" cm="1">
        <f t="array" ref="F66">IF(_xlfn.XLOOKUP(CONT_SUP[[#This Row],[PayScaleCode]],PAYSCALES[PayScaleCode],PAYSCALES[AvailableToAllSchools],1,0,)=TRUE,0,IF(ISERROR(FIND(CONT_SUP[[#This Row],[SchoolCode]],_xlfn.TEXTJOIN(",",TRUE,_xlfn.UNIQUE(IF(PAYSCALES[PayScaleCode]=CONT_SUP[[#This Row],[PayScaleCode]],PAYSCALES[SchoolCodes],""))))),1,0))</f>
        <v>0</v>
      </c>
      <c r="G66" s="57">
        <f>IF(_xlfn.XLOOKUP(CONT_SUP[[#This Row],[PayScaleGradeCode]],GRADES[PayScaleGradeCode],GRADES[AvailableToAllSchools])=TRUE,0,IFERROR(IF(FIND(CONT_SUP[[#This Row],[SchoolCode]],_xlfn.XLOOKUP(CONT_SUP[[#This Row],[PayScaleGradeCode]],GRADES[PayScaleGradeCode],GRADES[SchoolCodes]))&gt;=1,0,1),1))</f>
        <v>0</v>
      </c>
      <c r="H66" s="66">
        <f>IF(ISERROR(IF((_xlfn.XLOOKUP(CONT_SUP[[#This Row],[PayScaleGradeCode]],GRADES[PayScaleGradeCode],GRADES[PayScaleCode])=CONT_SUP[[#This Row],[PayScaleCode]]),0,1)),1,0)</f>
        <v>0</v>
      </c>
      <c r="I66" s="66" cm="1">
        <f t="array" ref="I66">IF(ISERROR(FIND(CONT_SUP[[#This Row],[PayScalePointCode]],_xlfn.TEXTJOIN(",",TRUE,IF(PSPOINTS[PayScaleCode]=CONT_SUP[[#This Row],[PayScaleCode]],PSPOINTS[PayScalePointCode])))),1,0)</f>
        <v>0</v>
      </c>
      <c r="J66" s="57" cm="1">
        <f t="array" ref="J6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66" s="66">
        <f>IF(_xlfn.XLOOKUP(CONT_SUP[[#This Row],[PayScalePointCode]],PSPOINTS[PayScalePointCode],PSPOINTS[PayScalePointEnabled])=TRUE,0,1)</f>
        <v>0</v>
      </c>
      <c r="L66" s="57" cm="1">
        <f t="array" ref="L66">IF(_xlfn.XLOOKUP(CONT_SUP[[#This Row],[DepartmentCode]],DEPTS[DepartmentCode],DEPTS[AvailableToAllSchools],1,0,)=TRUE,0,IF(ISERROR(FIND(CONT_SUP[[#This Row],[SchoolCode]],_xlfn.TEXTJOIN(",",TRUE,_xlfn.UNIQUE(IF(DEPTS[DepartmentCode]=CONT_SUP[[#This Row],[DepartmentCode]],DEPTS[SchoolCodes],""))))),1,0))</f>
        <v>0</v>
      </c>
      <c r="M66" s="57">
        <f>IFERROR(IF(_xlfn.XLOOKUP(CONT_SUP[[#This Row],[SRG Gross]],FinanceCodesBudget[FinanceCode],FinanceCodesBudget[LedgerCode])=_xlfn.XLOOKUP(CONT_SUP[[#This Row],[DepartmentCode]],DEPTS[DepartmentCode],DEPTS[LedgerCode]),0,1),1)</f>
        <v>0</v>
      </c>
      <c r="N66" s="66" cm="1">
        <f t="array" ref="N66">IF(_xlfn.XLOOKUP(CONT_SUP[[#This Row],[PensionCode]],PENS[PensionCode],PENS[AvailableToAllSchools],1,0,)=TRUE,0,IF(ISERROR(FIND(CONT_SUP[[#This Row],[SchoolCode]],_xlfn.TEXTJOIN(",",TRUE,_xlfn.UNIQUE(IF(PENS[PensionCode]=CONT_SUP[[#This Row],[PensionCode]],PENS[SchoolCodes],""))))),1,0))</f>
        <v>0</v>
      </c>
      <c r="O66" s="66" cm="1">
        <f t="array" ref="O66">IF(_xlfn.XLOOKUP(CONT_SUP[[#This Row],[EquatedWeekPatternCode]],EQW[EquatedWeekPatternCode],EQW[AvailableToAllSchools],1,0,)=TRUE,0,IF(ISERROR(FIND(CONT_SUP[[#This Row],[SchoolCode]],_xlfn.TEXTJOIN(",",TRUE,_xlfn.UNIQUE(IF(EQW[EquatedWeekPatternCode]=CONT_SUP[[#This Row],[EquatedWeekPatternCode]],EQW[SchoolCodes],""))))),1,0))</f>
        <v>0</v>
      </c>
      <c r="P66" s="57">
        <f>1-COUNTIF(ContractTypes[Code],CONT_SUP[[#This Row],[ContractTypeCode]])</f>
        <v>0</v>
      </c>
      <c r="Q66" s="57">
        <f>IF(VLOOKUP(CONT_SUP[[#This Row],[StaffMemberCode]],MEMBERS[[StaffMemberCode]:[ServiceStartDate]],5,0)&gt;CONT_SUP[[#This Row],[DateFrom]],1,0)</f>
        <v>0</v>
      </c>
      <c r="R66" s="57">
        <f>IF(_xlfn.XLOOKUP(CONT_SUP[[#This Row],[StaffMemberCode]],MEMBERS[StaffMemberCode],MEMBERS[ServiceEndDate])="",0,IF(CONT_SUP[[#This Row],[DateTo]]="",1,IF(_xlfn.XLOOKUP(CONT_SUP[[#This Row],[StaffMemberCode]],MEMBERS[StaffMemberCode],MEMBERS[ServiceEndDate])&lt;CONT_SUP[[#This Row],[DateTo]],1,0)))</f>
        <v>0</v>
      </c>
      <c r="S66" s="57">
        <f>IF(ISBLANK(CONT_SUP[[#This Row],[DateTo]]),0,IF(CONT_SUP[[#This Row],[DateFrom]]=CONT_SUP[[#This Row],[DateTo]],0,IF(CONT_SUP[[#This Row],[DateFrom]]&lt;CONT_SUP[[#This Row],[DateTo]],0,1)))</f>
        <v>0</v>
      </c>
      <c r="T66" s="57" cm="1">
        <f t="array" aca="1" ref="T66" ca="1">IF(CELL("format",CONT_SUP[[#This Row],[DateFrom]])="D1",0,1)+IF(CELL("format",CONT_SUP[[#This Row],[DateTo]])="D1",0,1)</f>
        <v>0</v>
      </c>
      <c r="U66" s="57">
        <f>IF(OR(CONT_SUP[[#This Row],[MatEditOnly]]=TRUE,CONT_SUP[[#This Row],[MatEditOnly]]=FALSE),IF(OR(CONT_SUP[[#This Row],[NoIncrement]]=TRUE,CONT_SUP[[#This Row],[NoIncrement]]=FALSE),0,1),1)</f>
        <v>0</v>
      </c>
      <c r="V66" s="57">
        <f>IF(ISBLANK(CONT_SUP[[#This Row],[FundCode]])=TRUE,0,IF(COUNTIF(FUNDS[FundCode],CONT_SUP[[#This Row],[FundCode]])=1,0,1))</f>
        <v>0</v>
      </c>
      <c r="W66" s="57">
        <f>IF(LEN(CONT_SUP[[#This Row],[Notes]])&lt;4000,0,1)</f>
        <v>0</v>
      </c>
      <c r="X66" s="57">
        <f>IF(SUBSTITUTE(TEXT(CONT_SUP[[#This Row],[Reference]],10)," ","")=TEXT(CONT_SUP[[#This Row],[Reference]],10),0,1)</f>
        <v>0</v>
      </c>
      <c r="Y66" s="57">
        <f ca="1">SUM(CONT_SUP[[#This Row],[Duplicate Contract]:[Space in Code]])</f>
        <v>0</v>
      </c>
      <c r="AA66" s="12" t="s">
        <v>2266</v>
      </c>
      <c r="AB66" s="63">
        <v>91073894</v>
      </c>
      <c r="AC66" s="63" t="s">
        <v>4664</v>
      </c>
      <c r="AD66" s="57" t="str">
        <f>_xlfn.XLOOKUP(CONT_SUP[[#This Row],[StaffMemberCode]],StaffMembers!O:O,StaffMembers!R:R)</f>
        <v>Kathleen Baddeley</v>
      </c>
      <c r="AE66" s="12" t="s">
        <v>1190</v>
      </c>
      <c r="AF66" s="66">
        <f>_xlfn.XLOOKUP(CONT_SUP[[#This Row],[SRG]],SRG[StaffRoleGroupCode],SRG[GrossSalaryFinanceCode])</f>
        <v>630100</v>
      </c>
      <c r="AG66" s="57" t="str">
        <f>_xlfn.XLOOKUP(CONT_SUP[[#This Row],[StaffRoleCode]],ROLES[StaffRoleCode],ROLES[StaffRoleGroupCode])</f>
        <v>CLE</v>
      </c>
      <c r="AH66" s="57" t="str">
        <f>_xlfn.XLOOKUP(CONT_SUP[[#This Row],[StaffRoleCode]],ROLES[StaffRoleCode],ROLES[PayScaleCode])</f>
        <v>NJC_CHE</v>
      </c>
      <c r="AI66" s="12" t="s">
        <v>3120</v>
      </c>
      <c r="AJ66" s="12">
        <v>2</v>
      </c>
      <c r="AK66" s="12" t="s">
        <v>2495</v>
      </c>
      <c r="AM66" s="68" t="s">
        <v>3132</v>
      </c>
      <c r="AN66" s="12" t="s">
        <v>3137</v>
      </c>
      <c r="AO66" s="21">
        <v>45901</v>
      </c>
      <c r="AQ66" s="12">
        <v>11.25</v>
      </c>
      <c r="AR66" t="b">
        <v>0</v>
      </c>
      <c r="AS66" t="b">
        <v>0</v>
      </c>
      <c r="AT66" s="12" t="s">
        <v>1574</v>
      </c>
    </row>
    <row r="67" spans="1:46" x14ac:dyDescent="0.3">
      <c r="A67" s="57" t="str">
        <f t="shared" ref="A67:A98" si="2">AA67&amp;AB67&amp;AC67&amp;AE67&amp;AK67&amp;AO67</f>
        <v>WVP9132388791323887ACLESPREM45901</v>
      </c>
      <c r="B67" s="57">
        <f>COUNTIF(CONT_SUP[Unique Contract],CONT_SUP[[#This Row],[Unique Contract]])-1</f>
        <v>0</v>
      </c>
      <c r="C67" s="57">
        <f>IFERROR(IF(FIND(CONT_SUP[[#This Row],[SchoolCode]],_xlfn.XLOOKUP(CONT_SUP[[#This Row],[StaffMemberCode]],MEMBERS[StaffMemberCode],MEMBERS[SchoolCodes]))&gt;0,0,1),1)</f>
        <v>0</v>
      </c>
      <c r="D67" s="57" cm="1">
        <f t="array" ref="D67">IF(_xlfn.XLOOKUP(CONT_SUP[[#This Row],[StaffRoleCode]],ROLES[StaffRoleCode],ROLES[AvailableToAllSchools],1,0,)=TRUE,0,IF(ISERROR(FIND(CONT_SUP[[#This Row],[SchoolCode]],_xlfn.TEXTJOIN(",",TRUE,_xlfn.UNIQUE(IF(ROLES[StaffRoleCode]=CONT_SUP[[#This Row],[StaffRoleCode]],ROLES[SchoolCodes],""))))),1,0))</f>
        <v>0</v>
      </c>
      <c r="E67" s="66" cm="1">
        <f t="array" ref="E6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67" s="57" cm="1">
        <f t="array" ref="F67">IF(_xlfn.XLOOKUP(CONT_SUP[[#This Row],[PayScaleCode]],PAYSCALES[PayScaleCode],PAYSCALES[AvailableToAllSchools],1,0,)=TRUE,0,IF(ISERROR(FIND(CONT_SUP[[#This Row],[SchoolCode]],_xlfn.TEXTJOIN(",",TRUE,_xlfn.UNIQUE(IF(PAYSCALES[PayScaleCode]=CONT_SUP[[#This Row],[PayScaleCode]],PAYSCALES[SchoolCodes],""))))),1,0))</f>
        <v>0</v>
      </c>
      <c r="G67" s="57">
        <f>IF(_xlfn.XLOOKUP(CONT_SUP[[#This Row],[PayScaleGradeCode]],GRADES[PayScaleGradeCode],GRADES[AvailableToAllSchools])=TRUE,0,IFERROR(IF(FIND(CONT_SUP[[#This Row],[SchoolCode]],_xlfn.XLOOKUP(CONT_SUP[[#This Row],[PayScaleGradeCode]],GRADES[PayScaleGradeCode],GRADES[SchoolCodes]))&gt;=1,0,1),1))</f>
        <v>0</v>
      </c>
      <c r="H67" s="66">
        <f>IF(ISERROR(IF((_xlfn.XLOOKUP(CONT_SUP[[#This Row],[PayScaleGradeCode]],GRADES[PayScaleGradeCode],GRADES[PayScaleCode])=CONT_SUP[[#This Row],[PayScaleCode]]),0,1)),1,0)</f>
        <v>0</v>
      </c>
      <c r="I67" s="66" cm="1">
        <f t="array" ref="I67">IF(ISERROR(FIND(CONT_SUP[[#This Row],[PayScalePointCode]],_xlfn.TEXTJOIN(",",TRUE,IF(PSPOINTS[PayScaleCode]=CONT_SUP[[#This Row],[PayScaleCode]],PSPOINTS[PayScalePointCode])))),1,0)</f>
        <v>0</v>
      </c>
      <c r="J67" s="57" cm="1">
        <f t="array" ref="J6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67" s="66">
        <f>IF(_xlfn.XLOOKUP(CONT_SUP[[#This Row],[PayScalePointCode]],PSPOINTS[PayScalePointCode],PSPOINTS[PayScalePointEnabled])=TRUE,0,1)</f>
        <v>0</v>
      </c>
      <c r="L67" s="57" cm="1">
        <f t="array" ref="L67">IF(_xlfn.XLOOKUP(CONT_SUP[[#This Row],[DepartmentCode]],DEPTS[DepartmentCode],DEPTS[AvailableToAllSchools],1,0,)=TRUE,0,IF(ISERROR(FIND(CONT_SUP[[#This Row],[SchoolCode]],_xlfn.TEXTJOIN(",",TRUE,_xlfn.UNIQUE(IF(DEPTS[DepartmentCode]=CONT_SUP[[#This Row],[DepartmentCode]],DEPTS[SchoolCodes],""))))),1,0))</f>
        <v>0</v>
      </c>
      <c r="M67" s="57">
        <f>IFERROR(IF(_xlfn.XLOOKUP(CONT_SUP[[#This Row],[SRG Gross]],FinanceCodesBudget[FinanceCode],FinanceCodesBudget[LedgerCode])=_xlfn.XLOOKUP(CONT_SUP[[#This Row],[DepartmentCode]],DEPTS[DepartmentCode],DEPTS[LedgerCode]),0,1),1)</f>
        <v>0</v>
      </c>
      <c r="N67" s="66" cm="1">
        <f t="array" ref="N67">IF(_xlfn.XLOOKUP(CONT_SUP[[#This Row],[PensionCode]],PENS[PensionCode],PENS[AvailableToAllSchools],1,0,)=TRUE,0,IF(ISERROR(FIND(CONT_SUP[[#This Row],[SchoolCode]],_xlfn.TEXTJOIN(",",TRUE,_xlfn.UNIQUE(IF(PENS[PensionCode]=CONT_SUP[[#This Row],[PensionCode]],PENS[SchoolCodes],""))))),1,0))</f>
        <v>0</v>
      </c>
      <c r="O67" s="66" cm="1">
        <f t="array" ref="O67">IF(_xlfn.XLOOKUP(CONT_SUP[[#This Row],[EquatedWeekPatternCode]],EQW[EquatedWeekPatternCode],EQW[AvailableToAllSchools],1,0,)=TRUE,0,IF(ISERROR(FIND(CONT_SUP[[#This Row],[SchoolCode]],_xlfn.TEXTJOIN(",",TRUE,_xlfn.UNIQUE(IF(EQW[EquatedWeekPatternCode]=CONT_SUP[[#This Row],[EquatedWeekPatternCode]],EQW[SchoolCodes],""))))),1,0))</f>
        <v>0</v>
      </c>
      <c r="P67" s="57">
        <f>1-COUNTIF(ContractTypes[Code],CONT_SUP[[#This Row],[ContractTypeCode]])</f>
        <v>0</v>
      </c>
      <c r="Q67" s="57">
        <f>IF(VLOOKUP(CONT_SUP[[#This Row],[StaffMemberCode]],MEMBERS[[StaffMemberCode]:[ServiceStartDate]],5,0)&gt;CONT_SUP[[#This Row],[DateFrom]],1,0)</f>
        <v>0</v>
      </c>
      <c r="R67" s="57">
        <f>IF(_xlfn.XLOOKUP(CONT_SUP[[#This Row],[StaffMemberCode]],MEMBERS[StaffMemberCode],MEMBERS[ServiceEndDate])="",0,IF(CONT_SUP[[#This Row],[DateTo]]="",1,IF(_xlfn.XLOOKUP(CONT_SUP[[#This Row],[StaffMemberCode]],MEMBERS[StaffMemberCode],MEMBERS[ServiceEndDate])&lt;CONT_SUP[[#This Row],[DateTo]],1,0)))</f>
        <v>0</v>
      </c>
      <c r="S67" s="57">
        <f>IF(ISBLANK(CONT_SUP[[#This Row],[DateTo]]),0,IF(CONT_SUP[[#This Row],[DateFrom]]=CONT_SUP[[#This Row],[DateTo]],0,IF(CONT_SUP[[#This Row],[DateFrom]]&lt;CONT_SUP[[#This Row],[DateTo]],0,1)))</f>
        <v>0</v>
      </c>
      <c r="T67" s="57" cm="1">
        <f t="array" aca="1" ref="T67" ca="1">IF(CELL("format",CONT_SUP[[#This Row],[DateFrom]])="D1",0,1)+IF(CELL("format",CONT_SUP[[#This Row],[DateTo]])="D1",0,1)</f>
        <v>0</v>
      </c>
      <c r="U67" s="57">
        <f>IF(OR(CONT_SUP[[#This Row],[MatEditOnly]]=TRUE,CONT_SUP[[#This Row],[MatEditOnly]]=FALSE),IF(OR(CONT_SUP[[#This Row],[NoIncrement]]=TRUE,CONT_SUP[[#This Row],[NoIncrement]]=FALSE),0,1),1)</f>
        <v>0</v>
      </c>
      <c r="V67" s="57">
        <f>IF(ISBLANK(CONT_SUP[[#This Row],[FundCode]])=TRUE,0,IF(COUNTIF(FUNDS[FundCode],CONT_SUP[[#This Row],[FundCode]])=1,0,1))</f>
        <v>0</v>
      </c>
      <c r="W67" s="57">
        <f>IF(LEN(CONT_SUP[[#This Row],[Notes]])&lt;4000,0,1)</f>
        <v>0</v>
      </c>
      <c r="X67" s="57">
        <f>IF(SUBSTITUTE(TEXT(CONT_SUP[[#This Row],[Reference]],10)," ","")=TEXT(CONT_SUP[[#This Row],[Reference]],10),0,1)</f>
        <v>0</v>
      </c>
      <c r="Y67" s="57">
        <f ca="1">SUM(CONT_SUP[[#This Row],[Duplicate Contract]:[Space in Code]])</f>
        <v>0</v>
      </c>
      <c r="AA67" s="12" t="s">
        <v>2275</v>
      </c>
      <c r="AB67" s="63">
        <v>91323887</v>
      </c>
      <c r="AC67" s="63" t="s">
        <v>4665</v>
      </c>
      <c r="AD67" s="57" t="str">
        <f>_xlfn.XLOOKUP(CONT_SUP[[#This Row],[StaffMemberCode]],StaffMembers!O:O,StaffMembers!R:R)</f>
        <v>Laura Cooper</v>
      </c>
      <c r="AE67" s="12" t="s">
        <v>1190</v>
      </c>
      <c r="AF67" s="66">
        <f>_xlfn.XLOOKUP(CONT_SUP[[#This Row],[SRG]],SRG[StaffRoleGroupCode],SRG[GrossSalaryFinanceCode])</f>
        <v>630100</v>
      </c>
      <c r="AG67" s="57" t="str">
        <f>_xlfn.XLOOKUP(CONT_SUP[[#This Row],[StaffRoleCode]],ROLES[StaffRoleCode],ROLES[StaffRoleGroupCode])</f>
        <v>CLE</v>
      </c>
      <c r="AH67" s="57" t="str">
        <f>_xlfn.XLOOKUP(CONT_SUP[[#This Row],[StaffRoleCode]],ROLES[StaffRoleCode],ROLES[PayScaleCode])</f>
        <v>NJC_CHE</v>
      </c>
      <c r="AI67" s="12" t="s">
        <v>3120</v>
      </c>
      <c r="AJ67" s="12">
        <v>2</v>
      </c>
      <c r="AK67" s="12" t="s">
        <v>2495</v>
      </c>
      <c r="AM67" s="68" t="s">
        <v>3132</v>
      </c>
      <c r="AN67" s="12" t="s">
        <v>3137</v>
      </c>
      <c r="AO67" s="21">
        <v>45901</v>
      </c>
      <c r="AQ67" s="12">
        <v>10</v>
      </c>
      <c r="AR67" t="b">
        <v>0</v>
      </c>
      <c r="AS67" t="b">
        <v>0</v>
      </c>
      <c r="AT67" s="12" t="s">
        <v>1574</v>
      </c>
    </row>
    <row r="68" spans="1:46" x14ac:dyDescent="0.3">
      <c r="A68" s="57" t="str">
        <f t="shared" si="2"/>
        <v>ALS9185004991850049ACLESPREM45903</v>
      </c>
      <c r="B68" s="57">
        <f>COUNTIF(CONT_SUP[Unique Contract],CONT_SUP[[#This Row],[Unique Contract]])-1</f>
        <v>0</v>
      </c>
      <c r="C68" s="57">
        <f>IFERROR(IF(FIND(CONT_SUP[[#This Row],[SchoolCode]],_xlfn.XLOOKUP(CONT_SUP[[#This Row],[StaffMemberCode]],MEMBERS[StaffMemberCode],MEMBERS[SchoolCodes]))&gt;0,0,1),1)</f>
        <v>0</v>
      </c>
      <c r="D68" s="57" cm="1">
        <f t="array" ref="D68">IF(_xlfn.XLOOKUP(CONT_SUP[[#This Row],[StaffRoleCode]],ROLES[StaffRoleCode],ROLES[AvailableToAllSchools],1,0,)=TRUE,0,IF(ISERROR(FIND(CONT_SUP[[#This Row],[SchoolCode]],_xlfn.TEXTJOIN(",",TRUE,_xlfn.UNIQUE(IF(ROLES[StaffRoleCode]=CONT_SUP[[#This Row],[StaffRoleCode]],ROLES[SchoolCodes],""))))),1,0))</f>
        <v>0</v>
      </c>
      <c r="E68" s="66" cm="1">
        <f t="array" ref="E6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68" s="57" cm="1">
        <f t="array" ref="F68">IF(_xlfn.XLOOKUP(CONT_SUP[[#This Row],[PayScaleCode]],PAYSCALES[PayScaleCode],PAYSCALES[AvailableToAllSchools],1,0,)=TRUE,0,IF(ISERROR(FIND(CONT_SUP[[#This Row],[SchoolCode]],_xlfn.TEXTJOIN(",",TRUE,_xlfn.UNIQUE(IF(PAYSCALES[PayScaleCode]=CONT_SUP[[#This Row],[PayScaleCode]],PAYSCALES[SchoolCodes],""))))),1,0))</f>
        <v>0</v>
      </c>
      <c r="G68" s="57">
        <f>IF(_xlfn.XLOOKUP(CONT_SUP[[#This Row],[PayScaleGradeCode]],GRADES[PayScaleGradeCode],GRADES[AvailableToAllSchools])=TRUE,0,IFERROR(IF(FIND(CONT_SUP[[#This Row],[SchoolCode]],_xlfn.XLOOKUP(CONT_SUP[[#This Row],[PayScaleGradeCode]],GRADES[PayScaleGradeCode],GRADES[SchoolCodes]))&gt;=1,0,1),1))</f>
        <v>0</v>
      </c>
      <c r="H68" s="66">
        <f>IF(ISERROR(IF((_xlfn.XLOOKUP(CONT_SUP[[#This Row],[PayScaleGradeCode]],GRADES[PayScaleGradeCode],GRADES[PayScaleCode])=CONT_SUP[[#This Row],[PayScaleCode]]),0,1)),1,0)</f>
        <v>0</v>
      </c>
      <c r="I68" s="66" cm="1">
        <f t="array" ref="I68">IF(ISERROR(FIND(CONT_SUP[[#This Row],[PayScalePointCode]],_xlfn.TEXTJOIN(",",TRUE,IF(PSPOINTS[PayScaleCode]=CONT_SUP[[#This Row],[PayScaleCode]],PSPOINTS[PayScalePointCode])))),1,0)</f>
        <v>0</v>
      </c>
      <c r="J68" s="57" cm="1">
        <f t="array" ref="J6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68" s="66">
        <f>IF(_xlfn.XLOOKUP(CONT_SUP[[#This Row],[PayScalePointCode]],PSPOINTS[PayScalePointCode],PSPOINTS[PayScalePointEnabled])=TRUE,0,1)</f>
        <v>0</v>
      </c>
      <c r="L68" s="57" cm="1">
        <f t="array" ref="L68">IF(_xlfn.XLOOKUP(CONT_SUP[[#This Row],[DepartmentCode]],DEPTS[DepartmentCode],DEPTS[AvailableToAllSchools],1,0,)=TRUE,0,IF(ISERROR(FIND(CONT_SUP[[#This Row],[SchoolCode]],_xlfn.TEXTJOIN(",",TRUE,_xlfn.UNIQUE(IF(DEPTS[DepartmentCode]=CONT_SUP[[#This Row],[DepartmentCode]],DEPTS[SchoolCodes],""))))),1,0))</f>
        <v>0</v>
      </c>
      <c r="M68" s="57">
        <f>IFERROR(IF(_xlfn.XLOOKUP(CONT_SUP[[#This Row],[SRG Gross]],FinanceCodesBudget[FinanceCode],FinanceCodesBudget[LedgerCode])=_xlfn.XLOOKUP(CONT_SUP[[#This Row],[DepartmentCode]],DEPTS[DepartmentCode],DEPTS[LedgerCode]),0,1),1)</f>
        <v>0</v>
      </c>
      <c r="N68" s="66" cm="1">
        <f t="array" ref="N68">IF(_xlfn.XLOOKUP(CONT_SUP[[#This Row],[PensionCode]],PENS[PensionCode],PENS[AvailableToAllSchools],1,0,)=TRUE,0,IF(ISERROR(FIND(CONT_SUP[[#This Row],[SchoolCode]],_xlfn.TEXTJOIN(",",TRUE,_xlfn.UNIQUE(IF(PENS[PensionCode]=CONT_SUP[[#This Row],[PensionCode]],PENS[SchoolCodes],""))))),1,0))</f>
        <v>0</v>
      </c>
      <c r="O68" s="66" cm="1">
        <f t="array" ref="O68">IF(_xlfn.XLOOKUP(CONT_SUP[[#This Row],[EquatedWeekPatternCode]],EQW[EquatedWeekPatternCode],EQW[AvailableToAllSchools],1,0,)=TRUE,0,IF(ISERROR(FIND(CONT_SUP[[#This Row],[SchoolCode]],_xlfn.TEXTJOIN(",",TRUE,_xlfn.UNIQUE(IF(EQW[EquatedWeekPatternCode]=CONT_SUP[[#This Row],[EquatedWeekPatternCode]],EQW[SchoolCodes],""))))),1,0))</f>
        <v>0</v>
      </c>
      <c r="P68" s="57">
        <f>1-COUNTIF(ContractTypes[Code],CONT_SUP[[#This Row],[ContractTypeCode]])</f>
        <v>0</v>
      </c>
      <c r="Q68" s="57">
        <f>IF(VLOOKUP(CONT_SUP[[#This Row],[StaffMemberCode]],MEMBERS[[StaffMemberCode]:[ServiceStartDate]],5,0)&gt;CONT_SUP[[#This Row],[DateFrom]],1,0)</f>
        <v>0</v>
      </c>
      <c r="R68" s="57">
        <f>IF(_xlfn.XLOOKUP(CONT_SUP[[#This Row],[StaffMemberCode]],MEMBERS[StaffMemberCode],MEMBERS[ServiceEndDate])="",0,IF(CONT_SUP[[#This Row],[DateTo]]="",1,IF(_xlfn.XLOOKUP(CONT_SUP[[#This Row],[StaffMemberCode]],MEMBERS[StaffMemberCode],MEMBERS[ServiceEndDate])&lt;CONT_SUP[[#This Row],[DateTo]],1,0)))</f>
        <v>0</v>
      </c>
      <c r="S68" s="57">
        <f>IF(ISBLANK(CONT_SUP[[#This Row],[DateTo]]),0,IF(CONT_SUP[[#This Row],[DateFrom]]=CONT_SUP[[#This Row],[DateTo]],0,IF(CONT_SUP[[#This Row],[DateFrom]]&lt;CONT_SUP[[#This Row],[DateTo]],0,1)))</f>
        <v>0</v>
      </c>
      <c r="T68" s="57" cm="1">
        <f t="array" aca="1" ref="T68" ca="1">IF(CELL("format",CONT_SUP[[#This Row],[DateFrom]])="D1",0,1)+IF(CELL("format",CONT_SUP[[#This Row],[DateTo]])="D1",0,1)</f>
        <v>0</v>
      </c>
      <c r="U68" s="57">
        <f>IF(OR(CONT_SUP[[#This Row],[MatEditOnly]]=TRUE,CONT_SUP[[#This Row],[MatEditOnly]]=FALSE),IF(OR(CONT_SUP[[#This Row],[NoIncrement]]=TRUE,CONT_SUP[[#This Row],[NoIncrement]]=FALSE),0,1),1)</f>
        <v>0</v>
      </c>
      <c r="V68" s="57">
        <f>IF(ISBLANK(CONT_SUP[[#This Row],[FundCode]])=TRUE,0,IF(COUNTIF(FUNDS[FundCode],CONT_SUP[[#This Row],[FundCode]])=1,0,1))</f>
        <v>0</v>
      </c>
      <c r="W68" s="57">
        <f>IF(LEN(CONT_SUP[[#This Row],[Notes]])&lt;4000,0,1)</f>
        <v>0</v>
      </c>
      <c r="X68" s="57">
        <f>IF(SUBSTITUTE(TEXT(CONT_SUP[[#This Row],[Reference]],10)," ","")=TEXT(CONT_SUP[[#This Row],[Reference]],10),0,1)</f>
        <v>0</v>
      </c>
      <c r="Y68" s="57">
        <f ca="1">SUM(CONT_SUP[[#This Row],[Duplicate Contract]:[Space in Code]])</f>
        <v>0</v>
      </c>
      <c r="AA68" s="12" t="s">
        <v>2082</v>
      </c>
      <c r="AB68" s="63">
        <v>91850049</v>
      </c>
      <c r="AC68" s="63" t="s">
        <v>4666</v>
      </c>
      <c r="AD68" s="57" t="str">
        <f>_xlfn.XLOOKUP(CONT_SUP[[#This Row],[StaffMemberCode]],StaffMembers!O:O,StaffMembers!R:R)</f>
        <v>Lea Duenas</v>
      </c>
      <c r="AE68" s="12" t="s">
        <v>1190</v>
      </c>
      <c r="AF68" s="66">
        <f>_xlfn.XLOOKUP(CONT_SUP[[#This Row],[SRG]],SRG[StaffRoleGroupCode],SRG[GrossSalaryFinanceCode])</f>
        <v>630100</v>
      </c>
      <c r="AG68" s="57" t="str">
        <f>_xlfn.XLOOKUP(CONT_SUP[[#This Row],[StaffRoleCode]],ROLES[StaffRoleCode],ROLES[StaffRoleGroupCode])</f>
        <v>CLE</v>
      </c>
      <c r="AH68" s="57" t="str">
        <f>_xlfn.XLOOKUP(CONT_SUP[[#This Row],[StaffRoleCode]],ROLES[StaffRoleCode],ROLES[PayScaleCode])</f>
        <v>NJC_CHE</v>
      </c>
      <c r="AI68" s="12" t="s">
        <v>3120</v>
      </c>
      <c r="AJ68" s="12">
        <v>2</v>
      </c>
      <c r="AK68" s="12" t="s">
        <v>2495</v>
      </c>
      <c r="AM68" s="68" t="s">
        <v>3132</v>
      </c>
      <c r="AN68" s="12" t="s">
        <v>3145</v>
      </c>
      <c r="AO68" s="21">
        <v>45903</v>
      </c>
      <c r="AQ68" s="12">
        <v>10</v>
      </c>
      <c r="AR68" t="b">
        <v>0</v>
      </c>
      <c r="AS68" t="b">
        <v>0</v>
      </c>
      <c r="AT68" s="12" t="s">
        <v>1574</v>
      </c>
    </row>
    <row r="69" spans="1:46" x14ac:dyDescent="0.3">
      <c r="A69" s="57" t="str">
        <f t="shared" si="2"/>
        <v>ALS9185002891850028ACLESPREM45901</v>
      </c>
      <c r="B69" s="57">
        <f>COUNTIF(CONT_SUP[Unique Contract],CONT_SUP[[#This Row],[Unique Contract]])-1</f>
        <v>0</v>
      </c>
      <c r="C69" s="57">
        <f>IFERROR(IF(FIND(CONT_SUP[[#This Row],[SchoolCode]],_xlfn.XLOOKUP(CONT_SUP[[#This Row],[StaffMemberCode]],MEMBERS[StaffMemberCode],MEMBERS[SchoolCodes]))&gt;0,0,1),1)</f>
        <v>0</v>
      </c>
      <c r="D69" s="57" cm="1">
        <f t="array" ref="D69">IF(_xlfn.XLOOKUP(CONT_SUP[[#This Row],[StaffRoleCode]],ROLES[StaffRoleCode],ROLES[AvailableToAllSchools],1,0,)=TRUE,0,IF(ISERROR(FIND(CONT_SUP[[#This Row],[SchoolCode]],_xlfn.TEXTJOIN(",",TRUE,_xlfn.UNIQUE(IF(ROLES[StaffRoleCode]=CONT_SUP[[#This Row],[StaffRoleCode]],ROLES[SchoolCodes],""))))),1,0))</f>
        <v>0</v>
      </c>
      <c r="E69" s="66" cm="1">
        <f t="array" ref="E6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69" s="57" cm="1">
        <f t="array" ref="F69">IF(_xlfn.XLOOKUP(CONT_SUP[[#This Row],[PayScaleCode]],PAYSCALES[PayScaleCode],PAYSCALES[AvailableToAllSchools],1,0,)=TRUE,0,IF(ISERROR(FIND(CONT_SUP[[#This Row],[SchoolCode]],_xlfn.TEXTJOIN(",",TRUE,_xlfn.UNIQUE(IF(PAYSCALES[PayScaleCode]=CONT_SUP[[#This Row],[PayScaleCode]],PAYSCALES[SchoolCodes],""))))),1,0))</f>
        <v>0</v>
      </c>
      <c r="G69" s="57">
        <f>IF(_xlfn.XLOOKUP(CONT_SUP[[#This Row],[PayScaleGradeCode]],GRADES[PayScaleGradeCode],GRADES[AvailableToAllSchools])=TRUE,0,IFERROR(IF(FIND(CONT_SUP[[#This Row],[SchoolCode]],_xlfn.XLOOKUP(CONT_SUP[[#This Row],[PayScaleGradeCode]],GRADES[PayScaleGradeCode],GRADES[SchoolCodes]))&gt;=1,0,1),1))</f>
        <v>0</v>
      </c>
      <c r="H69" s="66">
        <f>IF(ISERROR(IF((_xlfn.XLOOKUP(CONT_SUP[[#This Row],[PayScaleGradeCode]],GRADES[PayScaleGradeCode],GRADES[PayScaleCode])=CONT_SUP[[#This Row],[PayScaleCode]]),0,1)),1,0)</f>
        <v>0</v>
      </c>
      <c r="I69" s="66" cm="1">
        <f t="array" ref="I69">IF(ISERROR(FIND(CONT_SUP[[#This Row],[PayScalePointCode]],_xlfn.TEXTJOIN(",",TRUE,IF(PSPOINTS[PayScaleCode]=CONT_SUP[[#This Row],[PayScaleCode]],PSPOINTS[PayScalePointCode])))),1,0)</f>
        <v>0</v>
      </c>
      <c r="J69" s="57" cm="1">
        <f t="array" ref="J6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69" s="66">
        <f>IF(_xlfn.XLOOKUP(CONT_SUP[[#This Row],[PayScalePointCode]],PSPOINTS[PayScalePointCode],PSPOINTS[PayScalePointEnabled])=TRUE,0,1)</f>
        <v>0</v>
      </c>
      <c r="L69" s="57" cm="1">
        <f t="array" ref="L69">IF(_xlfn.XLOOKUP(CONT_SUP[[#This Row],[DepartmentCode]],DEPTS[DepartmentCode],DEPTS[AvailableToAllSchools],1,0,)=TRUE,0,IF(ISERROR(FIND(CONT_SUP[[#This Row],[SchoolCode]],_xlfn.TEXTJOIN(",",TRUE,_xlfn.UNIQUE(IF(DEPTS[DepartmentCode]=CONT_SUP[[#This Row],[DepartmentCode]],DEPTS[SchoolCodes],""))))),1,0))</f>
        <v>0</v>
      </c>
      <c r="M69" s="57">
        <f>IFERROR(IF(_xlfn.XLOOKUP(CONT_SUP[[#This Row],[SRG Gross]],FinanceCodesBudget[FinanceCode],FinanceCodesBudget[LedgerCode])=_xlfn.XLOOKUP(CONT_SUP[[#This Row],[DepartmentCode]],DEPTS[DepartmentCode],DEPTS[LedgerCode]),0,1),1)</f>
        <v>0</v>
      </c>
      <c r="N69" s="66" cm="1">
        <f t="array" ref="N69">IF(_xlfn.XLOOKUP(CONT_SUP[[#This Row],[PensionCode]],PENS[PensionCode],PENS[AvailableToAllSchools],1,0,)=TRUE,0,IF(ISERROR(FIND(CONT_SUP[[#This Row],[SchoolCode]],_xlfn.TEXTJOIN(",",TRUE,_xlfn.UNIQUE(IF(PENS[PensionCode]=CONT_SUP[[#This Row],[PensionCode]],PENS[SchoolCodes],""))))),1,0))</f>
        <v>0</v>
      </c>
      <c r="O69" s="66" cm="1">
        <f t="array" ref="O69">IF(_xlfn.XLOOKUP(CONT_SUP[[#This Row],[EquatedWeekPatternCode]],EQW[EquatedWeekPatternCode],EQW[AvailableToAllSchools],1,0,)=TRUE,0,IF(ISERROR(FIND(CONT_SUP[[#This Row],[SchoolCode]],_xlfn.TEXTJOIN(",",TRUE,_xlfn.UNIQUE(IF(EQW[EquatedWeekPatternCode]=CONT_SUP[[#This Row],[EquatedWeekPatternCode]],EQW[SchoolCodes],""))))),1,0))</f>
        <v>0</v>
      </c>
      <c r="P69" s="57">
        <f>1-COUNTIF(ContractTypes[Code],CONT_SUP[[#This Row],[ContractTypeCode]])</f>
        <v>0</v>
      </c>
      <c r="Q69" s="57">
        <f>IF(VLOOKUP(CONT_SUP[[#This Row],[StaffMemberCode]],MEMBERS[[StaffMemberCode]:[ServiceStartDate]],5,0)&gt;CONT_SUP[[#This Row],[DateFrom]],1,0)</f>
        <v>0</v>
      </c>
      <c r="R69" s="57">
        <f>IF(_xlfn.XLOOKUP(CONT_SUP[[#This Row],[StaffMemberCode]],MEMBERS[StaffMemberCode],MEMBERS[ServiceEndDate])="",0,IF(CONT_SUP[[#This Row],[DateTo]]="",1,IF(_xlfn.XLOOKUP(CONT_SUP[[#This Row],[StaffMemberCode]],MEMBERS[StaffMemberCode],MEMBERS[ServiceEndDate])&lt;CONT_SUP[[#This Row],[DateTo]],1,0)))</f>
        <v>0</v>
      </c>
      <c r="S69" s="57">
        <f>IF(ISBLANK(CONT_SUP[[#This Row],[DateTo]]),0,IF(CONT_SUP[[#This Row],[DateFrom]]=CONT_SUP[[#This Row],[DateTo]],0,IF(CONT_SUP[[#This Row],[DateFrom]]&lt;CONT_SUP[[#This Row],[DateTo]],0,1)))</f>
        <v>0</v>
      </c>
      <c r="T69" s="57" cm="1">
        <f t="array" aca="1" ref="T69" ca="1">IF(CELL("format",CONT_SUP[[#This Row],[DateFrom]])="D1",0,1)+IF(CELL("format",CONT_SUP[[#This Row],[DateTo]])="D1",0,1)</f>
        <v>0</v>
      </c>
      <c r="U69" s="57">
        <f>IF(OR(CONT_SUP[[#This Row],[MatEditOnly]]=TRUE,CONT_SUP[[#This Row],[MatEditOnly]]=FALSE),IF(OR(CONT_SUP[[#This Row],[NoIncrement]]=TRUE,CONT_SUP[[#This Row],[NoIncrement]]=FALSE),0,1),1)</f>
        <v>0</v>
      </c>
      <c r="V69" s="57">
        <f>IF(ISBLANK(CONT_SUP[[#This Row],[FundCode]])=TRUE,0,IF(COUNTIF(FUNDS[FundCode],CONT_SUP[[#This Row],[FundCode]])=1,0,1))</f>
        <v>0</v>
      </c>
      <c r="W69" s="57">
        <f>IF(LEN(CONT_SUP[[#This Row],[Notes]])&lt;4000,0,1)</f>
        <v>0</v>
      </c>
      <c r="X69" s="57">
        <f>IF(SUBSTITUTE(TEXT(CONT_SUP[[#This Row],[Reference]],10)," ","")=TEXT(CONT_SUP[[#This Row],[Reference]],10),0,1)</f>
        <v>0</v>
      </c>
      <c r="Y69" s="57">
        <f ca="1">SUM(CONT_SUP[[#This Row],[Duplicate Contract]:[Space in Code]])</f>
        <v>0</v>
      </c>
      <c r="AA69" s="12" t="s">
        <v>2082</v>
      </c>
      <c r="AB69" s="63">
        <v>91850028</v>
      </c>
      <c r="AC69" s="63" t="s">
        <v>4349</v>
      </c>
      <c r="AD69" s="57" t="str">
        <f>_xlfn.XLOOKUP(CONT_SUP[[#This Row],[StaffMemberCode]],StaffMembers!O:O,StaffMembers!R:R)</f>
        <v>Matthew Hemmings</v>
      </c>
      <c r="AE69" s="12" t="s">
        <v>1190</v>
      </c>
      <c r="AF69" s="66">
        <f>_xlfn.XLOOKUP(CONT_SUP[[#This Row],[SRG]],SRG[StaffRoleGroupCode],SRG[GrossSalaryFinanceCode])</f>
        <v>630100</v>
      </c>
      <c r="AG69" s="57" t="str">
        <f>_xlfn.XLOOKUP(CONT_SUP[[#This Row],[StaffRoleCode]],ROLES[StaffRoleCode],ROLES[StaffRoleGroupCode])</f>
        <v>CLE</v>
      </c>
      <c r="AH69" s="57" t="str">
        <f>_xlfn.XLOOKUP(CONT_SUP[[#This Row],[StaffRoleCode]],ROLES[StaffRoleCode],ROLES[PayScaleCode])</f>
        <v>NJC_CHE</v>
      </c>
      <c r="AI69" s="12" t="s">
        <v>3120</v>
      </c>
      <c r="AJ69" s="12">
        <v>2</v>
      </c>
      <c r="AK69" s="12" t="s">
        <v>2495</v>
      </c>
      <c r="AM69" s="68" t="s">
        <v>3132</v>
      </c>
      <c r="AN69" s="12" t="s">
        <v>3134</v>
      </c>
      <c r="AO69" s="21">
        <v>45901</v>
      </c>
      <c r="AQ69" s="12">
        <v>10</v>
      </c>
      <c r="AR69" t="b">
        <v>0</v>
      </c>
      <c r="AS69" t="b">
        <v>0</v>
      </c>
      <c r="AT69" s="12" t="s">
        <v>1574</v>
      </c>
    </row>
    <row r="70" spans="1:46" x14ac:dyDescent="0.3">
      <c r="A70" s="57" t="str">
        <f t="shared" si="2"/>
        <v>ALS9185002891850028BCLESPREM45901</v>
      </c>
      <c r="B70" s="57">
        <f>COUNTIF(CONT_SUP[Unique Contract],CONT_SUP[[#This Row],[Unique Contract]])-1</f>
        <v>0</v>
      </c>
      <c r="C70" s="57">
        <f>IFERROR(IF(FIND(CONT_SUP[[#This Row],[SchoolCode]],_xlfn.XLOOKUP(CONT_SUP[[#This Row],[StaffMemberCode]],MEMBERS[StaffMemberCode],MEMBERS[SchoolCodes]))&gt;0,0,1),1)</f>
        <v>0</v>
      </c>
      <c r="D70" s="57" cm="1">
        <f t="array" ref="D70">IF(_xlfn.XLOOKUP(CONT_SUP[[#This Row],[StaffRoleCode]],ROLES[StaffRoleCode],ROLES[AvailableToAllSchools],1,0,)=TRUE,0,IF(ISERROR(FIND(CONT_SUP[[#This Row],[SchoolCode]],_xlfn.TEXTJOIN(",",TRUE,_xlfn.UNIQUE(IF(ROLES[StaffRoleCode]=CONT_SUP[[#This Row],[StaffRoleCode]],ROLES[SchoolCodes],""))))),1,0))</f>
        <v>0</v>
      </c>
      <c r="E70" s="66" cm="1">
        <f t="array" ref="E7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70" s="57" cm="1">
        <f t="array" ref="F70">IF(_xlfn.XLOOKUP(CONT_SUP[[#This Row],[PayScaleCode]],PAYSCALES[PayScaleCode],PAYSCALES[AvailableToAllSchools],1,0,)=TRUE,0,IF(ISERROR(FIND(CONT_SUP[[#This Row],[SchoolCode]],_xlfn.TEXTJOIN(",",TRUE,_xlfn.UNIQUE(IF(PAYSCALES[PayScaleCode]=CONT_SUP[[#This Row],[PayScaleCode]],PAYSCALES[SchoolCodes],""))))),1,0))</f>
        <v>0</v>
      </c>
      <c r="G70" s="57">
        <f>IF(_xlfn.XLOOKUP(CONT_SUP[[#This Row],[PayScaleGradeCode]],GRADES[PayScaleGradeCode],GRADES[AvailableToAllSchools])=TRUE,0,IFERROR(IF(FIND(CONT_SUP[[#This Row],[SchoolCode]],_xlfn.XLOOKUP(CONT_SUP[[#This Row],[PayScaleGradeCode]],GRADES[PayScaleGradeCode],GRADES[SchoolCodes]))&gt;=1,0,1),1))</f>
        <v>0</v>
      </c>
      <c r="H70" s="66">
        <f>IF(ISERROR(IF((_xlfn.XLOOKUP(CONT_SUP[[#This Row],[PayScaleGradeCode]],GRADES[PayScaleGradeCode],GRADES[PayScaleCode])=CONT_SUP[[#This Row],[PayScaleCode]]),0,1)),1,0)</f>
        <v>0</v>
      </c>
      <c r="I70" s="66" cm="1">
        <f t="array" ref="I70">IF(ISERROR(FIND(CONT_SUP[[#This Row],[PayScalePointCode]],_xlfn.TEXTJOIN(",",TRUE,IF(PSPOINTS[PayScaleCode]=CONT_SUP[[#This Row],[PayScaleCode]],PSPOINTS[PayScalePointCode])))),1,0)</f>
        <v>0</v>
      </c>
      <c r="J70" s="57" cm="1">
        <f t="array" ref="J7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70" s="66">
        <f>IF(_xlfn.XLOOKUP(CONT_SUP[[#This Row],[PayScalePointCode]],PSPOINTS[PayScalePointCode],PSPOINTS[PayScalePointEnabled])=TRUE,0,1)</f>
        <v>0</v>
      </c>
      <c r="L70" s="57" cm="1">
        <f t="array" ref="L70">IF(_xlfn.XLOOKUP(CONT_SUP[[#This Row],[DepartmentCode]],DEPTS[DepartmentCode],DEPTS[AvailableToAllSchools],1,0,)=TRUE,0,IF(ISERROR(FIND(CONT_SUP[[#This Row],[SchoolCode]],_xlfn.TEXTJOIN(",",TRUE,_xlfn.UNIQUE(IF(DEPTS[DepartmentCode]=CONT_SUP[[#This Row],[DepartmentCode]],DEPTS[SchoolCodes],""))))),1,0))</f>
        <v>0</v>
      </c>
      <c r="M70" s="57">
        <f>IFERROR(IF(_xlfn.XLOOKUP(CONT_SUP[[#This Row],[SRG Gross]],FinanceCodesBudget[FinanceCode],FinanceCodesBudget[LedgerCode])=_xlfn.XLOOKUP(CONT_SUP[[#This Row],[DepartmentCode]],DEPTS[DepartmentCode],DEPTS[LedgerCode]),0,1),1)</f>
        <v>0</v>
      </c>
      <c r="N70" s="66" cm="1">
        <f t="array" ref="N70">IF(_xlfn.XLOOKUP(CONT_SUP[[#This Row],[PensionCode]],PENS[PensionCode],PENS[AvailableToAllSchools],1,0,)=TRUE,0,IF(ISERROR(FIND(CONT_SUP[[#This Row],[SchoolCode]],_xlfn.TEXTJOIN(",",TRUE,_xlfn.UNIQUE(IF(PENS[PensionCode]=CONT_SUP[[#This Row],[PensionCode]],PENS[SchoolCodes],""))))),1,0))</f>
        <v>0</v>
      </c>
      <c r="O70" s="66" cm="1">
        <f t="array" ref="O70">IF(_xlfn.XLOOKUP(CONT_SUP[[#This Row],[EquatedWeekPatternCode]],EQW[EquatedWeekPatternCode],EQW[AvailableToAllSchools],1,0,)=TRUE,0,IF(ISERROR(FIND(CONT_SUP[[#This Row],[SchoolCode]],_xlfn.TEXTJOIN(",",TRUE,_xlfn.UNIQUE(IF(EQW[EquatedWeekPatternCode]=CONT_SUP[[#This Row],[EquatedWeekPatternCode]],EQW[SchoolCodes],""))))),1,0))</f>
        <v>0</v>
      </c>
      <c r="P70" s="57">
        <f>1-COUNTIF(ContractTypes[Code],CONT_SUP[[#This Row],[ContractTypeCode]])</f>
        <v>0</v>
      </c>
      <c r="Q70" s="57">
        <f>IF(VLOOKUP(CONT_SUP[[#This Row],[StaffMemberCode]],MEMBERS[[StaffMemberCode]:[ServiceStartDate]],5,0)&gt;CONT_SUP[[#This Row],[DateFrom]],1,0)</f>
        <v>0</v>
      </c>
      <c r="R70" s="57">
        <f>IF(_xlfn.XLOOKUP(CONT_SUP[[#This Row],[StaffMemberCode]],MEMBERS[StaffMemberCode],MEMBERS[ServiceEndDate])="",0,IF(CONT_SUP[[#This Row],[DateTo]]="",1,IF(_xlfn.XLOOKUP(CONT_SUP[[#This Row],[StaffMemberCode]],MEMBERS[StaffMemberCode],MEMBERS[ServiceEndDate])&lt;CONT_SUP[[#This Row],[DateTo]],1,0)))</f>
        <v>0</v>
      </c>
      <c r="S70" s="57">
        <f>IF(ISBLANK(CONT_SUP[[#This Row],[DateTo]]),0,IF(CONT_SUP[[#This Row],[DateFrom]]=CONT_SUP[[#This Row],[DateTo]],0,IF(CONT_SUP[[#This Row],[DateFrom]]&lt;CONT_SUP[[#This Row],[DateTo]],0,1)))</f>
        <v>0</v>
      </c>
      <c r="T70" s="57" cm="1">
        <f t="array" aca="1" ref="T70" ca="1">IF(CELL("format",CONT_SUP[[#This Row],[DateFrom]])="D1",0,1)+IF(CELL("format",CONT_SUP[[#This Row],[DateTo]])="D1",0,1)</f>
        <v>0</v>
      </c>
      <c r="U70" s="57">
        <f>IF(OR(CONT_SUP[[#This Row],[MatEditOnly]]=TRUE,CONT_SUP[[#This Row],[MatEditOnly]]=FALSE),IF(OR(CONT_SUP[[#This Row],[NoIncrement]]=TRUE,CONT_SUP[[#This Row],[NoIncrement]]=FALSE),0,1),1)</f>
        <v>0</v>
      </c>
      <c r="V70" s="57">
        <f>IF(ISBLANK(CONT_SUP[[#This Row],[FundCode]])=TRUE,0,IF(COUNTIF(FUNDS[FundCode],CONT_SUP[[#This Row],[FundCode]])=1,0,1))</f>
        <v>0</v>
      </c>
      <c r="W70" s="57">
        <f>IF(LEN(CONT_SUP[[#This Row],[Notes]])&lt;4000,0,1)</f>
        <v>0</v>
      </c>
      <c r="X70" s="57">
        <f>IF(SUBSTITUTE(TEXT(CONT_SUP[[#This Row],[Reference]],10)," ","")=TEXT(CONT_SUP[[#This Row],[Reference]],10),0,1)</f>
        <v>0</v>
      </c>
      <c r="Y70" s="57">
        <f ca="1">SUM(CONT_SUP[[#This Row],[Duplicate Contract]:[Space in Code]])</f>
        <v>0</v>
      </c>
      <c r="AA70" s="12" t="s">
        <v>2082</v>
      </c>
      <c r="AB70" s="63">
        <v>91850028</v>
      </c>
      <c r="AC70" s="63" t="s">
        <v>4350</v>
      </c>
      <c r="AD70" s="57" t="str">
        <f>_xlfn.XLOOKUP(CONT_SUP[[#This Row],[StaffMemberCode]],StaffMembers!O:O,StaffMembers!R:R)</f>
        <v>Matthew Hemmings</v>
      </c>
      <c r="AE70" s="12" t="s">
        <v>1190</v>
      </c>
      <c r="AF70" s="66">
        <f>_xlfn.XLOOKUP(CONT_SUP[[#This Row],[SRG]],SRG[StaffRoleGroupCode],SRG[GrossSalaryFinanceCode])</f>
        <v>630100</v>
      </c>
      <c r="AG70" s="57" t="str">
        <f>_xlfn.XLOOKUP(CONT_SUP[[#This Row],[StaffRoleCode]],ROLES[StaffRoleCode],ROLES[StaffRoleGroupCode])</f>
        <v>CLE</v>
      </c>
      <c r="AH70" s="57" t="str">
        <f>_xlfn.XLOOKUP(CONT_SUP[[#This Row],[StaffRoleCode]],ROLES[StaffRoleCode],ROLES[PayScaleCode])</f>
        <v>NJC_CHE</v>
      </c>
      <c r="AI70" s="12" t="s">
        <v>3120</v>
      </c>
      <c r="AJ70" s="12">
        <v>2</v>
      </c>
      <c r="AK70" s="12" t="s">
        <v>2495</v>
      </c>
      <c r="AM70" s="68" t="s">
        <v>3132</v>
      </c>
      <c r="AN70" s="12" t="s">
        <v>3134</v>
      </c>
      <c r="AO70" s="21">
        <v>45901</v>
      </c>
      <c r="AQ70" s="12">
        <v>5</v>
      </c>
      <c r="AR70" t="b">
        <v>0</v>
      </c>
      <c r="AS70" t="b">
        <v>0</v>
      </c>
      <c r="AT70" s="12" t="s">
        <v>1574</v>
      </c>
    </row>
    <row r="71" spans="1:46" x14ac:dyDescent="0.3">
      <c r="A71" s="57" t="str">
        <f t="shared" si="2"/>
        <v>BLS9107360791073607ACLESPREM45901</v>
      </c>
      <c r="B71" s="57">
        <f>COUNTIF(CONT_SUP[Unique Contract],CONT_SUP[[#This Row],[Unique Contract]])-1</f>
        <v>0</v>
      </c>
      <c r="C71" s="57">
        <f>IFERROR(IF(FIND(CONT_SUP[[#This Row],[SchoolCode]],_xlfn.XLOOKUP(CONT_SUP[[#This Row],[StaffMemberCode]],MEMBERS[StaffMemberCode],MEMBERS[SchoolCodes]))&gt;0,0,1),1)</f>
        <v>0</v>
      </c>
      <c r="D71" s="57" cm="1">
        <f t="array" ref="D71">IF(_xlfn.XLOOKUP(CONT_SUP[[#This Row],[StaffRoleCode]],ROLES[StaffRoleCode],ROLES[AvailableToAllSchools],1,0,)=TRUE,0,IF(ISERROR(FIND(CONT_SUP[[#This Row],[SchoolCode]],_xlfn.TEXTJOIN(",",TRUE,_xlfn.UNIQUE(IF(ROLES[StaffRoleCode]=CONT_SUP[[#This Row],[StaffRoleCode]],ROLES[SchoolCodes],""))))),1,0))</f>
        <v>0</v>
      </c>
      <c r="E71" s="66" cm="1">
        <f t="array" ref="E7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71" s="57" cm="1">
        <f t="array" ref="F71">IF(_xlfn.XLOOKUP(CONT_SUP[[#This Row],[PayScaleCode]],PAYSCALES[PayScaleCode],PAYSCALES[AvailableToAllSchools],1,0,)=TRUE,0,IF(ISERROR(FIND(CONT_SUP[[#This Row],[SchoolCode]],_xlfn.TEXTJOIN(",",TRUE,_xlfn.UNIQUE(IF(PAYSCALES[PayScaleCode]=CONT_SUP[[#This Row],[PayScaleCode]],PAYSCALES[SchoolCodes],""))))),1,0))</f>
        <v>0</v>
      </c>
      <c r="G71" s="57">
        <f>IF(_xlfn.XLOOKUP(CONT_SUP[[#This Row],[PayScaleGradeCode]],GRADES[PayScaleGradeCode],GRADES[AvailableToAllSchools])=TRUE,0,IFERROR(IF(FIND(CONT_SUP[[#This Row],[SchoolCode]],_xlfn.XLOOKUP(CONT_SUP[[#This Row],[PayScaleGradeCode]],GRADES[PayScaleGradeCode],GRADES[SchoolCodes]))&gt;=1,0,1),1))</f>
        <v>0</v>
      </c>
      <c r="H71" s="66">
        <f>IF(ISERROR(IF((_xlfn.XLOOKUP(CONT_SUP[[#This Row],[PayScaleGradeCode]],GRADES[PayScaleGradeCode],GRADES[PayScaleCode])=CONT_SUP[[#This Row],[PayScaleCode]]),0,1)),1,0)</f>
        <v>0</v>
      </c>
      <c r="I71" s="66" cm="1">
        <f t="array" ref="I71">IF(ISERROR(FIND(CONT_SUP[[#This Row],[PayScalePointCode]],_xlfn.TEXTJOIN(",",TRUE,IF(PSPOINTS[PayScaleCode]=CONT_SUP[[#This Row],[PayScaleCode]],PSPOINTS[PayScalePointCode])))),1,0)</f>
        <v>0</v>
      </c>
      <c r="J71" s="57" cm="1">
        <f t="array" ref="J7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71" s="66">
        <f>IF(_xlfn.XLOOKUP(CONT_SUP[[#This Row],[PayScalePointCode]],PSPOINTS[PayScalePointCode],PSPOINTS[PayScalePointEnabled])=TRUE,0,1)</f>
        <v>0</v>
      </c>
      <c r="L71" s="57" cm="1">
        <f t="array" ref="L71">IF(_xlfn.XLOOKUP(CONT_SUP[[#This Row],[DepartmentCode]],DEPTS[DepartmentCode],DEPTS[AvailableToAllSchools],1,0,)=TRUE,0,IF(ISERROR(FIND(CONT_SUP[[#This Row],[SchoolCode]],_xlfn.TEXTJOIN(",",TRUE,_xlfn.UNIQUE(IF(DEPTS[DepartmentCode]=CONT_SUP[[#This Row],[DepartmentCode]],DEPTS[SchoolCodes],""))))),1,0))</f>
        <v>0</v>
      </c>
      <c r="M71" s="57">
        <f>IFERROR(IF(_xlfn.XLOOKUP(CONT_SUP[[#This Row],[SRG Gross]],FinanceCodesBudget[FinanceCode],FinanceCodesBudget[LedgerCode])=_xlfn.XLOOKUP(CONT_SUP[[#This Row],[DepartmentCode]],DEPTS[DepartmentCode],DEPTS[LedgerCode]),0,1),1)</f>
        <v>0</v>
      </c>
      <c r="N71" s="66" cm="1">
        <f t="array" ref="N71">IF(_xlfn.XLOOKUP(CONT_SUP[[#This Row],[PensionCode]],PENS[PensionCode],PENS[AvailableToAllSchools],1,0,)=TRUE,0,IF(ISERROR(FIND(CONT_SUP[[#This Row],[SchoolCode]],_xlfn.TEXTJOIN(",",TRUE,_xlfn.UNIQUE(IF(PENS[PensionCode]=CONT_SUP[[#This Row],[PensionCode]],PENS[SchoolCodes],""))))),1,0))</f>
        <v>0</v>
      </c>
      <c r="O71" s="66" cm="1">
        <f t="array" ref="O71">IF(_xlfn.XLOOKUP(CONT_SUP[[#This Row],[EquatedWeekPatternCode]],EQW[EquatedWeekPatternCode],EQW[AvailableToAllSchools],1,0,)=TRUE,0,IF(ISERROR(FIND(CONT_SUP[[#This Row],[SchoolCode]],_xlfn.TEXTJOIN(",",TRUE,_xlfn.UNIQUE(IF(EQW[EquatedWeekPatternCode]=CONT_SUP[[#This Row],[EquatedWeekPatternCode]],EQW[SchoolCodes],""))))),1,0))</f>
        <v>0</v>
      </c>
      <c r="P71" s="57">
        <f>1-COUNTIF(ContractTypes[Code],CONT_SUP[[#This Row],[ContractTypeCode]])</f>
        <v>0</v>
      </c>
      <c r="Q71" s="57">
        <f>IF(VLOOKUP(CONT_SUP[[#This Row],[StaffMemberCode]],MEMBERS[[StaffMemberCode]:[ServiceStartDate]],5,0)&gt;CONT_SUP[[#This Row],[DateFrom]],1,0)</f>
        <v>0</v>
      </c>
      <c r="R71" s="57">
        <f>IF(_xlfn.XLOOKUP(CONT_SUP[[#This Row],[StaffMemberCode]],MEMBERS[StaffMemberCode],MEMBERS[ServiceEndDate])="",0,IF(CONT_SUP[[#This Row],[DateTo]]="",1,IF(_xlfn.XLOOKUP(CONT_SUP[[#This Row],[StaffMemberCode]],MEMBERS[StaffMemberCode],MEMBERS[ServiceEndDate])&lt;CONT_SUP[[#This Row],[DateTo]],1,0)))</f>
        <v>0</v>
      </c>
      <c r="S71" s="57">
        <f>IF(ISBLANK(CONT_SUP[[#This Row],[DateTo]]),0,IF(CONT_SUP[[#This Row],[DateFrom]]=CONT_SUP[[#This Row],[DateTo]],0,IF(CONT_SUP[[#This Row],[DateFrom]]&lt;CONT_SUP[[#This Row],[DateTo]],0,1)))</f>
        <v>0</v>
      </c>
      <c r="T71" s="57" cm="1">
        <f t="array" aca="1" ref="T71" ca="1">IF(CELL("format",CONT_SUP[[#This Row],[DateFrom]])="D1",0,1)+IF(CELL("format",CONT_SUP[[#This Row],[DateTo]])="D1",0,1)</f>
        <v>0</v>
      </c>
      <c r="U71" s="57">
        <f>IF(OR(CONT_SUP[[#This Row],[MatEditOnly]]=TRUE,CONT_SUP[[#This Row],[MatEditOnly]]=FALSE),IF(OR(CONT_SUP[[#This Row],[NoIncrement]]=TRUE,CONT_SUP[[#This Row],[NoIncrement]]=FALSE),0,1),1)</f>
        <v>0</v>
      </c>
      <c r="V71" s="57">
        <f>IF(ISBLANK(CONT_SUP[[#This Row],[FundCode]])=TRUE,0,IF(COUNTIF(FUNDS[FundCode],CONT_SUP[[#This Row],[FundCode]])=1,0,1))</f>
        <v>0</v>
      </c>
      <c r="W71" s="57">
        <f>IF(LEN(CONT_SUP[[#This Row],[Notes]])&lt;4000,0,1)</f>
        <v>0</v>
      </c>
      <c r="X71" s="57">
        <f>IF(SUBSTITUTE(TEXT(CONT_SUP[[#This Row],[Reference]],10)," ","")=TEXT(CONT_SUP[[#This Row],[Reference]],10),0,1)</f>
        <v>0</v>
      </c>
      <c r="Y71" s="57">
        <f ca="1">SUM(CONT_SUP[[#This Row],[Duplicate Contract]:[Space in Code]])</f>
        <v>0</v>
      </c>
      <c r="AA71" s="12" t="s">
        <v>2094</v>
      </c>
      <c r="AB71" s="63">
        <v>91073607</v>
      </c>
      <c r="AC71" s="63" t="s">
        <v>4667</v>
      </c>
      <c r="AD71" s="57" t="str">
        <f>_xlfn.XLOOKUP(CONT_SUP[[#This Row],[StaffMemberCode]],StaffMembers!O:O,StaffMembers!R:R)</f>
        <v>Matthew Toft</v>
      </c>
      <c r="AE71" s="12" t="s">
        <v>1190</v>
      </c>
      <c r="AF71" s="66">
        <f>_xlfn.XLOOKUP(CONT_SUP[[#This Row],[SRG]],SRG[StaffRoleGroupCode],SRG[GrossSalaryFinanceCode])</f>
        <v>630100</v>
      </c>
      <c r="AG71" s="57" t="str">
        <f>_xlfn.XLOOKUP(CONT_SUP[[#This Row],[StaffRoleCode]],ROLES[StaffRoleCode],ROLES[StaffRoleGroupCode])</f>
        <v>CLE</v>
      </c>
      <c r="AH71" s="57" t="str">
        <f>_xlfn.XLOOKUP(CONT_SUP[[#This Row],[StaffRoleCode]],ROLES[StaffRoleCode],ROLES[PayScaleCode])</f>
        <v>NJC_CHE</v>
      </c>
      <c r="AI71" s="12" t="s">
        <v>3120</v>
      </c>
      <c r="AJ71" s="12">
        <v>2</v>
      </c>
      <c r="AK71" s="12" t="s">
        <v>2495</v>
      </c>
      <c r="AM71" s="68" t="s">
        <v>3132</v>
      </c>
      <c r="AN71" s="12" t="s">
        <v>1702</v>
      </c>
      <c r="AO71" s="21">
        <v>45901</v>
      </c>
      <c r="AQ71" s="12">
        <v>10</v>
      </c>
      <c r="AR71" t="b">
        <v>0</v>
      </c>
      <c r="AS71" t="b">
        <v>0</v>
      </c>
      <c r="AT71" s="12" t="s">
        <v>1574</v>
      </c>
    </row>
    <row r="72" spans="1:46" x14ac:dyDescent="0.3">
      <c r="A72" s="57" t="str">
        <f t="shared" si="2"/>
        <v>BLS9107353191073531ACLESPREM45901</v>
      </c>
      <c r="B72" s="57">
        <f>COUNTIF(CONT_SUP[Unique Contract],CONT_SUP[[#This Row],[Unique Contract]])-1</f>
        <v>0</v>
      </c>
      <c r="C72" s="57">
        <f>IFERROR(IF(FIND(CONT_SUP[[#This Row],[SchoolCode]],_xlfn.XLOOKUP(CONT_SUP[[#This Row],[StaffMemberCode]],MEMBERS[StaffMemberCode],MEMBERS[SchoolCodes]))&gt;0,0,1),1)</f>
        <v>0</v>
      </c>
      <c r="D72" s="57" cm="1">
        <f t="array" ref="D72">IF(_xlfn.XLOOKUP(CONT_SUP[[#This Row],[StaffRoleCode]],ROLES[StaffRoleCode],ROLES[AvailableToAllSchools],1,0,)=TRUE,0,IF(ISERROR(FIND(CONT_SUP[[#This Row],[SchoolCode]],_xlfn.TEXTJOIN(",",TRUE,_xlfn.UNIQUE(IF(ROLES[StaffRoleCode]=CONT_SUP[[#This Row],[StaffRoleCode]],ROLES[SchoolCodes],""))))),1,0))</f>
        <v>0</v>
      </c>
      <c r="E72" s="66" cm="1">
        <f t="array" ref="E7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72" s="57" cm="1">
        <f t="array" ref="F72">IF(_xlfn.XLOOKUP(CONT_SUP[[#This Row],[PayScaleCode]],PAYSCALES[PayScaleCode],PAYSCALES[AvailableToAllSchools],1,0,)=TRUE,0,IF(ISERROR(FIND(CONT_SUP[[#This Row],[SchoolCode]],_xlfn.TEXTJOIN(",",TRUE,_xlfn.UNIQUE(IF(PAYSCALES[PayScaleCode]=CONT_SUP[[#This Row],[PayScaleCode]],PAYSCALES[SchoolCodes],""))))),1,0))</f>
        <v>0</v>
      </c>
      <c r="G72" s="57">
        <f>IF(_xlfn.XLOOKUP(CONT_SUP[[#This Row],[PayScaleGradeCode]],GRADES[PayScaleGradeCode],GRADES[AvailableToAllSchools])=TRUE,0,IFERROR(IF(FIND(CONT_SUP[[#This Row],[SchoolCode]],_xlfn.XLOOKUP(CONT_SUP[[#This Row],[PayScaleGradeCode]],GRADES[PayScaleGradeCode],GRADES[SchoolCodes]))&gt;=1,0,1),1))</f>
        <v>0</v>
      </c>
      <c r="H72" s="66">
        <f>IF(ISERROR(IF((_xlfn.XLOOKUP(CONT_SUP[[#This Row],[PayScaleGradeCode]],GRADES[PayScaleGradeCode],GRADES[PayScaleCode])=CONT_SUP[[#This Row],[PayScaleCode]]),0,1)),1,0)</f>
        <v>0</v>
      </c>
      <c r="I72" s="66" cm="1">
        <f t="array" ref="I72">IF(ISERROR(FIND(CONT_SUP[[#This Row],[PayScalePointCode]],_xlfn.TEXTJOIN(",",TRUE,IF(PSPOINTS[PayScaleCode]=CONT_SUP[[#This Row],[PayScaleCode]],PSPOINTS[PayScalePointCode])))),1,0)</f>
        <v>0</v>
      </c>
      <c r="J72" s="57" cm="1">
        <f t="array" ref="J7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72" s="66">
        <f>IF(_xlfn.XLOOKUP(CONT_SUP[[#This Row],[PayScalePointCode]],PSPOINTS[PayScalePointCode],PSPOINTS[PayScalePointEnabled])=TRUE,0,1)</f>
        <v>0</v>
      </c>
      <c r="L72" s="57" cm="1">
        <f t="array" ref="L72">IF(_xlfn.XLOOKUP(CONT_SUP[[#This Row],[DepartmentCode]],DEPTS[DepartmentCode],DEPTS[AvailableToAllSchools],1,0,)=TRUE,0,IF(ISERROR(FIND(CONT_SUP[[#This Row],[SchoolCode]],_xlfn.TEXTJOIN(",",TRUE,_xlfn.UNIQUE(IF(DEPTS[DepartmentCode]=CONT_SUP[[#This Row],[DepartmentCode]],DEPTS[SchoolCodes],""))))),1,0))</f>
        <v>0</v>
      </c>
      <c r="M72" s="57">
        <f>IFERROR(IF(_xlfn.XLOOKUP(CONT_SUP[[#This Row],[SRG Gross]],FinanceCodesBudget[FinanceCode],FinanceCodesBudget[LedgerCode])=_xlfn.XLOOKUP(CONT_SUP[[#This Row],[DepartmentCode]],DEPTS[DepartmentCode],DEPTS[LedgerCode]),0,1),1)</f>
        <v>0</v>
      </c>
      <c r="N72" s="66" cm="1">
        <f t="array" ref="N72">IF(_xlfn.XLOOKUP(CONT_SUP[[#This Row],[PensionCode]],PENS[PensionCode],PENS[AvailableToAllSchools],1,0,)=TRUE,0,IF(ISERROR(FIND(CONT_SUP[[#This Row],[SchoolCode]],_xlfn.TEXTJOIN(",",TRUE,_xlfn.UNIQUE(IF(PENS[PensionCode]=CONT_SUP[[#This Row],[PensionCode]],PENS[SchoolCodes],""))))),1,0))</f>
        <v>0</v>
      </c>
      <c r="O72" s="66" cm="1">
        <f t="array" ref="O72">IF(_xlfn.XLOOKUP(CONT_SUP[[#This Row],[EquatedWeekPatternCode]],EQW[EquatedWeekPatternCode],EQW[AvailableToAllSchools],1,0,)=TRUE,0,IF(ISERROR(FIND(CONT_SUP[[#This Row],[SchoolCode]],_xlfn.TEXTJOIN(",",TRUE,_xlfn.UNIQUE(IF(EQW[EquatedWeekPatternCode]=CONT_SUP[[#This Row],[EquatedWeekPatternCode]],EQW[SchoolCodes],""))))),1,0))</f>
        <v>0</v>
      </c>
      <c r="P72" s="57">
        <f>1-COUNTIF(ContractTypes[Code],CONT_SUP[[#This Row],[ContractTypeCode]])</f>
        <v>0</v>
      </c>
      <c r="Q72" s="57">
        <f>IF(VLOOKUP(CONT_SUP[[#This Row],[StaffMemberCode]],MEMBERS[[StaffMemberCode]:[ServiceStartDate]],5,0)&gt;CONT_SUP[[#This Row],[DateFrom]],1,0)</f>
        <v>0</v>
      </c>
      <c r="R72" s="57">
        <f>IF(_xlfn.XLOOKUP(CONT_SUP[[#This Row],[StaffMemberCode]],MEMBERS[StaffMemberCode],MEMBERS[ServiceEndDate])="",0,IF(CONT_SUP[[#This Row],[DateTo]]="",1,IF(_xlfn.XLOOKUP(CONT_SUP[[#This Row],[StaffMemberCode]],MEMBERS[StaffMemberCode],MEMBERS[ServiceEndDate])&lt;CONT_SUP[[#This Row],[DateTo]],1,0)))</f>
        <v>0</v>
      </c>
      <c r="S72" s="57">
        <f>IF(ISBLANK(CONT_SUP[[#This Row],[DateTo]]),0,IF(CONT_SUP[[#This Row],[DateFrom]]=CONT_SUP[[#This Row],[DateTo]],0,IF(CONT_SUP[[#This Row],[DateFrom]]&lt;CONT_SUP[[#This Row],[DateTo]],0,1)))</f>
        <v>0</v>
      </c>
      <c r="T72" s="57" cm="1">
        <f t="array" aca="1" ref="T72" ca="1">IF(CELL("format",CONT_SUP[[#This Row],[DateFrom]])="D1",0,1)+IF(CELL("format",CONT_SUP[[#This Row],[DateTo]])="D1",0,1)</f>
        <v>0</v>
      </c>
      <c r="U72" s="57">
        <f>IF(OR(CONT_SUP[[#This Row],[MatEditOnly]]=TRUE,CONT_SUP[[#This Row],[MatEditOnly]]=FALSE),IF(OR(CONT_SUP[[#This Row],[NoIncrement]]=TRUE,CONT_SUP[[#This Row],[NoIncrement]]=FALSE),0,1),1)</f>
        <v>0</v>
      </c>
      <c r="V72" s="57">
        <f>IF(ISBLANK(CONT_SUP[[#This Row],[FundCode]])=TRUE,0,IF(COUNTIF(FUNDS[FundCode],CONT_SUP[[#This Row],[FundCode]])=1,0,1))</f>
        <v>0</v>
      </c>
      <c r="W72" s="57">
        <f>IF(LEN(CONT_SUP[[#This Row],[Notes]])&lt;4000,0,1)</f>
        <v>0</v>
      </c>
      <c r="X72" s="57">
        <f>IF(SUBSTITUTE(TEXT(CONT_SUP[[#This Row],[Reference]],10)," ","")=TEXT(CONT_SUP[[#This Row],[Reference]],10),0,1)</f>
        <v>0</v>
      </c>
      <c r="Y72" s="57">
        <f ca="1">SUM(CONT_SUP[[#This Row],[Duplicate Contract]:[Space in Code]])</f>
        <v>0</v>
      </c>
      <c r="AA72" s="12" t="s">
        <v>2094</v>
      </c>
      <c r="AB72" s="63">
        <v>91073531</v>
      </c>
      <c r="AC72" s="63" t="s">
        <v>4668</v>
      </c>
      <c r="AD72" s="57" t="str">
        <f>_xlfn.XLOOKUP(CONT_SUP[[#This Row],[StaffMemberCode]],StaffMembers!O:O,StaffMembers!R:R)</f>
        <v>Nicholas Pridmore</v>
      </c>
      <c r="AE72" s="12" t="s">
        <v>1190</v>
      </c>
      <c r="AF72" s="66">
        <f>_xlfn.XLOOKUP(CONT_SUP[[#This Row],[SRG]],SRG[StaffRoleGroupCode],SRG[GrossSalaryFinanceCode])</f>
        <v>630100</v>
      </c>
      <c r="AG72" s="57" t="str">
        <f>_xlfn.XLOOKUP(CONT_SUP[[#This Row],[StaffRoleCode]],ROLES[StaffRoleCode],ROLES[StaffRoleGroupCode])</f>
        <v>CLE</v>
      </c>
      <c r="AH72" s="57" t="str">
        <f>_xlfn.XLOOKUP(CONT_SUP[[#This Row],[StaffRoleCode]],ROLES[StaffRoleCode],ROLES[PayScaleCode])</f>
        <v>NJC_CHE</v>
      </c>
      <c r="AI72" s="12" t="s">
        <v>3120</v>
      </c>
      <c r="AJ72" s="12">
        <v>2</v>
      </c>
      <c r="AK72" s="12" t="s">
        <v>2495</v>
      </c>
      <c r="AM72" s="68" t="s">
        <v>3132</v>
      </c>
      <c r="AN72" s="12" t="s">
        <v>3137</v>
      </c>
      <c r="AO72" s="21">
        <v>45901</v>
      </c>
      <c r="AQ72" s="12">
        <v>37</v>
      </c>
      <c r="AR72" t="b">
        <v>0</v>
      </c>
      <c r="AS72" t="b">
        <v>0</v>
      </c>
      <c r="AT72" s="12" t="s">
        <v>1574</v>
      </c>
    </row>
    <row r="73" spans="1:46" x14ac:dyDescent="0.3">
      <c r="A73" s="57" t="str">
        <f t="shared" si="2"/>
        <v>ALS9185000691850006BCLESPREM45901</v>
      </c>
      <c r="B73" s="57">
        <f>COUNTIF(CONT_SUP[Unique Contract],CONT_SUP[[#This Row],[Unique Contract]])-1</f>
        <v>0</v>
      </c>
      <c r="C73" s="57">
        <f>IFERROR(IF(FIND(CONT_SUP[[#This Row],[SchoolCode]],_xlfn.XLOOKUP(CONT_SUP[[#This Row],[StaffMemberCode]],MEMBERS[StaffMemberCode],MEMBERS[SchoolCodes]))&gt;0,0,1),1)</f>
        <v>0</v>
      </c>
      <c r="D73" s="57" cm="1">
        <f t="array" ref="D73">IF(_xlfn.XLOOKUP(CONT_SUP[[#This Row],[StaffRoleCode]],ROLES[StaffRoleCode],ROLES[AvailableToAllSchools],1,0,)=TRUE,0,IF(ISERROR(FIND(CONT_SUP[[#This Row],[SchoolCode]],_xlfn.TEXTJOIN(",",TRUE,_xlfn.UNIQUE(IF(ROLES[StaffRoleCode]=CONT_SUP[[#This Row],[StaffRoleCode]],ROLES[SchoolCodes],""))))),1,0))</f>
        <v>0</v>
      </c>
      <c r="E73" s="66" cm="1">
        <f t="array" ref="E7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73" s="57" cm="1">
        <f t="array" ref="F73">IF(_xlfn.XLOOKUP(CONT_SUP[[#This Row],[PayScaleCode]],PAYSCALES[PayScaleCode],PAYSCALES[AvailableToAllSchools],1,0,)=TRUE,0,IF(ISERROR(FIND(CONT_SUP[[#This Row],[SchoolCode]],_xlfn.TEXTJOIN(",",TRUE,_xlfn.UNIQUE(IF(PAYSCALES[PayScaleCode]=CONT_SUP[[#This Row],[PayScaleCode]],PAYSCALES[SchoolCodes],""))))),1,0))</f>
        <v>0</v>
      </c>
      <c r="G73" s="57">
        <f>IF(_xlfn.XLOOKUP(CONT_SUP[[#This Row],[PayScaleGradeCode]],GRADES[PayScaleGradeCode],GRADES[AvailableToAllSchools])=TRUE,0,IFERROR(IF(FIND(CONT_SUP[[#This Row],[SchoolCode]],_xlfn.XLOOKUP(CONT_SUP[[#This Row],[PayScaleGradeCode]],GRADES[PayScaleGradeCode],GRADES[SchoolCodes]))&gt;=1,0,1),1))</f>
        <v>0</v>
      </c>
      <c r="H73" s="66">
        <f>IF(ISERROR(IF((_xlfn.XLOOKUP(CONT_SUP[[#This Row],[PayScaleGradeCode]],GRADES[PayScaleGradeCode],GRADES[PayScaleCode])=CONT_SUP[[#This Row],[PayScaleCode]]),0,1)),1,0)</f>
        <v>0</v>
      </c>
      <c r="I73" s="66" cm="1">
        <f t="array" ref="I73">IF(ISERROR(FIND(CONT_SUP[[#This Row],[PayScalePointCode]],_xlfn.TEXTJOIN(",",TRUE,IF(PSPOINTS[PayScaleCode]=CONT_SUP[[#This Row],[PayScaleCode]],PSPOINTS[PayScalePointCode])))),1,0)</f>
        <v>0</v>
      </c>
      <c r="J73" s="57" cm="1">
        <f t="array" ref="J7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73" s="66">
        <f>IF(_xlfn.XLOOKUP(CONT_SUP[[#This Row],[PayScalePointCode]],PSPOINTS[PayScalePointCode],PSPOINTS[PayScalePointEnabled])=TRUE,0,1)</f>
        <v>0</v>
      </c>
      <c r="L73" s="57" cm="1">
        <f t="array" ref="L73">IF(_xlfn.XLOOKUP(CONT_SUP[[#This Row],[DepartmentCode]],DEPTS[DepartmentCode],DEPTS[AvailableToAllSchools],1,0,)=TRUE,0,IF(ISERROR(FIND(CONT_SUP[[#This Row],[SchoolCode]],_xlfn.TEXTJOIN(",",TRUE,_xlfn.UNIQUE(IF(DEPTS[DepartmentCode]=CONT_SUP[[#This Row],[DepartmentCode]],DEPTS[SchoolCodes],""))))),1,0))</f>
        <v>0</v>
      </c>
      <c r="M73" s="57">
        <f>IFERROR(IF(_xlfn.XLOOKUP(CONT_SUP[[#This Row],[SRG Gross]],FinanceCodesBudget[FinanceCode],FinanceCodesBudget[LedgerCode])=_xlfn.XLOOKUP(CONT_SUP[[#This Row],[DepartmentCode]],DEPTS[DepartmentCode],DEPTS[LedgerCode]),0,1),1)</f>
        <v>0</v>
      </c>
      <c r="N73" s="66" cm="1">
        <f t="array" ref="N73">IF(_xlfn.XLOOKUP(CONT_SUP[[#This Row],[PensionCode]],PENS[PensionCode],PENS[AvailableToAllSchools],1,0,)=TRUE,0,IF(ISERROR(FIND(CONT_SUP[[#This Row],[SchoolCode]],_xlfn.TEXTJOIN(",",TRUE,_xlfn.UNIQUE(IF(PENS[PensionCode]=CONT_SUP[[#This Row],[PensionCode]],PENS[SchoolCodes],""))))),1,0))</f>
        <v>0</v>
      </c>
      <c r="O73" s="66" cm="1">
        <f t="array" ref="O73">IF(_xlfn.XLOOKUP(CONT_SUP[[#This Row],[EquatedWeekPatternCode]],EQW[EquatedWeekPatternCode],EQW[AvailableToAllSchools],1,0,)=TRUE,0,IF(ISERROR(FIND(CONT_SUP[[#This Row],[SchoolCode]],_xlfn.TEXTJOIN(",",TRUE,_xlfn.UNIQUE(IF(EQW[EquatedWeekPatternCode]=CONT_SUP[[#This Row],[EquatedWeekPatternCode]],EQW[SchoolCodes],""))))),1,0))</f>
        <v>0</v>
      </c>
      <c r="P73" s="57">
        <f>1-COUNTIF(ContractTypes[Code],CONT_SUP[[#This Row],[ContractTypeCode]])</f>
        <v>0</v>
      </c>
      <c r="Q73" s="57">
        <f>IF(VLOOKUP(CONT_SUP[[#This Row],[StaffMemberCode]],MEMBERS[[StaffMemberCode]:[ServiceStartDate]],5,0)&gt;CONT_SUP[[#This Row],[DateFrom]],1,0)</f>
        <v>0</v>
      </c>
      <c r="R73" s="57">
        <f>IF(_xlfn.XLOOKUP(CONT_SUP[[#This Row],[StaffMemberCode]],MEMBERS[StaffMemberCode],MEMBERS[ServiceEndDate])="",0,IF(CONT_SUP[[#This Row],[DateTo]]="",1,IF(_xlfn.XLOOKUP(CONT_SUP[[#This Row],[StaffMemberCode]],MEMBERS[StaffMemberCode],MEMBERS[ServiceEndDate])&lt;CONT_SUP[[#This Row],[DateTo]],1,0)))</f>
        <v>0</v>
      </c>
      <c r="S73" s="57">
        <f>IF(ISBLANK(CONT_SUP[[#This Row],[DateTo]]),0,IF(CONT_SUP[[#This Row],[DateFrom]]=CONT_SUP[[#This Row],[DateTo]],0,IF(CONT_SUP[[#This Row],[DateFrom]]&lt;CONT_SUP[[#This Row],[DateTo]],0,1)))</f>
        <v>0</v>
      </c>
      <c r="T73" s="57" cm="1">
        <f t="array" aca="1" ref="T73" ca="1">IF(CELL("format",CONT_SUP[[#This Row],[DateFrom]])="D1",0,1)+IF(CELL("format",CONT_SUP[[#This Row],[DateTo]])="D1",0,1)</f>
        <v>0</v>
      </c>
      <c r="U73" s="57">
        <f>IF(OR(CONT_SUP[[#This Row],[MatEditOnly]]=TRUE,CONT_SUP[[#This Row],[MatEditOnly]]=FALSE),IF(OR(CONT_SUP[[#This Row],[NoIncrement]]=TRUE,CONT_SUP[[#This Row],[NoIncrement]]=FALSE),0,1),1)</f>
        <v>0</v>
      </c>
      <c r="V73" s="57">
        <f>IF(ISBLANK(CONT_SUP[[#This Row],[FundCode]])=TRUE,0,IF(COUNTIF(FUNDS[FundCode],CONT_SUP[[#This Row],[FundCode]])=1,0,1))</f>
        <v>0</v>
      </c>
      <c r="W73" s="57">
        <f>IF(LEN(CONT_SUP[[#This Row],[Notes]])&lt;4000,0,1)</f>
        <v>0</v>
      </c>
      <c r="X73" s="57">
        <f>IF(SUBSTITUTE(TEXT(CONT_SUP[[#This Row],[Reference]],10)," ","")=TEXT(CONT_SUP[[#This Row],[Reference]],10),0,1)</f>
        <v>0</v>
      </c>
      <c r="Y73" s="57">
        <f ca="1">SUM(CONT_SUP[[#This Row],[Duplicate Contract]:[Space in Code]])</f>
        <v>0</v>
      </c>
      <c r="AA73" s="12" t="s">
        <v>2082</v>
      </c>
      <c r="AB73" s="63">
        <v>91850006</v>
      </c>
      <c r="AC73" s="63" t="s">
        <v>4669</v>
      </c>
      <c r="AD73" s="57" t="str">
        <f>_xlfn.XLOOKUP(CONT_SUP[[#This Row],[StaffMemberCode]],StaffMembers!O:O,StaffMembers!R:R)</f>
        <v>Paige Lockley</v>
      </c>
      <c r="AE73" s="12" t="s">
        <v>1190</v>
      </c>
      <c r="AF73" s="66">
        <f>_xlfn.XLOOKUP(CONT_SUP[[#This Row],[SRG]],SRG[StaffRoleGroupCode],SRG[GrossSalaryFinanceCode])</f>
        <v>630100</v>
      </c>
      <c r="AG73" s="57" t="str">
        <f>_xlfn.XLOOKUP(CONT_SUP[[#This Row],[StaffRoleCode]],ROLES[StaffRoleCode],ROLES[StaffRoleGroupCode])</f>
        <v>CLE</v>
      </c>
      <c r="AH73" s="57" t="str">
        <f>_xlfn.XLOOKUP(CONT_SUP[[#This Row],[StaffRoleCode]],ROLES[StaffRoleCode],ROLES[PayScaleCode])</f>
        <v>NJC_CHE</v>
      </c>
      <c r="AI73" s="12" t="s">
        <v>3120</v>
      </c>
      <c r="AJ73" s="12">
        <v>2</v>
      </c>
      <c r="AK73" s="12" t="s">
        <v>2495</v>
      </c>
      <c r="AM73" s="68" t="s">
        <v>3132</v>
      </c>
      <c r="AN73" s="12" t="s">
        <v>3145</v>
      </c>
      <c r="AO73" s="21">
        <v>45901</v>
      </c>
      <c r="AQ73" s="12">
        <v>10</v>
      </c>
      <c r="AR73" t="b">
        <v>0</v>
      </c>
      <c r="AS73" t="b">
        <v>0</v>
      </c>
      <c r="AT73" s="12" t="s">
        <v>1574</v>
      </c>
    </row>
    <row r="74" spans="1:46" x14ac:dyDescent="0.3">
      <c r="A74" s="57" t="str">
        <f t="shared" si="2"/>
        <v>WVP9107341691073416BCLESPREM45901</v>
      </c>
      <c r="B74" s="57">
        <f>COUNTIF(CONT_SUP[Unique Contract],CONT_SUP[[#This Row],[Unique Contract]])-1</f>
        <v>0</v>
      </c>
      <c r="C74" s="57">
        <f>IFERROR(IF(FIND(CONT_SUP[[#This Row],[SchoolCode]],_xlfn.XLOOKUP(CONT_SUP[[#This Row],[StaffMemberCode]],MEMBERS[StaffMemberCode],MEMBERS[SchoolCodes]))&gt;0,0,1),1)</f>
        <v>0</v>
      </c>
      <c r="D74" s="57" cm="1">
        <f t="array" ref="D74">IF(_xlfn.XLOOKUP(CONT_SUP[[#This Row],[StaffRoleCode]],ROLES[StaffRoleCode],ROLES[AvailableToAllSchools],1,0,)=TRUE,0,IF(ISERROR(FIND(CONT_SUP[[#This Row],[SchoolCode]],_xlfn.TEXTJOIN(",",TRUE,_xlfn.UNIQUE(IF(ROLES[StaffRoleCode]=CONT_SUP[[#This Row],[StaffRoleCode]],ROLES[SchoolCodes],""))))),1,0))</f>
        <v>0</v>
      </c>
      <c r="E74" s="66" cm="1">
        <f t="array" ref="E7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74" s="57" cm="1">
        <f t="array" ref="F74">IF(_xlfn.XLOOKUP(CONT_SUP[[#This Row],[PayScaleCode]],PAYSCALES[PayScaleCode],PAYSCALES[AvailableToAllSchools],1,0,)=TRUE,0,IF(ISERROR(FIND(CONT_SUP[[#This Row],[SchoolCode]],_xlfn.TEXTJOIN(",",TRUE,_xlfn.UNIQUE(IF(PAYSCALES[PayScaleCode]=CONT_SUP[[#This Row],[PayScaleCode]],PAYSCALES[SchoolCodes],""))))),1,0))</f>
        <v>0</v>
      </c>
      <c r="G74" s="57">
        <f>IF(_xlfn.XLOOKUP(CONT_SUP[[#This Row],[PayScaleGradeCode]],GRADES[PayScaleGradeCode],GRADES[AvailableToAllSchools])=TRUE,0,IFERROR(IF(FIND(CONT_SUP[[#This Row],[SchoolCode]],_xlfn.XLOOKUP(CONT_SUP[[#This Row],[PayScaleGradeCode]],GRADES[PayScaleGradeCode],GRADES[SchoolCodes]))&gt;=1,0,1),1))</f>
        <v>0</v>
      </c>
      <c r="H74" s="66">
        <f>IF(ISERROR(IF((_xlfn.XLOOKUP(CONT_SUP[[#This Row],[PayScaleGradeCode]],GRADES[PayScaleGradeCode],GRADES[PayScaleCode])=CONT_SUP[[#This Row],[PayScaleCode]]),0,1)),1,0)</f>
        <v>0</v>
      </c>
      <c r="I74" s="66" cm="1">
        <f t="array" ref="I74">IF(ISERROR(FIND(CONT_SUP[[#This Row],[PayScalePointCode]],_xlfn.TEXTJOIN(",",TRUE,IF(PSPOINTS[PayScaleCode]=CONT_SUP[[#This Row],[PayScaleCode]],PSPOINTS[PayScalePointCode])))),1,0)</f>
        <v>0</v>
      </c>
      <c r="J74" s="57" cm="1">
        <f t="array" ref="J7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74" s="66">
        <f>IF(_xlfn.XLOOKUP(CONT_SUP[[#This Row],[PayScalePointCode]],PSPOINTS[PayScalePointCode],PSPOINTS[PayScalePointEnabled])=TRUE,0,1)</f>
        <v>0</v>
      </c>
      <c r="L74" s="57" cm="1">
        <f t="array" ref="L74">IF(_xlfn.XLOOKUP(CONT_SUP[[#This Row],[DepartmentCode]],DEPTS[DepartmentCode],DEPTS[AvailableToAllSchools],1,0,)=TRUE,0,IF(ISERROR(FIND(CONT_SUP[[#This Row],[SchoolCode]],_xlfn.TEXTJOIN(",",TRUE,_xlfn.UNIQUE(IF(DEPTS[DepartmentCode]=CONT_SUP[[#This Row],[DepartmentCode]],DEPTS[SchoolCodes],""))))),1,0))</f>
        <v>0</v>
      </c>
      <c r="M74" s="57">
        <f>IFERROR(IF(_xlfn.XLOOKUP(CONT_SUP[[#This Row],[SRG Gross]],FinanceCodesBudget[FinanceCode],FinanceCodesBudget[LedgerCode])=_xlfn.XLOOKUP(CONT_SUP[[#This Row],[DepartmentCode]],DEPTS[DepartmentCode],DEPTS[LedgerCode]),0,1),1)</f>
        <v>0</v>
      </c>
      <c r="N74" s="66" cm="1">
        <f t="array" ref="N74">IF(_xlfn.XLOOKUP(CONT_SUP[[#This Row],[PensionCode]],PENS[PensionCode],PENS[AvailableToAllSchools],1,0,)=TRUE,0,IF(ISERROR(FIND(CONT_SUP[[#This Row],[SchoolCode]],_xlfn.TEXTJOIN(",",TRUE,_xlfn.UNIQUE(IF(PENS[PensionCode]=CONT_SUP[[#This Row],[PensionCode]],PENS[SchoolCodes],""))))),1,0))</f>
        <v>0</v>
      </c>
      <c r="O74" s="66" cm="1">
        <f t="array" ref="O74">IF(_xlfn.XLOOKUP(CONT_SUP[[#This Row],[EquatedWeekPatternCode]],EQW[EquatedWeekPatternCode],EQW[AvailableToAllSchools],1,0,)=TRUE,0,IF(ISERROR(FIND(CONT_SUP[[#This Row],[SchoolCode]],_xlfn.TEXTJOIN(",",TRUE,_xlfn.UNIQUE(IF(EQW[EquatedWeekPatternCode]=CONT_SUP[[#This Row],[EquatedWeekPatternCode]],EQW[SchoolCodes],""))))),1,0))</f>
        <v>0</v>
      </c>
      <c r="P74" s="57">
        <f>1-COUNTIF(ContractTypes[Code],CONT_SUP[[#This Row],[ContractTypeCode]])</f>
        <v>0</v>
      </c>
      <c r="Q74" s="57">
        <f>IF(VLOOKUP(CONT_SUP[[#This Row],[StaffMemberCode]],MEMBERS[[StaffMemberCode]:[ServiceStartDate]],5,0)&gt;CONT_SUP[[#This Row],[DateFrom]],1,0)</f>
        <v>0</v>
      </c>
      <c r="R74" s="57">
        <f>IF(_xlfn.XLOOKUP(CONT_SUP[[#This Row],[StaffMemberCode]],MEMBERS[StaffMemberCode],MEMBERS[ServiceEndDate])="",0,IF(CONT_SUP[[#This Row],[DateTo]]="",1,IF(_xlfn.XLOOKUP(CONT_SUP[[#This Row],[StaffMemberCode]],MEMBERS[StaffMemberCode],MEMBERS[ServiceEndDate])&lt;CONT_SUP[[#This Row],[DateTo]],1,0)))</f>
        <v>0</v>
      </c>
      <c r="S74" s="57">
        <f>IF(ISBLANK(CONT_SUP[[#This Row],[DateTo]]),0,IF(CONT_SUP[[#This Row],[DateFrom]]=CONT_SUP[[#This Row],[DateTo]],0,IF(CONT_SUP[[#This Row],[DateFrom]]&lt;CONT_SUP[[#This Row],[DateTo]],0,1)))</f>
        <v>0</v>
      </c>
      <c r="T74" s="57" cm="1">
        <f t="array" aca="1" ref="T74" ca="1">IF(CELL("format",CONT_SUP[[#This Row],[DateFrom]])="D1",0,1)+IF(CELL("format",CONT_SUP[[#This Row],[DateTo]])="D1",0,1)</f>
        <v>0</v>
      </c>
      <c r="U74" s="57">
        <f>IF(OR(CONT_SUP[[#This Row],[MatEditOnly]]=TRUE,CONT_SUP[[#This Row],[MatEditOnly]]=FALSE),IF(OR(CONT_SUP[[#This Row],[NoIncrement]]=TRUE,CONT_SUP[[#This Row],[NoIncrement]]=FALSE),0,1),1)</f>
        <v>0</v>
      </c>
      <c r="V74" s="57">
        <f>IF(ISBLANK(CONT_SUP[[#This Row],[FundCode]])=TRUE,0,IF(COUNTIF(FUNDS[FundCode],CONT_SUP[[#This Row],[FundCode]])=1,0,1))</f>
        <v>0</v>
      </c>
      <c r="W74" s="57">
        <f>IF(LEN(CONT_SUP[[#This Row],[Notes]])&lt;4000,0,1)</f>
        <v>0</v>
      </c>
      <c r="X74" s="57">
        <f>IF(SUBSTITUTE(TEXT(CONT_SUP[[#This Row],[Reference]],10)," ","")=TEXT(CONT_SUP[[#This Row],[Reference]],10),0,1)</f>
        <v>0</v>
      </c>
      <c r="Y74" s="57">
        <f ca="1">SUM(CONT_SUP[[#This Row],[Duplicate Contract]:[Space in Code]])</f>
        <v>0</v>
      </c>
      <c r="AA74" s="12" t="s">
        <v>2275</v>
      </c>
      <c r="AB74" s="63">
        <v>91073416</v>
      </c>
      <c r="AC74" s="63" t="s">
        <v>4670</v>
      </c>
      <c r="AD74" s="57" t="str">
        <f>_xlfn.XLOOKUP(CONT_SUP[[#This Row],[StaffMemberCode]],StaffMembers!O:O,StaffMembers!R:R)</f>
        <v>Philippa Dembski</v>
      </c>
      <c r="AE74" s="12" t="s">
        <v>1190</v>
      </c>
      <c r="AF74" s="66">
        <f>_xlfn.XLOOKUP(CONT_SUP[[#This Row],[SRG]],SRG[StaffRoleGroupCode],SRG[GrossSalaryFinanceCode])</f>
        <v>630100</v>
      </c>
      <c r="AG74" s="57" t="str">
        <f>_xlfn.XLOOKUP(CONT_SUP[[#This Row],[StaffRoleCode]],ROLES[StaffRoleCode],ROLES[StaffRoleGroupCode])</f>
        <v>CLE</v>
      </c>
      <c r="AH74" s="57" t="str">
        <f>_xlfn.XLOOKUP(CONT_SUP[[#This Row],[StaffRoleCode]],ROLES[StaffRoleCode],ROLES[PayScaleCode])</f>
        <v>NJC_CHE</v>
      </c>
      <c r="AI74" s="12" t="s">
        <v>3120</v>
      </c>
      <c r="AJ74" s="12">
        <v>2</v>
      </c>
      <c r="AK74" s="12" t="s">
        <v>2495</v>
      </c>
      <c r="AM74" s="68" t="s">
        <v>3132</v>
      </c>
      <c r="AN74" s="12" t="s">
        <v>3137</v>
      </c>
      <c r="AO74" s="21">
        <v>45901</v>
      </c>
      <c r="AQ74" s="12">
        <v>10</v>
      </c>
      <c r="AR74" t="b">
        <v>0</v>
      </c>
      <c r="AS74" t="b">
        <v>0</v>
      </c>
      <c r="AT74" s="12" t="s">
        <v>1574</v>
      </c>
    </row>
    <row r="75" spans="1:46" x14ac:dyDescent="0.3">
      <c r="A75" s="57" t="str">
        <f t="shared" si="2"/>
        <v>BLS9107349991073499ACLESPREM45901</v>
      </c>
      <c r="B75" s="57">
        <f>COUNTIF(CONT_SUP[Unique Contract],CONT_SUP[[#This Row],[Unique Contract]])-1</f>
        <v>0</v>
      </c>
      <c r="C75" s="57">
        <f>IFERROR(IF(FIND(CONT_SUP[[#This Row],[SchoolCode]],_xlfn.XLOOKUP(CONT_SUP[[#This Row],[StaffMemberCode]],MEMBERS[StaffMemberCode],MEMBERS[SchoolCodes]))&gt;0,0,1),1)</f>
        <v>0</v>
      </c>
      <c r="D75" s="57" cm="1">
        <f t="array" ref="D75">IF(_xlfn.XLOOKUP(CONT_SUP[[#This Row],[StaffRoleCode]],ROLES[StaffRoleCode],ROLES[AvailableToAllSchools],1,0,)=TRUE,0,IF(ISERROR(FIND(CONT_SUP[[#This Row],[SchoolCode]],_xlfn.TEXTJOIN(",",TRUE,_xlfn.UNIQUE(IF(ROLES[StaffRoleCode]=CONT_SUP[[#This Row],[StaffRoleCode]],ROLES[SchoolCodes],""))))),1,0))</f>
        <v>0</v>
      </c>
      <c r="E75" s="66" cm="1">
        <f t="array" ref="E7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75" s="57" cm="1">
        <f t="array" ref="F75">IF(_xlfn.XLOOKUP(CONT_SUP[[#This Row],[PayScaleCode]],PAYSCALES[PayScaleCode],PAYSCALES[AvailableToAllSchools],1,0,)=TRUE,0,IF(ISERROR(FIND(CONT_SUP[[#This Row],[SchoolCode]],_xlfn.TEXTJOIN(",",TRUE,_xlfn.UNIQUE(IF(PAYSCALES[PayScaleCode]=CONT_SUP[[#This Row],[PayScaleCode]],PAYSCALES[SchoolCodes],""))))),1,0))</f>
        <v>0</v>
      </c>
      <c r="G75" s="57">
        <f>IF(_xlfn.XLOOKUP(CONT_SUP[[#This Row],[PayScaleGradeCode]],GRADES[PayScaleGradeCode],GRADES[AvailableToAllSchools])=TRUE,0,IFERROR(IF(FIND(CONT_SUP[[#This Row],[SchoolCode]],_xlfn.XLOOKUP(CONT_SUP[[#This Row],[PayScaleGradeCode]],GRADES[PayScaleGradeCode],GRADES[SchoolCodes]))&gt;=1,0,1),1))</f>
        <v>0</v>
      </c>
      <c r="H75" s="66">
        <f>IF(ISERROR(IF((_xlfn.XLOOKUP(CONT_SUP[[#This Row],[PayScaleGradeCode]],GRADES[PayScaleGradeCode],GRADES[PayScaleCode])=CONT_SUP[[#This Row],[PayScaleCode]]),0,1)),1,0)</f>
        <v>0</v>
      </c>
      <c r="I75" s="66" cm="1">
        <f t="array" ref="I75">IF(ISERROR(FIND(CONT_SUP[[#This Row],[PayScalePointCode]],_xlfn.TEXTJOIN(",",TRUE,IF(PSPOINTS[PayScaleCode]=CONT_SUP[[#This Row],[PayScaleCode]],PSPOINTS[PayScalePointCode])))),1,0)</f>
        <v>0</v>
      </c>
      <c r="J75" s="57" cm="1">
        <f t="array" ref="J7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75" s="66">
        <f>IF(_xlfn.XLOOKUP(CONT_SUP[[#This Row],[PayScalePointCode]],PSPOINTS[PayScalePointCode],PSPOINTS[PayScalePointEnabled])=TRUE,0,1)</f>
        <v>0</v>
      </c>
      <c r="L75" s="57" cm="1">
        <f t="array" ref="L75">IF(_xlfn.XLOOKUP(CONT_SUP[[#This Row],[DepartmentCode]],DEPTS[DepartmentCode],DEPTS[AvailableToAllSchools],1,0,)=TRUE,0,IF(ISERROR(FIND(CONT_SUP[[#This Row],[SchoolCode]],_xlfn.TEXTJOIN(",",TRUE,_xlfn.UNIQUE(IF(DEPTS[DepartmentCode]=CONT_SUP[[#This Row],[DepartmentCode]],DEPTS[SchoolCodes],""))))),1,0))</f>
        <v>0</v>
      </c>
      <c r="M75" s="57">
        <f>IFERROR(IF(_xlfn.XLOOKUP(CONT_SUP[[#This Row],[SRG Gross]],FinanceCodesBudget[FinanceCode],FinanceCodesBudget[LedgerCode])=_xlfn.XLOOKUP(CONT_SUP[[#This Row],[DepartmentCode]],DEPTS[DepartmentCode],DEPTS[LedgerCode]),0,1),1)</f>
        <v>0</v>
      </c>
      <c r="N75" s="66" cm="1">
        <f t="array" ref="N75">IF(_xlfn.XLOOKUP(CONT_SUP[[#This Row],[PensionCode]],PENS[PensionCode],PENS[AvailableToAllSchools],1,0,)=TRUE,0,IF(ISERROR(FIND(CONT_SUP[[#This Row],[SchoolCode]],_xlfn.TEXTJOIN(",",TRUE,_xlfn.UNIQUE(IF(PENS[PensionCode]=CONT_SUP[[#This Row],[PensionCode]],PENS[SchoolCodes],""))))),1,0))</f>
        <v>0</v>
      </c>
      <c r="O75" s="66" cm="1">
        <f t="array" ref="O75">IF(_xlfn.XLOOKUP(CONT_SUP[[#This Row],[EquatedWeekPatternCode]],EQW[EquatedWeekPatternCode],EQW[AvailableToAllSchools],1,0,)=TRUE,0,IF(ISERROR(FIND(CONT_SUP[[#This Row],[SchoolCode]],_xlfn.TEXTJOIN(",",TRUE,_xlfn.UNIQUE(IF(EQW[EquatedWeekPatternCode]=CONT_SUP[[#This Row],[EquatedWeekPatternCode]],EQW[SchoolCodes],""))))),1,0))</f>
        <v>0</v>
      </c>
      <c r="P75" s="57">
        <f>1-COUNTIF(ContractTypes[Code],CONT_SUP[[#This Row],[ContractTypeCode]])</f>
        <v>0</v>
      </c>
      <c r="Q75" s="57">
        <f>IF(VLOOKUP(CONT_SUP[[#This Row],[StaffMemberCode]],MEMBERS[[StaffMemberCode]:[ServiceStartDate]],5,0)&gt;CONT_SUP[[#This Row],[DateFrom]],1,0)</f>
        <v>0</v>
      </c>
      <c r="R75" s="57">
        <f>IF(_xlfn.XLOOKUP(CONT_SUP[[#This Row],[StaffMemberCode]],MEMBERS[StaffMemberCode],MEMBERS[ServiceEndDate])="",0,IF(CONT_SUP[[#This Row],[DateTo]]="",1,IF(_xlfn.XLOOKUP(CONT_SUP[[#This Row],[StaffMemberCode]],MEMBERS[StaffMemberCode],MEMBERS[ServiceEndDate])&lt;CONT_SUP[[#This Row],[DateTo]],1,0)))</f>
        <v>0</v>
      </c>
      <c r="S75" s="57">
        <f>IF(ISBLANK(CONT_SUP[[#This Row],[DateTo]]),0,IF(CONT_SUP[[#This Row],[DateFrom]]=CONT_SUP[[#This Row],[DateTo]],0,IF(CONT_SUP[[#This Row],[DateFrom]]&lt;CONT_SUP[[#This Row],[DateTo]],0,1)))</f>
        <v>0</v>
      </c>
      <c r="T75" s="57" cm="1">
        <f t="array" aca="1" ref="T75" ca="1">IF(CELL("format",CONT_SUP[[#This Row],[DateFrom]])="D1",0,1)+IF(CELL("format",CONT_SUP[[#This Row],[DateTo]])="D1",0,1)</f>
        <v>0</v>
      </c>
      <c r="U75" s="57">
        <f>IF(OR(CONT_SUP[[#This Row],[MatEditOnly]]=TRUE,CONT_SUP[[#This Row],[MatEditOnly]]=FALSE),IF(OR(CONT_SUP[[#This Row],[NoIncrement]]=TRUE,CONT_SUP[[#This Row],[NoIncrement]]=FALSE),0,1),1)</f>
        <v>0</v>
      </c>
      <c r="V75" s="57">
        <f>IF(ISBLANK(CONT_SUP[[#This Row],[FundCode]])=TRUE,0,IF(COUNTIF(FUNDS[FundCode],CONT_SUP[[#This Row],[FundCode]])=1,0,1))</f>
        <v>0</v>
      </c>
      <c r="W75" s="57">
        <f>IF(LEN(CONT_SUP[[#This Row],[Notes]])&lt;4000,0,1)</f>
        <v>0</v>
      </c>
      <c r="X75" s="57">
        <f>IF(SUBSTITUTE(TEXT(CONT_SUP[[#This Row],[Reference]],10)," ","")=TEXT(CONT_SUP[[#This Row],[Reference]],10),0,1)</f>
        <v>0</v>
      </c>
      <c r="Y75" s="57">
        <f ca="1">SUM(CONT_SUP[[#This Row],[Duplicate Contract]:[Space in Code]])</f>
        <v>0</v>
      </c>
      <c r="AA75" s="12" t="s">
        <v>2094</v>
      </c>
      <c r="AB75" s="63">
        <v>91073499</v>
      </c>
      <c r="AC75" s="63" t="s">
        <v>4671</v>
      </c>
      <c r="AD75" s="57" t="str">
        <f>_xlfn.XLOOKUP(CONT_SUP[[#This Row],[StaffMemberCode]],StaffMembers!O:O,StaffMembers!R:R)</f>
        <v>Richard Pepper</v>
      </c>
      <c r="AE75" s="12" t="s">
        <v>1190</v>
      </c>
      <c r="AF75" s="66">
        <f>_xlfn.XLOOKUP(CONT_SUP[[#This Row],[SRG]],SRG[StaffRoleGroupCode],SRG[GrossSalaryFinanceCode])</f>
        <v>630100</v>
      </c>
      <c r="AG75" s="57" t="str">
        <f>_xlfn.XLOOKUP(CONT_SUP[[#This Row],[StaffRoleCode]],ROLES[StaffRoleCode],ROLES[StaffRoleGroupCode])</f>
        <v>CLE</v>
      </c>
      <c r="AH75" s="57" t="str">
        <f>_xlfn.XLOOKUP(CONT_SUP[[#This Row],[StaffRoleCode]],ROLES[StaffRoleCode],ROLES[PayScaleCode])</f>
        <v>NJC_CHE</v>
      </c>
      <c r="AI75" s="12" t="s">
        <v>3120</v>
      </c>
      <c r="AJ75" s="12">
        <v>2</v>
      </c>
      <c r="AK75" s="12" t="s">
        <v>2495</v>
      </c>
      <c r="AM75" s="68" t="s">
        <v>1149</v>
      </c>
      <c r="AN75" s="12" t="s">
        <v>3137</v>
      </c>
      <c r="AO75" s="21">
        <v>45901</v>
      </c>
      <c r="AQ75" s="12">
        <v>30</v>
      </c>
      <c r="AR75" t="b">
        <v>0</v>
      </c>
      <c r="AS75" t="b">
        <v>0</v>
      </c>
      <c r="AT75" s="12" t="s">
        <v>1574</v>
      </c>
    </row>
    <row r="76" spans="1:46" x14ac:dyDescent="0.3">
      <c r="A76" s="57" t="str">
        <f t="shared" si="2"/>
        <v>ALS9185000291850002ACLESPREM45901</v>
      </c>
      <c r="B76" s="57">
        <f>COUNTIF(CONT_SUP[Unique Contract],CONT_SUP[[#This Row],[Unique Contract]])-1</f>
        <v>0</v>
      </c>
      <c r="C76" s="57">
        <f>IFERROR(IF(FIND(CONT_SUP[[#This Row],[SchoolCode]],_xlfn.XLOOKUP(CONT_SUP[[#This Row],[StaffMemberCode]],MEMBERS[StaffMemberCode],MEMBERS[SchoolCodes]))&gt;0,0,1),1)</f>
        <v>0</v>
      </c>
      <c r="D76" s="57" cm="1">
        <f t="array" ref="D76">IF(_xlfn.XLOOKUP(CONT_SUP[[#This Row],[StaffRoleCode]],ROLES[StaffRoleCode],ROLES[AvailableToAllSchools],1,0,)=TRUE,0,IF(ISERROR(FIND(CONT_SUP[[#This Row],[SchoolCode]],_xlfn.TEXTJOIN(",",TRUE,_xlfn.UNIQUE(IF(ROLES[StaffRoleCode]=CONT_SUP[[#This Row],[StaffRoleCode]],ROLES[SchoolCodes],""))))),1,0))</f>
        <v>0</v>
      </c>
      <c r="E76" s="66" cm="1">
        <f t="array" ref="E7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76" s="57" cm="1">
        <f t="array" ref="F76">IF(_xlfn.XLOOKUP(CONT_SUP[[#This Row],[PayScaleCode]],PAYSCALES[PayScaleCode],PAYSCALES[AvailableToAllSchools],1,0,)=TRUE,0,IF(ISERROR(FIND(CONT_SUP[[#This Row],[SchoolCode]],_xlfn.TEXTJOIN(",",TRUE,_xlfn.UNIQUE(IF(PAYSCALES[PayScaleCode]=CONT_SUP[[#This Row],[PayScaleCode]],PAYSCALES[SchoolCodes],""))))),1,0))</f>
        <v>0</v>
      </c>
      <c r="G76" s="57">
        <f>IF(_xlfn.XLOOKUP(CONT_SUP[[#This Row],[PayScaleGradeCode]],GRADES[PayScaleGradeCode],GRADES[AvailableToAllSchools])=TRUE,0,IFERROR(IF(FIND(CONT_SUP[[#This Row],[SchoolCode]],_xlfn.XLOOKUP(CONT_SUP[[#This Row],[PayScaleGradeCode]],GRADES[PayScaleGradeCode],GRADES[SchoolCodes]))&gt;=1,0,1),1))</f>
        <v>0</v>
      </c>
      <c r="H76" s="66">
        <f>IF(ISERROR(IF((_xlfn.XLOOKUP(CONT_SUP[[#This Row],[PayScaleGradeCode]],GRADES[PayScaleGradeCode],GRADES[PayScaleCode])=CONT_SUP[[#This Row],[PayScaleCode]]),0,1)),1,0)</f>
        <v>0</v>
      </c>
      <c r="I76" s="66" cm="1">
        <f t="array" ref="I76">IF(ISERROR(FIND(CONT_SUP[[#This Row],[PayScalePointCode]],_xlfn.TEXTJOIN(",",TRUE,IF(PSPOINTS[PayScaleCode]=CONT_SUP[[#This Row],[PayScaleCode]],PSPOINTS[PayScalePointCode])))),1,0)</f>
        <v>0</v>
      </c>
      <c r="J76" s="57" cm="1">
        <f t="array" ref="J7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76" s="66">
        <f>IF(_xlfn.XLOOKUP(CONT_SUP[[#This Row],[PayScalePointCode]],PSPOINTS[PayScalePointCode],PSPOINTS[PayScalePointEnabled])=TRUE,0,1)</f>
        <v>0</v>
      </c>
      <c r="L76" s="57" cm="1">
        <f t="array" ref="L76">IF(_xlfn.XLOOKUP(CONT_SUP[[#This Row],[DepartmentCode]],DEPTS[DepartmentCode],DEPTS[AvailableToAllSchools],1,0,)=TRUE,0,IF(ISERROR(FIND(CONT_SUP[[#This Row],[SchoolCode]],_xlfn.TEXTJOIN(",",TRUE,_xlfn.UNIQUE(IF(DEPTS[DepartmentCode]=CONT_SUP[[#This Row],[DepartmentCode]],DEPTS[SchoolCodes],""))))),1,0))</f>
        <v>0</v>
      </c>
      <c r="M76" s="57">
        <f>IFERROR(IF(_xlfn.XLOOKUP(CONT_SUP[[#This Row],[SRG Gross]],FinanceCodesBudget[FinanceCode],FinanceCodesBudget[LedgerCode])=_xlfn.XLOOKUP(CONT_SUP[[#This Row],[DepartmentCode]],DEPTS[DepartmentCode],DEPTS[LedgerCode]),0,1),1)</f>
        <v>0</v>
      </c>
      <c r="N76" s="66" cm="1">
        <f t="array" ref="N76">IF(_xlfn.XLOOKUP(CONT_SUP[[#This Row],[PensionCode]],PENS[PensionCode],PENS[AvailableToAllSchools],1,0,)=TRUE,0,IF(ISERROR(FIND(CONT_SUP[[#This Row],[SchoolCode]],_xlfn.TEXTJOIN(",",TRUE,_xlfn.UNIQUE(IF(PENS[PensionCode]=CONT_SUP[[#This Row],[PensionCode]],PENS[SchoolCodes],""))))),1,0))</f>
        <v>0</v>
      </c>
      <c r="O76" s="66" cm="1">
        <f t="array" ref="O76">IF(_xlfn.XLOOKUP(CONT_SUP[[#This Row],[EquatedWeekPatternCode]],EQW[EquatedWeekPatternCode],EQW[AvailableToAllSchools],1,0,)=TRUE,0,IF(ISERROR(FIND(CONT_SUP[[#This Row],[SchoolCode]],_xlfn.TEXTJOIN(",",TRUE,_xlfn.UNIQUE(IF(EQW[EquatedWeekPatternCode]=CONT_SUP[[#This Row],[EquatedWeekPatternCode]],EQW[SchoolCodes],""))))),1,0))</f>
        <v>0</v>
      </c>
      <c r="P76" s="57">
        <f>1-COUNTIF(ContractTypes[Code],CONT_SUP[[#This Row],[ContractTypeCode]])</f>
        <v>0</v>
      </c>
      <c r="Q76" s="57">
        <f>IF(VLOOKUP(CONT_SUP[[#This Row],[StaffMemberCode]],MEMBERS[[StaffMemberCode]:[ServiceStartDate]],5,0)&gt;CONT_SUP[[#This Row],[DateFrom]],1,0)</f>
        <v>0</v>
      </c>
      <c r="R76" s="57">
        <f>IF(_xlfn.XLOOKUP(CONT_SUP[[#This Row],[StaffMemberCode]],MEMBERS[StaffMemberCode],MEMBERS[ServiceEndDate])="",0,IF(CONT_SUP[[#This Row],[DateTo]]="",1,IF(_xlfn.XLOOKUP(CONT_SUP[[#This Row],[StaffMemberCode]],MEMBERS[StaffMemberCode],MEMBERS[ServiceEndDate])&lt;CONT_SUP[[#This Row],[DateTo]],1,0)))</f>
        <v>0</v>
      </c>
      <c r="S76" s="57">
        <f>IF(ISBLANK(CONT_SUP[[#This Row],[DateTo]]),0,IF(CONT_SUP[[#This Row],[DateFrom]]=CONT_SUP[[#This Row],[DateTo]],0,IF(CONT_SUP[[#This Row],[DateFrom]]&lt;CONT_SUP[[#This Row],[DateTo]],0,1)))</f>
        <v>0</v>
      </c>
      <c r="T76" s="57" cm="1">
        <f t="array" aca="1" ref="T76" ca="1">IF(CELL("format",CONT_SUP[[#This Row],[DateFrom]])="D1",0,1)+IF(CELL("format",CONT_SUP[[#This Row],[DateTo]])="D1",0,1)</f>
        <v>0</v>
      </c>
      <c r="U76" s="57">
        <f>IF(OR(CONT_SUP[[#This Row],[MatEditOnly]]=TRUE,CONT_SUP[[#This Row],[MatEditOnly]]=FALSE),IF(OR(CONT_SUP[[#This Row],[NoIncrement]]=TRUE,CONT_SUP[[#This Row],[NoIncrement]]=FALSE),0,1),1)</f>
        <v>0</v>
      </c>
      <c r="V76" s="57">
        <f>IF(ISBLANK(CONT_SUP[[#This Row],[FundCode]])=TRUE,0,IF(COUNTIF(FUNDS[FundCode],CONT_SUP[[#This Row],[FundCode]])=1,0,1))</f>
        <v>0</v>
      </c>
      <c r="W76" s="57">
        <f>IF(LEN(CONT_SUP[[#This Row],[Notes]])&lt;4000,0,1)</f>
        <v>0</v>
      </c>
      <c r="X76" s="57">
        <f>IF(SUBSTITUTE(TEXT(CONT_SUP[[#This Row],[Reference]],10)," ","")=TEXT(CONT_SUP[[#This Row],[Reference]],10),0,1)</f>
        <v>0</v>
      </c>
      <c r="Y76" s="57">
        <f ca="1">SUM(CONT_SUP[[#This Row],[Duplicate Contract]:[Space in Code]])</f>
        <v>0</v>
      </c>
      <c r="AA76" s="12" t="s">
        <v>2082</v>
      </c>
      <c r="AB76" s="63">
        <v>91850002</v>
      </c>
      <c r="AC76" s="63" t="s">
        <v>4672</v>
      </c>
      <c r="AD76" s="57" t="str">
        <f>_xlfn.XLOOKUP(CONT_SUP[[#This Row],[StaffMemberCode]],StaffMembers!O:O,StaffMembers!R:R)</f>
        <v>Robert Hardy</v>
      </c>
      <c r="AE76" s="12" t="s">
        <v>1190</v>
      </c>
      <c r="AF76" s="66">
        <f>_xlfn.XLOOKUP(CONT_SUP[[#This Row],[SRG]],SRG[StaffRoleGroupCode],SRG[GrossSalaryFinanceCode])</f>
        <v>630100</v>
      </c>
      <c r="AG76" s="57" t="str">
        <f>_xlfn.XLOOKUP(CONT_SUP[[#This Row],[StaffRoleCode]],ROLES[StaffRoleCode],ROLES[StaffRoleGroupCode])</f>
        <v>CLE</v>
      </c>
      <c r="AH76" s="57" t="str">
        <f>_xlfn.XLOOKUP(CONT_SUP[[#This Row],[StaffRoleCode]],ROLES[StaffRoleCode],ROLES[PayScaleCode])</f>
        <v>NJC_CHE</v>
      </c>
      <c r="AI76" s="12" t="s">
        <v>3120</v>
      </c>
      <c r="AJ76" s="12">
        <v>2</v>
      </c>
      <c r="AK76" s="12" t="s">
        <v>2495</v>
      </c>
      <c r="AM76" s="68" t="s">
        <v>1149</v>
      </c>
      <c r="AN76" s="12" t="s">
        <v>3145</v>
      </c>
      <c r="AO76" s="21">
        <v>45901</v>
      </c>
      <c r="AQ76" s="12">
        <v>10</v>
      </c>
      <c r="AR76" t="b">
        <v>0</v>
      </c>
      <c r="AS76" t="b">
        <v>0</v>
      </c>
      <c r="AT76" s="12" t="s">
        <v>1574</v>
      </c>
    </row>
    <row r="77" spans="1:46" x14ac:dyDescent="0.3">
      <c r="A77" s="57" t="str">
        <f t="shared" si="2"/>
        <v>ALS9185005191850051ACLESPREM45903</v>
      </c>
      <c r="B77" s="57">
        <f>COUNTIF(CONT_SUP[Unique Contract],CONT_SUP[[#This Row],[Unique Contract]])-1</f>
        <v>0</v>
      </c>
      <c r="C77" s="57">
        <f>IFERROR(IF(FIND(CONT_SUP[[#This Row],[SchoolCode]],_xlfn.XLOOKUP(CONT_SUP[[#This Row],[StaffMemberCode]],MEMBERS[StaffMemberCode],MEMBERS[SchoolCodes]))&gt;0,0,1),1)</f>
        <v>0</v>
      </c>
      <c r="D77" s="57" cm="1">
        <f t="array" ref="D77">IF(_xlfn.XLOOKUP(CONT_SUP[[#This Row],[StaffRoleCode]],ROLES[StaffRoleCode],ROLES[AvailableToAllSchools],1,0,)=TRUE,0,IF(ISERROR(FIND(CONT_SUP[[#This Row],[SchoolCode]],_xlfn.TEXTJOIN(",",TRUE,_xlfn.UNIQUE(IF(ROLES[StaffRoleCode]=CONT_SUP[[#This Row],[StaffRoleCode]],ROLES[SchoolCodes],""))))),1,0))</f>
        <v>0</v>
      </c>
      <c r="E77" s="66" cm="1">
        <f t="array" ref="E7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77" s="57" cm="1">
        <f t="array" ref="F77">IF(_xlfn.XLOOKUP(CONT_SUP[[#This Row],[PayScaleCode]],PAYSCALES[PayScaleCode],PAYSCALES[AvailableToAllSchools],1,0,)=TRUE,0,IF(ISERROR(FIND(CONT_SUP[[#This Row],[SchoolCode]],_xlfn.TEXTJOIN(",",TRUE,_xlfn.UNIQUE(IF(PAYSCALES[PayScaleCode]=CONT_SUP[[#This Row],[PayScaleCode]],PAYSCALES[SchoolCodes],""))))),1,0))</f>
        <v>0</v>
      </c>
      <c r="G77" s="57">
        <f>IF(_xlfn.XLOOKUP(CONT_SUP[[#This Row],[PayScaleGradeCode]],GRADES[PayScaleGradeCode],GRADES[AvailableToAllSchools])=TRUE,0,IFERROR(IF(FIND(CONT_SUP[[#This Row],[SchoolCode]],_xlfn.XLOOKUP(CONT_SUP[[#This Row],[PayScaleGradeCode]],GRADES[PayScaleGradeCode],GRADES[SchoolCodes]))&gt;=1,0,1),1))</f>
        <v>0</v>
      </c>
      <c r="H77" s="66">
        <f>IF(ISERROR(IF((_xlfn.XLOOKUP(CONT_SUP[[#This Row],[PayScaleGradeCode]],GRADES[PayScaleGradeCode],GRADES[PayScaleCode])=CONT_SUP[[#This Row],[PayScaleCode]]),0,1)),1,0)</f>
        <v>0</v>
      </c>
      <c r="I77" s="66" cm="1">
        <f t="array" ref="I77">IF(ISERROR(FIND(CONT_SUP[[#This Row],[PayScalePointCode]],_xlfn.TEXTJOIN(",",TRUE,IF(PSPOINTS[PayScaleCode]=CONT_SUP[[#This Row],[PayScaleCode]],PSPOINTS[PayScalePointCode])))),1,0)</f>
        <v>0</v>
      </c>
      <c r="J77" s="57" cm="1">
        <f t="array" ref="J7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77" s="66">
        <f>IF(_xlfn.XLOOKUP(CONT_SUP[[#This Row],[PayScalePointCode]],PSPOINTS[PayScalePointCode],PSPOINTS[PayScalePointEnabled])=TRUE,0,1)</f>
        <v>0</v>
      </c>
      <c r="L77" s="57" cm="1">
        <f t="array" ref="L77">IF(_xlfn.XLOOKUP(CONT_SUP[[#This Row],[DepartmentCode]],DEPTS[DepartmentCode],DEPTS[AvailableToAllSchools],1,0,)=TRUE,0,IF(ISERROR(FIND(CONT_SUP[[#This Row],[SchoolCode]],_xlfn.TEXTJOIN(",",TRUE,_xlfn.UNIQUE(IF(DEPTS[DepartmentCode]=CONT_SUP[[#This Row],[DepartmentCode]],DEPTS[SchoolCodes],""))))),1,0))</f>
        <v>0</v>
      </c>
      <c r="M77" s="57">
        <f>IFERROR(IF(_xlfn.XLOOKUP(CONT_SUP[[#This Row],[SRG Gross]],FinanceCodesBudget[FinanceCode],FinanceCodesBudget[LedgerCode])=_xlfn.XLOOKUP(CONT_SUP[[#This Row],[DepartmentCode]],DEPTS[DepartmentCode],DEPTS[LedgerCode]),0,1),1)</f>
        <v>0</v>
      </c>
      <c r="N77" s="66" cm="1">
        <f t="array" ref="N77">IF(_xlfn.XLOOKUP(CONT_SUP[[#This Row],[PensionCode]],PENS[PensionCode],PENS[AvailableToAllSchools],1,0,)=TRUE,0,IF(ISERROR(FIND(CONT_SUP[[#This Row],[SchoolCode]],_xlfn.TEXTJOIN(",",TRUE,_xlfn.UNIQUE(IF(PENS[PensionCode]=CONT_SUP[[#This Row],[PensionCode]],PENS[SchoolCodes],""))))),1,0))</f>
        <v>0</v>
      </c>
      <c r="O77" s="66" cm="1">
        <f t="array" ref="O77">IF(_xlfn.XLOOKUP(CONT_SUP[[#This Row],[EquatedWeekPatternCode]],EQW[EquatedWeekPatternCode],EQW[AvailableToAllSchools],1,0,)=TRUE,0,IF(ISERROR(FIND(CONT_SUP[[#This Row],[SchoolCode]],_xlfn.TEXTJOIN(",",TRUE,_xlfn.UNIQUE(IF(EQW[EquatedWeekPatternCode]=CONT_SUP[[#This Row],[EquatedWeekPatternCode]],EQW[SchoolCodes],""))))),1,0))</f>
        <v>0</v>
      </c>
      <c r="P77" s="57">
        <f>1-COUNTIF(ContractTypes[Code],CONT_SUP[[#This Row],[ContractTypeCode]])</f>
        <v>0</v>
      </c>
      <c r="Q77" s="57">
        <f>IF(VLOOKUP(CONT_SUP[[#This Row],[StaffMemberCode]],MEMBERS[[StaffMemberCode]:[ServiceStartDate]],5,0)&gt;CONT_SUP[[#This Row],[DateFrom]],1,0)</f>
        <v>0</v>
      </c>
      <c r="R77" s="57">
        <f>IF(_xlfn.XLOOKUP(CONT_SUP[[#This Row],[StaffMemberCode]],MEMBERS[StaffMemberCode],MEMBERS[ServiceEndDate])="",0,IF(CONT_SUP[[#This Row],[DateTo]]="",1,IF(_xlfn.XLOOKUP(CONT_SUP[[#This Row],[StaffMemberCode]],MEMBERS[StaffMemberCode],MEMBERS[ServiceEndDate])&lt;CONT_SUP[[#This Row],[DateTo]],1,0)))</f>
        <v>0</v>
      </c>
      <c r="S77" s="57">
        <f>IF(ISBLANK(CONT_SUP[[#This Row],[DateTo]]),0,IF(CONT_SUP[[#This Row],[DateFrom]]=CONT_SUP[[#This Row],[DateTo]],0,IF(CONT_SUP[[#This Row],[DateFrom]]&lt;CONT_SUP[[#This Row],[DateTo]],0,1)))</f>
        <v>0</v>
      </c>
      <c r="T77" s="57" cm="1">
        <f t="array" aca="1" ref="T77" ca="1">IF(CELL("format",CONT_SUP[[#This Row],[DateFrom]])="D1",0,1)+IF(CELL("format",CONT_SUP[[#This Row],[DateTo]])="D1",0,1)</f>
        <v>0</v>
      </c>
      <c r="U77" s="57">
        <f>IF(OR(CONT_SUP[[#This Row],[MatEditOnly]]=TRUE,CONT_SUP[[#This Row],[MatEditOnly]]=FALSE),IF(OR(CONT_SUP[[#This Row],[NoIncrement]]=TRUE,CONT_SUP[[#This Row],[NoIncrement]]=FALSE),0,1),1)</f>
        <v>0</v>
      </c>
      <c r="V77" s="57">
        <f>IF(ISBLANK(CONT_SUP[[#This Row],[FundCode]])=TRUE,0,IF(COUNTIF(FUNDS[FundCode],CONT_SUP[[#This Row],[FundCode]])=1,0,1))</f>
        <v>0</v>
      </c>
      <c r="W77" s="57">
        <f>IF(LEN(CONT_SUP[[#This Row],[Notes]])&lt;4000,0,1)</f>
        <v>0</v>
      </c>
      <c r="X77" s="57">
        <f>IF(SUBSTITUTE(TEXT(CONT_SUP[[#This Row],[Reference]],10)," ","")=TEXT(CONT_SUP[[#This Row],[Reference]],10),0,1)</f>
        <v>0</v>
      </c>
      <c r="Y77" s="57">
        <f ca="1">SUM(CONT_SUP[[#This Row],[Duplicate Contract]:[Space in Code]])</f>
        <v>0</v>
      </c>
      <c r="AA77" s="12" t="s">
        <v>2082</v>
      </c>
      <c r="AB77" s="63">
        <v>91850051</v>
      </c>
      <c r="AC77" s="63" t="s">
        <v>4673</v>
      </c>
      <c r="AD77" s="57" t="str">
        <f>_xlfn.XLOOKUP(CONT_SUP[[#This Row],[StaffMemberCode]],StaffMembers!O:O,StaffMembers!R:R)</f>
        <v>Sallyann McKeown</v>
      </c>
      <c r="AE77" s="12" t="s">
        <v>1190</v>
      </c>
      <c r="AF77" s="66">
        <f>_xlfn.XLOOKUP(CONT_SUP[[#This Row],[SRG]],SRG[StaffRoleGroupCode],SRG[GrossSalaryFinanceCode])</f>
        <v>630100</v>
      </c>
      <c r="AG77" s="57" t="str">
        <f>_xlfn.XLOOKUP(CONT_SUP[[#This Row],[StaffRoleCode]],ROLES[StaffRoleCode],ROLES[StaffRoleGroupCode])</f>
        <v>CLE</v>
      </c>
      <c r="AH77" s="57" t="str">
        <f>_xlfn.XLOOKUP(CONT_SUP[[#This Row],[StaffRoleCode]],ROLES[StaffRoleCode],ROLES[PayScaleCode])</f>
        <v>NJC_CHE</v>
      </c>
      <c r="AI77" s="12" t="s">
        <v>3120</v>
      </c>
      <c r="AJ77" s="12">
        <v>2</v>
      </c>
      <c r="AK77" s="12" t="s">
        <v>2495</v>
      </c>
      <c r="AM77" s="68" t="s">
        <v>3132</v>
      </c>
      <c r="AN77" s="12" t="s">
        <v>3145</v>
      </c>
      <c r="AO77" s="21">
        <v>45903</v>
      </c>
      <c r="AQ77" s="12">
        <v>7.5</v>
      </c>
      <c r="AR77" t="b">
        <v>0</v>
      </c>
      <c r="AS77" t="b">
        <v>0</v>
      </c>
      <c r="AT77" s="12" t="s">
        <v>1574</v>
      </c>
    </row>
    <row r="78" spans="1:46" x14ac:dyDescent="0.3">
      <c r="A78" s="57" t="str">
        <f t="shared" si="2"/>
        <v>ALS9185001291850012ACLESPREM45901</v>
      </c>
      <c r="B78" s="57">
        <f>COUNTIF(CONT_SUP[Unique Contract],CONT_SUP[[#This Row],[Unique Contract]])-1</f>
        <v>0</v>
      </c>
      <c r="C78" s="57">
        <f>IFERROR(IF(FIND(CONT_SUP[[#This Row],[SchoolCode]],_xlfn.XLOOKUP(CONT_SUP[[#This Row],[StaffMemberCode]],MEMBERS[StaffMemberCode],MEMBERS[SchoolCodes]))&gt;0,0,1),1)</f>
        <v>0</v>
      </c>
      <c r="D78" s="57" cm="1">
        <f t="array" ref="D78">IF(_xlfn.XLOOKUP(CONT_SUP[[#This Row],[StaffRoleCode]],ROLES[StaffRoleCode],ROLES[AvailableToAllSchools],1,0,)=TRUE,0,IF(ISERROR(FIND(CONT_SUP[[#This Row],[SchoolCode]],_xlfn.TEXTJOIN(",",TRUE,_xlfn.UNIQUE(IF(ROLES[StaffRoleCode]=CONT_SUP[[#This Row],[StaffRoleCode]],ROLES[SchoolCodes],""))))),1,0))</f>
        <v>0</v>
      </c>
      <c r="E78" s="66" cm="1">
        <f t="array" ref="E7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78" s="57" cm="1">
        <f t="array" ref="F78">IF(_xlfn.XLOOKUP(CONT_SUP[[#This Row],[PayScaleCode]],PAYSCALES[PayScaleCode],PAYSCALES[AvailableToAllSchools],1,0,)=TRUE,0,IF(ISERROR(FIND(CONT_SUP[[#This Row],[SchoolCode]],_xlfn.TEXTJOIN(",",TRUE,_xlfn.UNIQUE(IF(PAYSCALES[PayScaleCode]=CONT_SUP[[#This Row],[PayScaleCode]],PAYSCALES[SchoolCodes],""))))),1,0))</f>
        <v>0</v>
      </c>
      <c r="G78" s="57">
        <f>IF(_xlfn.XLOOKUP(CONT_SUP[[#This Row],[PayScaleGradeCode]],GRADES[PayScaleGradeCode],GRADES[AvailableToAllSchools])=TRUE,0,IFERROR(IF(FIND(CONT_SUP[[#This Row],[SchoolCode]],_xlfn.XLOOKUP(CONT_SUP[[#This Row],[PayScaleGradeCode]],GRADES[PayScaleGradeCode],GRADES[SchoolCodes]))&gt;=1,0,1),1))</f>
        <v>0</v>
      </c>
      <c r="H78" s="66">
        <f>IF(ISERROR(IF((_xlfn.XLOOKUP(CONT_SUP[[#This Row],[PayScaleGradeCode]],GRADES[PayScaleGradeCode],GRADES[PayScaleCode])=CONT_SUP[[#This Row],[PayScaleCode]]),0,1)),1,0)</f>
        <v>0</v>
      </c>
      <c r="I78" s="66" cm="1">
        <f t="array" ref="I78">IF(ISERROR(FIND(CONT_SUP[[#This Row],[PayScalePointCode]],_xlfn.TEXTJOIN(",",TRUE,IF(PSPOINTS[PayScaleCode]=CONT_SUP[[#This Row],[PayScaleCode]],PSPOINTS[PayScalePointCode])))),1,0)</f>
        <v>0</v>
      </c>
      <c r="J78" s="57" cm="1">
        <f t="array" ref="J7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78" s="66">
        <f>IF(_xlfn.XLOOKUP(CONT_SUP[[#This Row],[PayScalePointCode]],PSPOINTS[PayScalePointCode],PSPOINTS[PayScalePointEnabled])=TRUE,0,1)</f>
        <v>0</v>
      </c>
      <c r="L78" s="57" cm="1">
        <f t="array" ref="L78">IF(_xlfn.XLOOKUP(CONT_SUP[[#This Row],[DepartmentCode]],DEPTS[DepartmentCode],DEPTS[AvailableToAllSchools],1,0,)=TRUE,0,IF(ISERROR(FIND(CONT_SUP[[#This Row],[SchoolCode]],_xlfn.TEXTJOIN(",",TRUE,_xlfn.UNIQUE(IF(DEPTS[DepartmentCode]=CONT_SUP[[#This Row],[DepartmentCode]],DEPTS[SchoolCodes],""))))),1,0))</f>
        <v>0</v>
      </c>
      <c r="M78" s="57">
        <f>IFERROR(IF(_xlfn.XLOOKUP(CONT_SUP[[#This Row],[SRG Gross]],FinanceCodesBudget[FinanceCode],FinanceCodesBudget[LedgerCode])=_xlfn.XLOOKUP(CONT_SUP[[#This Row],[DepartmentCode]],DEPTS[DepartmentCode],DEPTS[LedgerCode]),0,1),1)</f>
        <v>0</v>
      </c>
      <c r="N78" s="66" cm="1">
        <f t="array" ref="N78">IF(_xlfn.XLOOKUP(CONT_SUP[[#This Row],[PensionCode]],PENS[PensionCode],PENS[AvailableToAllSchools],1,0,)=TRUE,0,IF(ISERROR(FIND(CONT_SUP[[#This Row],[SchoolCode]],_xlfn.TEXTJOIN(",",TRUE,_xlfn.UNIQUE(IF(PENS[PensionCode]=CONT_SUP[[#This Row],[PensionCode]],PENS[SchoolCodes],""))))),1,0))</f>
        <v>0</v>
      </c>
      <c r="O78" s="66" cm="1">
        <f t="array" ref="O78">IF(_xlfn.XLOOKUP(CONT_SUP[[#This Row],[EquatedWeekPatternCode]],EQW[EquatedWeekPatternCode],EQW[AvailableToAllSchools],1,0,)=TRUE,0,IF(ISERROR(FIND(CONT_SUP[[#This Row],[SchoolCode]],_xlfn.TEXTJOIN(",",TRUE,_xlfn.UNIQUE(IF(EQW[EquatedWeekPatternCode]=CONT_SUP[[#This Row],[EquatedWeekPatternCode]],EQW[SchoolCodes],""))))),1,0))</f>
        <v>0</v>
      </c>
      <c r="P78" s="57">
        <f>1-COUNTIF(ContractTypes[Code],CONT_SUP[[#This Row],[ContractTypeCode]])</f>
        <v>0</v>
      </c>
      <c r="Q78" s="57">
        <f>IF(VLOOKUP(CONT_SUP[[#This Row],[StaffMemberCode]],MEMBERS[[StaffMemberCode]:[ServiceStartDate]],5,0)&gt;CONT_SUP[[#This Row],[DateFrom]],1,0)</f>
        <v>0</v>
      </c>
      <c r="R78" s="57">
        <f>IF(_xlfn.XLOOKUP(CONT_SUP[[#This Row],[StaffMemberCode]],MEMBERS[StaffMemberCode],MEMBERS[ServiceEndDate])="",0,IF(CONT_SUP[[#This Row],[DateTo]]="",1,IF(_xlfn.XLOOKUP(CONT_SUP[[#This Row],[StaffMemberCode]],MEMBERS[StaffMemberCode],MEMBERS[ServiceEndDate])&lt;CONT_SUP[[#This Row],[DateTo]],1,0)))</f>
        <v>0</v>
      </c>
      <c r="S78" s="57">
        <f>IF(ISBLANK(CONT_SUP[[#This Row],[DateTo]]),0,IF(CONT_SUP[[#This Row],[DateFrom]]=CONT_SUP[[#This Row],[DateTo]],0,IF(CONT_SUP[[#This Row],[DateFrom]]&lt;CONT_SUP[[#This Row],[DateTo]],0,1)))</f>
        <v>0</v>
      </c>
      <c r="T78" s="57" cm="1">
        <f t="array" aca="1" ref="T78" ca="1">IF(CELL("format",CONT_SUP[[#This Row],[DateFrom]])="D1",0,1)+IF(CELL("format",CONT_SUP[[#This Row],[DateTo]])="D1",0,1)</f>
        <v>0</v>
      </c>
      <c r="U78" s="57">
        <f>IF(OR(CONT_SUP[[#This Row],[MatEditOnly]]=TRUE,CONT_SUP[[#This Row],[MatEditOnly]]=FALSE),IF(OR(CONT_SUP[[#This Row],[NoIncrement]]=TRUE,CONT_SUP[[#This Row],[NoIncrement]]=FALSE),0,1),1)</f>
        <v>0</v>
      </c>
      <c r="V78" s="57">
        <f>IF(ISBLANK(CONT_SUP[[#This Row],[FundCode]])=TRUE,0,IF(COUNTIF(FUNDS[FundCode],CONT_SUP[[#This Row],[FundCode]])=1,0,1))</f>
        <v>0</v>
      </c>
      <c r="W78" s="57">
        <f>IF(LEN(CONT_SUP[[#This Row],[Notes]])&lt;4000,0,1)</f>
        <v>0</v>
      </c>
      <c r="X78" s="57">
        <f>IF(SUBSTITUTE(TEXT(CONT_SUP[[#This Row],[Reference]],10)," ","")=TEXT(CONT_SUP[[#This Row],[Reference]],10),0,1)</f>
        <v>0</v>
      </c>
      <c r="Y78" s="57">
        <f ca="1">SUM(CONT_SUP[[#This Row],[Duplicate Contract]:[Space in Code]])</f>
        <v>0</v>
      </c>
      <c r="AA78" s="12" t="s">
        <v>2082</v>
      </c>
      <c r="AB78" s="63">
        <v>91850012</v>
      </c>
      <c r="AC78" s="63" t="s">
        <v>4674</v>
      </c>
      <c r="AD78" s="57" t="str">
        <f>_xlfn.XLOOKUP(CONT_SUP[[#This Row],[StaffMemberCode]],StaffMembers!O:O,StaffMembers!R:R)</f>
        <v>Sarah Carr</v>
      </c>
      <c r="AE78" s="12" t="s">
        <v>1190</v>
      </c>
      <c r="AF78" s="66">
        <f>_xlfn.XLOOKUP(CONT_SUP[[#This Row],[SRG]],SRG[StaffRoleGroupCode],SRG[GrossSalaryFinanceCode])</f>
        <v>630100</v>
      </c>
      <c r="AG78" s="57" t="str">
        <f>_xlfn.XLOOKUP(CONT_SUP[[#This Row],[StaffRoleCode]],ROLES[StaffRoleCode],ROLES[StaffRoleGroupCode])</f>
        <v>CLE</v>
      </c>
      <c r="AH78" s="57" t="str">
        <f>_xlfn.XLOOKUP(CONT_SUP[[#This Row],[StaffRoleCode]],ROLES[StaffRoleCode],ROLES[PayScaleCode])</f>
        <v>NJC_CHE</v>
      </c>
      <c r="AI78" s="12" t="s">
        <v>3120</v>
      </c>
      <c r="AJ78" s="12">
        <v>2</v>
      </c>
      <c r="AK78" s="12" t="s">
        <v>2495</v>
      </c>
      <c r="AM78" s="68" t="s">
        <v>3132</v>
      </c>
      <c r="AN78" s="12" t="s">
        <v>3145</v>
      </c>
      <c r="AO78" s="21">
        <v>45901</v>
      </c>
      <c r="AQ78" s="12">
        <v>20</v>
      </c>
      <c r="AR78" t="b">
        <v>0</v>
      </c>
      <c r="AS78" t="b">
        <v>0</v>
      </c>
      <c r="AT78" s="12" t="s">
        <v>1574</v>
      </c>
    </row>
    <row r="79" spans="1:46" x14ac:dyDescent="0.3">
      <c r="A79" s="57" t="str">
        <f t="shared" si="2"/>
        <v>BLS9107349791073497ACLESPREM45901</v>
      </c>
      <c r="B79" s="57">
        <f>COUNTIF(CONT_SUP[Unique Contract],CONT_SUP[[#This Row],[Unique Contract]])-1</f>
        <v>0</v>
      </c>
      <c r="C79" s="57">
        <f>IFERROR(IF(FIND(CONT_SUP[[#This Row],[SchoolCode]],_xlfn.XLOOKUP(CONT_SUP[[#This Row],[StaffMemberCode]],MEMBERS[StaffMemberCode],MEMBERS[SchoolCodes]))&gt;0,0,1),1)</f>
        <v>0</v>
      </c>
      <c r="D79" s="57" cm="1">
        <f t="array" ref="D79">IF(_xlfn.XLOOKUP(CONT_SUP[[#This Row],[StaffRoleCode]],ROLES[StaffRoleCode],ROLES[AvailableToAllSchools],1,0,)=TRUE,0,IF(ISERROR(FIND(CONT_SUP[[#This Row],[SchoolCode]],_xlfn.TEXTJOIN(",",TRUE,_xlfn.UNIQUE(IF(ROLES[StaffRoleCode]=CONT_SUP[[#This Row],[StaffRoleCode]],ROLES[SchoolCodes],""))))),1,0))</f>
        <v>0</v>
      </c>
      <c r="E79" s="66" cm="1">
        <f t="array" ref="E7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79" s="57" cm="1">
        <f t="array" ref="F79">IF(_xlfn.XLOOKUP(CONT_SUP[[#This Row],[PayScaleCode]],PAYSCALES[PayScaleCode],PAYSCALES[AvailableToAllSchools],1,0,)=TRUE,0,IF(ISERROR(FIND(CONT_SUP[[#This Row],[SchoolCode]],_xlfn.TEXTJOIN(",",TRUE,_xlfn.UNIQUE(IF(PAYSCALES[PayScaleCode]=CONT_SUP[[#This Row],[PayScaleCode]],PAYSCALES[SchoolCodes],""))))),1,0))</f>
        <v>0</v>
      </c>
      <c r="G79" s="57">
        <f>IF(_xlfn.XLOOKUP(CONT_SUP[[#This Row],[PayScaleGradeCode]],GRADES[PayScaleGradeCode],GRADES[AvailableToAllSchools])=TRUE,0,IFERROR(IF(FIND(CONT_SUP[[#This Row],[SchoolCode]],_xlfn.XLOOKUP(CONT_SUP[[#This Row],[PayScaleGradeCode]],GRADES[PayScaleGradeCode],GRADES[SchoolCodes]))&gt;=1,0,1),1))</f>
        <v>0</v>
      </c>
      <c r="H79" s="66">
        <f>IF(ISERROR(IF((_xlfn.XLOOKUP(CONT_SUP[[#This Row],[PayScaleGradeCode]],GRADES[PayScaleGradeCode],GRADES[PayScaleCode])=CONT_SUP[[#This Row],[PayScaleCode]]),0,1)),1,0)</f>
        <v>0</v>
      </c>
      <c r="I79" s="66" cm="1">
        <f t="array" ref="I79">IF(ISERROR(FIND(CONT_SUP[[#This Row],[PayScalePointCode]],_xlfn.TEXTJOIN(",",TRUE,IF(PSPOINTS[PayScaleCode]=CONT_SUP[[#This Row],[PayScaleCode]],PSPOINTS[PayScalePointCode])))),1,0)</f>
        <v>0</v>
      </c>
      <c r="J79" s="57" cm="1">
        <f t="array" ref="J7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79" s="66">
        <f>IF(_xlfn.XLOOKUP(CONT_SUP[[#This Row],[PayScalePointCode]],PSPOINTS[PayScalePointCode],PSPOINTS[PayScalePointEnabled])=TRUE,0,1)</f>
        <v>0</v>
      </c>
      <c r="L79" s="57" cm="1">
        <f t="array" ref="L79">IF(_xlfn.XLOOKUP(CONT_SUP[[#This Row],[DepartmentCode]],DEPTS[DepartmentCode],DEPTS[AvailableToAllSchools],1,0,)=TRUE,0,IF(ISERROR(FIND(CONT_SUP[[#This Row],[SchoolCode]],_xlfn.TEXTJOIN(",",TRUE,_xlfn.UNIQUE(IF(DEPTS[DepartmentCode]=CONT_SUP[[#This Row],[DepartmentCode]],DEPTS[SchoolCodes],""))))),1,0))</f>
        <v>0</v>
      </c>
      <c r="M79" s="57">
        <f>IFERROR(IF(_xlfn.XLOOKUP(CONT_SUP[[#This Row],[SRG Gross]],FinanceCodesBudget[FinanceCode],FinanceCodesBudget[LedgerCode])=_xlfn.XLOOKUP(CONT_SUP[[#This Row],[DepartmentCode]],DEPTS[DepartmentCode],DEPTS[LedgerCode]),0,1),1)</f>
        <v>0</v>
      </c>
      <c r="N79" s="66" cm="1">
        <f t="array" ref="N79">IF(_xlfn.XLOOKUP(CONT_SUP[[#This Row],[PensionCode]],PENS[PensionCode],PENS[AvailableToAllSchools],1,0,)=TRUE,0,IF(ISERROR(FIND(CONT_SUP[[#This Row],[SchoolCode]],_xlfn.TEXTJOIN(",",TRUE,_xlfn.UNIQUE(IF(PENS[PensionCode]=CONT_SUP[[#This Row],[PensionCode]],PENS[SchoolCodes],""))))),1,0))</f>
        <v>0</v>
      </c>
      <c r="O79" s="66" cm="1">
        <f t="array" ref="O79">IF(_xlfn.XLOOKUP(CONT_SUP[[#This Row],[EquatedWeekPatternCode]],EQW[EquatedWeekPatternCode],EQW[AvailableToAllSchools],1,0,)=TRUE,0,IF(ISERROR(FIND(CONT_SUP[[#This Row],[SchoolCode]],_xlfn.TEXTJOIN(",",TRUE,_xlfn.UNIQUE(IF(EQW[EquatedWeekPatternCode]=CONT_SUP[[#This Row],[EquatedWeekPatternCode]],EQW[SchoolCodes],""))))),1,0))</f>
        <v>0</v>
      </c>
      <c r="P79" s="57">
        <f>1-COUNTIF(ContractTypes[Code],CONT_SUP[[#This Row],[ContractTypeCode]])</f>
        <v>0</v>
      </c>
      <c r="Q79" s="57">
        <f>IF(VLOOKUP(CONT_SUP[[#This Row],[StaffMemberCode]],MEMBERS[[StaffMemberCode]:[ServiceStartDate]],5,0)&gt;CONT_SUP[[#This Row],[DateFrom]],1,0)</f>
        <v>0</v>
      </c>
      <c r="R79" s="57">
        <f>IF(_xlfn.XLOOKUP(CONT_SUP[[#This Row],[StaffMemberCode]],MEMBERS[StaffMemberCode],MEMBERS[ServiceEndDate])="",0,IF(CONT_SUP[[#This Row],[DateTo]]="",1,IF(_xlfn.XLOOKUP(CONT_SUP[[#This Row],[StaffMemberCode]],MEMBERS[StaffMemberCode],MEMBERS[ServiceEndDate])&lt;CONT_SUP[[#This Row],[DateTo]],1,0)))</f>
        <v>0</v>
      </c>
      <c r="S79" s="57">
        <f>IF(ISBLANK(CONT_SUP[[#This Row],[DateTo]]),0,IF(CONT_SUP[[#This Row],[DateFrom]]=CONT_SUP[[#This Row],[DateTo]],0,IF(CONT_SUP[[#This Row],[DateFrom]]&lt;CONT_SUP[[#This Row],[DateTo]],0,1)))</f>
        <v>0</v>
      </c>
      <c r="T79" s="57" cm="1">
        <f t="array" aca="1" ref="T79" ca="1">IF(CELL("format",CONT_SUP[[#This Row],[DateFrom]])="D1",0,1)+IF(CELL("format",CONT_SUP[[#This Row],[DateTo]])="D1",0,1)</f>
        <v>0</v>
      </c>
      <c r="U79" s="57">
        <f>IF(OR(CONT_SUP[[#This Row],[MatEditOnly]]=TRUE,CONT_SUP[[#This Row],[MatEditOnly]]=FALSE),IF(OR(CONT_SUP[[#This Row],[NoIncrement]]=TRUE,CONT_SUP[[#This Row],[NoIncrement]]=FALSE),0,1),1)</f>
        <v>0</v>
      </c>
      <c r="V79" s="57">
        <f>IF(ISBLANK(CONT_SUP[[#This Row],[FundCode]])=TRUE,0,IF(COUNTIF(FUNDS[FundCode],CONT_SUP[[#This Row],[FundCode]])=1,0,1))</f>
        <v>0</v>
      </c>
      <c r="W79" s="57">
        <f>IF(LEN(CONT_SUP[[#This Row],[Notes]])&lt;4000,0,1)</f>
        <v>0</v>
      </c>
      <c r="X79" s="57">
        <f>IF(SUBSTITUTE(TEXT(CONT_SUP[[#This Row],[Reference]],10)," ","")=TEXT(CONT_SUP[[#This Row],[Reference]],10),0,1)</f>
        <v>0</v>
      </c>
      <c r="Y79" s="57">
        <f ca="1">SUM(CONT_SUP[[#This Row],[Duplicate Contract]:[Space in Code]])</f>
        <v>0</v>
      </c>
      <c r="AA79" s="12" t="s">
        <v>2094</v>
      </c>
      <c r="AB79" s="63">
        <v>91073497</v>
      </c>
      <c r="AC79" s="63" t="s">
        <v>4675</v>
      </c>
      <c r="AD79" s="57" t="str">
        <f>_xlfn.XLOOKUP(CONT_SUP[[#This Row],[StaffMemberCode]],StaffMembers!O:O,StaffMembers!R:R)</f>
        <v>Sophie Sproston</v>
      </c>
      <c r="AE79" s="12" t="s">
        <v>1190</v>
      </c>
      <c r="AF79" s="66">
        <f>_xlfn.XLOOKUP(CONT_SUP[[#This Row],[SRG]],SRG[StaffRoleGroupCode],SRG[GrossSalaryFinanceCode])</f>
        <v>630100</v>
      </c>
      <c r="AG79" s="57" t="str">
        <f>_xlfn.XLOOKUP(CONT_SUP[[#This Row],[StaffRoleCode]],ROLES[StaffRoleCode],ROLES[StaffRoleGroupCode])</f>
        <v>CLE</v>
      </c>
      <c r="AH79" s="57" t="str">
        <f>_xlfn.XLOOKUP(CONT_SUP[[#This Row],[StaffRoleCode]],ROLES[StaffRoleCode],ROLES[PayScaleCode])</f>
        <v>NJC_CHE</v>
      </c>
      <c r="AI79" s="12" t="s">
        <v>3120</v>
      </c>
      <c r="AJ79" s="12">
        <v>2</v>
      </c>
      <c r="AK79" s="12" t="s">
        <v>2495</v>
      </c>
      <c r="AM79" s="68" t="s">
        <v>3132</v>
      </c>
      <c r="AN79" s="12" t="s">
        <v>3137</v>
      </c>
      <c r="AO79" s="21">
        <v>45901</v>
      </c>
      <c r="AQ79" s="12">
        <v>20</v>
      </c>
      <c r="AR79" t="b">
        <v>0</v>
      </c>
      <c r="AS79" t="b">
        <v>0</v>
      </c>
      <c r="AT79" s="12" t="s">
        <v>1574</v>
      </c>
    </row>
    <row r="80" spans="1:46" x14ac:dyDescent="0.3">
      <c r="A80" s="57" t="str">
        <f t="shared" si="2"/>
        <v>BLS9107354491073544ACLESPREM45901</v>
      </c>
      <c r="B80" s="57">
        <f>COUNTIF(CONT_SUP[Unique Contract],CONT_SUP[[#This Row],[Unique Contract]])-1</f>
        <v>0</v>
      </c>
      <c r="C80" s="57">
        <f>IFERROR(IF(FIND(CONT_SUP[[#This Row],[SchoolCode]],_xlfn.XLOOKUP(CONT_SUP[[#This Row],[StaffMemberCode]],MEMBERS[StaffMemberCode],MEMBERS[SchoolCodes]))&gt;0,0,1),1)</f>
        <v>0</v>
      </c>
      <c r="D80" s="57" cm="1">
        <f t="array" ref="D80">IF(_xlfn.XLOOKUP(CONT_SUP[[#This Row],[StaffRoleCode]],ROLES[StaffRoleCode],ROLES[AvailableToAllSchools],1,0,)=TRUE,0,IF(ISERROR(FIND(CONT_SUP[[#This Row],[SchoolCode]],_xlfn.TEXTJOIN(",",TRUE,_xlfn.UNIQUE(IF(ROLES[StaffRoleCode]=CONT_SUP[[#This Row],[StaffRoleCode]],ROLES[SchoolCodes],""))))),1,0))</f>
        <v>0</v>
      </c>
      <c r="E80" s="66" cm="1">
        <f t="array" ref="E8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80" s="57" cm="1">
        <f t="array" ref="F80">IF(_xlfn.XLOOKUP(CONT_SUP[[#This Row],[PayScaleCode]],PAYSCALES[PayScaleCode],PAYSCALES[AvailableToAllSchools],1,0,)=TRUE,0,IF(ISERROR(FIND(CONT_SUP[[#This Row],[SchoolCode]],_xlfn.TEXTJOIN(",",TRUE,_xlfn.UNIQUE(IF(PAYSCALES[PayScaleCode]=CONT_SUP[[#This Row],[PayScaleCode]],PAYSCALES[SchoolCodes],""))))),1,0))</f>
        <v>0</v>
      </c>
      <c r="G80" s="57">
        <f>IF(_xlfn.XLOOKUP(CONT_SUP[[#This Row],[PayScaleGradeCode]],GRADES[PayScaleGradeCode],GRADES[AvailableToAllSchools])=TRUE,0,IFERROR(IF(FIND(CONT_SUP[[#This Row],[SchoolCode]],_xlfn.XLOOKUP(CONT_SUP[[#This Row],[PayScaleGradeCode]],GRADES[PayScaleGradeCode],GRADES[SchoolCodes]))&gt;=1,0,1),1))</f>
        <v>0</v>
      </c>
      <c r="H80" s="66">
        <f>IF(ISERROR(IF((_xlfn.XLOOKUP(CONT_SUP[[#This Row],[PayScaleGradeCode]],GRADES[PayScaleGradeCode],GRADES[PayScaleCode])=CONT_SUP[[#This Row],[PayScaleCode]]),0,1)),1,0)</f>
        <v>0</v>
      </c>
      <c r="I80" s="66" cm="1">
        <f t="array" ref="I80">IF(ISERROR(FIND(CONT_SUP[[#This Row],[PayScalePointCode]],_xlfn.TEXTJOIN(",",TRUE,IF(PSPOINTS[PayScaleCode]=CONT_SUP[[#This Row],[PayScaleCode]],PSPOINTS[PayScalePointCode])))),1,0)</f>
        <v>0</v>
      </c>
      <c r="J80" s="57" cm="1">
        <f t="array" ref="J8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80" s="66">
        <f>IF(_xlfn.XLOOKUP(CONT_SUP[[#This Row],[PayScalePointCode]],PSPOINTS[PayScalePointCode],PSPOINTS[PayScalePointEnabled])=TRUE,0,1)</f>
        <v>0</v>
      </c>
      <c r="L80" s="57" cm="1">
        <f t="array" ref="L80">IF(_xlfn.XLOOKUP(CONT_SUP[[#This Row],[DepartmentCode]],DEPTS[DepartmentCode],DEPTS[AvailableToAllSchools],1,0,)=TRUE,0,IF(ISERROR(FIND(CONT_SUP[[#This Row],[SchoolCode]],_xlfn.TEXTJOIN(",",TRUE,_xlfn.UNIQUE(IF(DEPTS[DepartmentCode]=CONT_SUP[[#This Row],[DepartmentCode]],DEPTS[SchoolCodes],""))))),1,0))</f>
        <v>0</v>
      </c>
      <c r="M80" s="57">
        <f>IFERROR(IF(_xlfn.XLOOKUP(CONT_SUP[[#This Row],[SRG Gross]],FinanceCodesBudget[FinanceCode],FinanceCodesBudget[LedgerCode])=_xlfn.XLOOKUP(CONT_SUP[[#This Row],[DepartmentCode]],DEPTS[DepartmentCode],DEPTS[LedgerCode]),0,1),1)</f>
        <v>0</v>
      </c>
      <c r="N80" s="66" cm="1">
        <f t="array" ref="N80">IF(_xlfn.XLOOKUP(CONT_SUP[[#This Row],[PensionCode]],PENS[PensionCode],PENS[AvailableToAllSchools],1,0,)=TRUE,0,IF(ISERROR(FIND(CONT_SUP[[#This Row],[SchoolCode]],_xlfn.TEXTJOIN(",",TRUE,_xlfn.UNIQUE(IF(PENS[PensionCode]=CONT_SUP[[#This Row],[PensionCode]],PENS[SchoolCodes],""))))),1,0))</f>
        <v>0</v>
      </c>
      <c r="O80" s="66" cm="1">
        <f t="array" ref="O80">IF(_xlfn.XLOOKUP(CONT_SUP[[#This Row],[EquatedWeekPatternCode]],EQW[EquatedWeekPatternCode],EQW[AvailableToAllSchools],1,0,)=TRUE,0,IF(ISERROR(FIND(CONT_SUP[[#This Row],[SchoolCode]],_xlfn.TEXTJOIN(",",TRUE,_xlfn.UNIQUE(IF(EQW[EquatedWeekPatternCode]=CONT_SUP[[#This Row],[EquatedWeekPatternCode]],EQW[SchoolCodes],""))))),1,0))</f>
        <v>0</v>
      </c>
      <c r="P80" s="57">
        <f>1-COUNTIF(ContractTypes[Code],CONT_SUP[[#This Row],[ContractTypeCode]])</f>
        <v>0</v>
      </c>
      <c r="Q80" s="57">
        <f>IF(VLOOKUP(CONT_SUP[[#This Row],[StaffMemberCode]],MEMBERS[[StaffMemberCode]:[ServiceStartDate]],5,0)&gt;CONT_SUP[[#This Row],[DateFrom]],1,0)</f>
        <v>0</v>
      </c>
      <c r="R80" s="57">
        <f>IF(_xlfn.XLOOKUP(CONT_SUP[[#This Row],[StaffMemberCode]],MEMBERS[StaffMemberCode],MEMBERS[ServiceEndDate])="",0,IF(CONT_SUP[[#This Row],[DateTo]]="",1,IF(_xlfn.XLOOKUP(CONT_SUP[[#This Row],[StaffMemberCode]],MEMBERS[StaffMemberCode],MEMBERS[ServiceEndDate])&lt;CONT_SUP[[#This Row],[DateTo]],1,0)))</f>
        <v>0</v>
      </c>
      <c r="S80" s="57">
        <f>IF(ISBLANK(CONT_SUP[[#This Row],[DateTo]]),0,IF(CONT_SUP[[#This Row],[DateFrom]]=CONT_SUP[[#This Row],[DateTo]],0,IF(CONT_SUP[[#This Row],[DateFrom]]&lt;CONT_SUP[[#This Row],[DateTo]],0,1)))</f>
        <v>0</v>
      </c>
      <c r="T80" s="57" cm="1">
        <f t="array" aca="1" ref="T80" ca="1">IF(CELL("format",CONT_SUP[[#This Row],[DateFrom]])="D1",0,1)+IF(CELL("format",CONT_SUP[[#This Row],[DateTo]])="D1",0,1)</f>
        <v>0</v>
      </c>
      <c r="U80" s="57">
        <f>IF(OR(CONT_SUP[[#This Row],[MatEditOnly]]=TRUE,CONT_SUP[[#This Row],[MatEditOnly]]=FALSE),IF(OR(CONT_SUP[[#This Row],[NoIncrement]]=TRUE,CONT_SUP[[#This Row],[NoIncrement]]=FALSE),0,1),1)</f>
        <v>0</v>
      </c>
      <c r="V80" s="57">
        <f>IF(ISBLANK(CONT_SUP[[#This Row],[FundCode]])=TRUE,0,IF(COUNTIF(FUNDS[FundCode],CONT_SUP[[#This Row],[FundCode]])=1,0,1))</f>
        <v>0</v>
      </c>
      <c r="W80" s="57">
        <f>IF(LEN(CONT_SUP[[#This Row],[Notes]])&lt;4000,0,1)</f>
        <v>0</v>
      </c>
      <c r="X80" s="57">
        <f>IF(SUBSTITUTE(TEXT(CONT_SUP[[#This Row],[Reference]],10)," ","")=TEXT(CONT_SUP[[#This Row],[Reference]],10),0,1)</f>
        <v>0</v>
      </c>
      <c r="Y80" s="57">
        <f ca="1">SUM(CONT_SUP[[#This Row],[Duplicate Contract]:[Space in Code]])</f>
        <v>0</v>
      </c>
      <c r="AA80" s="12" t="s">
        <v>2094</v>
      </c>
      <c r="AB80" s="63">
        <v>91073544</v>
      </c>
      <c r="AC80" s="63" t="s">
        <v>4676</v>
      </c>
      <c r="AD80" s="57" t="str">
        <f>_xlfn.XLOOKUP(CONT_SUP[[#This Row],[StaffMemberCode]],StaffMembers!O:O,StaffMembers!R:R)</f>
        <v>Stephen Slinn</v>
      </c>
      <c r="AE80" s="12" t="s">
        <v>1190</v>
      </c>
      <c r="AF80" s="66">
        <f>_xlfn.XLOOKUP(CONT_SUP[[#This Row],[SRG]],SRG[StaffRoleGroupCode],SRG[GrossSalaryFinanceCode])</f>
        <v>630100</v>
      </c>
      <c r="AG80" s="57" t="str">
        <f>_xlfn.XLOOKUP(CONT_SUP[[#This Row],[StaffRoleCode]],ROLES[StaffRoleCode],ROLES[StaffRoleGroupCode])</f>
        <v>CLE</v>
      </c>
      <c r="AH80" s="57" t="str">
        <f>_xlfn.XLOOKUP(CONT_SUP[[#This Row],[StaffRoleCode]],ROLES[StaffRoleCode],ROLES[PayScaleCode])</f>
        <v>NJC_CHE</v>
      </c>
      <c r="AI80" s="12" t="s">
        <v>3120</v>
      </c>
      <c r="AJ80" s="12">
        <v>2</v>
      </c>
      <c r="AK80" s="12" t="s">
        <v>2495</v>
      </c>
      <c r="AM80" s="68" t="s">
        <v>1149</v>
      </c>
      <c r="AN80" s="12" t="s">
        <v>3137</v>
      </c>
      <c r="AO80" s="21">
        <v>45901</v>
      </c>
      <c r="AQ80" s="12">
        <v>15</v>
      </c>
      <c r="AR80" t="b">
        <v>0</v>
      </c>
      <c r="AS80" t="b">
        <v>0</v>
      </c>
      <c r="AT80" s="12" t="s">
        <v>1574</v>
      </c>
    </row>
    <row r="81" spans="1:46" x14ac:dyDescent="0.3">
      <c r="A81" s="57" t="str">
        <f t="shared" si="2"/>
        <v>WVP9107343291073432ACLESPREM45901</v>
      </c>
      <c r="B81" s="57">
        <f>COUNTIF(CONT_SUP[Unique Contract],CONT_SUP[[#This Row],[Unique Contract]])-1</f>
        <v>0</v>
      </c>
      <c r="C81" s="57">
        <f>IFERROR(IF(FIND(CONT_SUP[[#This Row],[SchoolCode]],_xlfn.XLOOKUP(CONT_SUP[[#This Row],[StaffMemberCode]],MEMBERS[StaffMemberCode],MEMBERS[SchoolCodes]))&gt;0,0,1),1)</f>
        <v>0</v>
      </c>
      <c r="D81" s="57" cm="1">
        <f t="array" ref="D81">IF(_xlfn.XLOOKUP(CONT_SUP[[#This Row],[StaffRoleCode]],ROLES[StaffRoleCode],ROLES[AvailableToAllSchools],1,0,)=TRUE,0,IF(ISERROR(FIND(CONT_SUP[[#This Row],[SchoolCode]],_xlfn.TEXTJOIN(",",TRUE,_xlfn.UNIQUE(IF(ROLES[StaffRoleCode]=CONT_SUP[[#This Row],[StaffRoleCode]],ROLES[SchoolCodes],""))))),1,0))</f>
        <v>0</v>
      </c>
      <c r="E81" s="66" cm="1">
        <f t="array" ref="E8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81" s="57" cm="1">
        <f t="array" ref="F81">IF(_xlfn.XLOOKUP(CONT_SUP[[#This Row],[PayScaleCode]],PAYSCALES[PayScaleCode],PAYSCALES[AvailableToAllSchools],1,0,)=TRUE,0,IF(ISERROR(FIND(CONT_SUP[[#This Row],[SchoolCode]],_xlfn.TEXTJOIN(",",TRUE,_xlfn.UNIQUE(IF(PAYSCALES[PayScaleCode]=CONT_SUP[[#This Row],[PayScaleCode]],PAYSCALES[SchoolCodes],""))))),1,0))</f>
        <v>0</v>
      </c>
      <c r="G81" s="57">
        <f>IF(_xlfn.XLOOKUP(CONT_SUP[[#This Row],[PayScaleGradeCode]],GRADES[PayScaleGradeCode],GRADES[AvailableToAllSchools])=TRUE,0,IFERROR(IF(FIND(CONT_SUP[[#This Row],[SchoolCode]],_xlfn.XLOOKUP(CONT_SUP[[#This Row],[PayScaleGradeCode]],GRADES[PayScaleGradeCode],GRADES[SchoolCodes]))&gt;=1,0,1),1))</f>
        <v>0</v>
      </c>
      <c r="H81" s="66">
        <f>IF(ISERROR(IF((_xlfn.XLOOKUP(CONT_SUP[[#This Row],[PayScaleGradeCode]],GRADES[PayScaleGradeCode],GRADES[PayScaleCode])=CONT_SUP[[#This Row],[PayScaleCode]]),0,1)),1,0)</f>
        <v>0</v>
      </c>
      <c r="I81" s="66" cm="1">
        <f t="array" ref="I81">IF(ISERROR(FIND(CONT_SUP[[#This Row],[PayScalePointCode]],_xlfn.TEXTJOIN(",",TRUE,IF(PSPOINTS[PayScaleCode]=CONT_SUP[[#This Row],[PayScaleCode]],PSPOINTS[PayScalePointCode])))),1,0)</f>
        <v>0</v>
      </c>
      <c r="J81" s="57" cm="1">
        <f t="array" ref="J8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81" s="66">
        <f>IF(_xlfn.XLOOKUP(CONT_SUP[[#This Row],[PayScalePointCode]],PSPOINTS[PayScalePointCode],PSPOINTS[PayScalePointEnabled])=TRUE,0,1)</f>
        <v>0</v>
      </c>
      <c r="L81" s="57" cm="1">
        <f t="array" ref="L81">IF(_xlfn.XLOOKUP(CONT_SUP[[#This Row],[DepartmentCode]],DEPTS[DepartmentCode],DEPTS[AvailableToAllSchools],1,0,)=TRUE,0,IF(ISERROR(FIND(CONT_SUP[[#This Row],[SchoolCode]],_xlfn.TEXTJOIN(",",TRUE,_xlfn.UNIQUE(IF(DEPTS[DepartmentCode]=CONT_SUP[[#This Row],[DepartmentCode]],DEPTS[SchoolCodes],""))))),1,0))</f>
        <v>0</v>
      </c>
      <c r="M81" s="57">
        <f>IFERROR(IF(_xlfn.XLOOKUP(CONT_SUP[[#This Row],[SRG Gross]],FinanceCodesBudget[FinanceCode],FinanceCodesBudget[LedgerCode])=_xlfn.XLOOKUP(CONT_SUP[[#This Row],[DepartmentCode]],DEPTS[DepartmentCode],DEPTS[LedgerCode]),0,1),1)</f>
        <v>0</v>
      </c>
      <c r="N81" s="66" cm="1">
        <f t="array" ref="N81">IF(_xlfn.XLOOKUP(CONT_SUP[[#This Row],[PensionCode]],PENS[PensionCode],PENS[AvailableToAllSchools],1,0,)=TRUE,0,IF(ISERROR(FIND(CONT_SUP[[#This Row],[SchoolCode]],_xlfn.TEXTJOIN(",",TRUE,_xlfn.UNIQUE(IF(PENS[PensionCode]=CONT_SUP[[#This Row],[PensionCode]],PENS[SchoolCodes],""))))),1,0))</f>
        <v>0</v>
      </c>
      <c r="O81" s="66" cm="1">
        <f t="array" ref="O81">IF(_xlfn.XLOOKUP(CONT_SUP[[#This Row],[EquatedWeekPatternCode]],EQW[EquatedWeekPatternCode],EQW[AvailableToAllSchools],1,0,)=TRUE,0,IF(ISERROR(FIND(CONT_SUP[[#This Row],[SchoolCode]],_xlfn.TEXTJOIN(",",TRUE,_xlfn.UNIQUE(IF(EQW[EquatedWeekPatternCode]=CONT_SUP[[#This Row],[EquatedWeekPatternCode]],EQW[SchoolCodes],""))))),1,0))</f>
        <v>0</v>
      </c>
      <c r="P81" s="57">
        <f>1-COUNTIF(ContractTypes[Code],CONT_SUP[[#This Row],[ContractTypeCode]])</f>
        <v>0</v>
      </c>
      <c r="Q81" s="57">
        <f>IF(VLOOKUP(CONT_SUP[[#This Row],[StaffMemberCode]],MEMBERS[[StaffMemberCode]:[ServiceStartDate]],5,0)&gt;CONT_SUP[[#This Row],[DateFrom]],1,0)</f>
        <v>0</v>
      </c>
      <c r="R81" s="57">
        <f>IF(_xlfn.XLOOKUP(CONT_SUP[[#This Row],[StaffMemberCode]],MEMBERS[StaffMemberCode],MEMBERS[ServiceEndDate])="",0,IF(CONT_SUP[[#This Row],[DateTo]]="",1,IF(_xlfn.XLOOKUP(CONT_SUP[[#This Row],[StaffMemberCode]],MEMBERS[StaffMemberCode],MEMBERS[ServiceEndDate])&lt;CONT_SUP[[#This Row],[DateTo]],1,0)))</f>
        <v>0</v>
      </c>
      <c r="S81" s="57">
        <f>IF(ISBLANK(CONT_SUP[[#This Row],[DateTo]]),0,IF(CONT_SUP[[#This Row],[DateFrom]]=CONT_SUP[[#This Row],[DateTo]],0,IF(CONT_SUP[[#This Row],[DateFrom]]&lt;CONT_SUP[[#This Row],[DateTo]],0,1)))</f>
        <v>0</v>
      </c>
      <c r="T81" s="57" cm="1">
        <f t="array" aca="1" ref="T81" ca="1">IF(CELL("format",CONT_SUP[[#This Row],[DateFrom]])="D1",0,1)+IF(CELL("format",CONT_SUP[[#This Row],[DateTo]])="D1",0,1)</f>
        <v>0</v>
      </c>
      <c r="U81" s="57">
        <f>IF(OR(CONT_SUP[[#This Row],[MatEditOnly]]=TRUE,CONT_SUP[[#This Row],[MatEditOnly]]=FALSE),IF(OR(CONT_SUP[[#This Row],[NoIncrement]]=TRUE,CONT_SUP[[#This Row],[NoIncrement]]=FALSE),0,1),1)</f>
        <v>0</v>
      </c>
      <c r="V81" s="57">
        <f>IF(ISBLANK(CONT_SUP[[#This Row],[FundCode]])=TRUE,0,IF(COUNTIF(FUNDS[FundCode],CONT_SUP[[#This Row],[FundCode]])=1,0,1))</f>
        <v>0</v>
      </c>
      <c r="W81" s="57">
        <f>IF(LEN(CONT_SUP[[#This Row],[Notes]])&lt;4000,0,1)</f>
        <v>0</v>
      </c>
      <c r="X81" s="57">
        <f>IF(SUBSTITUTE(TEXT(CONT_SUP[[#This Row],[Reference]],10)," ","")=TEXT(CONT_SUP[[#This Row],[Reference]],10),0,1)</f>
        <v>0</v>
      </c>
      <c r="Y81" s="57">
        <f ca="1">SUM(CONT_SUP[[#This Row],[Duplicate Contract]:[Space in Code]])</f>
        <v>0</v>
      </c>
      <c r="AA81" s="12" t="s">
        <v>2275</v>
      </c>
      <c r="AB81" s="63">
        <v>91073432</v>
      </c>
      <c r="AC81" s="63" t="s">
        <v>4677</v>
      </c>
      <c r="AD81" s="57" t="str">
        <f>_xlfn.XLOOKUP(CONT_SUP[[#This Row],[StaffMemberCode]],StaffMembers!O:O,StaffMembers!R:R)</f>
        <v>Tammy Cheshire</v>
      </c>
      <c r="AE81" s="12" t="s">
        <v>1190</v>
      </c>
      <c r="AF81" s="66">
        <f>_xlfn.XLOOKUP(CONT_SUP[[#This Row],[SRG]],SRG[StaffRoleGroupCode],SRG[GrossSalaryFinanceCode])</f>
        <v>630100</v>
      </c>
      <c r="AG81" s="57" t="str">
        <f>_xlfn.XLOOKUP(CONT_SUP[[#This Row],[StaffRoleCode]],ROLES[StaffRoleCode],ROLES[StaffRoleGroupCode])</f>
        <v>CLE</v>
      </c>
      <c r="AH81" s="57" t="str">
        <f>_xlfn.XLOOKUP(CONT_SUP[[#This Row],[StaffRoleCode]],ROLES[StaffRoleCode],ROLES[PayScaleCode])</f>
        <v>NJC_CHE</v>
      </c>
      <c r="AI81" s="12" t="s">
        <v>3120</v>
      </c>
      <c r="AJ81" s="12">
        <v>2</v>
      </c>
      <c r="AK81" s="12" t="s">
        <v>2495</v>
      </c>
      <c r="AM81" s="68" t="s">
        <v>3132</v>
      </c>
      <c r="AN81" s="12" t="s">
        <v>3137</v>
      </c>
      <c r="AO81" s="21">
        <v>45901</v>
      </c>
      <c r="AQ81" s="12">
        <v>11.25</v>
      </c>
      <c r="AR81" t="b">
        <v>0</v>
      </c>
      <c r="AS81" t="b">
        <v>0</v>
      </c>
      <c r="AT81" s="12" t="s">
        <v>1574</v>
      </c>
    </row>
    <row r="82" spans="1:46" x14ac:dyDescent="0.3">
      <c r="A82" s="57" t="str">
        <f t="shared" si="2"/>
        <v>BLS9107350491073504ACLESPREM45901</v>
      </c>
      <c r="B82" s="57">
        <f>COUNTIF(CONT_SUP[Unique Contract],CONT_SUP[[#This Row],[Unique Contract]])-1</f>
        <v>0</v>
      </c>
      <c r="C82" s="57">
        <f>IFERROR(IF(FIND(CONT_SUP[[#This Row],[SchoolCode]],_xlfn.XLOOKUP(CONT_SUP[[#This Row],[StaffMemberCode]],MEMBERS[StaffMemberCode],MEMBERS[SchoolCodes]))&gt;0,0,1),1)</f>
        <v>0</v>
      </c>
      <c r="D82" s="57" cm="1">
        <f t="array" ref="D82">IF(_xlfn.XLOOKUP(CONT_SUP[[#This Row],[StaffRoleCode]],ROLES[StaffRoleCode],ROLES[AvailableToAllSchools],1,0,)=TRUE,0,IF(ISERROR(FIND(CONT_SUP[[#This Row],[SchoolCode]],_xlfn.TEXTJOIN(",",TRUE,_xlfn.UNIQUE(IF(ROLES[StaffRoleCode]=CONT_SUP[[#This Row],[StaffRoleCode]],ROLES[SchoolCodes],""))))),1,0))</f>
        <v>0</v>
      </c>
      <c r="E82" s="66" cm="1">
        <f t="array" ref="E8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82" s="57" cm="1">
        <f t="array" ref="F82">IF(_xlfn.XLOOKUP(CONT_SUP[[#This Row],[PayScaleCode]],PAYSCALES[PayScaleCode],PAYSCALES[AvailableToAllSchools],1,0,)=TRUE,0,IF(ISERROR(FIND(CONT_SUP[[#This Row],[SchoolCode]],_xlfn.TEXTJOIN(",",TRUE,_xlfn.UNIQUE(IF(PAYSCALES[PayScaleCode]=CONT_SUP[[#This Row],[PayScaleCode]],PAYSCALES[SchoolCodes],""))))),1,0))</f>
        <v>0</v>
      </c>
      <c r="G82" s="57">
        <f>IF(_xlfn.XLOOKUP(CONT_SUP[[#This Row],[PayScaleGradeCode]],GRADES[PayScaleGradeCode],GRADES[AvailableToAllSchools])=TRUE,0,IFERROR(IF(FIND(CONT_SUP[[#This Row],[SchoolCode]],_xlfn.XLOOKUP(CONT_SUP[[#This Row],[PayScaleGradeCode]],GRADES[PayScaleGradeCode],GRADES[SchoolCodes]))&gt;=1,0,1),1))</f>
        <v>0</v>
      </c>
      <c r="H82" s="66">
        <f>IF(ISERROR(IF((_xlfn.XLOOKUP(CONT_SUP[[#This Row],[PayScaleGradeCode]],GRADES[PayScaleGradeCode],GRADES[PayScaleCode])=CONT_SUP[[#This Row],[PayScaleCode]]),0,1)),1,0)</f>
        <v>0</v>
      </c>
      <c r="I82" s="66" cm="1">
        <f t="array" ref="I82">IF(ISERROR(FIND(CONT_SUP[[#This Row],[PayScalePointCode]],_xlfn.TEXTJOIN(",",TRUE,IF(PSPOINTS[PayScaleCode]=CONT_SUP[[#This Row],[PayScaleCode]],PSPOINTS[PayScalePointCode])))),1,0)</f>
        <v>0</v>
      </c>
      <c r="J82" s="57" cm="1">
        <f t="array" ref="J8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82" s="66">
        <f>IF(_xlfn.XLOOKUP(CONT_SUP[[#This Row],[PayScalePointCode]],PSPOINTS[PayScalePointCode],PSPOINTS[PayScalePointEnabled])=TRUE,0,1)</f>
        <v>0</v>
      </c>
      <c r="L82" s="57" cm="1">
        <f t="array" ref="L82">IF(_xlfn.XLOOKUP(CONT_SUP[[#This Row],[DepartmentCode]],DEPTS[DepartmentCode],DEPTS[AvailableToAllSchools],1,0,)=TRUE,0,IF(ISERROR(FIND(CONT_SUP[[#This Row],[SchoolCode]],_xlfn.TEXTJOIN(",",TRUE,_xlfn.UNIQUE(IF(DEPTS[DepartmentCode]=CONT_SUP[[#This Row],[DepartmentCode]],DEPTS[SchoolCodes],""))))),1,0))</f>
        <v>0</v>
      </c>
      <c r="M82" s="57">
        <f>IFERROR(IF(_xlfn.XLOOKUP(CONT_SUP[[#This Row],[SRG Gross]],FinanceCodesBudget[FinanceCode],FinanceCodesBudget[LedgerCode])=_xlfn.XLOOKUP(CONT_SUP[[#This Row],[DepartmentCode]],DEPTS[DepartmentCode],DEPTS[LedgerCode]),0,1),1)</f>
        <v>0</v>
      </c>
      <c r="N82" s="66" cm="1">
        <f t="array" ref="N82">IF(_xlfn.XLOOKUP(CONT_SUP[[#This Row],[PensionCode]],PENS[PensionCode],PENS[AvailableToAllSchools],1,0,)=TRUE,0,IF(ISERROR(FIND(CONT_SUP[[#This Row],[SchoolCode]],_xlfn.TEXTJOIN(",",TRUE,_xlfn.UNIQUE(IF(PENS[PensionCode]=CONT_SUP[[#This Row],[PensionCode]],PENS[SchoolCodes],""))))),1,0))</f>
        <v>0</v>
      </c>
      <c r="O82" s="66" cm="1">
        <f t="array" ref="O82">IF(_xlfn.XLOOKUP(CONT_SUP[[#This Row],[EquatedWeekPatternCode]],EQW[EquatedWeekPatternCode],EQW[AvailableToAllSchools],1,0,)=TRUE,0,IF(ISERROR(FIND(CONT_SUP[[#This Row],[SchoolCode]],_xlfn.TEXTJOIN(",",TRUE,_xlfn.UNIQUE(IF(EQW[EquatedWeekPatternCode]=CONT_SUP[[#This Row],[EquatedWeekPatternCode]],EQW[SchoolCodes],""))))),1,0))</f>
        <v>0</v>
      </c>
      <c r="P82" s="57">
        <f>1-COUNTIF(ContractTypes[Code],CONT_SUP[[#This Row],[ContractTypeCode]])</f>
        <v>0</v>
      </c>
      <c r="Q82" s="57">
        <f>IF(VLOOKUP(CONT_SUP[[#This Row],[StaffMemberCode]],MEMBERS[[StaffMemberCode]:[ServiceStartDate]],5,0)&gt;CONT_SUP[[#This Row],[DateFrom]],1,0)</f>
        <v>0</v>
      </c>
      <c r="R82" s="57">
        <f>IF(_xlfn.XLOOKUP(CONT_SUP[[#This Row],[StaffMemberCode]],MEMBERS[StaffMemberCode],MEMBERS[ServiceEndDate])="",0,IF(CONT_SUP[[#This Row],[DateTo]]="",1,IF(_xlfn.XLOOKUP(CONT_SUP[[#This Row],[StaffMemberCode]],MEMBERS[StaffMemberCode],MEMBERS[ServiceEndDate])&lt;CONT_SUP[[#This Row],[DateTo]],1,0)))</f>
        <v>0</v>
      </c>
      <c r="S82" s="57">
        <f>IF(ISBLANK(CONT_SUP[[#This Row],[DateTo]]),0,IF(CONT_SUP[[#This Row],[DateFrom]]=CONT_SUP[[#This Row],[DateTo]],0,IF(CONT_SUP[[#This Row],[DateFrom]]&lt;CONT_SUP[[#This Row],[DateTo]],0,1)))</f>
        <v>0</v>
      </c>
      <c r="T82" s="57" cm="1">
        <f t="array" aca="1" ref="T82" ca="1">IF(CELL("format",CONT_SUP[[#This Row],[DateFrom]])="D1",0,1)+IF(CELL("format",CONT_SUP[[#This Row],[DateTo]])="D1",0,1)</f>
        <v>0</v>
      </c>
      <c r="U82" s="57">
        <f>IF(OR(CONT_SUP[[#This Row],[MatEditOnly]]=TRUE,CONT_SUP[[#This Row],[MatEditOnly]]=FALSE),IF(OR(CONT_SUP[[#This Row],[NoIncrement]]=TRUE,CONT_SUP[[#This Row],[NoIncrement]]=FALSE),0,1),1)</f>
        <v>0</v>
      </c>
      <c r="V82" s="57">
        <f>IF(ISBLANK(CONT_SUP[[#This Row],[FundCode]])=TRUE,0,IF(COUNTIF(FUNDS[FundCode],CONT_SUP[[#This Row],[FundCode]])=1,0,1))</f>
        <v>0</v>
      </c>
      <c r="W82" s="57">
        <f>IF(LEN(CONT_SUP[[#This Row],[Notes]])&lt;4000,0,1)</f>
        <v>0</v>
      </c>
      <c r="X82" s="57">
        <f>IF(SUBSTITUTE(TEXT(CONT_SUP[[#This Row],[Reference]],10)," ","")=TEXT(CONT_SUP[[#This Row],[Reference]],10),0,1)</f>
        <v>0</v>
      </c>
      <c r="Y82" s="57">
        <f ca="1">SUM(CONT_SUP[[#This Row],[Duplicate Contract]:[Space in Code]])</f>
        <v>0</v>
      </c>
      <c r="AA82" s="12" t="s">
        <v>2094</v>
      </c>
      <c r="AB82" s="63">
        <v>91073504</v>
      </c>
      <c r="AC82" s="63" t="s">
        <v>4678</v>
      </c>
      <c r="AD82" s="57" t="str">
        <f>_xlfn.XLOOKUP(CONT_SUP[[#This Row],[StaffMemberCode]],StaffMembers!O:O,StaffMembers!R:R)</f>
        <v>Teresa Hassall</v>
      </c>
      <c r="AE82" s="12" t="s">
        <v>1190</v>
      </c>
      <c r="AF82" s="66">
        <f>_xlfn.XLOOKUP(CONT_SUP[[#This Row],[SRG]],SRG[StaffRoleGroupCode],SRG[GrossSalaryFinanceCode])</f>
        <v>630100</v>
      </c>
      <c r="AG82" s="57" t="str">
        <f>_xlfn.XLOOKUP(CONT_SUP[[#This Row],[StaffRoleCode]],ROLES[StaffRoleCode],ROLES[StaffRoleGroupCode])</f>
        <v>CLE</v>
      </c>
      <c r="AH82" s="57" t="str">
        <f>_xlfn.XLOOKUP(CONT_SUP[[#This Row],[StaffRoleCode]],ROLES[StaffRoleCode],ROLES[PayScaleCode])</f>
        <v>NJC_CHE</v>
      </c>
      <c r="AI82" s="12" t="s">
        <v>3120</v>
      </c>
      <c r="AJ82" s="12">
        <v>2</v>
      </c>
      <c r="AK82" s="12" t="s">
        <v>2495</v>
      </c>
      <c r="AM82" s="68" t="s">
        <v>3132</v>
      </c>
      <c r="AN82" s="12" t="s">
        <v>1702</v>
      </c>
      <c r="AO82" s="21">
        <v>45901</v>
      </c>
      <c r="AQ82" s="12">
        <v>15</v>
      </c>
      <c r="AR82" t="b">
        <v>0</v>
      </c>
      <c r="AS82" t="b">
        <v>0</v>
      </c>
      <c r="AT82" s="12" t="s">
        <v>1574</v>
      </c>
    </row>
    <row r="83" spans="1:46" x14ac:dyDescent="0.3">
      <c r="A83" s="57" t="str">
        <f t="shared" si="2"/>
        <v>BLS9107361891073618ACLESPREM45901</v>
      </c>
      <c r="B83" s="57">
        <f>COUNTIF(CONT_SUP[Unique Contract],CONT_SUP[[#This Row],[Unique Contract]])-1</f>
        <v>0</v>
      </c>
      <c r="C83" s="57">
        <f>IFERROR(IF(FIND(CONT_SUP[[#This Row],[SchoolCode]],_xlfn.XLOOKUP(CONT_SUP[[#This Row],[StaffMemberCode]],MEMBERS[StaffMemberCode],MEMBERS[SchoolCodes]))&gt;0,0,1),1)</f>
        <v>0</v>
      </c>
      <c r="D83" s="57" cm="1">
        <f t="array" ref="D83">IF(_xlfn.XLOOKUP(CONT_SUP[[#This Row],[StaffRoleCode]],ROLES[StaffRoleCode],ROLES[AvailableToAllSchools],1,0,)=TRUE,0,IF(ISERROR(FIND(CONT_SUP[[#This Row],[SchoolCode]],_xlfn.TEXTJOIN(",",TRUE,_xlfn.UNIQUE(IF(ROLES[StaffRoleCode]=CONT_SUP[[#This Row],[StaffRoleCode]],ROLES[SchoolCodes],""))))),1,0))</f>
        <v>0</v>
      </c>
      <c r="E83" s="66" cm="1">
        <f t="array" ref="E8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83" s="57" cm="1">
        <f t="array" ref="F83">IF(_xlfn.XLOOKUP(CONT_SUP[[#This Row],[PayScaleCode]],PAYSCALES[PayScaleCode],PAYSCALES[AvailableToAllSchools],1,0,)=TRUE,0,IF(ISERROR(FIND(CONT_SUP[[#This Row],[SchoolCode]],_xlfn.TEXTJOIN(",",TRUE,_xlfn.UNIQUE(IF(PAYSCALES[PayScaleCode]=CONT_SUP[[#This Row],[PayScaleCode]],PAYSCALES[SchoolCodes],""))))),1,0))</f>
        <v>0</v>
      </c>
      <c r="G83" s="57">
        <f>IF(_xlfn.XLOOKUP(CONT_SUP[[#This Row],[PayScaleGradeCode]],GRADES[PayScaleGradeCode],GRADES[AvailableToAllSchools])=TRUE,0,IFERROR(IF(FIND(CONT_SUP[[#This Row],[SchoolCode]],_xlfn.XLOOKUP(CONT_SUP[[#This Row],[PayScaleGradeCode]],GRADES[PayScaleGradeCode],GRADES[SchoolCodes]))&gt;=1,0,1),1))</f>
        <v>0</v>
      </c>
      <c r="H83" s="66">
        <f>IF(ISERROR(IF((_xlfn.XLOOKUP(CONT_SUP[[#This Row],[PayScaleGradeCode]],GRADES[PayScaleGradeCode],GRADES[PayScaleCode])=CONT_SUP[[#This Row],[PayScaleCode]]),0,1)),1,0)</f>
        <v>0</v>
      </c>
      <c r="I83" s="66" cm="1">
        <f t="array" ref="I83">IF(ISERROR(FIND(CONT_SUP[[#This Row],[PayScalePointCode]],_xlfn.TEXTJOIN(",",TRUE,IF(PSPOINTS[PayScaleCode]=CONT_SUP[[#This Row],[PayScaleCode]],PSPOINTS[PayScalePointCode])))),1,0)</f>
        <v>0</v>
      </c>
      <c r="J83" s="57" cm="1">
        <f t="array" ref="J8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83" s="66">
        <f>IF(_xlfn.XLOOKUP(CONT_SUP[[#This Row],[PayScalePointCode]],PSPOINTS[PayScalePointCode],PSPOINTS[PayScalePointEnabled])=TRUE,0,1)</f>
        <v>0</v>
      </c>
      <c r="L83" s="57" cm="1">
        <f t="array" ref="L83">IF(_xlfn.XLOOKUP(CONT_SUP[[#This Row],[DepartmentCode]],DEPTS[DepartmentCode],DEPTS[AvailableToAllSchools],1,0,)=TRUE,0,IF(ISERROR(FIND(CONT_SUP[[#This Row],[SchoolCode]],_xlfn.TEXTJOIN(",",TRUE,_xlfn.UNIQUE(IF(DEPTS[DepartmentCode]=CONT_SUP[[#This Row],[DepartmentCode]],DEPTS[SchoolCodes],""))))),1,0))</f>
        <v>0</v>
      </c>
      <c r="M83" s="57">
        <f>IFERROR(IF(_xlfn.XLOOKUP(CONT_SUP[[#This Row],[SRG Gross]],FinanceCodesBudget[FinanceCode],FinanceCodesBudget[LedgerCode])=_xlfn.XLOOKUP(CONT_SUP[[#This Row],[DepartmentCode]],DEPTS[DepartmentCode],DEPTS[LedgerCode]),0,1),1)</f>
        <v>0</v>
      </c>
      <c r="N83" s="66" cm="1">
        <f t="array" ref="N83">IF(_xlfn.XLOOKUP(CONT_SUP[[#This Row],[PensionCode]],PENS[PensionCode],PENS[AvailableToAllSchools],1,0,)=TRUE,0,IF(ISERROR(FIND(CONT_SUP[[#This Row],[SchoolCode]],_xlfn.TEXTJOIN(",",TRUE,_xlfn.UNIQUE(IF(PENS[PensionCode]=CONT_SUP[[#This Row],[PensionCode]],PENS[SchoolCodes],""))))),1,0))</f>
        <v>0</v>
      </c>
      <c r="O83" s="66" cm="1">
        <f t="array" ref="O83">IF(_xlfn.XLOOKUP(CONT_SUP[[#This Row],[EquatedWeekPatternCode]],EQW[EquatedWeekPatternCode],EQW[AvailableToAllSchools],1,0,)=TRUE,0,IF(ISERROR(FIND(CONT_SUP[[#This Row],[SchoolCode]],_xlfn.TEXTJOIN(",",TRUE,_xlfn.UNIQUE(IF(EQW[EquatedWeekPatternCode]=CONT_SUP[[#This Row],[EquatedWeekPatternCode]],EQW[SchoolCodes],""))))),1,0))</f>
        <v>0</v>
      </c>
      <c r="P83" s="57">
        <f>1-COUNTIF(ContractTypes[Code],CONT_SUP[[#This Row],[ContractTypeCode]])</f>
        <v>0</v>
      </c>
      <c r="Q83" s="57">
        <f>IF(VLOOKUP(CONT_SUP[[#This Row],[StaffMemberCode]],MEMBERS[[StaffMemberCode]:[ServiceStartDate]],5,0)&gt;CONT_SUP[[#This Row],[DateFrom]],1,0)</f>
        <v>0</v>
      </c>
      <c r="R83" s="57">
        <f>IF(_xlfn.XLOOKUP(CONT_SUP[[#This Row],[StaffMemberCode]],MEMBERS[StaffMemberCode],MEMBERS[ServiceEndDate])="",0,IF(CONT_SUP[[#This Row],[DateTo]]="",1,IF(_xlfn.XLOOKUP(CONT_SUP[[#This Row],[StaffMemberCode]],MEMBERS[StaffMemberCode],MEMBERS[ServiceEndDate])&lt;CONT_SUP[[#This Row],[DateTo]],1,0)))</f>
        <v>0</v>
      </c>
      <c r="S83" s="57">
        <f>IF(ISBLANK(CONT_SUP[[#This Row],[DateTo]]),0,IF(CONT_SUP[[#This Row],[DateFrom]]=CONT_SUP[[#This Row],[DateTo]],0,IF(CONT_SUP[[#This Row],[DateFrom]]&lt;CONT_SUP[[#This Row],[DateTo]],0,1)))</f>
        <v>0</v>
      </c>
      <c r="T83" s="57" cm="1">
        <f t="array" aca="1" ref="T83" ca="1">IF(CELL("format",CONT_SUP[[#This Row],[DateFrom]])="D1",0,1)+IF(CELL("format",CONT_SUP[[#This Row],[DateTo]])="D1",0,1)</f>
        <v>0</v>
      </c>
      <c r="U83" s="57">
        <f>IF(OR(CONT_SUP[[#This Row],[MatEditOnly]]=TRUE,CONT_SUP[[#This Row],[MatEditOnly]]=FALSE),IF(OR(CONT_SUP[[#This Row],[NoIncrement]]=TRUE,CONT_SUP[[#This Row],[NoIncrement]]=FALSE),0,1),1)</f>
        <v>0</v>
      </c>
      <c r="V83" s="57">
        <f>IF(ISBLANK(CONT_SUP[[#This Row],[FundCode]])=TRUE,0,IF(COUNTIF(FUNDS[FundCode],CONT_SUP[[#This Row],[FundCode]])=1,0,1))</f>
        <v>0</v>
      </c>
      <c r="W83" s="57">
        <f>IF(LEN(CONT_SUP[[#This Row],[Notes]])&lt;4000,0,1)</f>
        <v>0</v>
      </c>
      <c r="X83" s="57">
        <f>IF(SUBSTITUTE(TEXT(CONT_SUP[[#This Row],[Reference]],10)," ","")=TEXT(CONT_SUP[[#This Row],[Reference]],10),0,1)</f>
        <v>0</v>
      </c>
      <c r="Y83" s="57">
        <f ca="1">SUM(CONT_SUP[[#This Row],[Duplicate Contract]:[Space in Code]])</f>
        <v>0</v>
      </c>
      <c r="AA83" s="12" t="s">
        <v>2094</v>
      </c>
      <c r="AB83" s="63">
        <v>91073618</v>
      </c>
      <c r="AC83" s="63" t="s">
        <v>4679</v>
      </c>
      <c r="AD83" s="57" t="str">
        <f>_xlfn.XLOOKUP(CONT_SUP[[#This Row],[StaffMemberCode]],StaffMembers!O:O,StaffMembers!R:R)</f>
        <v>Theodora Disveld</v>
      </c>
      <c r="AE83" s="12" t="s">
        <v>1190</v>
      </c>
      <c r="AF83" s="66">
        <f>_xlfn.XLOOKUP(CONT_SUP[[#This Row],[SRG]],SRG[StaffRoleGroupCode],SRG[GrossSalaryFinanceCode])</f>
        <v>630100</v>
      </c>
      <c r="AG83" s="57" t="str">
        <f>_xlfn.XLOOKUP(CONT_SUP[[#This Row],[StaffRoleCode]],ROLES[StaffRoleCode],ROLES[StaffRoleGroupCode])</f>
        <v>CLE</v>
      </c>
      <c r="AH83" s="57" t="str">
        <f>_xlfn.XLOOKUP(CONT_SUP[[#This Row],[StaffRoleCode]],ROLES[StaffRoleCode],ROLES[PayScaleCode])</f>
        <v>NJC_CHE</v>
      </c>
      <c r="AI83" s="12" t="s">
        <v>3120</v>
      </c>
      <c r="AJ83" s="12">
        <v>2</v>
      </c>
      <c r="AK83" s="12" t="s">
        <v>2495</v>
      </c>
      <c r="AM83" s="68" t="s">
        <v>3132</v>
      </c>
      <c r="AN83" s="12" t="s">
        <v>1702</v>
      </c>
      <c r="AO83" s="21">
        <v>45901</v>
      </c>
      <c r="AQ83" s="12">
        <v>15</v>
      </c>
      <c r="AR83" t="b">
        <v>0</v>
      </c>
      <c r="AS83" t="b">
        <v>0</v>
      </c>
      <c r="AT83" s="12" t="s">
        <v>1574</v>
      </c>
    </row>
    <row r="84" spans="1:46" x14ac:dyDescent="0.3">
      <c r="A84" s="57" t="str">
        <f t="shared" si="2"/>
        <v>HIG9132477491324774ACLESPREM45901</v>
      </c>
      <c r="B84" s="57">
        <f>COUNTIF(CONT_SUP[Unique Contract],CONT_SUP[[#This Row],[Unique Contract]])-1</f>
        <v>0</v>
      </c>
      <c r="C84" s="57">
        <f>IFERROR(IF(FIND(CONT_SUP[[#This Row],[SchoolCode]],_xlfn.XLOOKUP(CONT_SUP[[#This Row],[StaffMemberCode]],MEMBERS[StaffMemberCode],MEMBERS[SchoolCodes]))&gt;0,0,1),1)</f>
        <v>0</v>
      </c>
      <c r="D84" s="57" cm="1">
        <f t="array" ref="D84">IF(_xlfn.XLOOKUP(CONT_SUP[[#This Row],[StaffRoleCode]],ROLES[StaffRoleCode],ROLES[AvailableToAllSchools],1,0,)=TRUE,0,IF(ISERROR(FIND(CONT_SUP[[#This Row],[SchoolCode]],_xlfn.TEXTJOIN(",",TRUE,_xlfn.UNIQUE(IF(ROLES[StaffRoleCode]=CONT_SUP[[#This Row],[StaffRoleCode]],ROLES[SchoolCodes],""))))),1,0))</f>
        <v>0</v>
      </c>
      <c r="E84" s="66" cm="1">
        <f t="array" ref="E8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84" s="57" cm="1">
        <f t="array" ref="F84">IF(_xlfn.XLOOKUP(CONT_SUP[[#This Row],[PayScaleCode]],PAYSCALES[PayScaleCode],PAYSCALES[AvailableToAllSchools],1,0,)=TRUE,0,IF(ISERROR(FIND(CONT_SUP[[#This Row],[SchoolCode]],_xlfn.TEXTJOIN(",",TRUE,_xlfn.UNIQUE(IF(PAYSCALES[PayScaleCode]=CONT_SUP[[#This Row],[PayScaleCode]],PAYSCALES[SchoolCodes],""))))),1,0))</f>
        <v>0</v>
      </c>
      <c r="G84" s="57">
        <f>IF(_xlfn.XLOOKUP(CONT_SUP[[#This Row],[PayScaleGradeCode]],GRADES[PayScaleGradeCode],GRADES[AvailableToAllSchools])=TRUE,0,IFERROR(IF(FIND(CONT_SUP[[#This Row],[SchoolCode]],_xlfn.XLOOKUP(CONT_SUP[[#This Row],[PayScaleGradeCode]],GRADES[PayScaleGradeCode],GRADES[SchoolCodes]))&gt;=1,0,1),1))</f>
        <v>0</v>
      </c>
      <c r="H84" s="66">
        <f>IF(ISERROR(IF((_xlfn.XLOOKUP(CONT_SUP[[#This Row],[PayScaleGradeCode]],GRADES[PayScaleGradeCode],GRADES[PayScaleCode])=CONT_SUP[[#This Row],[PayScaleCode]]),0,1)),1,0)</f>
        <v>0</v>
      </c>
      <c r="I84" s="66" cm="1">
        <f t="array" ref="I84">IF(ISERROR(FIND(CONT_SUP[[#This Row],[PayScalePointCode]],_xlfn.TEXTJOIN(",",TRUE,IF(PSPOINTS[PayScaleCode]=CONT_SUP[[#This Row],[PayScaleCode]],PSPOINTS[PayScalePointCode])))),1,0)</f>
        <v>0</v>
      </c>
      <c r="J84" s="57" cm="1">
        <f t="array" ref="J8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84" s="66">
        <f>IF(_xlfn.XLOOKUP(CONT_SUP[[#This Row],[PayScalePointCode]],PSPOINTS[PayScalePointCode],PSPOINTS[PayScalePointEnabled])=TRUE,0,1)</f>
        <v>0</v>
      </c>
      <c r="L84" s="57" cm="1">
        <f t="array" ref="L84">IF(_xlfn.XLOOKUP(CONT_SUP[[#This Row],[DepartmentCode]],DEPTS[DepartmentCode],DEPTS[AvailableToAllSchools],1,0,)=TRUE,0,IF(ISERROR(FIND(CONT_SUP[[#This Row],[SchoolCode]],_xlfn.TEXTJOIN(",",TRUE,_xlfn.UNIQUE(IF(DEPTS[DepartmentCode]=CONT_SUP[[#This Row],[DepartmentCode]],DEPTS[SchoolCodes],""))))),1,0))</f>
        <v>0</v>
      </c>
      <c r="M84" s="57">
        <f>IFERROR(IF(_xlfn.XLOOKUP(CONT_SUP[[#This Row],[SRG Gross]],FinanceCodesBudget[FinanceCode],FinanceCodesBudget[LedgerCode])=_xlfn.XLOOKUP(CONT_SUP[[#This Row],[DepartmentCode]],DEPTS[DepartmentCode],DEPTS[LedgerCode]),0,1),1)</f>
        <v>0</v>
      </c>
      <c r="N84" s="66" cm="1">
        <f t="array" ref="N84">IF(_xlfn.XLOOKUP(CONT_SUP[[#This Row],[PensionCode]],PENS[PensionCode],PENS[AvailableToAllSchools],1,0,)=TRUE,0,IF(ISERROR(FIND(CONT_SUP[[#This Row],[SchoolCode]],_xlfn.TEXTJOIN(",",TRUE,_xlfn.UNIQUE(IF(PENS[PensionCode]=CONT_SUP[[#This Row],[PensionCode]],PENS[SchoolCodes],""))))),1,0))</f>
        <v>0</v>
      </c>
      <c r="O84" s="66" cm="1">
        <f t="array" ref="O84">IF(_xlfn.XLOOKUP(CONT_SUP[[#This Row],[EquatedWeekPatternCode]],EQW[EquatedWeekPatternCode],EQW[AvailableToAllSchools],1,0,)=TRUE,0,IF(ISERROR(FIND(CONT_SUP[[#This Row],[SchoolCode]],_xlfn.TEXTJOIN(",",TRUE,_xlfn.UNIQUE(IF(EQW[EquatedWeekPatternCode]=CONT_SUP[[#This Row],[EquatedWeekPatternCode]],EQW[SchoolCodes],""))))),1,0))</f>
        <v>0</v>
      </c>
      <c r="P84" s="57">
        <f>1-COUNTIF(ContractTypes[Code],CONT_SUP[[#This Row],[ContractTypeCode]])</f>
        <v>0</v>
      </c>
      <c r="Q84" s="57">
        <f>IF(VLOOKUP(CONT_SUP[[#This Row],[StaffMemberCode]],MEMBERS[[StaffMemberCode]:[ServiceStartDate]],5,0)&gt;CONT_SUP[[#This Row],[DateFrom]],1,0)</f>
        <v>0</v>
      </c>
      <c r="R84" s="57">
        <f>IF(_xlfn.XLOOKUP(CONT_SUP[[#This Row],[StaffMemberCode]],MEMBERS[StaffMemberCode],MEMBERS[ServiceEndDate])="",0,IF(CONT_SUP[[#This Row],[DateTo]]="",1,IF(_xlfn.XLOOKUP(CONT_SUP[[#This Row],[StaffMemberCode]],MEMBERS[StaffMemberCode],MEMBERS[ServiceEndDate])&lt;CONT_SUP[[#This Row],[DateTo]],1,0)))</f>
        <v>0</v>
      </c>
      <c r="S84" s="57">
        <f>IF(ISBLANK(CONT_SUP[[#This Row],[DateTo]]),0,IF(CONT_SUP[[#This Row],[DateFrom]]=CONT_SUP[[#This Row],[DateTo]],0,IF(CONT_SUP[[#This Row],[DateFrom]]&lt;CONT_SUP[[#This Row],[DateTo]],0,1)))</f>
        <v>0</v>
      </c>
      <c r="T84" s="57" cm="1">
        <f t="array" aca="1" ref="T84" ca="1">IF(CELL("format",CONT_SUP[[#This Row],[DateFrom]])="D1",0,1)+IF(CELL("format",CONT_SUP[[#This Row],[DateTo]])="D1",0,1)</f>
        <v>0</v>
      </c>
      <c r="U84" s="57">
        <f>IF(OR(CONT_SUP[[#This Row],[MatEditOnly]]=TRUE,CONT_SUP[[#This Row],[MatEditOnly]]=FALSE),IF(OR(CONT_SUP[[#This Row],[NoIncrement]]=TRUE,CONT_SUP[[#This Row],[NoIncrement]]=FALSE),0,1),1)</f>
        <v>0</v>
      </c>
      <c r="V84" s="57">
        <f>IF(ISBLANK(CONT_SUP[[#This Row],[FundCode]])=TRUE,0,IF(COUNTIF(FUNDS[FundCode],CONT_SUP[[#This Row],[FundCode]])=1,0,1))</f>
        <v>0</v>
      </c>
      <c r="W84" s="57">
        <f>IF(LEN(CONT_SUP[[#This Row],[Notes]])&lt;4000,0,1)</f>
        <v>0</v>
      </c>
      <c r="X84" s="57">
        <f>IF(SUBSTITUTE(TEXT(CONT_SUP[[#This Row],[Reference]],10)," ","")=TEXT(CONT_SUP[[#This Row],[Reference]],10),0,1)</f>
        <v>0</v>
      </c>
      <c r="Y84" s="57">
        <f ca="1">SUM(CONT_SUP[[#This Row],[Duplicate Contract]:[Space in Code]])</f>
        <v>0</v>
      </c>
      <c r="AA84" s="12" t="s">
        <v>2266</v>
      </c>
      <c r="AB84" s="63">
        <v>91324774</v>
      </c>
      <c r="AC84" s="63" t="s">
        <v>4680</v>
      </c>
      <c r="AD84" s="57" t="str">
        <f>_xlfn.XLOOKUP(CONT_SUP[[#This Row],[StaffMemberCode]],StaffMembers!O:O,StaffMembers!R:R)</f>
        <v>Tracey Atkins</v>
      </c>
      <c r="AE84" s="12" t="s">
        <v>1190</v>
      </c>
      <c r="AF84" s="66">
        <f>_xlfn.XLOOKUP(CONT_SUP[[#This Row],[SRG]],SRG[StaffRoleGroupCode],SRG[GrossSalaryFinanceCode])</f>
        <v>630100</v>
      </c>
      <c r="AG84" s="57" t="str">
        <f>_xlfn.XLOOKUP(CONT_SUP[[#This Row],[StaffRoleCode]],ROLES[StaffRoleCode],ROLES[StaffRoleGroupCode])</f>
        <v>CLE</v>
      </c>
      <c r="AH84" s="57" t="str">
        <f>_xlfn.XLOOKUP(CONT_SUP[[#This Row],[StaffRoleCode]],ROLES[StaffRoleCode],ROLES[PayScaleCode])</f>
        <v>NJC_CHE</v>
      </c>
      <c r="AI84" s="12" t="s">
        <v>3120</v>
      </c>
      <c r="AJ84" s="12">
        <v>2</v>
      </c>
      <c r="AK84" s="12" t="s">
        <v>2495</v>
      </c>
      <c r="AM84" s="68" t="s">
        <v>3132</v>
      </c>
      <c r="AN84" s="12" t="s">
        <v>3137</v>
      </c>
      <c r="AO84" s="21">
        <v>45901</v>
      </c>
      <c r="AQ84" s="12">
        <v>10</v>
      </c>
      <c r="AR84" t="b">
        <v>0</v>
      </c>
      <c r="AS84" t="b">
        <v>0</v>
      </c>
      <c r="AT84" s="12" t="s">
        <v>1573</v>
      </c>
    </row>
    <row r="85" spans="1:46" x14ac:dyDescent="0.3">
      <c r="A85" s="57" t="str">
        <f t="shared" si="2"/>
        <v>ALS9107379491073794ACLESPREM45901</v>
      </c>
      <c r="B85" s="57">
        <f>COUNTIF(CONT_SUP[Unique Contract],CONT_SUP[[#This Row],[Unique Contract]])-1</f>
        <v>0</v>
      </c>
      <c r="C85" s="57">
        <f>IFERROR(IF(FIND(CONT_SUP[[#This Row],[SchoolCode]],_xlfn.XLOOKUP(CONT_SUP[[#This Row],[StaffMemberCode]],MEMBERS[StaffMemberCode],MEMBERS[SchoolCodes]))&gt;0,0,1),1)</f>
        <v>0</v>
      </c>
      <c r="D85" s="57" cm="1">
        <f t="array" ref="D85">IF(_xlfn.XLOOKUP(CONT_SUP[[#This Row],[StaffRoleCode]],ROLES[StaffRoleCode],ROLES[AvailableToAllSchools],1,0,)=TRUE,0,IF(ISERROR(FIND(CONT_SUP[[#This Row],[SchoolCode]],_xlfn.TEXTJOIN(",",TRUE,_xlfn.UNIQUE(IF(ROLES[StaffRoleCode]=CONT_SUP[[#This Row],[StaffRoleCode]],ROLES[SchoolCodes],""))))),1,0))</f>
        <v>0</v>
      </c>
      <c r="E85" s="66" cm="1">
        <f t="array" ref="E8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85" s="57" cm="1">
        <f t="array" ref="F85">IF(_xlfn.XLOOKUP(CONT_SUP[[#This Row],[PayScaleCode]],PAYSCALES[PayScaleCode],PAYSCALES[AvailableToAllSchools],1,0,)=TRUE,0,IF(ISERROR(FIND(CONT_SUP[[#This Row],[SchoolCode]],_xlfn.TEXTJOIN(",",TRUE,_xlfn.UNIQUE(IF(PAYSCALES[PayScaleCode]=CONT_SUP[[#This Row],[PayScaleCode]],PAYSCALES[SchoolCodes],""))))),1,0))</f>
        <v>0</v>
      </c>
      <c r="G85" s="57">
        <f>IF(_xlfn.XLOOKUP(CONT_SUP[[#This Row],[PayScaleGradeCode]],GRADES[PayScaleGradeCode],GRADES[AvailableToAllSchools])=TRUE,0,IFERROR(IF(FIND(CONT_SUP[[#This Row],[SchoolCode]],_xlfn.XLOOKUP(CONT_SUP[[#This Row],[PayScaleGradeCode]],GRADES[PayScaleGradeCode],GRADES[SchoolCodes]))&gt;=1,0,1),1))</f>
        <v>0</v>
      </c>
      <c r="H85" s="66">
        <f>IF(ISERROR(IF((_xlfn.XLOOKUP(CONT_SUP[[#This Row],[PayScaleGradeCode]],GRADES[PayScaleGradeCode],GRADES[PayScaleCode])=CONT_SUP[[#This Row],[PayScaleCode]]),0,1)),1,0)</f>
        <v>0</v>
      </c>
      <c r="I85" s="66" cm="1">
        <f t="array" ref="I85">IF(ISERROR(FIND(CONT_SUP[[#This Row],[PayScalePointCode]],_xlfn.TEXTJOIN(",",TRUE,IF(PSPOINTS[PayScaleCode]=CONT_SUP[[#This Row],[PayScaleCode]],PSPOINTS[PayScalePointCode])))),1,0)</f>
        <v>0</v>
      </c>
      <c r="J85" s="57" cm="1">
        <f t="array" ref="J8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85" s="66">
        <f>IF(_xlfn.XLOOKUP(CONT_SUP[[#This Row],[PayScalePointCode]],PSPOINTS[PayScalePointCode],PSPOINTS[PayScalePointEnabled])=TRUE,0,1)</f>
        <v>0</v>
      </c>
      <c r="L85" s="57" cm="1">
        <f t="array" ref="L85">IF(_xlfn.XLOOKUP(CONT_SUP[[#This Row],[DepartmentCode]],DEPTS[DepartmentCode],DEPTS[AvailableToAllSchools],1,0,)=TRUE,0,IF(ISERROR(FIND(CONT_SUP[[#This Row],[SchoolCode]],_xlfn.TEXTJOIN(",",TRUE,_xlfn.UNIQUE(IF(DEPTS[DepartmentCode]=CONT_SUP[[#This Row],[DepartmentCode]],DEPTS[SchoolCodes],""))))),1,0))</f>
        <v>0</v>
      </c>
      <c r="M85" s="57">
        <f>IFERROR(IF(_xlfn.XLOOKUP(CONT_SUP[[#This Row],[SRG Gross]],FinanceCodesBudget[FinanceCode],FinanceCodesBudget[LedgerCode])=_xlfn.XLOOKUP(CONT_SUP[[#This Row],[DepartmentCode]],DEPTS[DepartmentCode],DEPTS[LedgerCode]),0,1),1)</f>
        <v>0</v>
      </c>
      <c r="N85" s="66" cm="1">
        <f t="array" ref="N85">IF(_xlfn.XLOOKUP(CONT_SUP[[#This Row],[PensionCode]],PENS[PensionCode],PENS[AvailableToAllSchools],1,0,)=TRUE,0,IF(ISERROR(FIND(CONT_SUP[[#This Row],[SchoolCode]],_xlfn.TEXTJOIN(",",TRUE,_xlfn.UNIQUE(IF(PENS[PensionCode]=CONT_SUP[[#This Row],[PensionCode]],PENS[SchoolCodes],""))))),1,0))</f>
        <v>0</v>
      </c>
      <c r="O85" s="66" cm="1">
        <f t="array" ref="O85">IF(_xlfn.XLOOKUP(CONT_SUP[[#This Row],[EquatedWeekPatternCode]],EQW[EquatedWeekPatternCode],EQW[AvailableToAllSchools],1,0,)=TRUE,0,IF(ISERROR(FIND(CONT_SUP[[#This Row],[SchoolCode]],_xlfn.TEXTJOIN(",",TRUE,_xlfn.UNIQUE(IF(EQW[EquatedWeekPatternCode]=CONT_SUP[[#This Row],[EquatedWeekPatternCode]],EQW[SchoolCodes],""))))),1,0))</f>
        <v>0</v>
      </c>
      <c r="P85" s="57">
        <f>1-COUNTIF(ContractTypes[Code],CONT_SUP[[#This Row],[ContractTypeCode]])</f>
        <v>0</v>
      </c>
      <c r="Q85" s="57">
        <f>IF(VLOOKUP(CONT_SUP[[#This Row],[StaffMemberCode]],MEMBERS[[StaffMemberCode]:[ServiceStartDate]],5,0)&gt;CONT_SUP[[#This Row],[DateFrom]],1,0)</f>
        <v>0</v>
      </c>
      <c r="R85" s="57">
        <f>IF(_xlfn.XLOOKUP(CONT_SUP[[#This Row],[StaffMemberCode]],MEMBERS[StaffMemberCode],MEMBERS[ServiceEndDate])="",0,IF(CONT_SUP[[#This Row],[DateTo]]="",1,IF(_xlfn.XLOOKUP(CONT_SUP[[#This Row],[StaffMemberCode]],MEMBERS[StaffMemberCode],MEMBERS[ServiceEndDate])&lt;CONT_SUP[[#This Row],[DateTo]],1,0)))</f>
        <v>0</v>
      </c>
      <c r="S85" s="57">
        <f>IF(ISBLANK(CONT_SUP[[#This Row],[DateTo]]),0,IF(CONT_SUP[[#This Row],[DateFrom]]=CONT_SUP[[#This Row],[DateTo]],0,IF(CONT_SUP[[#This Row],[DateFrom]]&lt;CONT_SUP[[#This Row],[DateTo]],0,1)))</f>
        <v>0</v>
      </c>
      <c r="T85" s="57" cm="1">
        <f t="array" aca="1" ref="T85" ca="1">IF(CELL("format",CONT_SUP[[#This Row],[DateFrom]])="D1",0,1)+IF(CELL("format",CONT_SUP[[#This Row],[DateTo]])="D1",0,1)</f>
        <v>0</v>
      </c>
      <c r="U85" s="57">
        <f>IF(OR(CONT_SUP[[#This Row],[MatEditOnly]]=TRUE,CONT_SUP[[#This Row],[MatEditOnly]]=FALSE),IF(OR(CONT_SUP[[#This Row],[NoIncrement]]=TRUE,CONT_SUP[[#This Row],[NoIncrement]]=FALSE),0,1),1)</f>
        <v>0</v>
      </c>
      <c r="V85" s="57">
        <f>IF(ISBLANK(CONT_SUP[[#This Row],[FundCode]])=TRUE,0,IF(COUNTIF(FUNDS[FundCode],CONT_SUP[[#This Row],[FundCode]])=1,0,1))</f>
        <v>0</v>
      </c>
      <c r="W85" s="57">
        <f>IF(LEN(CONT_SUP[[#This Row],[Notes]])&lt;4000,0,1)</f>
        <v>0</v>
      </c>
      <c r="X85" s="57">
        <f>IF(SUBSTITUTE(TEXT(CONT_SUP[[#This Row],[Reference]],10)," ","")=TEXT(CONT_SUP[[#This Row],[Reference]],10),0,1)</f>
        <v>0</v>
      </c>
      <c r="Y85" s="57">
        <f ca="1">SUM(CONT_SUP[[#This Row],[Duplicate Contract]:[Space in Code]])</f>
        <v>0</v>
      </c>
      <c r="AA85" s="12" t="s">
        <v>2082</v>
      </c>
      <c r="AB85" s="63">
        <v>91073794</v>
      </c>
      <c r="AC85" s="63" t="s">
        <v>4681</v>
      </c>
      <c r="AD85" s="57" t="str">
        <f>_xlfn.XLOOKUP(CONT_SUP[[#This Row],[StaffMemberCode]],StaffMembers!O:O,StaffMembers!R:R)</f>
        <v>Warinda Pullinger</v>
      </c>
      <c r="AE85" s="12" t="s">
        <v>1190</v>
      </c>
      <c r="AF85" s="66">
        <f>_xlfn.XLOOKUP(CONT_SUP[[#This Row],[SRG]],SRG[StaffRoleGroupCode],SRG[GrossSalaryFinanceCode])</f>
        <v>630100</v>
      </c>
      <c r="AG85" s="57" t="str">
        <f>_xlfn.XLOOKUP(CONT_SUP[[#This Row],[StaffRoleCode]],ROLES[StaffRoleCode],ROLES[StaffRoleGroupCode])</f>
        <v>CLE</v>
      </c>
      <c r="AH85" s="57" t="str">
        <f>_xlfn.XLOOKUP(CONT_SUP[[#This Row],[StaffRoleCode]],ROLES[StaffRoleCode],ROLES[PayScaleCode])</f>
        <v>NJC_CHE</v>
      </c>
      <c r="AI85" s="12" t="s">
        <v>3120</v>
      </c>
      <c r="AJ85" s="12">
        <v>2</v>
      </c>
      <c r="AK85" s="12" t="s">
        <v>2495</v>
      </c>
      <c r="AM85" s="68" t="s">
        <v>3132</v>
      </c>
      <c r="AN85" s="12" t="s">
        <v>3145</v>
      </c>
      <c r="AO85" s="21">
        <v>45901</v>
      </c>
      <c r="AQ85" s="12">
        <v>18.25</v>
      </c>
      <c r="AR85" t="b">
        <v>0</v>
      </c>
      <c r="AS85" t="b">
        <v>0</v>
      </c>
      <c r="AT85" s="12" t="s">
        <v>1574</v>
      </c>
    </row>
    <row r="86" spans="1:46" x14ac:dyDescent="0.3">
      <c r="A86" s="57" t="str">
        <f t="shared" si="2"/>
        <v>ALS9185001591850015ACLESPREM45901</v>
      </c>
      <c r="B86" s="57">
        <f>COUNTIF(CONT_SUP[Unique Contract],CONT_SUP[[#This Row],[Unique Contract]])-1</f>
        <v>0</v>
      </c>
      <c r="C86" s="57">
        <f>IFERROR(IF(FIND(CONT_SUP[[#This Row],[SchoolCode]],_xlfn.XLOOKUP(CONT_SUP[[#This Row],[StaffMemberCode]],MEMBERS[StaffMemberCode],MEMBERS[SchoolCodes]))&gt;0,0,1),1)</f>
        <v>0</v>
      </c>
      <c r="D86" s="57" cm="1">
        <f t="array" ref="D86">IF(_xlfn.XLOOKUP(CONT_SUP[[#This Row],[StaffRoleCode]],ROLES[StaffRoleCode],ROLES[AvailableToAllSchools],1,0,)=TRUE,0,IF(ISERROR(FIND(CONT_SUP[[#This Row],[SchoolCode]],_xlfn.TEXTJOIN(",",TRUE,_xlfn.UNIQUE(IF(ROLES[StaffRoleCode]=CONT_SUP[[#This Row],[StaffRoleCode]],ROLES[SchoolCodes],""))))),1,0))</f>
        <v>0</v>
      </c>
      <c r="E86" s="66" cm="1">
        <f t="array" ref="E8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86" s="57" cm="1">
        <f t="array" ref="F86">IF(_xlfn.XLOOKUP(CONT_SUP[[#This Row],[PayScaleCode]],PAYSCALES[PayScaleCode],PAYSCALES[AvailableToAllSchools],1,0,)=TRUE,0,IF(ISERROR(FIND(CONT_SUP[[#This Row],[SchoolCode]],_xlfn.TEXTJOIN(",",TRUE,_xlfn.UNIQUE(IF(PAYSCALES[PayScaleCode]=CONT_SUP[[#This Row],[PayScaleCode]],PAYSCALES[SchoolCodes],""))))),1,0))</f>
        <v>0</v>
      </c>
      <c r="G86" s="57">
        <f>IF(_xlfn.XLOOKUP(CONT_SUP[[#This Row],[PayScaleGradeCode]],GRADES[PayScaleGradeCode],GRADES[AvailableToAllSchools])=TRUE,0,IFERROR(IF(FIND(CONT_SUP[[#This Row],[SchoolCode]],_xlfn.XLOOKUP(CONT_SUP[[#This Row],[PayScaleGradeCode]],GRADES[PayScaleGradeCode],GRADES[SchoolCodes]))&gt;=1,0,1),1))</f>
        <v>0</v>
      </c>
      <c r="H86" s="66">
        <f>IF(ISERROR(IF((_xlfn.XLOOKUP(CONT_SUP[[#This Row],[PayScaleGradeCode]],GRADES[PayScaleGradeCode],GRADES[PayScaleCode])=CONT_SUP[[#This Row],[PayScaleCode]]),0,1)),1,0)</f>
        <v>0</v>
      </c>
      <c r="I86" s="66" cm="1">
        <f t="array" ref="I86">IF(ISERROR(FIND(CONT_SUP[[#This Row],[PayScalePointCode]],_xlfn.TEXTJOIN(",",TRUE,IF(PSPOINTS[PayScaleCode]=CONT_SUP[[#This Row],[PayScaleCode]],PSPOINTS[PayScalePointCode])))),1,0)</f>
        <v>0</v>
      </c>
      <c r="J86" s="57" cm="1">
        <f t="array" ref="J8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86" s="66">
        <f>IF(_xlfn.XLOOKUP(CONT_SUP[[#This Row],[PayScalePointCode]],PSPOINTS[PayScalePointCode],PSPOINTS[PayScalePointEnabled])=TRUE,0,1)</f>
        <v>0</v>
      </c>
      <c r="L86" s="57" cm="1">
        <f t="array" ref="L86">IF(_xlfn.XLOOKUP(CONT_SUP[[#This Row],[DepartmentCode]],DEPTS[DepartmentCode],DEPTS[AvailableToAllSchools],1,0,)=TRUE,0,IF(ISERROR(FIND(CONT_SUP[[#This Row],[SchoolCode]],_xlfn.TEXTJOIN(",",TRUE,_xlfn.UNIQUE(IF(DEPTS[DepartmentCode]=CONT_SUP[[#This Row],[DepartmentCode]],DEPTS[SchoolCodes],""))))),1,0))</f>
        <v>0</v>
      </c>
      <c r="M86" s="57">
        <f>IFERROR(IF(_xlfn.XLOOKUP(CONT_SUP[[#This Row],[SRG Gross]],FinanceCodesBudget[FinanceCode],FinanceCodesBudget[LedgerCode])=_xlfn.XLOOKUP(CONT_SUP[[#This Row],[DepartmentCode]],DEPTS[DepartmentCode],DEPTS[LedgerCode]),0,1),1)</f>
        <v>0</v>
      </c>
      <c r="N86" s="66" cm="1">
        <f t="array" ref="N86">IF(_xlfn.XLOOKUP(CONT_SUP[[#This Row],[PensionCode]],PENS[PensionCode],PENS[AvailableToAllSchools],1,0,)=TRUE,0,IF(ISERROR(FIND(CONT_SUP[[#This Row],[SchoolCode]],_xlfn.TEXTJOIN(",",TRUE,_xlfn.UNIQUE(IF(PENS[PensionCode]=CONT_SUP[[#This Row],[PensionCode]],PENS[SchoolCodes],""))))),1,0))</f>
        <v>0</v>
      </c>
      <c r="O86" s="66" cm="1">
        <f t="array" ref="O86">IF(_xlfn.XLOOKUP(CONT_SUP[[#This Row],[EquatedWeekPatternCode]],EQW[EquatedWeekPatternCode],EQW[AvailableToAllSchools],1,0,)=TRUE,0,IF(ISERROR(FIND(CONT_SUP[[#This Row],[SchoolCode]],_xlfn.TEXTJOIN(",",TRUE,_xlfn.UNIQUE(IF(EQW[EquatedWeekPatternCode]=CONT_SUP[[#This Row],[EquatedWeekPatternCode]],EQW[SchoolCodes],""))))),1,0))</f>
        <v>0</v>
      </c>
      <c r="P86" s="57">
        <f>1-COUNTIF(ContractTypes[Code],CONT_SUP[[#This Row],[ContractTypeCode]])</f>
        <v>0</v>
      </c>
      <c r="Q86" s="57">
        <f>IF(VLOOKUP(CONT_SUP[[#This Row],[StaffMemberCode]],MEMBERS[[StaffMemberCode]:[ServiceStartDate]],5,0)&gt;CONT_SUP[[#This Row],[DateFrom]],1,0)</f>
        <v>0</v>
      </c>
      <c r="R86" s="57">
        <f>IF(_xlfn.XLOOKUP(CONT_SUP[[#This Row],[StaffMemberCode]],MEMBERS[StaffMemberCode],MEMBERS[ServiceEndDate])="",0,IF(CONT_SUP[[#This Row],[DateTo]]="",1,IF(_xlfn.XLOOKUP(CONT_SUP[[#This Row],[StaffMemberCode]],MEMBERS[StaffMemberCode],MEMBERS[ServiceEndDate])&lt;CONT_SUP[[#This Row],[DateTo]],1,0)))</f>
        <v>0</v>
      </c>
      <c r="S86" s="57">
        <f>IF(ISBLANK(CONT_SUP[[#This Row],[DateTo]]),0,IF(CONT_SUP[[#This Row],[DateFrom]]=CONT_SUP[[#This Row],[DateTo]],0,IF(CONT_SUP[[#This Row],[DateFrom]]&lt;CONT_SUP[[#This Row],[DateTo]],0,1)))</f>
        <v>0</v>
      </c>
      <c r="T86" s="57" cm="1">
        <f t="array" aca="1" ref="T86" ca="1">IF(CELL("format",CONT_SUP[[#This Row],[DateFrom]])="D1",0,1)+IF(CELL("format",CONT_SUP[[#This Row],[DateTo]])="D1",0,1)</f>
        <v>0</v>
      </c>
      <c r="U86" s="57">
        <f>IF(OR(CONT_SUP[[#This Row],[MatEditOnly]]=TRUE,CONT_SUP[[#This Row],[MatEditOnly]]=FALSE),IF(OR(CONT_SUP[[#This Row],[NoIncrement]]=TRUE,CONT_SUP[[#This Row],[NoIncrement]]=FALSE),0,1),1)</f>
        <v>0</v>
      </c>
      <c r="V86" s="57">
        <f>IF(ISBLANK(CONT_SUP[[#This Row],[FundCode]])=TRUE,0,IF(COUNTIF(FUNDS[FundCode],CONT_SUP[[#This Row],[FundCode]])=1,0,1))</f>
        <v>0</v>
      </c>
      <c r="W86" s="57">
        <f>IF(LEN(CONT_SUP[[#This Row],[Notes]])&lt;4000,0,1)</f>
        <v>0</v>
      </c>
      <c r="X86" s="57">
        <f>IF(SUBSTITUTE(TEXT(CONT_SUP[[#This Row],[Reference]],10)," ","")=TEXT(CONT_SUP[[#This Row],[Reference]],10),0,1)</f>
        <v>0</v>
      </c>
      <c r="Y86" s="57">
        <f ca="1">SUM(CONT_SUP[[#This Row],[Duplicate Contract]:[Space in Code]])</f>
        <v>0</v>
      </c>
      <c r="AA86" s="12" t="s">
        <v>2082</v>
      </c>
      <c r="AB86" s="63">
        <v>91850015</v>
      </c>
      <c r="AC86" s="63" t="s">
        <v>4682</v>
      </c>
      <c r="AD86" s="57" t="str">
        <f>_xlfn.XLOOKUP(CONT_SUP[[#This Row],[StaffMemberCode]],StaffMembers!O:O,StaffMembers!R:R)</f>
        <v>Zac Evans</v>
      </c>
      <c r="AE86" s="12" t="s">
        <v>1190</v>
      </c>
      <c r="AF86" s="66">
        <f>_xlfn.XLOOKUP(CONT_SUP[[#This Row],[SRG]],SRG[StaffRoleGroupCode],SRG[GrossSalaryFinanceCode])</f>
        <v>630100</v>
      </c>
      <c r="AG86" s="57" t="str">
        <f>_xlfn.XLOOKUP(CONT_SUP[[#This Row],[StaffRoleCode]],ROLES[StaffRoleCode],ROLES[StaffRoleGroupCode])</f>
        <v>CLE</v>
      </c>
      <c r="AH86" s="57" t="str">
        <f>_xlfn.XLOOKUP(CONT_SUP[[#This Row],[StaffRoleCode]],ROLES[StaffRoleCode],ROLES[PayScaleCode])</f>
        <v>NJC_CHE</v>
      </c>
      <c r="AI86" s="12" t="s">
        <v>3120</v>
      </c>
      <c r="AJ86" s="12">
        <v>2</v>
      </c>
      <c r="AK86" s="12" t="s">
        <v>2495</v>
      </c>
      <c r="AM86" s="68" t="s">
        <v>3132</v>
      </c>
      <c r="AN86" s="12" t="s">
        <v>3145</v>
      </c>
      <c r="AO86" s="21">
        <v>45901</v>
      </c>
      <c r="AQ86" s="12">
        <v>20</v>
      </c>
      <c r="AR86" t="b">
        <v>0</v>
      </c>
      <c r="AS86" t="b">
        <v>0</v>
      </c>
      <c r="AT86" s="12" t="s">
        <v>1575</v>
      </c>
    </row>
    <row r="87" spans="1:46" x14ac:dyDescent="0.3">
      <c r="A87" s="57" t="str">
        <f t="shared" si="2"/>
        <v>BLS9107359191073591APAS_MGRSESS45901</v>
      </c>
      <c r="B87" s="57">
        <f>COUNTIF(CONT_SUP[Unique Contract],CONT_SUP[[#This Row],[Unique Contract]])-1</f>
        <v>0</v>
      </c>
      <c r="C87" s="57">
        <f>IFERROR(IF(FIND(CONT_SUP[[#This Row],[SchoolCode]],_xlfn.XLOOKUP(CONT_SUP[[#This Row],[StaffMemberCode]],MEMBERS[StaffMemberCode],MEMBERS[SchoolCodes]))&gt;0,0,1),1)</f>
        <v>0</v>
      </c>
      <c r="D87" s="57" cm="1">
        <f t="array" ref="D87">IF(_xlfn.XLOOKUP(CONT_SUP[[#This Row],[StaffRoleCode]],ROLES[StaffRoleCode],ROLES[AvailableToAllSchools],1,0,)=TRUE,0,IF(ISERROR(FIND(CONT_SUP[[#This Row],[SchoolCode]],_xlfn.TEXTJOIN(",",TRUE,_xlfn.UNIQUE(IF(ROLES[StaffRoleCode]=CONT_SUP[[#This Row],[StaffRoleCode]],ROLES[SchoolCodes],""))))),1,0))</f>
        <v>0</v>
      </c>
      <c r="E87" s="66" cm="1">
        <f t="array" ref="E8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87" s="57" cm="1">
        <f t="array" ref="F87">IF(_xlfn.XLOOKUP(CONT_SUP[[#This Row],[PayScaleCode]],PAYSCALES[PayScaleCode],PAYSCALES[AvailableToAllSchools],1,0,)=TRUE,0,IF(ISERROR(FIND(CONT_SUP[[#This Row],[SchoolCode]],_xlfn.TEXTJOIN(",",TRUE,_xlfn.UNIQUE(IF(PAYSCALES[PayScaleCode]=CONT_SUP[[#This Row],[PayScaleCode]],PAYSCALES[SchoolCodes],""))))),1,0))</f>
        <v>0</v>
      </c>
      <c r="G87" s="57">
        <f>IF(_xlfn.XLOOKUP(CONT_SUP[[#This Row],[PayScaleGradeCode]],GRADES[PayScaleGradeCode],GRADES[AvailableToAllSchools])=TRUE,0,IFERROR(IF(FIND(CONT_SUP[[#This Row],[SchoolCode]],_xlfn.XLOOKUP(CONT_SUP[[#This Row],[PayScaleGradeCode]],GRADES[PayScaleGradeCode],GRADES[SchoolCodes]))&gt;=1,0,1),1))</f>
        <v>0</v>
      </c>
      <c r="H87" s="66">
        <f>IF(ISERROR(IF((_xlfn.XLOOKUP(CONT_SUP[[#This Row],[PayScaleGradeCode]],GRADES[PayScaleGradeCode],GRADES[PayScaleCode])=CONT_SUP[[#This Row],[PayScaleCode]]),0,1)),1,0)</f>
        <v>0</v>
      </c>
      <c r="I87" s="66" cm="1">
        <f t="array" ref="I87">IF(ISERROR(FIND(CONT_SUP[[#This Row],[PayScalePointCode]],_xlfn.TEXTJOIN(",",TRUE,IF(PSPOINTS[PayScaleCode]=CONT_SUP[[#This Row],[PayScaleCode]],PSPOINTS[PayScalePointCode])))),1,0)</f>
        <v>0</v>
      </c>
      <c r="J87" s="57" cm="1">
        <f t="array" ref="J8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87" s="66">
        <f>IF(_xlfn.XLOOKUP(CONT_SUP[[#This Row],[PayScalePointCode]],PSPOINTS[PayScalePointCode],PSPOINTS[PayScalePointEnabled])=TRUE,0,1)</f>
        <v>0</v>
      </c>
      <c r="L87" s="57" cm="1">
        <f t="array" ref="L87">IF(_xlfn.XLOOKUP(CONT_SUP[[#This Row],[DepartmentCode]],DEPTS[DepartmentCode],DEPTS[AvailableToAllSchools],1,0,)=TRUE,0,IF(ISERROR(FIND(CONT_SUP[[#This Row],[SchoolCode]],_xlfn.TEXTJOIN(",",TRUE,_xlfn.UNIQUE(IF(DEPTS[DepartmentCode]=CONT_SUP[[#This Row],[DepartmentCode]],DEPTS[SchoolCodes],""))))),1,0))</f>
        <v>0</v>
      </c>
      <c r="M87" s="57">
        <f>IFERROR(IF(_xlfn.XLOOKUP(CONT_SUP[[#This Row],[SRG Gross]],FinanceCodesBudget[FinanceCode],FinanceCodesBudget[LedgerCode])=_xlfn.XLOOKUP(CONT_SUP[[#This Row],[DepartmentCode]],DEPTS[DepartmentCode],DEPTS[LedgerCode]),0,1),1)</f>
        <v>0</v>
      </c>
      <c r="N87" s="66" cm="1">
        <f t="array" ref="N87">IF(_xlfn.XLOOKUP(CONT_SUP[[#This Row],[PensionCode]],PENS[PensionCode],PENS[AvailableToAllSchools],1,0,)=TRUE,0,IF(ISERROR(FIND(CONT_SUP[[#This Row],[SchoolCode]],_xlfn.TEXTJOIN(",",TRUE,_xlfn.UNIQUE(IF(PENS[PensionCode]=CONT_SUP[[#This Row],[PensionCode]],PENS[SchoolCodes],""))))),1,0))</f>
        <v>0</v>
      </c>
      <c r="O87" s="66" cm="1">
        <f t="array" ref="O87">IF(_xlfn.XLOOKUP(CONT_SUP[[#This Row],[EquatedWeekPatternCode]],EQW[EquatedWeekPatternCode],EQW[AvailableToAllSchools],1,0,)=TRUE,0,IF(ISERROR(FIND(CONT_SUP[[#This Row],[SchoolCode]],_xlfn.TEXTJOIN(",",TRUE,_xlfn.UNIQUE(IF(EQW[EquatedWeekPatternCode]=CONT_SUP[[#This Row],[EquatedWeekPatternCode]],EQW[SchoolCodes],""))))),1,0))</f>
        <v>0</v>
      </c>
      <c r="P87" s="57">
        <f>1-COUNTIF(ContractTypes[Code],CONT_SUP[[#This Row],[ContractTypeCode]])</f>
        <v>0</v>
      </c>
      <c r="Q87" s="57">
        <f>IF(VLOOKUP(CONT_SUP[[#This Row],[StaffMemberCode]],MEMBERS[[StaffMemberCode]:[ServiceStartDate]],5,0)&gt;CONT_SUP[[#This Row],[DateFrom]],1,0)</f>
        <v>0</v>
      </c>
      <c r="R87" s="57">
        <f>IF(_xlfn.XLOOKUP(CONT_SUP[[#This Row],[StaffMemberCode]],MEMBERS[StaffMemberCode],MEMBERS[ServiceEndDate])="",0,IF(CONT_SUP[[#This Row],[DateTo]]="",1,IF(_xlfn.XLOOKUP(CONT_SUP[[#This Row],[StaffMemberCode]],MEMBERS[StaffMemberCode],MEMBERS[ServiceEndDate])&lt;CONT_SUP[[#This Row],[DateTo]],1,0)))</f>
        <v>0</v>
      </c>
      <c r="S87" s="57">
        <f>IF(ISBLANK(CONT_SUP[[#This Row],[DateTo]]),0,IF(CONT_SUP[[#This Row],[DateFrom]]=CONT_SUP[[#This Row],[DateTo]],0,IF(CONT_SUP[[#This Row],[DateFrom]]&lt;CONT_SUP[[#This Row],[DateTo]],0,1)))</f>
        <v>0</v>
      </c>
      <c r="T87" s="57" cm="1">
        <f t="array" aca="1" ref="T87" ca="1">IF(CELL("format",CONT_SUP[[#This Row],[DateFrom]])="D1",0,1)+IF(CELL("format",CONT_SUP[[#This Row],[DateTo]])="D1",0,1)</f>
        <v>0</v>
      </c>
      <c r="U87" s="57">
        <f>IF(OR(CONT_SUP[[#This Row],[MatEditOnly]]=TRUE,CONT_SUP[[#This Row],[MatEditOnly]]=FALSE),IF(OR(CONT_SUP[[#This Row],[NoIncrement]]=TRUE,CONT_SUP[[#This Row],[NoIncrement]]=FALSE),0,1),1)</f>
        <v>0</v>
      </c>
      <c r="V87" s="57">
        <f>IF(ISBLANK(CONT_SUP[[#This Row],[FundCode]])=TRUE,0,IF(COUNTIF(FUNDS[FundCode],CONT_SUP[[#This Row],[FundCode]])=1,0,1))</f>
        <v>0</v>
      </c>
      <c r="W87" s="57">
        <f>IF(LEN(CONT_SUP[[#This Row],[Notes]])&lt;4000,0,1)</f>
        <v>0</v>
      </c>
      <c r="X87" s="57">
        <f>IF(SUBSTITUTE(TEXT(CONT_SUP[[#This Row],[Reference]],10)," ","")=TEXT(CONT_SUP[[#This Row],[Reference]],10),0,1)</f>
        <v>0</v>
      </c>
      <c r="Y87" s="57">
        <f ca="1">SUM(CONT_SUP[[#This Row],[Duplicate Contract]:[Space in Code]])</f>
        <v>0</v>
      </c>
      <c r="AA87" s="12" t="s">
        <v>2094</v>
      </c>
      <c r="AB87" s="63">
        <v>91073591</v>
      </c>
      <c r="AC87" s="63" t="s">
        <v>4683</v>
      </c>
      <c r="AD87" s="57" t="str">
        <f>_xlfn.XLOOKUP(CONT_SUP[[#This Row],[StaffMemberCode]],StaffMembers!O:O,StaffMembers!R:R)</f>
        <v>Nicola Hill</v>
      </c>
      <c r="AE87" s="12" t="s">
        <v>4202</v>
      </c>
      <c r="AF87" s="66">
        <f>_xlfn.XLOOKUP(CONT_SUP[[#This Row],[SRG]],SRG[StaffRoleGroupCode],SRG[GrossSalaryFinanceCode])</f>
        <v>619100</v>
      </c>
      <c r="AG87" s="57" t="str">
        <f>_xlfn.XLOOKUP(CONT_SUP[[#This Row],[StaffRoleCode]],ROLES[StaffRoleCode],ROLES[StaffRoleGroupCode])</f>
        <v>EDS</v>
      </c>
      <c r="AH87" s="57" t="str">
        <f>_xlfn.XLOOKUP(CONT_SUP[[#This Row],[StaffRoleCode]],ROLES[StaffRoleCode],ROLES[PayScaleCode])</f>
        <v>NJC_CHE</v>
      </c>
      <c r="AI87" s="12" t="s">
        <v>3126</v>
      </c>
      <c r="AJ87" s="12">
        <v>28</v>
      </c>
      <c r="AK87" s="12" t="s">
        <v>2482</v>
      </c>
      <c r="AM87" s="68" t="s">
        <v>3132</v>
      </c>
      <c r="AN87" s="12" t="s">
        <v>3141</v>
      </c>
      <c r="AO87" s="21">
        <v>45901</v>
      </c>
      <c r="AQ87" s="12">
        <v>37</v>
      </c>
      <c r="AR87" t="b">
        <v>0</v>
      </c>
      <c r="AS87" t="b">
        <v>0</v>
      </c>
      <c r="AT87" s="12" t="s">
        <v>1574</v>
      </c>
    </row>
    <row r="88" spans="1:46" x14ac:dyDescent="0.3">
      <c r="A88" s="57" t="str">
        <f t="shared" si="2"/>
        <v>ALS9107386991073869AADMSESS45901</v>
      </c>
      <c r="B88" s="57">
        <f>COUNTIF(CONT_SUP[Unique Contract],CONT_SUP[[#This Row],[Unique Contract]])-1</f>
        <v>0</v>
      </c>
      <c r="C88" s="57">
        <f>IFERROR(IF(FIND(CONT_SUP[[#This Row],[SchoolCode]],_xlfn.XLOOKUP(CONT_SUP[[#This Row],[StaffMemberCode]],MEMBERS[StaffMemberCode],MEMBERS[SchoolCodes]))&gt;0,0,1),1)</f>
        <v>0</v>
      </c>
      <c r="D88" s="57" cm="1">
        <f t="array" ref="D88">IF(_xlfn.XLOOKUP(CONT_SUP[[#This Row],[StaffRoleCode]],ROLES[StaffRoleCode],ROLES[AvailableToAllSchools],1,0,)=TRUE,0,IF(ISERROR(FIND(CONT_SUP[[#This Row],[SchoolCode]],_xlfn.TEXTJOIN(",",TRUE,_xlfn.UNIQUE(IF(ROLES[StaffRoleCode]=CONT_SUP[[#This Row],[StaffRoleCode]],ROLES[SchoolCodes],""))))),1,0))</f>
        <v>0</v>
      </c>
      <c r="E88" s="66" cm="1">
        <f t="array" ref="E8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88" s="57" cm="1">
        <f t="array" ref="F88">IF(_xlfn.XLOOKUP(CONT_SUP[[#This Row],[PayScaleCode]],PAYSCALES[PayScaleCode],PAYSCALES[AvailableToAllSchools],1,0,)=TRUE,0,IF(ISERROR(FIND(CONT_SUP[[#This Row],[SchoolCode]],_xlfn.TEXTJOIN(",",TRUE,_xlfn.UNIQUE(IF(PAYSCALES[PayScaleCode]=CONT_SUP[[#This Row],[PayScaleCode]],PAYSCALES[SchoolCodes],""))))),1,0))</f>
        <v>0</v>
      </c>
      <c r="G88" s="57">
        <f>IF(_xlfn.XLOOKUP(CONT_SUP[[#This Row],[PayScaleGradeCode]],GRADES[PayScaleGradeCode],GRADES[AvailableToAllSchools])=TRUE,0,IFERROR(IF(FIND(CONT_SUP[[#This Row],[SchoolCode]],_xlfn.XLOOKUP(CONT_SUP[[#This Row],[PayScaleGradeCode]],GRADES[PayScaleGradeCode],GRADES[SchoolCodes]))&gt;=1,0,1),1))</f>
        <v>0</v>
      </c>
      <c r="H88" s="66">
        <f>IF(ISERROR(IF((_xlfn.XLOOKUP(CONT_SUP[[#This Row],[PayScaleGradeCode]],GRADES[PayScaleGradeCode],GRADES[PayScaleCode])=CONT_SUP[[#This Row],[PayScaleCode]]),0,1)),1,0)</f>
        <v>0</v>
      </c>
      <c r="I88" s="66" cm="1">
        <f t="array" ref="I88">IF(ISERROR(FIND(CONT_SUP[[#This Row],[PayScalePointCode]],_xlfn.TEXTJOIN(",",TRUE,IF(PSPOINTS[PayScaleCode]=CONT_SUP[[#This Row],[PayScaleCode]],PSPOINTS[PayScalePointCode])))),1,0)</f>
        <v>0</v>
      </c>
      <c r="J88" s="57" cm="1">
        <f t="array" ref="J8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88" s="66">
        <f>IF(_xlfn.XLOOKUP(CONT_SUP[[#This Row],[PayScalePointCode]],PSPOINTS[PayScalePointCode],PSPOINTS[PayScalePointEnabled])=TRUE,0,1)</f>
        <v>0</v>
      </c>
      <c r="L88" s="57" cm="1">
        <f t="array" ref="L88">IF(_xlfn.XLOOKUP(CONT_SUP[[#This Row],[DepartmentCode]],DEPTS[DepartmentCode],DEPTS[AvailableToAllSchools],1,0,)=TRUE,0,IF(ISERROR(FIND(CONT_SUP[[#This Row],[SchoolCode]],_xlfn.TEXTJOIN(",",TRUE,_xlfn.UNIQUE(IF(DEPTS[DepartmentCode]=CONT_SUP[[#This Row],[DepartmentCode]],DEPTS[SchoolCodes],""))))),1,0))</f>
        <v>0</v>
      </c>
      <c r="M88" s="57">
        <f>IFERROR(IF(_xlfn.XLOOKUP(CONT_SUP[[#This Row],[SRG Gross]],FinanceCodesBudget[FinanceCode],FinanceCodesBudget[LedgerCode])=_xlfn.XLOOKUP(CONT_SUP[[#This Row],[DepartmentCode]],DEPTS[DepartmentCode],DEPTS[LedgerCode]),0,1),1)</f>
        <v>0</v>
      </c>
      <c r="N88" s="66" cm="1">
        <f t="array" ref="N88">IF(_xlfn.XLOOKUP(CONT_SUP[[#This Row],[PensionCode]],PENS[PensionCode],PENS[AvailableToAllSchools],1,0,)=TRUE,0,IF(ISERROR(FIND(CONT_SUP[[#This Row],[SchoolCode]],_xlfn.TEXTJOIN(",",TRUE,_xlfn.UNIQUE(IF(PENS[PensionCode]=CONT_SUP[[#This Row],[PensionCode]],PENS[SchoolCodes],""))))),1,0))</f>
        <v>0</v>
      </c>
      <c r="O88" s="66" cm="1">
        <f t="array" ref="O88">IF(_xlfn.XLOOKUP(CONT_SUP[[#This Row],[EquatedWeekPatternCode]],EQW[EquatedWeekPatternCode],EQW[AvailableToAllSchools],1,0,)=TRUE,0,IF(ISERROR(FIND(CONT_SUP[[#This Row],[SchoolCode]],_xlfn.TEXTJOIN(",",TRUE,_xlfn.UNIQUE(IF(EQW[EquatedWeekPatternCode]=CONT_SUP[[#This Row],[EquatedWeekPatternCode]],EQW[SchoolCodes],""))))),1,0))</f>
        <v>0</v>
      </c>
      <c r="P88" s="57">
        <f>1-COUNTIF(ContractTypes[Code],CONT_SUP[[#This Row],[ContractTypeCode]])</f>
        <v>0</v>
      </c>
      <c r="Q88" s="57">
        <f>IF(VLOOKUP(CONT_SUP[[#This Row],[StaffMemberCode]],MEMBERS[[StaffMemberCode]:[ServiceStartDate]],5,0)&gt;CONT_SUP[[#This Row],[DateFrom]],1,0)</f>
        <v>0</v>
      </c>
      <c r="R88" s="57">
        <f>IF(_xlfn.XLOOKUP(CONT_SUP[[#This Row],[StaffMemberCode]],MEMBERS[StaffMemberCode],MEMBERS[ServiceEndDate])="",0,IF(CONT_SUP[[#This Row],[DateTo]]="",1,IF(_xlfn.XLOOKUP(CONT_SUP[[#This Row],[StaffMemberCode]],MEMBERS[StaffMemberCode],MEMBERS[ServiceEndDate])&lt;CONT_SUP[[#This Row],[DateTo]],1,0)))</f>
        <v>0</v>
      </c>
      <c r="S88" s="57">
        <f>IF(ISBLANK(CONT_SUP[[#This Row],[DateTo]]),0,IF(CONT_SUP[[#This Row],[DateFrom]]=CONT_SUP[[#This Row],[DateTo]],0,IF(CONT_SUP[[#This Row],[DateFrom]]&lt;CONT_SUP[[#This Row],[DateTo]],0,1)))</f>
        <v>0</v>
      </c>
      <c r="T88" s="57" cm="1">
        <f t="array" aca="1" ref="T88" ca="1">IF(CELL("format",CONT_SUP[[#This Row],[DateFrom]])="D1",0,1)+IF(CELL("format",CONT_SUP[[#This Row],[DateTo]])="D1",0,1)</f>
        <v>0</v>
      </c>
      <c r="U88" s="57">
        <f>IF(OR(CONT_SUP[[#This Row],[MatEditOnly]]=TRUE,CONT_SUP[[#This Row],[MatEditOnly]]=FALSE),IF(OR(CONT_SUP[[#This Row],[NoIncrement]]=TRUE,CONT_SUP[[#This Row],[NoIncrement]]=FALSE),0,1),1)</f>
        <v>0</v>
      </c>
      <c r="V88" s="57">
        <f>IF(ISBLANK(CONT_SUP[[#This Row],[FundCode]])=TRUE,0,IF(COUNTIF(FUNDS[FundCode],CONT_SUP[[#This Row],[FundCode]])=1,0,1))</f>
        <v>0</v>
      </c>
      <c r="W88" s="57">
        <f>IF(LEN(CONT_SUP[[#This Row],[Notes]])&lt;4000,0,1)</f>
        <v>0</v>
      </c>
      <c r="X88" s="57">
        <f>IF(SUBSTITUTE(TEXT(CONT_SUP[[#This Row],[Reference]],10)," ","")=TEXT(CONT_SUP[[#This Row],[Reference]],10),0,1)</f>
        <v>0</v>
      </c>
      <c r="Y88" s="57">
        <f ca="1">SUM(CONT_SUP[[#This Row],[Duplicate Contract]:[Space in Code]])</f>
        <v>0</v>
      </c>
      <c r="AA88" s="12" t="s">
        <v>2082</v>
      </c>
      <c r="AB88" s="63">
        <v>91073869</v>
      </c>
      <c r="AC88" s="63" t="s">
        <v>4684</v>
      </c>
      <c r="AD88" s="57" t="str">
        <f>_xlfn.XLOOKUP(CONT_SUP[[#This Row],[StaffMemberCode]],StaffMembers!O:O,StaffMembers!R:R)</f>
        <v>Sophie James</v>
      </c>
      <c r="AE88" s="12" t="s">
        <v>1186</v>
      </c>
      <c r="AF88" s="66">
        <f>_xlfn.XLOOKUP(CONT_SUP[[#This Row],[SRG]],SRG[StaffRoleGroupCode],SRG[GrossSalaryFinanceCode])</f>
        <v>625100</v>
      </c>
      <c r="AG88" s="57" t="str">
        <f>_xlfn.XLOOKUP(CONT_SUP[[#This Row],[StaffRoleCode]],ROLES[StaffRoleCode],ROLES[StaffRoleGroupCode])</f>
        <v>ADM</v>
      </c>
      <c r="AH88" s="57" t="str">
        <f>_xlfn.XLOOKUP(CONT_SUP[[#This Row],[StaffRoleCode]],ROLES[StaffRoleCode],ROLES[PayScaleCode])</f>
        <v>NJC_CHE</v>
      </c>
      <c r="AI88" s="12" t="s">
        <v>3125</v>
      </c>
      <c r="AJ88" s="12">
        <v>23</v>
      </c>
      <c r="AK88" s="12" t="s">
        <v>2482</v>
      </c>
      <c r="AM88" s="68" t="s">
        <v>3132</v>
      </c>
      <c r="AN88" s="12" t="s">
        <v>3135</v>
      </c>
      <c r="AO88" s="21">
        <v>45901</v>
      </c>
      <c r="AQ88" s="12">
        <v>37</v>
      </c>
      <c r="AR88" t="b">
        <v>0</v>
      </c>
      <c r="AS88" t="b">
        <v>0</v>
      </c>
      <c r="AT88" s="12" t="s">
        <v>1574</v>
      </c>
    </row>
    <row r="89" spans="1:46" x14ac:dyDescent="0.3">
      <c r="A89" s="57" t="str">
        <f t="shared" si="2"/>
        <v>ALS9107372391073723AADMSESS45901</v>
      </c>
      <c r="B89" s="57">
        <f>COUNTIF(CONT_SUP[Unique Contract],CONT_SUP[[#This Row],[Unique Contract]])-1</f>
        <v>0</v>
      </c>
      <c r="C89" s="57">
        <f>IFERROR(IF(FIND(CONT_SUP[[#This Row],[SchoolCode]],_xlfn.XLOOKUP(CONT_SUP[[#This Row],[StaffMemberCode]],MEMBERS[StaffMemberCode],MEMBERS[SchoolCodes]))&gt;0,0,1),1)</f>
        <v>0</v>
      </c>
      <c r="D89" s="57" cm="1">
        <f t="array" ref="D89">IF(_xlfn.XLOOKUP(CONT_SUP[[#This Row],[StaffRoleCode]],ROLES[StaffRoleCode],ROLES[AvailableToAllSchools],1,0,)=TRUE,0,IF(ISERROR(FIND(CONT_SUP[[#This Row],[SchoolCode]],_xlfn.TEXTJOIN(",",TRUE,_xlfn.UNIQUE(IF(ROLES[StaffRoleCode]=CONT_SUP[[#This Row],[StaffRoleCode]],ROLES[SchoolCodes],""))))),1,0))</f>
        <v>0</v>
      </c>
      <c r="E89" s="66" cm="1">
        <f t="array" ref="E8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89" s="57" cm="1">
        <f t="array" ref="F89">IF(_xlfn.XLOOKUP(CONT_SUP[[#This Row],[PayScaleCode]],PAYSCALES[PayScaleCode],PAYSCALES[AvailableToAllSchools],1,0,)=TRUE,0,IF(ISERROR(FIND(CONT_SUP[[#This Row],[SchoolCode]],_xlfn.TEXTJOIN(",",TRUE,_xlfn.UNIQUE(IF(PAYSCALES[PayScaleCode]=CONT_SUP[[#This Row],[PayScaleCode]],PAYSCALES[SchoolCodes],""))))),1,0))</f>
        <v>0</v>
      </c>
      <c r="G89" s="57">
        <f>IF(_xlfn.XLOOKUP(CONT_SUP[[#This Row],[PayScaleGradeCode]],GRADES[PayScaleGradeCode],GRADES[AvailableToAllSchools])=TRUE,0,IFERROR(IF(FIND(CONT_SUP[[#This Row],[SchoolCode]],_xlfn.XLOOKUP(CONT_SUP[[#This Row],[PayScaleGradeCode]],GRADES[PayScaleGradeCode],GRADES[SchoolCodes]))&gt;=1,0,1),1))</f>
        <v>0</v>
      </c>
      <c r="H89" s="66">
        <f>IF(ISERROR(IF((_xlfn.XLOOKUP(CONT_SUP[[#This Row],[PayScaleGradeCode]],GRADES[PayScaleGradeCode],GRADES[PayScaleCode])=CONT_SUP[[#This Row],[PayScaleCode]]),0,1)),1,0)</f>
        <v>0</v>
      </c>
      <c r="I89" s="66" cm="1">
        <f t="array" ref="I89">IF(ISERROR(FIND(CONT_SUP[[#This Row],[PayScalePointCode]],_xlfn.TEXTJOIN(",",TRUE,IF(PSPOINTS[PayScaleCode]=CONT_SUP[[#This Row],[PayScaleCode]],PSPOINTS[PayScalePointCode])))),1,0)</f>
        <v>0</v>
      </c>
      <c r="J89" s="57" cm="1">
        <f t="array" ref="J8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89" s="66">
        <f>IF(_xlfn.XLOOKUP(CONT_SUP[[#This Row],[PayScalePointCode]],PSPOINTS[PayScalePointCode],PSPOINTS[PayScalePointEnabled])=TRUE,0,1)</f>
        <v>0</v>
      </c>
      <c r="L89" s="57" cm="1">
        <f t="array" ref="L89">IF(_xlfn.XLOOKUP(CONT_SUP[[#This Row],[DepartmentCode]],DEPTS[DepartmentCode],DEPTS[AvailableToAllSchools],1,0,)=TRUE,0,IF(ISERROR(FIND(CONT_SUP[[#This Row],[SchoolCode]],_xlfn.TEXTJOIN(",",TRUE,_xlfn.UNIQUE(IF(DEPTS[DepartmentCode]=CONT_SUP[[#This Row],[DepartmentCode]],DEPTS[SchoolCodes],""))))),1,0))</f>
        <v>0</v>
      </c>
      <c r="M89" s="57">
        <f>IFERROR(IF(_xlfn.XLOOKUP(CONT_SUP[[#This Row],[SRG Gross]],FinanceCodesBudget[FinanceCode],FinanceCodesBudget[LedgerCode])=_xlfn.XLOOKUP(CONT_SUP[[#This Row],[DepartmentCode]],DEPTS[DepartmentCode],DEPTS[LedgerCode]),0,1),1)</f>
        <v>0</v>
      </c>
      <c r="N89" s="66" cm="1">
        <f t="array" ref="N89">IF(_xlfn.XLOOKUP(CONT_SUP[[#This Row],[PensionCode]],PENS[PensionCode],PENS[AvailableToAllSchools],1,0,)=TRUE,0,IF(ISERROR(FIND(CONT_SUP[[#This Row],[SchoolCode]],_xlfn.TEXTJOIN(",",TRUE,_xlfn.UNIQUE(IF(PENS[PensionCode]=CONT_SUP[[#This Row],[PensionCode]],PENS[SchoolCodes],""))))),1,0))</f>
        <v>0</v>
      </c>
      <c r="O89" s="66" cm="1">
        <f t="array" ref="O89">IF(_xlfn.XLOOKUP(CONT_SUP[[#This Row],[EquatedWeekPatternCode]],EQW[EquatedWeekPatternCode],EQW[AvailableToAllSchools],1,0,)=TRUE,0,IF(ISERROR(FIND(CONT_SUP[[#This Row],[SchoolCode]],_xlfn.TEXTJOIN(",",TRUE,_xlfn.UNIQUE(IF(EQW[EquatedWeekPatternCode]=CONT_SUP[[#This Row],[EquatedWeekPatternCode]],EQW[SchoolCodes],""))))),1,0))</f>
        <v>0</v>
      </c>
      <c r="P89" s="57">
        <f>1-COUNTIF(ContractTypes[Code],CONT_SUP[[#This Row],[ContractTypeCode]])</f>
        <v>0</v>
      </c>
      <c r="Q89" s="57">
        <f>IF(VLOOKUP(CONT_SUP[[#This Row],[StaffMemberCode]],MEMBERS[[StaffMemberCode]:[ServiceStartDate]],5,0)&gt;CONT_SUP[[#This Row],[DateFrom]],1,0)</f>
        <v>0</v>
      </c>
      <c r="R89" s="57">
        <f>IF(_xlfn.XLOOKUP(CONT_SUP[[#This Row],[StaffMemberCode]],MEMBERS[StaffMemberCode],MEMBERS[ServiceEndDate])="",0,IF(CONT_SUP[[#This Row],[DateTo]]="",1,IF(_xlfn.XLOOKUP(CONT_SUP[[#This Row],[StaffMemberCode]],MEMBERS[StaffMemberCode],MEMBERS[ServiceEndDate])&lt;CONT_SUP[[#This Row],[DateTo]],1,0)))</f>
        <v>0</v>
      </c>
      <c r="S89" s="57">
        <f>IF(ISBLANK(CONT_SUP[[#This Row],[DateTo]]),0,IF(CONT_SUP[[#This Row],[DateFrom]]=CONT_SUP[[#This Row],[DateTo]],0,IF(CONT_SUP[[#This Row],[DateFrom]]&lt;CONT_SUP[[#This Row],[DateTo]],0,1)))</f>
        <v>0</v>
      </c>
      <c r="T89" s="57" cm="1">
        <f t="array" aca="1" ref="T89" ca="1">IF(CELL("format",CONT_SUP[[#This Row],[DateFrom]])="D1",0,1)+IF(CELL("format",CONT_SUP[[#This Row],[DateTo]])="D1",0,1)</f>
        <v>0</v>
      </c>
      <c r="U89" s="57">
        <f>IF(OR(CONT_SUP[[#This Row],[MatEditOnly]]=TRUE,CONT_SUP[[#This Row],[MatEditOnly]]=FALSE),IF(OR(CONT_SUP[[#This Row],[NoIncrement]]=TRUE,CONT_SUP[[#This Row],[NoIncrement]]=FALSE),0,1),1)</f>
        <v>0</v>
      </c>
      <c r="V89" s="57">
        <f>IF(ISBLANK(CONT_SUP[[#This Row],[FundCode]])=TRUE,0,IF(COUNTIF(FUNDS[FundCode],CONT_SUP[[#This Row],[FundCode]])=1,0,1))</f>
        <v>0</v>
      </c>
      <c r="W89" s="57">
        <f>IF(LEN(CONT_SUP[[#This Row],[Notes]])&lt;4000,0,1)</f>
        <v>0</v>
      </c>
      <c r="X89" s="57">
        <f>IF(SUBSTITUTE(TEXT(CONT_SUP[[#This Row],[Reference]],10)," ","")=TEXT(CONT_SUP[[#This Row],[Reference]],10),0,1)</f>
        <v>0</v>
      </c>
      <c r="Y89" s="57">
        <f ca="1">SUM(CONT_SUP[[#This Row],[Duplicate Contract]:[Space in Code]])</f>
        <v>0</v>
      </c>
      <c r="AA89" s="12" t="s">
        <v>2082</v>
      </c>
      <c r="AB89" s="63">
        <v>91073723</v>
      </c>
      <c r="AC89" s="63" t="s">
        <v>4685</v>
      </c>
      <c r="AD89" s="57" t="str">
        <f>_xlfn.XLOOKUP(CONT_SUP[[#This Row],[StaffMemberCode]],StaffMembers!O:O,StaffMembers!R:R)</f>
        <v>Catherine Biddulph</v>
      </c>
      <c r="AE89" s="12" t="s">
        <v>1186</v>
      </c>
      <c r="AF89" s="66">
        <f>_xlfn.XLOOKUP(CONT_SUP[[#This Row],[SRG]],SRG[StaffRoleGroupCode],SRG[GrossSalaryFinanceCode])</f>
        <v>625100</v>
      </c>
      <c r="AG89" s="57" t="str">
        <f>_xlfn.XLOOKUP(CONT_SUP[[#This Row],[StaffRoleCode]],ROLES[StaffRoleCode],ROLES[StaffRoleGroupCode])</f>
        <v>ADM</v>
      </c>
      <c r="AH89" s="57" t="str">
        <f>_xlfn.XLOOKUP(CONT_SUP[[#This Row],[StaffRoleCode]],ROLES[StaffRoleCode],ROLES[PayScaleCode])</f>
        <v>NJC_CHE</v>
      </c>
      <c r="AI89" s="12" t="s">
        <v>3122</v>
      </c>
      <c r="AJ89" s="12">
        <v>6</v>
      </c>
      <c r="AK89" s="12" t="s">
        <v>2482</v>
      </c>
      <c r="AM89" s="68" t="s">
        <v>3132</v>
      </c>
      <c r="AN89" s="12" t="s">
        <v>3134</v>
      </c>
      <c r="AO89" s="21">
        <v>45901</v>
      </c>
      <c r="AQ89" s="12">
        <v>37</v>
      </c>
      <c r="AR89" t="b">
        <v>0</v>
      </c>
      <c r="AS89" t="b">
        <v>0</v>
      </c>
      <c r="AT89" s="12" t="s">
        <v>1574</v>
      </c>
    </row>
    <row r="90" spans="1:46" x14ac:dyDescent="0.3">
      <c r="A90" s="57" t="str">
        <f t="shared" si="2"/>
        <v>ALS9107383791073837AADMSESS45901</v>
      </c>
      <c r="B90" s="57">
        <f>COUNTIF(CONT_SUP[Unique Contract],CONT_SUP[[#This Row],[Unique Contract]])-1</f>
        <v>0</v>
      </c>
      <c r="C90" s="57">
        <f>IFERROR(IF(FIND(CONT_SUP[[#This Row],[SchoolCode]],_xlfn.XLOOKUP(CONT_SUP[[#This Row],[StaffMemberCode]],MEMBERS[StaffMemberCode],MEMBERS[SchoolCodes]))&gt;0,0,1),1)</f>
        <v>0</v>
      </c>
      <c r="D90" s="57" cm="1">
        <f t="array" ref="D90">IF(_xlfn.XLOOKUP(CONT_SUP[[#This Row],[StaffRoleCode]],ROLES[StaffRoleCode],ROLES[AvailableToAllSchools],1,0,)=TRUE,0,IF(ISERROR(FIND(CONT_SUP[[#This Row],[SchoolCode]],_xlfn.TEXTJOIN(",",TRUE,_xlfn.UNIQUE(IF(ROLES[StaffRoleCode]=CONT_SUP[[#This Row],[StaffRoleCode]],ROLES[SchoolCodes],""))))),1,0))</f>
        <v>0</v>
      </c>
      <c r="E90" s="66" cm="1">
        <f t="array" ref="E9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90" s="57" cm="1">
        <f t="array" ref="F90">IF(_xlfn.XLOOKUP(CONT_SUP[[#This Row],[PayScaleCode]],PAYSCALES[PayScaleCode],PAYSCALES[AvailableToAllSchools],1,0,)=TRUE,0,IF(ISERROR(FIND(CONT_SUP[[#This Row],[SchoolCode]],_xlfn.TEXTJOIN(",",TRUE,_xlfn.UNIQUE(IF(PAYSCALES[PayScaleCode]=CONT_SUP[[#This Row],[PayScaleCode]],PAYSCALES[SchoolCodes],""))))),1,0))</f>
        <v>0</v>
      </c>
      <c r="G90" s="57">
        <f>IF(_xlfn.XLOOKUP(CONT_SUP[[#This Row],[PayScaleGradeCode]],GRADES[PayScaleGradeCode],GRADES[AvailableToAllSchools])=TRUE,0,IFERROR(IF(FIND(CONT_SUP[[#This Row],[SchoolCode]],_xlfn.XLOOKUP(CONT_SUP[[#This Row],[PayScaleGradeCode]],GRADES[PayScaleGradeCode],GRADES[SchoolCodes]))&gt;=1,0,1),1))</f>
        <v>0</v>
      </c>
      <c r="H90" s="66">
        <f>IF(ISERROR(IF((_xlfn.XLOOKUP(CONT_SUP[[#This Row],[PayScaleGradeCode]],GRADES[PayScaleGradeCode],GRADES[PayScaleCode])=CONT_SUP[[#This Row],[PayScaleCode]]),0,1)),1,0)</f>
        <v>0</v>
      </c>
      <c r="I90" s="66" cm="1">
        <f t="array" ref="I90">IF(ISERROR(FIND(CONT_SUP[[#This Row],[PayScalePointCode]],_xlfn.TEXTJOIN(",",TRUE,IF(PSPOINTS[PayScaleCode]=CONT_SUP[[#This Row],[PayScaleCode]],PSPOINTS[PayScalePointCode])))),1,0)</f>
        <v>0</v>
      </c>
      <c r="J90" s="57" cm="1">
        <f t="array" ref="J9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90" s="66">
        <f>IF(_xlfn.XLOOKUP(CONT_SUP[[#This Row],[PayScalePointCode]],PSPOINTS[PayScalePointCode],PSPOINTS[PayScalePointEnabled])=TRUE,0,1)</f>
        <v>0</v>
      </c>
      <c r="L90" s="57" cm="1">
        <f t="array" ref="L90">IF(_xlfn.XLOOKUP(CONT_SUP[[#This Row],[DepartmentCode]],DEPTS[DepartmentCode],DEPTS[AvailableToAllSchools],1,0,)=TRUE,0,IF(ISERROR(FIND(CONT_SUP[[#This Row],[SchoolCode]],_xlfn.TEXTJOIN(",",TRUE,_xlfn.UNIQUE(IF(DEPTS[DepartmentCode]=CONT_SUP[[#This Row],[DepartmentCode]],DEPTS[SchoolCodes],""))))),1,0))</f>
        <v>0</v>
      </c>
      <c r="M90" s="57">
        <f>IFERROR(IF(_xlfn.XLOOKUP(CONT_SUP[[#This Row],[SRG Gross]],FinanceCodesBudget[FinanceCode],FinanceCodesBudget[LedgerCode])=_xlfn.XLOOKUP(CONT_SUP[[#This Row],[DepartmentCode]],DEPTS[DepartmentCode],DEPTS[LedgerCode]),0,1),1)</f>
        <v>0</v>
      </c>
      <c r="N90" s="66" cm="1">
        <f t="array" ref="N90">IF(_xlfn.XLOOKUP(CONT_SUP[[#This Row],[PensionCode]],PENS[PensionCode],PENS[AvailableToAllSchools],1,0,)=TRUE,0,IF(ISERROR(FIND(CONT_SUP[[#This Row],[SchoolCode]],_xlfn.TEXTJOIN(",",TRUE,_xlfn.UNIQUE(IF(PENS[PensionCode]=CONT_SUP[[#This Row],[PensionCode]],PENS[SchoolCodes],""))))),1,0))</f>
        <v>0</v>
      </c>
      <c r="O90" s="66" cm="1">
        <f t="array" ref="O90">IF(_xlfn.XLOOKUP(CONT_SUP[[#This Row],[EquatedWeekPatternCode]],EQW[EquatedWeekPatternCode],EQW[AvailableToAllSchools],1,0,)=TRUE,0,IF(ISERROR(FIND(CONT_SUP[[#This Row],[SchoolCode]],_xlfn.TEXTJOIN(",",TRUE,_xlfn.UNIQUE(IF(EQW[EquatedWeekPatternCode]=CONT_SUP[[#This Row],[EquatedWeekPatternCode]],EQW[SchoolCodes],""))))),1,0))</f>
        <v>0</v>
      </c>
      <c r="P90" s="57">
        <f>1-COUNTIF(ContractTypes[Code],CONT_SUP[[#This Row],[ContractTypeCode]])</f>
        <v>0</v>
      </c>
      <c r="Q90" s="57">
        <f>IF(VLOOKUP(CONT_SUP[[#This Row],[StaffMemberCode]],MEMBERS[[StaffMemberCode]:[ServiceStartDate]],5,0)&gt;CONT_SUP[[#This Row],[DateFrom]],1,0)</f>
        <v>0</v>
      </c>
      <c r="R90" s="57">
        <f>IF(_xlfn.XLOOKUP(CONT_SUP[[#This Row],[StaffMemberCode]],MEMBERS[StaffMemberCode],MEMBERS[ServiceEndDate])="",0,IF(CONT_SUP[[#This Row],[DateTo]]="",1,IF(_xlfn.XLOOKUP(CONT_SUP[[#This Row],[StaffMemberCode]],MEMBERS[StaffMemberCode],MEMBERS[ServiceEndDate])&lt;CONT_SUP[[#This Row],[DateTo]],1,0)))</f>
        <v>0</v>
      </c>
      <c r="S90" s="57">
        <f>IF(ISBLANK(CONT_SUP[[#This Row],[DateTo]]),0,IF(CONT_SUP[[#This Row],[DateFrom]]=CONT_SUP[[#This Row],[DateTo]],0,IF(CONT_SUP[[#This Row],[DateFrom]]&lt;CONT_SUP[[#This Row],[DateTo]],0,1)))</f>
        <v>0</v>
      </c>
      <c r="T90" s="57" cm="1">
        <f t="array" aca="1" ref="T90" ca="1">IF(CELL("format",CONT_SUP[[#This Row],[DateFrom]])="D1",0,1)+IF(CELL("format",CONT_SUP[[#This Row],[DateTo]])="D1",0,1)</f>
        <v>0</v>
      </c>
      <c r="U90" s="57">
        <f>IF(OR(CONT_SUP[[#This Row],[MatEditOnly]]=TRUE,CONT_SUP[[#This Row],[MatEditOnly]]=FALSE),IF(OR(CONT_SUP[[#This Row],[NoIncrement]]=TRUE,CONT_SUP[[#This Row],[NoIncrement]]=FALSE),0,1),1)</f>
        <v>0</v>
      </c>
      <c r="V90" s="57">
        <f>IF(ISBLANK(CONT_SUP[[#This Row],[FundCode]])=TRUE,0,IF(COUNTIF(FUNDS[FundCode],CONT_SUP[[#This Row],[FundCode]])=1,0,1))</f>
        <v>0</v>
      </c>
      <c r="W90" s="57">
        <f>IF(LEN(CONT_SUP[[#This Row],[Notes]])&lt;4000,0,1)</f>
        <v>0</v>
      </c>
      <c r="X90" s="57">
        <f>IF(SUBSTITUTE(TEXT(CONT_SUP[[#This Row],[Reference]],10)," ","")=TEXT(CONT_SUP[[#This Row],[Reference]],10),0,1)</f>
        <v>0</v>
      </c>
      <c r="Y90" s="57">
        <f ca="1">SUM(CONT_SUP[[#This Row],[Duplicate Contract]:[Space in Code]])</f>
        <v>0</v>
      </c>
      <c r="AA90" s="12" t="s">
        <v>2082</v>
      </c>
      <c r="AB90" s="63">
        <v>91073837</v>
      </c>
      <c r="AC90" s="63" t="s">
        <v>4686</v>
      </c>
      <c r="AD90" s="57" t="str">
        <f>_xlfn.XLOOKUP(CONT_SUP[[#This Row],[StaffMemberCode]],StaffMembers!O:O,StaffMembers!R:R)</f>
        <v>Ming Huang</v>
      </c>
      <c r="AE90" s="12" t="s">
        <v>1186</v>
      </c>
      <c r="AF90" s="66">
        <f>_xlfn.XLOOKUP(CONT_SUP[[#This Row],[SRG]],SRG[StaffRoleGroupCode],SRG[GrossSalaryFinanceCode])</f>
        <v>625100</v>
      </c>
      <c r="AG90" s="57" t="str">
        <f>_xlfn.XLOOKUP(CONT_SUP[[#This Row],[StaffRoleCode]],ROLES[StaffRoleCode],ROLES[StaffRoleGroupCode])</f>
        <v>ADM</v>
      </c>
      <c r="AH90" s="57" t="str">
        <f>_xlfn.XLOOKUP(CONT_SUP[[#This Row],[StaffRoleCode]],ROLES[StaffRoleCode],ROLES[PayScaleCode])</f>
        <v>NJC_CHE</v>
      </c>
      <c r="AI90" s="12" t="s">
        <v>3121</v>
      </c>
      <c r="AJ90" s="12">
        <v>4</v>
      </c>
      <c r="AK90" s="12" t="s">
        <v>2482</v>
      </c>
      <c r="AM90" s="68" t="s">
        <v>3132</v>
      </c>
      <c r="AN90" s="12" t="s">
        <v>3134</v>
      </c>
      <c r="AO90" s="21">
        <v>45901</v>
      </c>
      <c r="AQ90" s="12">
        <v>37</v>
      </c>
      <c r="AR90" t="b">
        <v>0</v>
      </c>
      <c r="AS90" t="b">
        <v>0</v>
      </c>
      <c r="AT90" s="12" t="s">
        <v>1575</v>
      </c>
    </row>
    <row r="91" spans="1:46" x14ac:dyDescent="0.3">
      <c r="A91" s="57" t="str">
        <f t="shared" si="2"/>
        <v>BLS9107346991073469ACOUSESS45901</v>
      </c>
      <c r="B91" s="57">
        <f>COUNTIF(CONT_SUP[Unique Contract],CONT_SUP[[#This Row],[Unique Contract]])-1</f>
        <v>0</v>
      </c>
      <c r="C91" s="57">
        <f>IFERROR(IF(FIND(CONT_SUP[[#This Row],[SchoolCode]],_xlfn.XLOOKUP(CONT_SUP[[#This Row],[StaffMemberCode]],MEMBERS[StaffMemberCode],MEMBERS[SchoolCodes]))&gt;0,0,1),1)</f>
        <v>0</v>
      </c>
      <c r="D91" s="57" cm="1">
        <f t="array" ref="D91">IF(_xlfn.XLOOKUP(CONT_SUP[[#This Row],[StaffRoleCode]],ROLES[StaffRoleCode],ROLES[AvailableToAllSchools],1,0,)=TRUE,0,IF(ISERROR(FIND(CONT_SUP[[#This Row],[SchoolCode]],_xlfn.TEXTJOIN(",",TRUE,_xlfn.UNIQUE(IF(ROLES[StaffRoleCode]=CONT_SUP[[#This Row],[StaffRoleCode]],ROLES[SchoolCodes],""))))),1,0))</f>
        <v>0</v>
      </c>
      <c r="E91" s="66" cm="1">
        <f t="array" ref="E9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91" s="57" cm="1">
        <f t="array" ref="F91">IF(_xlfn.XLOOKUP(CONT_SUP[[#This Row],[PayScaleCode]],PAYSCALES[PayScaleCode],PAYSCALES[AvailableToAllSchools],1,0,)=TRUE,0,IF(ISERROR(FIND(CONT_SUP[[#This Row],[SchoolCode]],_xlfn.TEXTJOIN(",",TRUE,_xlfn.UNIQUE(IF(PAYSCALES[PayScaleCode]=CONT_SUP[[#This Row],[PayScaleCode]],PAYSCALES[SchoolCodes],""))))),1,0))</f>
        <v>0</v>
      </c>
      <c r="G91" s="57">
        <f>IF(_xlfn.XLOOKUP(CONT_SUP[[#This Row],[PayScaleGradeCode]],GRADES[PayScaleGradeCode],GRADES[AvailableToAllSchools])=TRUE,0,IFERROR(IF(FIND(CONT_SUP[[#This Row],[SchoolCode]],_xlfn.XLOOKUP(CONT_SUP[[#This Row],[PayScaleGradeCode]],GRADES[PayScaleGradeCode],GRADES[SchoolCodes]))&gt;=1,0,1),1))</f>
        <v>0</v>
      </c>
      <c r="H91" s="66">
        <f>IF(ISERROR(IF((_xlfn.XLOOKUP(CONT_SUP[[#This Row],[PayScaleGradeCode]],GRADES[PayScaleGradeCode],GRADES[PayScaleCode])=CONT_SUP[[#This Row],[PayScaleCode]]),0,1)),1,0)</f>
        <v>0</v>
      </c>
      <c r="I91" s="66" cm="1">
        <f t="array" ref="I91">IF(ISERROR(FIND(CONT_SUP[[#This Row],[PayScalePointCode]],_xlfn.TEXTJOIN(",",TRUE,IF(PSPOINTS[PayScaleCode]=CONT_SUP[[#This Row],[PayScaleCode]],PSPOINTS[PayScalePointCode])))),1,0)</f>
        <v>0</v>
      </c>
      <c r="J91" s="57" cm="1">
        <f t="array" ref="J9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91" s="66">
        <f>IF(_xlfn.XLOOKUP(CONT_SUP[[#This Row],[PayScalePointCode]],PSPOINTS[PayScalePointCode],PSPOINTS[PayScalePointEnabled])=TRUE,0,1)</f>
        <v>0</v>
      </c>
      <c r="L91" s="57" cm="1">
        <f t="array" ref="L91">IF(_xlfn.XLOOKUP(CONT_SUP[[#This Row],[DepartmentCode]],DEPTS[DepartmentCode],DEPTS[AvailableToAllSchools],1,0,)=TRUE,0,IF(ISERROR(FIND(CONT_SUP[[#This Row],[SchoolCode]],_xlfn.TEXTJOIN(",",TRUE,_xlfn.UNIQUE(IF(DEPTS[DepartmentCode]=CONT_SUP[[#This Row],[DepartmentCode]],DEPTS[SchoolCodes],""))))),1,0))</f>
        <v>0</v>
      </c>
      <c r="M91" s="57">
        <f>IFERROR(IF(_xlfn.XLOOKUP(CONT_SUP[[#This Row],[SRG Gross]],FinanceCodesBudget[FinanceCode],FinanceCodesBudget[LedgerCode])=_xlfn.XLOOKUP(CONT_SUP[[#This Row],[DepartmentCode]],DEPTS[DepartmentCode],DEPTS[LedgerCode]),0,1),1)</f>
        <v>0</v>
      </c>
      <c r="N91" s="66" cm="1">
        <f t="array" ref="N91">IF(_xlfn.XLOOKUP(CONT_SUP[[#This Row],[PensionCode]],PENS[PensionCode],PENS[AvailableToAllSchools],1,0,)=TRUE,0,IF(ISERROR(FIND(CONT_SUP[[#This Row],[SchoolCode]],_xlfn.TEXTJOIN(",",TRUE,_xlfn.UNIQUE(IF(PENS[PensionCode]=CONT_SUP[[#This Row],[PensionCode]],PENS[SchoolCodes],""))))),1,0))</f>
        <v>0</v>
      </c>
      <c r="O91" s="66" cm="1">
        <f t="array" ref="O91">IF(_xlfn.XLOOKUP(CONT_SUP[[#This Row],[EquatedWeekPatternCode]],EQW[EquatedWeekPatternCode],EQW[AvailableToAllSchools],1,0,)=TRUE,0,IF(ISERROR(FIND(CONT_SUP[[#This Row],[SchoolCode]],_xlfn.TEXTJOIN(",",TRUE,_xlfn.UNIQUE(IF(EQW[EquatedWeekPatternCode]=CONT_SUP[[#This Row],[EquatedWeekPatternCode]],EQW[SchoolCodes],""))))),1,0))</f>
        <v>0</v>
      </c>
      <c r="P91" s="57">
        <f>1-COUNTIF(ContractTypes[Code],CONT_SUP[[#This Row],[ContractTypeCode]])</f>
        <v>0</v>
      </c>
      <c r="Q91" s="57">
        <f>IF(VLOOKUP(CONT_SUP[[#This Row],[StaffMemberCode]],MEMBERS[[StaffMemberCode]:[ServiceStartDate]],5,0)&gt;CONT_SUP[[#This Row],[DateFrom]],1,0)</f>
        <v>0</v>
      </c>
      <c r="R91" s="57">
        <f>IF(_xlfn.XLOOKUP(CONT_SUP[[#This Row],[StaffMemberCode]],MEMBERS[StaffMemberCode],MEMBERS[ServiceEndDate])="",0,IF(CONT_SUP[[#This Row],[DateTo]]="",1,IF(_xlfn.XLOOKUP(CONT_SUP[[#This Row],[StaffMemberCode]],MEMBERS[StaffMemberCode],MEMBERS[ServiceEndDate])&lt;CONT_SUP[[#This Row],[DateTo]],1,0)))</f>
        <v>0</v>
      </c>
      <c r="S91" s="57">
        <f>IF(ISBLANK(CONT_SUP[[#This Row],[DateTo]]),0,IF(CONT_SUP[[#This Row],[DateFrom]]=CONT_SUP[[#This Row],[DateTo]],0,IF(CONT_SUP[[#This Row],[DateFrom]]&lt;CONT_SUP[[#This Row],[DateTo]],0,1)))</f>
        <v>0</v>
      </c>
      <c r="T91" s="57" cm="1">
        <f t="array" aca="1" ref="T91" ca="1">IF(CELL("format",CONT_SUP[[#This Row],[DateFrom]])="D1",0,1)+IF(CELL("format",CONT_SUP[[#This Row],[DateTo]])="D1",0,1)</f>
        <v>0</v>
      </c>
      <c r="U91" s="57">
        <f>IF(OR(CONT_SUP[[#This Row],[MatEditOnly]]=TRUE,CONT_SUP[[#This Row],[MatEditOnly]]=FALSE),IF(OR(CONT_SUP[[#This Row],[NoIncrement]]=TRUE,CONT_SUP[[#This Row],[NoIncrement]]=FALSE),0,1),1)</f>
        <v>0</v>
      </c>
      <c r="V91" s="57">
        <f>IF(ISBLANK(CONT_SUP[[#This Row],[FundCode]])=TRUE,0,IF(COUNTIF(FUNDS[FundCode],CONT_SUP[[#This Row],[FundCode]])=1,0,1))</f>
        <v>0</v>
      </c>
      <c r="W91" s="57">
        <f>IF(LEN(CONT_SUP[[#This Row],[Notes]])&lt;4000,0,1)</f>
        <v>0</v>
      </c>
      <c r="X91" s="57">
        <f>IF(SUBSTITUTE(TEXT(CONT_SUP[[#This Row],[Reference]],10)," ","")=TEXT(CONT_SUP[[#This Row],[Reference]],10),0,1)</f>
        <v>0</v>
      </c>
      <c r="Y91" s="57">
        <f ca="1">SUM(CONT_SUP[[#This Row],[Duplicate Contract]:[Space in Code]])</f>
        <v>0</v>
      </c>
      <c r="AA91" s="12" t="s">
        <v>2094</v>
      </c>
      <c r="AB91" s="63">
        <v>91073469</v>
      </c>
      <c r="AC91" s="63" t="s">
        <v>4687</v>
      </c>
      <c r="AD91" s="57" t="str">
        <f>_xlfn.XLOOKUP(CONT_SUP[[#This Row],[StaffMemberCode]],StaffMembers!O:O,StaffMembers!R:R)</f>
        <v>Rowena Clayton</v>
      </c>
      <c r="AE91" s="12" t="s">
        <v>4179</v>
      </c>
      <c r="AF91" s="66">
        <f>_xlfn.XLOOKUP(CONT_SUP[[#This Row],[SRG]],SRG[StaffRoleGroupCode],SRG[GrossSalaryFinanceCode])</f>
        <v>619100</v>
      </c>
      <c r="AG91" s="57" t="str">
        <f>_xlfn.XLOOKUP(CONT_SUP[[#This Row],[StaffRoleCode]],ROLES[StaffRoleCode],ROLES[StaffRoleGroupCode])</f>
        <v>EDS</v>
      </c>
      <c r="AH91" s="57" t="str">
        <f>_xlfn.XLOOKUP(CONT_SUP[[#This Row],[StaffRoleCode]],ROLES[StaffRoleCode],ROLES[PayScaleCode])</f>
        <v>NJC_CHE</v>
      </c>
      <c r="AI91" s="12" t="s">
        <v>3126</v>
      </c>
      <c r="AJ91" s="12">
        <v>28</v>
      </c>
      <c r="AK91" s="12" t="s">
        <v>2482</v>
      </c>
      <c r="AM91" s="68" t="s">
        <v>1149</v>
      </c>
      <c r="AN91" s="12" t="s">
        <v>3134</v>
      </c>
      <c r="AO91" s="21">
        <v>45901</v>
      </c>
      <c r="AQ91" s="12">
        <v>6.5</v>
      </c>
      <c r="AR91" t="b">
        <v>0</v>
      </c>
      <c r="AS91" t="b">
        <v>0</v>
      </c>
      <c r="AT91" s="12" t="s">
        <v>1574</v>
      </c>
    </row>
    <row r="92" spans="1:46" x14ac:dyDescent="0.3">
      <c r="A92" s="57" t="str">
        <f t="shared" si="2"/>
        <v>BLS9107352291073522ACOUSESS45901</v>
      </c>
      <c r="B92" s="57">
        <f>COUNTIF(CONT_SUP[Unique Contract],CONT_SUP[[#This Row],[Unique Contract]])-1</f>
        <v>0</v>
      </c>
      <c r="C92" s="57">
        <f>IFERROR(IF(FIND(CONT_SUP[[#This Row],[SchoolCode]],_xlfn.XLOOKUP(CONT_SUP[[#This Row],[StaffMemberCode]],MEMBERS[StaffMemberCode],MEMBERS[SchoolCodes]))&gt;0,0,1),1)</f>
        <v>0</v>
      </c>
      <c r="D92" s="57" cm="1">
        <f t="array" ref="D92">IF(_xlfn.XLOOKUP(CONT_SUP[[#This Row],[StaffRoleCode]],ROLES[StaffRoleCode],ROLES[AvailableToAllSchools],1,0,)=TRUE,0,IF(ISERROR(FIND(CONT_SUP[[#This Row],[SchoolCode]],_xlfn.TEXTJOIN(",",TRUE,_xlfn.UNIQUE(IF(ROLES[StaffRoleCode]=CONT_SUP[[#This Row],[StaffRoleCode]],ROLES[SchoolCodes],""))))),1,0))</f>
        <v>0</v>
      </c>
      <c r="E92" s="66" cm="1">
        <f t="array" ref="E9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92" s="57" cm="1">
        <f t="array" ref="F92">IF(_xlfn.XLOOKUP(CONT_SUP[[#This Row],[PayScaleCode]],PAYSCALES[PayScaleCode],PAYSCALES[AvailableToAllSchools],1,0,)=TRUE,0,IF(ISERROR(FIND(CONT_SUP[[#This Row],[SchoolCode]],_xlfn.TEXTJOIN(",",TRUE,_xlfn.UNIQUE(IF(PAYSCALES[PayScaleCode]=CONT_SUP[[#This Row],[PayScaleCode]],PAYSCALES[SchoolCodes],""))))),1,0))</f>
        <v>0</v>
      </c>
      <c r="G92" s="57">
        <f>IF(_xlfn.XLOOKUP(CONT_SUP[[#This Row],[PayScaleGradeCode]],GRADES[PayScaleGradeCode],GRADES[AvailableToAllSchools])=TRUE,0,IFERROR(IF(FIND(CONT_SUP[[#This Row],[SchoolCode]],_xlfn.XLOOKUP(CONT_SUP[[#This Row],[PayScaleGradeCode]],GRADES[PayScaleGradeCode],GRADES[SchoolCodes]))&gt;=1,0,1),1))</f>
        <v>0</v>
      </c>
      <c r="H92" s="66">
        <f>IF(ISERROR(IF((_xlfn.XLOOKUP(CONT_SUP[[#This Row],[PayScaleGradeCode]],GRADES[PayScaleGradeCode],GRADES[PayScaleCode])=CONT_SUP[[#This Row],[PayScaleCode]]),0,1)),1,0)</f>
        <v>0</v>
      </c>
      <c r="I92" s="66" cm="1">
        <f t="array" ref="I92">IF(ISERROR(FIND(CONT_SUP[[#This Row],[PayScalePointCode]],_xlfn.TEXTJOIN(",",TRUE,IF(PSPOINTS[PayScaleCode]=CONT_SUP[[#This Row],[PayScaleCode]],PSPOINTS[PayScalePointCode])))),1,0)</f>
        <v>0</v>
      </c>
      <c r="J92" s="57" cm="1">
        <f t="array" ref="J9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92" s="66">
        <f>IF(_xlfn.XLOOKUP(CONT_SUP[[#This Row],[PayScalePointCode]],PSPOINTS[PayScalePointCode],PSPOINTS[PayScalePointEnabled])=TRUE,0,1)</f>
        <v>0</v>
      </c>
      <c r="L92" s="57" cm="1">
        <f t="array" ref="L92">IF(_xlfn.XLOOKUP(CONT_SUP[[#This Row],[DepartmentCode]],DEPTS[DepartmentCode],DEPTS[AvailableToAllSchools],1,0,)=TRUE,0,IF(ISERROR(FIND(CONT_SUP[[#This Row],[SchoolCode]],_xlfn.TEXTJOIN(",",TRUE,_xlfn.UNIQUE(IF(DEPTS[DepartmentCode]=CONT_SUP[[#This Row],[DepartmentCode]],DEPTS[SchoolCodes],""))))),1,0))</f>
        <v>0</v>
      </c>
      <c r="M92" s="57">
        <f>IFERROR(IF(_xlfn.XLOOKUP(CONT_SUP[[#This Row],[SRG Gross]],FinanceCodesBudget[FinanceCode],FinanceCodesBudget[LedgerCode])=_xlfn.XLOOKUP(CONT_SUP[[#This Row],[DepartmentCode]],DEPTS[DepartmentCode],DEPTS[LedgerCode]),0,1),1)</f>
        <v>0</v>
      </c>
      <c r="N92" s="66" cm="1">
        <f t="array" ref="N92">IF(_xlfn.XLOOKUP(CONT_SUP[[#This Row],[PensionCode]],PENS[PensionCode],PENS[AvailableToAllSchools],1,0,)=TRUE,0,IF(ISERROR(FIND(CONT_SUP[[#This Row],[SchoolCode]],_xlfn.TEXTJOIN(",",TRUE,_xlfn.UNIQUE(IF(PENS[PensionCode]=CONT_SUP[[#This Row],[PensionCode]],PENS[SchoolCodes],""))))),1,0))</f>
        <v>0</v>
      </c>
      <c r="O92" s="66" cm="1">
        <f t="array" ref="O92">IF(_xlfn.XLOOKUP(CONT_SUP[[#This Row],[EquatedWeekPatternCode]],EQW[EquatedWeekPatternCode],EQW[AvailableToAllSchools],1,0,)=TRUE,0,IF(ISERROR(FIND(CONT_SUP[[#This Row],[SchoolCode]],_xlfn.TEXTJOIN(",",TRUE,_xlfn.UNIQUE(IF(EQW[EquatedWeekPatternCode]=CONT_SUP[[#This Row],[EquatedWeekPatternCode]],EQW[SchoolCodes],""))))),1,0))</f>
        <v>0</v>
      </c>
      <c r="P92" s="57">
        <f>1-COUNTIF(ContractTypes[Code],CONT_SUP[[#This Row],[ContractTypeCode]])</f>
        <v>0</v>
      </c>
      <c r="Q92" s="57">
        <f>IF(VLOOKUP(CONT_SUP[[#This Row],[StaffMemberCode]],MEMBERS[[StaffMemberCode]:[ServiceStartDate]],5,0)&gt;CONT_SUP[[#This Row],[DateFrom]],1,0)</f>
        <v>0</v>
      </c>
      <c r="R92" s="57">
        <f>IF(_xlfn.XLOOKUP(CONT_SUP[[#This Row],[StaffMemberCode]],MEMBERS[StaffMemberCode],MEMBERS[ServiceEndDate])="",0,IF(CONT_SUP[[#This Row],[DateTo]]="",1,IF(_xlfn.XLOOKUP(CONT_SUP[[#This Row],[StaffMemberCode]],MEMBERS[StaffMemberCode],MEMBERS[ServiceEndDate])&lt;CONT_SUP[[#This Row],[DateTo]],1,0)))</f>
        <v>0</v>
      </c>
      <c r="S92" s="57">
        <f>IF(ISBLANK(CONT_SUP[[#This Row],[DateTo]]),0,IF(CONT_SUP[[#This Row],[DateFrom]]=CONT_SUP[[#This Row],[DateTo]],0,IF(CONT_SUP[[#This Row],[DateFrom]]&lt;CONT_SUP[[#This Row],[DateTo]],0,1)))</f>
        <v>0</v>
      </c>
      <c r="T92" s="57" cm="1">
        <f t="array" aca="1" ref="T92" ca="1">IF(CELL("format",CONT_SUP[[#This Row],[DateFrom]])="D1",0,1)+IF(CELL("format",CONT_SUP[[#This Row],[DateTo]])="D1",0,1)</f>
        <v>0</v>
      </c>
      <c r="U92" s="57">
        <f>IF(OR(CONT_SUP[[#This Row],[MatEditOnly]]=TRUE,CONT_SUP[[#This Row],[MatEditOnly]]=FALSE),IF(OR(CONT_SUP[[#This Row],[NoIncrement]]=TRUE,CONT_SUP[[#This Row],[NoIncrement]]=FALSE),0,1),1)</f>
        <v>0</v>
      </c>
      <c r="V92" s="57">
        <f>IF(ISBLANK(CONT_SUP[[#This Row],[FundCode]])=TRUE,0,IF(COUNTIF(FUNDS[FundCode],CONT_SUP[[#This Row],[FundCode]])=1,0,1))</f>
        <v>0</v>
      </c>
      <c r="W92" s="57">
        <f>IF(LEN(CONT_SUP[[#This Row],[Notes]])&lt;4000,0,1)</f>
        <v>0</v>
      </c>
      <c r="X92" s="57">
        <f>IF(SUBSTITUTE(TEXT(CONT_SUP[[#This Row],[Reference]],10)," ","")=TEXT(CONT_SUP[[#This Row],[Reference]],10),0,1)</f>
        <v>0</v>
      </c>
      <c r="Y92" s="57">
        <f ca="1">SUM(CONT_SUP[[#This Row],[Duplicate Contract]:[Space in Code]])</f>
        <v>0</v>
      </c>
      <c r="AA92" s="12" t="s">
        <v>2094</v>
      </c>
      <c r="AB92" s="63">
        <v>91073522</v>
      </c>
      <c r="AC92" s="63" t="s">
        <v>4688</v>
      </c>
      <c r="AD92" s="57" t="str">
        <f>_xlfn.XLOOKUP(CONT_SUP[[#This Row],[StaffMemberCode]],StaffMembers!O:O,StaffMembers!R:R)</f>
        <v>Sarah Fone</v>
      </c>
      <c r="AE92" s="12" t="s">
        <v>4179</v>
      </c>
      <c r="AF92" s="66">
        <f>_xlfn.XLOOKUP(CONT_SUP[[#This Row],[SRG]],SRG[StaffRoleGroupCode],SRG[GrossSalaryFinanceCode])</f>
        <v>619100</v>
      </c>
      <c r="AG92" s="57" t="str">
        <f>_xlfn.XLOOKUP(CONT_SUP[[#This Row],[StaffRoleCode]],ROLES[StaffRoleCode],ROLES[StaffRoleGroupCode])</f>
        <v>EDS</v>
      </c>
      <c r="AH92" s="57" t="str">
        <f>_xlfn.XLOOKUP(CONT_SUP[[#This Row],[StaffRoleCode]],ROLES[StaffRoleCode],ROLES[PayScaleCode])</f>
        <v>NJC_CHE</v>
      </c>
      <c r="AI92" s="12" t="s">
        <v>3126</v>
      </c>
      <c r="AJ92" s="12">
        <v>27</v>
      </c>
      <c r="AK92" s="12" t="s">
        <v>2482</v>
      </c>
      <c r="AM92" s="68" t="s">
        <v>3132</v>
      </c>
      <c r="AN92" s="12" t="s">
        <v>3134</v>
      </c>
      <c r="AO92" s="21">
        <v>45901</v>
      </c>
      <c r="AQ92" s="12">
        <v>25</v>
      </c>
      <c r="AR92" t="b">
        <v>0</v>
      </c>
      <c r="AS92" t="b">
        <v>0</v>
      </c>
      <c r="AT92" s="12" t="s">
        <v>1574</v>
      </c>
    </row>
    <row r="93" spans="1:46" x14ac:dyDescent="0.3">
      <c r="A93" s="57" t="str">
        <f t="shared" si="2"/>
        <v>ALS9107385491073854ACOUSESS45901</v>
      </c>
      <c r="B93" s="57">
        <f>COUNTIF(CONT_SUP[Unique Contract],CONT_SUP[[#This Row],[Unique Contract]])-1</f>
        <v>0</v>
      </c>
      <c r="C93" s="57">
        <f>IFERROR(IF(FIND(CONT_SUP[[#This Row],[SchoolCode]],_xlfn.XLOOKUP(CONT_SUP[[#This Row],[StaffMemberCode]],MEMBERS[StaffMemberCode],MEMBERS[SchoolCodes]))&gt;0,0,1),1)</f>
        <v>0</v>
      </c>
      <c r="D93" s="57" cm="1">
        <f t="array" ref="D93">IF(_xlfn.XLOOKUP(CONT_SUP[[#This Row],[StaffRoleCode]],ROLES[StaffRoleCode],ROLES[AvailableToAllSchools],1,0,)=TRUE,0,IF(ISERROR(FIND(CONT_SUP[[#This Row],[SchoolCode]],_xlfn.TEXTJOIN(",",TRUE,_xlfn.UNIQUE(IF(ROLES[StaffRoleCode]=CONT_SUP[[#This Row],[StaffRoleCode]],ROLES[SchoolCodes],""))))),1,0))</f>
        <v>0</v>
      </c>
      <c r="E93" s="66" cm="1">
        <f t="array" ref="E9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93" s="57" cm="1">
        <f t="array" ref="F93">IF(_xlfn.XLOOKUP(CONT_SUP[[#This Row],[PayScaleCode]],PAYSCALES[PayScaleCode],PAYSCALES[AvailableToAllSchools],1,0,)=TRUE,0,IF(ISERROR(FIND(CONT_SUP[[#This Row],[SchoolCode]],_xlfn.TEXTJOIN(",",TRUE,_xlfn.UNIQUE(IF(PAYSCALES[PayScaleCode]=CONT_SUP[[#This Row],[PayScaleCode]],PAYSCALES[SchoolCodes],""))))),1,0))</f>
        <v>0</v>
      </c>
      <c r="G93" s="57">
        <f>IF(_xlfn.XLOOKUP(CONT_SUP[[#This Row],[PayScaleGradeCode]],GRADES[PayScaleGradeCode],GRADES[AvailableToAllSchools])=TRUE,0,IFERROR(IF(FIND(CONT_SUP[[#This Row],[SchoolCode]],_xlfn.XLOOKUP(CONT_SUP[[#This Row],[PayScaleGradeCode]],GRADES[PayScaleGradeCode],GRADES[SchoolCodes]))&gt;=1,0,1),1))</f>
        <v>0</v>
      </c>
      <c r="H93" s="66">
        <f>IF(ISERROR(IF((_xlfn.XLOOKUP(CONT_SUP[[#This Row],[PayScaleGradeCode]],GRADES[PayScaleGradeCode],GRADES[PayScaleCode])=CONT_SUP[[#This Row],[PayScaleCode]]),0,1)),1,0)</f>
        <v>0</v>
      </c>
      <c r="I93" s="66" cm="1">
        <f t="array" ref="I93">IF(ISERROR(FIND(CONT_SUP[[#This Row],[PayScalePointCode]],_xlfn.TEXTJOIN(",",TRUE,IF(PSPOINTS[PayScaleCode]=CONT_SUP[[#This Row],[PayScaleCode]],PSPOINTS[PayScalePointCode])))),1,0)</f>
        <v>0</v>
      </c>
      <c r="J93" s="57" cm="1">
        <f t="array" ref="J9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93" s="66">
        <f>IF(_xlfn.XLOOKUP(CONT_SUP[[#This Row],[PayScalePointCode]],PSPOINTS[PayScalePointCode],PSPOINTS[PayScalePointEnabled])=TRUE,0,1)</f>
        <v>0</v>
      </c>
      <c r="L93" s="57" cm="1">
        <f t="array" ref="L93">IF(_xlfn.XLOOKUP(CONT_SUP[[#This Row],[DepartmentCode]],DEPTS[DepartmentCode],DEPTS[AvailableToAllSchools],1,0,)=TRUE,0,IF(ISERROR(FIND(CONT_SUP[[#This Row],[SchoolCode]],_xlfn.TEXTJOIN(",",TRUE,_xlfn.UNIQUE(IF(DEPTS[DepartmentCode]=CONT_SUP[[#This Row],[DepartmentCode]],DEPTS[SchoolCodes],""))))),1,0))</f>
        <v>0</v>
      </c>
      <c r="M93" s="57">
        <f>IFERROR(IF(_xlfn.XLOOKUP(CONT_SUP[[#This Row],[SRG Gross]],FinanceCodesBudget[FinanceCode],FinanceCodesBudget[LedgerCode])=_xlfn.XLOOKUP(CONT_SUP[[#This Row],[DepartmentCode]],DEPTS[DepartmentCode],DEPTS[LedgerCode]),0,1),1)</f>
        <v>0</v>
      </c>
      <c r="N93" s="66" cm="1">
        <f t="array" ref="N93">IF(_xlfn.XLOOKUP(CONT_SUP[[#This Row],[PensionCode]],PENS[PensionCode],PENS[AvailableToAllSchools],1,0,)=TRUE,0,IF(ISERROR(FIND(CONT_SUP[[#This Row],[SchoolCode]],_xlfn.TEXTJOIN(",",TRUE,_xlfn.UNIQUE(IF(PENS[PensionCode]=CONT_SUP[[#This Row],[PensionCode]],PENS[SchoolCodes],""))))),1,0))</f>
        <v>0</v>
      </c>
      <c r="O93" s="66" cm="1">
        <f t="array" ref="O93">IF(_xlfn.XLOOKUP(CONT_SUP[[#This Row],[EquatedWeekPatternCode]],EQW[EquatedWeekPatternCode],EQW[AvailableToAllSchools],1,0,)=TRUE,0,IF(ISERROR(FIND(CONT_SUP[[#This Row],[SchoolCode]],_xlfn.TEXTJOIN(",",TRUE,_xlfn.UNIQUE(IF(EQW[EquatedWeekPatternCode]=CONT_SUP[[#This Row],[EquatedWeekPatternCode]],EQW[SchoolCodes],""))))),1,0))</f>
        <v>0</v>
      </c>
      <c r="P93" s="57">
        <f>1-COUNTIF(ContractTypes[Code],CONT_SUP[[#This Row],[ContractTypeCode]])</f>
        <v>0</v>
      </c>
      <c r="Q93" s="57">
        <f>IF(VLOOKUP(CONT_SUP[[#This Row],[StaffMemberCode]],MEMBERS[[StaffMemberCode]:[ServiceStartDate]],5,0)&gt;CONT_SUP[[#This Row],[DateFrom]],1,0)</f>
        <v>0</v>
      </c>
      <c r="R93" s="57">
        <f>IF(_xlfn.XLOOKUP(CONT_SUP[[#This Row],[StaffMemberCode]],MEMBERS[StaffMemberCode],MEMBERS[ServiceEndDate])="",0,IF(CONT_SUP[[#This Row],[DateTo]]="",1,IF(_xlfn.XLOOKUP(CONT_SUP[[#This Row],[StaffMemberCode]],MEMBERS[StaffMemberCode],MEMBERS[ServiceEndDate])&lt;CONT_SUP[[#This Row],[DateTo]],1,0)))</f>
        <v>0</v>
      </c>
      <c r="S93" s="57">
        <f>IF(ISBLANK(CONT_SUP[[#This Row],[DateTo]]),0,IF(CONT_SUP[[#This Row],[DateFrom]]=CONT_SUP[[#This Row],[DateTo]],0,IF(CONT_SUP[[#This Row],[DateFrom]]&lt;CONT_SUP[[#This Row],[DateTo]],0,1)))</f>
        <v>0</v>
      </c>
      <c r="T93" s="57" cm="1">
        <f t="array" aca="1" ref="T93" ca="1">IF(CELL("format",CONT_SUP[[#This Row],[DateFrom]])="D1",0,1)+IF(CELL("format",CONT_SUP[[#This Row],[DateTo]])="D1",0,1)</f>
        <v>0</v>
      </c>
      <c r="U93" s="57">
        <f>IF(OR(CONT_SUP[[#This Row],[MatEditOnly]]=TRUE,CONT_SUP[[#This Row],[MatEditOnly]]=FALSE),IF(OR(CONT_SUP[[#This Row],[NoIncrement]]=TRUE,CONT_SUP[[#This Row],[NoIncrement]]=FALSE),0,1),1)</f>
        <v>0</v>
      </c>
      <c r="V93" s="57">
        <f>IF(ISBLANK(CONT_SUP[[#This Row],[FundCode]])=TRUE,0,IF(COUNTIF(FUNDS[FundCode],CONT_SUP[[#This Row],[FundCode]])=1,0,1))</f>
        <v>0</v>
      </c>
      <c r="W93" s="57">
        <f>IF(LEN(CONT_SUP[[#This Row],[Notes]])&lt;4000,0,1)</f>
        <v>0</v>
      </c>
      <c r="X93" s="57">
        <f>IF(SUBSTITUTE(TEXT(CONT_SUP[[#This Row],[Reference]],10)," ","")=TEXT(CONT_SUP[[#This Row],[Reference]],10),0,1)</f>
        <v>0</v>
      </c>
      <c r="Y93" s="57">
        <f ca="1">SUM(CONT_SUP[[#This Row],[Duplicate Contract]:[Space in Code]])</f>
        <v>0</v>
      </c>
      <c r="AA93" s="12" t="s">
        <v>2082</v>
      </c>
      <c r="AB93" s="63">
        <v>91073854</v>
      </c>
      <c r="AC93" s="63" t="s">
        <v>4689</v>
      </c>
      <c r="AD93" s="57" t="str">
        <f>_xlfn.XLOOKUP(CONT_SUP[[#This Row],[StaffMemberCode]],StaffMembers!O:O,StaffMembers!R:R)</f>
        <v>Stephanie Cunningham</v>
      </c>
      <c r="AE93" s="12" t="s">
        <v>4179</v>
      </c>
      <c r="AF93" s="66">
        <f>_xlfn.XLOOKUP(CONT_SUP[[#This Row],[SRG]],SRG[StaffRoleGroupCode],SRG[GrossSalaryFinanceCode])</f>
        <v>619100</v>
      </c>
      <c r="AG93" s="57" t="str">
        <f>_xlfn.XLOOKUP(CONT_SUP[[#This Row],[StaffRoleCode]],ROLES[StaffRoleCode],ROLES[StaffRoleGroupCode])</f>
        <v>EDS</v>
      </c>
      <c r="AH93" s="57" t="str">
        <f>_xlfn.XLOOKUP(CONT_SUP[[#This Row],[StaffRoleCode]],ROLES[StaffRoleCode],ROLES[PayScaleCode])</f>
        <v>NJC_CHE</v>
      </c>
      <c r="AI93" s="12" t="s">
        <v>3126</v>
      </c>
      <c r="AJ93" s="12">
        <v>26</v>
      </c>
      <c r="AK93" s="12" t="s">
        <v>2482</v>
      </c>
      <c r="AM93" s="68" t="s">
        <v>3132</v>
      </c>
      <c r="AN93" s="12" t="s">
        <v>3134</v>
      </c>
      <c r="AO93" s="21">
        <v>45901</v>
      </c>
      <c r="AQ93" s="12">
        <v>37</v>
      </c>
      <c r="AR93" t="b">
        <v>0</v>
      </c>
      <c r="AS93" t="b">
        <v>0</v>
      </c>
      <c r="AT93" s="12" t="s">
        <v>1574</v>
      </c>
    </row>
    <row r="94" spans="1:46" x14ac:dyDescent="0.3">
      <c r="A94" s="57" t="str">
        <f t="shared" si="2"/>
        <v>ALS9133041091330410BCOV_MGRSESS45901</v>
      </c>
      <c r="B94" s="57">
        <f>COUNTIF(CONT_SUP[Unique Contract],CONT_SUP[[#This Row],[Unique Contract]])-1</f>
        <v>0</v>
      </c>
      <c r="C94" s="57">
        <f>IFERROR(IF(FIND(CONT_SUP[[#This Row],[SchoolCode]],_xlfn.XLOOKUP(CONT_SUP[[#This Row],[StaffMemberCode]],MEMBERS[StaffMemberCode],MEMBERS[SchoolCodes]))&gt;0,0,1),1)</f>
        <v>0</v>
      </c>
      <c r="D94" s="57" cm="1">
        <f t="array" ref="D94">IF(_xlfn.XLOOKUP(CONT_SUP[[#This Row],[StaffRoleCode]],ROLES[StaffRoleCode],ROLES[AvailableToAllSchools],1,0,)=TRUE,0,IF(ISERROR(FIND(CONT_SUP[[#This Row],[SchoolCode]],_xlfn.TEXTJOIN(",",TRUE,_xlfn.UNIQUE(IF(ROLES[StaffRoleCode]=CONT_SUP[[#This Row],[StaffRoleCode]],ROLES[SchoolCodes],""))))),1,0))</f>
        <v>0</v>
      </c>
      <c r="E94" s="66" cm="1">
        <f t="array" ref="E9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94" s="57" cm="1">
        <f t="array" ref="F94">IF(_xlfn.XLOOKUP(CONT_SUP[[#This Row],[PayScaleCode]],PAYSCALES[PayScaleCode],PAYSCALES[AvailableToAllSchools],1,0,)=TRUE,0,IF(ISERROR(FIND(CONT_SUP[[#This Row],[SchoolCode]],_xlfn.TEXTJOIN(",",TRUE,_xlfn.UNIQUE(IF(PAYSCALES[PayScaleCode]=CONT_SUP[[#This Row],[PayScaleCode]],PAYSCALES[SchoolCodes],""))))),1,0))</f>
        <v>0</v>
      </c>
      <c r="G94" s="57">
        <f>IF(_xlfn.XLOOKUP(CONT_SUP[[#This Row],[PayScaleGradeCode]],GRADES[PayScaleGradeCode],GRADES[AvailableToAllSchools])=TRUE,0,IFERROR(IF(FIND(CONT_SUP[[#This Row],[SchoolCode]],_xlfn.XLOOKUP(CONT_SUP[[#This Row],[PayScaleGradeCode]],GRADES[PayScaleGradeCode],GRADES[SchoolCodes]))&gt;=1,0,1),1))</f>
        <v>0</v>
      </c>
      <c r="H94" s="66">
        <f>IF(ISERROR(IF((_xlfn.XLOOKUP(CONT_SUP[[#This Row],[PayScaleGradeCode]],GRADES[PayScaleGradeCode],GRADES[PayScaleCode])=CONT_SUP[[#This Row],[PayScaleCode]]),0,1)),1,0)</f>
        <v>0</v>
      </c>
      <c r="I94" s="66" cm="1">
        <f t="array" ref="I94">IF(ISERROR(FIND(CONT_SUP[[#This Row],[PayScalePointCode]],_xlfn.TEXTJOIN(",",TRUE,IF(PSPOINTS[PayScaleCode]=CONT_SUP[[#This Row],[PayScaleCode]],PSPOINTS[PayScalePointCode])))),1,0)</f>
        <v>0</v>
      </c>
      <c r="J94" s="57" cm="1">
        <f t="array" ref="J9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94" s="66">
        <f>IF(_xlfn.XLOOKUP(CONT_SUP[[#This Row],[PayScalePointCode]],PSPOINTS[PayScalePointCode],PSPOINTS[PayScalePointEnabled])=TRUE,0,1)</f>
        <v>0</v>
      </c>
      <c r="L94" s="57" cm="1">
        <f t="array" ref="L94">IF(_xlfn.XLOOKUP(CONT_SUP[[#This Row],[DepartmentCode]],DEPTS[DepartmentCode],DEPTS[AvailableToAllSchools],1,0,)=TRUE,0,IF(ISERROR(FIND(CONT_SUP[[#This Row],[SchoolCode]],_xlfn.TEXTJOIN(",",TRUE,_xlfn.UNIQUE(IF(DEPTS[DepartmentCode]=CONT_SUP[[#This Row],[DepartmentCode]],DEPTS[SchoolCodes],""))))),1,0))</f>
        <v>0</v>
      </c>
      <c r="M94" s="57">
        <f>IFERROR(IF(_xlfn.XLOOKUP(CONT_SUP[[#This Row],[SRG Gross]],FinanceCodesBudget[FinanceCode],FinanceCodesBudget[LedgerCode])=_xlfn.XLOOKUP(CONT_SUP[[#This Row],[DepartmentCode]],DEPTS[DepartmentCode],DEPTS[LedgerCode]),0,1),1)</f>
        <v>0</v>
      </c>
      <c r="N94" s="66" cm="1">
        <f t="array" ref="N94">IF(_xlfn.XLOOKUP(CONT_SUP[[#This Row],[PensionCode]],PENS[PensionCode],PENS[AvailableToAllSchools],1,0,)=TRUE,0,IF(ISERROR(FIND(CONT_SUP[[#This Row],[SchoolCode]],_xlfn.TEXTJOIN(",",TRUE,_xlfn.UNIQUE(IF(PENS[PensionCode]=CONT_SUP[[#This Row],[PensionCode]],PENS[SchoolCodes],""))))),1,0))</f>
        <v>0</v>
      </c>
      <c r="O94" s="66" cm="1">
        <f t="array" ref="O94">IF(_xlfn.XLOOKUP(CONT_SUP[[#This Row],[EquatedWeekPatternCode]],EQW[EquatedWeekPatternCode],EQW[AvailableToAllSchools],1,0,)=TRUE,0,IF(ISERROR(FIND(CONT_SUP[[#This Row],[SchoolCode]],_xlfn.TEXTJOIN(",",TRUE,_xlfn.UNIQUE(IF(EQW[EquatedWeekPatternCode]=CONT_SUP[[#This Row],[EquatedWeekPatternCode]],EQW[SchoolCodes],""))))),1,0))</f>
        <v>0</v>
      </c>
      <c r="P94" s="57">
        <f>1-COUNTIF(ContractTypes[Code],CONT_SUP[[#This Row],[ContractTypeCode]])</f>
        <v>0</v>
      </c>
      <c r="Q94" s="57">
        <f>IF(VLOOKUP(CONT_SUP[[#This Row],[StaffMemberCode]],MEMBERS[[StaffMemberCode]:[ServiceStartDate]],5,0)&gt;CONT_SUP[[#This Row],[DateFrom]],1,0)</f>
        <v>0</v>
      </c>
      <c r="R94" s="57">
        <f>IF(_xlfn.XLOOKUP(CONT_SUP[[#This Row],[StaffMemberCode]],MEMBERS[StaffMemberCode],MEMBERS[ServiceEndDate])="",0,IF(CONT_SUP[[#This Row],[DateTo]]="",1,IF(_xlfn.XLOOKUP(CONT_SUP[[#This Row],[StaffMemberCode]],MEMBERS[StaffMemberCode],MEMBERS[ServiceEndDate])&lt;CONT_SUP[[#This Row],[DateTo]],1,0)))</f>
        <v>0</v>
      </c>
      <c r="S94" s="57">
        <f>IF(ISBLANK(CONT_SUP[[#This Row],[DateTo]]),0,IF(CONT_SUP[[#This Row],[DateFrom]]=CONT_SUP[[#This Row],[DateTo]],0,IF(CONT_SUP[[#This Row],[DateFrom]]&lt;CONT_SUP[[#This Row],[DateTo]],0,1)))</f>
        <v>0</v>
      </c>
      <c r="T94" s="57" cm="1">
        <f t="array" aca="1" ref="T94" ca="1">IF(CELL("format",CONT_SUP[[#This Row],[DateFrom]])="D1",0,1)+IF(CELL("format",CONT_SUP[[#This Row],[DateTo]])="D1",0,1)</f>
        <v>0</v>
      </c>
      <c r="U94" s="57">
        <f>IF(OR(CONT_SUP[[#This Row],[MatEditOnly]]=TRUE,CONT_SUP[[#This Row],[MatEditOnly]]=FALSE),IF(OR(CONT_SUP[[#This Row],[NoIncrement]]=TRUE,CONT_SUP[[#This Row],[NoIncrement]]=FALSE),0,1),1)</f>
        <v>0</v>
      </c>
      <c r="V94" s="57">
        <f>IF(ISBLANK(CONT_SUP[[#This Row],[FundCode]])=TRUE,0,IF(COUNTIF(FUNDS[FundCode],CONT_SUP[[#This Row],[FundCode]])=1,0,1))</f>
        <v>0</v>
      </c>
      <c r="W94" s="57">
        <f>IF(LEN(CONT_SUP[[#This Row],[Notes]])&lt;4000,0,1)</f>
        <v>0</v>
      </c>
      <c r="X94" s="57">
        <f>IF(SUBSTITUTE(TEXT(CONT_SUP[[#This Row],[Reference]],10)," ","")=TEXT(CONT_SUP[[#This Row],[Reference]],10),0,1)</f>
        <v>0</v>
      </c>
      <c r="Y94" s="57">
        <f ca="1">SUM(CONT_SUP[[#This Row],[Duplicate Contract]:[Space in Code]])</f>
        <v>0</v>
      </c>
      <c r="AA94" s="12" t="s">
        <v>2082</v>
      </c>
      <c r="AB94" s="63">
        <v>91330410</v>
      </c>
      <c r="AC94" s="63" t="s">
        <v>4690</v>
      </c>
      <c r="AD94" s="57" t="str">
        <f>_xlfn.XLOOKUP(CONT_SUP[[#This Row],[StaffMemberCode]],StaffMembers!O:O,StaffMembers!R:R)</f>
        <v>Chi Ming Choi</v>
      </c>
      <c r="AE94" s="12" t="s">
        <v>4181</v>
      </c>
      <c r="AF94" s="66">
        <f>_xlfn.XLOOKUP(CONT_SUP[[#This Row],[SRG]],SRG[StaffRoleGroupCode],SRG[GrossSalaryFinanceCode])</f>
        <v>619100</v>
      </c>
      <c r="AG94" s="57" t="str">
        <f>_xlfn.XLOOKUP(CONT_SUP[[#This Row],[StaffRoleCode]],ROLES[StaffRoleCode],ROLES[StaffRoleGroupCode])</f>
        <v>EDS</v>
      </c>
      <c r="AH94" s="57" t="str">
        <f>_xlfn.XLOOKUP(CONT_SUP[[#This Row],[StaffRoleCode]],ROLES[StaffRoleCode],ROLES[PayScaleCode])</f>
        <v>NJC_CHE</v>
      </c>
      <c r="AI94" s="12" t="s">
        <v>3124</v>
      </c>
      <c r="AJ94" s="12">
        <v>12</v>
      </c>
      <c r="AK94" s="12" t="s">
        <v>2482</v>
      </c>
      <c r="AM94" s="68" t="s">
        <v>3132</v>
      </c>
      <c r="AN94" s="12" t="s">
        <v>3135</v>
      </c>
      <c r="AO94" s="21">
        <v>45901</v>
      </c>
      <c r="AQ94" s="12">
        <v>37</v>
      </c>
      <c r="AR94" t="b">
        <v>0</v>
      </c>
      <c r="AS94" t="b">
        <v>0</v>
      </c>
      <c r="AT94" s="12" t="s">
        <v>1574</v>
      </c>
    </row>
    <row r="95" spans="1:46" x14ac:dyDescent="0.3">
      <c r="A95" s="57" t="str">
        <f t="shared" si="2"/>
        <v>ALS9107374591073745CEXA_MGRSESS45901</v>
      </c>
      <c r="B95" s="57">
        <f>COUNTIF(CONT_SUP[Unique Contract],CONT_SUP[[#This Row],[Unique Contract]])-1</f>
        <v>0</v>
      </c>
      <c r="C95" s="57">
        <f>IFERROR(IF(FIND(CONT_SUP[[#This Row],[SchoolCode]],_xlfn.XLOOKUP(CONT_SUP[[#This Row],[StaffMemberCode]],MEMBERS[StaffMemberCode],MEMBERS[SchoolCodes]))&gt;0,0,1),1)</f>
        <v>0</v>
      </c>
      <c r="D95" s="57" cm="1">
        <f t="array" ref="D95">IF(_xlfn.XLOOKUP(CONT_SUP[[#This Row],[StaffRoleCode]],ROLES[StaffRoleCode],ROLES[AvailableToAllSchools],1,0,)=TRUE,0,IF(ISERROR(FIND(CONT_SUP[[#This Row],[SchoolCode]],_xlfn.TEXTJOIN(",",TRUE,_xlfn.UNIQUE(IF(ROLES[StaffRoleCode]=CONT_SUP[[#This Row],[StaffRoleCode]],ROLES[SchoolCodes],""))))),1,0))</f>
        <v>0</v>
      </c>
      <c r="E95" s="66" cm="1">
        <f t="array" ref="E9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95" s="57" cm="1">
        <f t="array" ref="F95">IF(_xlfn.XLOOKUP(CONT_SUP[[#This Row],[PayScaleCode]],PAYSCALES[PayScaleCode],PAYSCALES[AvailableToAllSchools],1,0,)=TRUE,0,IF(ISERROR(FIND(CONT_SUP[[#This Row],[SchoolCode]],_xlfn.TEXTJOIN(",",TRUE,_xlfn.UNIQUE(IF(PAYSCALES[PayScaleCode]=CONT_SUP[[#This Row],[PayScaleCode]],PAYSCALES[SchoolCodes],""))))),1,0))</f>
        <v>0</v>
      </c>
      <c r="G95" s="57">
        <f>IF(_xlfn.XLOOKUP(CONT_SUP[[#This Row],[PayScaleGradeCode]],GRADES[PayScaleGradeCode],GRADES[AvailableToAllSchools])=TRUE,0,IFERROR(IF(FIND(CONT_SUP[[#This Row],[SchoolCode]],_xlfn.XLOOKUP(CONT_SUP[[#This Row],[PayScaleGradeCode]],GRADES[PayScaleGradeCode],GRADES[SchoolCodes]))&gt;=1,0,1),1))</f>
        <v>0</v>
      </c>
      <c r="H95" s="66">
        <f>IF(ISERROR(IF((_xlfn.XLOOKUP(CONT_SUP[[#This Row],[PayScaleGradeCode]],GRADES[PayScaleGradeCode],GRADES[PayScaleCode])=CONT_SUP[[#This Row],[PayScaleCode]]),0,1)),1,0)</f>
        <v>0</v>
      </c>
      <c r="I95" s="66" cm="1">
        <f t="array" ref="I95">IF(ISERROR(FIND(CONT_SUP[[#This Row],[PayScalePointCode]],_xlfn.TEXTJOIN(",",TRUE,IF(PSPOINTS[PayScaleCode]=CONT_SUP[[#This Row],[PayScaleCode]],PSPOINTS[PayScalePointCode])))),1,0)</f>
        <v>0</v>
      </c>
      <c r="J95" s="57" cm="1">
        <f t="array" ref="J9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95" s="66">
        <f>IF(_xlfn.XLOOKUP(CONT_SUP[[#This Row],[PayScalePointCode]],PSPOINTS[PayScalePointCode],PSPOINTS[PayScalePointEnabled])=TRUE,0,1)</f>
        <v>0</v>
      </c>
      <c r="L95" s="57" cm="1">
        <f t="array" ref="L95">IF(_xlfn.XLOOKUP(CONT_SUP[[#This Row],[DepartmentCode]],DEPTS[DepartmentCode],DEPTS[AvailableToAllSchools],1,0,)=TRUE,0,IF(ISERROR(FIND(CONT_SUP[[#This Row],[SchoolCode]],_xlfn.TEXTJOIN(",",TRUE,_xlfn.UNIQUE(IF(DEPTS[DepartmentCode]=CONT_SUP[[#This Row],[DepartmentCode]],DEPTS[SchoolCodes],""))))),1,0))</f>
        <v>0</v>
      </c>
      <c r="M95" s="57">
        <f>IFERROR(IF(_xlfn.XLOOKUP(CONT_SUP[[#This Row],[SRG Gross]],FinanceCodesBudget[FinanceCode],FinanceCodesBudget[LedgerCode])=_xlfn.XLOOKUP(CONT_SUP[[#This Row],[DepartmentCode]],DEPTS[DepartmentCode],DEPTS[LedgerCode]),0,1),1)</f>
        <v>0</v>
      </c>
      <c r="N95" s="66" cm="1">
        <f t="array" ref="N95">IF(_xlfn.XLOOKUP(CONT_SUP[[#This Row],[PensionCode]],PENS[PensionCode],PENS[AvailableToAllSchools],1,0,)=TRUE,0,IF(ISERROR(FIND(CONT_SUP[[#This Row],[SchoolCode]],_xlfn.TEXTJOIN(",",TRUE,_xlfn.UNIQUE(IF(PENS[PensionCode]=CONT_SUP[[#This Row],[PensionCode]],PENS[SchoolCodes],""))))),1,0))</f>
        <v>0</v>
      </c>
      <c r="O95" s="66" cm="1">
        <f t="array" ref="O95">IF(_xlfn.XLOOKUP(CONT_SUP[[#This Row],[EquatedWeekPatternCode]],EQW[EquatedWeekPatternCode],EQW[AvailableToAllSchools],1,0,)=TRUE,0,IF(ISERROR(FIND(CONT_SUP[[#This Row],[SchoolCode]],_xlfn.TEXTJOIN(",",TRUE,_xlfn.UNIQUE(IF(EQW[EquatedWeekPatternCode]=CONT_SUP[[#This Row],[EquatedWeekPatternCode]],EQW[SchoolCodes],""))))),1,0))</f>
        <v>0</v>
      </c>
      <c r="P95" s="57">
        <f>1-COUNTIF(ContractTypes[Code],CONT_SUP[[#This Row],[ContractTypeCode]])</f>
        <v>0</v>
      </c>
      <c r="Q95" s="57">
        <f>IF(VLOOKUP(CONT_SUP[[#This Row],[StaffMemberCode]],MEMBERS[[StaffMemberCode]:[ServiceStartDate]],5,0)&gt;CONT_SUP[[#This Row],[DateFrom]],1,0)</f>
        <v>0</v>
      </c>
      <c r="R95" s="57">
        <f>IF(_xlfn.XLOOKUP(CONT_SUP[[#This Row],[StaffMemberCode]],MEMBERS[StaffMemberCode],MEMBERS[ServiceEndDate])="",0,IF(CONT_SUP[[#This Row],[DateTo]]="",1,IF(_xlfn.XLOOKUP(CONT_SUP[[#This Row],[StaffMemberCode]],MEMBERS[StaffMemberCode],MEMBERS[ServiceEndDate])&lt;CONT_SUP[[#This Row],[DateTo]],1,0)))</f>
        <v>0</v>
      </c>
      <c r="S95" s="57">
        <f>IF(ISBLANK(CONT_SUP[[#This Row],[DateTo]]),0,IF(CONT_SUP[[#This Row],[DateFrom]]=CONT_SUP[[#This Row],[DateTo]],0,IF(CONT_SUP[[#This Row],[DateFrom]]&lt;CONT_SUP[[#This Row],[DateTo]],0,1)))</f>
        <v>0</v>
      </c>
      <c r="T95" s="57" cm="1">
        <f t="array" aca="1" ref="T95" ca="1">IF(CELL("format",CONT_SUP[[#This Row],[DateFrom]])="D1",0,1)+IF(CELL("format",CONT_SUP[[#This Row],[DateTo]])="D1",0,1)</f>
        <v>0</v>
      </c>
      <c r="U95" s="57">
        <f>IF(OR(CONT_SUP[[#This Row],[MatEditOnly]]=TRUE,CONT_SUP[[#This Row],[MatEditOnly]]=FALSE),IF(OR(CONT_SUP[[#This Row],[NoIncrement]]=TRUE,CONT_SUP[[#This Row],[NoIncrement]]=FALSE),0,1),1)</f>
        <v>0</v>
      </c>
      <c r="V95" s="57">
        <f>IF(ISBLANK(CONT_SUP[[#This Row],[FundCode]])=TRUE,0,IF(COUNTIF(FUNDS[FundCode],CONT_SUP[[#This Row],[FundCode]])=1,0,1))</f>
        <v>0</v>
      </c>
      <c r="W95" s="57">
        <f>IF(LEN(CONT_SUP[[#This Row],[Notes]])&lt;4000,0,1)</f>
        <v>0</v>
      </c>
      <c r="X95" s="57">
        <f>IF(SUBSTITUTE(TEXT(CONT_SUP[[#This Row],[Reference]],10)," ","")=TEXT(CONT_SUP[[#This Row],[Reference]],10),0,1)</f>
        <v>0</v>
      </c>
      <c r="Y95" s="57">
        <f ca="1">SUM(CONT_SUP[[#This Row],[Duplicate Contract]:[Space in Code]])</f>
        <v>0</v>
      </c>
      <c r="AA95" s="12" t="s">
        <v>2082</v>
      </c>
      <c r="AB95" s="63">
        <v>91073745</v>
      </c>
      <c r="AC95" s="63" t="s">
        <v>4691</v>
      </c>
      <c r="AD95" s="57" t="str">
        <f>_xlfn.XLOOKUP(CONT_SUP[[#This Row],[StaffMemberCode]],StaffMembers!O:O,StaffMembers!R:R)</f>
        <v>Leanne Welsh</v>
      </c>
      <c r="AE95" s="12" t="s">
        <v>4187</v>
      </c>
      <c r="AF95" s="66">
        <f>_xlfn.XLOOKUP(CONT_SUP[[#This Row],[SRG]],SRG[StaffRoleGroupCode],SRG[GrossSalaryFinanceCode])</f>
        <v>619100</v>
      </c>
      <c r="AG95" s="57" t="str">
        <f>_xlfn.XLOOKUP(CONT_SUP[[#This Row],[StaffRoleCode]],ROLES[StaffRoleCode],ROLES[StaffRoleGroupCode])</f>
        <v>EDS</v>
      </c>
      <c r="AH95" s="57" t="str">
        <f>_xlfn.XLOOKUP(CONT_SUP[[#This Row],[StaffRoleCode]],ROLES[StaffRoleCode],ROLES[PayScaleCode])</f>
        <v>NJC_CHE</v>
      </c>
      <c r="AI95" s="12" t="s">
        <v>3125</v>
      </c>
      <c r="AJ95" s="12">
        <v>18</v>
      </c>
      <c r="AK95" s="12" t="s">
        <v>2482</v>
      </c>
      <c r="AM95" s="68" t="s">
        <v>3132</v>
      </c>
      <c r="AN95" s="12" t="s">
        <v>3139</v>
      </c>
      <c r="AO95" s="21">
        <v>45901</v>
      </c>
      <c r="AQ95" s="12">
        <v>37</v>
      </c>
      <c r="AR95" t="b">
        <v>0</v>
      </c>
      <c r="AS95" t="b">
        <v>0</v>
      </c>
      <c r="AT95" s="12" t="s">
        <v>1574</v>
      </c>
    </row>
    <row r="96" spans="1:46" x14ac:dyDescent="0.3">
      <c r="A96" s="57" t="str">
        <f t="shared" si="2"/>
        <v>ALS9107386191073861AHO_SSSESS45901</v>
      </c>
      <c r="B96" s="57">
        <f>COUNTIF(CONT_SUP[Unique Contract],CONT_SUP[[#This Row],[Unique Contract]])-1</f>
        <v>0</v>
      </c>
      <c r="C96" s="57">
        <f>IFERROR(IF(FIND(CONT_SUP[[#This Row],[SchoolCode]],_xlfn.XLOOKUP(CONT_SUP[[#This Row],[StaffMemberCode]],MEMBERS[StaffMemberCode],MEMBERS[SchoolCodes]))&gt;0,0,1),1)</f>
        <v>0</v>
      </c>
      <c r="D96" s="57" cm="1">
        <f t="array" ref="D96">IF(_xlfn.XLOOKUP(CONT_SUP[[#This Row],[StaffRoleCode]],ROLES[StaffRoleCode],ROLES[AvailableToAllSchools],1,0,)=TRUE,0,IF(ISERROR(FIND(CONT_SUP[[#This Row],[SchoolCode]],_xlfn.TEXTJOIN(",",TRUE,_xlfn.UNIQUE(IF(ROLES[StaffRoleCode]=CONT_SUP[[#This Row],[StaffRoleCode]],ROLES[SchoolCodes],""))))),1,0))</f>
        <v>0</v>
      </c>
      <c r="E96" s="66" cm="1">
        <f t="array" ref="E9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96" s="57" cm="1">
        <f t="array" ref="F96">IF(_xlfn.XLOOKUP(CONT_SUP[[#This Row],[PayScaleCode]],PAYSCALES[PayScaleCode],PAYSCALES[AvailableToAllSchools],1,0,)=TRUE,0,IF(ISERROR(FIND(CONT_SUP[[#This Row],[SchoolCode]],_xlfn.TEXTJOIN(",",TRUE,_xlfn.UNIQUE(IF(PAYSCALES[PayScaleCode]=CONT_SUP[[#This Row],[PayScaleCode]],PAYSCALES[SchoolCodes],""))))),1,0))</f>
        <v>0</v>
      </c>
      <c r="G96" s="57">
        <f>IF(_xlfn.XLOOKUP(CONT_SUP[[#This Row],[PayScaleGradeCode]],GRADES[PayScaleGradeCode],GRADES[AvailableToAllSchools])=TRUE,0,IFERROR(IF(FIND(CONT_SUP[[#This Row],[SchoolCode]],_xlfn.XLOOKUP(CONT_SUP[[#This Row],[PayScaleGradeCode]],GRADES[PayScaleGradeCode],GRADES[SchoolCodes]))&gt;=1,0,1),1))</f>
        <v>0</v>
      </c>
      <c r="H96" s="66">
        <f>IF(ISERROR(IF((_xlfn.XLOOKUP(CONT_SUP[[#This Row],[PayScaleGradeCode]],GRADES[PayScaleGradeCode],GRADES[PayScaleCode])=CONT_SUP[[#This Row],[PayScaleCode]]),0,1)),1,0)</f>
        <v>0</v>
      </c>
      <c r="I96" s="66" cm="1">
        <f t="array" ref="I96">IF(ISERROR(FIND(CONT_SUP[[#This Row],[PayScalePointCode]],_xlfn.TEXTJOIN(",",TRUE,IF(PSPOINTS[PayScaleCode]=CONT_SUP[[#This Row],[PayScaleCode]],PSPOINTS[PayScalePointCode])))),1,0)</f>
        <v>0</v>
      </c>
      <c r="J96" s="57" cm="1">
        <f t="array" ref="J9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96" s="66">
        <f>IF(_xlfn.XLOOKUP(CONT_SUP[[#This Row],[PayScalePointCode]],PSPOINTS[PayScalePointCode],PSPOINTS[PayScalePointEnabled])=TRUE,0,1)</f>
        <v>0</v>
      </c>
      <c r="L96" s="57" cm="1">
        <f t="array" ref="L96">IF(_xlfn.XLOOKUP(CONT_SUP[[#This Row],[DepartmentCode]],DEPTS[DepartmentCode],DEPTS[AvailableToAllSchools],1,0,)=TRUE,0,IF(ISERROR(FIND(CONT_SUP[[#This Row],[SchoolCode]],_xlfn.TEXTJOIN(",",TRUE,_xlfn.UNIQUE(IF(DEPTS[DepartmentCode]=CONT_SUP[[#This Row],[DepartmentCode]],DEPTS[SchoolCodes],""))))),1,0))</f>
        <v>0</v>
      </c>
      <c r="M96" s="57">
        <f>IFERROR(IF(_xlfn.XLOOKUP(CONT_SUP[[#This Row],[SRG Gross]],FinanceCodesBudget[FinanceCode],FinanceCodesBudget[LedgerCode])=_xlfn.XLOOKUP(CONT_SUP[[#This Row],[DepartmentCode]],DEPTS[DepartmentCode],DEPTS[LedgerCode]),0,1),1)</f>
        <v>0</v>
      </c>
      <c r="N96" s="66" cm="1">
        <f t="array" ref="N96">IF(_xlfn.XLOOKUP(CONT_SUP[[#This Row],[PensionCode]],PENS[PensionCode],PENS[AvailableToAllSchools],1,0,)=TRUE,0,IF(ISERROR(FIND(CONT_SUP[[#This Row],[SchoolCode]],_xlfn.TEXTJOIN(",",TRUE,_xlfn.UNIQUE(IF(PENS[PensionCode]=CONT_SUP[[#This Row],[PensionCode]],PENS[SchoolCodes],""))))),1,0))</f>
        <v>0</v>
      </c>
      <c r="O96" s="66" cm="1">
        <f t="array" ref="O96">IF(_xlfn.XLOOKUP(CONT_SUP[[#This Row],[EquatedWeekPatternCode]],EQW[EquatedWeekPatternCode],EQW[AvailableToAllSchools],1,0,)=TRUE,0,IF(ISERROR(FIND(CONT_SUP[[#This Row],[SchoolCode]],_xlfn.TEXTJOIN(",",TRUE,_xlfn.UNIQUE(IF(EQW[EquatedWeekPatternCode]=CONT_SUP[[#This Row],[EquatedWeekPatternCode]],EQW[SchoolCodes],""))))),1,0))</f>
        <v>0</v>
      </c>
      <c r="P96" s="57">
        <f>1-COUNTIF(ContractTypes[Code],CONT_SUP[[#This Row],[ContractTypeCode]])</f>
        <v>0</v>
      </c>
      <c r="Q96" s="57">
        <f>IF(VLOOKUP(CONT_SUP[[#This Row],[StaffMemberCode]],MEMBERS[[StaffMemberCode]:[ServiceStartDate]],5,0)&gt;CONT_SUP[[#This Row],[DateFrom]],1,0)</f>
        <v>0</v>
      </c>
      <c r="R96" s="57">
        <f>IF(_xlfn.XLOOKUP(CONT_SUP[[#This Row],[StaffMemberCode]],MEMBERS[StaffMemberCode],MEMBERS[ServiceEndDate])="",0,IF(CONT_SUP[[#This Row],[DateTo]]="",1,IF(_xlfn.XLOOKUP(CONT_SUP[[#This Row],[StaffMemberCode]],MEMBERS[StaffMemberCode],MEMBERS[ServiceEndDate])&lt;CONT_SUP[[#This Row],[DateTo]],1,0)))</f>
        <v>0</v>
      </c>
      <c r="S96" s="57">
        <f>IF(ISBLANK(CONT_SUP[[#This Row],[DateTo]]),0,IF(CONT_SUP[[#This Row],[DateFrom]]=CONT_SUP[[#This Row],[DateTo]],0,IF(CONT_SUP[[#This Row],[DateFrom]]&lt;CONT_SUP[[#This Row],[DateTo]],0,1)))</f>
        <v>0</v>
      </c>
      <c r="T96" s="57" cm="1">
        <f t="array" aca="1" ref="T96" ca="1">IF(CELL("format",CONT_SUP[[#This Row],[DateFrom]])="D1",0,1)+IF(CELL("format",CONT_SUP[[#This Row],[DateTo]])="D1",0,1)</f>
        <v>0</v>
      </c>
      <c r="U96" s="57">
        <f>IF(OR(CONT_SUP[[#This Row],[MatEditOnly]]=TRUE,CONT_SUP[[#This Row],[MatEditOnly]]=FALSE),IF(OR(CONT_SUP[[#This Row],[NoIncrement]]=TRUE,CONT_SUP[[#This Row],[NoIncrement]]=FALSE),0,1),1)</f>
        <v>0</v>
      </c>
      <c r="V96" s="57">
        <f>IF(ISBLANK(CONT_SUP[[#This Row],[FundCode]])=TRUE,0,IF(COUNTIF(FUNDS[FundCode],CONT_SUP[[#This Row],[FundCode]])=1,0,1))</f>
        <v>0</v>
      </c>
      <c r="W96" s="57">
        <f>IF(LEN(CONT_SUP[[#This Row],[Notes]])&lt;4000,0,1)</f>
        <v>0</v>
      </c>
      <c r="X96" s="57">
        <f>IF(SUBSTITUTE(TEXT(CONT_SUP[[#This Row],[Reference]],10)," ","")=TEXT(CONT_SUP[[#This Row],[Reference]],10),0,1)</f>
        <v>0</v>
      </c>
      <c r="Y96" s="57">
        <f ca="1">SUM(CONT_SUP[[#This Row],[Duplicate Contract]:[Space in Code]])</f>
        <v>0</v>
      </c>
      <c r="AA96" s="12" t="s">
        <v>2082</v>
      </c>
      <c r="AB96" s="63">
        <v>91073861</v>
      </c>
      <c r="AC96" s="63" t="s">
        <v>4692</v>
      </c>
      <c r="AD96" s="57" t="str">
        <f>_xlfn.XLOOKUP(CONT_SUP[[#This Row],[StaffMemberCode]],StaffMembers!O:O,StaffMembers!R:R)</f>
        <v>Ceri Richardson</v>
      </c>
      <c r="AE96" s="12" t="s">
        <v>4189</v>
      </c>
      <c r="AF96" s="66">
        <f>_xlfn.XLOOKUP(CONT_SUP[[#This Row],[SRG]],SRG[StaffRoleGroupCode],SRG[GrossSalaryFinanceCode])</f>
        <v>619100</v>
      </c>
      <c r="AG96" s="57" t="str">
        <f>_xlfn.XLOOKUP(CONT_SUP[[#This Row],[StaffRoleCode]],ROLES[StaffRoleCode],ROLES[StaffRoleGroupCode])</f>
        <v>EDS</v>
      </c>
      <c r="AH96" s="57" t="str">
        <f>_xlfn.XLOOKUP(CONT_SUP[[#This Row],[StaffRoleCode]],ROLES[StaffRoleCode],ROLES[PayScaleCode])</f>
        <v>NJC_CHE</v>
      </c>
      <c r="AI96" s="12" t="s">
        <v>3127</v>
      </c>
      <c r="AJ96" s="12">
        <v>30</v>
      </c>
      <c r="AK96" s="12" t="s">
        <v>2482</v>
      </c>
      <c r="AM96" s="68" t="s">
        <v>3132</v>
      </c>
      <c r="AN96" s="12" t="s">
        <v>3141</v>
      </c>
      <c r="AO96" s="21">
        <v>45901</v>
      </c>
      <c r="AQ96" s="12">
        <v>37</v>
      </c>
      <c r="AR96" t="b">
        <v>0</v>
      </c>
      <c r="AS96" t="b">
        <v>0</v>
      </c>
      <c r="AT96" s="12" t="s">
        <v>1574</v>
      </c>
    </row>
    <row r="97" spans="1:46" x14ac:dyDescent="0.3">
      <c r="A97" s="57" t="str">
        <f t="shared" si="2"/>
        <v>ALS9132839291328392AHO_SSSESS45901</v>
      </c>
      <c r="B97" s="57">
        <f>COUNTIF(CONT_SUP[Unique Contract],CONT_SUP[[#This Row],[Unique Contract]])-1</f>
        <v>0</v>
      </c>
      <c r="C97" s="57">
        <f>IFERROR(IF(FIND(CONT_SUP[[#This Row],[SchoolCode]],_xlfn.XLOOKUP(CONT_SUP[[#This Row],[StaffMemberCode]],MEMBERS[StaffMemberCode],MEMBERS[SchoolCodes]))&gt;0,0,1),1)</f>
        <v>0</v>
      </c>
      <c r="D97" s="57" cm="1">
        <f t="array" ref="D97">IF(_xlfn.XLOOKUP(CONT_SUP[[#This Row],[StaffRoleCode]],ROLES[StaffRoleCode],ROLES[AvailableToAllSchools],1,0,)=TRUE,0,IF(ISERROR(FIND(CONT_SUP[[#This Row],[SchoolCode]],_xlfn.TEXTJOIN(",",TRUE,_xlfn.UNIQUE(IF(ROLES[StaffRoleCode]=CONT_SUP[[#This Row],[StaffRoleCode]],ROLES[SchoolCodes],""))))),1,0))</f>
        <v>0</v>
      </c>
      <c r="E97" s="66" cm="1">
        <f t="array" ref="E9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97" s="57" cm="1">
        <f t="array" ref="F97">IF(_xlfn.XLOOKUP(CONT_SUP[[#This Row],[PayScaleCode]],PAYSCALES[PayScaleCode],PAYSCALES[AvailableToAllSchools],1,0,)=TRUE,0,IF(ISERROR(FIND(CONT_SUP[[#This Row],[SchoolCode]],_xlfn.TEXTJOIN(",",TRUE,_xlfn.UNIQUE(IF(PAYSCALES[PayScaleCode]=CONT_SUP[[#This Row],[PayScaleCode]],PAYSCALES[SchoolCodes],""))))),1,0))</f>
        <v>0</v>
      </c>
      <c r="G97" s="57">
        <f>IF(_xlfn.XLOOKUP(CONT_SUP[[#This Row],[PayScaleGradeCode]],GRADES[PayScaleGradeCode],GRADES[AvailableToAllSchools])=TRUE,0,IFERROR(IF(FIND(CONT_SUP[[#This Row],[SchoolCode]],_xlfn.XLOOKUP(CONT_SUP[[#This Row],[PayScaleGradeCode]],GRADES[PayScaleGradeCode],GRADES[SchoolCodes]))&gt;=1,0,1),1))</f>
        <v>0</v>
      </c>
      <c r="H97" s="66">
        <f>IF(ISERROR(IF((_xlfn.XLOOKUP(CONT_SUP[[#This Row],[PayScaleGradeCode]],GRADES[PayScaleGradeCode],GRADES[PayScaleCode])=CONT_SUP[[#This Row],[PayScaleCode]]),0,1)),1,0)</f>
        <v>0</v>
      </c>
      <c r="I97" s="66" cm="1">
        <f t="array" ref="I97">IF(ISERROR(FIND(CONT_SUP[[#This Row],[PayScalePointCode]],_xlfn.TEXTJOIN(",",TRUE,IF(PSPOINTS[PayScaleCode]=CONT_SUP[[#This Row],[PayScaleCode]],PSPOINTS[PayScalePointCode])))),1,0)</f>
        <v>0</v>
      </c>
      <c r="J97" s="57" cm="1">
        <f t="array" ref="J9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97" s="66">
        <f>IF(_xlfn.XLOOKUP(CONT_SUP[[#This Row],[PayScalePointCode]],PSPOINTS[PayScalePointCode],PSPOINTS[PayScalePointEnabled])=TRUE,0,1)</f>
        <v>0</v>
      </c>
      <c r="L97" s="57" cm="1">
        <f t="array" ref="L97">IF(_xlfn.XLOOKUP(CONT_SUP[[#This Row],[DepartmentCode]],DEPTS[DepartmentCode],DEPTS[AvailableToAllSchools],1,0,)=TRUE,0,IF(ISERROR(FIND(CONT_SUP[[#This Row],[SchoolCode]],_xlfn.TEXTJOIN(",",TRUE,_xlfn.UNIQUE(IF(DEPTS[DepartmentCode]=CONT_SUP[[#This Row],[DepartmentCode]],DEPTS[SchoolCodes],""))))),1,0))</f>
        <v>0</v>
      </c>
      <c r="M97" s="57">
        <f>IFERROR(IF(_xlfn.XLOOKUP(CONT_SUP[[#This Row],[SRG Gross]],FinanceCodesBudget[FinanceCode],FinanceCodesBudget[LedgerCode])=_xlfn.XLOOKUP(CONT_SUP[[#This Row],[DepartmentCode]],DEPTS[DepartmentCode],DEPTS[LedgerCode]),0,1),1)</f>
        <v>0</v>
      </c>
      <c r="N97" s="66" cm="1">
        <f t="array" ref="N97">IF(_xlfn.XLOOKUP(CONT_SUP[[#This Row],[PensionCode]],PENS[PensionCode],PENS[AvailableToAllSchools],1,0,)=TRUE,0,IF(ISERROR(FIND(CONT_SUP[[#This Row],[SchoolCode]],_xlfn.TEXTJOIN(",",TRUE,_xlfn.UNIQUE(IF(PENS[PensionCode]=CONT_SUP[[#This Row],[PensionCode]],PENS[SchoolCodes],""))))),1,0))</f>
        <v>0</v>
      </c>
      <c r="O97" s="66" cm="1">
        <f t="array" ref="O97">IF(_xlfn.XLOOKUP(CONT_SUP[[#This Row],[EquatedWeekPatternCode]],EQW[EquatedWeekPatternCode],EQW[AvailableToAllSchools],1,0,)=TRUE,0,IF(ISERROR(FIND(CONT_SUP[[#This Row],[SchoolCode]],_xlfn.TEXTJOIN(",",TRUE,_xlfn.UNIQUE(IF(EQW[EquatedWeekPatternCode]=CONT_SUP[[#This Row],[EquatedWeekPatternCode]],EQW[SchoolCodes],""))))),1,0))</f>
        <v>0</v>
      </c>
      <c r="P97" s="57">
        <f>1-COUNTIF(ContractTypes[Code],CONT_SUP[[#This Row],[ContractTypeCode]])</f>
        <v>0</v>
      </c>
      <c r="Q97" s="57">
        <f>IF(VLOOKUP(CONT_SUP[[#This Row],[StaffMemberCode]],MEMBERS[[StaffMemberCode]:[ServiceStartDate]],5,0)&gt;CONT_SUP[[#This Row],[DateFrom]],1,0)</f>
        <v>0</v>
      </c>
      <c r="R97" s="57">
        <f>IF(_xlfn.XLOOKUP(CONT_SUP[[#This Row],[StaffMemberCode]],MEMBERS[StaffMemberCode],MEMBERS[ServiceEndDate])="",0,IF(CONT_SUP[[#This Row],[DateTo]]="",1,IF(_xlfn.XLOOKUP(CONT_SUP[[#This Row],[StaffMemberCode]],MEMBERS[StaffMemberCode],MEMBERS[ServiceEndDate])&lt;CONT_SUP[[#This Row],[DateTo]],1,0)))</f>
        <v>0</v>
      </c>
      <c r="S97" s="57">
        <f>IF(ISBLANK(CONT_SUP[[#This Row],[DateTo]]),0,IF(CONT_SUP[[#This Row],[DateFrom]]=CONT_SUP[[#This Row],[DateTo]],0,IF(CONT_SUP[[#This Row],[DateFrom]]&lt;CONT_SUP[[#This Row],[DateTo]],0,1)))</f>
        <v>0</v>
      </c>
      <c r="T97" s="57" cm="1">
        <f t="array" aca="1" ref="T97" ca="1">IF(CELL("format",CONT_SUP[[#This Row],[DateFrom]])="D1",0,1)+IF(CELL("format",CONT_SUP[[#This Row],[DateTo]])="D1",0,1)</f>
        <v>0</v>
      </c>
      <c r="U97" s="57">
        <f>IF(OR(CONT_SUP[[#This Row],[MatEditOnly]]=TRUE,CONT_SUP[[#This Row],[MatEditOnly]]=FALSE),IF(OR(CONT_SUP[[#This Row],[NoIncrement]]=TRUE,CONT_SUP[[#This Row],[NoIncrement]]=FALSE),0,1),1)</f>
        <v>0</v>
      </c>
      <c r="V97" s="57">
        <f>IF(ISBLANK(CONT_SUP[[#This Row],[FundCode]])=TRUE,0,IF(COUNTIF(FUNDS[FundCode],CONT_SUP[[#This Row],[FundCode]])=1,0,1))</f>
        <v>0</v>
      </c>
      <c r="W97" s="57">
        <f>IF(LEN(CONT_SUP[[#This Row],[Notes]])&lt;4000,0,1)</f>
        <v>0</v>
      </c>
      <c r="X97" s="57">
        <f>IF(SUBSTITUTE(TEXT(CONT_SUP[[#This Row],[Reference]],10)," ","")=TEXT(CONT_SUP[[#This Row],[Reference]],10),0,1)</f>
        <v>0</v>
      </c>
      <c r="Y97" s="57">
        <f ca="1">SUM(CONT_SUP[[#This Row],[Duplicate Contract]:[Space in Code]])</f>
        <v>0</v>
      </c>
      <c r="AA97" s="12" t="s">
        <v>2082</v>
      </c>
      <c r="AB97" s="63">
        <v>91328392</v>
      </c>
      <c r="AC97" s="63" t="s">
        <v>4693</v>
      </c>
      <c r="AD97" s="57" t="str">
        <f>_xlfn.XLOOKUP(CONT_SUP[[#This Row],[StaffMemberCode]],StaffMembers!O:O,StaffMembers!R:R)</f>
        <v>Nia Salt</v>
      </c>
      <c r="AE97" s="12" t="s">
        <v>4189</v>
      </c>
      <c r="AF97" s="66">
        <f>_xlfn.XLOOKUP(CONT_SUP[[#This Row],[SRG]],SRG[StaffRoleGroupCode],SRG[GrossSalaryFinanceCode])</f>
        <v>619100</v>
      </c>
      <c r="AG97" s="57" t="str">
        <f>_xlfn.XLOOKUP(CONT_SUP[[#This Row],[StaffRoleCode]],ROLES[StaffRoleCode],ROLES[StaffRoleGroupCode])</f>
        <v>EDS</v>
      </c>
      <c r="AH97" s="57" t="str">
        <f>_xlfn.XLOOKUP(CONT_SUP[[#This Row],[StaffRoleCode]],ROLES[StaffRoleCode],ROLES[PayScaleCode])</f>
        <v>NJC_CHE</v>
      </c>
      <c r="AI97" s="12" t="s">
        <v>3127</v>
      </c>
      <c r="AJ97" s="12">
        <v>28</v>
      </c>
      <c r="AK97" s="12" t="s">
        <v>2482</v>
      </c>
      <c r="AM97" s="68" t="s">
        <v>3132</v>
      </c>
      <c r="AN97" s="12" t="s">
        <v>3141</v>
      </c>
      <c r="AO97" s="21">
        <v>45901</v>
      </c>
      <c r="AQ97" s="12">
        <v>37</v>
      </c>
      <c r="AR97" t="b">
        <v>0</v>
      </c>
      <c r="AS97" t="b">
        <v>0</v>
      </c>
      <c r="AT97" s="12" t="s">
        <v>1574</v>
      </c>
    </row>
    <row r="98" spans="1:46" x14ac:dyDescent="0.3">
      <c r="A98" s="57" t="str">
        <f t="shared" si="2"/>
        <v>ALS9185003891850038AHO_SSSESS45901</v>
      </c>
      <c r="B98" s="57">
        <f>COUNTIF(CONT_SUP[Unique Contract],CONT_SUP[[#This Row],[Unique Contract]])-1</f>
        <v>0</v>
      </c>
      <c r="C98" s="57">
        <f>IFERROR(IF(FIND(CONT_SUP[[#This Row],[SchoolCode]],_xlfn.XLOOKUP(CONT_SUP[[#This Row],[StaffMemberCode]],MEMBERS[StaffMemberCode],MEMBERS[SchoolCodes]))&gt;0,0,1),1)</f>
        <v>0</v>
      </c>
      <c r="D98" s="57" cm="1">
        <f t="array" ref="D98">IF(_xlfn.XLOOKUP(CONT_SUP[[#This Row],[StaffRoleCode]],ROLES[StaffRoleCode],ROLES[AvailableToAllSchools],1,0,)=TRUE,0,IF(ISERROR(FIND(CONT_SUP[[#This Row],[SchoolCode]],_xlfn.TEXTJOIN(",",TRUE,_xlfn.UNIQUE(IF(ROLES[StaffRoleCode]=CONT_SUP[[#This Row],[StaffRoleCode]],ROLES[SchoolCodes],""))))),1,0))</f>
        <v>0</v>
      </c>
      <c r="E98" s="66" cm="1">
        <f t="array" ref="E9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98" s="57" cm="1">
        <f t="array" ref="F98">IF(_xlfn.XLOOKUP(CONT_SUP[[#This Row],[PayScaleCode]],PAYSCALES[PayScaleCode],PAYSCALES[AvailableToAllSchools],1,0,)=TRUE,0,IF(ISERROR(FIND(CONT_SUP[[#This Row],[SchoolCode]],_xlfn.TEXTJOIN(",",TRUE,_xlfn.UNIQUE(IF(PAYSCALES[PayScaleCode]=CONT_SUP[[#This Row],[PayScaleCode]],PAYSCALES[SchoolCodes],""))))),1,0))</f>
        <v>0</v>
      </c>
      <c r="G98" s="57">
        <f>IF(_xlfn.XLOOKUP(CONT_SUP[[#This Row],[PayScaleGradeCode]],GRADES[PayScaleGradeCode],GRADES[AvailableToAllSchools])=TRUE,0,IFERROR(IF(FIND(CONT_SUP[[#This Row],[SchoolCode]],_xlfn.XLOOKUP(CONT_SUP[[#This Row],[PayScaleGradeCode]],GRADES[PayScaleGradeCode],GRADES[SchoolCodes]))&gt;=1,0,1),1))</f>
        <v>0</v>
      </c>
      <c r="H98" s="66">
        <f>IF(ISERROR(IF((_xlfn.XLOOKUP(CONT_SUP[[#This Row],[PayScaleGradeCode]],GRADES[PayScaleGradeCode],GRADES[PayScaleCode])=CONT_SUP[[#This Row],[PayScaleCode]]),0,1)),1,0)</f>
        <v>0</v>
      </c>
      <c r="I98" s="66" cm="1">
        <f t="array" ref="I98">IF(ISERROR(FIND(CONT_SUP[[#This Row],[PayScalePointCode]],_xlfn.TEXTJOIN(",",TRUE,IF(PSPOINTS[PayScaleCode]=CONT_SUP[[#This Row],[PayScaleCode]],PSPOINTS[PayScalePointCode])))),1,0)</f>
        <v>0</v>
      </c>
      <c r="J98" s="57" cm="1">
        <f t="array" ref="J9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98" s="66">
        <f>IF(_xlfn.XLOOKUP(CONT_SUP[[#This Row],[PayScalePointCode]],PSPOINTS[PayScalePointCode],PSPOINTS[PayScalePointEnabled])=TRUE,0,1)</f>
        <v>0</v>
      </c>
      <c r="L98" s="57" cm="1">
        <f t="array" ref="L98">IF(_xlfn.XLOOKUP(CONT_SUP[[#This Row],[DepartmentCode]],DEPTS[DepartmentCode],DEPTS[AvailableToAllSchools],1,0,)=TRUE,0,IF(ISERROR(FIND(CONT_SUP[[#This Row],[SchoolCode]],_xlfn.TEXTJOIN(",",TRUE,_xlfn.UNIQUE(IF(DEPTS[DepartmentCode]=CONT_SUP[[#This Row],[DepartmentCode]],DEPTS[SchoolCodes],""))))),1,0))</f>
        <v>0</v>
      </c>
      <c r="M98" s="57">
        <f>IFERROR(IF(_xlfn.XLOOKUP(CONT_SUP[[#This Row],[SRG Gross]],FinanceCodesBudget[FinanceCode],FinanceCodesBudget[LedgerCode])=_xlfn.XLOOKUP(CONT_SUP[[#This Row],[DepartmentCode]],DEPTS[DepartmentCode],DEPTS[LedgerCode]),0,1),1)</f>
        <v>0</v>
      </c>
      <c r="N98" s="66" cm="1">
        <f t="array" ref="N98">IF(_xlfn.XLOOKUP(CONT_SUP[[#This Row],[PensionCode]],PENS[PensionCode],PENS[AvailableToAllSchools],1,0,)=TRUE,0,IF(ISERROR(FIND(CONT_SUP[[#This Row],[SchoolCode]],_xlfn.TEXTJOIN(",",TRUE,_xlfn.UNIQUE(IF(PENS[PensionCode]=CONT_SUP[[#This Row],[PensionCode]],PENS[SchoolCodes],""))))),1,0))</f>
        <v>0</v>
      </c>
      <c r="O98" s="66" cm="1">
        <f t="array" ref="O98">IF(_xlfn.XLOOKUP(CONT_SUP[[#This Row],[EquatedWeekPatternCode]],EQW[EquatedWeekPatternCode],EQW[AvailableToAllSchools],1,0,)=TRUE,0,IF(ISERROR(FIND(CONT_SUP[[#This Row],[SchoolCode]],_xlfn.TEXTJOIN(",",TRUE,_xlfn.UNIQUE(IF(EQW[EquatedWeekPatternCode]=CONT_SUP[[#This Row],[EquatedWeekPatternCode]],EQW[SchoolCodes],""))))),1,0))</f>
        <v>0</v>
      </c>
      <c r="P98" s="57">
        <f>1-COUNTIF(ContractTypes[Code],CONT_SUP[[#This Row],[ContractTypeCode]])</f>
        <v>0</v>
      </c>
      <c r="Q98" s="57">
        <f>IF(VLOOKUP(CONT_SUP[[#This Row],[StaffMemberCode]],MEMBERS[[StaffMemberCode]:[ServiceStartDate]],5,0)&gt;CONT_SUP[[#This Row],[DateFrom]],1,0)</f>
        <v>0</v>
      </c>
      <c r="R98" s="57">
        <f>IF(_xlfn.XLOOKUP(CONT_SUP[[#This Row],[StaffMemberCode]],MEMBERS[StaffMemberCode],MEMBERS[ServiceEndDate])="",0,IF(CONT_SUP[[#This Row],[DateTo]]="",1,IF(_xlfn.XLOOKUP(CONT_SUP[[#This Row],[StaffMemberCode]],MEMBERS[StaffMemberCode],MEMBERS[ServiceEndDate])&lt;CONT_SUP[[#This Row],[DateTo]],1,0)))</f>
        <v>0</v>
      </c>
      <c r="S98" s="57">
        <f>IF(ISBLANK(CONT_SUP[[#This Row],[DateTo]]),0,IF(CONT_SUP[[#This Row],[DateFrom]]=CONT_SUP[[#This Row],[DateTo]],0,IF(CONT_SUP[[#This Row],[DateFrom]]&lt;CONT_SUP[[#This Row],[DateTo]],0,1)))</f>
        <v>0</v>
      </c>
      <c r="T98" s="57" cm="1">
        <f t="array" aca="1" ref="T98" ca="1">IF(CELL("format",CONT_SUP[[#This Row],[DateFrom]])="D1",0,1)+IF(CELL("format",CONT_SUP[[#This Row],[DateTo]])="D1",0,1)</f>
        <v>0</v>
      </c>
      <c r="U98" s="57">
        <f>IF(OR(CONT_SUP[[#This Row],[MatEditOnly]]=TRUE,CONT_SUP[[#This Row],[MatEditOnly]]=FALSE),IF(OR(CONT_SUP[[#This Row],[NoIncrement]]=TRUE,CONT_SUP[[#This Row],[NoIncrement]]=FALSE),0,1),1)</f>
        <v>0</v>
      </c>
      <c r="V98" s="57">
        <f>IF(ISBLANK(CONT_SUP[[#This Row],[FundCode]])=TRUE,0,IF(COUNTIF(FUNDS[FundCode],CONT_SUP[[#This Row],[FundCode]])=1,0,1))</f>
        <v>0</v>
      </c>
      <c r="W98" s="57">
        <f>IF(LEN(CONT_SUP[[#This Row],[Notes]])&lt;4000,0,1)</f>
        <v>0</v>
      </c>
      <c r="X98" s="57">
        <f>IF(SUBSTITUTE(TEXT(CONT_SUP[[#This Row],[Reference]],10)," ","")=TEXT(CONT_SUP[[#This Row],[Reference]],10),0,1)</f>
        <v>0</v>
      </c>
      <c r="Y98" s="57">
        <f ca="1">SUM(CONT_SUP[[#This Row],[Duplicate Contract]:[Space in Code]])</f>
        <v>0</v>
      </c>
      <c r="AA98" s="12" t="s">
        <v>2082</v>
      </c>
      <c r="AB98" s="63">
        <v>91850038</v>
      </c>
      <c r="AC98" s="63" t="s">
        <v>4694</v>
      </c>
      <c r="AD98" s="57" t="str">
        <f>_xlfn.XLOOKUP(CONT_SUP[[#This Row],[StaffMemberCode]],StaffMembers!O:O,StaffMembers!R:R)</f>
        <v>Seydou Bamba</v>
      </c>
      <c r="AE98" s="12" t="s">
        <v>4189</v>
      </c>
      <c r="AF98" s="66">
        <f>_xlfn.XLOOKUP(CONT_SUP[[#This Row],[SRG]],SRG[StaffRoleGroupCode],SRG[GrossSalaryFinanceCode])</f>
        <v>619100</v>
      </c>
      <c r="AG98" s="57" t="str">
        <f>_xlfn.XLOOKUP(CONT_SUP[[#This Row],[StaffRoleCode]],ROLES[StaffRoleCode],ROLES[StaffRoleGroupCode])</f>
        <v>EDS</v>
      </c>
      <c r="AH98" s="57" t="str">
        <f>_xlfn.XLOOKUP(CONT_SUP[[#This Row],[StaffRoleCode]],ROLES[StaffRoleCode],ROLES[PayScaleCode])</f>
        <v>NJC_CHE</v>
      </c>
      <c r="AI98" s="12" t="s">
        <v>3127</v>
      </c>
      <c r="AJ98" s="12">
        <v>28</v>
      </c>
      <c r="AK98" s="12" t="s">
        <v>2482</v>
      </c>
      <c r="AM98" s="68" t="s">
        <v>3132</v>
      </c>
      <c r="AN98" s="12" t="s">
        <v>3141</v>
      </c>
      <c r="AO98" s="21">
        <v>45901</v>
      </c>
      <c r="AQ98" s="12">
        <v>37</v>
      </c>
      <c r="AR98" t="b">
        <v>0</v>
      </c>
      <c r="AS98" t="b">
        <v>0</v>
      </c>
      <c r="AT98" s="12" t="s">
        <v>1574</v>
      </c>
    </row>
    <row r="99" spans="1:46" x14ac:dyDescent="0.3">
      <c r="A99" s="57" t="str">
        <f t="shared" ref="A99:A117" si="3">AA99&amp;AB99&amp;AC99&amp;AE99&amp;AK99&amp;AO99</f>
        <v>ALS9107380191073801AHO_SSSESS45901</v>
      </c>
      <c r="B99" s="57">
        <f>COUNTIF(CONT_SUP[Unique Contract],CONT_SUP[[#This Row],[Unique Contract]])-1</f>
        <v>0</v>
      </c>
      <c r="C99" s="57">
        <f>IFERROR(IF(FIND(CONT_SUP[[#This Row],[SchoolCode]],_xlfn.XLOOKUP(CONT_SUP[[#This Row],[StaffMemberCode]],MEMBERS[StaffMemberCode],MEMBERS[SchoolCodes]))&gt;0,0,1),1)</f>
        <v>0</v>
      </c>
      <c r="D99" s="57" cm="1">
        <f t="array" ref="D99">IF(_xlfn.XLOOKUP(CONT_SUP[[#This Row],[StaffRoleCode]],ROLES[StaffRoleCode],ROLES[AvailableToAllSchools],1,0,)=TRUE,0,IF(ISERROR(FIND(CONT_SUP[[#This Row],[SchoolCode]],_xlfn.TEXTJOIN(",",TRUE,_xlfn.UNIQUE(IF(ROLES[StaffRoleCode]=CONT_SUP[[#This Row],[StaffRoleCode]],ROLES[SchoolCodes],""))))),1,0))</f>
        <v>0</v>
      </c>
      <c r="E99" s="66" cm="1">
        <f t="array" ref="E9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99" s="57" cm="1">
        <f t="array" ref="F99">IF(_xlfn.XLOOKUP(CONT_SUP[[#This Row],[PayScaleCode]],PAYSCALES[PayScaleCode],PAYSCALES[AvailableToAllSchools],1,0,)=TRUE,0,IF(ISERROR(FIND(CONT_SUP[[#This Row],[SchoolCode]],_xlfn.TEXTJOIN(",",TRUE,_xlfn.UNIQUE(IF(PAYSCALES[PayScaleCode]=CONT_SUP[[#This Row],[PayScaleCode]],PAYSCALES[SchoolCodes],""))))),1,0))</f>
        <v>0</v>
      </c>
      <c r="G99" s="57">
        <f>IF(_xlfn.XLOOKUP(CONT_SUP[[#This Row],[PayScaleGradeCode]],GRADES[PayScaleGradeCode],GRADES[AvailableToAllSchools])=TRUE,0,IFERROR(IF(FIND(CONT_SUP[[#This Row],[SchoolCode]],_xlfn.XLOOKUP(CONT_SUP[[#This Row],[PayScaleGradeCode]],GRADES[PayScaleGradeCode],GRADES[SchoolCodes]))&gt;=1,0,1),1))</f>
        <v>0</v>
      </c>
      <c r="H99" s="66">
        <f>IF(ISERROR(IF((_xlfn.XLOOKUP(CONT_SUP[[#This Row],[PayScaleGradeCode]],GRADES[PayScaleGradeCode],GRADES[PayScaleCode])=CONT_SUP[[#This Row],[PayScaleCode]]),0,1)),1,0)</f>
        <v>0</v>
      </c>
      <c r="I99" s="66" cm="1">
        <f t="array" ref="I99">IF(ISERROR(FIND(CONT_SUP[[#This Row],[PayScalePointCode]],_xlfn.TEXTJOIN(",",TRUE,IF(PSPOINTS[PayScaleCode]=CONT_SUP[[#This Row],[PayScaleCode]],PSPOINTS[PayScalePointCode])))),1,0)</f>
        <v>0</v>
      </c>
      <c r="J99" s="57" cm="1">
        <f t="array" ref="J9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99" s="66">
        <f>IF(_xlfn.XLOOKUP(CONT_SUP[[#This Row],[PayScalePointCode]],PSPOINTS[PayScalePointCode],PSPOINTS[PayScalePointEnabled])=TRUE,0,1)</f>
        <v>0</v>
      </c>
      <c r="L99" s="57" cm="1">
        <f t="array" ref="L99">IF(_xlfn.XLOOKUP(CONT_SUP[[#This Row],[DepartmentCode]],DEPTS[DepartmentCode],DEPTS[AvailableToAllSchools],1,0,)=TRUE,0,IF(ISERROR(FIND(CONT_SUP[[#This Row],[SchoolCode]],_xlfn.TEXTJOIN(",",TRUE,_xlfn.UNIQUE(IF(DEPTS[DepartmentCode]=CONT_SUP[[#This Row],[DepartmentCode]],DEPTS[SchoolCodes],""))))),1,0))</f>
        <v>0</v>
      </c>
      <c r="M99" s="57">
        <f>IFERROR(IF(_xlfn.XLOOKUP(CONT_SUP[[#This Row],[SRG Gross]],FinanceCodesBudget[FinanceCode],FinanceCodesBudget[LedgerCode])=_xlfn.XLOOKUP(CONT_SUP[[#This Row],[DepartmentCode]],DEPTS[DepartmentCode],DEPTS[LedgerCode]),0,1),1)</f>
        <v>0</v>
      </c>
      <c r="N99" s="66" cm="1">
        <f t="array" ref="N99">IF(_xlfn.XLOOKUP(CONT_SUP[[#This Row],[PensionCode]],PENS[PensionCode],PENS[AvailableToAllSchools],1,0,)=TRUE,0,IF(ISERROR(FIND(CONT_SUP[[#This Row],[SchoolCode]],_xlfn.TEXTJOIN(",",TRUE,_xlfn.UNIQUE(IF(PENS[PensionCode]=CONT_SUP[[#This Row],[PensionCode]],PENS[SchoolCodes],""))))),1,0))</f>
        <v>0</v>
      </c>
      <c r="O99" s="66" cm="1">
        <f t="array" ref="O99">IF(_xlfn.XLOOKUP(CONT_SUP[[#This Row],[EquatedWeekPatternCode]],EQW[EquatedWeekPatternCode],EQW[AvailableToAllSchools],1,0,)=TRUE,0,IF(ISERROR(FIND(CONT_SUP[[#This Row],[SchoolCode]],_xlfn.TEXTJOIN(",",TRUE,_xlfn.UNIQUE(IF(EQW[EquatedWeekPatternCode]=CONT_SUP[[#This Row],[EquatedWeekPatternCode]],EQW[SchoolCodes],""))))),1,0))</f>
        <v>0</v>
      </c>
      <c r="P99" s="57">
        <f>1-COUNTIF(ContractTypes[Code],CONT_SUP[[#This Row],[ContractTypeCode]])</f>
        <v>0</v>
      </c>
      <c r="Q99" s="57">
        <f>IF(VLOOKUP(CONT_SUP[[#This Row],[StaffMemberCode]],MEMBERS[[StaffMemberCode]:[ServiceStartDate]],5,0)&gt;CONT_SUP[[#This Row],[DateFrom]],1,0)</f>
        <v>0</v>
      </c>
      <c r="R99" s="57">
        <f>IF(_xlfn.XLOOKUP(CONT_SUP[[#This Row],[StaffMemberCode]],MEMBERS[StaffMemberCode],MEMBERS[ServiceEndDate])="",0,IF(CONT_SUP[[#This Row],[DateTo]]="",1,IF(_xlfn.XLOOKUP(CONT_SUP[[#This Row],[StaffMemberCode]],MEMBERS[StaffMemberCode],MEMBERS[ServiceEndDate])&lt;CONT_SUP[[#This Row],[DateTo]],1,0)))</f>
        <v>0</v>
      </c>
      <c r="S99" s="57">
        <f>IF(ISBLANK(CONT_SUP[[#This Row],[DateTo]]),0,IF(CONT_SUP[[#This Row],[DateFrom]]=CONT_SUP[[#This Row],[DateTo]],0,IF(CONT_SUP[[#This Row],[DateFrom]]&lt;CONT_SUP[[#This Row],[DateTo]],0,1)))</f>
        <v>0</v>
      </c>
      <c r="T99" s="57" cm="1">
        <f t="array" aca="1" ref="T99" ca="1">IF(CELL("format",CONT_SUP[[#This Row],[DateFrom]])="D1",0,1)+IF(CELL("format",CONT_SUP[[#This Row],[DateTo]])="D1",0,1)</f>
        <v>0</v>
      </c>
      <c r="U99" s="57">
        <f>IF(OR(CONT_SUP[[#This Row],[MatEditOnly]]=TRUE,CONT_SUP[[#This Row],[MatEditOnly]]=FALSE),IF(OR(CONT_SUP[[#This Row],[NoIncrement]]=TRUE,CONT_SUP[[#This Row],[NoIncrement]]=FALSE),0,1),1)</f>
        <v>0</v>
      </c>
      <c r="V99" s="57">
        <f>IF(ISBLANK(CONT_SUP[[#This Row],[FundCode]])=TRUE,0,IF(COUNTIF(FUNDS[FundCode],CONT_SUP[[#This Row],[FundCode]])=1,0,1))</f>
        <v>0</v>
      </c>
      <c r="W99" s="57">
        <f>IF(LEN(CONT_SUP[[#This Row],[Notes]])&lt;4000,0,1)</f>
        <v>0</v>
      </c>
      <c r="X99" s="57">
        <f>IF(SUBSTITUTE(TEXT(CONT_SUP[[#This Row],[Reference]],10)," ","")=TEXT(CONT_SUP[[#This Row],[Reference]],10),0,1)</f>
        <v>0</v>
      </c>
      <c r="Y99" s="57">
        <f ca="1">SUM(CONT_SUP[[#This Row],[Duplicate Contract]:[Space in Code]])</f>
        <v>0</v>
      </c>
      <c r="AA99" s="12" t="s">
        <v>2082</v>
      </c>
      <c r="AB99" s="63">
        <v>91073801</v>
      </c>
      <c r="AC99" s="63" t="s">
        <v>4695</v>
      </c>
      <c r="AD99" s="57" t="str">
        <f>_xlfn.XLOOKUP(CONT_SUP[[#This Row],[StaffMemberCode]],StaffMembers!O:O,StaffMembers!R:R)</f>
        <v>Victoria Monaghan</v>
      </c>
      <c r="AE99" s="12" t="s">
        <v>4189</v>
      </c>
      <c r="AF99" s="66">
        <f>_xlfn.XLOOKUP(CONT_SUP[[#This Row],[SRG]],SRG[StaffRoleGroupCode],SRG[GrossSalaryFinanceCode])</f>
        <v>619100</v>
      </c>
      <c r="AG99" s="57" t="str">
        <f>_xlfn.XLOOKUP(CONT_SUP[[#This Row],[StaffRoleCode]],ROLES[StaffRoleCode],ROLES[StaffRoleGroupCode])</f>
        <v>EDS</v>
      </c>
      <c r="AH99" s="57" t="str">
        <f>_xlfn.XLOOKUP(CONT_SUP[[#This Row],[StaffRoleCode]],ROLES[StaffRoleCode],ROLES[PayScaleCode])</f>
        <v>NJC_CHE</v>
      </c>
      <c r="AI99" s="12" t="s">
        <v>3127</v>
      </c>
      <c r="AJ99" s="12">
        <v>31</v>
      </c>
      <c r="AK99" s="12" t="s">
        <v>2482</v>
      </c>
      <c r="AM99" s="68" t="s">
        <v>3132</v>
      </c>
      <c r="AN99" s="12" t="s">
        <v>3141</v>
      </c>
      <c r="AO99" s="21">
        <v>45901</v>
      </c>
      <c r="AQ99" s="12">
        <v>37</v>
      </c>
      <c r="AR99" t="b">
        <v>0</v>
      </c>
      <c r="AS99" t="b">
        <v>0</v>
      </c>
      <c r="AT99" s="12" t="s">
        <v>1574</v>
      </c>
    </row>
    <row r="100" spans="1:46" x14ac:dyDescent="0.3">
      <c r="A100" s="57" t="str">
        <f t="shared" si="3"/>
        <v>ALS9107367191073671CLAC_LDSESS45962</v>
      </c>
      <c r="B100" s="57">
        <f>COUNTIF(CONT_SUP[Unique Contract],CONT_SUP[[#This Row],[Unique Contract]])-1</f>
        <v>0</v>
      </c>
      <c r="C100" s="57">
        <f>IFERROR(IF(FIND(CONT_SUP[[#This Row],[SchoolCode]],_xlfn.XLOOKUP(CONT_SUP[[#This Row],[StaffMemberCode]],MEMBERS[StaffMemberCode],MEMBERS[SchoolCodes]))&gt;0,0,1),1)</f>
        <v>0</v>
      </c>
      <c r="D100" s="57" cm="1">
        <f t="array" ref="D100">IF(_xlfn.XLOOKUP(CONT_SUP[[#This Row],[StaffRoleCode]],ROLES[StaffRoleCode],ROLES[AvailableToAllSchools],1,0,)=TRUE,0,IF(ISERROR(FIND(CONT_SUP[[#This Row],[SchoolCode]],_xlfn.TEXTJOIN(",",TRUE,_xlfn.UNIQUE(IF(ROLES[StaffRoleCode]=CONT_SUP[[#This Row],[StaffRoleCode]],ROLES[SchoolCodes],""))))),1,0))</f>
        <v>0</v>
      </c>
      <c r="E100" s="66" cm="1">
        <f t="array" ref="E10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00" s="57" cm="1">
        <f t="array" ref="F100">IF(_xlfn.XLOOKUP(CONT_SUP[[#This Row],[PayScaleCode]],PAYSCALES[PayScaleCode],PAYSCALES[AvailableToAllSchools],1,0,)=TRUE,0,IF(ISERROR(FIND(CONT_SUP[[#This Row],[SchoolCode]],_xlfn.TEXTJOIN(",",TRUE,_xlfn.UNIQUE(IF(PAYSCALES[PayScaleCode]=CONT_SUP[[#This Row],[PayScaleCode]],PAYSCALES[SchoolCodes],""))))),1,0))</f>
        <v>0</v>
      </c>
      <c r="G100" s="57">
        <f>IF(_xlfn.XLOOKUP(CONT_SUP[[#This Row],[PayScaleGradeCode]],GRADES[PayScaleGradeCode],GRADES[AvailableToAllSchools])=TRUE,0,IFERROR(IF(FIND(CONT_SUP[[#This Row],[SchoolCode]],_xlfn.XLOOKUP(CONT_SUP[[#This Row],[PayScaleGradeCode]],GRADES[PayScaleGradeCode],GRADES[SchoolCodes]))&gt;=1,0,1),1))</f>
        <v>0</v>
      </c>
      <c r="H100" s="66">
        <f>IF(ISERROR(IF((_xlfn.XLOOKUP(CONT_SUP[[#This Row],[PayScaleGradeCode]],GRADES[PayScaleGradeCode],GRADES[PayScaleCode])=CONT_SUP[[#This Row],[PayScaleCode]]),0,1)),1,0)</f>
        <v>0</v>
      </c>
      <c r="I100" s="66" cm="1">
        <f t="array" ref="I100">IF(ISERROR(FIND(CONT_SUP[[#This Row],[PayScalePointCode]],_xlfn.TEXTJOIN(",",TRUE,IF(PSPOINTS[PayScaleCode]=CONT_SUP[[#This Row],[PayScaleCode]],PSPOINTS[PayScalePointCode])))),1,0)</f>
        <v>0</v>
      </c>
      <c r="J100" s="57" cm="1">
        <f t="array" ref="J10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00" s="66">
        <f>IF(_xlfn.XLOOKUP(CONT_SUP[[#This Row],[PayScalePointCode]],PSPOINTS[PayScalePointCode],PSPOINTS[PayScalePointEnabled])=TRUE,0,1)</f>
        <v>0</v>
      </c>
      <c r="L100" s="57" cm="1">
        <f t="array" ref="L100">IF(_xlfn.XLOOKUP(CONT_SUP[[#This Row],[DepartmentCode]],DEPTS[DepartmentCode],DEPTS[AvailableToAllSchools],1,0,)=TRUE,0,IF(ISERROR(FIND(CONT_SUP[[#This Row],[SchoolCode]],_xlfn.TEXTJOIN(",",TRUE,_xlfn.UNIQUE(IF(DEPTS[DepartmentCode]=CONT_SUP[[#This Row],[DepartmentCode]],DEPTS[SchoolCodes],""))))),1,0))</f>
        <v>0</v>
      </c>
      <c r="M100" s="57">
        <f>IFERROR(IF(_xlfn.XLOOKUP(CONT_SUP[[#This Row],[SRG Gross]],FinanceCodesBudget[FinanceCode],FinanceCodesBudget[LedgerCode])=_xlfn.XLOOKUP(CONT_SUP[[#This Row],[DepartmentCode]],DEPTS[DepartmentCode],DEPTS[LedgerCode]),0,1),1)</f>
        <v>0</v>
      </c>
      <c r="N100" s="66" cm="1">
        <f t="array" ref="N100">IF(_xlfn.XLOOKUP(CONT_SUP[[#This Row],[PensionCode]],PENS[PensionCode],PENS[AvailableToAllSchools],1,0,)=TRUE,0,IF(ISERROR(FIND(CONT_SUP[[#This Row],[SchoolCode]],_xlfn.TEXTJOIN(",",TRUE,_xlfn.UNIQUE(IF(PENS[PensionCode]=CONT_SUP[[#This Row],[PensionCode]],PENS[SchoolCodes],""))))),1,0))</f>
        <v>0</v>
      </c>
      <c r="O100" s="66" cm="1">
        <f t="array" ref="O100">IF(_xlfn.XLOOKUP(CONT_SUP[[#This Row],[EquatedWeekPatternCode]],EQW[EquatedWeekPatternCode],EQW[AvailableToAllSchools],1,0,)=TRUE,0,IF(ISERROR(FIND(CONT_SUP[[#This Row],[SchoolCode]],_xlfn.TEXTJOIN(",",TRUE,_xlfn.UNIQUE(IF(EQW[EquatedWeekPatternCode]=CONT_SUP[[#This Row],[EquatedWeekPatternCode]],EQW[SchoolCodes],""))))),1,0))</f>
        <v>0</v>
      </c>
      <c r="P100" s="57">
        <f>1-COUNTIF(ContractTypes[Code],CONT_SUP[[#This Row],[ContractTypeCode]])</f>
        <v>0</v>
      </c>
      <c r="Q100" s="57">
        <f>IF(VLOOKUP(CONT_SUP[[#This Row],[StaffMemberCode]],MEMBERS[[StaffMemberCode]:[ServiceStartDate]],5,0)&gt;CONT_SUP[[#This Row],[DateFrom]],1,0)</f>
        <v>0</v>
      </c>
      <c r="R100" s="57">
        <f>IF(_xlfn.XLOOKUP(CONT_SUP[[#This Row],[StaffMemberCode]],MEMBERS[StaffMemberCode],MEMBERS[ServiceEndDate])="",0,IF(CONT_SUP[[#This Row],[DateTo]]="",1,IF(_xlfn.XLOOKUP(CONT_SUP[[#This Row],[StaffMemberCode]],MEMBERS[StaffMemberCode],MEMBERS[ServiceEndDate])&lt;CONT_SUP[[#This Row],[DateTo]],1,0)))</f>
        <v>0</v>
      </c>
      <c r="S100" s="57">
        <f>IF(ISBLANK(CONT_SUP[[#This Row],[DateTo]]),0,IF(CONT_SUP[[#This Row],[DateFrom]]=CONT_SUP[[#This Row],[DateTo]],0,IF(CONT_SUP[[#This Row],[DateFrom]]&lt;CONT_SUP[[#This Row],[DateTo]],0,1)))</f>
        <v>0</v>
      </c>
      <c r="T100" s="57" cm="1">
        <f t="array" aca="1" ref="T100" ca="1">IF(CELL("format",CONT_SUP[[#This Row],[DateFrom]])="D1",0,1)+IF(CELL("format",CONT_SUP[[#This Row],[DateTo]])="D1",0,1)</f>
        <v>0</v>
      </c>
      <c r="U100" s="57">
        <f>IF(OR(CONT_SUP[[#This Row],[MatEditOnly]]=TRUE,CONT_SUP[[#This Row],[MatEditOnly]]=FALSE),IF(OR(CONT_SUP[[#This Row],[NoIncrement]]=TRUE,CONT_SUP[[#This Row],[NoIncrement]]=FALSE),0,1),1)</f>
        <v>0</v>
      </c>
      <c r="V100" s="57">
        <f>IF(ISBLANK(CONT_SUP[[#This Row],[FundCode]])=TRUE,0,IF(COUNTIF(FUNDS[FundCode],CONT_SUP[[#This Row],[FundCode]])=1,0,1))</f>
        <v>0</v>
      </c>
      <c r="W100" s="57">
        <f>IF(LEN(CONT_SUP[[#This Row],[Notes]])&lt;4000,0,1)</f>
        <v>0</v>
      </c>
      <c r="X100" s="57">
        <f>IF(SUBSTITUTE(TEXT(CONT_SUP[[#This Row],[Reference]],10)," ","")=TEXT(CONT_SUP[[#This Row],[Reference]],10),0,1)</f>
        <v>0</v>
      </c>
      <c r="Y100" s="57">
        <f ca="1">SUM(CONT_SUP[[#This Row],[Duplicate Contract]:[Space in Code]])</f>
        <v>0</v>
      </c>
      <c r="AA100" s="12" t="s">
        <v>2082</v>
      </c>
      <c r="AB100" s="63">
        <v>91073671</v>
      </c>
      <c r="AC100" s="63" t="s">
        <v>4696</v>
      </c>
      <c r="AD100" s="57" t="str">
        <f>_xlfn.XLOOKUP(CONT_SUP[[#This Row],[StaffMemberCode]],StaffMembers!O:O,StaffMembers!R:R)</f>
        <v>Jennifer Broad</v>
      </c>
      <c r="AE100" s="12" t="s">
        <v>4197</v>
      </c>
      <c r="AF100" s="66">
        <f>_xlfn.XLOOKUP(CONT_SUP[[#This Row],[SRG]],SRG[StaffRoleGroupCode],SRG[GrossSalaryFinanceCode])</f>
        <v>619100</v>
      </c>
      <c r="AG100" s="57" t="str">
        <f>_xlfn.XLOOKUP(CONT_SUP[[#This Row],[StaffRoleCode]],ROLES[StaffRoleCode],ROLES[StaffRoleGroupCode])</f>
        <v>EDS</v>
      </c>
      <c r="AH100" s="57" t="str">
        <f>_xlfn.XLOOKUP(CONT_SUP[[#This Row],[StaffRoleCode]],ROLES[StaffRoleCode],ROLES[PayScaleCode])</f>
        <v>NJC_CHE</v>
      </c>
      <c r="AI100" s="12" t="s">
        <v>3124</v>
      </c>
      <c r="AJ100" s="12">
        <v>15</v>
      </c>
      <c r="AK100" s="12" t="s">
        <v>2482</v>
      </c>
      <c r="AM100" s="68" t="s">
        <v>3132</v>
      </c>
      <c r="AN100" s="12" t="s">
        <v>3134</v>
      </c>
      <c r="AO100" s="21">
        <v>45962</v>
      </c>
      <c r="AQ100" s="12">
        <v>22.5</v>
      </c>
      <c r="AR100" t="b">
        <v>0</v>
      </c>
      <c r="AS100" t="b">
        <v>0</v>
      </c>
      <c r="AT100" s="12" t="s">
        <v>1575</v>
      </c>
    </row>
    <row r="101" spans="1:46" x14ac:dyDescent="0.3">
      <c r="A101" s="57" t="str">
        <f t="shared" si="3"/>
        <v>ALS9107367091073670ALEA_MENSESS45901</v>
      </c>
      <c r="B101" s="57">
        <f>COUNTIF(CONT_SUP[Unique Contract],CONT_SUP[[#This Row],[Unique Contract]])-1</f>
        <v>0</v>
      </c>
      <c r="C101" s="57">
        <f>IFERROR(IF(FIND(CONT_SUP[[#This Row],[SchoolCode]],_xlfn.XLOOKUP(CONT_SUP[[#This Row],[StaffMemberCode]],MEMBERS[StaffMemberCode],MEMBERS[SchoolCodes]))&gt;0,0,1),1)</f>
        <v>0</v>
      </c>
      <c r="D101" s="57" cm="1">
        <f t="array" ref="D101">IF(_xlfn.XLOOKUP(CONT_SUP[[#This Row],[StaffRoleCode]],ROLES[StaffRoleCode],ROLES[AvailableToAllSchools],1,0,)=TRUE,0,IF(ISERROR(FIND(CONT_SUP[[#This Row],[SchoolCode]],_xlfn.TEXTJOIN(",",TRUE,_xlfn.UNIQUE(IF(ROLES[StaffRoleCode]=CONT_SUP[[#This Row],[StaffRoleCode]],ROLES[SchoolCodes],""))))),1,0))</f>
        <v>0</v>
      </c>
      <c r="E101" s="66" cm="1">
        <f t="array" ref="E10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01" s="57" cm="1">
        <f t="array" ref="F101">IF(_xlfn.XLOOKUP(CONT_SUP[[#This Row],[PayScaleCode]],PAYSCALES[PayScaleCode],PAYSCALES[AvailableToAllSchools],1,0,)=TRUE,0,IF(ISERROR(FIND(CONT_SUP[[#This Row],[SchoolCode]],_xlfn.TEXTJOIN(",",TRUE,_xlfn.UNIQUE(IF(PAYSCALES[PayScaleCode]=CONT_SUP[[#This Row],[PayScaleCode]],PAYSCALES[SchoolCodes],""))))),1,0))</f>
        <v>0</v>
      </c>
      <c r="G101" s="57">
        <f>IF(_xlfn.XLOOKUP(CONT_SUP[[#This Row],[PayScaleGradeCode]],GRADES[PayScaleGradeCode],GRADES[AvailableToAllSchools])=TRUE,0,IFERROR(IF(FIND(CONT_SUP[[#This Row],[SchoolCode]],_xlfn.XLOOKUP(CONT_SUP[[#This Row],[PayScaleGradeCode]],GRADES[PayScaleGradeCode],GRADES[SchoolCodes]))&gt;=1,0,1),1))</f>
        <v>0</v>
      </c>
      <c r="H101" s="66">
        <f>IF(ISERROR(IF((_xlfn.XLOOKUP(CONT_SUP[[#This Row],[PayScaleGradeCode]],GRADES[PayScaleGradeCode],GRADES[PayScaleCode])=CONT_SUP[[#This Row],[PayScaleCode]]),0,1)),1,0)</f>
        <v>0</v>
      </c>
      <c r="I101" s="66" cm="1">
        <f t="array" ref="I101">IF(ISERROR(FIND(CONT_SUP[[#This Row],[PayScalePointCode]],_xlfn.TEXTJOIN(",",TRUE,IF(PSPOINTS[PayScaleCode]=CONT_SUP[[#This Row],[PayScaleCode]],PSPOINTS[PayScalePointCode])))),1,0)</f>
        <v>0</v>
      </c>
      <c r="J101" s="57" cm="1">
        <f t="array" ref="J10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01" s="66">
        <f>IF(_xlfn.XLOOKUP(CONT_SUP[[#This Row],[PayScalePointCode]],PSPOINTS[PayScalePointCode],PSPOINTS[PayScalePointEnabled])=TRUE,0,1)</f>
        <v>0</v>
      </c>
      <c r="L101" s="57" cm="1">
        <f t="array" ref="L101">IF(_xlfn.XLOOKUP(CONT_SUP[[#This Row],[DepartmentCode]],DEPTS[DepartmentCode],DEPTS[AvailableToAllSchools],1,0,)=TRUE,0,IF(ISERROR(FIND(CONT_SUP[[#This Row],[SchoolCode]],_xlfn.TEXTJOIN(",",TRUE,_xlfn.UNIQUE(IF(DEPTS[DepartmentCode]=CONT_SUP[[#This Row],[DepartmentCode]],DEPTS[SchoolCodes],""))))),1,0))</f>
        <v>0</v>
      </c>
      <c r="M101" s="57">
        <f>IFERROR(IF(_xlfn.XLOOKUP(CONT_SUP[[#This Row],[SRG Gross]],FinanceCodesBudget[FinanceCode],FinanceCodesBudget[LedgerCode])=_xlfn.XLOOKUP(CONT_SUP[[#This Row],[DepartmentCode]],DEPTS[DepartmentCode],DEPTS[LedgerCode]),0,1),1)</f>
        <v>0</v>
      </c>
      <c r="N101" s="66" cm="1">
        <f t="array" ref="N101">IF(_xlfn.XLOOKUP(CONT_SUP[[#This Row],[PensionCode]],PENS[PensionCode],PENS[AvailableToAllSchools],1,0,)=TRUE,0,IF(ISERROR(FIND(CONT_SUP[[#This Row],[SchoolCode]],_xlfn.TEXTJOIN(",",TRUE,_xlfn.UNIQUE(IF(PENS[PensionCode]=CONT_SUP[[#This Row],[PensionCode]],PENS[SchoolCodes],""))))),1,0))</f>
        <v>0</v>
      </c>
      <c r="O101" s="66" cm="1">
        <f t="array" ref="O101">IF(_xlfn.XLOOKUP(CONT_SUP[[#This Row],[EquatedWeekPatternCode]],EQW[EquatedWeekPatternCode],EQW[AvailableToAllSchools],1,0,)=TRUE,0,IF(ISERROR(FIND(CONT_SUP[[#This Row],[SchoolCode]],_xlfn.TEXTJOIN(",",TRUE,_xlfn.UNIQUE(IF(EQW[EquatedWeekPatternCode]=CONT_SUP[[#This Row],[EquatedWeekPatternCode]],EQW[SchoolCodes],""))))),1,0))</f>
        <v>0</v>
      </c>
      <c r="P101" s="57">
        <f>1-COUNTIF(ContractTypes[Code],CONT_SUP[[#This Row],[ContractTypeCode]])</f>
        <v>0</v>
      </c>
      <c r="Q101" s="57">
        <f>IF(VLOOKUP(CONT_SUP[[#This Row],[StaffMemberCode]],MEMBERS[[StaffMemberCode]:[ServiceStartDate]],5,0)&gt;CONT_SUP[[#This Row],[DateFrom]],1,0)</f>
        <v>0</v>
      </c>
      <c r="R101" s="57">
        <f>IF(_xlfn.XLOOKUP(CONT_SUP[[#This Row],[StaffMemberCode]],MEMBERS[StaffMemberCode],MEMBERS[ServiceEndDate])="",0,IF(CONT_SUP[[#This Row],[DateTo]]="",1,IF(_xlfn.XLOOKUP(CONT_SUP[[#This Row],[StaffMemberCode]],MEMBERS[StaffMemberCode],MEMBERS[ServiceEndDate])&lt;CONT_SUP[[#This Row],[DateTo]],1,0)))</f>
        <v>0</v>
      </c>
      <c r="S101" s="57">
        <f>IF(ISBLANK(CONT_SUP[[#This Row],[DateTo]]),0,IF(CONT_SUP[[#This Row],[DateFrom]]=CONT_SUP[[#This Row],[DateTo]],0,IF(CONT_SUP[[#This Row],[DateFrom]]&lt;CONT_SUP[[#This Row],[DateTo]],0,1)))</f>
        <v>0</v>
      </c>
      <c r="T101" s="57" cm="1">
        <f t="array" aca="1" ref="T101" ca="1">IF(CELL("format",CONT_SUP[[#This Row],[DateFrom]])="D1",0,1)+IF(CELL("format",CONT_SUP[[#This Row],[DateTo]])="D1",0,1)</f>
        <v>0</v>
      </c>
      <c r="U101" s="57">
        <f>IF(OR(CONT_SUP[[#This Row],[MatEditOnly]]=TRUE,CONT_SUP[[#This Row],[MatEditOnly]]=FALSE),IF(OR(CONT_SUP[[#This Row],[NoIncrement]]=TRUE,CONT_SUP[[#This Row],[NoIncrement]]=FALSE),0,1),1)</f>
        <v>0</v>
      </c>
      <c r="V101" s="57">
        <f>IF(ISBLANK(CONT_SUP[[#This Row],[FundCode]])=TRUE,0,IF(COUNTIF(FUNDS[FundCode],CONT_SUP[[#This Row],[FundCode]])=1,0,1))</f>
        <v>0</v>
      </c>
      <c r="W101" s="57">
        <f>IF(LEN(CONT_SUP[[#This Row],[Notes]])&lt;4000,0,1)</f>
        <v>0</v>
      </c>
      <c r="X101" s="57">
        <f>IF(SUBSTITUTE(TEXT(CONT_SUP[[#This Row],[Reference]],10)," ","")=TEXT(CONT_SUP[[#This Row],[Reference]],10),0,1)</f>
        <v>0</v>
      </c>
      <c r="Y101" s="57">
        <f ca="1">SUM(CONT_SUP[[#This Row],[Duplicate Contract]:[Space in Code]])</f>
        <v>0</v>
      </c>
      <c r="AA101" s="12" t="s">
        <v>2082</v>
      </c>
      <c r="AB101" s="63">
        <v>91073670</v>
      </c>
      <c r="AC101" s="63" t="s">
        <v>4697</v>
      </c>
      <c r="AD101" s="57" t="str">
        <f>_xlfn.XLOOKUP(CONT_SUP[[#This Row],[StaffMemberCode]],StaffMembers!O:O,StaffMembers!R:R)</f>
        <v>Caryn Appleyard</v>
      </c>
      <c r="AE101" s="12" t="s">
        <v>4199</v>
      </c>
      <c r="AF101" s="66">
        <f>_xlfn.XLOOKUP(CONT_SUP[[#This Row],[SRG]],SRG[StaffRoleGroupCode],SRG[GrossSalaryFinanceCode])</f>
        <v>619100</v>
      </c>
      <c r="AG101" s="57" t="str">
        <f>_xlfn.XLOOKUP(CONT_SUP[[#This Row],[StaffRoleCode]],ROLES[StaffRoleCode],ROLES[StaffRoleGroupCode])</f>
        <v>EDS</v>
      </c>
      <c r="AH101" s="57" t="str">
        <f>_xlfn.XLOOKUP(CONT_SUP[[#This Row],[StaffRoleCode]],ROLES[StaffRoleCode],ROLES[PayScaleCode])</f>
        <v>NJC_CHE</v>
      </c>
      <c r="AI101" s="12" t="s">
        <v>3124</v>
      </c>
      <c r="AJ101" s="12">
        <v>15</v>
      </c>
      <c r="AK101" s="12" t="s">
        <v>2482</v>
      </c>
      <c r="AM101" s="68" t="s">
        <v>3132</v>
      </c>
      <c r="AN101" s="12" t="s">
        <v>3134</v>
      </c>
      <c r="AO101" s="21">
        <v>45901</v>
      </c>
      <c r="AP101" s="21">
        <v>45962</v>
      </c>
      <c r="AQ101" s="12">
        <v>22.5</v>
      </c>
      <c r="AR101" t="b">
        <v>0</v>
      </c>
      <c r="AS101" t="b">
        <v>0</v>
      </c>
      <c r="AT101" s="12" t="s">
        <v>1575</v>
      </c>
    </row>
    <row r="102" spans="1:46" x14ac:dyDescent="0.3">
      <c r="A102" s="57" t="str">
        <f t="shared" si="3"/>
        <v>ALS9107370591073705APAS_MGRSESS45901</v>
      </c>
      <c r="B102" s="57">
        <f>COUNTIF(CONT_SUP[Unique Contract],CONT_SUP[[#This Row],[Unique Contract]])-1</f>
        <v>0</v>
      </c>
      <c r="C102" s="57">
        <f>IFERROR(IF(FIND(CONT_SUP[[#This Row],[SchoolCode]],_xlfn.XLOOKUP(CONT_SUP[[#This Row],[StaffMemberCode]],MEMBERS[StaffMemberCode],MEMBERS[SchoolCodes]))&gt;0,0,1),1)</f>
        <v>0</v>
      </c>
      <c r="D102" s="57" cm="1">
        <f t="array" ref="D102">IF(_xlfn.XLOOKUP(CONT_SUP[[#This Row],[StaffRoleCode]],ROLES[StaffRoleCode],ROLES[AvailableToAllSchools],1,0,)=TRUE,0,IF(ISERROR(FIND(CONT_SUP[[#This Row],[SchoolCode]],_xlfn.TEXTJOIN(",",TRUE,_xlfn.UNIQUE(IF(ROLES[StaffRoleCode]=CONT_SUP[[#This Row],[StaffRoleCode]],ROLES[SchoolCodes],""))))),1,0))</f>
        <v>0</v>
      </c>
      <c r="E102" s="66" cm="1">
        <f t="array" ref="E10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02" s="57" cm="1">
        <f t="array" ref="F102">IF(_xlfn.XLOOKUP(CONT_SUP[[#This Row],[PayScaleCode]],PAYSCALES[PayScaleCode],PAYSCALES[AvailableToAllSchools],1,0,)=TRUE,0,IF(ISERROR(FIND(CONT_SUP[[#This Row],[SchoolCode]],_xlfn.TEXTJOIN(",",TRUE,_xlfn.UNIQUE(IF(PAYSCALES[PayScaleCode]=CONT_SUP[[#This Row],[PayScaleCode]],PAYSCALES[SchoolCodes],""))))),1,0))</f>
        <v>0</v>
      </c>
      <c r="G102" s="57">
        <f>IF(_xlfn.XLOOKUP(CONT_SUP[[#This Row],[PayScaleGradeCode]],GRADES[PayScaleGradeCode],GRADES[AvailableToAllSchools])=TRUE,0,IFERROR(IF(FIND(CONT_SUP[[#This Row],[SchoolCode]],_xlfn.XLOOKUP(CONT_SUP[[#This Row],[PayScaleGradeCode]],GRADES[PayScaleGradeCode],GRADES[SchoolCodes]))&gt;=1,0,1),1))</f>
        <v>0</v>
      </c>
      <c r="H102" s="66">
        <f>IF(ISERROR(IF((_xlfn.XLOOKUP(CONT_SUP[[#This Row],[PayScaleGradeCode]],GRADES[PayScaleGradeCode],GRADES[PayScaleCode])=CONT_SUP[[#This Row],[PayScaleCode]]),0,1)),1,0)</f>
        <v>0</v>
      </c>
      <c r="I102" s="66" cm="1">
        <f t="array" ref="I102">IF(ISERROR(FIND(CONT_SUP[[#This Row],[PayScalePointCode]],_xlfn.TEXTJOIN(",",TRUE,IF(PSPOINTS[PayScaleCode]=CONT_SUP[[#This Row],[PayScaleCode]],PSPOINTS[PayScalePointCode])))),1,0)</f>
        <v>0</v>
      </c>
      <c r="J102" s="57" cm="1">
        <f t="array" ref="J10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02" s="66">
        <f>IF(_xlfn.XLOOKUP(CONT_SUP[[#This Row],[PayScalePointCode]],PSPOINTS[PayScalePointCode],PSPOINTS[PayScalePointEnabled])=TRUE,0,1)</f>
        <v>0</v>
      </c>
      <c r="L102" s="57" cm="1">
        <f t="array" ref="L102">IF(_xlfn.XLOOKUP(CONT_SUP[[#This Row],[DepartmentCode]],DEPTS[DepartmentCode],DEPTS[AvailableToAllSchools],1,0,)=TRUE,0,IF(ISERROR(FIND(CONT_SUP[[#This Row],[SchoolCode]],_xlfn.TEXTJOIN(",",TRUE,_xlfn.UNIQUE(IF(DEPTS[DepartmentCode]=CONT_SUP[[#This Row],[DepartmentCode]],DEPTS[SchoolCodes],""))))),1,0))</f>
        <v>0</v>
      </c>
      <c r="M102" s="57">
        <f>IFERROR(IF(_xlfn.XLOOKUP(CONT_SUP[[#This Row],[SRG Gross]],FinanceCodesBudget[FinanceCode],FinanceCodesBudget[LedgerCode])=_xlfn.XLOOKUP(CONT_SUP[[#This Row],[DepartmentCode]],DEPTS[DepartmentCode],DEPTS[LedgerCode]),0,1),1)</f>
        <v>0</v>
      </c>
      <c r="N102" s="66" cm="1">
        <f t="array" ref="N102">IF(_xlfn.XLOOKUP(CONT_SUP[[#This Row],[PensionCode]],PENS[PensionCode],PENS[AvailableToAllSchools],1,0,)=TRUE,0,IF(ISERROR(FIND(CONT_SUP[[#This Row],[SchoolCode]],_xlfn.TEXTJOIN(",",TRUE,_xlfn.UNIQUE(IF(PENS[PensionCode]=CONT_SUP[[#This Row],[PensionCode]],PENS[SchoolCodes],""))))),1,0))</f>
        <v>0</v>
      </c>
      <c r="O102" s="66" cm="1">
        <f t="array" ref="O102">IF(_xlfn.XLOOKUP(CONT_SUP[[#This Row],[EquatedWeekPatternCode]],EQW[EquatedWeekPatternCode],EQW[AvailableToAllSchools],1,0,)=TRUE,0,IF(ISERROR(FIND(CONT_SUP[[#This Row],[SchoolCode]],_xlfn.TEXTJOIN(",",TRUE,_xlfn.UNIQUE(IF(EQW[EquatedWeekPatternCode]=CONT_SUP[[#This Row],[EquatedWeekPatternCode]],EQW[SchoolCodes],""))))),1,0))</f>
        <v>0</v>
      </c>
      <c r="P102" s="57">
        <f>1-COUNTIF(ContractTypes[Code],CONT_SUP[[#This Row],[ContractTypeCode]])</f>
        <v>0</v>
      </c>
      <c r="Q102" s="57">
        <f>IF(VLOOKUP(CONT_SUP[[#This Row],[StaffMemberCode]],MEMBERS[[StaffMemberCode]:[ServiceStartDate]],5,0)&gt;CONT_SUP[[#This Row],[DateFrom]],1,0)</f>
        <v>0</v>
      </c>
      <c r="R102" s="57">
        <f>IF(_xlfn.XLOOKUP(CONT_SUP[[#This Row],[StaffMemberCode]],MEMBERS[StaffMemberCode],MEMBERS[ServiceEndDate])="",0,IF(CONT_SUP[[#This Row],[DateTo]]="",1,IF(_xlfn.XLOOKUP(CONT_SUP[[#This Row],[StaffMemberCode]],MEMBERS[StaffMemberCode],MEMBERS[ServiceEndDate])&lt;CONT_SUP[[#This Row],[DateTo]],1,0)))</f>
        <v>0</v>
      </c>
      <c r="S102" s="57">
        <f>IF(ISBLANK(CONT_SUP[[#This Row],[DateTo]]),0,IF(CONT_SUP[[#This Row],[DateFrom]]=CONT_SUP[[#This Row],[DateTo]],0,IF(CONT_SUP[[#This Row],[DateFrom]]&lt;CONT_SUP[[#This Row],[DateTo]],0,1)))</f>
        <v>0</v>
      </c>
      <c r="T102" s="57" cm="1">
        <f t="array" aca="1" ref="T102" ca="1">IF(CELL("format",CONT_SUP[[#This Row],[DateFrom]])="D1",0,1)+IF(CELL("format",CONT_SUP[[#This Row],[DateTo]])="D1",0,1)</f>
        <v>0</v>
      </c>
      <c r="U102" s="57">
        <f>IF(OR(CONT_SUP[[#This Row],[MatEditOnly]]=TRUE,CONT_SUP[[#This Row],[MatEditOnly]]=FALSE),IF(OR(CONT_SUP[[#This Row],[NoIncrement]]=TRUE,CONT_SUP[[#This Row],[NoIncrement]]=FALSE),0,1),1)</f>
        <v>0</v>
      </c>
      <c r="V102" s="57">
        <f>IF(ISBLANK(CONT_SUP[[#This Row],[FundCode]])=TRUE,0,IF(COUNTIF(FUNDS[FundCode],CONT_SUP[[#This Row],[FundCode]])=1,0,1))</f>
        <v>0</v>
      </c>
      <c r="W102" s="57">
        <f>IF(LEN(CONT_SUP[[#This Row],[Notes]])&lt;4000,0,1)</f>
        <v>0</v>
      </c>
      <c r="X102" s="57">
        <f>IF(SUBSTITUTE(TEXT(CONT_SUP[[#This Row],[Reference]],10)," ","")=TEXT(CONT_SUP[[#This Row],[Reference]],10),0,1)</f>
        <v>0</v>
      </c>
      <c r="Y102" s="57">
        <f ca="1">SUM(CONT_SUP[[#This Row],[Duplicate Contract]:[Space in Code]])</f>
        <v>0</v>
      </c>
      <c r="AA102" s="12" t="s">
        <v>2082</v>
      </c>
      <c r="AB102" s="63">
        <v>91073705</v>
      </c>
      <c r="AC102" s="63" t="s">
        <v>4698</v>
      </c>
      <c r="AD102" s="57" t="str">
        <f>_xlfn.XLOOKUP(CONT_SUP[[#This Row],[StaffMemberCode]],StaffMembers!O:O,StaffMembers!R:R)</f>
        <v>Claire Casewell</v>
      </c>
      <c r="AE102" s="12" t="s">
        <v>4202</v>
      </c>
      <c r="AF102" s="66">
        <f>_xlfn.XLOOKUP(CONT_SUP[[#This Row],[SRG]],SRG[StaffRoleGroupCode],SRG[GrossSalaryFinanceCode])</f>
        <v>619100</v>
      </c>
      <c r="AG102" s="57" t="str">
        <f>_xlfn.XLOOKUP(CONT_SUP[[#This Row],[StaffRoleCode]],ROLES[StaffRoleCode],ROLES[StaffRoleGroupCode])</f>
        <v>EDS</v>
      </c>
      <c r="AH102" s="57" t="str">
        <f>_xlfn.XLOOKUP(CONT_SUP[[#This Row],[StaffRoleCode]],ROLES[StaffRoleCode],ROLES[PayScaleCode])</f>
        <v>NJC_CHE</v>
      </c>
      <c r="AI102" s="12" t="s">
        <v>3125</v>
      </c>
      <c r="AJ102" s="12">
        <v>23</v>
      </c>
      <c r="AK102" s="12" t="s">
        <v>2482</v>
      </c>
      <c r="AM102" s="68" t="s">
        <v>3132</v>
      </c>
      <c r="AN102" s="12" t="s">
        <v>3135</v>
      </c>
      <c r="AO102" s="21">
        <v>45901</v>
      </c>
      <c r="AQ102" s="12">
        <v>37</v>
      </c>
      <c r="AR102" t="b">
        <v>0</v>
      </c>
      <c r="AS102" t="b">
        <v>0</v>
      </c>
      <c r="AT102" s="12" t="s">
        <v>1574</v>
      </c>
    </row>
    <row r="103" spans="1:46" x14ac:dyDescent="0.3">
      <c r="A103" s="57" t="str">
        <f t="shared" si="3"/>
        <v>BLS9107358791073587APAS_MGRSESS45901</v>
      </c>
      <c r="B103" s="57">
        <f>COUNTIF(CONT_SUP[Unique Contract],CONT_SUP[[#This Row],[Unique Contract]])-1</f>
        <v>0</v>
      </c>
      <c r="C103" s="57">
        <f>IFERROR(IF(FIND(CONT_SUP[[#This Row],[SchoolCode]],_xlfn.XLOOKUP(CONT_SUP[[#This Row],[StaffMemberCode]],MEMBERS[StaffMemberCode],MEMBERS[SchoolCodes]))&gt;0,0,1),1)</f>
        <v>0</v>
      </c>
      <c r="D103" s="57" cm="1">
        <f t="array" ref="D103">IF(_xlfn.XLOOKUP(CONT_SUP[[#This Row],[StaffRoleCode]],ROLES[StaffRoleCode],ROLES[AvailableToAllSchools],1,0,)=TRUE,0,IF(ISERROR(FIND(CONT_SUP[[#This Row],[SchoolCode]],_xlfn.TEXTJOIN(",",TRUE,_xlfn.UNIQUE(IF(ROLES[StaffRoleCode]=CONT_SUP[[#This Row],[StaffRoleCode]],ROLES[SchoolCodes],""))))),1,0))</f>
        <v>0</v>
      </c>
      <c r="E103" s="66" cm="1">
        <f t="array" ref="E10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03" s="57" cm="1">
        <f t="array" ref="F103">IF(_xlfn.XLOOKUP(CONT_SUP[[#This Row],[PayScaleCode]],PAYSCALES[PayScaleCode],PAYSCALES[AvailableToAllSchools],1,0,)=TRUE,0,IF(ISERROR(FIND(CONT_SUP[[#This Row],[SchoolCode]],_xlfn.TEXTJOIN(",",TRUE,_xlfn.UNIQUE(IF(PAYSCALES[PayScaleCode]=CONT_SUP[[#This Row],[PayScaleCode]],PAYSCALES[SchoolCodes],""))))),1,0))</f>
        <v>0</v>
      </c>
      <c r="G103" s="57">
        <f>IF(_xlfn.XLOOKUP(CONT_SUP[[#This Row],[PayScaleGradeCode]],GRADES[PayScaleGradeCode],GRADES[AvailableToAllSchools])=TRUE,0,IFERROR(IF(FIND(CONT_SUP[[#This Row],[SchoolCode]],_xlfn.XLOOKUP(CONT_SUP[[#This Row],[PayScaleGradeCode]],GRADES[PayScaleGradeCode],GRADES[SchoolCodes]))&gt;=1,0,1),1))</f>
        <v>0</v>
      </c>
      <c r="H103" s="66">
        <f>IF(ISERROR(IF((_xlfn.XLOOKUP(CONT_SUP[[#This Row],[PayScaleGradeCode]],GRADES[PayScaleGradeCode],GRADES[PayScaleCode])=CONT_SUP[[#This Row],[PayScaleCode]]),0,1)),1,0)</f>
        <v>0</v>
      </c>
      <c r="I103" s="66" cm="1">
        <f t="array" ref="I103">IF(ISERROR(FIND(CONT_SUP[[#This Row],[PayScalePointCode]],_xlfn.TEXTJOIN(",",TRUE,IF(PSPOINTS[PayScaleCode]=CONT_SUP[[#This Row],[PayScaleCode]],PSPOINTS[PayScalePointCode])))),1,0)</f>
        <v>0</v>
      </c>
      <c r="J103" s="57" cm="1">
        <f t="array" ref="J10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03" s="66">
        <f>IF(_xlfn.XLOOKUP(CONT_SUP[[#This Row],[PayScalePointCode]],PSPOINTS[PayScalePointCode],PSPOINTS[PayScalePointEnabled])=TRUE,0,1)</f>
        <v>0</v>
      </c>
      <c r="L103" s="57" cm="1">
        <f t="array" ref="L103">IF(_xlfn.XLOOKUP(CONT_SUP[[#This Row],[DepartmentCode]],DEPTS[DepartmentCode],DEPTS[AvailableToAllSchools],1,0,)=TRUE,0,IF(ISERROR(FIND(CONT_SUP[[#This Row],[SchoolCode]],_xlfn.TEXTJOIN(",",TRUE,_xlfn.UNIQUE(IF(DEPTS[DepartmentCode]=CONT_SUP[[#This Row],[DepartmentCode]],DEPTS[SchoolCodes],""))))),1,0))</f>
        <v>0</v>
      </c>
      <c r="M103" s="57">
        <f>IFERROR(IF(_xlfn.XLOOKUP(CONT_SUP[[#This Row],[SRG Gross]],FinanceCodesBudget[FinanceCode],FinanceCodesBudget[LedgerCode])=_xlfn.XLOOKUP(CONT_SUP[[#This Row],[DepartmentCode]],DEPTS[DepartmentCode],DEPTS[LedgerCode]),0,1),1)</f>
        <v>0</v>
      </c>
      <c r="N103" s="66" cm="1">
        <f t="array" ref="N103">IF(_xlfn.XLOOKUP(CONT_SUP[[#This Row],[PensionCode]],PENS[PensionCode],PENS[AvailableToAllSchools],1,0,)=TRUE,0,IF(ISERROR(FIND(CONT_SUP[[#This Row],[SchoolCode]],_xlfn.TEXTJOIN(",",TRUE,_xlfn.UNIQUE(IF(PENS[PensionCode]=CONT_SUP[[#This Row],[PensionCode]],PENS[SchoolCodes],""))))),1,0))</f>
        <v>0</v>
      </c>
      <c r="O103" s="66" cm="1">
        <f t="array" ref="O103">IF(_xlfn.XLOOKUP(CONT_SUP[[#This Row],[EquatedWeekPatternCode]],EQW[EquatedWeekPatternCode],EQW[AvailableToAllSchools],1,0,)=TRUE,0,IF(ISERROR(FIND(CONT_SUP[[#This Row],[SchoolCode]],_xlfn.TEXTJOIN(",",TRUE,_xlfn.UNIQUE(IF(EQW[EquatedWeekPatternCode]=CONT_SUP[[#This Row],[EquatedWeekPatternCode]],EQW[SchoolCodes],""))))),1,0))</f>
        <v>0</v>
      </c>
      <c r="P103" s="57">
        <f>1-COUNTIF(ContractTypes[Code],CONT_SUP[[#This Row],[ContractTypeCode]])</f>
        <v>0</v>
      </c>
      <c r="Q103" s="57">
        <f>IF(VLOOKUP(CONT_SUP[[#This Row],[StaffMemberCode]],MEMBERS[[StaffMemberCode]:[ServiceStartDate]],5,0)&gt;CONT_SUP[[#This Row],[DateFrom]],1,0)</f>
        <v>0</v>
      </c>
      <c r="R103" s="57">
        <f>IF(_xlfn.XLOOKUP(CONT_SUP[[#This Row],[StaffMemberCode]],MEMBERS[StaffMemberCode],MEMBERS[ServiceEndDate])="",0,IF(CONT_SUP[[#This Row],[DateTo]]="",1,IF(_xlfn.XLOOKUP(CONT_SUP[[#This Row],[StaffMemberCode]],MEMBERS[StaffMemberCode],MEMBERS[ServiceEndDate])&lt;CONT_SUP[[#This Row],[DateTo]],1,0)))</f>
        <v>0</v>
      </c>
      <c r="S103" s="57">
        <f>IF(ISBLANK(CONT_SUP[[#This Row],[DateTo]]),0,IF(CONT_SUP[[#This Row],[DateFrom]]=CONT_SUP[[#This Row],[DateTo]],0,IF(CONT_SUP[[#This Row],[DateFrom]]&lt;CONT_SUP[[#This Row],[DateTo]],0,1)))</f>
        <v>0</v>
      </c>
      <c r="T103" s="57" cm="1">
        <f t="array" aca="1" ref="T103" ca="1">IF(CELL("format",CONT_SUP[[#This Row],[DateFrom]])="D1",0,1)+IF(CELL("format",CONT_SUP[[#This Row],[DateTo]])="D1",0,1)</f>
        <v>0</v>
      </c>
      <c r="U103" s="57">
        <f>IF(OR(CONT_SUP[[#This Row],[MatEditOnly]]=TRUE,CONT_SUP[[#This Row],[MatEditOnly]]=FALSE),IF(OR(CONT_SUP[[#This Row],[NoIncrement]]=TRUE,CONT_SUP[[#This Row],[NoIncrement]]=FALSE),0,1),1)</f>
        <v>0</v>
      </c>
      <c r="V103" s="57">
        <f>IF(ISBLANK(CONT_SUP[[#This Row],[FundCode]])=TRUE,0,IF(COUNTIF(FUNDS[FundCode],CONT_SUP[[#This Row],[FundCode]])=1,0,1))</f>
        <v>0</v>
      </c>
      <c r="W103" s="57">
        <f>IF(LEN(CONT_SUP[[#This Row],[Notes]])&lt;4000,0,1)</f>
        <v>0</v>
      </c>
      <c r="X103" s="57">
        <f>IF(SUBSTITUTE(TEXT(CONT_SUP[[#This Row],[Reference]],10)," ","")=TEXT(CONT_SUP[[#This Row],[Reference]],10),0,1)</f>
        <v>0</v>
      </c>
      <c r="Y103" s="57">
        <f ca="1">SUM(CONT_SUP[[#This Row],[Duplicate Contract]:[Space in Code]])</f>
        <v>0</v>
      </c>
      <c r="AA103" s="12" t="s">
        <v>2094</v>
      </c>
      <c r="AB103" s="63">
        <v>91073587</v>
      </c>
      <c r="AC103" s="63" t="s">
        <v>4699</v>
      </c>
      <c r="AD103" s="57" t="str">
        <f>_xlfn.XLOOKUP(CONT_SUP[[#This Row],[StaffMemberCode]],StaffMembers!O:O,StaffMembers!R:R)</f>
        <v>Joanne Marler</v>
      </c>
      <c r="AE103" s="12" t="s">
        <v>4202</v>
      </c>
      <c r="AF103" s="66">
        <f>_xlfn.XLOOKUP(CONT_SUP[[#This Row],[SRG]],SRG[StaffRoleGroupCode],SRG[GrossSalaryFinanceCode])</f>
        <v>619100</v>
      </c>
      <c r="AG103" s="57" t="str">
        <f>_xlfn.XLOOKUP(CONT_SUP[[#This Row],[StaffRoleCode]],ROLES[StaffRoleCode],ROLES[StaffRoleGroupCode])</f>
        <v>EDS</v>
      </c>
      <c r="AH103" s="57" t="str">
        <f>_xlfn.XLOOKUP(CONT_SUP[[#This Row],[StaffRoleCode]],ROLES[StaffRoleCode],ROLES[PayScaleCode])</f>
        <v>NJC_CHE</v>
      </c>
      <c r="AI103" s="12" t="s">
        <v>3124</v>
      </c>
      <c r="AJ103" s="12">
        <v>16</v>
      </c>
      <c r="AK103" s="12" t="s">
        <v>2482</v>
      </c>
      <c r="AM103" s="68" t="s">
        <v>3132</v>
      </c>
      <c r="AN103" s="12" t="s">
        <v>3135</v>
      </c>
      <c r="AO103" s="21">
        <v>45901</v>
      </c>
      <c r="AQ103" s="12">
        <v>37</v>
      </c>
      <c r="AR103" t="b">
        <v>0</v>
      </c>
      <c r="AS103" t="b">
        <v>0</v>
      </c>
      <c r="AT103" s="12" t="s">
        <v>1574</v>
      </c>
    </row>
    <row r="104" spans="1:46" x14ac:dyDescent="0.3">
      <c r="A104" s="57" t="str">
        <f t="shared" si="3"/>
        <v>BLS9107358691073586APAS_MGRSESS45901</v>
      </c>
      <c r="B104" s="57">
        <f>COUNTIF(CONT_SUP[Unique Contract],CONT_SUP[[#This Row],[Unique Contract]])-1</f>
        <v>0</v>
      </c>
      <c r="C104" s="57">
        <f>IFERROR(IF(FIND(CONT_SUP[[#This Row],[SchoolCode]],_xlfn.XLOOKUP(CONT_SUP[[#This Row],[StaffMemberCode]],MEMBERS[StaffMemberCode],MEMBERS[SchoolCodes]))&gt;0,0,1),1)</f>
        <v>0</v>
      </c>
      <c r="D104" s="57" cm="1">
        <f t="array" ref="D104">IF(_xlfn.XLOOKUP(CONT_SUP[[#This Row],[StaffRoleCode]],ROLES[StaffRoleCode],ROLES[AvailableToAllSchools],1,0,)=TRUE,0,IF(ISERROR(FIND(CONT_SUP[[#This Row],[SchoolCode]],_xlfn.TEXTJOIN(",",TRUE,_xlfn.UNIQUE(IF(ROLES[StaffRoleCode]=CONT_SUP[[#This Row],[StaffRoleCode]],ROLES[SchoolCodes],""))))),1,0))</f>
        <v>0</v>
      </c>
      <c r="E104" s="66" cm="1">
        <f t="array" ref="E10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04" s="57" cm="1">
        <f t="array" ref="F104">IF(_xlfn.XLOOKUP(CONT_SUP[[#This Row],[PayScaleCode]],PAYSCALES[PayScaleCode],PAYSCALES[AvailableToAllSchools],1,0,)=TRUE,0,IF(ISERROR(FIND(CONT_SUP[[#This Row],[SchoolCode]],_xlfn.TEXTJOIN(",",TRUE,_xlfn.UNIQUE(IF(PAYSCALES[PayScaleCode]=CONT_SUP[[#This Row],[PayScaleCode]],PAYSCALES[SchoolCodes],""))))),1,0))</f>
        <v>0</v>
      </c>
      <c r="G104" s="57">
        <f>IF(_xlfn.XLOOKUP(CONT_SUP[[#This Row],[PayScaleGradeCode]],GRADES[PayScaleGradeCode],GRADES[AvailableToAllSchools])=TRUE,0,IFERROR(IF(FIND(CONT_SUP[[#This Row],[SchoolCode]],_xlfn.XLOOKUP(CONT_SUP[[#This Row],[PayScaleGradeCode]],GRADES[PayScaleGradeCode],GRADES[SchoolCodes]))&gt;=1,0,1),1))</f>
        <v>0</v>
      </c>
      <c r="H104" s="66">
        <f>IF(ISERROR(IF((_xlfn.XLOOKUP(CONT_SUP[[#This Row],[PayScaleGradeCode]],GRADES[PayScaleGradeCode],GRADES[PayScaleCode])=CONT_SUP[[#This Row],[PayScaleCode]]),0,1)),1,0)</f>
        <v>0</v>
      </c>
      <c r="I104" s="66" cm="1">
        <f t="array" ref="I104">IF(ISERROR(FIND(CONT_SUP[[#This Row],[PayScalePointCode]],_xlfn.TEXTJOIN(",",TRUE,IF(PSPOINTS[PayScaleCode]=CONT_SUP[[#This Row],[PayScaleCode]],PSPOINTS[PayScalePointCode])))),1,0)</f>
        <v>0</v>
      </c>
      <c r="J104" s="57" cm="1">
        <f t="array" ref="J10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04" s="66">
        <f>IF(_xlfn.XLOOKUP(CONT_SUP[[#This Row],[PayScalePointCode]],PSPOINTS[PayScalePointCode],PSPOINTS[PayScalePointEnabled])=TRUE,0,1)</f>
        <v>0</v>
      </c>
      <c r="L104" s="57" cm="1">
        <f t="array" ref="L104">IF(_xlfn.XLOOKUP(CONT_SUP[[#This Row],[DepartmentCode]],DEPTS[DepartmentCode],DEPTS[AvailableToAllSchools],1,0,)=TRUE,0,IF(ISERROR(FIND(CONT_SUP[[#This Row],[SchoolCode]],_xlfn.TEXTJOIN(",",TRUE,_xlfn.UNIQUE(IF(DEPTS[DepartmentCode]=CONT_SUP[[#This Row],[DepartmentCode]],DEPTS[SchoolCodes],""))))),1,0))</f>
        <v>0</v>
      </c>
      <c r="M104" s="57">
        <f>IFERROR(IF(_xlfn.XLOOKUP(CONT_SUP[[#This Row],[SRG Gross]],FinanceCodesBudget[FinanceCode],FinanceCodesBudget[LedgerCode])=_xlfn.XLOOKUP(CONT_SUP[[#This Row],[DepartmentCode]],DEPTS[DepartmentCode],DEPTS[LedgerCode]),0,1),1)</f>
        <v>0</v>
      </c>
      <c r="N104" s="66" cm="1">
        <f t="array" ref="N104">IF(_xlfn.XLOOKUP(CONT_SUP[[#This Row],[PensionCode]],PENS[PensionCode],PENS[AvailableToAllSchools],1,0,)=TRUE,0,IF(ISERROR(FIND(CONT_SUP[[#This Row],[SchoolCode]],_xlfn.TEXTJOIN(",",TRUE,_xlfn.UNIQUE(IF(PENS[PensionCode]=CONT_SUP[[#This Row],[PensionCode]],PENS[SchoolCodes],""))))),1,0))</f>
        <v>0</v>
      </c>
      <c r="O104" s="66" cm="1">
        <f t="array" ref="O104">IF(_xlfn.XLOOKUP(CONT_SUP[[#This Row],[EquatedWeekPatternCode]],EQW[EquatedWeekPatternCode],EQW[AvailableToAllSchools],1,0,)=TRUE,0,IF(ISERROR(FIND(CONT_SUP[[#This Row],[SchoolCode]],_xlfn.TEXTJOIN(",",TRUE,_xlfn.UNIQUE(IF(EQW[EquatedWeekPatternCode]=CONT_SUP[[#This Row],[EquatedWeekPatternCode]],EQW[SchoolCodes],""))))),1,0))</f>
        <v>0</v>
      </c>
      <c r="P104" s="57">
        <f>1-COUNTIF(ContractTypes[Code],CONT_SUP[[#This Row],[ContractTypeCode]])</f>
        <v>0</v>
      </c>
      <c r="Q104" s="57">
        <f>IF(VLOOKUP(CONT_SUP[[#This Row],[StaffMemberCode]],MEMBERS[[StaffMemberCode]:[ServiceStartDate]],5,0)&gt;CONT_SUP[[#This Row],[DateFrom]],1,0)</f>
        <v>0</v>
      </c>
      <c r="R104" s="57">
        <f>IF(_xlfn.XLOOKUP(CONT_SUP[[#This Row],[StaffMemberCode]],MEMBERS[StaffMemberCode],MEMBERS[ServiceEndDate])="",0,IF(CONT_SUP[[#This Row],[DateTo]]="",1,IF(_xlfn.XLOOKUP(CONT_SUP[[#This Row],[StaffMemberCode]],MEMBERS[StaffMemberCode],MEMBERS[ServiceEndDate])&lt;CONT_SUP[[#This Row],[DateTo]],1,0)))</f>
        <v>0</v>
      </c>
      <c r="S104" s="57">
        <f>IF(ISBLANK(CONT_SUP[[#This Row],[DateTo]]),0,IF(CONT_SUP[[#This Row],[DateFrom]]=CONT_SUP[[#This Row],[DateTo]],0,IF(CONT_SUP[[#This Row],[DateFrom]]&lt;CONT_SUP[[#This Row],[DateTo]],0,1)))</f>
        <v>0</v>
      </c>
      <c r="T104" s="57" cm="1">
        <f t="array" aca="1" ref="T104" ca="1">IF(CELL("format",CONT_SUP[[#This Row],[DateFrom]])="D1",0,1)+IF(CELL("format",CONT_SUP[[#This Row],[DateTo]])="D1",0,1)</f>
        <v>0</v>
      </c>
      <c r="U104" s="57">
        <f>IF(OR(CONT_SUP[[#This Row],[MatEditOnly]]=TRUE,CONT_SUP[[#This Row],[MatEditOnly]]=FALSE),IF(OR(CONT_SUP[[#This Row],[NoIncrement]]=TRUE,CONT_SUP[[#This Row],[NoIncrement]]=FALSE),0,1),1)</f>
        <v>0</v>
      </c>
      <c r="V104" s="57">
        <f>IF(ISBLANK(CONT_SUP[[#This Row],[FundCode]])=TRUE,0,IF(COUNTIF(FUNDS[FundCode],CONT_SUP[[#This Row],[FundCode]])=1,0,1))</f>
        <v>0</v>
      </c>
      <c r="W104" s="57">
        <f>IF(LEN(CONT_SUP[[#This Row],[Notes]])&lt;4000,0,1)</f>
        <v>0</v>
      </c>
      <c r="X104" s="57">
        <f>IF(SUBSTITUTE(TEXT(CONT_SUP[[#This Row],[Reference]],10)," ","")=TEXT(CONT_SUP[[#This Row],[Reference]],10),0,1)</f>
        <v>0</v>
      </c>
      <c r="Y104" s="57">
        <f ca="1">SUM(CONT_SUP[[#This Row],[Duplicate Contract]:[Space in Code]])</f>
        <v>0</v>
      </c>
      <c r="AA104" s="12" t="s">
        <v>2094</v>
      </c>
      <c r="AB104" s="63">
        <v>91073586</v>
      </c>
      <c r="AC104" s="63" t="s">
        <v>4700</v>
      </c>
      <c r="AD104" s="57" t="str">
        <f>_xlfn.XLOOKUP(CONT_SUP[[#This Row],[StaffMemberCode]],StaffMembers!O:O,StaffMembers!R:R)</f>
        <v>Kerry Clough</v>
      </c>
      <c r="AE104" s="12" t="s">
        <v>4202</v>
      </c>
      <c r="AF104" s="66">
        <f>_xlfn.XLOOKUP(CONT_SUP[[#This Row],[SRG]],SRG[StaffRoleGroupCode],SRG[GrossSalaryFinanceCode])</f>
        <v>619100</v>
      </c>
      <c r="AG104" s="57" t="str">
        <f>_xlfn.XLOOKUP(CONT_SUP[[#This Row],[StaffRoleCode]],ROLES[StaffRoleCode],ROLES[StaffRoleGroupCode])</f>
        <v>EDS</v>
      </c>
      <c r="AH104" s="57" t="str">
        <f>_xlfn.XLOOKUP(CONT_SUP[[#This Row],[StaffRoleCode]],ROLES[StaffRoleCode],ROLES[PayScaleCode])</f>
        <v>NJC_CHE</v>
      </c>
      <c r="AI104" s="12" t="s">
        <v>3124</v>
      </c>
      <c r="AJ104" s="12">
        <v>16</v>
      </c>
      <c r="AK104" s="12" t="s">
        <v>2482</v>
      </c>
      <c r="AM104" s="68" t="s">
        <v>3132</v>
      </c>
      <c r="AN104" s="12" t="s">
        <v>3135</v>
      </c>
      <c r="AO104" s="21">
        <v>45901</v>
      </c>
      <c r="AQ104" s="12">
        <v>37</v>
      </c>
      <c r="AR104" t="b">
        <v>0</v>
      </c>
      <c r="AS104" t="b">
        <v>0</v>
      </c>
      <c r="AT104" s="12" t="s">
        <v>1574</v>
      </c>
    </row>
    <row r="105" spans="1:46" x14ac:dyDescent="0.3">
      <c r="A105" s="57" t="str">
        <f t="shared" si="3"/>
        <v>BLS9107359291073592APAS_MGRSESS45901</v>
      </c>
      <c r="B105" s="57">
        <f>COUNTIF(CONT_SUP[Unique Contract],CONT_SUP[[#This Row],[Unique Contract]])-1</f>
        <v>0</v>
      </c>
      <c r="C105" s="57">
        <f>IFERROR(IF(FIND(CONT_SUP[[#This Row],[SchoolCode]],_xlfn.XLOOKUP(CONT_SUP[[#This Row],[StaffMemberCode]],MEMBERS[StaffMemberCode],MEMBERS[SchoolCodes]))&gt;0,0,1),1)</f>
        <v>0</v>
      </c>
      <c r="D105" s="57" cm="1">
        <f t="array" ref="D105">IF(_xlfn.XLOOKUP(CONT_SUP[[#This Row],[StaffRoleCode]],ROLES[StaffRoleCode],ROLES[AvailableToAllSchools],1,0,)=TRUE,0,IF(ISERROR(FIND(CONT_SUP[[#This Row],[SchoolCode]],_xlfn.TEXTJOIN(",",TRUE,_xlfn.UNIQUE(IF(ROLES[StaffRoleCode]=CONT_SUP[[#This Row],[StaffRoleCode]],ROLES[SchoolCodes],""))))),1,0))</f>
        <v>0</v>
      </c>
      <c r="E105" s="66" cm="1">
        <f t="array" ref="E10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05" s="57" cm="1">
        <f t="array" ref="F105">IF(_xlfn.XLOOKUP(CONT_SUP[[#This Row],[PayScaleCode]],PAYSCALES[PayScaleCode],PAYSCALES[AvailableToAllSchools],1,0,)=TRUE,0,IF(ISERROR(FIND(CONT_SUP[[#This Row],[SchoolCode]],_xlfn.TEXTJOIN(",",TRUE,_xlfn.UNIQUE(IF(PAYSCALES[PayScaleCode]=CONT_SUP[[#This Row],[PayScaleCode]],PAYSCALES[SchoolCodes],""))))),1,0))</f>
        <v>0</v>
      </c>
      <c r="G105" s="57">
        <f>IF(_xlfn.XLOOKUP(CONT_SUP[[#This Row],[PayScaleGradeCode]],GRADES[PayScaleGradeCode],GRADES[AvailableToAllSchools])=TRUE,0,IFERROR(IF(FIND(CONT_SUP[[#This Row],[SchoolCode]],_xlfn.XLOOKUP(CONT_SUP[[#This Row],[PayScaleGradeCode]],GRADES[PayScaleGradeCode],GRADES[SchoolCodes]))&gt;=1,0,1),1))</f>
        <v>0</v>
      </c>
      <c r="H105" s="66">
        <f>IF(ISERROR(IF((_xlfn.XLOOKUP(CONT_SUP[[#This Row],[PayScaleGradeCode]],GRADES[PayScaleGradeCode],GRADES[PayScaleCode])=CONT_SUP[[#This Row],[PayScaleCode]]),0,1)),1,0)</f>
        <v>0</v>
      </c>
      <c r="I105" s="66" cm="1">
        <f t="array" ref="I105">IF(ISERROR(FIND(CONT_SUP[[#This Row],[PayScalePointCode]],_xlfn.TEXTJOIN(",",TRUE,IF(PSPOINTS[PayScaleCode]=CONT_SUP[[#This Row],[PayScaleCode]],PSPOINTS[PayScalePointCode])))),1,0)</f>
        <v>0</v>
      </c>
      <c r="J105" s="57" cm="1">
        <f t="array" ref="J10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05" s="66">
        <f>IF(_xlfn.XLOOKUP(CONT_SUP[[#This Row],[PayScalePointCode]],PSPOINTS[PayScalePointCode],PSPOINTS[PayScalePointEnabled])=TRUE,0,1)</f>
        <v>0</v>
      </c>
      <c r="L105" s="57" cm="1">
        <f t="array" ref="L105">IF(_xlfn.XLOOKUP(CONT_SUP[[#This Row],[DepartmentCode]],DEPTS[DepartmentCode],DEPTS[AvailableToAllSchools],1,0,)=TRUE,0,IF(ISERROR(FIND(CONT_SUP[[#This Row],[SchoolCode]],_xlfn.TEXTJOIN(",",TRUE,_xlfn.UNIQUE(IF(DEPTS[DepartmentCode]=CONT_SUP[[#This Row],[DepartmentCode]],DEPTS[SchoolCodes],""))))),1,0))</f>
        <v>0</v>
      </c>
      <c r="M105" s="57">
        <f>IFERROR(IF(_xlfn.XLOOKUP(CONT_SUP[[#This Row],[SRG Gross]],FinanceCodesBudget[FinanceCode],FinanceCodesBudget[LedgerCode])=_xlfn.XLOOKUP(CONT_SUP[[#This Row],[DepartmentCode]],DEPTS[DepartmentCode],DEPTS[LedgerCode]),0,1),1)</f>
        <v>0</v>
      </c>
      <c r="N105" s="66" cm="1">
        <f t="array" ref="N105">IF(_xlfn.XLOOKUP(CONT_SUP[[#This Row],[PensionCode]],PENS[PensionCode],PENS[AvailableToAllSchools],1,0,)=TRUE,0,IF(ISERROR(FIND(CONT_SUP[[#This Row],[SchoolCode]],_xlfn.TEXTJOIN(",",TRUE,_xlfn.UNIQUE(IF(PENS[PensionCode]=CONT_SUP[[#This Row],[PensionCode]],PENS[SchoolCodes],""))))),1,0))</f>
        <v>0</v>
      </c>
      <c r="O105" s="66" cm="1">
        <f t="array" ref="O105">IF(_xlfn.XLOOKUP(CONT_SUP[[#This Row],[EquatedWeekPatternCode]],EQW[EquatedWeekPatternCode],EQW[AvailableToAllSchools],1,0,)=TRUE,0,IF(ISERROR(FIND(CONT_SUP[[#This Row],[SchoolCode]],_xlfn.TEXTJOIN(",",TRUE,_xlfn.UNIQUE(IF(EQW[EquatedWeekPatternCode]=CONT_SUP[[#This Row],[EquatedWeekPatternCode]],EQW[SchoolCodes],""))))),1,0))</f>
        <v>0</v>
      </c>
      <c r="P105" s="57">
        <f>1-COUNTIF(ContractTypes[Code],CONT_SUP[[#This Row],[ContractTypeCode]])</f>
        <v>0</v>
      </c>
      <c r="Q105" s="57">
        <f>IF(VLOOKUP(CONT_SUP[[#This Row],[StaffMemberCode]],MEMBERS[[StaffMemberCode]:[ServiceStartDate]],5,0)&gt;CONT_SUP[[#This Row],[DateFrom]],1,0)</f>
        <v>0</v>
      </c>
      <c r="R105" s="57">
        <f>IF(_xlfn.XLOOKUP(CONT_SUP[[#This Row],[StaffMemberCode]],MEMBERS[StaffMemberCode],MEMBERS[ServiceEndDate])="",0,IF(CONT_SUP[[#This Row],[DateTo]]="",1,IF(_xlfn.XLOOKUP(CONT_SUP[[#This Row],[StaffMemberCode]],MEMBERS[StaffMemberCode],MEMBERS[ServiceEndDate])&lt;CONT_SUP[[#This Row],[DateTo]],1,0)))</f>
        <v>0</v>
      </c>
      <c r="S105" s="57">
        <f>IF(ISBLANK(CONT_SUP[[#This Row],[DateTo]]),0,IF(CONT_SUP[[#This Row],[DateFrom]]=CONT_SUP[[#This Row],[DateTo]],0,IF(CONT_SUP[[#This Row],[DateFrom]]&lt;CONT_SUP[[#This Row],[DateTo]],0,1)))</f>
        <v>0</v>
      </c>
      <c r="T105" s="57" cm="1">
        <f t="array" aca="1" ref="T105" ca="1">IF(CELL("format",CONT_SUP[[#This Row],[DateFrom]])="D1",0,1)+IF(CELL("format",CONT_SUP[[#This Row],[DateTo]])="D1",0,1)</f>
        <v>0</v>
      </c>
      <c r="U105" s="57">
        <f>IF(OR(CONT_SUP[[#This Row],[MatEditOnly]]=TRUE,CONT_SUP[[#This Row],[MatEditOnly]]=FALSE),IF(OR(CONT_SUP[[#This Row],[NoIncrement]]=TRUE,CONT_SUP[[#This Row],[NoIncrement]]=FALSE),0,1),1)</f>
        <v>0</v>
      </c>
      <c r="V105" s="57">
        <f>IF(ISBLANK(CONT_SUP[[#This Row],[FundCode]])=TRUE,0,IF(COUNTIF(FUNDS[FundCode],CONT_SUP[[#This Row],[FundCode]])=1,0,1))</f>
        <v>0</v>
      </c>
      <c r="W105" s="57">
        <f>IF(LEN(CONT_SUP[[#This Row],[Notes]])&lt;4000,0,1)</f>
        <v>0</v>
      </c>
      <c r="X105" s="57">
        <f>IF(SUBSTITUTE(TEXT(CONT_SUP[[#This Row],[Reference]],10)," ","")=TEXT(CONT_SUP[[#This Row],[Reference]],10),0,1)</f>
        <v>0</v>
      </c>
      <c r="Y105" s="57">
        <f ca="1">SUM(CONT_SUP[[#This Row],[Duplicate Contract]:[Space in Code]])</f>
        <v>0</v>
      </c>
      <c r="AA105" s="12" t="s">
        <v>2094</v>
      </c>
      <c r="AB105" s="63">
        <v>91073592</v>
      </c>
      <c r="AC105" s="63" t="s">
        <v>4701</v>
      </c>
      <c r="AD105" s="57" t="str">
        <f>_xlfn.XLOOKUP(CONT_SUP[[#This Row],[StaffMemberCode]],StaffMembers!O:O,StaffMembers!R:R)</f>
        <v>Leanne Peters</v>
      </c>
      <c r="AE105" s="12" t="s">
        <v>4202</v>
      </c>
      <c r="AF105" s="66">
        <f>_xlfn.XLOOKUP(CONT_SUP[[#This Row],[SRG]],SRG[StaffRoleGroupCode],SRG[GrossSalaryFinanceCode])</f>
        <v>619100</v>
      </c>
      <c r="AG105" s="57" t="str">
        <f>_xlfn.XLOOKUP(CONT_SUP[[#This Row],[StaffRoleCode]],ROLES[StaffRoleCode],ROLES[StaffRoleGroupCode])</f>
        <v>EDS</v>
      </c>
      <c r="AH105" s="57" t="str">
        <f>_xlfn.XLOOKUP(CONT_SUP[[#This Row],[StaffRoleCode]],ROLES[StaffRoleCode],ROLES[PayScaleCode])</f>
        <v>NJC_CHE</v>
      </c>
      <c r="AI105" s="12" t="s">
        <v>3124</v>
      </c>
      <c r="AJ105" s="12">
        <v>16</v>
      </c>
      <c r="AK105" s="12" t="s">
        <v>2482</v>
      </c>
      <c r="AM105" s="68" t="s">
        <v>3132</v>
      </c>
      <c r="AN105" s="12" t="s">
        <v>3135</v>
      </c>
      <c r="AO105" s="21">
        <v>45901</v>
      </c>
      <c r="AQ105" s="12">
        <v>37</v>
      </c>
      <c r="AR105" t="b">
        <v>0</v>
      </c>
      <c r="AS105" t="b">
        <v>0</v>
      </c>
      <c r="AT105" s="12" t="s">
        <v>1574</v>
      </c>
    </row>
    <row r="106" spans="1:46" x14ac:dyDescent="0.3">
      <c r="A106" s="57" t="str">
        <f t="shared" si="3"/>
        <v>BLS9107355491073554APAS_MGRSESS45901</v>
      </c>
      <c r="B106" s="57">
        <f>COUNTIF(CONT_SUP[Unique Contract],CONT_SUP[[#This Row],[Unique Contract]])-1</f>
        <v>0</v>
      </c>
      <c r="C106" s="57">
        <f>IFERROR(IF(FIND(CONT_SUP[[#This Row],[SchoolCode]],_xlfn.XLOOKUP(CONT_SUP[[#This Row],[StaffMemberCode]],MEMBERS[StaffMemberCode],MEMBERS[SchoolCodes]))&gt;0,0,1),1)</f>
        <v>0</v>
      </c>
      <c r="D106" s="57" cm="1">
        <f t="array" ref="D106">IF(_xlfn.XLOOKUP(CONT_SUP[[#This Row],[StaffRoleCode]],ROLES[StaffRoleCode],ROLES[AvailableToAllSchools],1,0,)=TRUE,0,IF(ISERROR(FIND(CONT_SUP[[#This Row],[SchoolCode]],_xlfn.TEXTJOIN(",",TRUE,_xlfn.UNIQUE(IF(ROLES[StaffRoleCode]=CONT_SUP[[#This Row],[StaffRoleCode]],ROLES[SchoolCodes],""))))),1,0))</f>
        <v>0</v>
      </c>
      <c r="E106" s="66" cm="1">
        <f t="array" ref="E10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06" s="57" cm="1">
        <f t="array" ref="F106">IF(_xlfn.XLOOKUP(CONT_SUP[[#This Row],[PayScaleCode]],PAYSCALES[PayScaleCode],PAYSCALES[AvailableToAllSchools],1,0,)=TRUE,0,IF(ISERROR(FIND(CONT_SUP[[#This Row],[SchoolCode]],_xlfn.TEXTJOIN(",",TRUE,_xlfn.UNIQUE(IF(PAYSCALES[PayScaleCode]=CONT_SUP[[#This Row],[PayScaleCode]],PAYSCALES[SchoolCodes],""))))),1,0))</f>
        <v>0</v>
      </c>
      <c r="G106" s="57">
        <f>IF(_xlfn.XLOOKUP(CONT_SUP[[#This Row],[PayScaleGradeCode]],GRADES[PayScaleGradeCode],GRADES[AvailableToAllSchools])=TRUE,0,IFERROR(IF(FIND(CONT_SUP[[#This Row],[SchoolCode]],_xlfn.XLOOKUP(CONT_SUP[[#This Row],[PayScaleGradeCode]],GRADES[PayScaleGradeCode],GRADES[SchoolCodes]))&gt;=1,0,1),1))</f>
        <v>0</v>
      </c>
      <c r="H106" s="66">
        <f>IF(ISERROR(IF((_xlfn.XLOOKUP(CONT_SUP[[#This Row],[PayScaleGradeCode]],GRADES[PayScaleGradeCode],GRADES[PayScaleCode])=CONT_SUP[[#This Row],[PayScaleCode]]),0,1)),1,0)</f>
        <v>0</v>
      </c>
      <c r="I106" s="66" cm="1">
        <f t="array" ref="I106">IF(ISERROR(FIND(CONT_SUP[[#This Row],[PayScalePointCode]],_xlfn.TEXTJOIN(",",TRUE,IF(PSPOINTS[PayScaleCode]=CONT_SUP[[#This Row],[PayScaleCode]],PSPOINTS[PayScalePointCode])))),1,0)</f>
        <v>0</v>
      </c>
      <c r="J106" s="57" cm="1">
        <f t="array" ref="J10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06" s="66">
        <f>IF(_xlfn.XLOOKUP(CONT_SUP[[#This Row],[PayScalePointCode]],PSPOINTS[PayScalePointCode],PSPOINTS[PayScalePointEnabled])=TRUE,0,1)</f>
        <v>0</v>
      </c>
      <c r="L106" s="57" cm="1">
        <f t="array" ref="L106">IF(_xlfn.XLOOKUP(CONT_SUP[[#This Row],[DepartmentCode]],DEPTS[DepartmentCode],DEPTS[AvailableToAllSchools],1,0,)=TRUE,0,IF(ISERROR(FIND(CONT_SUP[[#This Row],[SchoolCode]],_xlfn.TEXTJOIN(",",TRUE,_xlfn.UNIQUE(IF(DEPTS[DepartmentCode]=CONT_SUP[[#This Row],[DepartmentCode]],DEPTS[SchoolCodes],""))))),1,0))</f>
        <v>0</v>
      </c>
      <c r="M106" s="57">
        <f>IFERROR(IF(_xlfn.XLOOKUP(CONT_SUP[[#This Row],[SRG Gross]],FinanceCodesBudget[FinanceCode],FinanceCodesBudget[LedgerCode])=_xlfn.XLOOKUP(CONT_SUP[[#This Row],[DepartmentCode]],DEPTS[DepartmentCode],DEPTS[LedgerCode]),0,1),1)</f>
        <v>0</v>
      </c>
      <c r="N106" s="66" cm="1">
        <f t="array" ref="N106">IF(_xlfn.XLOOKUP(CONT_SUP[[#This Row],[PensionCode]],PENS[PensionCode],PENS[AvailableToAllSchools],1,0,)=TRUE,0,IF(ISERROR(FIND(CONT_SUP[[#This Row],[SchoolCode]],_xlfn.TEXTJOIN(",",TRUE,_xlfn.UNIQUE(IF(PENS[PensionCode]=CONT_SUP[[#This Row],[PensionCode]],PENS[SchoolCodes],""))))),1,0))</f>
        <v>0</v>
      </c>
      <c r="O106" s="66" cm="1">
        <f t="array" ref="O106">IF(_xlfn.XLOOKUP(CONT_SUP[[#This Row],[EquatedWeekPatternCode]],EQW[EquatedWeekPatternCode],EQW[AvailableToAllSchools],1,0,)=TRUE,0,IF(ISERROR(FIND(CONT_SUP[[#This Row],[SchoolCode]],_xlfn.TEXTJOIN(",",TRUE,_xlfn.UNIQUE(IF(EQW[EquatedWeekPatternCode]=CONT_SUP[[#This Row],[EquatedWeekPatternCode]],EQW[SchoolCodes],""))))),1,0))</f>
        <v>0</v>
      </c>
      <c r="P106" s="57">
        <f>1-COUNTIF(ContractTypes[Code],CONT_SUP[[#This Row],[ContractTypeCode]])</f>
        <v>0</v>
      </c>
      <c r="Q106" s="57">
        <f>IF(VLOOKUP(CONT_SUP[[#This Row],[StaffMemberCode]],MEMBERS[[StaffMemberCode]:[ServiceStartDate]],5,0)&gt;CONT_SUP[[#This Row],[DateFrom]],1,0)</f>
        <v>0</v>
      </c>
      <c r="R106" s="57">
        <f>IF(_xlfn.XLOOKUP(CONT_SUP[[#This Row],[StaffMemberCode]],MEMBERS[StaffMemberCode],MEMBERS[ServiceEndDate])="",0,IF(CONT_SUP[[#This Row],[DateTo]]="",1,IF(_xlfn.XLOOKUP(CONT_SUP[[#This Row],[StaffMemberCode]],MEMBERS[StaffMemberCode],MEMBERS[ServiceEndDate])&lt;CONT_SUP[[#This Row],[DateTo]],1,0)))</f>
        <v>0</v>
      </c>
      <c r="S106" s="57">
        <f>IF(ISBLANK(CONT_SUP[[#This Row],[DateTo]]),0,IF(CONT_SUP[[#This Row],[DateFrom]]=CONT_SUP[[#This Row],[DateTo]],0,IF(CONT_SUP[[#This Row],[DateFrom]]&lt;CONT_SUP[[#This Row],[DateTo]],0,1)))</f>
        <v>0</v>
      </c>
      <c r="T106" s="57" cm="1">
        <f t="array" aca="1" ref="T106" ca="1">IF(CELL("format",CONT_SUP[[#This Row],[DateFrom]])="D1",0,1)+IF(CELL("format",CONT_SUP[[#This Row],[DateTo]])="D1",0,1)</f>
        <v>0</v>
      </c>
      <c r="U106" s="57">
        <f>IF(OR(CONT_SUP[[#This Row],[MatEditOnly]]=TRUE,CONT_SUP[[#This Row],[MatEditOnly]]=FALSE),IF(OR(CONT_SUP[[#This Row],[NoIncrement]]=TRUE,CONT_SUP[[#This Row],[NoIncrement]]=FALSE),0,1),1)</f>
        <v>0</v>
      </c>
      <c r="V106" s="57">
        <f>IF(ISBLANK(CONT_SUP[[#This Row],[FundCode]])=TRUE,0,IF(COUNTIF(FUNDS[FundCode],CONT_SUP[[#This Row],[FundCode]])=1,0,1))</f>
        <v>0</v>
      </c>
      <c r="W106" s="57">
        <f>IF(LEN(CONT_SUP[[#This Row],[Notes]])&lt;4000,0,1)</f>
        <v>0</v>
      </c>
      <c r="X106" s="57">
        <f>IF(SUBSTITUTE(TEXT(CONT_SUP[[#This Row],[Reference]],10)," ","")=TEXT(CONT_SUP[[#This Row],[Reference]],10),0,1)</f>
        <v>0</v>
      </c>
      <c r="Y106" s="57">
        <f ca="1">SUM(CONT_SUP[[#This Row],[Duplicate Contract]:[Space in Code]])</f>
        <v>0</v>
      </c>
      <c r="AA106" s="12" t="s">
        <v>2094</v>
      </c>
      <c r="AB106" s="63">
        <v>91073554</v>
      </c>
      <c r="AC106" s="63" t="s">
        <v>4702</v>
      </c>
      <c r="AD106" s="57" t="str">
        <f>_xlfn.XLOOKUP(CONT_SUP[[#This Row],[StaffMemberCode]],StaffMembers!O:O,StaffMembers!R:R)</f>
        <v>Louise Ashton</v>
      </c>
      <c r="AE106" s="12" t="s">
        <v>4202</v>
      </c>
      <c r="AF106" s="66">
        <f>_xlfn.XLOOKUP(CONT_SUP[[#This Row],[SRG]],SRG[StaffRoleGroupCode],SRG[GrossSalaryFinanceCode])</f>
        <v>619100</v>
      </c>
      <c r="AG106" s="57" t="str">
        <f>_xlfn.XLOOKUP(CONT_SUP[[#This Row],[StaffRoleCode]],ROLES[StaffRoleCode],ROLES[StaffRoleGroupCode])</f>
        <v>EDS</v>
      </c>
      <c r="AH106" s="57" t="str">
        <f>_xlfn.XLOOKUP(CONT_SUP[[#This Row],[StaffRoleCode]],ROLES[StaffRoleCode],ROLES[PayScaleCode])</f>
        <v>NJC_CHE</v>
      </c>
      <c r="AI106" s="12" t="s">
        <v>3124</v>
      </c>
      <c r="AJ106" s="12">
        <v>14</v>
      </c>
      <c r="AK106" s="12" t="s">
        <v>2482</v>
      </c>
      <c r="AM106" s="68" t="s">
        <v>3132</v>
      </c>
      <c r="AN106" s="12" t="s">
        <v>3135</v>
      </c>
      <c r="AO106" s="21">
        <v>45901</v>
      </c>
      <c r="AQ106" s="12">
        <v>37</v>
      </c>
      <c r="AR106" t="b">
        <v>0</v>
      </c>
      <c r="AS106" t="b">
        <v>0</v>
      </c>
      <c r="AT106" s="12" t="s">
        <v>1574</v>
      </c>
    </row>
    <row r="107" spans="1:46" x14ac:dyDescent="0.3">
      <c r="A107" s="57" t="str">
        <f t="shared" si="3"/>
        <v>ALS9107367791073677ARECSESS45901</v>
      </c>
      <c r="B107" s="57">
        <f>COUNTIF(CONT_SUP[Unique Contract],CONT_SUP[[#This Row],[Unique Contract]])-1</f>
        <v>0</v>
      </c>
      <c r="C107" s="57">
        <f>IFERROR(IF(FIND(CONT_SUP[[#This Row],[SchoolCode]],_xlfn.XLOOKUP(CONT_SUP[[#This Row],[StaffMemberCode]],MEMBERS[StaffMemberCode],MEMBERS[SchoolCodes]))&gt;0,0,1),1)</f>
        <v>0</v>
      </c>
      <c r="D107" s="57" cm="1">
        <f t="array" ref="D107">IF(_xlfn.XLOOKUP(CONT_SUP[[#This Row],[StaffRoleCode]],ROLES[StaffRoleCode],ROLES[AvailableToAllSchools],1,0,)=TRUE,0,IF(ISERROR(FIND(CONT_SUP[[#This Row],[SchoolCode]],_xlfn.TEXTJOIN(",",TRUE,_xlfn.UNIQUE(IF(ROLES[StaffRoleCode]=CONT_SUP[[#This Row],[StaffRoleCode]],ROLES[SchoolCodes],""))))),1,0))</f>
        <v>0</v>
      </c>
      <c r="E107" s="66" cm="1">
        <f t="array" ref="E10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07" s="57" cm="1">
        <f t="array" ref="F107">IF(_xlfn.XLOOKUP(CONT_SUP[[#This Row],[PayScaleCode]],PAYSCALES[PayScaleCode],PAYSCALES[AvailableToAllSchools],1,0,)=TRUE,0,IF(ISERROR(FIND(CONT_SUP[[#This Row],[SchoolCode]],_xlfn.TEXTJOIN(",",TRUE,_xlfn.UNIQUE(IF(PAYSCALES[PayScaleCode]=CONT_SUP[[#This Row],[PayScaleCode]],PAYSCALES[SchoolCodes],""))))),1,0))</f>
        <v>0</v>
      </c>
      <c r="G107" s="57">
        <f>IF(_xlfn.XLOOKUP(CONT_SUP[[#This Row],[PayScaleGradeCode]],GRADES[PayScaleGradeCode],GRADES[AvailableToAllSchools])=TRUE,0,IFERROR(IF(FIND(CONT_SUP[[#This Row],[SchoolCode]],_xlfn.XLOOKUP(CONT_SUP[[#This Row],[PayScaleGradeCode]],GRADES[PayScaleGradeCode],GRADES[SchoolCodes]))&gt;=1,0,1),1))</f>
        <v>0</v>
      </c>
      <c r="H107" s="66">
        <f>IF(ISERROR(IF((_xlfn.XLOOKUP(CONT_SUP[[#This Row],[PayScaleGradeCode]],GRADES[PayScaleGradeCode],GRADES[PayScaleCode])=CONT_SUP[[#This Row],[PayScaleCode]]),0,1)),1,0)</f>
        <v>0</v>
      </c>
      <c r="I107" s="66" cm="1">
        <f t="array" ref="I107">IF(ISERROR(FIND(CONT_SUP[[#This Row],[PayScalePointCode]],_xlfn.TEXTJOIN(",",TRUE,IF(PSPOINTS[PayScaleCode]=CONT_SUP[[#This Row],[PayScaleCode]],PSPOINTS[PayScalePointCode])))),1,0)</f>
        <v>0</v>
      </c>
      <c r="J107" s="57" cm="1">
        <f t="array" ref="J10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07" s="66">
        <f>IF(_xlfn.XLOOKUP(CONT_SUP[[#This Row],[PayScalePointCode]],PSPOINTS[PayScalePointCode],PSPOINTS[PayScalePointEnabled])=TRUE,0,1)</f>
        <v>0</v>
      </c>
      <c r="L107" s="57" cm="1">
        <f t="array" ref="L107">IF(_xlfn.XLOOKUP(CONT_SUP[[#This Row],[DepartmentCode]],DEPTS[DepartmentCode],DEPTS[AvailableToAllSchools],1,0,)=TRUE,0,IF(ISERROR(FIND(CONT_SUP[[#This Row],[SchoolCode]],_xlfn.TEXTJOIN(",",TRUE,_xlfn.UNIQUE(IF(DEPTS[DepartmentCode]=CONT_SUP[[#This Row],[DepartmentCode]],DEPTS[SchoolCodes],""))))),1,0))</f>
        <v>0</v>
      </c>
      <c r="M107" s="57">
        <f>IFERROR(IF(_xlfn.XLOOKUP(CONT_SUP[[#This Row],[SRG Gross]],FinanceCodesBudget[FinanceCode],FinanceCodesBudget[LedgerCode])=_xlfn.XLOOKUP(CONT_SUP[[#This Row],[DepartmentCode]],DEPTS[DepartmentCode],DEPTS[LedgerCode]),0,1),1)</f>
        <v>0</v>
      </c>
      <c r="N107" s="66" cm="1">
        <f t="array" ref="N107">IF(_xlfn.XLOOKUP(CONT_SUP[[#This Row],[PensionCode]],PENS[PensionCode],PENS[AvailableToAllSchools],1,0,)=TRUE,0,IF(ISERROR(FIND(CONT_SUP[[#This Row],[SchoolCode]],_xlfn.TEXTJOIN(",",TRUE,_xlfn.UNIQUE(IF(PENS[PensionCode]=CONT_SUP[[#This Row],[PensionCode]],PENS[SchoolCodes],""))))),1,0))</f>
        <v>0</v>
      </c>
      <c r="O107" s="66" cm="1">
        <f t="array" ref="O107">IF(_xlfn.XLOOKUP(CONT_SUP[[#This Row],[EquatedWeekPatternCode]],EQW[EquatedWeekPatternCode],EQW[AvailableToAllSchools],1,0,)=TRUE,0,IF(ISERROR(FIND(CONT_SUP[[#This Row],[SchoolCode]],_xlfn.TEXTJOIN(",",TRUE,_xlfn.UNIQUE(IF(EQW[EquatedWeekPatternCode]=CONT_SUP[[#This Row],[EquatedWeekPatternCode]],EQW[SchoolCodes],""))))),1,0))</f>
        <v>0</v>
      </c>
      <c r="P107" s="57">
        <f>1-COUNTIF(ContractTypes[Code],CONT_SUP[[#This Row],[ContractTypeCode]])</f>
        <v>0</v>
      </c>
      <c r="Q107" s="57">
        <f>IF(VLOOKUP(CONT_SUP[[#This Row],[StaffMemberCode]],MEMBERS[[StaffMemberCode]:[ServiceStartDate]],5,0)&gt;CONT_SUP[[#This Row],[DateFrom]],1,0)</f>
        <v>0</v>
      </c>
      <c r="R107" s="57">
        <f>IF(_xlfn.XLOOKUP(CONT_SUP[[#This Row],[StaffMemberCode]],MEMBERS[StaffMemberCode],MEMBERS[ServiceEndDate])="",0,IF(CONT_SUP[[#This Row],[DateTo]]="",1,IF(_xlfn.XLOOKUP(CONT_SUP[[#This Row],[StaffMemberCode]],MEMBERS[StaffMemberCode],MEMBERS[ServiceEndDate])&lt;CONT_SUP[[#This Row],[DateTo]],1,0)))</f>
        <v>0</v>
      </c>
      <c r="S107" s="57">
        <f>IF(ISBLANK(CONT_SUP[[#This Row],[DateTo]]),0,IF(CONT_SUP[[#This Row],[DateFrom]]=CONT_SUP[[#This Row],[DateTo]],0,IF(CONT_SUP[[#This Row],[DateFrom]]&lt;CONT_SUP[[#This Row],[DateTo]],0,1)))</f>
        <v>0</v>
      </c>
      <c r="T107" s="57" cm="1">
        <f t="array" aca="1" ref="T107" ca="1">IF(CELL("format",CONT_SUP[[#This Row],[DateFrom]])="D1",0,1)+IF(CELL("format",CONT_SUP[[#This Row],[DateTo]])="D1",0,1)</f>
        <v>0</v>
      </c>
      <c r="U107" s="57">
        <f>IF(OR(CONT_SUP[[#This Row],[MatEditOnly]]=TRUE,CONT_SUP[[#This Row],[MatEditOnly]]=FALSE),IF(OR(CONT_SUP[[#This Row],[NoIncrement]]=TRUE,CONT_SUP[[#This Row],[NoIncrement]]=FALSE),0,1),1)</f>
        <v>0</v>
      </c>
      <c r="V107" s="57">
        <f>IF(ISBLANK(CONT_SUP[[#This Row],[FundCode]])=TRUE,0,IF(COUNTIF(FUNDS[FundCode],CONT_SUP[[#This Row],[FundCode]])=1,0,1))</f>
        <v>0</v>
      </c>
      <c r="W107" s="57">
        <f>IF(LEN(CONT_SUP[[#This Row],[Notes]])&lt;4000,0,1)</f>
        <v>0</v>
      </c>
      <c r="X107" s="57">
        <f>IF(SUBSTITUTE(TEXT(CONT_SUP[[#This Row],[Reference]],10)," ","")=TEXT(CONT_SUP[[#This Row],[Reference]],10),0,1)</f>
        <v>0</v>
      </c>
      <c r="Y107" s="57">
        <f ca="1">SUM(CONT_SUP[[#This Row],[Duplicate Contract]:[Space in Code]])</f>
        <v>0</v>
      </c>
      <c r="AA107" s="12" t="s">
        <v>2082</v>
      </c>
      <c r="AB107" s="63">
        <v>91073677</v>
      </c>
      <c r="AC107" s="63" t="s">
        <v>4703</v>
      </c>
      <c r="AD107" s="57" t="str">
        <f>_xlfn.XLOOKUP(CONT_SUP[[#This Row],[StaffMemberCode]],StaffMembers!O:O,StaffMembers!R:R)</f>
        <v>Anita Howell</v>
      </c>
      <c r="AE107" s="12" t="s">
        <v>1563</v>
      </c>
      <c r="AF107" s="66">
        <f>_xlfn.XLOOKUP(CONT_SUP[[#This Row],[SRG]],SRG[StaffRoleGroupCode],SRG[GrossSalaryFinanceCode])</f>
        <v>625100</v>
      </c>
      <c r="AG107" s="57" t="str">
        <f>_xlfn.XLOOKUP(CONT_SUP[[#This Row],[StaffRoleCode]],ROLES[StaffRoleCode],ROLES[StaffRoleGroupCode])</f>
        <v>ADM</v>
      </c>
      <c r="AH107" s="57" t="str">
        <f>_xlfn.XLOOKUP(CONT_SUP[[#This Row],[StaffRoleCode]],ROLES[StaffRoleCode],ROLES[PayScaleCode])</f>
        <v>NJC_CHE</v>
      </c>
      <c r="AI107" s="12" t="s">
        <v>3121</v>
      </c>
      <c r="AJ107" s="12">
        <v>4</v>
      </c>
      <c r="AK107" s="12" t="s">
        <v>2482</v>
      </c>
      <c r="AM107" s="68" t="s">
        <v>3132</v>
      </c>
      <c r="AN107" s="12" t="s">
        <v>3134</v>
      </c>
      <c r="AO107" s="21">
        <v>45901</v>
      </c>
      <c r="AQ107" s="12">
        <v>15.5</v>
      </c>
      <c r="AR107" t="b">
        <v>0</v>
      </c>
      <c r="AS107" t="b">
        <v>0</v>
      </c>
      <c r="AT107" s="12" t="s">
        <v>1574</v>
      </c>
    </row>
    <row r="108" spans="1:46" x14ac:dyDescent="0.3">
      <c r="A108" s="57" t="str">
        <f t="shared" si="3"/>
        <v>ALS9107373291073732ASEC_SNR_TUTSESS45901</v>
      </c>
      <c r="B108" s="57">
        <f>COUNTIF(CONT_SUP[Unique Contract],CONT_SUP[[#This Row],[Unique Contract]])-1</f>
        <v>0</v>
      </c>
      <c r="C108" s="57">
        <f>IFERROR(IF(FIND(CONT_SUP[[#This Row],[SchoolCode]],_xlfn.XLOOKUP(CONT_SUP[[#This Row],[StaffMemberCode]],MEMBERS[StaffMemberCode],MEMBERS[SchoolCodes]))&gt;0,0,1),1)</f>
        <v>0</v>
      </c>
      <c r="D108" s="57" cm="1">
        <f t="array" ref="D108">IF(_xlfn.XLOOKUP(CONT_SUP[[#This Row],[StaffRoleCode]],ROLES[StaffRoleCode],ROLES[AvailableToAllSchools],1,0,)=TRUE,0,IF(ISERROR(FIND(CONT_SUP[[#This Row],[SchoolCode]],_xlfn.TEXTJOIN(",",TRUE,_xlfn.UNIQUE(IF(ROLES[StaffRoleCode]=CONT_SUP[[#This Row],[StaffRoleCode]],ROLES[SchoolCodes],""))))),1,0))</f>
        <v>0</v>
      </c>
      <c r="E108" s="66" cm="1">
        <f t="array" ref="E10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08" s="57" cm="1">
        <f t="array" ref="F108">IF(_xlfn.XLOOKUP(CONT_SUP[[#This Row],[PayScaleCode]],PAYSCALES[PayScaleCode],PAYSCALES[AvailableToAllSchools],1,0,)=TRUE,0,IF(ISERROR(FIND(CONT_SUP[[#This Row],[SchoolCode]],_xlfn.TEXTJOIN(",",TRUE,_xlfn.UNIQUE(IF(PAYSCALES[PayScaleCode]=CONT_SUP[[#This Row],[PayScaleCode]],PAYSCALES[SchoolCodes],""))))),1,0))</f>
        <v>0</v>
      </c>
      <c r="G108" s="57">
        <f>IF(_xlfn.XLOOKUP(CONT_SUP[[#This Row],[PayScaleGradeCode]],GRADES[PayScaleGradeCode],GRADES[AvailableToAllSchools])=TRUE,0,IFERROR(IF(FIND(CONT_SUP[[#This Row],[SchoolCode]],_xlfn.XLOOKUP(CONT_SUP[[#This Row],[PayScaleGradeCode]],GRADES[PayScaleGradeCode],GRADES[SchoolCodes]))&gt;=1,0,1),1))</f>
        <v>0</v>
      </c>
      <c r="H108" s="66">
        <f>IF(ISERROR(IF((_xlfn.XLOOKUP(CONT_SUP[[#This Row],[PayScaleGradeCode]],GRADES[PayScaleGradeCode],GRADES[PayScaleCode])=CONT_SUP[[#This Row],[PayScaleCode]]),0,1)),1,0)</f>
        <v>0</v>
      </c>
      <c r="I108" s="66" cm="1">
        <f t="array" ref="I108">IF(ISERROR(FIND(CONT_SUP[[#This Row],[PayScalePointCode]],_xlfn.TEXTJOIN(",",TRUE,IF(PSPOINTS[PayScaleCode]=CONT_SUP[[#This Row],[PayScaleCode]],PSPOINTS[PayScalePointCode])))),1,0)</f>
        <v>0</v>
      </c>
      <c r="J108" s="57" cm="1">
        <f t="array" ref="J10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08" s="66">
        <f>IF(_xlfn.XLOOKUP(CONT_SUP[[#This Row],[PayScalePointCode]],PSPOINTS[PayScalePointCode],PSPOINTS[PayScalePointEnabled])=TRUE,0,1)</f>
        <v>0</v>
      </c>
      <c r="L108" s="57" cm="1">
        <f t="array" ref="L108">IF(_xlfn.XLOOKUP(CONT_SUP[[#This Row],[DepartmentCode]],DEPTS[DepartmentCode],DEPTS[AvailableToAllSchools],1,0,)=TRUE,0,IF(ISERROR(FIND(CONT_SUP[[#This Row],[SchoolCode]],_xlfn.TEXTJOIN(",",TRUE,_xlfn.UNIQUE(IF(DEPTS[DepartmentCode]=CONT_SUP[[#This Row],[DepartmentCode]],DEPTS[SchoolCodes],""))))),1,0))</f>
        <v>0</v>
      </c>
      <c r="M108" s="57">
        <f>IFERROR(IF(_xlfn.XLOOKUP(CONT_SUP[[#This Row],[SRG Gross]],FinanceCodesBudget[FinanceCode],FinanceCodesBudget[LedgerCode])=_xlfn.XLOOKUP(CONT_SUP[[#This Row],[DepartmentCode]],DEPTS[DepartmentCode],DEPTS[LedgerCode]),0,1),1)</f>
        <v>0</v>
      </c>
      <c r="N108" s="66" cm="1">
        <f t="array" ref="N108">IF(_xlfn.XLOOKUP(CONT_SUP[[#This Row],[PensionCode]],PENS[PensionCode],PENS[AvailableToAllSchools],1,0,)=TRUE,0,IF(ISERROR(FIND(CONT_SUP[[#This Row],[SchoolCode]],_xlfn.TEXTJOIN(",",TRUE,_xlfn.UNIQUE(IF(PENS[PensionCode]=CONT_SUP[[#This Row],[PensionCode]],PENS[SchoolCodes],""))))),1,0))</f>
        <v>0</v>
      </c>
      <c r="O108" s="66" cm="1">
        <f t="array" ref="O108">IF(_xlfn.XLOOKUP(CONT_SUP[[#This Row],[EquatedWeekPatternCode]],EQW[EquatedWeekPatternCode],EQW[AvailableToAllSchools],1,0,)=TRUE,0,IF(ISERROR(FIND(CONT_SUP[[#This Row],[SchoolCode]],_xlfn.TEXTJOIN(",",TRUE,_xlfn.UNIQUE(IF(EQW[EquatedWeekPatternCode]=CONT_SUP[[#This Row],[EquatedWeekPatternCode]],EQW[SchoolCodes],""))))),1,0))</f>
        <v>0</v>
      </c>
      <c r="P108" s="57">
        <f>1-COUNTIF(ContractTypes[Code],CONT_SUP[[#This Row],[ContractTypeCode]])</f>
        <v>0</v>
      </c>
      <c r="Q108" s="57">
        <f>IF(VLOOKUP(CONT_SUP[[#This Row],[StaffMemberCode]],MEMBERS[[StaffMemberCode]:[ServiceStartDate]],5,0)&gt;CONT_SUP[[#This Row],[DateFrom]],1,0)</f>
        <v>0</v>
      </c>
      <c r="R108" s="57">
        <f>IF(_xlfn.XLOOKUP(CONT_SUP[[#This Row],[StaffMemberCode]],MEMBERS[StaffMemberCode],MEMBERS[ServiceEndDate])="",0,IF(CONT_SUP[[#This Row],[DateTo]]="",1,IF(_xlfn.XLOOKUP(CONT_SUP[[#This Row],[StaffMemberCode]],MEMBERS[StaffMemberCode],MEMBERS[ServiceEndDate])&lt;CONT_SUP[[#This Row],[DateTo]],1,0)))</f>
        <v>0</v>
      </c>
      <c r="S108" s="57">
        <f>IF(ISBLANK(CONT_SUP[[#This Row],[DateTo]]),0,IF(CONT_SUP[[#This Row],[DateFrom]]=CONT_SUP[[#This Row],[DateTo]],0,IF(CONT_SUP[[#This Row],[DateFrom]]&lt;CONT_SUP[[#This Row],[DateTo]],0,1)))</f>
        <v>0</v>
      </c>
      <c r="T108" s="57" cm="1">
        <f t="array" aca="1" ref="T108" ca="1">IF(CELL("format",CONT_SUP[[#This Row],[DateFrom]])="D1",0,1)+IF(CELL("format",CONT_SUP[[#This Row],[DateTo]])="D1",0,1)</f>
        <v>0</v>
      </c>
      <c r="U108" s="57">
        <f>IF(OR(CONT_SUP[[#This Row],[MatEditOnly]]=TRUE,CONT_SUP[[#This Row],[MatEditOnly]]=FALSE),IF(OR(CONT_SUP[[#This Row],[NoIncrement]]=TRUE,CONT_SUP[[#This Row],[NoIncrement]]=FALSE),0,1),1)</f>
        <v>0</v>
      </c>
      <c r="V108" s="57">
        <f>IF(ISBLANK(CONT_SUP[[#This Row],[FundCode]])=TRUE,0,IF(COUNTIF(FUNDS[FundCode],CONT_SUP[[#This Row],[FundCode]])=1,0,1))</f>
        <v>0</v>
      </c>
      <c r="W108" s="57">
        <f>IF(LEN(CONT_SUP[[#This Row],[Notes]])&lt;4000,0,1)</f>
        <v>0</v>
      </c>
      <c r="X108" s="57">
        <f>IF(SUBSTITUTE(TEXT(CONT_SUP[[#This Row],[Reference]],10)," ","")=TEXT(CONT_SUP[[#This Row],[Reference]],10),0,1)</f>
        <v>0</v>
      </c>
      <c r="Y108" s="57">
        <f ca="1">SUM(CONT_SUP[[#This Row],[Duplicate Contract]:[Space in Code]])</f>
        <v>0</v>
      </c>
      <c r="AA108" s="12" t="s">
        <v>2082</v>
      </c>
      <c r="AB108" s="63">
        <v>91073732</v>
      </c>
      <c r="AC108" s="63" t="s">
        <v>4704</v>
      </c>
      <c r="AD108" s="57" t="str">
        <f>_xlfn.XLOOKUP(CONT_SUP[[#This Row],[StaffMemberCode]],StaffMembers!O:O,StaffMembers!R:R)</f>
        <v>Charlotte Hilditch</v>
      </c>
      <c r="AE108" s="12" t="s">
        <v>4267</v>
      </c>
      <c r="AF108" s="66">
        <f>_xlfn.XLOOKUP(CONT_SUP[[#This Row],[SRG]],SRG[StaffRoleGroupCode],SRG[GrossSalaryFinanceCode])</f>
        <v>625100</v>
      </c>
      <c r="AG108" s="57" t="str">
        <f>_xlfn.XLOOKUP(CONT_SUP[[#This Row],[StaffRoleCode]],ROLES[StaffRoleCode],ROLES[StaffRoleGroupCode])</f>
        <v>ADM</v>
      </c>
      <c r="AH108" s="57" t="str">
        <f>_xlfn.XLOOKUP(CONT_SUP[[#This Row],[StaffRoleCode]],ROLES[StaffRoleCode],ROLES[PayScaleCode])</f>
        <v>NJC_CHE</v>
      </c>
      <c r="AI108" s="12" t="s">
        <v>3122</v>
      </c>
      <c r="AJ108" s="12">
        <v>6</v>
      </c>
      <c r="AK108" s="12" t="s">
        <v>2482</v>
      </c>
      <c r="AM108" s="68" t="s">
        <v>3132</v>
      </c>
      <c r="AN108" s="12" t="s">
        <v>3134</v>
      </c>
      <c r="AO108" s="21">
        <v>45901</v>
      </c>
      <c r="AQ108" s="12">
        <v>37</v>
      </c>
      <c r="AR108" t="b">
        <v>0</v>
      </c>
      <c r="AS108" t="b">
        <v>0</v>
      </c>
      <c r="AT108" s="12" t="s">
        <v>1574</v>
      </c>
    </row>
    <row r="109" spans="1:46" x14ac:dyDescent="0.3">
      <c r="A109" s="57" t="str">
        <f t="shared" si="3"/>
        <v>ALS9107372291073722ASEC_SNRSESS45901</v>
      </c>
      <c r="B109" s="57">
        <f>COUNTIF(CONT_SUP[Unique Contract],CONT_SUP[[#This Row],[Unique Contract]])-1</f>
        <v>0</v>
      </c>
      <c r="C109" s="57">
        <f>IFERROR(IF(FIND(CONT_SUP[[#This Row],[SchoolCode]],_xlfn.XLOOKUP(CONT_SUP[[#This Row],[StaffMemberCode]],MEMBERS[StaffMemberCode],MEMBERS[SchoolCodes]))&gt;0,0,1),1)</f>
        <v>0</v>
      </c>
      <c r="D109" s="57" cm="1">
        <f t="array" ref="D109">IF(_xlfn.XLOOKUP(CONT_SUP[[#This Row],[StaffRoleCode]],ROLES[StaffRoleCode],ROLES[AvailableToAllSchools],1,0,)=TRUE,0,IF(ISERROR(FIND(CONT_SUP[[#This Row],[SchoolCode]],_xlfn.TEXTJOIN(",",TRUE,_xlfn.UNIQUE(IF(ROLES[StaffRoleCode]=CONT_SUP[[#This Row],[StaffRoleCode]],ROLES[SchoolCodes],""))))),1,0))</f>
        <v>0</v>
      </c>
      <c r="E109" s="66" cm="1">
        <f t="array" ref="E10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09" s="57" cm="1">
        <f t="array" ref="F109">IF(_xlfn.XLOOKUP(CONT_SUP[[#This Row],[PayScaleCode]],PAYSCALES[PayScaleCode],PAYSCALES[AvailableToAllSchools],1,0,)=TRUE,0,IF(ISERROR(FIND(CONT_SUP[[#This Row],[SchoolCode]],_xlfn.TEXTJOIN(",",TRUE,_xlfn.UNIQUE(IF(PAYSCALES[PayScaleCode]=CONT_SUP[[#This Row],[PayScaleCode]],PAYSCALES[SchoolCodes],""))))),1,0))</f>
        <v>0</v>
      </c>
      <c r="G109" s="57">
        <f>IF(_xlfn.XLOOKUP(CONT_SUP[[#This Row],[PayScaleGradeCode]],GRADES[PayScaleGradeCode],GRADES[AvailableToAllSchools])=TRUE,0,IFERROR(IF(FIND(CONT_SUP[[#This Row],[SchoolCode]],_xlfn.XLOOKUP(CONT_SUP[[#This Row],[PayScaleGradeCode]],GRADES[PayScaleGradeCode],GRADES[SchoolCodes]))&gt;=1,0,1),1))</f>
        <v>0</v>
      </c>
      <c r="H109" s="66">
        <f>IF(ISERROR(IF((_xlfn.XLOOKUP(CONT_SUP[[#This Row],[PayScaleGradeCode]],GRADES[PayScaleGradeCode],GRADES[PayScaleCode])=CONT_SUP[[#This Row],[PayScaleCode]]),0,1)),1,0)</f>
        <v>0</v>
      </c>
      <c r="I109" s="66" cm="1">
        <f t="array" ref="I109">IF(ISERROR(FIND(CONT_SUP[[#This Row],[PayScalePointCode]],_xlfn.TEXTJOIN(",",TRUE,IF(PSPOINTS[PayScaleCode]=CONT_SUP[[#This Row],[PayScaleCode]],PSPOINTS[PayScalePointCode])))),1,0)</f>
        <v>0</v>
      </c>
      <c r="J109" s="57" cm="1">
        <f t="array" ref="J10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09" s="66">
        <f>IF(_xlfn.XLOOKUP(CONT_SUP[[#This Row],[PayScalePointCode]],PSPOINTS[PayScalePointCode],PSPOINTS[PayScalePointEnabled])=TRUE,0,1)</f>
        <v>0</v>
      </c>
      <c r="L109" s="57" cm="1">
        <f t="array" ref="L109">IF(_xlfn.XLOOKUP(CONT_SUP[[#This Row],[DepartmentCode]],DEPTS[DepartmentCode],DEPTS[AvailableToAllSchools],1,0,)=TRUE,0,IF(ISERROR(FIND(CONT_SUP[[#This Row],[SchoolCode]],_xlfn.TEXTJOIN(",",TRUE,_xlfn.UNIQUE(IF(DEPTS[DepartmentCode]=CONT_SUP[[#This Row],[DepartmentCode]],DEPTS[SchoolCodes],""))))),1,0))</f>
        <v>0</v>
      </c>
      <c r="M109" s="57">
        <f>IFERROR(IF(_xlfn.XLOOKUP(CONT_SUP[[#This Row],[SRG Gross]],FinanceCodesBudget[FinanceCode],FinanceCodesBudget[LedgerCode])=_xlfn.XLOOKUP(CONT_SUP[[#This Row],[DepartmentCode]],DEPTS[DepartmentCode],DEPTS[LedgerCode]),0,1),1)</f>
        <v>0</v>
      </c>
      <c r="N109" s="66" cm="1">
        <f t="array" ref="N109">IF(_xlfn.XLOOKUP(CONT_SUP[[#This Row],[PensionCode]],PENS[PensionCode],PENS[AvailableToAllSchools],1,0,)=TRUE,0,IF(ISERROR(FIND(CONT_SUP[[#This Row],[SchoolCode]],_xlfn.TEXTJOIN(",",TRUE,_xlfn.UNIQUE(IF(PENS[PensionCode]=CONT_SUP[[#This Row],[PensionCode]],PENS[SchoolCodes],""))))),1,0))</f>
        <v>0</v>
      </c>
      <c r="O109" s="66" cm="1">
        <f t="array" ref="O109">IF(_xlfn.XLOOKUP(CONT_SUP[[#This Row],[EquatedWeekPatternCode]],EQW[EquatedWeekPatternCode],EQW[AvailableToAllSchools],1,0,)=TRUE,0,IF(ISERROR(FIND(CONT_SUP[[#This Row],[SchoolCode]],_xlfn.TEXTJOIN(",",TRUE,_xlfn.UNIQUE(IF(EQW[EquatedWeekPatternCode]=CONT_SUP[[#This Row],[EquatedWeekPatternCode]],EQW[SchoolCodes],""))))),1,0))</f>
        <v>0</v>
      </c>
      <c r="P109" s="57">
        <f>1-COUNTIF(ContractTypes[Code],CONT_SUP[[#This Row],[ContractTypeCode]])</f>
        <v>0</v>
      </c>
      <c r="Q109" s="57">
        <f>IF(VLOOKUP(CONT_SUP[[#This Row],[StaffMemberCode]],MEMBERS[[StaffMemberCode]:[ServiceStartDate]],5,0)&gt;CONT_SUP[[#This Row],[DateFrom]],1,0)</f>
        <v>0</v>
      </c>
      <c r="R109" s="57">
        <f>IF(_xlfn.XLOOKUP(CONT_SUP[[#This Row],[StaffMemberCode]],MEMBERS[StaffMemberCode],MEMBERS[ServiceEndDate])="",0,IF(CONT_SUP[[#This Row],[DateTo]]="",1,IF(_xlfn.XLOOKUP(CONT_SUP[[#This Row],[StaffMemberCode]],MEMBERS[StaffMemberCode],MEMBERS[ServiceEndDate])&lt;CONT_SUP[[#This Row],[DateTo]],1,0)))</f>
        <v>0</v>
      </c>
      <c r="S109" s="57">
        <f>IF(ISBLANK(CONT_SUP[[#This Row],[DateTo]]),0,IF(CONT_SUP[[#This Row],[DateFrom]]=CONT_SUP[[#This Row],[DateTo]],0,IF(CONT_SUP[[#This Row],[DateFrom]]&lt;CONT_SUP[[#This Row],[DateTo]],0,1)))</f>
        <v>0</v>
      </c>
      <c r="T109" s="57" cm="1">
        <f t="array" aca="1" ref="T109" ca="1">IF(CELL("format",CONT_SUP[[#This Row],[DateFrom]])="D1",0,1)+IF(CELL("format",CONT_SUP[[#This Row],[DateTo]])="D1",0,1)</f>
        <v>0</v>
      </c>
      <c r="U109" s="57">
        <f>IF(OR(CONT_SUP[[#This Row],[MatEditOnly]]=TRUE,CONT_SUP[[#This Row],[MatEditOnly]]=FALSE),IF(OR(CONT_SUP[[#This Row],[NoIncrement]]=TRUE,CONT_SUP[[#This Row],[NoIncrement]]=FALSE),0,1),1)</f>
        <v>0</v>
      </c>
      <c r="V109" s="57">
        <f>IF(ISBLANK(CONT_SUP[[#This Row],[FundCode]])=TRUE,0,IF(COUNTIF(FUNDS[FundCode],CONT_SUP[[#This Row],[FundCode]])=1,0,1))</f>
        <v>0</v>
      </c>
      <c r="W109" s="57">
        <f>IF(LEN(CONT_SUP[[#This Row],[Notes]])&lt;4000,0,1)</f>
        <v>0</v>
      </c>
      <c r="X109" s="57">
        <f>IF(SUBSTITUTE(TEXT(CONT_SUP[[#This Row],[Reference]],10)," ","")=TEXT(CONT_SUP[[#This Row],[Reference]],10),0,1)</f>
        <v>0</v>
      </c>
      <c r="Y109" s="57">
        <f ca="1">SUM(CONT_SUP[[#This Row],[Duplicate Contract]:[Space in Code]])</f>
        <v>0</v>
      </c>
      <c r="AA109" s="12" t="s">
        <v>2082</v>
      </c>
      <c r="AB109" s="63">
        <v>91073722</v>
      </c>
      <c r="AC109" s="63" t="s">
        <v>4705</v>
      </c>
      <c r="AD109" s="57" t="str">
        <f>_xlfn.XLOOKUP(CONT_SUP[[#This Row],[StaffMemberCode]],StaffMembers!O:O,StaffMembers!R:R)</f>
        <v>Kathryn Greenwood</v>
      </c>
      <c r="AE109" s="12" t="s">
        <v>4208</v>
      </c>
      <c r="AF109" s="66">
        <f>_xlfn.XLOOKUP(CONT_SUP[[#This Row],[SRG]],SRG[StaffRoleGroupCode],SRG[GrossSalaryFinanceCode])</f>
        <v>619100</v>
      </c>
      <c r="AG109" s="57" t="str">
        <f>_xlfn.XLOOKUP(CONT_SUP[[#This Row],[StaffRoleCode]],ROLES[StaffRoleCode],ROLES[StaffRoleGroupCode])</f>
        <v>EDS</v>
      </c>
      <c r="AH109" s="57" t="str">
        <f>_xlfn.XLOOKUP(CONT_SUP[[#This Row],[StaffRoleCode]],ROLES[StaffRoleCode],ROLES[PayScaleCode])</f>
        <v>NJC_CHE</v>
      </c>
      <c r="AI109" s="12" t="s">
        <v>3124</v>
      </c>
      <c r="AJ109" s="12">
        <v>16</v>
      </c>
      <c r="AK109" s="12" t="s">
        <v>2482</v>
      </c>
      <c r="AM109" s="68" t="s">
        <v>3132</v>
      </c>
      <c r="AN109" s="12" t="s">
        <v>3137</v>
      </c>
      <c r="AO109" s="21">
        <v>45901</v>
      </c>
      <c r="AQ109" s="12">
        <v>37</v>
      </c>
      <c r="AR109" t="b">
        <v>0</v>
      </c>
      <c r="AS109" t="b">
        <v>0</v>
      </c>
      <c r="AT109" s="12" t="s">
        <v>1574</v>
      </c>
    </row>
    <row r="110" spans="1:46" x14ac:dyDescent="0.3">
      <c r="A110" s="57" t="str">
        <f t="shared" si="3"/>
        <v>BLS9185005491850054AYR_LDRSESS45901</v>
      </c>
      <c r="B110" s="57">
        <f>COUNTIF(CONT_SUP[Unique Contract],CONT_SUP[[#This Row],[Unique Contract]])-1</f>
        <v>0</v>
      </c>
      <c r="C110" s="57">
        <f>IFERROR(IF(FIND(CONT_SUP[[#This Row],[SchoolCode]],_xlfn.XLOOKUP(CONT_SUP[[#This Row],[StaffMemberCode]],MEMBERS[StaffMemberCode],MEMBERS[SchoolCodes]))&gt;0,0,1),1)</f>
        <v>0</v>
      </c>
      <c r="D110" s="57" cm="1">
        <f t="array" ref="D110">IF(_xlfn.XLOOKUP(CONT_SUP[[#This Row],[StaffRoleCode]],ROLES[StaffRoleCode],ROLES[AvailableToAllSchools],1,0,)=TRUE,0,IF(ISERROR(FIND(CONT_SUP[[#This Row],[SchoolCode]],_xlfn.TEXTJOIN(",",TRUE,_xlfn.UNIQUE(IF(ROLES[StaffRoleCode]=CONT_SUP[[#This Row],[StaffRoleCode]],ROLES[SchoolCodes],""))))),1,0))</f>
        <v>0</v>
      </c>
      <c r="E110" s="66" cm="1">
        <f t="array" ref="E11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10" s="57" cm="1">
        <f t="array" ref="F110">IF(_xlfn.XLOOKUP(CONT_SUP[[#This Row],[PayScaleCode]],PAYSCALES[PayScaleCode],PAYSCALES[AvailableToAllSchools],1,0,)=TRUE,0,IF(ISERROR(FIND(CONT_SUP[[#This Row],[SchoolCode]],_xlfn.TEXTJOIN(",",TRUE,_xlfn.UNIQUE(IF(PAYSCALES[PayScaleCode]=CONT_SUP[[#This Row],[PayScaleCode]],PAYSCALES[SchoolCodes],""))))),1,0))</f>
        <v>0</v>
      </c>
      <c r="G110" s="57">
        <f>IF(_xlfn.XLOOKUP(CONT_SUP[[#This Row],[PayScaleGradeCode]],GRADES[PayScaleGradeCode],GRADES[AvailableToAllSchools])=TRUE,0,IFERROR(IF(FIND(CONT_SUP[[#This Row],[SchoolCode]],_xlfn.XLOOKUP(CONT_SUP[[#This Row],[PayScaleGradeCode]],GRADES[PayScaleGradeCode],GRADES[SchoolCodes]))&gt;=1,0,1),1))</f>
        <v>0</v>
      </c>
      <c r="H110" s="66">
        <f>IF(ISERROR(IF((_xlfn.XLOOKUP(CONT_SUP[[#This Row],[PayScaleGradeCode]],GRADES[PayScaleGradeCode],GRADES[PayScaleCode])=CONT_SUP[[#This Row],[PayScaleCode]]),0,1)),1,0)</f>
        <v>0</v>
      </c>
      <c r="I110" s="66" cm="1">
        <f t="array" ref="I110">IF(ISERROR(FIND(CONT_SUP[[#This Row],[PayScalePointCode]],_xlfn.TEXTJOIN(",",TRUE,IF(PSPOINTS[PayScaleCode]=CONT_SUP[[#This Row],[PayScaleCode]],PSPOINTS[PayScalePointCode])))),1,0)</f>
        <v>0</v>
      </c>
      <c r="J110" s="57" cm="1">
        <f t="array" ref="J11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10" s="66">
        <f>IF(_xlfn.XLOOKUP(CONT_SUP[[#This Row],[PayScalePointCode]],PSPOINTS[PayScalePointCode],PSPOINTS[PayScalePointEnabled])=TRUE,0,1)</f>
        <v>0</v>
      </c>
      <c r="L110" s="57" cm="1">
        <f t="array" ref="L110">IF(_xlfn.XLOOKUP(CONT_SUP[[#This Row],[DepartmentCode]],DEPTS[DepartmentCode],DEPTS[AvailableToAllSchools],1,0,)=TRUE,0,IF(ISERROR(FIND(CONT_SUP[[#This Row],[SchoolCode]],_xlfn.TEXTJOIN(",",TRUE,_xlfn.UNIQUE(IF(DEPTS[DepartmentCode]=CONT_SUP[[#This Row],[DepartmentCode]],DEPTS[SchoolCodes],""))))),1,0))</f>
        <v>0</v>
      </c>
      <c r="M110" s="57">
        <f>IFERROR(IF(_xlfn.XLOOKUP(CONT_SUP[[#This Row],[SRG Gross]],FinanceCodesBudget[FinanceCode],FinanceCodesBudget[LedgerCode])=_xlfn.XLOOKUP(CONT_SUP[[#This Row],[DepartmentCode]],DEPTS[DepartmentCode],DEPTS[LedgerCode]),0,1),1)</f>
        <v>0</v>
      </c>
      <c r="N110" s="66" cm="1">
        <f t="array" ref="N110">IF(_xlfn.XLOOKUP(CONT_SUP[[#This Row],[PensionCode]],PENS[PensionCode],PENS[AvailableToAllSchools],1,0,)=TRUE,0,IF(ISERROR(FIND(CONT_SUP[[#This Row],[SchoolCode]],_xlfn.TEXTJOIN(",",TRUE,_xlfn.UNIQUE(IF(PENS[PensionCode]=CONT_SUP[[#This Row],[PensionCode]],PENS[SchoolCodes],""))))),1,0))</f>
        <v>0</v>
      </c>
      <c r="O110" s="66" cm="1">
        <f t="array" ref="O110">IF(_xlfn.XLOOKUP(CONT_SUP[[#This Row],[EquatedWeekPatternCode]],EQW[EquatedWeekPatternCode],EQW[AvailableToAllSchools],1,0,)=TRUE,0,IF(ISERROR(FIND(CONT_SUP[[#This Row],[SchoolCode]],_xlfn.TEXTJOIN(",",TRUE,_xlfn.UNIQUE(IF(EQW[EquatedWeekPatternCode]=CONT_SUP[[#This Row],[EquatedWeekPatternCode]],EQW[SchoolCodes],""))))),1,0))</f>
        <v>0</v>
      </c>
      <c r="P110" s="57">
        <f>1-COUNTIF(ContractTypes[Code],CONT_SUP[[#This Row],[ContractTypeCode]])</f>
        <v>0</v>
      </c>
      <c r="Q110" s="57">
        <f>IF(VLOOKUP(CONT_SUP[[#This Row],[StaffMemberCode]],MEMBERS[[StaffMemberCode]:[ServiceStartDate]],5,0)&gt;CONT_SUP[[#This Row],[DateFrom]],1,0)</f>
        <v>0</v>
      </c>
      <c r="R110" s="57">
        <f>IF(_xlfn.XLOOKUP(CONT_SUP[[#This Row],[StaffMemberCode]],MEMBERS[StaffMemberCode],MEMBERS[ServiceEndDate])="",0,IF(CONT_SUP[[#This Row],[DateTo]]="",1,IF(_xlfn.XLOOKUP(CONT_SUP[[#This Row],[StaffMemberCode]],MEMBERS[StaffMemberCode],MEMBERS[ServiceEndDate])&lt;CONT_SUP[[#This Row],[DateTo]],1,0)))</f>
        <v>0</v>
      </c>
      <c r="S110" s="57">
        <f>IF(ISBLANK(CONT_SUP[[#This Row],[DateTo]]),0,IF(CONT_SUP[[#This Row],[DateFrom]]=CONT_SUP[[#This Row],[DateTo]],0,IF(CONT_SUP[[#This Row],[DateFrom]]&lt;CONT_SUP[[#This Row],[DateTo]],0,1)))</f>
        <v>0</v>
      </c>
      <c r="T110" s="57" cm="1">
        <f t="array" aca="1" ref="T110" ca="1">IF(CELL("format",CONT_SUP[[#This Row],[DateFrom]])="D1",0,1)+IF(CELL("format",CONT_SUP[[#This Row],[DateTo]])="D1",0,1)</f>
        <v>0</v>
      </c>
      <c r="U110" s="57">
        <f>IF(OR(CONT_SUP[[#This Row],[MatEditOnly]]=TRUE,CONT_SUP[[#This Row],[MatEditOnly]]=FALSE),IF(OR(CONT_SUP[[#This Row],[NoIncrement]]=TRUE,CONT_SUP[[#This Row],[NoIncrement]]=FALSE),0,1),1)</f>
        <v>0</v>
      </c>
      <c r="V110" s="57">
        <f>IF(ISBLANK(CONT_SUP[[#This Row],[FundCode]])=TRUE,0,IF(COUNTIF(FUNDS[FundCode],CONT_SUP[[#This Row],[FundCode]])=1,0,1))</f>
        <v>0</v>
      </c>
      <c r="W110" s="57">
        <f>IF(LEN(CONT_SUP[[#This Row],[Notes]])&lt;4000,0,1)</f>
        <v>0</v>
      </c>
      <c r="X110" s="57">
        <f>IF(SUBSTITUTE(TEXT(CONT_SUP[[#This Row],[Reference]],10)," ","")=TEXT(CONT_SUP[[#This Row],[Reference]],10),0,1)</f>
        <v>0</v>
      </c>
      <c r="Y110" s="57">
        <f ca="1">SUM(CONT_SUP[[#This Row],[Duplicate Contract]:[Space in Code]])</f>
        <v>0</v>
      </c>
      <c r="AA110" s="12" t="s">
        <v>2094</v>
      </c>
      <c r="AB110" s="63">
        <v>91850054</v>
      </c>
      <c r="AC110" s="63" t="s">
        <v>4706</v>
      </c>
      <c r="AD110" s="57" t="str">
        <f>_xlfn.XLOOKUP(CONT_SUP[[#This Row],[StaffMemberCode]],StaffMembers!O:O,StaffMembers!R:R)</f>
        <v>Thomas Sims</v>
      </c>
      <c r="AE110" s="12" t="s">
        <v>4210</v>
      </c>
      <c r="AF110" s="66">
        <f>_xlfn.XLOOKUP(CONT_SUP[[#This Row],[SRG]],SRG[StaffRoleGroupCode],SRG[GrossSalaryFinanceCode])</f>
        <v>619100</v>
      </c>
      <c r="AG110" s="57" t="str">
        <f>_xlfn.XLOOKUP(CONT_SUP[[#This Row],[StaffRoleCode]],ROLES[StaffRoleCode],ROLES[StaffRoleGroupCode])</f>
        <v>EDS</v>
      </c>
      <c r="AH110" s="57" t="str">
        <f>_xlfn.XLOOKUP(CONT_SUP[[#This Row],[StaffRoleCode]],ROLES[StaffRoleCode],ROLES[PayScaleCode])</f>
        <v>NJC_CHE</v>
      </c>
      <c r="AI110" s="12" t="s">
        <v>3124</v>
      </c>
      <c r="AJ110" s="12">
        <v>12</v>
      </c>
      <c r="AK110" s="12" t="s">
        <v>2482</v>
      </c>
      <c r="AM110" s="68" t="s">
        <v>3132</v>
      </c>
      <c r="AN110" s="12" t="s">
        <v>3135</v>
      </c>
      <c r="AO110" s="21">
        <v>45901</v>
      </c>
      <c r="AQ110" s="12">
        <v>37</v>
      </c>
      <c r="AR110" t="b">
        <v>0</v>
      </c>
      <c r="AS110" t="b">
        <v>0</v>
      </c>
      <c r="AT110" s="12" t="s">
        <v>1574</v>
      </c>
    </row>
    <row r="111" spans="1:46" x14ac:dyDescent="0.3">
      <c r="A111" s="57" t="str">
        <f t="shared" si="3"/>
        <v>MAT9107344691073446AFLOSESSMAT45901</v>
      </c>
      <c r="B111" s="57">
        <f>COUNTIF(CONT_SUP[Unique Contract],CONT_SUP[[#This Row],[Unique Contract]])-1</f>
        <v>0</v>
      </c>
      <c r="C111" s="57">
        <f>IFERROR(IF(FIND(CONT_SUP[[#This Row],[SchoolCode]],_xlfn.XLOOKUP(CONT_SUP[[#This Row],[StaffMemberCode]],MEMBERS[StaffMemberCode],MEMBERS[SchoolCodes]))&gt;0,0,1),1)</f>
        <v>0</v>
      </c>
      <c r="D111" s="57" cm="1">
        <f t="array" ref="D111">IF(_xlfn.XLOOKUP(CONT_SUP[[#This Row],[StaffRoleCode]],ROLES[StaffRoleCode],ROLES[AvailableToAllSchools],1,0,)=TRUE,0,IF(ISERROR(FIND(CONT_SUP[[#This Row],[SchoolCode]],_xlfn.TEXTJOIN(",",TRUE,_xlfn.UNIQUE(IF(ROLES[StaffRoleCode]=CONT_SUP[[#This Row],[StaffRoleCode]],ROLES[SchoolCodes],""))))),1,0))</f>
        <v>0</v>
      </c>
      <c r="E111" s="66" cm="1">
        <f t="array" ref="E11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11" s="57" cm="1">
        <f t="array" ref="F111">IF(_xlfn.XLOOKUP(CONT_SUP[[#This Row],[PayScaleCode]],PAYSCALES[PayScaleCode],PAYSCALES[AvailableToAllSchools],1,0,)=TRUE,0,IF(ISERROR(FIND(CONT_SUP[[#This Row],[SchoolCode]],_xlfn.TEXTJOIN(",",TRUE,_xlfn.UNIQUE(IF(PAYSCALES[PayScaleCode]=CONT_SUP[[#This Row],[PayScaleCode]],PAYSCALES[SchoolCodes],""))))),1,0))</f>
        <v>0</v>
      </c>
      <c r="G111" s="57">
        <f>IF(_xlfn.XLOOKUP(CONT_SUP[[#This Row],[PayScaleGradeCode]],GRADES[PayScaleGradeCode],GRADES[AvailableToAllSchools])=TRUE,0,IFERROR(IF(FIND(CONT_SUP[[#This Row],[SchoolCode]],_xlfn.XLOOKUP(CONT_SUP[[#This Row],[PayScaleGradeCode]],GRADES[PayScaleGradeCode],GRADES[SchoolCodes]))&gt;=1,0,1),1))</f>
        <v>0</v>
      </c>
      <c r="H111" s="66">
        <f>IF(ISERROR(IF((_xlfn.XLOOKUP(CONT_SUP[[#This Row],[PayScaleGradeCode]],GRADES[PayScaleGradeCode],GRADES[PayScaleCode])=CONT_SUP[[#This Row],[PayScaleCode]]),0,1)),1,0)</f>
        <v>0</v>
      </c>
      <c r="I111" s="66" cm="1">
        <f t="array" ref="I111">IF(ISERROR(FIND(CONT_SUP[[#This Row],[PayScalePointCode]],_xlfn.TEXTJOIN(",",TRUE,IF(PSPOINTS[PayScaleCode]=CONT_SUP[[#This Row],[PayScaleCode]],PSPOINTS[PayScalePointCode])))),1,0)</f>
        <v>0</v>
      </c>
      <c r="J111" s="57" cm="1">
        <f t="array" ref="J11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11" s="66">
        <f>IF(_xlfn.XLOOKUP(CONT_SUP[[#This Row],[PayScalePointCode]],PSPOINTS[PayScalePointCode],PSPOINTS[PayScalePointEnabled])=TRUE,0,1)</f>
        <v>0</v>
      </c>
      <c r="L111" s="57" cm="1">
        <f t="array" ref="L111">IF(_xlfn.XLOOKUP(CONT_SUP[[#This Row],[DepartmentCode]],DEPTS[DepartmentCode],DEPTS[AvailableToAllSchools],1,0,)=TRUE,0,IF(ISERROR(FIND(CONT_SUP[[#This Row],[SchoolCode]],_xlfn.TEXTJOIN(",",TRUE,_xlfn.UNIQUE(IF(DEPTS[DepartmentCode]=CONT_SUP[[#This Row],[DepartmentCode]],DEPTS[SchoolCodes],""))))),1,0))</f>
        <v>0</v>
      </c>
      <c r="M111" s="57">
        <f>IFERROR(IF(_xlfn.XLOOKUP(CONT_SUP[[#This Row],[SRG Gross]],FinanceCodesBudget[FinanceCode],FinanceCodesBudget[LedgerCode])=_xlfn.XLOOKUP(CONT_SUP[[#This Row],[DepartmentCode]],DEPTS[DepartmentCode],DEPTS[LedgerCode]),0,1),1)</f>
        <v>0</v>
      </c>
      <c r="N111" s="66" cm="1">
        <f t="array" ref="N111">IF(_xlfn.XLOOKUP(CONT_SUP[[#This Row],[PensionCode]],PENS[PensionCode],PENS[AvailableToAllSchools],1,0,)=TRUE,0,IF(ISERROR(FIND(CONT_SUP[[#This Row],[SchoolCode]],_xlfn.TEXTJOIN(",",TRUE,_xlfn.UNIQUE(IF(PENS[PensionCode]=CONT_SUP[[#This Row],[PensionCode]],PENS[SchoolCodes],""))))),1,0))</f>
        <v>0</v>
      </c>
      <c r="O111" s="66" cm="1">
        <f t="array" ref="O111">IF(_xlfn.XLOOKUP(CONT_SUP[[#This Row],[EquatedWeekPatternCode]],EQW[EquatedWeekPatternCode],EQW[AvailableToAllSchools],1,0,)=TRUE,0,IF(ISERROR(FIND(CONT_SUP[[#This Row],[SchoolCode]],_xlfn.TEXTJOIN(",",TRUE,_xlfn.UNIQUE(IF(EQW[EquatedWeekPatternCode]=CONT_SUP[[#This Row],[EquatedWeekPatternCode]],EQW[SchoolCodes],""))))),1,0))</f>
        <v>0</v>
      </c>
      <c r="P111" s="57">
        <f>1-COUNTIF(ContractTypes[Code],CONT_SUP[[#This Row],[ContractTypeCode]])</f>
        <v>0</v>
      </c>
      <c r="Q111" s="57">
        <f>IF(VLOOKUP(CONT_SUP[[#This Row],[StaffMemberCode]],MEMBERS[[StaffMemberCode]:[ServiceStartDate]],5,0)&gt;CONT_SUP[[#This Row],[DateFrom]],1,0)</f>
        <v>0</v>
      </c>
      <c r="R111" s="57">
        <f>IF(_xlfn.XLOOKUP(CONT_SUP[[#This Row],[StaffMemberCode]],MEMBERS[StaffMemberCode],MEMBERS[ServiceEndDate])="",0,IF(CONT_SUP[[#This Row],[DateTo]]="",1,IF(_xlfn.XLOOKUP(CONT_SUP[[#This Row],[StaffMemberCode]],MEMBERS[StaffMemberCode],MEMBERS[ServiceEndDate])&lt;CONT_SUP[[#This Row],[DateTo]],1,0)))</f>
        <v>0</v>
      </c>
      <c r="S111" s="57">
        <f>IF(ISBLANK(CONT_SUP[[#This Row],[DateTo]]),0,IF(CONT_SUP[[#This Row],[DateFrom]]=CONT_SUP[[#This Row],[DateTo]],0,IF(CONT_SUP[[#This Row],[DateFrom]]&lt;CONT_SUP[[#This Row],[DateTo]],0,1)))</f>
        <v>0</v>
      </c>
      <c r="T111" s="57" cm="1">
        <f t="array" aca="1" ref="T111" ca="1">IF(CELL("format",CONT_SUP[[#This Row],[DateFrom]])="D1",0,1)+IF(CELL("format",CONT_SUP[[#This Row],[DateTo]])="D1",0,1)</f>
        <v>0</v>
      </c>
      <c r="U111" s="57">
        <f>IF(OR(CONT_SUP[[#This Row],[MatEditOnly]]=TRUE,CONT_SUP[[#This Row],[MatEditOnly]]=FALSE),IF(OR(CONT_SUP[[#This Row],[NoIncrement]]=TRUE,CONT_SUP[[#This Row],[NoIncrement]]=FALSE),0,1),1)</f>
        <v>0</v>
      </c>
      <c r="V111" s="57">
        <f>IF(ISBLANK(CONT_SUP[[#This Row],[FundCode]])=TRUE,0,IF(COUNTIF(FUNDS[FundCode],CONT_SUP[[#This Row],[FundCode]])=1,0,1))</f>
        <v>0</v>
      </c>
      <c r="W111" s="57">
        <f>IF(LEN(CONT_SUP[[#This Row],[Notes]])&lt;4000,0,1)</f>
        <v>0</v>
      </c>
      <c r="X111" s="57">
        <f>IF(SUBSTITUTE(TEXT(CONT_SUP[[#This Row],[Reference]],10)," ","")=TEXT(CONT_SUP[[#This Row],[Reference]],10),0,1)</f>
        <v>0</v>
      </c>
      <c r="Y111" s="57">
        <f ca="1">SUM(CONT_SUP[[#This Row],[Duplicate Contract]:[Space in Code]])</f>
        <v>0</v>
      </c>
      <c r="AA111" s="12" t="s">
        <v>51</v>
      </c>
      <c r="AB111" s="63">
        <v>91073446</v>
      </c>
      <c r="AC111" s="63" t="s">
        <v>4707</v>
      </c>
      <c r="AD111" s="57" t="str">
        <f>_xlfn.XLOOKUP(CONT_SUP[[#This Row],[StaffMemberCode]],StaffMembers!O:O,StaffMembers!R:R)</f>
        <v>Suzanne Cliffe</v>
      </c>
      <c r="AE111" s="12" t="s">
        <v>4212</v>
      </c>
      <c r="AF111" s="66">
        <f>_xlfn.XLOOKUP(CONT_SUP[[#This Row],[SRG]],SRG[StaffRoleGroupCode],SRG[GrossSalaryFinanceCode])</f>
        <v>640100</v>
      </c>
      <c r="AG111" s="57" t="str">
        <f>_xlfn.XLOOKUP(CONT_SUP[[#This Row],[StaffRoleCode]],ROLES[StaffRoleCode],ROLES[StaffRoleGroupCode])</f>
        <v>FSW</v>
      </c>
      <c r="AH111" s="57" t="str">
        <f>_xlfn.XLOOKUP(CONT_SUP[[#This Row],[StaffRoleCode]],ROLES[StaffRoleCode],ROLES[PayScaleCode])</f>
        <v>NJC_CHE</v>
      </c>
      <c r="AI111" s="12" t="s">
        <v>3124</v>
      </c>
      <c r="AJ111" s="12">
        <v>12</v>
      </c>
      <c r="AK111" s="12" t="s">
        <v>4924</v>
      </c>
      <c r="AM111" s="68" t="s">
        <v>3132</v>
      </c>
      <c r="AN111" s="12" t="s">
        <v>3135</v>
      </c>
      <c r="AO111" s="21">
        <v>45901</v>
      </c>
      <c r="AQ111" s="12">
        <v>37</v>
      </c>
      <c r="AR111" t="b">
        <v>0</v>
      </c>
      <c r="AS111" t="b">
        <v>0</v>
      </c>
      <c r="AT111" s="12" t="s">
        <v>1574</v>
      </c>
    </row>
    <row r="112" spans="1:46" x14ac:dyDescent="0.3">
      <c r="A112" s="57" t="str">
        <f t="shared" si="3"/>
        <v>MAT9107385691073856AFLOSESSMAT45901</v>
      </c>
      <c r="B112" s="57">
        <f>COUNTIF(CONT_SUP[Unique Contract],CONT_SUP[[#This Row],[Unique Contract]])-1</f>
        <v>0</v>
      </c>
      <c r="C112" s="57">
        <f>IFERROR(IF(FIND(CONT_SUP[[#This Row],[SchoolCode]],_xlfn.XLOOKUP(CONT_SUP[[#This Row],[StaffMemberCode]],MEMBERS[StaffMemberCode],MEMBERS[SchoolCodes]))&gt;0,0,1),1)</f>
        <v>0</v>
      </c>
      <c r="D112" s="57" cm="1">
        <f t="array" ref="D112">IF(_xlfn.XLOOKUP(CONT_SUP[[#This Row],[StaffRoleCode]],ROLES[StaffRoleCode],ROLES[AvailableToAllSchools],1,0,)=TRUE,0,IF(ISERROR(FIND(CONT_SUP[[#This Row],[SchoolCode]],_xlfn.TEXTJOIN(",",TRUE,_xlfn.UNIQUE(IF(ROLES[StaffRoleCode]=CONT_SUP[[#This Row],[StaffRoleCode]],ROLES[SchoolCodes],""))))),1,0))</f>
        <v>0</v>
      </c>
      <c r="E112" s="66" cm="1">
        <f t="array" ref="E11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12" s="57" cm="1">
        <f t="array" ref="F112">IF(_xlfn.XLOOKUP(CONT_SUP[[#This Row],[PayScaleCode]],PAYSCALES[PayScaleCode],PAYSCALES[AvailableToAllSchools],1,0,)=TRUE,0,IF(ISERROR(FIND(CONT_SUP[[#This Row],[SchoolCode]],_xlfn.TEXTJOIN(",",TRUE,_xlfn.UNIQUE(IF(PAYSCALES[PayScaleCode]=CONT_SUP[[#This Row],[PayScaleCode]],PAYSCALES[SchoolCodes],""))))),1,0))</f>
        <v>0</v>
      </c>
      <c r="G112" s="57">
        <f>IF(_xlfn.XLOOKUP(CONT_SUP[[#This Row],[PayScaleGradeCode]],GRADES[PayScaleGradeCode],GRADES[AvailableToAllSchools])=TRUE,0,IFERROR(IF(FIND(CONT_SUP[[#This Row],[SchoolCode]],_xlfn.XLOOKUP(CONT_SUP[[#This Row],[PayScaleGradeCode]],GRADES[PayScaleGradeCode],GRADES[SchoolCodes]))&gt;=1,0,1),1))</f>
        <v>0</v>
      </c>
      <c r="H112" s="66">
        <f>IF(ISERROR(IF((_xlfn.XLOOKUP(CONT_SUP[[#This Row],[PayScaleGradeCode]],GRADES[PayScaleGradeCode],GRADES[PayScaleCode])=CONT_SUP[[#This Row],[PayScaleCode]]),0,1)),1,0)</f>
        <v>0</v>
      </c>
      <c r="I112" s="66" cm="1">
        <f t="array" ref="I112">IF(ISERROR(FIND(CONT_SUP[[#This Row],[PayScalePointCode]],_xlfn.TEXTJOIN(",",TRUE,IF(PSPOINTS[PayScaleCode]=CONT_SUP[[#This Row],[PayScaleCode]],PSPOINTS[PayScalePointCode])))),1,0)</f>
        <v>0</v>
      </c>
      <c r="J112" s="57" cm="1">
        <f t="array" ref="J11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12" s="66">
        <f>IF(_xlfn.XLOOKUP(CONT_SUP[[#This Row],[PayScalePointCode]],PSPOINTS[PayScalePointCode],PSPOINTS[PayScalePointEnabled])=TRUE,0,1)</f>
        <v>0</v>
      </c>
      <c r="L112" s="57" cm="1">
        <f t="array" ref="L112">IF(_xlfn.XLOOKUP(CONT_SUP[[#This Row],[DepartmentCode]],DEPTS[DepartmentCode],DEPTS[AvailableToAllSchools],1,0,)=TRUE,0,IF(ISERROR(FIND(CONT_SUP[[#This Row],[SchoolCode]],_xlfn.TEXTJOIN(",",TRUE,_xlfn.UNIQUE(IF(DEPTS[DepartmentCode]=CONT_SUP[[#This Row],[DepartmentCode]],DEPTS[SchoolCodes],""))))),1,0))</f>
        <v>0</v>
      </c>
      <c r="M112" s="57">
        <f>IFERROR(IF(_xlfn.XLOOKUP(CONT_SUP[[#This Row],[SRG Gross]],FinanceCodesBudget[FinanceCode],FinanceCodesBudget[LedgerCode])=_xlfn.XLOOKUP(CONT_SUP[[#This Row],[DepartmentCode]],DEPTS[DepartmentCode],DEPTS[LedgerCode]),0,1),1)</f>
        <v>0</v>
      </c>
      <c r="N112" s="66" cm="1">
        <f t="array" ref="N112">IF(_xlfn.XLOOKUP(CONT_SUP[[#This Row],[PensionCode]],PENS[PensionCode],PENS[AvailableToAllSchools],1,0,)=TRUE,0,IF(ISERROR(FIND(CONT_SUP[[#This Row],[SchoolCode]],_xlfn.TEXTJOIN(",",TRUE,_xlfn.UNIQUE(IF(PENS[PensionCode]=CONT_SUP[[#This Row],[PensionCode]],PENS[SchoolCodes],""))))),1,0))</f>
        <v>0</v>
      </c>
      <c r="O112" s="66" cm="1">
        <f t="array" ref="O112">IF(_xlfn.XLOOKUP(CONT_SUP[[#This Row],[EquatedWeekPatternCode]],EQW[EquatedWeekPatternCode],EQW[AvailableToAllSchools],1,0,)=TRUE,0,IF(ISERROR(FIND(CONT_SUP[[#This Row],[SchoolCode]],_xlfn.TEXTJOIN(",",TRUE,_xlfn.UNIQUE(IF(EQW[EquatedWeekPatternCode]=CONT_SUP[[#This Row],[EquatedWeekPatternCode]],EQW[SchoolCodes],""))))),1,0))</f>
        <v>0</v>
      </c>
      <c r="P112" s="57">
        <f>1-COUNTIF(ContractTypes[Code],CONT_SUP[[#This Row],[ContractTypeCode]])</f>
        <v>0</v>
      </c>
      <c r="Q112" s="57">
        <f>IF(VLOOKUP(CONT_SUP[[#This Row],[StaffMemberCode]],MEMBERS[[StaffMemberCode]:[ServiceStartDate]],5,0)&gt;CONT_SUP[[#This Row],[DateFrom]],1,0)</f>
        <v>0</v>
      </c>
      <c r="R112" s="57">
        <f>IF(_xlfn.XLOOKUP(CONT_SUP[[#This Row],[StaffMemberCode]],MEMBERS[StaffMemberCode],MEMBERS[ServiceEndDate])="",0,IF(CONT_SUP[[#This Row],[DateTo]]="",1,IF(_xlfn.XLOOKUP(CONT_SUP[[#This Row],[StaffMemberCode]],MEMBERS[StaffMemberCode],MEMBERS[ServiceEndDate])&lt;CONT_SUP[[#This Row],[DateTo]],1,0)))</f>
        <v>0</v>
      </c>
      <c r="S112" s="57">
        <f>IF(ISBLANK(CONT_SUP[[#This Row],[DateTo]]),0,IF(CONT_SUP[[#This Row],[DateFrom]]=CONT_SUP[[#This Row],[DateTo]],0,IF(CONT_SUP[[#This Row],[DateFrom]]&lt;CONT_SUP[[#This Row],[DateTo]],0,1)))</f>
        <v>0</v>
      </c>
      <c r="T112" s="57" cm="1">
        <f t="array" aca="1" ref="T112" ca="1">IF(CELL("format",CONT_SUP[[#This Row],[DateFrom]])="D1",0,1)+IF(CELL("format",CONT_SUP[[#This Row],[DateTo]])="D1",0,1)</f>
        <v>0</v>
      </c>
      <c r="U112" s="57">
        <f>IF(OR(CONT_SUP[[#This Row],[MatEditOnly]]=TRUE,CONT_SUP[[#This Row],[MatEditOnly]]=FALSE),IF(OR(CONT_SUP[[#This Row],[NoIncrement]]=TRUE,CONT_SUP[[#This Row],[NoIncrement]]=FALSE),0,1),1)</f>
        <v>0</v>
      </c>
      <c r="V112" s="57">
        <f>IF(ISBLANK(CONT_SUP[[#This Row],[FundCode]])=TRUE,0,IF(COUNTIF(FUNDS[FundCode],CONT_SUP[[#This Row],[FundCode]])=1,0,1))</f>
        <v>0</v>
      </c>
      <c r="W112" s="57">
        <f>IF(LEN(CONT_SUP[[#This Row],[Notes]])&lt;4000,0,1)</f>
        <v>0</v>
      </c>
      <c r="X112" s="57">
        <f>IF(SUBSTITUTE(TEXT(CONT_SUP[[#This Row],[Reference]],10)," ","")=TEXT(CONT_SUP[[#This Row],[Reference]],10),0,1)</f>
        <v>0</v>
      </c>
      <c r="Y112" s="57">
        <f ca="1">SUM(CONT_SUP[[#This Row],[Duplicate Contract]:[Space in Code]])</f>
        <v>0</v>
      </c>
      <c r="AA112" s="12" t="s">
        <v>51</v>
      </c>
      <c r="AB112" s="63">
        <v>91073856</v>
      </c>
      <c r="AC112" s="63" t="s">
        <v>4708</v>
      </c>
      <c r="AD112" s="57" t="str">
        <f>_xlfn.XLOOKUP(CONT_SUP[[#This Row],[StaffMemberCode]],StaffMembers!O:O,StaffMembers!R:R)</f>
        <v>Helen Potts</v>
      </c>
      <c r="AE112" s="12" t="s">
        <v>4212</v>
      </c>
      <c r="AF112" s="66">
        <f>_xlfn.XLOOKUP(CONT_SUP[[#This Row],[SRG]],SRG[StaffRoleGroupCode],SRG[GrossSalaryFinanceCode])</f>
        <v>640100</v>
      </c>
      <c r="AG112" s="57" t="str">
        <f>_xlfn.XLOOKUP(CONT_SUP[[#This Row],[StaffRoleCode]],ROLES[StaffRoleCode],ROLES[StaffRoleGroupCode])</f>
        <v>FSW</v>
      </c>
      <c r="AH112" s="57" t="str">
        <f>_xlfn.XLOOKUP(CONT_SUP[[#This Row],[StaffRoleCode]],ROLES[StaffRoleCode],ROLES[PayScaleCode])</f>
        <v>NJC_CHE</v>
      </c>
      <c r="AI112" s="12" t="s">
        <v>3124</v>
      </c>
      <c r="AJ112" s="12">
        <v>12</v>
      </c>
      <c r="AK112" s="12" t="s">
        <v>4924</v>
      </c>
      <c r="AM112" s="68" t="s">
        <v>3132</v>
      </c>
      <c r="AN112" s="12" t="s">
        <v>3135</v>
      </c>
      <c r="AO112" s="21">
        <v>45901</v>
      </c>
      <c r="AQ112" s="12">
        <v>37</v>
      </c>
      <c r="AR112" t="b">
        <v>0</v>
      </c>
      <c r="AS112" t="b">
        <v>0</v>
      </c>
      <c r="AT112" s="12" t="s">
        <v>1574</v>
      </c>
    </row>
    <row r="113" spans="1:46" x14ac:dyDescent="0.3">
      <c r="A113" s="57" t="str">
        <f t="shared" si="3"/>
        <v>BLS9107351691073516ALIBSESS45901</v>
      </c>
      <c r="B113" s="57">
        <f>COUNTIF(CONT_SUP[Unique Contract],CONT_SUP[[#This Row],[Unique Contract]])-1</f>
        <v>0</v>
      </c>
      <c r="C113" s="57">
        <f>IFERROR(IF(FIND(CONT_SUP[[#This Row],[SchoolCode]],_xlfn.XLOOKUP(CONT_SUP[[#This Row],[StaffMemberCode]],MEMBERS[StaffMemberCode],MEMBERS[SchoolCodes]))&gt;0,0,1),1)</f>
        <v>0</v>
      </c>
      <c r="D113" s="57" cm="1">
        <f t="array" ref="D113">IF(_xlfn.XLOOKUP(CONT_SUP[[#This Row],[StaffRoleCode]],ROLES[StaffRoleCode],ROLES[AvailableToAllSchools],1,0,)=TRUE,0,IF(ISERROR(FIND(CONT_SUP[[#This Row],[SchoolCode]],_xlfn.TEXTJOIN(",",TRUE,_xlfn.UNIQUE(IF(ROLES[StaffRoleCode]=CONT_SUP[[#This Row],[StaffRoleCode]],ROLES[SchoolCodes],""))))),1,0))</f>
        <v>0</v>
      </c>
      <c r="E113" s="66" cm="1">
        <f t="array" ref="E11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13" s="57" cm="1">
        <f t="array" ref="F113">IF(_xlfn.XLOOKUP(CONT_SUP[[#This Row],[PayScaleCode]],PAYSCALES[PayScaleCode],PAYSCALES[AvailableToAllSchools],1,0,)=TRUE,0,IF(ISERROR(FIND(CONT_SUP[[#This Row],[SchoolCode]],_xlfn.TEXTJOIN(",",TRUE,_xlfn.UNIQUE(IF(PAYSCALES[PayScaleCode]=CONT_SUP[[#This Row],[PayScaleCode]],PAYSCALES[SchoolCodes],""))))),1,0))</f>
        <v>0</v>
      </c>
      <c r="G113" s="57">
        <f>IF(_xlfn.XLOOKUP(CONT_SUP[[#This Row],[PayScaleGradeCode]],GRADES[PayScaleGradeCode],GRADES[AvailableToAllSchools])=TRUE,0,IFERROR(IF(FIND(CONT_SUP[[#This Row],[SchoolCode]],_xlfn.XLOOKUP(CONT_SUP[[#This Row],[PayScaleGradeCode]],GRADES[PayScaleGradeCode],GRADES[SchoolCodes]))&gt;=1,0,1),1))</f>
        <v>0</v>
      </c>
      <c r="H113" s="66">
        <f>IF(ISERROR(IF((_xlfn.XLOOKUP(CONT_SUP[[#This Row],[PayScaleGradeCode]],GRADES[PayScaleGradeCode],GRADES[PayScaleCode])=CONT_SUP[[#This Row],[PayScaleCode]]),0,1)),1,0)</f>
        <v>0</v>
      </c>
      <c r="I113" s="66" cm="1">
        <f t="array" ref="I113">IF(ISERROR(FIND(CONT_SUP[[#This Row],[PayScalePointCode]],_xlfn.TEXTJOIN(",",TRUE,IF(PSPOINTS[PayScaleCode]=CONT_SUP[[#This Row],[PayScaleCode]],PSPOINTS[PayScalePointCode])))),1,0)</f>
        <v>0</v>
      </c>
      <c r="J113" s="57" cm="1">
        <f t="array" ref="J11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13" s="66">
        <f>IF(_xlfn.XLOOKUP(CONT_SUP[[#This Row],[PayScalePointCode]],PSPOINTS[PayScalePointCode],PSPOINTS[PayScalePointEnabled])=TRUE,0,1)</f>
        <v>0</v>
      </c>
      <c r="L113" s="57" cm="1">
        <f t="array" ref="L113">IF(_xlfn.XLOOKUP(CONT_SUP[[#This Row],[DepartmentCode]],DEPTS[DepartmentCode],DEPTS[AvailableToAllSchools],1,0,)=TRUE,0,IF(ISERROR(FIND(CONT_SUP[[#This Row],[SchoolCode]],_xlfn.TEXTJOIN(",",TRUE,_xlfn.UNIQUE(IF(DEPTS[DepartmentCode]=CONT_SUP[[#This Row],[DepartmentCode]],DEPTS[SchoolCodes],""))))),1,0))</f>
        <v>0</v>
      </c>
      <c r="M113" s="57">
        <f>IFERROR(IF(_xlfn.XLOOKUP(CONT_SUP[[#This Row],[SRG Gross]],FinanceCodesBudget[FinanceCode],FinanceCodesBudget[LedgerCode])=_xlfn.XLOOKUP(CONT_SUP[[#This Row],[DepartmentCode]],DEPTS[DepartmentCode],DEPTS[LedgerCode]),0,1),1)</f>
        <v>0</v>
      </c>
      <c r="N113" s="66" cm="1">
        <f t="array" ref="N113">IF(_xlfn.XLOOKUP(CONT_SUP[[#This Row],[PensionCode]],PENS[PensionCode],PENS[AvailableToAllSchools],1,0,)=TRUE,0,IF(ISERROR(FIND(CONT_SUP[[#This Row],[SchoolCode]],_xlfn.TEXTJOIN(",",TRUE,_xlfn.UNIQUE(IF(PENS[PensionCode]=CONT_SUP[[#This Row],[PensionCode]],PENS[SchoolCodes],""))))),1,0))</f>
        <v>0</v>
      </c>
      <c r="O113" s="66" cm="1">
        <f t="array" ref="O113">IF(_xlfn.XLOOKUP(CONT_SUP[[#This Row],[EquatedWeekPatternCode]],EQW[EquatedWeekPatternCode],EQW[AvailableToAllSchools],1,0,)=TRUE,0,IF(ISERROR(FIND(CONT_SUP[[#This Row],[SchoolCode]],_xlfn.TEXTJOIN(",",TRUE,_xlfn.UNIQUE(IF(EQW[EquatedWeekPatternCode]=CONT_SUP[[#This Row],[EquatedWeekPatternCode]],EQW[SchoolCodes],""))))),1,0))</f>
        <v>0</v>
      </c>
      <c r="P113" s="57">
        <f>1-COUNTIF(ContractTypes[Code],CONT_SUP[[#This Row],[ContractTypeCode]])</f>
        <v>0</v>
      </c>
      <c r="Q113" s="57">
        <f>IF(VLOOKUP(CONT_SUP[[#This Row],[StaffMemberCode]],MEMBERS[[StaffMemberCode]:[ServiceStartDate]],5,0)&gt;CONT_SUP[[#This Row],[DateFrom]],1,0)</f>
        <v>0</v>
      </c>
      <c r="R113" s="57">
        <f>IF(_xlfn.XLOOKUP(CONT_SUP[[#This Row],[StaffMemberCode]],MEMBERS[StaffMemberCode],MEMBERS[ServiceEndDate])="",0,IF(CONT_SUP[[#This Row],[DateTo]]="",1,IF(_xlfn.XLOOKUP(CONT_SUP[[#This Row],[StaffMemberCode]],MEMBERS[StaffMemberCode],MEMBERS[ServiceEndDate])&lt;CONT_SUP[[#This Row],[DateTo]],1,0)))</f>
        <v>0</v>
      </c>
      <c r="S113" s="57">
        <f>IF(ISBLANK(CONT_SUP[[#This Row],[DateTo]]),0,IF(CONT_SUP[[#This Row],[DateFrom]]=CONT_SUP[[#This Row],[DateTo]],0,IF(CONT_SUP[[#This Row],[DateFrom]]&lt;CONT_SUP[[#This Row],[DateTo]],0,1)))</f>
        <v>0</v>
      </c>
      <c r="T113" s="57" cm="1">
        <f t="array" aca="1" ref="T113" ca="1">IF(CELL("format",CONT_SUP[[#This Row],[DateFrom]])="D1",0,1)+IF(CELL("format",CONT_SUP[[#This Row],[DateTo]])="D1",0,1)</f>
        <v>0</v>
      </c>
      <c r="U113" s="57">
        <f>IF(OR(CONT_SUP[[#This Row],[MatEditOnly]]=TRUE,CONT_SUP[[#This Row],[MatEditOnly]]=FALSE),IF(OR(CONT_SUP[[#This Row],[NoIncrement]]=TRUE,CONT_SUP[[#This Row],[NoIncrement]]=FALSE),0,1),1)</f>
        <v>0</v>
      </c>
      <c r="V113" s="57">
        <f>IF(ISBLANK(CONT_SUP[[#This Row],[FundCode]])=TRUE,0,IF(COUNTIF(FUNDS[FundCode],CONT_SUP[[#This Row],[FundCode]])=1,0,1))</f>
        <v>0</v>
      </c>
      <c r="W113" s="57">
        <f>IF(LEN(CONT_SUP[[#This Row],[Notes]])&lt;4000,0,1)</f>
        <v>0</v>
      </c>
      <c r="X113" s="57">
        <f>IF(SUBSTITUTE(TEXT(CONT_SUP[[#This Row],[Reference]],10)," ","")=TEXT(CONT_SUP[[#This Row],[Reference]],10),0,1)</f>
        <v>0</v>
      </c>
      <c r="Y113" s="57">
        <f ca="1">SUM(CONT_SUP[[#This Row],[Duplicate Contract]:[Space in Code]])</f>
        <v>0</v>
      </c>
      <c r="AA113" s="12" t="s">
        <v>2094</v>
      </c>
      <c r="AB113" s="63">
        <v>91073516</v>
      </c>
      <c r="AC113" s="63" t="s">
        <v>4709</v>
      </c>
      <c r="AD113" s="57" t="str">
        <f>_xlfn.XLOOKUP(CONT_SUP[[#This Row],[StaffMemberCode]],StaffMembers!O:O,StaffMembers!R:R)</f>
        <v>Alison Wootton</v>
      </c>
      <c r="AE113" s="12" t="s">
        <v>1182</v>
      </c>
      <c r="AF113" s="66">
        <f>_xlfn.XLOOKUP(CONT_SUP[[#This Row],[SRG]],SRG[StaffRoleGroupCode],SRG[GrossSalaryFinanceCode])</f>
        <v>620100</v>
      </c>
      <c r="AG113" s="57" t="str">
        <f>_xlfn.XLOOKUP(CONT_SUP[[#This Row],[StaffRoleCode]],ROLES[StaffRoleCode],ROLES[StaffRoleGroupCode])</f>
        <v>LIB</v>
      </c>
      <c r="AH113" s="57" t="str">
        <f>_xlfn.XLOOKUP(CONT_SUP[[#This Row],[StaffRoleCode]],ROLES[StaffRoleCode],ROLES[PayScaleCode])</f>
        <v>NJC_CHE</v>
      </c>
      <c r="AI113" s="12" t="s">
        <v>3124</v>
      </c>
      <c r="AJ113" s="12">
        <v>16</v>
      </c>
      <c r="AK113" s="12" t="s">
        <v>2482</v>
      </c>
      <c r="AM113" s="68" t="s">
        <v>3132</v>
      </c>
      <c r="AN113" s="12" t="s">
        <v>3134</v>
      </c>
      <c r="AO113" s="21">
        <v>45901</v>
      </c>
      <c r="AQ113" s="12">
        <v>35</v>
      </c>
      <c r="AR113" t="b">
        <v>0</v>
      </c>
      <c r="AS113" t="b">
        <v>0</v>
      </c>
      <c r="AT113" s="12" t="s">
        <v>1574</v>
      </c>
    </row>
    <row r="114" spans="1:46" x14ac:dyDescent="0.3">
      <c r="A114" s="57" t="str">
        <f t="shared" si="3"/>
        <v>BLS9185006791850067ALIB_ASTSESS45901</v>
      </c>
      <c r="B114" s="57">
        <f>COUNTIF(CONT_SUP[Unique Contract],CONT_SUP[[#This Row],[Unique Contract]])-1</f>
        <v>0</v>
      </c>
      <c r="C114" s="57">
        <f>IFERROR(IF(FIND(CONT_SUP[[#This Row],[SchoolCode]],_xlfn.XLOOKUP(CONT_SUP[[#This Row],[StaffMemberCode]],MEMBERS[StaffMemberCode],MEMBERS[SchoolCodes]))&gt;0,0,1),1)</f>
        <v>0</v>
      </c>
      <c r="D114" s="57" cm="1">
        <f t="array" ref="D114">IF(_xlfn.XLOOKUP(CONT_SUP[[#This Row],[StaffRoleCode]],ROLES[StaffRoleCode],ROLES[AvailableToAllSchools],1,0,)=TRUE,0,IF(ISERROR(FIND(CONT_SUP[[#This Row],[SchoolCode]],_xlfn.TEXTJOIN(",",TRUE,_xlfn.UNIQUE(IF(ROLES[StaffRoleCode]=CONT_SUP[[#This Row],[StaffRoleCode]],ROLES[SchoolCodes],""))))),1,0))</f>
        <v>0</v>
      </c>
      <c r="E114" s="66" cm="1">
        <f t="array" ref="E11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14" s="57" cm="1">
        <f t="array" ref="F114">IF(_xlfn.XLOOKUP(CONT_SUP[[#This Row],[PayScaleCode]],PAYSCALES[PayScaleCode],PAYSCALES[AvailableToAllSchools],1,0,)=TRUE,0,IF(ISERROR(FIND(CONT_SUP[[#This Row],[SchoolCode]],_xlfn.TEXTJOIN(",",TRUE,_xlfn.UNIQUE(IF(PAYSCALES[PayScaleCode]=CONT_SUP[[#This Row],[PayScaleCode]],PAYSCALES[SchoolCodes],""))))),1,0))</f>
        <v>0</v>
      </c>
      <c r="G114" s="57">
        <f>IF(_xlfn.XLOOKUP(CONT_SUP[[#This Row],[PayScaleGradeCode]],GRADES[PayScaleGradeCode],GRADES[AvailableToAllSchools])=TRUE,0,IFERROR(IF(FIND(CONT_SUP[[#This Row],[SchoolCode]],_xlfn.XLOOKUP(CONT_SUP[[#This Row],[PayScaleGradeCode]],GRADES[PayScaleGradeCode],GRADES[SchoolCodes]))&gt;=1,0,1),1))</f>
        <v>0</v>
      </c>
      <c r="H114" s="66">
        <f>IF(ISERROR(IF((_xlfn.XLOOKUP(CONT_SUP[[#This Row],[PayScaleGradeCode]],GRADES[PayScaleGradeCode],GRADES[PayScaleCode])=CONT_SUP[[#This Row],[PayScaleCode]]),0,1)),1,0)</f>
        <v>0</v>
      </c>
      <c r="I114" s="66" cm="1">
        <f t="array" ref="I114">IF(ISERROR(FIND(CONT_SUP[[#This Row],[PayScalePointCode]],_xlfn.TEXTJOIN(",",TRUE,IF(PSPOINTS[PayScaleCode]=CONT_SUP[[#This Row],[PayScaleCode]],PSPOINTS[PayScalePointCode])))),1,0)</f>
        <v>0</v>
      </c>
      <c r="J114" s="57" cm="1">
        <f t="array" ref="J11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14" s="66">
        <f>IF(_xlfn.XLOOKUP(CONT_SUP[[#This Row],[PayScalePointCode]],PSPOINTS[PayScalePointCode],PSPOINTS[PayScalePointEnabled])=TRUE,0,1)</f>
        <v>0</v>
      </c>
      <c r="L114" s="57" cm="1">
        <f t="array" ref="L114">IF(_xlfn.XLOOKUP(CONT_SUP[[#This Row],[DepartmentCode]],DEPTS[DepartmentCode],DEPTS[AvailableToAllSchools],1,0,)=TRUE,0,IF(ISERROR(FIND(CONT_SUP[[#This Row],[SchoolCode]],_xlfn.TEXTJOIN(",",TRUE,_xlfn.UNIQUE(IF(DEPTS[DepartmentCode]=CONT_SUP[[#This Row],[DepartmentCode]],DEPTS[SchoolCodes],""))))),1,0))</f>
        <v>0</v>
      </c>
      <c r="M114" s="57">
        <f>IFERROR(IF(_xlfn.XLOOKUP(CONT_SUP[[#This Row],[SRG Gross]],FinanceCodesBudget[FinanceCode],FinanceCodesBudget[LedgerCode])=_xlfn.XLOOKUP(CONT_SUP[[#This Row],[DepartmentCode]],DEPTS[DepartmentCode],DEPTS[LedgerCode]),0,1),1)</f>
        <v>0</v>
      </c>
      <c r="N114" s="66" cm="1">
        <f t="array" ref="N114">IF(_xlfn.XLOOKUP(CONT_SUP[[#This Row],[PensionCode]],PENS[PensionCode],PENS[AvailableToAllSchools],1,0,)=TRUE,0,IF(ISERROR(FIND(CONT_SUP[[#This Row],[SchoolCode]],_xlfn.TEXTJOIN(",",TRUE,_xlfn.UNIQUE(IF(PENS[PensionCode]=CONT_SUP[[#This Row],[PensionCode]],PENS[SchoolCodes],""))))),1,0))</f>
        <v>0</v>
      </c>
      <c r="O114" s="66" cm="1">
        <f t="array" ref="O114">IF(_xlfn.XLOOKUP(CONT_SUP[[#This Row],[EquatedWeekPatternCode]],EQW[EquatedWeekPatternCode],EQW[AvailableToAllSchools],1,0,)=TRUE,0,IF(ISERROR(FIND(CONT_SUP[[#This Row],[SchoolCode]],_xlfn.TEXTJOIN(",",TRUE,_xlfn.UNIQUE(IF(EQW[EquatedWeekPatternCode]=CONT_SUP[[#This Row],[EquatedWeekPatternCode]],EQW[SchoolCodes],""))))),1,0))</f>
        <v>0</v>
      </c>
      <c r="P114" s="57">
        <f>1-COUNTIF(ContractTypes[Code],CONT_SUP[[#This Row],[ContractTypeCode]])</f>
        <v>0</v>
      </c>
      <c r="Q114" s="57">
        <f>IF(VLOOKUP(CONT_SUP[[#This Row],[StaffMemberCode]],MEMBERS[[StaffMemberCode]:[ServiceStartDate]],5,0)&gt;CONT_SUP[[#This Row],[DateFrom]],1,0)</f>
        <v>0</v>
      </c>
      <c r="R114" s="57">
        <f>IF(_xlfn.XLOOKUP(CONT_SUP[[#This Row],[StaffMemberCode]],MEMBERS[StaffMemberCode],MEMBERS[ServiceEndDate])="",0,IF(CONT_SUP[[#This Row],[DateTo]]="",1,IF(_xlfn.XLOOKUP(CONT_SUP[[#This Row],[StaffMemberCode]],MEMBERS[StaffMemberCode],MEMBERS[ServiceEndDate])&lt;CONT_SUP[[#This Row],[DateTo]],1,0)))</f>
        <v>0</v>
      </c>
      <c r="S114" s="57">
        <f>IF(ISBLANK(CONT_SUP[[#This Row],[DateTo]]),0,IF(CONT_SUP[[#This Row],[DateFrom]]=CONT_SUP[[#This Row],[DateTo]],0,IF(CONT_SUP[[#This Row],[DateFrom]]&lt;CONT_SUP[[#This Row],[DateTo]],0,1)))</f>
        <v>0</v>
      </c>
      <c r="T114" s="57" cm="1">
        <f t="array" aca="1" ref="T114" ca="1">IF(CELL("format",CONT_SUP[[#This Row],[DateFrom]])="D1",0,1)+IF(CELL("format",CONT_SUP[[#This Row],[DateTo]])="D1",0,1)</f>
        <v>0</v>
      </c>
      <c r="U114" s="57">
        <f>IF(OR(CONT_SUP[[#This Row],[MatEditOnly]]=TRUE,CONT_SUP[[#This Row],[MatEditOnly]]=FALSE),IF(OR(CONT_SUP[[#This Row],[NoIncrement]]=TRUE,CONT_SUP[[#This Row],[NoIncrement]]=FALSE),0,1),1)</f>
        <v>0</v>
      </c>
      <c r="V114" s="57">
        <f>IF(ISBLANK(CONT_SUP[[#This Row],[FundCode]])=TRUE,0,IF(COUNTIF(FUNDS[FundCode],CONT_SUP[[#This Row],[FundCode]])=1,0,1))</f>
        <v>0</v>
      </c>
      <c r="W114" s="57">
        <f>IF(LEN(CONT_SUP[[#This Row],[Notes]])&lt;4000,0,1)</f>
        <v>0</v>
      </c>
      <c r="X114" s="57">
        <f>IF(SUBSTITUTE(TEXT(CONT_SUP[[#This Row],[Reference]],10)," ","")=TEXT(CONT_SUP[[#This Row],[Reference]],10),0,1)</f>
        <v>0</v>
      </c>
      <c r="Y114" s="57">
        <f ca="1">SUM(CONT_SUP[[#This Row],[Duplicate Contract]:[Space in Code]])</f>
        <v>0</v>
      </c>
      <c r="AA114" s="12" t="s">
        <v>2094</v>
      </c>
      <c r="AB114" s="63">
        <v>91850067</v>
      </c>
      <c r="AC114" s="63" t="s">
        <v>4710</v>
      </c>
      <c r="AD114" s="57" t="str">
        <f>_xlfn.XLOOKUP(CONT_SUP[[#This Row],[StaffMemberCode]],StaffMembers!O:O,StaffMembers!R:R)</f>
        <v>Katherine Sealey</v>
      </c>
      <c r="AE114" s="12" t="s">
        <v>4277</v>
      </c>
      <c r="AF114" s="66">
        <f>_xlfn.XLOOKUP(CONT_SUP[[#This Row],[SRG]],SRG[StaffRoleGroupCode],SRG[GrossSalaryFinanceCode])</f>
        <v>620100</v>
      </c>
      <c r="AG114" s="57" t="str">
        <f>_xlfn.XLOOKUP(CONT_SUP[[#This Row],[StaffRoleCode]],ROLES[StaffRoleCode],ROLES[StaffRoleGroupCode])</f>
        <v>LIB</v>
      </c>
      <c r="AH114" s="57" t="str">
        <f>_xlfn.XLOOKUP(CONT_SUP[[#This Row],[StaffRoleCode]],ROLES[StaffRoleCode],ROLES[PayScaleCode])</f>
        <v>NJC_CHE</v>
      </c>
      <c r="AI114" s="12" t="s">
        <v>3121</v>
      </c>
      <c r="AJ114" s="12">
        <v>4</v>
      </c>
      <c r="AK114" s="12" t="s">
        <v>2482</v>
      </c>
      <c r="AM114" s="68" t="s">
        <v>1149</v>
      </c>
      <c r="AN114" s="12" t="s">
        <v>3134</v>
      </c>
      <c r="AO114" s="21">
        <v>45901</v>
      </c>
      <c r="AQ114" s="12">
        <v>12</v>
      </c>
      <c r="AR114" t="b">
        <v>0</v>
      </c>
      <c r="AS114" t="b">
        <v>0</v>
      </c>
      <c r="AT114" s="12" t="s">
        <v>65</v>
      </c>
    </row>
    <row r="115" spans="1:46" x14ac:dyDescent="0.3">
      <c r="A115" s="57" t="str">
        <f t="shared" si="3"/>
        <v>ALS9132476991324769ALRC_OFFSESS45901</v>
      </c>
      <c r="B115" s="57">
        <f>COUNTIF(CONT_SUP[Unique Contract],CONT_SUP[[#This Row],[Unique Contract]])-1</f>
        <v>0</v>
      </c>
      <c r="C115" s="57">
        <f>IFERROR(IF(FIND(CONT_SUP[[#This Row],[SchoolCode]],_xlfn.XLOOKUP(CONT_SUP[[#This Row],[StaffMemberCode]],MEMBERS[StaffMemberCode],MEMBERS[SchoolCodes]))&gt;0,0,1),1)</f>
        <v>0</v>
      </c>
      <c r="D115" s="57" cm="1">
        <f t="array" ref="D115">IF(_xlfn.XLOOKUP(CONT_SUP[[#This Row],[StaffRoleCode]],ROLES[StaffRoleCode],ROLES[AvailableToAllSchools],1,0,)=TRUE,0,IF(ISERROR(FIND(CONT_SUP[[#This Row],[SchoolCode]],_xlfn.TEXTJOIN(",",TRUE,_xlfn.UNIQUE(IF(ROLES[StaffRoleCode]=CONT_SUP[[#This Row],[StaffRoleCode]],ROLES[SchoolCodes],""))))),1,0))</f>
        <v>0</v>
      </c>
      <c r="E115" s="66" cm="1">
        <f t="array" ref="E11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15" s="57" cm="1">
        <f t="array" ref="F115">IF(_xlfn.XLOOKUP(CONT_SUP[[#This Row],[PayScaleCode]],PAYSCALES[PayScaleCode],PAYSCALES[AvailableToAllSchools],1,0,)=TRUE,0,IF(ISERROR(FIND(CONT_SUP[[#This Row],[SchoolCode]],_xlfn.TEXTJOIN(",",TRUE,_xlfn.UNIQUE(IF(PAYSCALES[PayScaleCode]=CONT_SUP[[#This Row],[PayScaleCode]],PAYSCALES[SchoolCodes],""))))),1,0))</f>
        <v>0</v>
      </c>
      <c r="G115" s="57">
        <f>IF(_xlfn.XLOOKUP(CONT_SUP[[#This Row],[PayScaleGradeCode]],GRADES[PayScaleGradeCode],GRADES[AvailableToAllSchools])=TRUE,0,IFERROR(IF(FIND(CONT_SUP[[#This Row],[SchoolCode]],_xlfn.XLOOKUP(CONT_SUP[[#This Row],[PayScaleGradeCode]],GRADES[PayScaleGradeCode],GRADES[SchoolCodes]))&gt;=1,0,1),1))</f>
        <v>0</v>
      </c>
      <c r="H115" s="66">
        <f>IF(ISERROR(IF((_xlfn.XLOOKUP(CONT_SUP[[#This Row],[PayScaleGradeCode]],GRADES[PayScaleGradeCode],GRADES[PayScaleCode])=CONT_SUP[[#This Row],[PayScaleCode]]),0,1)),1,0)</f>
        <v>0</v>
      </c>
      <c r="I115" s="66" cm="1">
        <f t="array" ref="I115">IF(ISERROR(FIND(CONT_SUP[[#This Row],[PayScalePointCode]],_xlfn.TEXTJOIN(",",TRUE,IF(PSPOINTS[PayScaleCode]=CONT_SUP[[#This Row],[PayScaleCode]],PSPOINTS[PayScalePointCode])))),1,0)</f>
        <v>0</v>
      </c>
      <c r="J115" s="57" cm="1">
        <f t="array" ref="J11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15" s="66">
        <f>IF(_xlfn.XLOOKUP(CONT_SUP[[#This Row],[PayScalePointCode]],PSPOINTS[PayScalePointCode],PSPOINTS[PayScalePointEnabled])=TRUE,0,1)</f>
        <v>0</v>
      </c>
      <c r="L115" s="57" cm="1">
        <f t="array" ref="L115">IF(_xlfn.XLOOKUP(CONT_SUP[[#This Row],[DepartmentCode]],DEPTS[DepartmentCode],DEPTS[AvailableToAllSchools],1,0,)=TRUE,0,IF(ISERROR(FIND(CONT_SUP[[#This Row],[SchoolCode]],_xlfn.TEXTJOIN(",",TRUE,_xlfn.UNIQUE(IF(DEPTS[DepartmentCode]=CONT_SUP[[#This Row],[DepartmentCode]],DEPTS[SchoolCodes],""))))),1,0))</f>
        <v>0</v>
      </c>
      <c r="M115" s="57">
        <f>IFERROR(IF(_xlfn.XLOOKUP(CONT_SUP[[#This Row],[SRG Gross]],FinanceCodesBudget[FinanceCode],FinanceCodesBudget[LedgerCode])=_xlfn.XLOOKUP(CONT_SUP[[#This Row],[DepartmentCode]],DEPTS[DepartmentCode],DEPTS[LedgerCode]),0,1),1)</f>
        <v>0</v>
      </c>
      <c r="N115" s="66" cm="1">
        <f t="array" ref="N115">IF(_xlfn.XLOOKUP(CONT_SUP[[#This Row],[PensionCode]],PENS[PensionCode],PENS[AvailableToAllSchools],1,0,)=TRUE,0,IF(ISERROR(FIND(CONT_SUP[[#This Row],[SchoolCode]],_xlfn.TEXTJOIN(",",TRUE,_xlfn.UNIQUE(IF(PENS[PensionCode]=CONT_SUP[[#This Row],[PensionCode]],PENS[SchoolCodes],""))))),1,0))</f>
        <v>0</v>
      </c>
      <c r="O115" s="66" cm="1">
        <f t="array" ref="O115">IF(_xlfn.XLOOKUP(CONT_SUP[[#This Row],[EquatedWeekPatternCode]],EQW[EquatedWeekPatternCode],EQW[AvailableToAllSchools],1,0,)=TRUE,0,IF(ISERROR(FIND(CONT_SUP[[#This Row],[SchoolCode]],_xlfn.TEXTJOIN(",",TRUE,_xlfn.UNIQUE(IF(EQW[EquatedWeekPatternCode]=CONT_SUP[[#This Row],[EquatedWeekPatternCode]],EQW[SchoolCodes],""))))),1,0))</f>
        <v>0</v>
      </c>
      <c r="P115" s="57">
        <f>1-COUNTIF(ContractTypes[Code],CONT_SUP[[#This Row],[ContractTypeCode]])</f>
        <v>0</v>
      </c>
      <c r="Q115" s="57">
        <f>IF(VLOOKUP(CONT_SUP[[#This Row],[StaffMemberCode]],MEMBERS[[StaffMemberCode]:[ServiceStartDate]],5,0)&gt;CONT_SUP[[#This Row],[DateFrom]],1,0)</f>
        <v>0</v>
      </c>
      <c r="R115" s="57">
        <f>IF(_xlfn.XLOOKUP(CONT_SUP[[#This Row],[StaffMemberCode]],MEMBERS[StaffMemberCode],MEMBERS[ServiceEndDate])="",0,IF(CONT_SUP[[#This Row],[DateTo]]="",1,IF(_xlfn.XLOOKUP(CONT_SUP[[#This Row],[StaffMemberCode]],MEMBERS[StaffMemberCode],MEMBERS[ServiceEndDate])&lt;CONT_SUP[[#This Row],[DateTo]],1,0)))</f>
        <v>0</v>
      </c>
      <c r="S115" s="57">
        <f>IF(ISBLANK(CONT_SUP[[#This Row],[DateTo]]),0,IF(CONT_SUP[[#This Row],[DateFrom]]=CONT_SUP[[#This Row],[DateTo]],0,IF(CONT_SUP[[#This Row],[DateFrom]]&lt;CONT_SUP[[#This Row],[DateTo]],0,1)))</f>
        <v>0</v>
      </c>
      <c r="T115" s="57" cm="1">
        <f t="array" aca="1" ref="T115" ca="1">IF(CELL("format",CONT_SUP[[#This Row],[DateFrom]])="D1",0,1)+IF(CELL("format",CONT_SUP[[#This Row],[DateTo]])="D1",0,1)</f>
        <v>0</v>
      </c>
      <c r="U115" s="57">
        <f>IF(OR(CONT_SUP[[#This Row],[MatEditOnly]]=TRUE,CONT_SUP[[#This Row],[MatEditOnly]]=FALSE),IF(OR(CONT_SUP[[#This Row],[NoIncrement]]=TRUE,CONT_SUP[[#This Row],[NoIncrement]]=FALSE),0,1),1)</f>
        <v>0</v>
      </c>
      <c r="V115" s="57">
        <f>IF(ISBLANK(CONT_SUP[[#This Row],[FundCode]])=TRUE,0,IF(COUNTIF(FUNDS[FundCode],CONT_SUP[[#This Row],[FundCode]])=1,0,1))</f>
        <v>0</v>
      </c>
      <c r="W115" s="57">
        <f>IF(LEN(CONT_SUP[[#This Row],[Notes]])&lt;4000,0,1)</f>
        <v>0</v>
      </c>
      <c r="X115" s="57">
        <f>IF(SUBSTITUTE(TEXT(CONT_SUP[[#This Row],[Reference]],10)," ","")=TEXT(CONT_SUP[[#This Row],[Reference]],10),0,1)</f>
        <v>0</v>
      </c>
      <c r="Y115" s="57">
        <f ca="1">SUM(CONT_SUP[[#This Row],[Duplicate Contract]:[Space in Code]])</f>
        <v>0</v>
      </c>
      <c r="AA115" s="12" t="s">
        <v>2082</v>
      </c>
      <c r="AB115" s="63">
        <v>91324769</v>
      </c>
      <c r="AC115" s="63" t="s">
        <v>4711</v>
      </c>
      <c r="AD115" s="57" t="str">
        <f>_xlfn.XLOOKUP(CONT_SUP[[#This Row],[StaffMemberCode]],StaffMembers!O:O,StaffMembers!R:R)</f>
        <v>Constance Seiler</v>
      </c>
      <c r="AE115" s="12" t="s">
        <v>4279</v>
      </c>
      <c r="AF115" s="66">
        <f>_xlfn.XLOOKUP(CONT_SUP[[#This Row],[SRG]],SRG[StaffRoleGroupCode],SRG[GrossSalaryFinanceCode])</f>
        <v>620100</v>
      </c>
      <c r="AG115" s="57" t="str">
        <f>_xlfn.XLOOKUP(CONT_SUP[[#This Row],[StaffRoleCode]],ROLES[StaffRoleCode],ROLES[StaffRoleGroupCode])</f>
        <v>LIB</v>
      </c>
      <c r="AH115" s="57" t="str">
        <f>_xlfn.XLOOKUP(CONT_SUP[[#This Row],[StaffRoleCode]],ROLES[StaffRoleCode],ROLES[PayScaleCode])</f>
        <v>NJC_CHE</v>
      </c>
      <c r="AI115" s="12" t="s">
        <v>3123</v>
      </c>
      <c r="AJ115" s="12">
        <v>11</v>
      </c>
      <c r="AK115" s="12" t="s">
        <v>2482</v>
      </c>
      <c r="AM115" s="68" t="s">
        <v>3132</v>
      </c>
      <c r="AN115" s="12" t="s">
        <v>3134</v>
      </c>
      <c r="AO115" s="21">
        <v>45901</v>
      </c>
      <c r="AQ115" s="12">
        <v>37</v>
      </c>
      <c r="AR115" t="b">
        <v>0</v>
      </c>
      <c r="AS115" t="b">
        <v>0</v>
      </c>
      <c r="AT115" s="12" t="s">
        <v>1574</v>
      </c>
    </row>
    <row r="116" spans="1:46" x14ac:dyDescent="0.3">
      <c r="A116" s="57" t="str">
        <f t="shared" si="3"/>
        <v>BLS9107344891073448ABMSFIN45901</v>
      </c>
      <c r="B116" s="57">
        <f>COUNTIF(CONT_SUP[Unique Contract],CONT_SUP[[#This Row],[Unique Contract]])-1</f>
        <v>0</v>
      </c>
      <c r="C116" s="57">
        <f>IFERROR(IF(FIND(CONT_SUP[[#This Row],[SchoolCode]],_xlfn.XLOOKUP(CONT_SUP[[#This Row],[StaffMemberCode]],MEMBERS[StaffMemberCode],MEMBERS[SchoolCodes]))&gt;0,0,1),1)</f>
        <v>0</v>
      </c>
      <c r="D116" s="57" cm="1">
        <f t="array" ref="D116">IF(_xlfn.XLOOKUP(CONT_SUP[[#This Row],[StaffRoleCode]],ROLES[StaffRoleCode],ROLES[AvailableToAllSchools],1,0,)=TRUE,0,IF(ISERROR(FIND(CONT_SUP[[#This Row],[SchoolCode]],_xlfn.TEXTJOIN(",",TRUE,_xlfn.UNIQUE(IF(ROLES[StaffRoleCode]=CONT_SUP[[#This Row],[StaffRoleCode]],ROLES[SchoolCodes],""))))),1,0))</f>
        <v>0</v>
      </c>
      <c r="E116" s="66" cm="1">
        <f t="array" ref="E11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16" s="57" cm="1">
        <f t="array" ref="F116">IF(_xlfn.XLOOKUP(CONT_SUP[[#This Row],[PayScaleCode]],PAYSCALES[PayScaleCode],PAYSCALES[AvailableToAllSchools],1,0,)=TRUE,0,IF(ISERROR(FIND(CONT_SUP[[#This Row],[SchoolCode]],_xlfn.TEXTJOIN(",",TRUE,_xlfn.UNIQUE(IF(PAYSCALES[PayScaleCode]=CONT_SUP[[#This Row],[PayScaleCode]],PAYSCALES[SchoolCodes],""))))),1,0))</f>
        <v>0</v>
      </c>
      <c r="G116" s="57">
        <f>IF(_xlfn.XLOOKUP(CONT_SUP[[#This Row],[PayScaleGradeCode]],GRADES[PayScaleGradeCode],GRADES[AvailableToAllSchools])=TRUE,0,IFERROR(IF(FIND(CONT_SUP[[#This Row],[SchoolCode]],_xlfn.XLOOKUP(CONT_SUP[[#This Row],[PayScaleGradeCode]],GRADES[PayScaleGradeCode],GRADES[SchoolCodes]))&gt;=1,0,1),1))</f>
        <v>0</v>
      </c>
      <c r="H116" s="66">
        <f>IF(ISERROR(IF((_xlfn.XLOOKUP(CONT_SUP[[#This Row],[PayScaleGradeCode]],GRADES[PayScaleGradeCode],GRADES[PayScaleCode])=CONT_SUP[[#This Row],[PayScaleCode]]),0,1)),1,0)</f>
        <v>0</v>
      </c>
      <c r="I116" s="66" cm="1">
        <f t="array" ref="I116">IF(ISERROR(FIND(CONT_SUP[[#This Row],[PayScalePointCode]],_xlfn.TEXTJOIN(",",TRUE,IF(PSPOINTS[PayScaleCode]=CONT_SUP[[#This Row],[PayScaleCode]],PSPOINTS[PayScalePointCode])))),1,0)</f>
        <v>0</v>
      </c>
      <c r="J116" s="57" cm="1">
        <f t="array" ref="J11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16" s="66">
        <f>IF(_xlfn.XLOOKUP(CONT_SUP[[#This Row],[PayScalePointCode]],PSPOINTS[PayScalePointCode],PSPOINTS[PayScalePointEnabled])=TRUE,0,1)</f>
        <v>0</v>
      </c>
      <c r="L116" s="57" cm="1">
        <f t="array" ref="L116">IF(_xlfn.XLOOKUP(CONT_SUP[[#This Row],[DepartmentCode]],DEPTS[DepartmentCode],DEPTS[AvailableToAllSchools],1,0,)=TRUE,0,IF(ISERROR(FIND(CONT_SUP[[#This Row],[SchoolCode]],_xlfn.TEXTJOIN(",",TRUE,_xlfn.UNIQUE(IF(DEPTS[DepartmentCode]=CONT_SUP[[#This Row],[DepartmentCode]],DEPTS[SchoolCodes],""))))),1,0))</f>
        <v>0</v>
      </c>
      <c r="M116" s="57">
        <f>IFERROR(IF(_xlfn.XLOOKUP(CONT_SUP[[#This Row],[SRG Gross]],FinanceCodesBudget[FinanceCode],FinanceCodesBudget[LedgerCode])=_xlfn.XLOOKUP(CONT_SUP[[#This Row],[DepartmentCode]],DEPTS[DepartmentCode],DEPTS[LedgerCode]),0,1),1)</f>
        <v>0</v>
      </c>
      <c r="N116" s="66" cm="1">
        <f t="array" ref="N116">IF(_xlfn.XLOOKUP(CONT_SUP[[#This Row],[PensionCode]],PENS[PensionCode],PENS[AvailableToAllSchools],1,0,)=TRUE,0,IF(ISERROR(FIND(CONT_SUP[[#This Row],[SchoolCode]],_xlfn.TEXTJOIN(",",TRUE,_xlfn.UNIQUE(IF(PENS[PensionCode]=CONT_SUP[[#This Row],[PensionCode]],PENS[SchoolCodes],""))))),1,0))</f>
        <v>0</v>
      </c>
      <c r="O116" s="66" cm="1">
        <f t="array" ref="O116">IF(_xlfn.XLOOKUP(CONT_SUP[[#This Row],[EquatedWeekPatternCode]],EQW[EquatedWeekPatternCode],EQW[AvailableToAllSchools],1,0,)=TRUE,0,IF(ISERROR(FIND(CONT_SUP[[#This Row],[SchoolCode]],_xlfn.TEXTJOIN(",",TRUE,_xlfn.UNIQUE(IF(EQW[EquatedWeekPatternCode]=CONT_SUP[[#This Row],[EquatedWeekPatternCode]],EQW[SchoolCodes],""))))),1,0))</f>
        <v>0</v>
      </c>
      <c r="P116" s="57">
        <f>1-COUNTIF(ContractTypes[Code],CONT_SUP[[#This Row],[ContractTypeCode]])</f>
        <v>0</v>
      </c>
      <c r="Q116" s="57">
        <f>IF(VLOOKUP(CONT_SUP[[#This Row],[StaffMemberCode]],MEMBERS[[StaffMemberCode]:[ServiceStartDate]],5,0)&gt;CONT_SUP[[#This Row],[DateFrom]],1,0)</f>
        <v>0</v>
      </c>
      <c r="R116" s="57">
        <f>IF(_xlfn.XLOOKUP(CONT_SUP[[#This Row],[StaffMemberCode]],MEMBERS[StaffMemberCode],MEMBERS[ServiceEndDate])="",0,IF(CONT_SUP[[#This Row],[DateTo]]="",1,IF(_xlfn.XLOOKUP(CONT_SUP[[#This Row],[StaffMemberCode]],MEMBERS[StaffMemberCode],MEMBERS[ServiceEndDate])&lt;CONT_SUP[[#This Row],[DateTo]],1,0)))</f>
        <v>0</v>
      </c>
      <c r="S116" s="57">
        <f>IF(ISBLANK(CONT_SUP[[#This Row],[DateTo]]),0,IF(CONT_SUP[[#This Row],[DateFrom]]=CONT_SUP[[#This Row],[DateTo]],0,IF(CONT_SUP[[#This Row],[DateFrom]]&lt;CONT_SUP[[#This Row],[DateTo]],0,1)))</f>
        <v>0</v>
      </c>
      <c r="T116" s="57" cm="1">
        <f t="array" aca="1" ref="T116" ca="1">IF(CELL("format",CONT_SUP[[#This Row],[DateFrom]])="D1",0,1)+IF(CELL("format",CONT_SUP[[#This Row],[DateTo]])="D1",0,1)</f>
        <v>0</v>
      </c>
      <c r="U116" s="57">
        <f>IF(OR(CONT_SUP[[#This Row],[MatEditOnly]]=TRUE,CONT_SUP[[#This Row],[MatEditOnly]]=FALSE),IF(OR(CONT_SUP[[#This Row],[NoIncrement]]=TRUE,CONT_SUP[[#This Row],[NoIncrement]]=FALSE),0,1),1)</f>
        <v>0</v>
      </c>
      <c r="V116" s="57">
        <f>IF(ISBLANK(CONT_SUP[[#This Row],[FundCode]])=TRUE,0,IF(COUNTIF(FUNDS[FundCode],CONT_SUP[[#This Row],[FundCode]])=1,0,1))</f>
        <v>0</v>
      </c>
      <c r="W116" s="57">
        <f>IF(LEN(CONT_SUP[[#This Row],[Notes]])&lt;4000,0,1)</f>
        <v>0</v>
      </c>
      <c r="X116" s="57">
        <f>IF(SUBSTITUTE(TEXT(CONT_SUP[[#This Row],[Reference]],10)," ","")=TEXT(CONT_SUP[[#This Row],[Reference]],10),0,1)</f>
        <v>0</v>
      </c>
      <c r="Y116" s="57">
        <f ca="1">SUM(CONT_SUP[[#This Row],[Duplicate Contract]:[Space in Code]])</f>
        <v>0</v>
      </c>
      <c r="AA116" s="12" t="s">
        <v>2094</v>
      </c>
      <c r="AB116" s="63">
        <v>91073448</v>
      </c>
      <c r="AC116" s="63" t="s">
        <v>4712</v>
      </c>
      <c r="AD116" s="57" t="str">
        <f>_xlfn.XLOOKUP(CONT_SUP[[#This Row],[StaffMemberCode]],StaffMembers!O:O,StaffMembers!R:R)</f>
        <v>Kathryn Brookes</v>
      </c>
      <c r="AE116" s="12" t="s">
        <v>4223</v>
      </c>
      <c r="AF116" s="66">
        <f>_xlfn.XLOOKUP(CONT_SUP[[#This Row],[SRG]],SRG[StaffRoleGroupCode],SRG[GrossSalaryFinanceCode])</f>
        <v>625100</v>
      </c>
      <c r="AG116" s="57" t="str">
        <f>_xlfn.XLOOKUP(CONT_SUP[[#This Row],[StaffRoleCode]],ROLES[StaffRoleCode],ROLES[StaffRoleGroupCode])</f>
        <v>ADM</v>
      </c>
      <c r="AH116" s="57" t="str">
        <f>_xlfn.XLOOKUP(CONT_SUP[[#This Row],[StaffRoleCode]],ROLES[StaffRoleCode],ROLES[PayScaleCode])</f>
        <v>NJC_CHE</v>
      </c>
      <c r="AI116" s="12" t="s">
        <v>3130</v>
      </c>
      <c r="AJ116" s="12">
        <v>45</v>
      </c>
      <c r="AK116" s="12" t="s">
        <v>2483</v>
      </c>
      <c r="AM116" s="68" t="s">
        <v>3132</v>
      </c>
      <c r="AN116" s="12" t="s">
        <v>1702</v>
      </c>
      <c r="AO116" s="21">
        <v>45901</v>
      </c>
      <c r="AP116" s="21">
        <v>46053</v>
      </c>
      <c r="AQ116" s="12">
        <v>37</v>
      </c>
      <c r="AR116" t="b">
        <v>0</v>
      </c>
      <c r="AS116" t="b">
        <v>0</v>
      </c>
      <c r="AT116" s="12" t="s">
        <v>1574</v>
      </c>
    </row>
    <row r="117" spans="1:46" x14ac:dyDescent="0.3">
      <c r="A117" s="57" t="str">
        <f t="shared" si="3"/>
        <v>MAT9107390991073909ACFOSFINMAT45901</v>
      </c>
      <c r="B117" s="57">
        <f>COUNTIF(CONT_SUP[Unique Contract],CONT_SUP[[#This Row],[Unique Contract]])-1</f>
        <v>0</v>
      </c>
      <c r="C117" s="57">
        <f>IFERROR(IF(FIND(CONT_SUP[[#This Row],[SchoolCode]],_xlfn.XLOOKUP(CONT_SUP[[#This Row],[StaffMemberCode]],MEMBERS[StaffMemberCode],MEMBERS[SchoolCodes]))&gt;0,0,1),1)</f>
        <v>0</v>
      </c>
      <c r="D117" s="57" cm="1">
        <f t="array" ref="D117">IF(_xlfn.XLOOKUP(CONT_SUP[[#This Row],[StaffRoleCode]],ROLES[StaffRoleCode],ROLES[AvailableToAllSchools],1,0,)=TRUE,0,IF(ISERROR(FIND(CONT_SUP[[#This Row],[SchoolCode]],_xlfn.TEXTJOIN(",",TRUE,_xlfn.UNIQUE(IF(ROLES[StaffRoleCode]=CONT_SUP[[#This Row],[StaffRoleCode]],ROLES[SchoolCodes],""))))),1,0))</f>
        <v>0</v>
      </c>
      <c r="E117" s="66" cm="1">
        <f t="array" ref="E11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17" s="57" cm="1">
        <f t="array" ref="F117">IF(_xlfn.XLOOKUP(CONT_SUP[[#This Row],[PayScaleCode]],PAYSCALES[PayScaleCode],PAYSCALES[AvailableToAllSchools],1,0,)=TRUE,0,IF(ISERROR(FIND(CONT_SUP[[#This Row],[SchoolCode]],_xlfn.TEXTJOIN(",",TRUE,_xlfn.UNIQUE(IF(PAYSCALES[PayScaleCode]=CONT_SUP[[#This Row],[PayScaleCode]],PAYSCALES[SchoolCodes],""))))),1,0))</f>
        <v>0</v>
      </c>
      <c r="G117" s="57">
        <f>IF(_xlfn.XLOOKUP(CONT_SUP[[#This Row],[PayScaleGradeCode]],GRADES[PayScaleGradeCode],GRADES[AvailableToAllSchools])=TRUE,0,IFERROR(IF(FIND(CONT_SUP[[#This Row],[SchoolCode]],_xlfn.XLOOKUP(CONT_SUP[[#This Row],[PayScaleGradeCode]],GRADES[PayScaleGradeCode],GRADES[SchoolCodes]))&gt;=1,0,1),1))</f>
        <v>0</v>
      </c>
      <c r="H117" s="66">
        <f>IF(ISERROR(IF((_xlfn.XLOOKUP(CONT_SUP[[#This Row],[PayScaleGradeCode]],GRADES[PayScaleGradeCode],GRADES[PayScaleCode])=CONT_SUP[[#This Row],[PayScaleCode]]),0,1)),1,0)</f>
        <v>0</v>
      </c>
      <c r="I117" s="66" cm="1">
        <f t="array" ref="I117">IF(ISERROR(FIND(CONT_SUP[[#This Row],[PayScalePointCode]],_xlfn.TEXTJOIN(",",TRUE,IF(PSPOINTS[PayScaleCode]=CONT_SUP[[#This Row],[PayScaleCode]],PSPOINTS[PayScalePointCode])))),1,0)</f>
        <v>0</v>
      </c>
      <c r="J117" s="57" cm="1">
        <f t="array" ref="J11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17" s="66">
        <f>IF(_xlfn.XLOOKUP(CONT_SUP[[#This Row],[PayScalePointCode]],PSPOINTS[PayScalePointCode],PSPOINTS[PayScalePointEnabled])=TRUE,0,1)</f>
        <v>0</v>
      </c>
      <c r="L117" s="57" cm="1">
        <f t="array" ref="L117">IF(_xlfn.XLOOKUP(CONT_SUP[[#This Row],[DepartmentCode]],DEPTS[DepartmentCode],DEPTS[AvailableToAllSchools],1,0,)=TRUE,0,IF(ISERROR(FIND(CONT_SUP[[#This Row],[SchoolCode]],_xlfn.TEXTJOIN(",",TRUE,_xlfn.UNIQUE(IF(DEPTS[DepartmentCode]=CONT_SUP[[#This Row],[DepartmentCode]],DEPTS[SchoolCodes],""))))),1,0))</f>
        <v>0</v>
      </c>
      <c r="M117" s="57">
        <f>IFERROR(IF(_xlfn.XLOOKUP(CONT_SUP[[#This Row],[SRG Gross]],FinanceCodesBudget[FinanceCode],FinanceCodesBudget[LedgerCode])=_xlfn.XLOOKUP(CONT_SUP[[#This Row],[DepartmentCode]],DEPTS[DepartmentCode],DEPTS[LedgerCode]),0,1),1)</f>
        <v>0</v>
      </c>
      <c r="N117" s="66" cm="1">
        <f t="array" ref="N117">IF(_xlfn.XLOOKUP(CONT_SUP[[#This Row],[PensionCode]],PENS[PensionCode],PENS[AvailableToAllSchools],1,0,)=TRUE,0,IF(ISERROR(FIND(CONT_SUP[[#This Row],[SchoolCode]],_xlfn.TEXTJOIN(",",TRUE,_xlfn.UNIQUE(IF(PENS[PensionCode]=CONT_SUP[[#This Row],[PensionCode]],PENS[SchoolCodes],""))))),1,0))</f>
        <v>0</v>
      </c>
      <c r="O117" s="66" cm="1">
        <f t="array" ref="O117">IF(_xlfn.XLOOKUP(CONT_SUP[[#This Row],[EquatedWeekPatternCode]],EQW[EquatedWeekPatternCode],EQW[AvailableToAllSchools],1,0,)=TRUE,0,IF(ISERROR(FIND(CONT_SUP[[#This Row],[SchoolCode]],_xlfn.TEXTJOIN(",",TRUE,_xlfn.UNIQUE(IF(EQW[EquatedWeekPatternCode]=CONT_SUP[[#This Row],[EquatedWeekPatternCode]],EQW[SchoolCodes],""))))),1,0))</f>
        <v>0</v>
      </c>
      <c r="P117" s="57">
        <f>1-COUNTIF(ContractTypes[Code],CONT_SUP[[#This Row],[ContractTypeCode]])</f>
        <v>0</v>
      </c>
      <c r="Q117" s="57">
        <f>IF(VLOOKUP(CONT_SUP[[#This Row],[StaffMemberCode]],MEMBERS[[StaffMemberCode]:[ServiceStartDate]],5,0)&gt;CONT_SUP[[#This Row],[DateFrom]],1,0)</f>
        <v>0</v>
      </c>
      <c r="R117" s="57">
        <f>IF(_xlfn.XLOOKUP(CONT_SUP[[#This Row],[StaffMemberCode]],MEMBERS[StaffMemberCode],MEMBERS[ServiceEndDate])="",0,IF(CONT_SUP[[#This Row],[DateTo]]="",1,IF(_xlfn.XLOOKUP(CONT_SUP[[#This Row],[StaffMemberCode]],MEMBERS[StaffMemberCode],MEMBERS[ServiceEndDate])&lt;CONT_SUP[[#This Row],[DateTo]],1,0)))</f>
        <v>0</v>
      </c>
      <c r="S117" s="57">
        <f>IF(ISBLANK(CONT_SUP[[#This Row],[DateTo]]),0,IF(CONT_SUP[[#This Row],[DateFrom]]=CONT_SUP[[#This Row],[DateTo]],0,IF(CONT_SUP[[#This Row],[DateFrom]]&lt;CONT_SUP[[#This Row],[DateTo]],0,1)))</f>
        <v>0</v>
      </c>
      <c r="T117" s="57" cm="1">
        <f t="array" aca="1" ref="T117" ca="1">IF(CELL("format",CONT_SUP[[#This Row],[DateFrom]])="D1",0,1)+IF(CELL("format",CONT_SUP[[#This Row],[DateTo]])="D1",0,1)</f>
        <v>0</v>
      </c>
      <c r="U117" s="57">
        <f>IF(OR(CONT_SUP[[#This Row],[MatEditOnly]]=TRUE,CONT_SUP[[#This Row],[MatEditOnly]]=FALSE),IF(OR(CONT_SUP[[#This Row],[NoIncrement]]=TRUE,CONT_SUP[[#This Row],[NoIncrement]]=FALSE),0,1),1)</f>
        <v>0</v>
      </c>
      <c r="V117" s="57">
        <f>IF(ISBLANK(CONT_SUP[[#This Row],[FundCode]])=TRUE,0,IF(COUNTIF(FUNDS[FundCode],CONT_SUP[[#This Row],[FundCode]])=1,0,1))</f>
        <v>0</v>
      </c>
      <c r="W117" s="57">
        <f>IF(LEN(CONT_SUP[[#This Row],[Notes]])&lt;4000,0,1)</f>
        <v>0</v>
      </c>
      <c r="X117" s="57">
        <f>IF(SUBSTITUTE(TEXT(CONT_SUP[[#This Row],[Reference]],10)," ","")=TEXT(CONT_SUP[[#This Row],[Reference]],10),0,1)</f>
        <v>0</v>
      </c>
      <c r="Y117" s="57">
        <f ca="1">SUM(CONT_SUP[[#This Row],[Duplicate Contract]:[Space in Code]])</f>
        <v>0</v>
      </c>
      <c r="AA117" s="12" t="s">
        <v>51</v>
      </c>
      <c r="AB117" s="63">
        <v>91073909</v>
      </c>
      <c r="AC117" s="63" t="s">
        <v>4713</v>
      </c>
      <c r="AD117" s="57" t="str">
        <f>_xlfn.XLOOKUP(CONT_SUP[[#This Row],[StaffMemberCode]],StaffMembers!O:O,StaffMembers!R:R)</f>
        <v>Susan Reissing</v>
      </c>
      <c r="AE117" s="12" t="s">
        <v>1221</v>
      </c>
      <c r="AF117" s="66">
        <f>_xlfn.XLOOKUP(CONT_SUP[[#This Row],[SRG]],SRG[StaffRoleGroupCode],SRG[GrossSalaryFinanceCode])</f>
        <v>611100</v>
      </c>
      <c r="AG117" s="57" t="str">
        <f>_xlfn.XLOOKUP(CONT_SUP[[#This Row],[StaffRoleCode]],ROLES[StaffRoleCode],ROLES[StaffRoleGroupCode])</f>
        <v>LSN</v>
      </c>
      <c r="AH117" s="57" t="str">
        <f>_xlfn.XLOOKUP(CONT_SUP[[#This Row],[StaffRoleCode]],ROLES[StaffRoleCode],ROLES[PayScaleCode])</f>
        <v>LS</v>
      </c>
      <c r="AI117" s="12" t="s">
        <v>3093</v>
      </c>
      <c r="AJ117" s="12" t="s">
        <v>1094</v>
      </c>
      <c r="AK117" s="12" t="s">
        <v>4925</v>
      </c>
      <c r="AM117" s="68" t="s">
        <v>3132</v>
      </c>
      <c r="AN117" s="12" t="s">
        <v>1702</v>
      </c>
      <c r="AO117" s="21">
        <v>45901</v>
      </c>
      <c r="AQ117" s="12">
        <v>37</v>
      </c>
      <c r="AR117" t="b">
        <v>0</v>
      </c>
      <c r="AS117" t="b">
        <v>0</v>
      </c>
      <c r="AT117" s="12" t="s">
        <v>1574</v>
      </c>
    </row>
    <row r="118" spans="1:46" x14ac:dyDescent="0.3">
      <c r="A118" s="57" t="str">
        <f t="shared" ref="A118:A149" si="4">AA118&amp;AB118&amp;AC118&amp;AE118&amp;AK118&amp;AO118</f>
        <v>SBL9107577891075778AMDASMID45901</v>
      </c>
      <c r="B118" s="57">
        <f>COUNTIF(CONT_SUP[Unique Contract],CONT_SUP[[#This Row],[Unique Contract]])-1</f>
        <v>0</v>
      </c>
      <c r="C118" s="57">
        <f>IFERROR(IF(FIND(CONT_SUP[[#This Row],[SchoolCode]],_xlfn.XLOOKUP(CONT_SUP[[#This Row],[StaffMemberCode]],MEMBERS[StaffMemberCode],MEMBERS[SchoolCodes]))&gt;0,0,1),1)</f>
        <v>0</v>
      </c>
      <c r="D118" s="57" cm="1">
        <f t="array" ref="D118">IF(_xlfn.XLOOKUP(CONT_SUP[[#This Row],[StaffRoleCode]],ROLES[StaffRoleCode],ROLES[AvailableToAllSchools],1,0,)=TRUE,0,IF(ISERROR(FIND(CONT_SUP[[#This Row],[SchoolCode]],_xlfn.TEXTJOIN(",",TRUE,_xlfn.UNIQUE(IF(ROLES[StaffRoleCode]=CONT_SUP[[#This Row],[StaffRoleCode]],ROLES[SchoolCodes],""))))),1,0))</f>
        <v>0</v>
      </c>
      <c r="E118" s="57" cm="1">
        <f t="array" ref="E11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18" s="57" cm="1">
        <f t="array" ref="F118">IF(_xlfn.XLOOKUP(CONT_SUP[[#This Row],[PayScaleCode]],PAYSCALES[PayScaleCode],PAYSCALES[AvailableToAllSchools],1,0,)=TRUE,0,IF(ISERROR(FIND(CONT_SUP[[#This Row],[SchoolCode]],_xlfn.TEXTJOIN(",",TRUE,_xlfn.UNIQUE(IF(PAYSCALES[PayScaleCode]=CONT_SUP[[#This Row],[PayScaleCode]],PAYSCALES[SchoolCodes],""))))),1,0))</f>
        <v>0</v>
      </c>
      <c r="G118" s="57">
        <f>IF(_xlfn.XLOOKUP(CONT_SUP[[#This Row],[PayScaleGradeCode]],GRADES[PayScaleGradeCode],GRADES[AvailableToAllSchools])=TRUE,0,IFERROR(IF(FIND(CONT_SUP[[#This Row],[SchoolCode]],_xlfn.XLOOKUP(CONT_SUP[[#This Row],[PayScaleGradeCode]],GRADES[PayScaleGradeCode],GRADES[SchoolCodes]))&gt;=1,0,1),1))</f>
        <v>0</v>
      </c>
      <c r="H118" s="57">
        <f>IF(ISERROR(IF((_xlfn.XLOOKUP(CONT_SUP[[#This Row],[PayScaleGradeCode]],GRADES[PayScaleGradeCode],GRADES[PayScaleCode])=CONT_SUP[[#This Row],[PayScaleCode]]),0,1)),1,0)</f>
        <v>0</v>
      </c>
      <c r="I118" s="57" cm="1">
        <f t="array" ref="I118">IF(ISERROR(FIND(CONT_SUP[[#This Row],[PayScalePointCode]],_xlfn.TEXTJOIN(",",TRUE,IF(PSPOINTS[PayScaleCode]=CONT_SUP[[#This Row],[PayScaleCode]],PSPOINTS[PayScalePointCode])))),1,0)</f>
        <v>0</v>
      </c>
      <c r="J118" s="57" cm="1">
        <f t="array" ref="J11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18" s="57">
        <f>IF(_xlfn.XLOOKUP(CONT_SUP[[#This Row],[PayScalePointCode]],PSPOINTS[PayScalePointCode],PSPOINTS[PayScalePointEnabled])=TRUE,0,1)</f>
        <v>0</v>
      </c>
      <c r="L118" s="57" cm="1">
        <f t="array" ref="L118">IF(_xlfn.XLOOKUP(CONT_SUP[[#This Row],[DepartmentCode]],DEPTS[DepartmentCode],DEPTS[AvailableToAllSchools],1,0,)=TRUE,0,IF(ISERROR(FIND(CONT_SUP[[#This Row],[SchoolCode]],_xlfn.TEXTJOIN(",",TRUE,_xlfn.UNIQUE(IF(DEPTS[DepartmentCode]=CONT_SUP[[#This Row],[DepartmentCode]],DEPTS[SchoolCodes],""))))),1,0))</f>
        <v>0</v>
      </c>
      <c r="M118" s="57">
        <f>IFERROR(IF(_xlfn.XLOOKUP(CONT_SUP[[#This Row],[SRG Gross]],FinanceCodesBudget[FinanceCode],FinanceCodesBudget[LedgerCode])=_xlfn.XLOOKUP(CONT_SUP[[#This Row],[DepartmentCode]],DEPTS[DepartmentCode],DEPTS[LedgerCode]),0,1),1)</f>
        <v>0</v>
      </c>
      <c r="N118" s="57" cm="1">
        <f t="array" ref="N118">IF(_xlfn.XLOOKUP(CONT_SUP[[#This Row],[PensionCode]],PENS[PensionCode],PENS[AvailableToAllSchools],1,0,)=TRUE,0,IF(ISERROR(FIND(CONT_SUP[[#This Row],[SchoolCode]],_xlfn.TEXTJOIN(",",TRUE,_xlfn.UNIQUE(IF(PENS[PensionCode]=CONT_SUP[[#This Row],[PensionCode]],PENS[SchoolCodes],""))))),1,0))</f>
        <v>0</v>
      </c>
      <c r="O118" s="57" cm="1">
        <f t="array" ref="O118">IF(_xlfn.XLOOKUP(CONT_SUP[[#This Row],[EquatedWeekPatternCode]],EQW[EquatedWeekPatternCode],EQW[AvailableToAllSchools],1,0,)=TRUE,0,IF(ISERROR(FIND(CONT_SUP[[#This Row],[SchoolCode]],_xlfn.TEXTJOIN(",",TRUE,_xlfn.UNIQUE(IF(EQW[EquatedWeekPatternCode]=CONT_SUP[[#This Row],[EquatedWeekPatternCode]],EQW[SchoolCodes],""))))),1,0))</f>
        <v>0</v>
      </c>
      <c r="P118" s="57">
        <f>1-COUNTIF(ContractTypes[Code],CONT_SUP[[#This Row],[ContractTypeCode]])</f>
        <v>0</v>
      </c>
      <c r="Q118" s="57">
        <f>IF(VLOOKUP(CONT_SUP[[#This Row],[StaffMemberCode]],MEMBERS[[StaffMemberCode]:[ServiceStartDate]],5,0)&gt;CONT_SUP[[#This Row],[DateFrom]],1,0)</f>
        <v>0</v>
      </c>
      <c r="R118" s="57">
        <f>IF(_xlfn.XLOOKUP(CONT_SUP[[#This Row],[StaffMemberCode]],MEMBERS[StaffMemberCode],MEMBERS[ServiceEndDate])="",0,IF(CONT_SUP[[#This Row],[DateTo]]="",1,IF(_xlfn.XLOOKUP(CONT_SUP[[#This Row],[StaffMemberCode]],MEMBERS[StaffMemberCode],MEMBERS[ServiceEndDate])&lt;CONT_SUP[[#This Row],[DateTo]],1,0)))</f>
        <v>0</v>
      </c>
      <c r="S118" s="57">
        <f>IF(ISBLANK(CONT_SUP[[#This Row],[DateTo]]),0,IF(CONT_SUP[[#This Row],[DateFrom]]=CONT_SUP[[#This Row],[DateTo]],0,IF(CONT_SUP[[#This Row],[DateFrom]]&lt;CONT_SUP[[#This Row],[DateTo]],0,1)))</f>
        <v>0</v>
      </c>
      <c r="T118" s="57" cm="1">
        <f t="array" aca="1" ref="T118" ca="1">IF(CELL("format",CONT_SUP[[#This Row],[DateFrom]])="D1",0,1)+IF(CELL("format",CONT_SUP[[#This Row],[DateTo]])="D1",0,1)</f>
        <v>0</v>
      </c>
      <c r="U118" s="57">
        <f>IF(OR(CONT_SUP[[#This Row],[MatEditOnly]]=TRUE,CONT_SUP[[#This Row],[MatEditOnly]]=FALSE),IF(OR(CONT_SUP[[#This Row],[NoIncrement]]=TRUE,CONT_SUP[[#This Row],[NoIncrement]]=FALSE),0,1),1)</f>
        <v>0</v>
      </c>
      <c r="V118" s="57">
        <f>IF(ISBLANK(CONT_SUP[[#This Row],[FundCode]])=TRUE,0,IF(COUNTIF(FUNDS[FundCode],CONT_SUP[[#This Row],[FundCode]])=1,0,1))</f>
        <v>0</v>
      </c>
      <c r="W118" s="57">
        <f>IF(LEN(CONT_SUP[[#This Row],[Notes]])&lt;4000,0,1)</f>
        <v>0</v>
      </c>
      <c r="X118" s="57">
        <f>IF(SUBSTITUTE(TEXT(CONT_SUP[[#This Row],[Reference]],10)," ","")=TEXT(CONT_SUP[[#This Row],[Reference]],10),0,1)</f>
        <v>0</v>
      </c>
      <c r="Y118" s="57">
        <f ca="1">SUM(CONT_SUP[[#This Row],[Duplicate Contract]:[Space in Code]])</f>
        <v>0</v>
      </c>
      <c r="AA118" s="12" t="s">
        <v>2200</v>
      </c>
      <c r="AB118" s="12">
        <v>91075778</v>
      </c>
      <c r="AC118" s="12" t="s">
        <v>4714</v>
      </c>
      <c r="AD118" s="57" t="str">
        <f>_xlfn.XLOOKUP(CONT_SUP[[#This Row],[StaffMemberCode]],StaffMembers!O:O,StaffMembers!R:R)</f>
        <v>Amy Katterloher</v>
      </c>
      <c r="AE118" s="12" t="s">
        <v>4307</v>
      </c>
      <c r="AF118" s="57">
        <f>_xlfn.XLOOKUP(CONT_SUP[[#This Row],[SRG]],SRG[StaffRoleGroupCode],SRG[GrossSalaryFinanceCode])</f>
        <v>635100</v>
      </c>
      <c r="AG118" s="57" t="str">
        <f>_xlfn.XLOOKUP(CONT_SUP[[#This Row],[StaffRoleCode]],ROLES[StaffRoleCode],ROLES[StaffRoleGroupCode])</f>
        <v>MDS</v>
      </c>
      <c r="AH118" s="57" t="str">
        <f>_xlfn.XLOOKUP(CONT_SUP[[#This Row],[StaffRoleCode]],ROLES[StaffRoleCode],ROLES[PayScaleCode])</f>
        <v>NJC_CHE</v>
      </c>
      <c r="AI118" s="12" t="s">
        <v>3120</v>
      </c>
      <c r="AJ118" s="12">
        <v>2</v>
      </c>
      <c r="AK118" s="12" t="s">
        <v>2488</v>
      </c>
      <c r="AM118" s="68" t="s">
        <v>3132</v>
      </c>
      <c r="AN118" s="12" t="s">
        <v>3134</v>
      </c>
      <c r="AO118" s="21">
        <v>45901</v>
      </c>
      <c r="AQ118" s="12">
        <v>3.75</v>
      </c>
      <c r="AR118" t="b">
        <v>0</v>
      </c>
      <c r="AS118" t="b">
        <v>0</v>
      </c>
      <c r="AT118" s="12" t="s">
        <v>1574</v>
      </c>
    </row>
    <row r="119" spans="1:46" x14ac:dyDescent="0.3">
      <c r="A119" s="57" t="str">
        <f t="shared" si="4"/>
        <v>WVP9107342991073429AMDASMID45901</v>
      </c>
      <c r="B119" s="57">
        <f>COUNTIF(CONT_SUP[Unique Contract],CONT_SUP[[#This Row],[Unique Contract]])-1</f>
        <v>0</v>
      </c>
      <c r="C119" s="57">
        <f>IFERROR(IF(FIND(CONT_SUP[[#This Row],[SchoolCode]],_xlfn.XLOOKUP(CONT_SUP[[#This Row],[StaffMemberCode]],MEMBERS[StaffMemberCode],MEMBERS[SchoolCodes]))&gt;0,0,1),1)</f>
        <v>0</v>
      </c>
      <c r="D119" s="57" cm="1">
        <f t="array" ref="D119">IF(_xlfn.XLOOKUP(CONT_SUP[[#This Row],[StaffRoleCode]],ROLES[StaffRoleCode],ROLES[AvailableToAllSchools],1,0,)=TRUE,0,IF(ISERROR(FIND(CONT_SUP[[#This Row],[SchoolCode]],_xlfn.TEXTJOIN(",",TRUE,_xlfn.UNIQUE(IF(ROLES[StaffRoleCode]=CONT_SUP[[#This Row],[StaffRoleCode]],ROLES[SchoolCodes],""))))),1,0))</f>
        <v>0</v>
      </c>
      <c r="E119" s="57" cm="1">
        <f t="array" ref="E11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19" s="57" cm="1">
        <f t="array" ref="F119">IF(_xlfn.XLOOKUP(CONT_SUP[[#This Row],[PayScaleCode]],PAYSCALES[PayScaleCode],PAYSCALES[AvailableToAllSchools],1,0,)=TRUE,0,IF(ISERROR(FIND(CONT_SUP[[#This Row],[SchoolCode]],_xlfn.TEXTJOIN(",",TRUE,_xlfn.UNIQUE(IF(PAYSCALES[PayScaleCode]=CONT_SUP[[#This Row],[PayScaleCode]],PAYSCALES[SchoolCodes],""))))),1,0))</f>
        <v>0</v>
      </c>
      <c r="G119" s="57">
        <f>IF(_xlfn.XLOOKUP(CONT_SUP[[#This Row],[PayScaleGradeCode]],GRADES[PayScaleGradeCode],GRADES[AvailableToAllSchools])=TRUE,0,IFERROR(IF(FIND(CONT_SUP[[#This Row],[SchoolCode]],_xlfn.XLOOKUP(CONT_SUP[[#This Row],[PayScaleGradeCode]],GRADES[PayScaleGradeCode],GRADES[SchoolCodes]))&gt;=1,0,1),1))</f>
        <v>0</v>
      </c>
      <c r="H119" s="57">
        <f>IF(ISERROR(IF((_xlfn.XLOOKUP(CONT_SUP[[#This Row],[PayScaleGradeCode]],GRADES[PayScaleGradeCode],GRADES[PayScaleCode])=CONT_SUP[[#This Row],[PayScaleCode]]),0,1)),1,0)</f>
        <v>0</v>
      </c>
      <c r="I119" s="57" cm="1">
        <f t="array" ref="I119">IF(ISERROR(FIND(CONT_SUP[[#This Row],[PayScalePointCode]],_xlfn.TEXTJOIN(",",TRUE,IF(PSPOINTS[PayScaleCode]=CONT_SUP[[#This Row],[PayScaleCode]],PSPOINTS[PayScalePointCode])))),1,0)</f>
        <v>0</v>
      </c>
      <c r="J119" s="57" cm="1">
        <f t="array" ref="J11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19" s="57">
        <f>IF(_xlfn.XLOOKUP(CONT_SUP[[#This Row],[PayScalePointCode]],PSPOINTS[PayScalePointCode],PSPOINTS[PayScalePointEnabled])=TRUE,0,1)</f>
        <v>0</v>
      </c>
      <c r="L119" s="57" cm="1">
        <f t="array" ref="L119">IF(_xlfn.XLOOKUP(CONT_SUP[[#This Row],[DepartmentCode]],DEPTS[DepartmentCode],DEPTS[AvailableToAllSchools],1,0,)=TRUE,0,IF(ISERROR(FIND(CONT_SUP[[#This Row],[SchoolCode]],_xlfn.TEXTJOIN(",",TRUE,_xlfn.UNIQUE(IF(DEPTS[DepartmentCode]=CONT_SUP[[#This Row],[DepartmentCode]],DEPTS[SchoolCodes],""))))),1,0))</f>
        <v>0</v>
      </c>
      <c r="M119" s="57">
        <f>IFERROR(IF(_xlfn.XLOOKUP(CONT_SUP[[#This Row],[SRG Gross]],FinanceCodesBudget[FinanceCode],FinanceCodesBudget[LedgerCode])=_xlfn.XLOOKUP(CONT_SUP[[#This Row],[DepartmentCode]],DEPTS[DepartmentCode],DEPTS[LedgerCode]),0,1),1)</f>
        <v>0</v>
      </c>
      <c r="N119" s="57" cm="1">
        <f t="array" ref="N119">IF(_xlfn.XLOOKUP(CONT_SUP[[#This Row],[PensionCode]],PENS[PensionCode],PENS[AvailableToAllSchools],1,0,)=TRUE,0,IF(ISERROR(FIND(CONT_SUP[[#This Row],[SchoolCode]],_xlfn.TEXTJOIN(",",TRUE,_xlfn.UNIQUE(IF(PENS[PensionCode]=CONT_SUP[[#This Row],[PensionCode]],PENS[SchoolCodes],""))))),1,0))</f>
        <v>0</v>
      </c>
      <c r="O119" s="57" cm="1">
        <f t="array" ref="O119">IF(_xlfn.XLOOKUP(CONT_SUP[[#This Row],[EquatedWeekPatternCode]],EQW[EquatedWeekPatternCode],EQW[AvailableToAllSchools],1,0,)=TRUE,0,IF(ISERROR(FIND(CONT_SUP[[#This Row],[SchoolCode]],_xlfn.TEXTJOIN(",",TRUE,_xlfn.UNIQUE(IF(EQW[EquatedWeekPatternCode]=CONT_SUP[[#This Row],[EquatedWeekPatternCode]],EQW[SchoolCodes],""))))),1,0))</f>
        <v>0</v>
      </c>
      <c r="P119" s="57">
        <f>1-COUNTIF(ContractTypes[Code],CONT_SUP[[#This Row],[ContractTypeCode]])</f>
        <v>0</v>
      </c>
      <c r="Q119" s="57">
        <f>IF(VLOOKUP(CONT_SUP[[#This Row],[StaffMemberCode]],MEMBERS[[StaffMemberCode]:[ServiceStartDate]],5,0)&gt;CONT_SUP[[#This Row],[DateFrom]],1,0)</f>
        <v>0</v>
      </c>
      <c r="R119" s="57">
        <f>IF(_xlfn.XLOOKUP(CONT_SUP[[#This Row],[StaffMemberCode]],MEMBERS[StaffMemberCode],MEMBERS[ServiceEndDate])="",0,IF(CONT_SUP[[#This Row],[DateTo]]="",1,IF(_xlfn.XLOOKUP(CONT_SUP[[#This Row],[StaffMemberCode]],MEMBERS[StaffMemberCode],MEMBERS[ServiceEndDate])&lt;CONT_SUP[[#This Row],[DateTo]],1,0)))</f>
        <v>0</v>
      </c>
      <c r="S119" s="57">
        <f>IF(ISBLANK(CONT_SUP[[#This Row],[DateTo]]),0,IF(CONT_SUP[[#This Row],[DateFrom]]=CONT_SUP[[#This Row],[DateTo]],0,IF(CONT_SUP[[#This Row],[DateFrom]]&lt;CONT_SUP[[#This Row],[DateTo]],0,1)))</f>
        <v>0</v>
      </c>
      <c r="T119" s="57" cm="1">
        <f t="array" aca="1" ref="T119" ca="1">IF(CELL("format",CONT_SUP[[#This Row],[DateFrom]])="D1",0,1)+IF(CELL("format",CONT_SUP[[#This Row],[DateTo]])="D1",0,1)</f>
        <v>0</v>
      </c>
      <c r="U119" s="57">
        <f>IF(OR(CONT_SUP[[#This Row],[MatEditOnly]]=TRUE,CONT_SUP[[#This Row],[MatEditOnly]]=FALSE),IF(OR(CONT_SUP[[#This Row],[NoIncrement]]=TRUE,CONT_SUP[[#This Row],[NoIncrement]]=FALSE),0,1),1)</f>
        <v>0</v>
      </c>
      <c r="V119" s="57">
        <f>IF(ISBLANK(CONT_SUP[[#This Row],[FundCode]])=TRUE,0,IF(COUNTIF(FUNDS[FundCode],CONT_SUP[[#This Row],[FundCode]])=1,0,1))</f>
        <v>0</v>
      </c>
      <c r="W119" s="57">
        <f>IF(LEN(CONT_SUP[[#This Row],[Notes]])&lt;4000,0,1)</f>
        <v>0</v>
      </c>
      <c r="X119" s="57">
        <f>IF(SUBSTITUTE(TEXT(CONT_SUP[[#This Row],[Reference]],10)," ","")=TEXT(CONT_SUP[[#This Row],[Reference]],10),0,1)</f>
        <v>0</v>
      </c>
      <c r="Y119" s="57">
        <f ca="1">SUM(CONT_SUP[[#This Row],[Duplicate Contract]:[Space in Code]])</f>
        <v>0</v>
      </c>
      <c r="AA119" s="12" t="s">
        <v>2275</v>
      </c>
      <c r="AB119" s="12">
        <v>91073429</v>
      </c>
      <c r="AC119" s="12" t="s">
        <v>4715</v>
      </c>
      <c r="AD119" s="57" t="str">
        <f>_xlfn.XLOOKUP(CONT_SUP[[#This Row],[StaffMemberCode]],StaffMembers!O:O,StaffMembers!R:R)</f>
        <v>Angela Platt</v>
      </c>
      <c r="AE119" s="12" t="s">
        <v>4307</v>
      </c>
      <c r="AF119" s="57">
        <f>_xlfn.XLOOKUP(CONT_SUP[[#This Row],[SRG]],SRG[StaffRoleGroupCode],SRG[GrossSalaryFinanceCode])</f>
        <v>635100</v>
      </c>
      <c r="AG119" s="57" t="str">
        <f>_xlfn.XLOOKUP(CONT_SUP[[#This Row],[StaffRoleCode]],ROLES[StaffRoleCode],ROLES[StaffRoleGroupCode])</f>
        <v>MDS</v>
      </c>
      <c r="AH119" s="57" t="str">
        <f>_xlfn.XLOOKUP(CONT_SUP[[#This Row],[StaffRoleCode]],ROLES[StaffRoleCode],ROLES[PayScaleCode])</f>
        <v>NJC_CHE</v>
      </c>
      <c r="AI119" s="12" t="s">
        <v>3120</v>
      </c>
      <c r="AJ119" s="12">
        <v>2</v>
      </c>
      <c r="AK119" s="12" t="s">
        <v>2488</v>
      </c>
      <c r="AM119" s="68" t="s">
        <v>3132</v>
      </c>
      <c r="AN119" s="12" t="s">
        <v>3134</v>
      </c>
      <c r="AO119" s="21">
        <v>45901</v>
      </c>
      <c r="AQ119" s="12">
        <v>8.75</v>
      </c>
      <c r="AR119" t="b">
        <v>0</v>
      </c>
      <c r="AS119" t="b">
        <v>0</v>
      </c>
      <c r="AT119" s="12" t="s">
        <v>1574</v>
      </c>
    </row>
    <row r="120" spans="1:46" x14ac:dyDescent="0.3">
      <c r="A120" s="57" t="str">
        <f t="shared" si="4"/>
        <v>WVP9107340391073403AMDASMID45901</v>
      </c>
      <c r="B120" s="57">
        <f>COUNTIF(CONT_SUP[Unique Contract],CONT_SUP[[#This Row],[Unique Contract]])-1</f>
        <v>0</v>
      </c>
      <c r="C120" s="57">
        <f>IFERROR(IF(FIND(CONT_SUP[[#This Row],[SchoolCode]],_xlfn.XLOOKUP(CONT_SUP[[#This Row],[StaffMemberCode]],MEMBERS[StaffMemberCode],MEMBERS[SchoolCodes]))&gt;0,0,1),1)</f>
        <v>0</v>
      </c>
      <c r="D120" s="57" cm="1">
        <f t="array" ref="D120">IF(_xlfn.XLOOKUP(CONT_SUP[[#This Row],[StaffRoleCode]],ROLES[StaffRoleCode],ROLES[AvailableToAllSchools],1,0,)=TRUE,0,IF(ISERROR(FIND(CONT_SUP[[#This Row],[SchoolCode]],_xlfn.TEXTJOIN(",",TRUE,_xlfn.UNIQUE(IF(ROLES[StaffRoleCode]=CONT_SUP[[#This Row],[StaffRoleCode]],ROLES[SchoolCodes],""))))),1,0))</f>
        <v>0</v>
      </c>
      <c r="E120" s="57" cm="1">
        <f t="array" ref="E12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20" s="57" cm="1">
        <f t="array" ref="F120">IF(_xlfn.XLOOKUP(CONT_SUP[[#This Row],[PayScaleCode]],PAYSCALES[PayScaleCode],PAYSCALES[AvailableToAllSchools],1,0,)=TRUE,0,IF(ISERROR(FIND(CONT_SUP[[#This Row],[SchoolCode]],_xlfn.TEXTJOIN(",",TRUE,_xlfn.UNIQUE(IF(PAYSCALES[PayScaleCode]=CONT_SUP[[#This Row],[PayScaleCode]],PAYSCALES[SchoolCodes],""))))),1,0))</f>
        <v>0</v>
      </c>
      <c r="G120" s="57">
        <f>IF(_xlfn.XLOOKUP(CONT_SUP[[#This Row],[PayScaleGradeCode]],GRADES[PayScaleGradeCode],GRADES[AvailableToAllSchools])=TRUE,0,IFERROR(IF(FIND(CONT_SUP[[#This Row],[SchoolCode]],_xlfn.XLOOKUP(CONT_SUP[[#This Row],[PayScaleGradeCode]],GRADES[PayScaleGradeCode],GRADES[SchoolCodes]))&gt;=1,0,1),1))</f>
        <v>0</v>
      </c>
      <c r="H120" s="57">
        <f>IF(ISERROR(IF((_xlfn.XLOOKUP(CONT_SUP[[#This Row],[PayScaleGradeCode]],GRADES[PayScaleGradeCode],GRADES[PayScaleCode])=CONT_SUP[[#This Row],[PayScaleCode]]),0,1)),1,0)</f>
        <v>0</v>
      </c>
      <c r="I120" s="57" cm="1">
        <f t="array" ref="I120">IF(ISERROR(FIND(CONT_SUP[[#This Row],[PayScalePointCode]],_xlfn.TEXTJOIN(",",TRUE,IF(PSPOINTS[PayScaleCode]=CONT_SUP[[#This Row],[PayScaleCode]],PSPOINTS[PayScalePointCode])))),1,0)</f>
        <v>0</v>
      </c>
      <c r="J120" s="57" cm="1">
        <f t="array" ref="J12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20" s="57">
        <f>IF(_xlfn.XLOOKUP(CONT_SUP[[#This Row],[PayScalePointCode]],PSPOINTS[PayScalePointCode],PSPOINTS[PayScalePointEnabled])=TRUE,0,1)</f>
        <v>0</v>
      </c>
      <c r="L120" s="57" cm="1">
        <f t="array" ref="L120">IF(_xlfn.XLOOKUP(CONT_SUP[[#This Row],[DepartmentCode]],DEPTS[DepartmentCode],DEPTS[AvailableToAllSchools],1,0,)=TRUE,0,IF(ISERROR(FIND(CONT_SUP[[#This Row],[SchoolCode]],_xlfn.TEXTJOIN(",",TRUE,_xlfn.UNIQUE(IF(DEPTS[DepartmentCode]=CONT_SUP[[#This Row],[DepartmentCode]],DEPTS[SchoolCodes],""))))),1,0))</f>
        <v>0</v>
      </c>
      <c r="M120" s="57">
        <f>IFERROR(IF(_xlfn.XLOOKUP(CONT_SUP[[#This Row],[SRG Gross]],FinanceCodesBudget[FinanceCode],FinanceCodesBudget[LedgerCode])=_xlfn.XLOOKUP(CONT_SUP[[#This Row],[DepartmentCode]],DEPTS[DepartmentCode],DEPTS[LedgerCode]),0,1),1)</f>
        <v>0</v>
      </c>
      <c r="N120" s="57" cm="1">
        <f t="array" ref="N120">IF(_xlfn.XLOOKUP(CONT_SUP[[#This Row],[PensionCode]],PENS[PensionCode],PENS[AvailableToAllSchools],1,0,)=TRUE,0,IF(ISERROR(FIND(CONT_SUP[[#This Row],[SchoolCode]],_xlfn.TEXTJOIN(",",TRUE,_xlfn.UNIQUE(IF(PENS[PensionCode]=CONT_SUP[[#This Row],[PensionCode]],PENS[SchoolCodes],""))))),1,0))</f>
        <v>0</v>
      </c>
      <c r="O120" s="57" cm="1">
        <f t="array" ref="O120">IF(_xlfn.XLOOKUP(CONT_SUP[[#This Row],[EquatedWeekPatternCode]],EQW[EquatedWeekPatternCode],EQW[AvailableToAllSchools],1,0,)=TRUE,0,IF(ISERROR(FIND(CONT_SUP[[#This Row],[SchoolCode]],_xlfn.TEXTJOIN(",",TRUE,_xlfn.UNIQUE(IF(EQW[EquatedWeekPatternCode]=CONT_SUP[[#This Row],[EquatedWeekPatternCode]],EQW[SchoolCodes],""))))),1,0))</f>
        <v>0</v>
      </c>
      <c r="P120" s="57">
        <f>1-COUNTIF(ContractTypes[Code],CONT_SUP[[#This Row],[ContractTypeCode]])</f>
        <v>0</v>
      </c>
      <c r="Q120" s="57">
        <f>IF(VLOOKUP(CONT_SUP[[#This Row],[StaffMemberCode]],MEMBERS[[StaffMemberCode]:[ServiceStartDate]],5,0)&gt;CONT_SUP[[#This Row],[DateFrom]],1,0)</f>
        <v>0</v>
      </c>
      <c r="R120" s="57">
        <f>IF(_xlfn.XLOOKUP(CONT_SUP[[#This Row],[StaffMemberCode]],MEMBERS[StaffMemberCode],MEMBERS[ServiceEndDate])="",0,IF(CONT_SUP[[#This Row],[DateTo]]="",1,IF(_xlfn.XLOOKUP(CONT_SUP[[#This Row],[StaffMemberCode]],MEMBERS[StaffMemberCode],MEMBERS[ServiceEndDate])&lt;CONT_SUP[[#This Row],[DateTo]],1,0)))</f>
        <v>0</v>
      </c>
      <c r="S120" s="57">
        <f>IF(ISBLANK(CONT_SUP[[#This Row],[DateTo]]),0,IF(CONT_SUP[[#This Row],[DateFrom]]=CONT_SUP[[#This Row],[DateTo]],0,IF(CONT_SUP[[#This Row],[DateFrom]]&lt;CONT_SUP[[#This Row],[DateTo]],0,1)))</f>
        <v>0</v>
      </c>
      <c r="T120" s="57" cm="1">
        <f t="array" aca="1" ref="T120" ca="1">IF(CELL("format",CONT_SUP[[#This Row],[DateFrom]])="D1",0,1)+IF(CELL("format",CONT_SUP[[#This Row],[DateTo]])="D1",0,1)</f>
        <v>0</v>
      </c>
      <c r="U120" s="57">
        <f>IF(OR(CONT_SUP[[#This Row],[MatEditOnly]]=TRUE,CONT_SUP[[#This Row],[MatEditOnly]]=FALSE),IF(OR(CONT_SUP[[#This Row],[NoIncrement]]=TRUE,CONT_SUP[[#This Row],[NoIncrement]]=FALSE),0,1),1)</f>
        <v>0</v>
      </c>
      <c r="V120" s="57">
        <f>IF(ISBLANK(CONT_SUP[[#This Row],[FundCode]])=TRUE,0,IF(COUNTIF(FUNDS[FundCode],CONT_SUP[[#This Row],[FundCode]])=1,0,1))</f>
        <v>0</v>
      </c>
      <c r="W120" s="57">
        <f>IF(LEN(CONT_SUP[[#This Row],[Notes]])&lt;4000,0,1)</f>
        <v>0</v>
      </c>
      <c r="X120" s="57">
        <f>IF(SUBSTITUTE(TEXT(CONT_SUP[[#This Row],[Reference]],10)," ","")=TEXT(CONT_SUP[[#This Row],[Reference]],10),0,1)</f>
        <v>0</v>
      </c>
      <c r="Y120" s="57">
        <f ca="1">SUM(CONT_SUP[[#This Row],[Duplicate Contract]:[Space in Code]])</f>
        <v>0</v>
      </c>
      <c r="AA120" s="12" t="s">
        <v>2275</v>
      </c>
      <c r="AB120" s="12">
        <v>91073403</v>
      </c>
      <c r="AC120" s="12" t="s">
        <v>4716</v>
      </c>
      <c r="AD120" s="57" t="str">
        <f>_xlfn.XLOOKUP(CONT_SUP[[#This Row],[StaffMemberCode]],StaffMembers!O:O,StaffMembers!R:R)</f>
        <v>Ann Ansell</v>
      </c>
      <c r="AE120" s="12" t="s">
        <v>4307</v>
      </c>
      <c r="AF120" s="57">
        <f>_xlfn.XLOOKUP(CONT_SUP[[#This Row],[SRG]],SRG[StaffRoleGroupCode],SRG[GrossSalaryFinanceCode])</f>
        <v>635100</v>
      </c>
      <c r="AG120" s="57" t="str">
        <f>_xlfn.XLOOKUP(CONT_SUP[[#This Row],[StaffRoleCode]],ROLES[StaffRoleCode],ROLES[StaffRoleGroupCode])</f>
        <v>MDS</v>
      </c>
      <c r="AH120" s="57" t="str">
        <f>_xlfn.XLOOKUP(CONT_SUP[[#This Row],[StaffRoleCode]],ROLES[StaffRoleCode],ROLES[PayScaleCode])</f>
        <v>NJC_CHE</v>
      </c>
      <c r="AI120" s="12" t="s">
        <v>3120</v>
      </c>
      <c r="AJ120" s="12">
        <v>2</v>
      </c>
      <c r="AK120" s="12" t="s">
        <v>2488</v>
      </c>
      <c r="AM120" s="68" t="s">
        <v>1149</v>
      </c>
      <c r="AN120" s="12" t="s">
        <v>3134</v>
      </c>
      <c r="AO120" s="21">
        <v>45901</v>
      </c>
      <c r="AQ120" s="12">
        <v>8.75</v>
      </c>
      <c r="AR120" t="b">
        <v>0</v>
      </c>
      <c r="AS120" t="b">
        <v>0</v>
      </c>
      <c r="AT120" s="12" t="s">
        <v>1574</v>
      </c>
    </row>
    <row r="121" spans="1:46" x14ac:dyDescent="0.3">
      <c r="A121" s="57" t="str">
        <f t="shared" si="4"/>
        <v>PTP9133032791330327AMDASMID45901</v>
      </c>
      <c r="B121" s="57">
        <f>COUNTIF(CONT_SUP[Unique Contract],CONT_SUP[[#This Row],[Unique Contract]])-1</f>
        <v>0</v>
      </c>
      <c r="C121" s="57">
        <f>IFERROR(IF(FIND(CONT_SUP[[#This Row],[SchoolCode]],_xlfn.XLOOKUP(CONT_SUP[[#This Row],[StaffMemberCode]],MEMBERS[StaffMemberCode],MEMBERS[SchoolCodes]))&gt;0,0,1),1)</f>
        <v>0</v>
      </c>
      <c r="D121" s="57" cm="1">
        <f t="array" ref="D121">IF(_xlfn.XLOOKUP(CONT_SUP[[#This Row],[StaffRoleCode]],ROLES[StaffRoleCode],ROLES[AvailableToAllSchools],1,0,)=TRUE,0,IF(ISERROR(FIND(CONT_SUP[[#This Row],[SchoolCode]],_xlfn.TEXTJOIN(",",TRUE,_xlfn.UNIQUE(IF(ROLES[StaffRoleCode]=CONT_SUP[[#This Row],[StaffRoleCode]],ROLES[SchoolCodes],""))))),1,0))</f>
        <v>0</v>
      </c>
      <c r="E121" s="57" cm="1">
        <f t="array" ref="E12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21" s="57" cm="1">
        <f t="array" ref="F121">IF(_xlfn.XLOOKUP(CONT_SUP[[#This Row],[PayScaleCode]],PAYSCALES[PayScaleCode],PAYSCALES[AvailableToAllSchools],1,0,)=TRUE,0,IF(ISERROR(FIND(CONT_SUP[[#This Row],[SchoolCode]],_xlfn.TEXTJOIN(",",TRUE,_xlfn.UNIQUE(IF(PAYSCALES[PayScaleCode]=CONT_SUP[[#This Row],[PayScaleCode]],PAYSCALES[SchoolCodes],""))))),1,0))</f>
        <v>0</v>
      </c>
      <c r="G121" s="57">
        <f>IF(_xlfn.XLOOKUP(CONT_SUP[[#This Row],[PayScaleGradeCode]],GRADES[PayScaleGradeCode],GRADES[AvailableToAllSchools])=TRUE,0,IFERROR(IF(FIND(CONT_SUP[[#This Row],[SchoolCode]],_xlfn.XLOOKUP(CONT_SUP[[#This Row],[PayScaleGradeCode]],GRADES[PayScaleGradeCode],GRADES[SchoolCodes]))&gt;=1,0,1),1))</f>
        <v>0</v>
      </c>
      <c r="H121" s="57">
        <f>IF(ISERROR(IF((_xlfn.XLOOKUP(CONT_SUP[[#This Row],[PayScaleGradeCode]],GRADES[PayScaleGradeCode],GRADES[PayScaleCode])=CONT_SUP[[#This Row],[PayScaleCode]]),0,1)),1,0)</f>
        <v>0</v>
      </c>
      <c r="I121" s="57" cm="1">
        <f t="array" ref="I121">IF(ISERROR(FIND(CONT_SUP[[#This Row],[PayScalePointCode]],_xlfn.TEXTJOIN(",",TRUE,IF(PSPOINTS[PayScaleCode]=CONT_SUP[[#This Row],[PayScaleCode]],PSPOINTS[PayScalePointCode])))),1,0)</f>
        <v>0</v>
      </c>
      <c r="J121" s="57" cm="1">
        <f t="array" ref="J12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21" s="57">
        <f>IF(_xlfn.XLOOKUP(CONT_SUP[[#This Row],[PayScalePointCode]],PSPOINTS[PayScalePointCode],PSPOINTS[PayScalePointEnabled])=TRUE,0,1)</f>
        <v>0</v>
      </c>
      <c r="L121" s="57" cm="1">
        <f t="array" ref="L121">IF(_xlfn.XLOOKUP(CONT_SUP[[#This Row],[DepartmentCode]],DEPTS[DepartmentCode],DEPTS[AvailableToAllSchools],1,0,)=TRUE,0,IF(ISERROR(FIND(CONT_SUP[[#This Row],[SchoolCode]],_xlfn.TEXTJOIN(",",TRUE,_xlfn.UNIQUE(IF(DEPTS[DepartmentCode]=CONT_SUP[[#This Row],[DepartmentCode]],DEPTS[SchoolCodes],""))))),1,0))</f>
        <v>0</v>
      </c>
      <c r="M121" s="57">
        <f>IFERROR(IF(_xlfn.XLOOKUP(CONT_SUP[[#This Row],[SRG Gross]],FinanceCodesBudget[FinanceCode],FinanceCodesBudget[LedgerCode])=_xlfn.XLOOKUP(CONT_SUP[[#This Row],[DepartmentCode]],DEPTS[DepartmentCode],DEPTS[LedgerCode]),0,1),1)</f>
        <v>0</v>
      </c>
      <c r="N121" s="57" cm="1">
        <f t="array" ref="N121">IF(_xlfn.XLOOKUP(CONT_SUP[[#This Row],[PensionCode]],PENS[PensionCode],PENS[AvailableToAllSchools],1,0,)=TRUE,0,IF(ISERROR(FIND(CONT_SUP[[#This Row],[SchoolCode]],_xlfn.TEXTJOIN(",",TRUE,_xlfn.UNIQUE(IF(PENS[PensionCode]=CONT_SUP[[#This Row],[PensionCode]],PENS[SchoolCodes],""))))),1,0))</f>
        <v>0</v>
      </c>
      <c r="O121" s="57" cm="1">
        <f t="array" ref="O121">IF(_xlfn.XLOOKUP(CONT_SUP[[#This Row],[EquatedWeekPatternCode]],EQW[EquatedWeekPatternCode],EQW[AvailableToAllSchools],1,0,)=TRUE,0,IF(ISERROR(FIND(CONT_SUP[[#This Row],[SchoolCode]],_xlfn.TEXTJOIN(",",TRUE,_xlfn.UNIQUE(IF(EQW[EquatedWeekPatternCode]=CONT_SUP[[#This Row],[EquatedWeekPatternCode]],EQW[SchoolCodes],""))))),1,0))</f>
        <v>0</v>
      </c>
      <c r="P121" s="57">
        <f>1-COUNTIF(ContractTypes[Code],CONT_SUP[[#This Row],[ContractTypeCode]])</f>
        <v>0</v>
      </c>
      <c r="Q121" s="57">
        <f>IF(VLOOKUP(CONT_SUP[[#This Row],[StaffMemberCode]],MEMBERS[[StaffMemberCode]:[ServiceStartDate]],5,0)&gt;CONT_SUP[[#This Row],[DateFrom]],1,0)</f>
        <v>0</v>
      </c>
      <c r="R121" s="57">
        <f>IF(_xlfn.XLOOKUP(CONT_SUP[[#This Row],[StaffMemberCode]],MEMBERS[StaffMemberCode],MEMBERS[ServiceEndDate])="",0,IF(CONT_SUP[[#This Row],[DateTo]]="",1,IF(_xlfn.XLOOKUP(CONT_SUP[[#This Row],[StaffMemberCode]],MEMBERS[StaffMemberCode],MEMBERS[ServiceEndDate])&lt;CONT_SUP[[#This Row],[DateTo]],1,0)))</f>
        <v>0</v>
      </c>
      <c r="S121" s="57">
        <f>IF(ISBLANK(CONT_SUP[[#This Row],[DateTo]]),0,IF(CONT_SUP[[#This Row],[DateFrom]]=CONT_SUP[[#This Row],[DateTo]],0,IF(CONT_SUP[[#This Row],[DateFrom]]&lt;CONT_SUP[[#This Row],[DateTo]],0,1)))</f>
        <v>0</v>
      </c>
      <c r="T121" s="57" cm="1">
        <f t="array" aca="1" ref="T121" ca="1">IF(CELL("format",CONT_SUP[[#This Row],[DateFrom]])="D1",0,1)+IF(CELL("format",CONT_SUP[[#This Row],[DateTo]])="D1",0,1)</f>
        <v>0</v>
      </c>
      <c r="U121" s="57">
        <f>IF(OR(CONT_SUP[[#This Row],[MatEditOnly]]=TRUE,CONT_SUP[[#This Row],[MatEditOnly]]=FALSE),IF(OR(CONT_SUP[[#This Row],[NoIncrement]]=TRUE,CONT_SUP[[#This Row],[NoIncrement]]=FALSE),0,1),1)</f>
        <v>0</v>
      </c>
      <c r="V121" s="57">
        <f>IF(ISBLANK(CONT_SUP[[#This Row],[FundCode]])=TRUE,0,IF(COUNTIF(FUNDS[FundCode],CONT_SUP[[#This Row],[FundCode]])=1,0,1))</f>
        <v>0</v>
      </c>
      <c r="W121" s="57">
        <f>IF(LEN(CONT_SUP[[#This Row],[Notes]])&lt;4000,0,1)</f>
        <v>0</v>
      </c>
      <c r="X121" s="57">
        <f>IF(SUBSTITUTE(TEXT(CONT_SUP[[#This Row],[Reference]],10)," ","")=TEXT(CONT_SUP[[#This Row],[Reference]],10),0,1)</f>
        <v>0</v>
      </c>
      <c r="Y121" s="57">
        <f ca="1">SUM(CONT_SUP[[#This Row],[Duplicate Contract]:[Space in Code]])</f>
        <v>0</v>
      </c>
      <c r="AA121" s="12" t="s">
        <v>2299</v>
      </c>
      <c r="AB121" s="12">
        <v>91330327</v>
      </c>
      <c r="AC121" s="12" t="s">
        <v>4717</v>
      </c>
      <c r="AD121" s="57" t="str">
        <f>_xlfn.XLOOKUP(CONT_SUP[[#This Row],[StaffMemberCode]],StaffMembers!O:O,StaffMembers!R:R)</f>
        <v>Christina Barrow</v>
      </c>
      <c r="AE121" s="12" t="s">
        <v>4307</v>
      </c>
      <c r="AF121" s="57">
        <f>_xlfn.XLOOKUP(CONT_SUP[[#This Row],[SRG]],SRG[StaffRoleGroupCode],SRG[GrossSalaryFinanceCode])</f>
        <v>635100</v>
      </c>
      <c r="AG121" s="57" t="str">
        <f>_xlfn.XLOOKUP(CONT_SUP[[#This Row],[StaffRoleCode]],ROLES[StaffRoleCode],ROLES[StaffRoleGroupCode])</f>
        <v>MDS</v>
      </c>
      <c r="AH121" s="57" t="str">
        <f>_xlfn.XLOOKUP(CONT_SUP[[#This Row],[StaffRoleCode]],ROLES[StaffRoleCode],ROLES[PayScaleCode])</f>
        <v>NJC_CHE</v>
      </c>
      <c r="AI121" s="12" t="s">
        <v>3120</v>
      </c>
      <c r="AJ121" s="12">
        <v>2</v>
      </c>
      <c r="AK121" s="12" t="s">
        <v>2488</v>
      </c>
      <c r="AM121" s="68" t="s">
        <v>3132</v>
      </c>
      <c r="AN121" s="12" t="s">
        <v>3134</v>
      </c>
      <c r="AO121" s="21">
        <v>45901</v>
      </c>
      <c r="AQ121" s="12">
        <v>7.5</v>
      </c>
      <c r="AR121" t="b">
        <v>0</v>
      </c>
      <c r="AS121" t="b">
        <v>0</v>
      </c>
      <c r="AT121" s="12" t="s">
        <v>1574</v>
      </c>
    </row>
    <row r="122" spans="1:46" x14ac:dyDescent="0.3">
      <c r="A122" s="57" t="str">
        <f t="shared" si="4"/>
        <v>HIG9107388891073888AMDASMID45901</v>
      </c>
      <c r="B122" s="57">
        <f>COUNTIF(CONT_SUP[Unique Contract],CONT_SUP[[#This Row],[Unique Contract]])-1</f>
        <v>0</v>
      </c>
      <c r="C122" s="57">
        <f>IFERROR(IF(FIND(CONT_SUP[[#This Row],[SchoolCode]],_xlfn.XLOOKUP(CONT_SUP[[#This Row],[StaffMemberCode]],MEMBERS[StaffMemberCode],MEMBERS[SchoolCodes]))&gt;0,0,1),1)</f>
        <v>0</v>
      </c>
      <c r="D122" s="57" cm="1">
        <f t="array" ref="D122">IF(_xlfn.XLOOKUP(CONT_SUP[[#This Row],[StaffRoleCode]],ROLES[StaffRoleCode],ROLES[AvailableToAllSchools],1,0,)=TRUE,0,IF(ISERROR(FIND(CONT_SUP[[#This Row],[SchoolCode]],_xlfn.TEXTJOIN(",",TRUE,_xlfn.UNIQUE(IF(ROLES[StaffRoleCode]=CONT_SUP[[#This Row],[StaffRoleCode]],ROLES[SchoolCodes],""))))),1,0))</f>
        <v>0</v>
      </c>
      <c r="E122" s="57" cm="1">
        <f t="array" ref="E12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22" s="57" cm="1">
        <f t="array" ref="F122">IF(_xlfn.XLOOKUP(CONT_SUP[[#This Row],[PayScaleCode]],PAYSCALES[PayScaleCode],PAYSCALES[AvailableToAllSchools],1,0,)=TRUE,0,IF(ISERROR(FIND(CONT_SUP[[#This Row],[SchoolCode]],_xlfn.TEXTJOIN(",",TRUE,_xlfn.UNIQUE(IF(PAYSCALES[PayScaleCode]=CONT_SUP[[#This Row],[PayScaleCode]],PAYSCALES[SchoolCodes],""))))),1,0))</f>
        <v>0</v>
      </c>
      <c r="G122" s="57">
        <f>IF(_xlfn.XLOOKUP(CONT_SUP[[#This Row],[PayScaleGradeCode]],GRADES[PayScaleGradeCode],GRADES[AvailableToAllSchools])=TRUE,0,IFERROR(IF(FIND(CONT_SUP[[#This Row],[SchoolCode]],_xlfn.XLOOKUP(CONT_SUP[[#This Row],[PayScaleGradeCode]],GRADES[PayScaleGradeCode],GRADES[SchoolCodes]))&gt;=1,0,1),1))</f>
        <v>0</v>
      </c>
      <c r="H122" s="57">
        <f>IF(ISERROR(IF((_xlfn.XLOOKUP(CONT_SUP[[#This Row],[PayScaleGradeCode]],GRADES[PayScaleGradeCode],GRADES[PayScaleCode])=CONT_SUP[[#This Row],[PayScaleCode]]),0,1)),1,0)</f>
        <v>0</v>
      </c>
      <c r="I122" s="57" cm="1">
        <f t="array" ref="I122">IF(ISERROR(FIND(CONT_SUP[[#This Row],[PayScalePointCode]],_xlfn.TEXTJOIN(",",TRUE,IF(PSPOINTS[PayScaleCode]=CONT_SUP[[#This Row],[PayScaleCode]],PSPOINTS[PayScalePointCode])))),1,0)</f>
        <v>0</v>
      </c>
      <c r="J122" s="57" cm="1">
        <f t="array" ref="J12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22" s="57">
        <f>IF(_xlfn.XLOOKUP(CONT_SUP[[#This Row],[PayScalePointCode]],PSPOINTS[PayScalePointCode],PSPOINTS[PayScalePointEnabled])=TRUE,0,1)</f>
        <v>0</v>
      </c>
      <c r="L122" s="57" cm="1">
        <f t="array" ref="L122">IF(_xlfn.XLOOKUP(CONT_SUP[[#This Row],[DepartmentCode]],DEPTS[DepartmentCode],DEPTS[AvailableToAllSchools],1,0,)=TRUE,0,IF(ISERROR(FIND(CONT_SUP[[#This Row],[SchoolCode]],_xlfn.TEXTJOIN(",",TRUE,_xlfn.UNIQUE(IF(DEPTS[DepartmentCode]=CONT_SUP[[#This Row],[DepartmentCode]],DEPTS[SchoolCodes],""))))),1,0))</f>
        <v>0</v>
      </c>
      <c r="M122" s="57">
        <f>IFERROR(IF(_xlfn.XLOOKUP(CONT_SUP[[#This Row],[SRG Gross]],FinanceCodesBudget[FinanceCode],FinanceCodesBudget[LedgerCode])=_xlfn.XLOOKUP(CONT_SUP[[#This Row],[DepartmentCode]],DEPTS[DepartmentCode],DEPTS[LedgerCode]),0,1),1)</f>
        <v>0</v>
      </c>
      <c r="N122" s="57" cm="1">
        <f t="array" ref="N122">IF(_xlfn.XLOOKUP(CONT_SUP[[#This Row],[PensionCode]],PENS[PensionCode],PENS[AvailableToAllSchools],1,0,)=TRUE,0,IF(ISERROR(FIND(CONT_SUP[[#This Row],[SchoolCode]],_xlfn.TEXTJOIN(",",TRUE,_xlfn.UNIQUE(IF(PENS[PensionCode]=CONT_SUP[[#This Row],[PensionCode]],PENS[SchoolCodes],""))))),1,0))</f>
        <v>0</v>
      </c>
      <c r="O122" s="57" cm="1">
        <f t="array" ref="O122">IF(_xlfn.XLOOKUP(CONT_SUP[[#This Row],[EquatedWeekPatternCode]],EQW[EquatedWeekPatternCode],EQW[AvailableToAllSchools],1,0,)=TRUE,0,IF(ISERROR(FIND(CONT_SUP[[#This Row],[SchoolCode]],_xlfn.TEXTJOIN(",",TRUE,_xlfn.UNIQUE(IF(EQW[EquatedWeekPatternCode]=CONT_SUP[[#This Row],[EquatedWeekPatternCode]],EQW[SchoolCodes],""))))),1,0))</f>
        <v>0</v>
      </c>
      <c r="P122" s="57">
        <f>1-COUNTIF(ContractTypes[Code],CONT_SUP[[#This Row],[ContractTypeCode]])</f>
        <v>0</v>
      </c>
      <c r="Q122" s="57">
        <f>IF(VLOOKUP(CONT_SUP[[#This Row],[StaffMemberCode]],MEMBERS[[StaffMemberCode]:[ServiceStartDate]],5,0)&gt;CONT_SUP[[#This Row],[DateFrom]],1,0)</f>
        <v>0</v>
      </c>
      <c r="R122" s="57">
        <f>IF(_xlfn.XLOOKUP(CONT_SUP[[#This Row],[StaffMemberCode]],MEMBERS[StaffMemberCode],MEMBERS[ServiceEndDate])="",0,IF(CONT_SUP[[#This Row],[DateTo]]="",1,IF(_xlfn.XLOOKUP(CONT_SUP[[#This Row],[StaffMemberCode]],MEMBERS[StaffMemberCode],MEMBERS[ServiceEndDate])&lt;CONT_SUP[[#This Row],[DateTo]],1,0)))</f>
        <v>0</v>
      </c>
      <c r="S122" s="57">
        <f>IF(ISBLANK(CONT_SUP[[#This Row],[DateTo]]),0,IF(CONT_SUP[[#This Row],[DateFrom]]=CONT_SUP[[#This Row],[DateTo]],0,IF(CONT_SUP[[#This Row],[DateFrom]]&lt;CONT_SUP[[#This Row],[DateTo]],0,1)))</f>
        <v>0</v>
      </c>
      <c r="T122" s="57" cm="1">
        <f t="array" aca="1" ref="T122" ca="1">IF(CELL("format",CONT_SUP[[#This Row],[DateFrom]])="D1",0,1)+IF(CELL("format",CONT_SUP[[#This Row],[DateTo]])="D1",0,1)</f>
        <v>0</v>
      </c>
      <c r="U122" s="57">
        <f>IF(OR(CONT_SUP[[#This Row],[MatEditOnly]]=TRUE,CONT_SUP[[#This Row],[MatEditOnly]]=FALSE),IF(OR(CONT_SUP[[#This Row],[NoIncrement]]=TRUE,CONT_SUP[[#This Row],[NoIncrement]]=FALSE),0,1),1)</f>
        <v>0</v>
      </c>
      <c r="V122" s="57">
        <f>IF(ISBLANK(CONT_SUP[[#This Row],[FundCode]])=TRUE,0,IF(COUNTIF(FUNDS[FundCode],CONT_SUP[[#This Row],[FundCode]])=1,0,1))</f>
        <v>0</v>
      </c>
      <c r="W122" s="57">
        <f>IF(LEN(CONT_SUP[[#This Row],[Notes]])&lt;4000,0,1)</f>
        <v>0</v>
      </c>
      <c r="X122" s="57">
        <f>IF(SUBSTITUTE(TEXT(CONT_SUP[[#This Row],[Reference]],10)," ","")=TEXT(CONT_SUP[[#This Row],[Reference]],10),0,1)</f>
        <v>0</v>
      </c>
      <c r="Y122" s="57">
        <f ca="1">SUM(CONT_SUP[[#This Row],[Duplicate Contract]:[Space in Code]])</f>
        <v>0</v>
      </c>
      <c r="AA122" s="12" t="s">
        <v>2266</v>
      </c>
      <c r="AB122" s="12">
        <v>91073888</v>
      </c>
      <c r="AC122" s="12" t="s">
        <v>4718</v>
      </c>
      <c r="AD122" s="57" t="str">
        <f>_xlfn.XLOOKUP(CONT_SUP[[#This Row],[StaffMemberCode]],StaffMembers!O:O,StaffMembers!R:R)</f>
        <v>Christine Watts</v>
      </c>
      <c r="AE122" s="12" t="s">
        <v>4307</v>
      </c>
      <c r="AF122" s="57">
        <f>_xlfn.XLOOKUP(CONT_SUP[[#This Row],[SRG]],SRG[StaffRoleGroupCode],SRG[GrossSalaryFinanceCode])</f>
        <v>635100</v>
      </c>
      <c r="AG122" s="57" t="str">
        <f>_xlfn.XLOOKUP(CONT_SUP[[#This Row],[StaffRoleCode]],ROLES[StaffRoleCode],ROLES[StaffRoleGroupCode])</f>
        <v>MDS</v>
      </c>
      <c r="AH122" s="57" t="str">
        <f>_xlfn.XLOOKUP(CONT_SUP[[#This Row],[StaffRoleCode]],ROLES[StaffRoleCode],ROLES[PayScaleCode])</f>
        <v>NJC_CHE</v>
      </c>
      <c r="AI122" s="12" t="s">
        <v>3120</v>
      </c>
      <c r="AJ122" s="12">
        <v>2</v>
      </c>
      <c r="AK122" s="12" t="s">
        <v>2488</v>
      </c>
      <c r="AM122" s="68" t="s">
        <v>3132</v>
      </c>
      <c r="AN122" s="12" t="s">
        <v>3134</v>
      </c>
      <c r="AO122" s="21">
        <v>45901</v>
      </c>
      <c r="AQ122" s="12">
        <v>7.5</v>
      </c>
      <c r="AR122" t="b">
        <v>0</v>
      </c>
      <c r="AS122" t="b">
        <v>0</v>
      </c>
      <c r="AT122" s="12" t="s">
        <v>1574</v>
      </c>
    </row>
    <row r="123" spans="1:46" x14ac:dyDescent="0.3">
      <c r="A123" s="57" t="str">
        <f t="shared" si="4"/>
        <v>AUD9107365691073656AMDASMID45901</v>
      </c>
      <c r="B123" s="57">
        <f>COUNTIF(CONT_SUP[Unique Contract],CONT_SUP[[#This Row],[Unique Contract]])-1</f>
        <v>0</v>
      </c>
      <c r="C123" s="57">
        <f>IFERROR(IF(FIND(CONT_SUP[[#This Row],[SchoolCode]],_xlfn.XLOOKUP(CONT_SUP[[#This Row],[StaffMemberCode]],MEMBERS[StaffMemberCode],MEMBERS[SchoolCodes]))&gt;0,0,1),1)</f>
        <v>0</v>
      </c>
      <c r="D123" s="57" cm="1">
        <f t="array" ref="D123">IF(_xlfn.XLOOKUP(CONT_SUP[[#This Row],[StaffRoleCode]],ROLES[StaffRoleCode],ROLES[AvailableToAllSchools],1,0,)=TRUE,0,IF(ISERROR(FIND(CONT_SUP[[#This Row],[SchoolCode]],_xlfn.TEXTJOIN(",",TRUE,_xlfn.UNIQUE(IF(ROLES[StaffRoleCode]=CONT_SUP[[#This Row],[StaffRoleCode]],ROLES[SchoolCodes],""))))),1,0))</f>
        <v>0</v>
      </c>
      <c r="E123" s="57" cm="1">
        <f t="array" ref="E12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23" s="57" cm="1">
        <f t="array" ref="F123">IF(_xlfn.XLOOKUP(CONT_SUP[[#This Row],[PayScaleCode]],PAYSCALES[PayScaleCode],PAYSCALES[AvailableToAllSchools],1,0,)=TRUE,0,IF(ISERROR(FIND(CONT_SUP[[#This Row],[SchoolCode]],_xlfn.TEXTJOIN(",",TRUE,_xlfn.UNIQUE(IF(PAYSCALES[PayScaleCode]=CONT_SUP[[#This Row],[PayScaleCode]],PAYSCALES[SchoolCodes],""))))),1,0))</f>
        <v>0</v>
      </c>
      <c r="G123" s="57">
        <f>IF(_xlfn.XLOOKUP(CONT_SUP[[#This Row],[PayScaleGradeCode]],GRADES[PayScaleGradeCode],GRADES[AvailableToAllSchools])=TRUE,0,IFERROR(IF(FIND(CONT_SUP[[#This Row],[SchoolCode]],_xlfn.XLOOKUP(CONT_SUP[[#This Row],[PayScaleGradeCode]],GRADES[PayScaleGradeCode],GRADES[SchoolCodes]))&gt;=1,0,1),1))</f>
        <v>0</v>
      </c>
      <c r="H123" s="57">
        <f>IF(ISERROR(IF((_xlfn.XLOOKUP(CONT_SUP[[#This Row],[PayScaleGradeCode]],GRADES[PayScaleGradeCode],GRADES[PayScaleCode])=CONT_SUP[[#This Row],[PayScaleCode]]),0,1)),1,0)</f>
        <v>0</v>
      </c>
      <c r="I123" s="57" cm="1">
        <f t="array" ref="I123">IF(ISERROR(FIND(CONT_SUP[[#This Row],[PayScalePointCode]],_xlfn.TEXTJOIN(",",TRUE,IF(PSPOINTS[PayScaleCode]=CONT_SUP[[#This Row],[PayScaleCode]],PSPOINTS[PayScalePointCode])))),1,0)</f>
        <v>0</v>
      </c>
      <c r="J123" s="57" cm="1">
        <f t="array" ref="J12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23" s="57">
        <f>IF(_xlfn.XLOOKUP(CONT_SUP[[#This Row],[PayScalePointCode]],PSPOINTS[PayScalePointCode],PSPOINTS[PayScalePointEnabled])=TRUE,0,1)</f>
        <v>0</v>
      </c>
      <c r="L123" s="57" cm="1">
        <f t="array" ref="L123">IF(_xlfn.XLOOKUP(CONT_SUP[[#This Row],[DepartmentCode]],DEPTS[DepartmentCode],DEPTS[AvailableToAllSchools],1,0,)=TRUE,0,IF(ISERROR(FIND(CONT_SUP[[#This Row],[SchoolCode]],_xlfn.TEXTJOIN(",",TRUE,_xlfn.UNIQUE(IF(DEPTS[DepartmentCode]=CONT_SUP[[#This Row],[DepartmentCode]],DEPTS[SchoolCodes],""))))),1,0))</f>
        <v>0</v>
      </c>
      <c r="M123" s="57">
        <f>IFERROR(IF(_xlfn.XLOOKUP(CONT_SUP[[#This Row],[SRG Gross]],FinanceCodesBudget[FinanceCode],FinanceCodesBudget[LedgerCode])=_xlfn.XLOOKUP(CONT_SUP[[#This Row],[DepartmentCode]],DEPTS[DepartmentCode],DEPTS[LedgerCode]),0,1),1)</f>
        <v>0</v>
      </c>
      <c r="N123" s="57" cm="1">
        <f t="array" ref="N123">IF(_xlfn.XLOOKUP(CONT_SUP[[#This Row],[PensionCode]],PENS[PensionCode],PENS[AvailableToAllSchools],1,0,)=TRUE,0,IF(ISERROR(FIND(CONT_SUP[[#This Row],[SchoolCode]],_xlfn.TEXTJOIN(",",TRUE,_xlfn.UNIQUE(IF(PENS[PensionCode]=CONT_SUP[[#This Row],[PensionCode]],PENS[SchoolCodes],""))))),1,0))</f>
        <v>0</v>
      </c>
      <c r="O123" s="57" cm="1">
        <f t="array" ref="O123">IF(_xlfn.XLOOKUP(CONT_SUP[[#This Row],[EquatedWeekPatternCode]],EQW[EquatedWeekPatternCode],EQW[AvailableToAllSchools],1,0,)=TRUE,0,IF(ISERROR(FIND(CONT_SUP[[#This Row],[SchoolCode]],_xlfn.TEXTJOIN(",",TRUE,_xlfn.UNIQUE(IF(EQW[EquatedWeekPatternCode]=CONT_SUP[[#This Row],[EquatedWeekPatternCode]],EQW[SchoolCodes],""))))),1,0))</f>
        <v>0</v>
      </c>
      <c r="P123" s="57">
        <f>1-COUNTIF(ContractTypes[Code],CONT_SUP[[#This Row],[ContractTypeCode]])</f>
        <v>0</v>
      </c>
      <c r="Q123" s="57">
        <f>IF(VLOOKUP(CONT_SUP[[#This Row],[StaffMemberCode]],MEMBERS[[StaffMemberCode]:[ServiceStartDate]],5,0)&gt;CONT_SUP[[#This Row],[DateFrom]],1,0)</f>
        <v>0</v>
      </c>
      <c r="R123" s="57">
        <f>IF(_xlfn.XLOOKUP(CONT_SUP[[#This Row],[StaffMemberCode]],MEMBERS[StaffMemberCode],MEMBERS[ServiceEndDate])="",0,IF(CONT_SUP[[#This Row],[DateTo]]="",1,IF(_xlfn.XLOOKUP(CONT_SUP[[#This Row],[StaffMemberCode]],MEMBERS[StaffMemberCode],MEMBERS[ServiceEndDate])&lt;CONT_SUP[[#This Row],[DateTo]],1,0)))</f>
        <v>0</v>
      </c>
      <c r="S123" s="57">
        <f>IF(ISBLANK(CONT_SUP[[#This Row],[DateTo]]),0,IF(CONT_SUP[[#This Row],[DateFrom]]=CONT_SUP[[#This Row],[DateTo]],0,IF(CONT_SUP[[#This Row],[DateFrom]]&lt;CONT_SUP[[#This Row],[DateTo]],0,1)))</f>
        <v>0</v>
      </c>
      <c r="T123" s="57" cm="1">
        <f t="array" aca="1" ref="T123" ca="1">IF(CELL("format",CONT_SUP[[#This Row],[DateFrom]])="D1",0,1)+IF(CELL("format",CONT_SUP[[#This Row],[DateTo]])="D1",0,1)</f>
        <v>0</v>
      </c>
      <c r="U123" s="57">
        <f>IF(OR(CONT_SUP[[#This Row],[MatEditOnly]]=TRUE,CONT_SUP[[#This Row],[MatEditOnly]]=FALSE),IF(OR(CONT_SUP[[#This Row],[NoIncrement]]=TRUE,CONT_SUP[[#This Row],[NoIncrement]]=FALSE),0,1),1)</f>
        <v>0</v>
      </c>
      <c r="V123" s="57">
        <f>IF(ISBLANK(CONT_SUP[[#This Row],[FundCode]])=TRUE,0,IF(COUNTIF(FUNDS[FundCode],CONT_SUP[[#This Row],[FundCode]])=1,0,1))</f>
        <v>0</v>
      </c>
      <c r="W123" s="57">
        <f>IF(LEN(CONT_SUP[[#This Row],[Notes]])&lt;4000,0,1)</f>
        <v>0</v>
      </c>
      <c r="X123" s="57">
        <f>IF(SUBSTITUTE(TEXT(CONT_SUP[[#This Row],[Reference]],10)," ","")=TEXT(CONT_SUP[[#This Row],[Reference]],10),0,1)</f>
        <v>0</v>
      </c>
      <c r="Y123" s="57">
        <f ca="1">SUM(CONT_SUP[[#This Row],[Duplicate Contract]:[Space in Code]])</f>
        <v>0</v>
      </c>
      <c r="AA123" s="12" t="s">
        <v>2089</v>
      </c>
      <c r="AB123" s="12">
        <v>91073656</v>
      </c>
      <c r="AC123" s="12" t="s">
        <v>4719</v>
      </c>
      <c r="AD123" s="57" t="str">
        <f>_xlfn.XLOOKUP(CONT_SUP[[#This Row],[StaffMemberCode]],StaffMembers!O:O,StaffMembers!R:R)</f>
        <v>Danielle Brookes</v>
      </c>
      <c r="AE123" s="12" t="s">
        <v>4307</v>
      </c>
      <c r="AF123" s="57">
        <f>_xlfn.XLOOKUP(CONT_SUP[[#This Row],[SRG]],SRG[StaffRoleGroupCode],SRG[GrossSalaryFinanceCode])</f>
        <v>635100</v>
      </c>
      <c r="AG123" s="57" t="str">
        <f>_xlfn.XLOOKUP(CONT_SUP[[#This Row],[StaffRoleCode]],ROLES[StaffRoleCode],ROLES[StaffRoleGroupCode])</f>
        <v>MDS</v>
      </c>
      <c r="AH123" s="57" t="str">
        <f>_xlfn.XLOOKUP(CONT_SUP[[#This Row],[StaffRoleCode]],ROLES[StaffRoleCode],ROLES[PayScaleCode])</f>
        <v>NJC_CHE</v>
      </c>
      <c r="AI123" s="12" t="s">
        <v>3120</v>
      </c>
      <c r="AJ123" s="12">
        <v>2</v>
      </c>
      <c r="AK123" s="12" t="s">
        <v>2488</v>
      </c>
      <c r="AM123" s="68" t="s">
        <v>3132</v>
      </c>
      <c r="AN123" s="12" t="s">
        <v>3134</v>
      </c>
      <c r="AO123" s="21">
        <v>45901</v>
      </c>
      <c r="AQ123" s="12">
        <v>7.5</v>
      </c>
      <c r="AR123" t="b">
        <v>0</v>
      </c>
      <c r="AS123" t="b">
        <v>0</v>
      </c>
      <c r="AT123" s="12" t="s">
        <v>1574</v>
      </c>
    </row>
    <row r="124" spans="1:46" x14ac:dyDescent="0.3">
      <c r="A124" s="57" t="str">
        <f t="shared" si="4"/>
        <v>BLS9132887291328872AMDASMID45901</v>
      </c>
      <c r="B124" s="57">
        <f>COUNTIF(CONT_SUP[Unique Contract],CONT_SUP[[#This Row],[Unique Contract]])-1</f>
        <v>0</v>
      </c>
      <c r="C124" s="57">
        <f>IFERROR(IF(FIND(CONT_SUP[[#This Row],[SchoolCode]],_xlfn.XLOOKUP(CONT_SUP[[#This Row],[StaffMemberCode]],MEMBERS[StaffMemberCode],MEMBERS[SchoolCodes]))&gt;0,0,1),1)</f>
        <v>0</v>
      </c>
      <c r="D124" s="57" cm="1">
        <f t="array" ref="D124">IF(_xlfn.XLOOKUP(CONT_SUP[[#This Row],[StaffRoleCode]],ROLES[StaffRoleCode],ROLES[AvailableToAllSchools],1,0,)=TRUE,0,IF(ISERROR(FIND(CONT_SUP[[#This Row],[SchoolCode]],_xlfn.TEXTJOIN(",",TRUE,_xlfn.UNIQUE(IF(ROLES[StaffRoleCode]=CONT_SUP[[#This Row],[StaffRoleCode]],ROLES[SchoolCodes],""))))),1,0))</f>
        <v>0</v>
      </c>
      <c r="E124" s="57" cm="1">
        <f t="array" ref="E12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24" s="57" cm="1">
        <f t="array" ref="F124">IF(_xlfn.XLOOKUP(CONT_SUP[[#This Row],[PayScaleCode]],PAYSCALES[PayScaleCode],PAYSCALES[AvailableToAllSchools],1,0,)=TRUE,0,IF(ISERROR(FIND(CONT_SUP[[#This Row],[SchoolCode]],_xlfn.TEXTJOIN(",",TRUE,_xlfn.UNIQUE(IF(PAYSCALES[PayScaleCode]=CONT_SUP[[#This Row],[PayScaleCode]],PAYSCALES[SchoolCodes],""))))),1,0))</f>
        <v>0</v>
      </c>
      <c r="G124" s="57">
        <f>IF(_xlfn.XLOOKUP(CONT_SUP[[#This Row],[PayScaleGradeCode]],GRADES[PayScaleGradeCode],GRADES[AvailableToAllSchools])=TRUE,0,IFERROR(IF(FIND(CONT_SUP[[#This Row],[SchoolCode]],_xlfn.XLOOKUP(CONT_SUP[[#This Row],[PayScaleGradeCode]],GRADES[PayScaleGradeCode],GRADES[SchoolCodes]))&gt;=1,0,1),1))</f>
        <v>0</v>
      </c>
      <c r="H124" s="57">
        <f>IF(ISERROR(IF((_xlfn.XLOOKUP(CONT_SUP[[#This Row],[PayScaleGradeCode]],GRADES[PayScaleGradeCode],GRADES[PayScaleCode])=CONT_SUP[[#This Row],[PayScaleCode]]),0,1)),1,0)</f>
        <v>0</v>
      </c>
      <c r="I124" s="57" cm="1">
        <f t="array" ref="I124">IF(ISERROR(FIND(CONT_SUP[[#This Row],[PayScalePointCode]],_xlfn.TEXTJOIN(",",TRUE,IF(PSPOINTS[PayScaleCode]=CONT_SUP[[#This Row],[PayScaleCode]],PSPOINTS[PayScalePointCode])))),1,0)</f>
        <v>0</v>
      </c>
      <c r="J124" s="57" cm="1">
        <f t="array" ref="J12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24" s="57">
        <f>IF(_xlfn.XLOOKUP(CONT_SUP[[#This Row],[PayScalePointCode]],PSPOINTS[PayScalePointCode],PSPOINTS[PayScalePointEnabled])=TRUE,0,1)</f>
        <v>0</v>
      </c>
      <c r="L124" s="57" cm="1">
        <f t="array" ref="L124">IF(_xlfn.XLOOKUP(CONT_SUP[[#This Row],[DepartmentCode]],DEPTS[DepartmentCode],DEPTS[AvailableToAllSchools],1,0,)=TRUE,0,IF(ISERROR(FIND(CONT_SUP[[#This Row],[SchoolCode]],_xlfn.TEXTJOIN(",",TRUE,_xlfn.UNIQUE(IF(DEPTS[DepartmentCode]=CONT_SUP[[#This Row],[DepartmentCode]],DEPTS[SchoolCodes],""))))),1,0))</f>
        <v>0</v>
      </c>
      <c r="M124" s="57">
        <f>IFERROR(IF(_xlfn.XLOOKUP(CONT_SUP[[#This Row],[SRG Gross]],FinanceCodesBudget[FinanceCode],FinanceCodesBudget[LedgerCode])=_xlfn.XLOOKUP(CONT_SUP[[#This Row],[DepartmentCode]],DEPTS[DepartmentCode],DEPTS[LedgerCode]),0,1),1)</f>
        <v>0</v>
      </c>
      <c r="N124" s="57" cm="1">
        <f t="array" ref="N124">IF(_xlfn.XLOOKUP(CONT_SUP[[#This Row],[PensionCode]],PENS[PensionCode],PENS[AvailableToAllSchools],1,0,)=TRUE,0,IF(ISERROR(FIND(CONT_SUP[[#This Row],[SchoolCode]],_xlfn.TEXTJOIN(",",TRUE,_xlfn.UNIQUE(IF(PENS[PensionCode]=CONT_SUP[[#This Row],[PensionCode]],PENS[SchoolCodes],""))))),1,0))</f>
        <v>0</v>
      </c>
      <c r="O124" s="57" cm="1">
        <f t="array" ref="O124">IF(_xlfn.XLOOKUP(CONT_SUP[[#This Row],[EquatedWeekPatternCode]],EQW[EquatedWeekPatternCode],EQW[AvailableToAllSchools],1,0,)=TRUE,0,IF(ISERROR(FIND(CONT_SUP[[#This Row],[SchoolCode]],_xlfn.TEXTJOIN(",",TRUE,_xlfn.UNIQUE(IF(EQW[EquatedWeekPatternCode]=CONT_SUP[[#This Row],[EquatedWeekPatternCode]],EQW[SchoolCodes],""))))),1,0))</f>
        <v>0</v>
      </c>
      <c r="P124" s="57">
        <f>1-COUNTIF(ContractTypes[Code],CONT_SUP[[#This Row],[ContractTypeCode]])</f>
        <v>0</v>
      </c>
      <c r="Q124" s="57">
        <f>IF(VLOOKUP(CONT_SUP[[#This Row],[StaffMemberCode]],MEMBERS[[StaffMemberCode]:[ServiceStartDate]],5,0)&gt;CONT_SUP[[#This Row],[DateFrom]],1,0)</f>
        <v>0</v>
      </c>
      <c r="R124" s="57">
        <f>IF(_xlfn.XLOOKUP(CONT_SUP[[#This Row],[StaffMemberCode]],MEMBERS[StaffMemberCode],MEMBERS[ServiceEndDate])="",0,IF(CONT_SUP[[#This Row],[DateTo]]="",1,IF(_xlfn.XLOOKUP(CONT_SUP[[#This Row],[StaffMemberCode]],MEMBERS[StaffMemberCode],MEMBERS[ServiceEndDate])&lt;CONT_SUP[[#This Row],[DateTo]],1,0)))</f>
        <v>0</v>
      </c>
      <c r="S124" s="57">
        <f>IF(ISBLANK(CONT_SUP[[#This Row],[DateTo]]),0,IF(CONT_SUP[[#This Row],[DateFrom]]=CONT_SUP[[#This Row],[DateTo]],0,IF(CONT_SUP[[#This Row],[DateFrom]]&lt;CONT_SUP[[#This Row],[DateTo]],0,1)))</f>
        <v>0</v>
      </c>
      <c r="T124" s="57" cm="1">
        <f t="array" aca="1" ref="T124" ca="1">IF(CELL("format",CONT_SUP[[#This Row],[DateFrom]])="D1",0,1)+IF(CELL("format",CONT_SUP[[#This Row],[DateTo]])="D1",0,1)</f>
        <v>0</v>
      </c>
      <c r="U124" s="57">
        <f>IF(OR(CONT_SUP[[#This Row],[MatEditOnly]]=TRUE,CONT_SUP[[#This Row],[MatEditOnly]]=FALSE),IF(OR(CONT_SUP[[#This Row],[NoIncrement]]=TRUE,CONT_SUP[[#This Row],[NoIncrement]]=FALSE),0,1),1)</f>
        <v>0</v>
      </c>
      <c r="V124" s="57">
        <f>IF(ISBLANK(CONT_SUP[[#This Row],[FundCode]])=TRUE,0,IF(COUNTIF(FUNDS[FundCode],CONT_SUP[[#This Row],[FundCode]])=1,0,1))</f>
        <v>0</v>
      </c>
      <c r="W124" s="57">
        <f>IF(LEN(CONT_SUP[[#This Row],[Notes]])&lt;4000,0,1)</f>
        <v>0</v>
      </c>
      <c r="X124" s="57">
        <f>IF(SUBSTITUTE(TEXT(CONT_SUP[[#This Row],[Reference]],10)," ","")=TEXT(CONT_SUP[[#This Row],[Reference]],10),0,1)</f>
        <v>0</v>
      </c>
      <c r="Y124" s="57">
        <f ca="1">SUM(CONT_SUP[[#This Row],[Duplicate Contract]:[Space in Code]])</f>
        <v>0</v>
      </c>
      <c r="AA124" s="12" t="s">
        <v>2094</v>
      </c>
      <c r="AB124" s="12">
        <v>91328872</v>
      </c>
      <c r="AC124" s="12" t="s">
        <v>4720</v>
      </c>
      <c r="AD124" s="57" t="str">
        <f>_xlfn.XLOOKUP(CONT_SUP[[#This Row],[StaffMemberCode]],StaffMembers!O:O,StaffMembers!R:R)</f>
        <v>Deborah Taylor</v>
      </c>
      <c r="AE124" s="12" t="s">
        <v>4307</v>
      </c>
      <c r="AF124" s="57">
        <f>_xlfn.XLOOKUP(CONT_SUP[[#This Row],[SRG]],SRG[StaffRoleGroupCode],SRG[GrossSalaryFinanceCode])</f>
        <v>635100</v>
      </c>
      <c r="AG124" s="57" t="str">
        <f>_xlfn.XLOOKUP(CONT_SUP[[#This Row],[StaffRoleCode]],ROLES[StaffRoleCode],ROLES[StaffRoleGroupCode])</f>
        <v>MDS</v>
      </c>
      <c r="AH124" s="57" t="str">
        <f>_xlfn.XLOOKUP(CONT_SUP[[#This Row],[StaffRoleCode]],ROLES[StaffRoleCode],ROLES[PayScaleCode])</f>
        <v>NJC_CHE</v>
      </c>
      <c r="AI124" s="12" t="s">
        <v>3120</v>
      </c>
      <c r="AJ124" s="12">
        <v>2</v>
      </c>
      <c r="AK124" s="12" t="s">
        <v>2488</v>
      </c>
      <c r="AM124" s="68" t="s">
        <v>1149</v>
      </c>
      <c r="AN124" s="12" t="s">
        <v>3134</v>
      </c>
      <c r="AO124" s="21">
        <v>45901</v>
      </c>
      <c r="AQ124" s="12">
        <v>15</v>
      </c>
      <c r="AR124" t="b">
        <v>0</v>
      </c>
      <c r="AS124" t="b">
        <v>0</v>
      </c>
      <c r="AT124" s="12" t="s">
        <v>1574</v>
      </c>
    </row>
    <row r="125" spans="1:46" x14ac:dyDescent="0.3">
      <c r="A125" s="57" t="str">
        <f t="shared" si="4"/>
        <v>BLS9107358591073585AMDASMID45901</v>
      </c>
      <c r="B125" s="57">
        <f>COUNTIF(CONT_SUP[Unique Contract],CONT_SUP[[#This Row],[Unique Contract]])-1</f>
        <v>0</v>
      </c>
      <c r="C125" s="57">
        <f>IFERROR(IF(FIND(CONT_SUP[[#This Row],[SchoolCode]],_xlfn.XLOOKUP(CONT_SUP[[#This Row],[StaffMemberCode]],MEMBERS[StaffMemberCode],MEMBERS[SchoolCodes]))&gt;0,0,1),1)</f>
        <v>0</v>
      </c>
      <c r="D125" s="57" cm="1">
        <f t="array" ref="D125">IF(_xlfn.XLOOKUP(CONT_SUP[[#This Row],[StaffRoleCode]],ROLES[StaffRoleCode],ROLES[AvailableToAllSchools],1,0,)=TRUE,0,IF(ISERROR(FIND(CONT_SUP[[#This Row],[SchoolCode]],_xlfn.TEXTJOIN(",",TRUE,_xlfn.UNIQUE(IF(ROLES[StaffRoleCode]=CONT_SUP[[#This Row],[StaffRoleCode]],ROLES[SchoolCodes],""))))),1,0))</f>
        <v>0</v>
      </c>
      <c r="E125" s="57" cm="1">
        <f t="array" ref="E12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25" s="57" cm="1">
        <f t="array" ref="F125">IF(_xlfn.XLOOKUP(CONT_SUP[[#This Row],[PayScaleCode]],PAYSCALES[PayScaleCode],PAYSCALES[AvailableToAllSchools],1,0,)=TRUE,0,IF(ISERROR(FIND(CONT_SUP[[#This Row],[SchoolCode]],_xlfn.TEXTJOIN(",",TRUE,_xlfn.UNIQUE(IF(PAYSCALES[PayScaleCode]=CONT_SUP[[#This Row],[PayScaleCode]],PAYSCALES[SchoolCodes],""))))),1,0))</f>
        <v>0</v>
      </c>
      <c r="G125" s="57">
        <f>IF(_xlfn.XLOOKUP(CONT_SUP[[#This Row],[PayScaleGradeCode]],GRADES[PayScaleGradeCode],GRADES[AvailableToAllSchools])=TRUE,0,IFERROR(IF(FIND(CONT_SUP[[#This Row],[SchoolCode]],_xlfn.XLOOKUP(CONT_SUP[[#This Row],[PayScaleGradeCode]],GRADES[PayScaleGradeCode],GRADES[SchoolCodes]))&gt;=1,0,1),1))</f>
        <v>0</v>
      </c>
      <c r="H125" s="57">
        <f>IF(ISERROR(IF((_xlfn.XLOOKUP(CONT_SUP[[#This Row],[PayScaleGradeCode]],GRADES[PayScaleGradeCode],GRADES[PayScaleCode])=CONT_SUP[[#This Row],[PayScaleCode]]),0,1)),1,0)</f>
        <v>0</v>
      </c>
      <c r="I125" s="57" cm="1">
        <f t="array" ref="I125">IF(ISERROR(FIND(CONT_SUP[[#This Row],[PayScalePointCode]],_xlfn.TEXTJOIN(",",TRUE,IF(PSPOINTS[PayScaleCode]=CONT_SUP[[#This Row],[PayScaleCode]],PSPOINTS[PayScalePointCode])))),1,0)</f>
        <v>0</v>
      </c>
      <c r="J125" s="57" cm="1">
        <f t="array" ref="J12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25" s="57">
        <f>IF(_xlfn.XLOOKUP(CONT_SUP[[#This Row],[PayScalePointCode]],PSPOINTS[PayScalePointCode],PSPOINTS[PayScalePointEnabled])=TRUE,0,1)</f>
        <v>0</v>
      </c>
      <c r="L125" s="57" cm="1">
        <f t="array" ref="L125">IF(_xlfn.XLOOKUP(CONT_SUP[[#This Row],[DepartmentCode]],DEPTS[DepartmentCode],DEPTS[AvailableToAllSchools],1,0,)=TRUE,0,IF(ISERROR(FIND(CONT_SUP[[#This Row],[SchoolCode]],_xlfn.TEXTJOIN(",",TRUE,_xlfn.UNIQUE(IF(DEPTS[DepartmentCode]=CONT_SUP[[#This Row],[DepartmentCode]],DEPTS[SchoolCodes],""))))),1,0))</f>
        <v>0</v>
      </c>
      <c r="M125" s="57">
        <f>IFERROR(IF(_xlfn.XLOOKUP(CONT_SUP[[#This Row],[SRG Gross]],FinanceCodesBudget[FinanceCode],FinanceCodesBudget[LedgerCode])=_xlfn.XLOOKUP(CONT_SUP[[#This Row],[DepartmentCode]],DEPTS[DepartmentCode],DEPTS[LedgerCode]),0,1),1)</f>
        <v>0</v>
      </c>
      <c r="N125" s="57" cm="1">
        <f t="array" ref="N125">IF(_xlfn.XLOOKUP(CONT_SUP[[#This Row],[PensionCode]],PENS[PensionCode],PENS[AvailableToAllSchools],1,0,)=TRUE,0,IF(ISERROR(FIND(CONT_SUP[[#This Row],[SchoolCode]],_xlfn.TEXTJOIN(",",TRUE,_xlfn.UNIQUE(IF(PENS[PensionCode]=CONT_SUP[[#This Row],[PensionCode]],PENS[SchoolCodes],""))))),1,0))</f>
        <v>0</v>
      </c>
      <c r="O125" s="57" cm="1">
        <f t="array" ref="O125">IF(_xlfn.XLOOKUP(CONT_SUP[[#This Row],[EquatedWeekPatternCode]],EQW[EquatedWeekPatternCode],EQW[AvailableToAllSchools],1,0,)=TRUE,0,IF(ISERROR(FIND(CONT_SUP[[#This Row],[SchoolCode]],_xlfn.TEXTJOIN(",",TRUE,_xlfn.UNIQUE(IF(EQW[EquatedWeekPatternCode]=CONT_SUP[[#This Row],[EquatedWeekPatternCode]],EQW[SchoolCodes],""))))),1,0))</f>
        <v>0</v>
      </c>
      <c r="P125" s="57">
        <f>1-COUNTIF(ContractTypes[Code],CONT_SUP[[#This Row],[ContractTypeCode]])</f>
        <v>0</v>
      </c>
      <c r="Q125" s="57">
        <f>IF(VLOOKUP(CONT_SUP[[#This Row],[StaffMemberCode]],MEMBERS[[StaffMemberCode]:[ServiceStartDate]],5,0)&gt;CONT_SUP[[#This Row],[DateFrom]],1,0)</f>
        <v>0</v>
      </c>
      <c r="R125" s="57">
        <f>IF(_xlfn.XLOOKUP(CONT_SUP[[#This Row],[StaffMemberCode]],MEMBERS[StaffMemberCode],MEMBERS[ServiceEndDate])="",0,IF(CONT_SUP[[#This Row],[DateTo]]="",1,IF(_xlfn.XLOOKUP(CONT_SUP[[#This Row],[StaffMemberCode]],MEMBERS[StaffMemberCode],MEMBERS[ServiceEndDate])&lt;CONT_SUP[[#This Row],[DateTo]],1,0)))</f>
        <v>0</v>
      </c>
      <c r="S125" s="57">
        <f>IF(ISBLANK(CONT_SUP[[#This Row],[DateTo]]),0,IF(CONT_SUP[[#This Row],[DateFrom]]=CONT_SUP[[#This Row],[DateTo]],0,IF(CONT_SUP[[#This Row],[DateFrom]]&lt;CONT_SUP[[#This Row],[DateTo]],0,1)))</f>
        <v>0</v>
      </c>
      <c r="T125" s="57" cm="1">
        <f t="array" aca="1" ref="T125" ca="1">IF(CELL("format",CONT_SUP[[#This Row],[DateFrom]])="D1",0,1)+IF(CELL("format",CONT_SUP[[#This Row],[DateTo]])="D1",0,1)</f>
        <v>0</v>
      </c>
      <c r="U125" s="57">
        <f>IF(OR(CONT_SUP[[#This Row],[MatEditOnly]]=TRUE,CONT_SUP[[#This Row],[MatEditOnly]]=FALSE),IF(OR(CONT_SUP[[#This Row],[NoIncrement]]=TRUE,CONT_SUP[[#This Row],[NoIncrement]]=FALSE),0,1),1)</f>
        <v>0</v>
      </c>
      <c r="V125" s="57">
        <f>IF(ISBLANK(CONT_SUP[[#This Row],[FundCode]])=TRUE,0,IF(COUNTIF(FUNDS[FundCode],CONT_SUP[[#This Row],[FundCode]])=1,0,1))</f>
        <v>0</v>
      </c>
      <c r="W125" s="57">
        <f>IF(LEN(CONT_SUP[[#This Row],[Notes]])&lt;4000,0,1)</f>
        <v>0</v>
      </c>
      <c r="X125" s="57">
        <f>IF(SUBSTITUTE(TEXT(CONT_SUP[[#This Row],[Reference]],10)," ","")=TEXT(CONT_SUP[[#This Row],[Reference]],10),0,1)</f>
        <v>0</v>
      </c>
      <c r="Y125" s="57">
        <f ca="1">SUM(CONT_SUP[[#This Row],[Duplicate Contract]:[Space in Code]])</f>
        <v>0</v>
      </c>
      <c r="AA125" s="12" t="s">
        <v>2094</v>
      </c>
      <c r="AB125" s="12">
        <v>91073585</v>
      </c>
      <c r="AC125" s="12" t="s">
        <v>4721</v>
      </c>
      <c r="AD125" s="57" t="str">
        <f>_xlfn.XLOOKUP(CONT_SUP[[#This Row],[StaffMemberCode]],StaffMembers!O:O,StaffMembers!R:R)</f>
        <v>Debra Bracegirdle</v>
      </c>
      <c r="AE125" s="12" t="s">
        <v>4307</v>
      </c>
      <c r="AF125" s="57">
        <f>_xlfn.XLOOKUP(CONT_SUP[[#This Row],[SRG]],SRG[StaffRoleGroupCode],SRG[GrossSalaryFinanceCode])</f>
        <v>635100</v>
      </c>
      <c r="AG125" s="57" t="str">
        <f>_xlfn.XLOOKUP(CONT_SUP[[#This Row],[StaffRoleCode]],ROLES[StaffRoleCode],ROLES[StaffRoleGroupCode])</f>
        <v>MDS</v>
      </c>
      <c r="AH125" s="57" t="str">
        <f>_xlfn.XLOOKUP(CONT_SUP[[#This Row],[StaffRoleCode]],ROLES[StaffRoleCode],ROLES[PayScaleCode])</f>
        <v>NJC_CHE</v>
      </c>
      <c r="AI125" s="12" t="s">
        <v>3120</v>
      </c>
      <c r="AJ125" s="12">
        <v>2</v>
      </c>
      <c r="AK125" s="12" t="s">
        <v>2488</v>
      </c>
      <c r="AM125" s="68" t="s">
        <v>3132</v>
      </c>
      <c r="AN125" s="12" t="s">
        <v>3134</v>
      </c>
      <c r="AO125" s="21">
        <v>45901</v>
      </c>
      <c r="AQ125" s="12">
        <v>20</v>
      </c>
      <c r="AR125" t="b">
        <v>0</v>
      </c>
      <c r="AS125" t="b">
        <v>0</v>
      </c>
      <c r="AT125" s="12" t="s">
        <v>1574</v>
      </c>
    </row>
    <row r="126" spans="1:46" x14ac:dyDescent="0.3">
      <c r="A126" s="57" t="str">
        <f t="shared" si="4"/>
        <v>HIG9107389191073891AMDASMID45901</v>
      </c>
      <c r="B126" s="57">
        <f>COUNTIF(CONT_SUP[Unique Contract],CONT_SUP[[#This Row],[Unique Contract]])-1</f>
        <v>0</v>
      </c>
      <c r="C126" s="57">
        <f>IFERROR(IF(FIND(CONT_SUP[[#This Row],[SchoolCode]],_xlfn.XLOOKUP(CONT_SUP[[#This Row],[StaffMemberCode]],MEMBERS[StaffMemberCode],MEMBERS[SchoolCodes]))&gt;0,0,1),1)</f>
        <v>0</v>
      </c>
      <c r="D126" s="57" cm="1">
        <f t="array" ref="D126">IF(_xlfn.XLOOKUP(CONT_SUP[[#This Row],[StaffRoleCode]],ROLES[StaffRoleCode],ROLES[AvailableToAllSchools],1,0,)=TRUE,0,IF(ISERROR(FIND(CONT_SUP[[#This Row],[SchoolCode]],_xlfn.TEXTJOIN(",",TRUE,_xlfn.UNIQUE(IF(ROLES[StaffRoleCode]=CONT_SUP[[#This Row],[StaffRoleCode]],ROLES[SchoolCodes],""))))),1,0))</f>
        <v>0</v>
      </c>
      <c r="E126" s="57" cm="1">
        <f t="array" ref="E12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26" s="57" cm="1">
        <f t="array" ref="F126">IF(_xlfn.XLOOKUP(CONT_SUP[[#This Row],[PayScaleCode]],PAYSCALES[PayScaleCode],PAYSCALES[AvailableToAllSchools],1,0,)=TRUE,0,IF(ISERROR(FIND(CONT_SUP[[#This Row],[SchoolCode]],_xlfn.TEXTJOIN(",",TRUE,_xlfn.UNIQUE(IF(PAYSCALES[PayScaleCode]=CONT_SUP[[#This Row],[PayScaleCode]],PAYSCALES[SchoolCodes],""))))),1,0))</f>
        <v>0</v>
      </c>
      <c r="G126" s="57">
        <f>IF(_xlfn.XLOOKUP(CONT_SUP[[#This Row],[PayScaleGradeCode]],GRADES[PayScaleGradeCode],GRADES[AvailableToAllSchools])=TRUE,0,IFERROR(IF(FIND(CONT_SUP[[#This Row],[SchoolCode]],_xlfn.XLOOKUP(CONT_SUP[[#This Row],[PayScaleGradeCode]],GRADES[PayScaleGradeCode],GRADES[SchoolCodes]))&gt;=1,0,1),1))</f>
        <v>0</v>
      </c>
      <c r="H126" s="57">
        <f>IF(ISERROR(IF((_xlfn.XLOOKUP(CONT_SUP[[#This Row],[PayScaleGradeCode]],GRADES[PayScaleGradeCode],GRADES[PayScaleCode])=CONT_SUP[[#This Row],[PayScaleCode]]),0,1)),1,0)</f>
        <v>0</v>
      </c>
      <c r="I126" s="57" cm="1">
        <f t="array" ref="I126">IF(ISERROR(FIND(CONT_SUP[[#This Row],[PayScalePointCode]],_xlfn.TEXTJOIN(",",TRUE,IF(PSPOINTS[PayScaleCode]=CONT_SUP[[#This Row],[PayScaleCode]],PSPOINTS[PayScalePointCode])))),1,0)</f>
        <v>0</v>
      </c>
      <c r="J126" s="57" cm="1">
        <f t="array" ref="J12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26" s="57">
        <f>IF(_xlfn.XLOOKUP(CONT_SUP[[#This Row],[PayScalePointCode]],PSPOINTS[PayScalePointCode],PSPOINTS[PayScalePointEnabled])=TRUE,0,1)</f>
        <v>0</v>
      </c>
      <c r="L126" s="57" cm="1">
        <f t="array" ref="L126">IF(_xlfn.XLOOKUP(CONT_SUP[[#This Row],[DepartmentCode]],DEPTS[DepartmentCode],DEPTS[AvailableToAllSchools],1,0,)=TRUE,0,IF(ISERROR(FIND(CONT_SUP[[#This Row],[SchoolCode]],_xlfn.TEXTJOIN(",",TRUE,_xlfn.UNIQUE(IF(DEPTS[DepartmentCode]=CONT_SUP[[#This Row],[DepartmentCode]],DEPTS[SchoolCodes],""))))),1,0))</f>
        <v>0</v>
      </c>
      <c r="M126" s="57">
        <f>IFERROR(IF(_xlfn.XLOOKUP(CONT_SUP[[#This Row],[SRG Gross]],FinanceCodesBudget[FinanceCode],FinanceCodesBudget[LedgerCode])=_xlfn.XLOOKUP(CONT_SUP[[#This Row],[DepartmentCode]],DEPTS[DepartmentCode],DEPTS[LedgerCode]),0,1),1)</f>
        <v>0</v>
      </c>
      <c r="N126" s="57" cm="1">
        <f t="array" ref="N126">IF(_xlfn.XLOOKUP(CONT_SUP[[#This Row],[PensionCode]],PENS[PensionCode],PENS[AvailableToAllSchools],1,0,)=TRUE,0,IF(ISERROR(FIND(CONT_SUP[[#This Row],[SchoolCode]],_xlfn.TEXTJOIN(",",TRUE,_xlfn.UNIQUE(IF(PENS[PensionCode]=CONT_SUP[[#This Row],[PensionCode]],PENS[SchoolCodes],""))))),1,0))</f>
        <v>0</v>
      </c>
      <c r="O126" s="57" cm="1">
        <f t="array" ref="O126">IF(_xlfn.XLOOKUP(CONT_SUP[[#This Row],[EquatedWeekPatternCode]],EQW[EquatedWeekPatternCode],EQW[AvailableToAllSchools],1,0,)=TRUE,0,IF(ISERROR(FIND(CONT_SUP[[#This Row],[SchoolCode]],_xlfn.TEXTJOIN(",",TRUE,_xlfn.UNIQUE(IF(EQW[EquatedWeekPatternCode]=CONT_SUP[[#This Row],[EquatedWeekPatternCode]],EQW[SchoolCodes],""))))),1,0))</f>
        <v>0</v>
      </c>
      <c r="P126" s="57">
        <f>1-COUNTIF(ContractTypes[Code],CONT_SUP[[#This Row],[ContractTypeCode]])</f>
        <v>0</v>
      </c>
      <c r="Q126" s="57">
        <f>IF(VLOOKUP(CONT_SUP[[#This Row],[StaffMemberCode]],MEMBERS[[StaffMemberCode]:[ServiceStartDate]],5,0)&gt;CONT_SUP[[#This Row],[DateFrom]],1,0)</f>
        <v>0</v>
      </c>
      <c r="R126" s="57">
        <f>IF(_xlfn.XLOOKUP(CONT_SUP[[#This Row],[StaffMemberCode]],MEMBERS[StaffMemberCode],MEMBERS[ServiceEndDate])="",0,IF(CONT_SUP[[#This Row],[DateTo]]="",1,IF(_xlfn.XLOOKUP(CONT_SUP[[#This Row],[StaffMemberCode]],MEMBERS[StaffMemberCode],MEMBERS[ServiceEndDate])&lt;CONT_SUP[[#This Row],[DateTo]],1,0)))</f>
        <v>0</v>
      </c>
      <c r="S126" s="57">
        <f>IF(ISBLANK(CONT_SUP[[#This Row],[DateTo]]),0,IF(CONT_SUP[[#This Row],[DateFrom]]=CONT_SUP[[#This Row],[DateTo]],0,IF(CONT_SUP[[#This Row],[DateFrom]]&lt;CONT_SUP[[#This Row],[DateTo]],0,1)))</f>
        <v>0</v>
      </c>
      <c r="T126" s="57" cm="1">
        <f t="array" aca="1" ref="T126" ca="1">IF(CELL("format",CONT_SUP[[#This Row],[DateFrom]])="D1",0,1)+IF(CELL("format",CONT_SUP[[#This Row],[DateTo]])="D1",0,1)</f>
        <v>0</v>
      </c>
      <c r="U126" s="57">
        <f>IF(OR(CONT_SUP[[#This Row],[MatEditOnly]]=TRUE,CONT_SUP[[#This Row],[MatEditOnly]]=FALSE),IF(OR(CONT_SUP[[#This Row],[NoIncrement]]=TRUE,CONT_SUP[[#This Row],[NoIncrement]]=FALSE),0,1),1)</f>
        <v>0</v>
      </c>
      <c r="V126" s="57">
        <f>IF(ISBLANK(CONT_SUP[[#This Row],[FundCode]])=TRUE,0,IF(COUNTIF(FUNDS[FundCode],CONT_SUP[[#This Row],[FundCode]])=1,0,1))</f>
        <v>0</v>
      </c>
      <c r="W126" s="57">
        <f>IF(LEN(CONT_SUP[[#This Row],[Notes]])&lt;4000,0,1)</f>
        <v>0</v>
      </c>
      <c r="X126" s="57">
        <f>IF(SUBSTITUTE(TEXT(CONT_SUP[[#This Row],[Reference]],10)," ","")=TEXT(CONT_SUP[[#This Row],[Reference]],10),0,1)</f>
        <v>0</v>
      </c>
      <c r="Y126" s="57">
        <f ca="1">SUM(CONT_SUP[[#This Row],[Duplicate Contract]:[Space in Code]])</f>
        <v>0</v>
      </c>
      <c r="AA126" s="12" t="s">
        <v>2266</v>
      </c>
      <c r="AB126" s="12">
        <v>91073891</v>
      </c>
      <c r="AC126" s="12" t="s">
        <v>4722</v>
      </c>
      <c r="AD126" s="57" t="str">
        <f>_xlfn.XLOOKUP(CONT_SUP[[#This Row],[StaffMemberCode]],StaffMembers!O:O,StaffMembers!R:R)</f>
        <v>Gemma Parry</v>
      </c>
      <c r="AE126" s="12" t="s">
        <v>4307</v>
      </c>
      <c r="AF126" s="57">
        <f>_xlfn.XLOOKUP(CONT_SUP[[#This Row],[SRG]],SRG[StaffRoleGroupCode],SRG[GrossSalaryFinanceCode])</f>
        <v>635100</v>
      </c>
      <c r="AG126" s="57" t="str">
        <f>_xlfn.XLOOKUP(CONT_SUP[[#This Row],[StaffRoleCode]],ROLES[StaffRoleCode],ROLES[StaffRoleGroupCode])</f>
        <v>MDS</v>
      </c>
      <c r="AH126" s="57" t="str">
        <f>_xlfn.XLOOKUP(CONT_SUP[[#This Row],[StaffRoleCode]],ROLES[StaffRoleCode],ROLES[PayScaleCode])</f>
        <v>NJC_CHE</v>
      </c>
      <c r="AI126" s="12" t="s">
        <v>3120</v>
      </c>
      <c r="AJ126" s="12">
        <v>2</v>
      </c>
      <c r="AK126" s="12" t="s">
        <v>2488</v>
      </c>
      <c r="AM126" s="68" t="s">
        <v>3132</v>
      </c>
      <c r="AN126" s="12" t="s">
        <v>3134</v>
      </c>
      <c r="AO126" s="21">
        <v>45901</v>
      </c>
      <c r="AQ126" s="12">
        <v>8.75</v>
      </c>
      <c r="AR126" t="b">
        <v>0</v>
      </c>
      <c r="AS126" t="b">
        <v>0</v>
      </c>
      <c r="AT126" s="12" t="s">
        <v>1574</v>
      </c>
    </row>
    <row r="127" spans="1:46" x14ac:dyDescent="0.3">
      <c r="A127" s="57" t="str">
        <f t="shared" si="4"/>
        <v>WVP9107340491073404AMDASMID45901</v>
      </c>
      <c r="B127" s="57">
        <f>COUNTIF(CONT_SUP[Unique Contract],CONT_SUP[[#This Row],[Unique Contract]])-1</f>
        <v>0</v>
      </c>
      <c r="C127" s="57">
        <f>IFERROR(IF(FIND(CONT_SUP[[#This Row],[SchoolCode]],_xlfn.XLOOKUP(CONT_SUP[[#This Row],[StaffMemberCode]],MEMBERS[StaffMemberCode],MEMBERS[SchoolCodes]))&gt;0,0,1),1)</f>
        <v>0</v>
      </c>
      <c r="D127" s="57" cm="1">
        <f t="array" ref="D127">IF(_xlfn.XLOOKUP(CONT_SUP[[#This Row],[StaffRoleCode]],ROLES[StaffRoleCode],ROLES[AvailableToAllSchools],1,0,)=TRUE,0,IF(ISERROR(FIND(CONT_SUP[[#This Row],[SchoolCode]],_xlfn.TEXTJOIN(",",TRUE,_xlfn.UNIQUE(IF(ROLES[StaffRoleCode]=CONT_SUP[[#This Row],[StaffRoleCode]],ROLES[SchoolCodes],""))))),1,0))</f>
        <v>0</v>
      </c>
      <c r="E127" s="57" cm="1">
        <f t="array" ref="E12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27" s="57" cm="1">
        <f t="array" ref="F127">IF(_xlfn.XLOOKUP(CONT_SUP[[#This Row],[PayScaleCode]],PAYSCALES[PayScaleCode],PAYSCALES[AvailableToAllSchools],1,0,)=TRUE,0,IF(ISERROR(FIND(CONT_SUP[[#This Row],[SchoolCode]],_xlfn.TEXTJOIN(",",TRUE,_xlfn.UNIQUE(IF(PAYSCALES[PayScaleCode]=CONT_SUP[[#This Row],[PayScaleCode]],PAYSCALES[SchoolCodes],""))))),1,0))</f>
        <v>0</v>
      </c>
      <c r="G127" s="57">
        <f>IF(_xlfn.XLOOKUP(CONT_SUP[[#This Row],[PayScaleGradeCode]],GRADES[PayScaleGradeCode],GRADES[AvailableToAllSchools])=TRUE,0,IFERROR(IF(FIND(CONT_SUP[[#This Row],[SchoolCode]],_xlfn.XLOOKUP(CONT_SUP[[#This Row],[PayScaleGradeCode]],GRADES[PayScaleGradeCode],GRADES[SchoolCodes]))&gt;=1,0,1),1))</f>
        <v>0</v>
      </c>
      <c r="H127" s="57">
        <f>IF(ISERROR(IF((_xlfn.XLOOKUP(CONT_SUP[[#This Row],[PayScaleGradeCode]],GRADES[PayScaleGradeCode],GRADES[PayScaleCode])=CONT_SUP[[#This Row],[PayScaleCode]]),0,1)),1,0)</f>
        <v>0</v>
      </c>
      <c r="I127" s="57" cm="1">
        <f t="array" ref="I127">IF(ISERROR(FIND(CONT_SUP[[#This Row],[PayScalePointCode]],_xlfn.TEXTJOIN(",",TRUE,IF(PSPOINTS[PayScaleCode]=CONT_SUP[[#This Row],[PayScaleCode]],PSPOINTS[PayScalePointCode])))),1,0)</f>
        <v>0</v>
      </c>
      <c r="J127" s="57" cm="1">
        <f t="array" ref="J12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27" s="57">
        <f>IF(_xlfn.XLOOKUP(CONT_SUP[[#This Row],[PayScalePointCode]],PSPOINTS[PayScalePointCode],PSPOINTS[PayScalePointEnabled])=TRUE,0,1)</f>
        <v>0</v>
      </c>
      <c r="L127" s="57" cm="1">
        <f t="array" ref="L127">IF(_xlfn.XLOOKUP(CONT_SUP[[#This Row],[DepartmentCode]],DEPTS[DepartmentCode],DEPTS[AvailableToAllSchools],1,0,)=TRUE,0,IF(ISERROR(FIND(CONT_SUP[[#This Row],[SchoolCode]],_xlfn.TEXTJOIN(",",TRUE,_xlfn.UNIQUE(IF(DEPTS[DepartmentCode]=CONT_SUP[[#This Row],[DepartmentCode]],DEPTS[SchoolCodes],""))))),1,0))</f>
        <v>0</v>
      </c>
      <c r="M127" s="57">
        <f>IFERROR(IF(_xlfn.XLOOKUP(CONT_SUP[[#This Row],[SRG Gross]],FinanceCodesBudget[FinanceCode],FinanceCodesBudget[LedgerCode])=_xlfn.XLOOKUP(CONT_SUP[[#This Row],[DepartmentCode]],DEPTS[DepartmentCode],DEPTS[LedgerCode]),0,1),1)</f>
        <v>0</v>
      </c>
      <c r="N127" s="57" cm="1">
        <f t="array" ref="N127">IF(_xlfn.XLOOKUP(CONT_SUP[[#This Row],[PensionCode]],PENS[PensionCode],PENS[AvailableToAllSchools],1,0,)=TRUE,0,IF(ISERROR(FIND(CONT_SUP[[#This Row],[SchoolCode]],_xlfn.TEXTJOIN(",",TRUE,_xlfn.UNIQUE(IF(PENS[PensionCode]=CONT_SUP[[#This Row],[PensionCode]],PENS[SchoolCodes],""))))),1,0))</f>
        <v>0</v>
      </c>
      <c r="O127" s="57" cm="1">
        <f t="array" ref="O127">IF(_xlfn.XLOOKUP(CONT_SUP[[#This Row],[EquatedWeekPatternCode]],EQW[EquatedWeekPatternCode],EQW[AvailableToAllSchools],1,0,)=TRUE,0,IF(ISERROR(FIND(CONT_SUP[[#This Row],[SchoolCode]],_xlfn.TEXTJOIN(",",TRUE,_xlfn.UNIQUE(IF(EQW[EquatedWeekPatternCode]=CONT_SUP[[#This Row],[EquatedWeekPatternCode]],EQW[SchoolCodes],""))))),1,0))</f>
        <v>0</v>
      </c>
      <c r="P127" s="57">
        <f>1-COUNTIF(ContractTypes[Code],CONT_SUP[[#This Row],[ContractTypeCode]])</f>
        <v>0</v>
      </c>
      <c r="Q127" s="57">
        <f>IF(VLOOKUP(CONT_SUP[[#This Row],[StaffMemberCode]],MEMBERS[[StaffMemberCode]:[ServiceStartDate]],5,0)&gt;CONT_SUP[[#This Row],[DateFrom]],1,0)</f>
        <v>0</v>
      </c>
      <c r="R127" s="57">
        <f>IF(_xlfn.XLOOKUP(CONT_SUP[[#This Row],[StaffMemberCode]],MEMBERS[StaffMemberCode],MEMBERS[ServiceEndDate])="",0,IF(CONT_SUP[[#This Row],[DateTo]]="",1,IF(_xlfn.XLOOKUP(CONT_SUP[[#This Row],[StaffMemberCode]],MEMBERS[StaffMemberCode],MEMBERS[ServiceEndDate])&lt;CONT_SUP[[#This Row],[DateTo]],1,0)))</f>
        <v>0</v>
      </c>
      <c r="S127" s="57">
        <f>IF(ISBLANK(CONT_SUP[[#This Row],[DateTo]]),0,IF(CONT_SUP[[#This Row],[DateFrom]]=CONT_SUP[[#This Row],[DateTo]],0,IF(CONT_SUP[[#This Row],[DateFrom]]&lt;CONT_SUP[[#This Row],[DateTo]],0,1)))</f>
        <v>0</v>
      </c>
      <c r="T127" s="57" cm="1">
        <f t="array" aca="1" ref="T127" ca="1">IF(CELL("format",CONT_SUP[[#This Row],[DateFrom]])="D1",0,1)+IF(CELL("format",CONT_SUP[[#This Row],[DateTo]])="D1",0,1)</f>
        <v>0</v>
      </c>
      <c r="U127" s="57">
        <f>IF(OR(CONT_SUP[[#This Row],[MatEditOnly]]=TRUE,CONT_SUP[[#This Row],[MatEditOnly]]=FALSE),IF(OR(CONT_SUP[[#This Row],[NoIncrement]]=TRUE,CONT_SUP[[#This Row],[NoIncrement]]=FALSE),0,1),1)</f>
        <v>0</v>
      </c>
      <c r="V127" s="57">
        <f>IF(ISBLANK(CONT_SUP[[#This Row],[FundCode]])=TRUE,0,IF(COUNTIF(FUNDS[FundCode],CONT_SUP[[#This Row],[FundCode]])=1,0,1))</f>
        <v>0</v>
      </c>
      <c r="W127" s="57">
        <f>IF(LEN(CONT_SUP[[#This Row],[Notes]])&lt;4000,0,1)</f>
        <v>0</v>
      </c>
      <c r="X127" s="57">
        <f>IF(SUBSTITUTE(TEXT(CONT_SUP[[#This Row],[Reference]],10)," ","")=TEXT(CONT_SUP[[#This Row],[Reference]],10),0,1)</f>
        <v>0</v>
      </c>
      <c r="Y127" s="57">
        <f ca="1">SUM(CONT_SUP[[#This Row],[Duplicate Contract]:[Space in Code]])</f>
        <v>0</v>
      </c>
      <c r="AA127" s="12" t="s">
        <v>2275</v>
      </c>
      <c r="AB127" s="12">
        <v>91073404</v>
      </c>
      <c r="AC127" s="12" t="s">
        <v>4723</v>
      </c>
      <c r="AD127" s="57" t="str">
        <f>_xlfn.XLOOKUP(CONT_SUP[[#This Row],[StaffMemberCode]],StaffMembers!O:O,StaffMembers!R:R)</f>
        <v>Gillian Shearer</v>
      </c>
      <c r="AE127" s="12" t="s">
        <v>4307</v>
      </c>
      <c r="AF127" s="57">
        <f>_xlfn.XLOOKUP(CONT_SUP[[#This Row],[SRG]],SRG[StaffRoleGroupCode],SRG[GrossSalaryFinanceCode])</f>
        <v>635100</v>
      </c>
      <c r="AG127" s="57" t="str">
        <f>_xlfn.XLOOKUP(CONT_SUP[[#This Row],[StaffRoleCode]],ROLES[StaffRoleCode],ROLES[StaffRoleGroupCode])</f>
        <v>MDS</v>
      </c>
      <c r="AH127" s="57" t="str">
        <f>_xlfn.XLOOKUP(CONT_SUP[[#This Row],[StaffRoleCode]],ROLES[StaffRoleCode],ROLES[PayScaleCode])</f>
        <v>NJC_CHE</v>
      </c>
      <c r="AI127" s="12" t="s">
        <v>3120</v>
      </c>
      <c r="AJ127" s="12">
        <v>2</v>
      </c>
      <c r="AK127" s="12" t="s">
        <v>2488</v>
      </c>
      <c r="AM127" s="68" t="s">
        <v>3132</v>
      </c>
      <c r="AN127" s="12" t="s">
        <v>3134</v>
      </c>
      <c r="AO127" s="21">
        <v>45901</v>
      </c>
      <c r="AQ127" s="12">
        <v>4.5</v>
      </c>
      <c r="AR127" t="b">
        <v>0</v>
      </c>
      <c r="AS127" t="b">
        <v>0</v>
      </c>
      <c r="AT127" s="12" t="s">
        <v>1574</v>
      </c>
    </row>
    <row r="128" spans="1:46" x14ac:dyDescent="0.3">
      <c r="A128" s="57" t="str">
        <f t="shared" si="4"/>
        <v>AUD9107364591073645AMDASMID45901</v>
      </c>
      <c r="B128" s="57">
        <f>COUNTIF(CONT_SUP[Unique Contract],CONT_SUP[[#This Row],[Unique Contract]])-1</f>
        <v>0</v>
      </c>
      <c r="C128" s="57">
        <f>IFERROR(IF(FIND(CONT_SUP[[#This Row],[SchoolCode]],_xlfn.XLOOKUP(CONT_SUP[[#This Row],[StaffMemberCode]],MEMBERS[StaffMemberCode],MEMBERS[SchoolCodes]))&gt;0,0,1),1)</f>
        <v>0</v>
      </c>
      <c r="D128" s="57" cm="1">
        <f t="array" ref="D128">IF(_xlfn.XLOOKUP(CONT_SUP[[#This Row],[StaffRoleCode]],ROLES[StaffRoleCode],ROLES[AvailableToAllSchools],1,0,)=TRUE,0,IF(ISERROR(FIND(CONT_SUP[[#This Row],[SchoolCode]],_xlfn.TEXTJOIN(",",TRUE,_xlfn.UNIQUE(IF(ROLES[StaffRoleCode]=CONT_SUP[[#This Row],[StaffRoleCode]],ROLES[SchoolCodes],""))))),1,0))</f>
        <v>0</v>
      </c>
      <c r="E128" s="57" cm="1">
        <f t="array" ref="E12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28" s="57" cm="1">
        <f t="array" ref="F128">IF(_xlfn.XLOOKUP(CONT_SUP[[#This Row],[PayScaleCode]],PAYSCALES[PayScaleCode],PAYSCALES[AvailableToAllSchools],1,0,)=TRUE,0,IF(ISERROR(FIND(CONT_SUP[[#This Row],[SchoolCode]],_xlfn.TEXTJOIN(",",TRUE,_xlfn.UNIQUE(IF(PAYSCALES[PayScaleCode]=CONT_SUP[[#This Row],[PayScaleCode]],PAYSCALES[SchoolCodes],""))))),1,0))</f>
        <v>0</v>
      </c>
      <c r="G128" s="57">
        <f>IF(_xlfn.XLOOKUP(CONT_SUP[[#This Row],[PayScaleGradeCode]],GRADES[PayScaleGradeCode],GRADES[AvailableToAllSchools])=TRUE,0,IFERROR(IF(FIND(CONT_SUP[[#This Row],[SchoolCode]],_xlfn.XLOOKUP(CONT_SUP[[#This Row],[PayScaleGradeCode]],GRADES[PayScaleGradeCode],GRADES[SchoolCodes]))&gt;=1,0,1),1))</f>
        <v>0</v>
      </c>
      <c r="H128" s="57">
        <f>IF(ISERROR(IF((_xlfn.XLOOKUP(CONT_SUP[[#This Row],[PayScaleGradeCode]],GRADES[PayScaleGradeCode],GRADES[PayScaleCode])=CONT_SUP[[#This Row],[PayScaleCode]]),0,1)),1,0)</f>
        <v>0</v>
      </c>
      <c r="I128" s="57" cm="1">
        <f t="array" ref="I128">IF(ISERROR(FIND(CONT_SUP[[#This Row],[PayScalePointCode]],_xlfn.TEXTJOIN(",",TRUE,IF(PSPOINTS[PayScaleCode]=CONT_SUP[[#This Row],[PayScaleCode]],PSPOINTS[PayScalePointCode])))),1,0)</f>
        <v>0</v>
      </c>
      <c r="J128" s="57" cm="1">
        <f t="array" ref="J12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28" s="57">
        <f>IF(_xlfn.XLOOKUP(CONT_SUP[[#This Row],[PayScalePointCode]],PSPOINTS[PayScalePointCode],PSPOINTS[PayScalePointEnabled])=TRUE,0,1)</f>
        <v>0</v>
      </c>
      <c r="L128" s="57" cm="1">
        <f t="array" ref="L128">IF(_xlfn.XLOOKUP(CONT_SUP[[#This Row],[DepartmentCode]],DEPTS[DepartmentCode],DEPTS[AvailableToAllSchools],1,0,)=TRUE,0,IF(ISERROR(FIND(CONT_SUP[[#This Row],[SchoolCode]],_xlfn.TEXTJOIN(",",TRUE,_xlfn.UNIQUE(IF(DEPTS[DepartmentCode]=CONT_SUP[[#This Row],[DepartmentCode]],DEPTS[SchoolCodes],""))))),1,0))</f>
        <v>0</v>
      </c>
      <c r="M128" s="57">
        <f>IFERROR(IF(_xlfn.XLOOKUP(CONT_SUP[[#This Row],[SRG Gross]],FinanceCodesBudget[FinanceCode],FinanceCodesBudget[LedgerCode])=_xlfn.XLOOKUP(CONT_SUP[[#This Row],[DepartmentCode]],DEPTS[DepartmentCode],DEPTS[LedgerCode]),0,1),1)</f>
        <v>0</v>
      </c>
      <c r="N128" s="57" cm="1">
        <f t="array" ref="N128">IF(_xlfn.XLOOKUP(CONT_SUP[[#This Row],[PensionCode]],PENS[PensionCode],PENS[AvailableToAllSchools],1,0,)=TRUE,0,IF(ISERROR(FIND(CONT_SUP[[#This Row],[SchoolCode]],_xlfn.TEXTJOIN(",",TRUE,_xlfn.UNIQUE(IF(PENS[PensionCode]=CONT_SUP[[#This Row],[PensionCode]],PENS[SchoolCodes],""))))),1,0))</f>
        <v>0</v>
      </c>
      <c r="O128" s="57" cm="1">
        <f t="array" ref="O128">IF(_xlfn.XLOOKUP(CONT_SUP[[#This Row],[EquatedWeekPatternCode]],EQW[EquatedWeekPatternCode],EQW[AvailableToAllSchools],1,0,)=TRUE,0,IF(ISERROR(FIND(CONT_SUP[[#This Row],[SchoolCode]],_xlfn.TEXTJOIN(",",TRUE,_xlfn.UNIQUE(IF(EQW[EquatedWeekPatternCode]=CONT_SUP[[#This Row],[EquatedWeekPatternCode]],EQW[SchoolCodes],""))))),1,0))</f>
        <v>0</v>
      </c>
      <c r="P128" s="57">
        <f>1-COUNTIF(ContractTypes[Code],CONT_SUP[[#This Row],[ContractTypeCode]])</f>
        <v>0</v>
      </c>
      <c r="Q128" s="57">
        <f>IF(VLOOKUP(CONT_SUP[[#This Row],[StaffMemberCode]],MEMBERS[[StaffMemberCode]:[ServiceStartDate]],5,0)&gt;CONT_SUP[[#This Row],[DateFrom]],1,0)</f>
        <v>0</v>
      </c>
      <c r="R128" s="57">
        <f>IF(_xlfn.XLOOKUP(CONT_SUP[[#This Row],[StaffMemberCode]],MEMBERS[StaffMemberCode],MEMBERS[ServiceEndDate])="",0,IF(CONT_SUP[[#This Row],[DateTo]]="",1,IF(_xlfn.XLOOKUP(CONT_SUP[[#This Row],[StaffMemberCode]],MEMBERS[StaffMemberCode],MEMBERS[ServiceEndDate])&lt;CONT_SUP[[#This Row],[DateTo]],1,0)))</f>
        <v>0</v>
      </c>
      <c r="S128" s="57">
        <f>IF(ISBLANK(CONT_SUP[[#This Row],[DateTo]]),0,IF(CONT_SUP[[#This Row],[DateFrom]]=CONT_SUP[[#This Row],[DateTo]],0,IF(CONT_SUP[[#This Row],[DateFrom]]&lt;CONT_SUP[[#This Row],[DateTo]],0,1)))</f>
        <v>0</v>
      </c>
      <c r="T128" s="57" cm="1">
        <f t="array" aca="1" ref="T128" ca="1">IF(CELL("format",CONT_SUP[[#This Row],[DateFrom]])="D1",0,1)+IF(CELL("format",CONT_SUP[[#This Row],[DateTo]])="D1",0,1)</f>
        <v>0</v>
      </c>
      <c r="U128" s="57">
        <f>IF(OR(CONT_SUP[[#This Row],[MatEditOnly]]=TRUE,CONT_SUP[[#This Row],[MatEditOnly]]=FALSE),IF(OR(CONT_SUP[[#This Row],[NoIncrement]]=TRUE,CONT_SUP[[#This Row],[NoIncrement]]=FALSE),0,1),1)</f>
        <v>0</v>
      </c>
      <c r="V128" s="57">
        <f>IF(ISBLANK(CONT_SUP[[#This Row],[FundCode]])=TRUE,0,IF(COUNTIF(FUNDS[FundCode],CONT_SUP[[#This Row],[FundCode]])=1,0,1))</f>
        <v>0</v>
      </c>
      <c r="W128" s="57">
        <f>IF(LEN(CONT_SUP[[#This Row],[Notes]])&lt;4000,0,1)</f>
        <v>0</v>
      </c>
      <c r="X128" s="57">
        <f>IF(SUBSTITUTE(TEXT(CONT_SUP[[#This Row],[Reference]],10)," ","")=TEXT(CONT_SUP[[#This Row],[Reference]],10),0,1)</f>
        <v>0</v>
      </c>
      <c r="Y128" s="57">
        <f ca="1">SUM(CONT_SUP[[#This Row],[Duplicate Contract]:[Space in Code]])</f>
        <v>0</v>
      </c>
      <c r="AA128" s="12" t="s">
        <v>2089</v>
      </c>
      <c r="AB128" s="12">
        <v>91073645</v>
      </c>
      <c r="AC128" s="12" t="s">
        <v>4724</v>
      </c>
      <c r="AD128" s="57" t="str">
        <f>_xlfn.XLOOKUP(CONT_SUP[[#This Row],[StaffMemberCode]],StaffMembers!O:O,StaffMembers!R:R)</f>
        <v>Helen Horton</v>
      </c>
      <c r="AE128" s="12" t="s">
        <v>4307</v>
      </c>
      <c r="AF128" s="57">
        <f>_xlfn.XLOOKUP(CONT_SUP[[#This Row],[SRG]],SRG[StaffRoleGroupCode],SRG[GrossSalaryFinanceCode])</f>
        <v>635100</v>
      </c>
      <c r="AG128" s="57" t="str">
        <f>_xlfn.XLOOKUP(CONT_SUP[[#This Row],[StaffRoleCode]],ROLES[StaffRoleCode],ROLES[StaffRoleGroupCode])</f>
        <v>MDS</v>
      </c>
      <c r="AH128" s="57" t="str">
        <f>_xlfn.XLOOKUP(CONT_SUP[[#This Row],[StaffRoleCode]],ROLES[StaffRoleCode],ROLES[PayScaleCode])</f>
        <v>NJC_CHE</v>
      </c>
      <c r="AI128" s="12" t="s">
        <v>3120</v>
      </c>
      <c r="AJ128" s="12">
        <v>2</v>
      </c>
      <c r="AK128" s="12" t="s">
        <v>2488</v>
      </c>
      <c r="AM128" s="68" t="s">
        <v>1149</v>
      </c>
      <c r="AN128" s="12" t="s">
        <v>3134</v>
      </c>
      <c r="AO128" s="21">
        <v>45901</v>
      </c>
      <c r="AQ128" s="12">
        <v>4</v>
      </c>
      <c r="AR128" t="b">
        <v>0</v>
      </c>
      <c r="AS128" t="b">
        <v>0</v>
      </c>
      <c r="AT128" s="12" t="s">
        <v>1574</v>
      </c>
    </row>
    <row r="129" spans="1:46" x14ac:dyDescent="0.3">
      <c r="A129" s="57" t="str">
        <f t="shared" si="4"/>
        <v>SBL9107574691075746AMDASMID45901</v>
      </c>
      <c r="B129" s="57">
        <f>COUNTIF(CONT_SUP[Unique Contract],CONT_SUP[[#This Row],[Unique Contract]])-1</f>
        <v>0</v>
      </c>
      <c r="C129" s="57">
        <f>IFERROR(IF(FIND(CONT_SUP[[#This Row],[SchoolCode]],_xlfn.XLOOKUP(CONT_SUP[[#This Row],[StaffMemberCode]],MEMBERS[StaffMemberCode],MEMBERS[SchoolCodes]))&gt;0,0,1),1)</f>
        <v>0</v>
      </c>
      <c r="D129" s="57" cm="1">
        <f t="array" ref="D129">IF(_xlfn.XLOOKUP(CONT_SUP[[#This Row],[StaffRoleCode]],ROLES[StaffRoleCode],ROLES[AvailableToAllSchools],1,0,)=TRUE,0,IF(ISERROR(FIND(CONT_SUP[[#This Row],[SchoolCode]],_xlfn.TEXTJOIN(",",TRUE,_xlfn.UNIQUE(IF(ROLES[StaffRoleCode]=CONT_SUP[[#This Row],[StaffRoleCode]],ROLES[SchoolCodes],""))))),1,0))</f>
        <v>0</v>
      </c>
      <c r="E129" s="57" cm="1">
        <f t="array" ref="E12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29" s="57" cm="1">
        <f t="array" ref="F129">IF(_xlfn.XLOOKUP(CONT_SUP[[#This Row],[PayScaleCode]],PAYSCALES[PayScaleCode],PAYSCALES[AvailableToAllSchools],1,0,)=TRUE,0,IF(ISERROR(FIND(CONT_SUP[[#This Row],[SchoolCode]],_xlfn.TEXTJOIN(",",TRUE,_xlfn.UNIQUE(IF(PAYSCALES[PayScaleCode]=CONT_SUP[[#This Row],[PayScaleCode]],PAYSCALES[SchoolCodes],""))))),1,0))</f>
        <v>0</v>
      </c>
      <c r="G129" s="57">
        <f>IF(_xlfn.XLOOKUP(CONT_SUP[[#This Row],[PayScaleGradeCode]],GRADES[PayScaleGradeCode],GRADES[AvailableToAllSchools])=TRUE,0,IFERROR(IF(FIND(CONT_SUP[[#This Row],[SchoolCode]],_xlfn.XLOOKUP(CONT_SUP[[#This Row],[PayScaleGradeCode]],GRADES[PayScaleGradeCode],GRADES[SchoolCodes]))&gt;=1,0,1),1))</f>
        <v>0</v>
      </c>
      <c r="H129" s="57">
        <f>IF(ISERROR(IF((_xlfn.XLOOKUP(CONT_SUP[[#This Row],[PayScaleGradeCode]],GRADES[PayScaleGradeCode],GRADES[PayScaleCode])=CONT_SUP[[#This Row],[PayScaleCode]]),0,1)),1,0)</f>
        <v>0</v>
      </c>
      <c r="I129" s="57" cm="1">
        <f t="array" ref="I129">IF(ISERROR(FIND(CONT_SUP[[#This Row],[PayScalePointCode]],_xlfn.TEXTJOIN(",",TRUE,IF(PSPOINTS[PayScaleCode]=CONT_SUP[[#This Row],[PayScaleCode]],PSPOINTS[PayScalePointCode])))),1,0)</f>
        <v>0</v>
      </c>
      <c r="J129" s="57" cm="1">
        <f t="array" ref="J12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29" s="57">
        <f>IF(_xlfn.XLOOKUP(CONT_SUP[[#This Row],[PayScalePointCode]],PSPOINTS[PayScalePointCode],PSPOINTS[PayScalePointEnabled])=TRUE,0,1)</f>
        <v>0</v>
      </c>
      <c r="L129" s="57" cm="1">
        <f t="array" ref="L129">IF(_xlfn.XLOOKUP(CONT_SUP[[#This Row],[DepartmentCode]],DEPTS[DepartmentCode],DEPTS[AvailableToAllSchools],1,0,)=TRUE,0,IF(ISERROR(FIND(CONT_SUP[[#This Row],[SchoolCode]],_xlfn.TEXTJOIN(",",TRUE,_xlfn.UNIQUE(IF(DEPTS[DepartmentCode]=CONT_SUP[[#This Row],[DepartmentCode]],DEPTS[SchoolCodes],""))))),1,0))</f>
        <v>0</v>
      </c>
      <c r="M129" s="57">
        <f>IFERROR(IF(_xlfn.XLOOKUP(CONT_SUP[[#This Row],[SRG Gross]],FinanceCodesBudget[FinanceCode],FinanceCodesBudget[LedgerCode])=_xlfn.XLOOKUP(CONT_SUP[[#This Row],[DepartmentCode]],DEPTS[DepartmentCode],DEPTS[LedgerCode]),0,1),1)</f>
        <v>0</v>
      </c>
      <c r="N129" s="57" cm="1">
        <f t="array" ref="N129">IF(_xlfn.XLOOKUP(CONT_SUP[[#This Row],[PensionCode]],PENS[PensionCode],PENS[AvailableToAllSchools],1,0,)=TRUE,0,IF(ISERROR(FIND(CONT_SUP[[#This Row],[SchoolCode]],_xlfn.TEXTJOIN(",",TRUE,_xlfn.UNIQUE(IF(PENS[PensionCode]=CONT_SUP[[#This Row],[PensionCode]],PENS[SchoolCodes],""))))),1,0))</f>
        <v>0</v>
      </c>
      <c r="O129" s="57" cm="1">
        <f t="array" ref="O129">IF(_xlfn.XLOOKUP(CONT_SUP[[#This Row],[EquatedWeekPatternCode]],EQW[EquatedWeekPatternCode],EQW[AvailableToAllSchools],1,0,)=TRUE,0,IF(ISERROR(FIND(CONT_SUP[[#This Row],[SchoolCode]],_xlfn.TEXTJOIN(",",TRUE,_xlfn.UNIQUE(IF(EQW[EquatedWeekPatternCode]=CONT_SUP[[#This Row],[EquatedWeekPatternCode]],EQW[SchoolCodes],""))))),1,0))</f>
        <v>0</v>
      </c>
      <c r="P129" s="57">
        <f>1-COUNTIF(ContractTypes[Code],CONT_SUP[[#This Row],[ContractTypeCode]])</f>
        <v>0</v>
      </c>
      <c r="Q129" s="57">
        <f>IF(VLOOKUP(CONT_SUP[[#This Row],[StaffMemberCode]],MEMBERS[[StaffMemberCode]:[ServiceStartDate]],5,0)&gt;CONT_SUP[[#This Row],[DateFrom]],1,0)</f>
        <v>0</v>
      </c>
      <c r="R129" s="57">
        <f>IF(_xlfn.XLOOKUP(CONT_SUP[[#This Row],[StaffMemberCode]],MEMBERS[StaffMemberCode],MEMBERS[ServiceEndDate])="",0,IF(CONT_SUP[[#This Row],[DateTo]]="",1,IF(_xlfn.XLOOKUP(CONT_SUP[[#This Row],[StaffMemberCode]],MEMBERS[StaffMemberCode],MEMBERS[ServiceEndDate])&lt;CONT_SUP[[#This Row],[DateTo]],1,0)))</f>
        <v>0</v>
      </c>
      <c r="S129" s="57">
        <f>IF(ISBLANK(CONT_SUP[[#This Row],[DateTo]]),0,IF(CONT_SUP[[#This Row],[DateFrom]]=CONT_SUP[[#This Row],[DateTo]],0,IF(CONT_SUP[[#This Row],[DateFrom]]&lt;CONT_SUP[[#This Row],[DateTo]],0,1)))</f>
        <v>0</v>
      </c>
      <c r="T129" s="57" cm="1">
        <f t="array" aca="1" ref="T129" ca="1">IF(CELL("format",CONT_SUP[[#This Row],[DateFrom]])="D1",0,1)+IF(CELL("format",CONT_SUP[[#This Row],[DateTo]])="D1",0,1)</f>
        <v>0</v>
      </c>
      <c r="U129" s="57">
        <f>IF(OR(CONT_SUP[[#This Row],[MatEditOnly]]=TRUE,CONT_SUP[[#This Row],[MatEditOnly]]=FALSE),IF(OR(CONT_SUP[[#This Row],[NoIncrement]]=TRUE,CONT_SUP[[#This Row],[NoIncrement]]=FALSE),0,1),1)</f>
        <v>0</v>
      </c>
      <c r="V129" s="57">
        <f>IF(ISBLANK(CONT_SUP[[#This Row],[FundCode]])=TRUE,0,IF(COUNTIF(FUNDS[FundCode],CONT_SUP[[#This Row],[FundCode]])=1,0,1))</f>
        <v>0</v>
      </c>
      <c r="W129" s="57">
        <f>IF(LEN(CONT_SUP[[#This Row],[Notes]])&lt;4000,0,1)</f>
        <v>0</v>
      </c>
      <c r="X129" s="57">
        <f>IF(SUBSTITUTE(TEXT(CONT_SUP[[#This Row],[Reference]],10)," ","")=TEXT(CONT_SUP[[#This Row],[Reference]],10),0,1)</f>
        <v>0</v>
      </c>
      <c r="Y129" s="57">
        <f ca="1">SUM(CONT_SUP[[#This Row],[Duplicate Contract]:[Space in Code]])</f>
        <v>0</v>
      </c>
      <c r="AA129" s="12" t="s">
        <v>2200</v>
      </c>
      <c r="AB129" s="12">
        <v>91075746</v>
      </c>
      <c r="AC129" s="12" t="s">
        <v>4725</v>
      </c>
      <c r="AD129" s="57" t="str">
        <f>_xlfn.XLOOKUP(CONT_SUP[[#This Row],[StaffMemberCode]],StaffMembers!O:O,StaffMembers!R:R)</f>
        <v>Janette Howard</v>
      </c>
      <c r="AE129" s="12" t="s">
        <v>4307</v>
      </c>
      <c r="AF129" s="57">
        <f>_xlfn.XLOOKUP(CONT_SUP[[#This Row],[SRG]],SRG[StaffRoleGroupCode],SRG[GrossSalaryFinanceCode])</f>
        <v>635100</v>
      </c>
      <c r="AG129" s="57" t="str">
        <f>_xlfn.XLOOKUP(CONT_SUP[[#This Row],[StaffRoleCode]],ROLES[StaffRoleCode],ROLES[StaffRoleGroupCode])</f>
        <v>MDS</v>
      </c>
      <c r="AH129" s="57" t="str">
        <f>_xlfn.XLOOKUP(CONT_SUP[[#This Row],[StaffRoleCode]],ROLES[StaffRoleCode],ROLES[PayScaleCode])</f>
        <v>NJC_CHE</v>
      </c>
      <c r="AI129" s="12" t="s">
        <v>3120</v>
      </c>
      <c r="AJ129" s="12">
        <v>2</v>
      </c>
      <c r="AK129" s="12" t="s">
        <v>2488</v>
      </c>
      <c r="AM129" s="68" t="s">
        <v>3132</v>
      </c>
      <c r="AN129" s="12" t="s">
        <v>3134</v>
      </c>
      <c r="AO129" s="21">
        <v>45901</v>
      </c>
      <c r="AQ129" s="12">
        <v>6.25</v>
      </c>
      <c r="AR129" t="b">
        <v>0</v>
      </c>
      <c r="AS129" t="b">
        <v>0</v>
      </c>
      <c r="AT129" s="12" t="s">
        <v>1574</v>
      </c>
    </row>
    <row r="130" spans="1:46" x14ac:dyDescent="0.3">
      <c r="A130" s="57" t="str">
        <f t="shared" si="4"/>
        <v>WVP9107342491073424AMDASMID45901</v>
      </c>
      <c r="B130" s="57">
        <f>COUNTIF(CONT_SUP[Unique Contract],CONT_SUP[[#This Row],[Unique Contract]])-1</f>
        <v>0</v>
      </c>
      <c r="C130" s="57">
        <f>IFERROR(IF(FIND(CONT_SUP[[#This Row],[SchoolCode]],_xlfn.XLOOKUP(CONT_SUP[[#This Row],[StaffMemberCode]],MEMBERS[StaffMemberCode],MEMBERS[SchoolCodes]))&gt;0,0,1),1)</f>
        <v>0</v>
      </c>
      <c r="D130" s="57" cm="1">
        <f t="array" ref="D130">IF(_xlfn.XLOOKUP(CONT_SUP[[#This Row],[StaffRoleCode]],ROLES[StaffRoleCode],ROLES[AvailableToAllSchools],1,0,)=TRUE,0,IF(ISERROR(FIND(CONT_SUP[[#This Row],[SchoolCode]],_xlfn.TEXTJOIN(",",TRUE,_xlfn.UNIQUE(IF(ROLES[StaffRoleCode]=CONT_SUP[[#This Row],[StaffRoleCode]],ROLES[SchoolCodes],""))))),1,0))</f>
        <v>0</v>
      </c>
      <c r="E130" s="57" cm="1">
        <f t="array" ref="E13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30" s="57" cm="1">
        <f t="array" ref="F130">IF(_xlfn.XLOOKUP(CONT_SUP[[#This Row],[PayScaleCode]],PAYSCALES[PayScaleCode],PAYSCALES[AvailableToAllSchools],1,0,)=TRUE,0,IF(ISERROR(FIND(CONT_SUP[[#This Row],[SchoolCode]],_xlfn.TEXTJOIN(",",TRUE,_xlfn.UNIQUE(IF(PAYSCALES[PayScaleCode]=CONT_SUP[[#This Row],[PayScaleCode]],PAYSCALES[SchoolCodes],""))))),1,0))</f>
        <v>0</v>
      </c>
      <c r="G130" s="57">
        <f>IF(_xlfn.XLOOKUP(CONT_SUP[[#This Row],[PayScaleGradeCode]],GRADES[PayScaleGradeCode],GRADES[AvailableToAllSchools])=TRUE,0,IFERROR(IF(FIND(CONT_SUP[[#This Row],[SchoolCode]],_xlfn.XLOOKUP(CONT_SUP[[#This Row],[PayScaleGradeCode]],GRADES[PayScaleGradeCode],GRADES[SchoolCodes]))&gt;=1,0,1),1))</f>
        <v>0</v>
      </c>
      <c r="H130" s="57">
        <f>IF(ISERROR(IF((_xlfn.XLOOKUP(CONT_SUP[[#This Row],[PayScaleGradeCode]],GRADES[PayScaleGradeCode],GRADES[PayScaleCode])=CONT_SUP[[#This Row],[PayScaleCode]]),0,1)),1,0)</f>
        <v>0</v>
      </c>
      <c r="I130" s="57" cm="1">
        <f t="array" ref="I130">IF(ISERROR(FIND(CONT_SUP[[#This Row],[PayScalePointCode]],_xlfn.TEXTJOIN(",",TRUE,IF(PSPOINTS[PayScaleCode]=CONT_SUP[[#This Row],[PayScaleCode]],PSPOINTS[PayScalePointCode])))),1,0)</f>
        <v>0</v>
      </c>
      <c r="J130" s="57" cm="1">
        <f t="array" ref="J13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30" s="57">
        <f>IF(_xlfn.XLOOKUP(CONT_SUP[[#This Row],[PayScalePointCode]],PSPOINTS[PayScalePointCode],PSPOINTS[PayScalePointEnabled])=TRUE,0,1)</f>
        <v>0</v>
      </c>
      <c r="L130" s="57" cm="1">
        <f t="array" ref="L130">IF(_xlfn.XLOOKUP(CONT_SUP[[#This Row],[DepartmentCode]],DEPTS[DepartmentCode],DEPTS[AvailableToAllSchools],1,0,)=TRUE,0,IF(ISERROR(FIND(CONT_SUP[[#This Row],[SchoolCode]],_xlfn.TEXTJOIN(",",TRUE,_xlfn.UNIQUE(IF(DEPTS[DepartmentCode]=CONT_SUP[[#This Row],[DepartmentCode]],DEPTS[SchoolCodes],""))))),1,0))</f>
        <v>0</v>
      </c>
      <c r="M130" s="57">
        <f>IFERROR(IF(_xlfn.XLOOKUP(CONT_SUP[[#This Row],[SRG Gross]],FinanceCodesBudget[FinanceCode],FinanceCodesBudget[LedgerCode])=_xlfn.XLOOKUP(CONT_SUP[[#This Row],[DepartmentCode]],DEPTS[DepartmentCode],DEPTS[LedgerCode]),0,1),1)</f>
        <v>0</v>
      </c>
      <c r="N130" s="57" cm="1">
        <f t="array" ref="N130">IF(_xlfn.XLOOKUP(CONT_SUP[[#This Row],[PensionCode]],PENS[PensionCode],PENS[AvailableToAllSchools],1,0,)=TRUE,0,IF(ISERROR(FIND(CONT_SUP[[#This Row],[SchoolCode]],_xlfn.TEXTJOIN(",",TRUE,_xlfn.UNIQUE(IF(PENS[PensionCode]=CONT_SUP[[#This Row],[PensionCode]],PENS[SchoolCodes],""))))),1,0))</f>
        <v>0</v>
      </c>
      <c r="O130" s="57" cm="1">
        <f t="array" ref="O130">IF(_xlfn.XLOOKUP(CONT_SUP[[#This Row],[EquatedWeekPatternCode]],EQW[EquatedWeekPatternCode],EQW[AvailableToAllSchools],1,0,)=TRUE,0,IF(ISERROR(FIND(CONT_SUP[[#This Row],[SchoolCode]],_xlfn.TEXTJOIN(",",TRUE,_xlfn.UNIQUE(IF(EQW[EquatedWeekPatternCode]=CONT_SUP[[#This Row],[EquatedWeekPatternCode]],EQW[SchoolCodes],""))))),1,0))</f>
        <v>0</v>
      </c>
      <c r="P130" s="57">
        <f>1-COUNTIF(ContractTypes[Code],CONT_SUP[[#This Row],[ContractTypeCode]])</f>
        <v>0</v>
      </c>
      <c r="Q130" s="57">
        <f>IF(VLOOKUP(CONT_SUP[[#This Row],[StaffMemberCode]],MEMBERS[[StaffMemberCode]:[ServiceStartDate]],5,0)&gt;CONT_SUP[[#This Row],[DateFrom]],1,0)</f>
        <v>0</v>
      </c>
      <c r="R130" s="57">
        <f>IF(_xlfn.XLOOKUP(CONT_SUP[[#This Row],[StaffMemberCode]],MEMBERS[StaffMemberCode],MEMBERS[ServiceEndDate])="",0,IF(CONT_SUP[[#This Row],[DateTo]]="",1,IF(_xlfn.XLOOKUP(CONT_SUP[[#This Row],[StaffMemberCode]],MEMBERS[StaffMemberCode],MEMBERS[ServiceEndDate])&lt;CONT_SUP[[#This Row],[DateTo]],1,0)))</f>
        <v>0</v>
      </c>
      <c r="S130" s="57">
        <f>IF(ISBLANK(CONT_SUP[[#This Row],[DateTo]]),0,IF(CONT_SUP[[#This Row],[DateFrom]]=CONT_SUP[[#This Row],[DateTo]],0,IF(CONT_SUP[[#This Row],[DateFrom]]&lt;CONT_SUP[[#This Row],[DateTo]],0,1)))</f>
        <v>0</v>
      </c>
      <c r="T130" s="57" cm="1">
        <f t="array" aca="1" ref="T130" ca="1">IF(CELL("format",CONT_SUP[[#This Row],[DateFrom]])="D1",0,1)+IF(CELL("format",CONT_SUP[[#This Row],[DateTo]])="D1",0,1)</f>
        <v>0</v>
      </c>
      <c r="U130" s="57">
        <f>IF(OR(CONT_SUP[[#This Row],[MatEditOnly]]=TRUE,CONT_SUP[[#This Row],[MatEditOnly]]=FALSE),IF(OR(CONT_SUP[[#This Row],[NoIncrement]]=TRUE,CONT_SUP[[#This Row],[NoIncrement]]=FALSE),0,1),1)</f>
        <v>0</v>
      </c>
      <c r="V130" s="57">
        <f>IF(ISBLANK(CONT_SUP[[#This Row],[FundCode]])=TRUE,0,IF(COUNTIF(FUNDS[FundCode],CONT_SUP[[#This Row],[FundCode]])=1,0,1))</f>
        <v>0</v>
      </c>
      <c r="W130" s="57">
        <f>IF(LEN(CONT_SUP[[#This Row],[Notes]])&lt;4000,0,1)</f>
        <v>0</v>
      </c>
      <c r="X130" s="57">
        <f>IF(SUBSTITUTE(TEXT(CONT_SUP[[#This Row],[Reference]],10)," ","")=TEXT(CONT_SUP[[#This Row],[Reference]],10),0,1)</f>
        <v>0</v>
      </c>
      <c r="Y130" s="57">
        <f ca="1">SUM(CONT_SUP[[#This Row],[Duplicate Contract]:[Space in Code]])</f>
        <v>0</v>
      </c>
      <c r="AA130" s="12" t="s">
        <v>2275</v>
      </c>
      <c r="AB130" s="12">
        <v>91073424</v>
      </c>
      <c r="AC130" s="12" t="s">
        <v>4726</v>
      </c>
      <c r="AD130" s="57" t="str">
        <f>_xlfn.XLOOKUP(CONT_SUP[[#This Row],[StaffMemberCode]],StaffMembers!O:O,StaffMembers!R:R)</f>
        <v>Janine Leonard</v>
      </c>
      <c r="AE130" s="12" t="s">
        <v>4307</v>
      </c>
      <c r="AF130" s="57">
        <f>_xlfn.XLOOKUP(CONT_SUP[[#This Row],[SRG]],SRG[StaffRoleGroupCode],SRG[GrossSalaryFinanceCode])</f>
        <v>635100</v>
      </c>
      <c r="AG130" s="57" t="str">
        <f>_xlfn.XLOOKUP(CONT_SUP[[#This Row],[StaffRoleCode]],ROLES[StaffRoleCode],ROLES[StaffRoleGroupCode])</f>
        <v>MDS</v>
      </c>
      <c r="AH130" s="57" t="str">
        <f>_xlfn.XLOOKUP(CONT_SUP[[#This Row],[StaffRoleCode]],ROLES[StaffRoleCode],ROLES[PayScaleCode])</f>
        <v>NJC_CHE</v>
      </c>
      <c r="AI130" s="12" t="s">
        <v>3120</v>
      </c>
      <c r="AJ130" s="12">
        <v>2</v>
      </c>
      <c r="AK130" s="12" t="s">
        <v>2488</v>
      </c>
      <c r="AM130" s="68" t="s">
        <v>3132</v>
      </c>
      <c r="AN130" s="12" t="s">
        <v>3134</v>
      </c>
      <c r="AO130" s="21">
        <v>45901</v>
      </c>
      <c r="AQ130" s="12">
        <v>8.75</v>
      </c>
      <c r="AR130" t="b">
        <v>0</v>
      </c>
      <c r="AS130" t="b">
        <v>0</v>
      </c>
      <c r="AT130" s="12" t="s">
        <v>1574</v>
      </c>
    </row>
    <row r="131" spans="1:46" x14ac:dyDescent="0.3">
      <c r="A131" s="57" t="str">
        <f t="shared" si="4"/>
        <v>BLS9107348391073483AMDASMID45901</v>
      </c>
      <c r="B131" s="57">
        <f>COUNTIF(CONT_SUP[Unique Contract],CONT_SUP[[#This Row],[Unique Contract]])-1</f>
        <v>0</v>
      </c>
      <c r="C131" s="57">
        <f>IFERROR(IF(FIND(CONT_SUP[[#This Row],[SchoolCode]],_xlfn.XLOOKUP(CONT_SUP[[#This Row],[StaffMemberCode]],MEMBERS[StaffMemberCode],MEMBERS[SchoolCodes]))&gt;0,0,1),1)</f>
        <v>0</v>
      </c>
      <c r="D131" s="57" cm="1">
        <f t="array" ref="D131">IF(_xlfn.XLOOKUP(CONT_SUP[[#This Row],[StaffRoleCode]],ROLES[StaffRoleCode],ROLES[AvailableToAllSchools],1,0,)=TRUE,0,IF(ISERROR(FIND(CONT_SUP[[#This Row],[SchoolCode]],_xlfn.TEXTJOIN(",",TRUE,_xlfn.UNIQUE(IF(ROLES[StaffRoleCode]=CONT_SUP[[#This Row],[StaffRoleCode]],ROLES[SchoolCodes],""))))),1,0))</f>
        <v>0</v>
      </c>
      <c r="E131" s="57" cm="1">
        <f t="array" ref="E13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31" s="57" cm="1">
        <f t="array" ref="F131">IF(_xlfn.XLOOKUP(CONT_SUP[[#This Row],[PayScaleCode]],PAYSCALES[PayScaleCode],PAYSCALES[AvailableToAllSchools],1,0,)=TRUE,0,IF(ISERROR(FIND(CONT_SUP[[#This Row],[SchoolCode]],_xlfn.TEXTJOIN(",",TRUE,_xlfn.UNIQUE(IF(PAYSCALES[PayScaleCode]=CONT_SUP[[#This Row],[PayScaleCode]],PAYSCALES[SchoolCodes],""))))),1,0))</f>
        <v>0</v>
      </c>
      <c r="G131" s="57">
        <f>IF(_xlfn.XLOOKUP(CONT_SUP[[#This Row],[PayScaleGradeCode]],GRADES[PayScaleGradeCode],GRADES[AvailableToAllSchools])=TRUE,0,IFERROR(IF(FIND(CONT_SUP[[#This Row],[SchoolCode]],_xlfn.XLOOKUP(CONT_SUP[[#This Row],[PayScaleGradeCode]],GRADES[PayScaleGradeCode],GRADES[SchoolCodes]))&gt;=1,0,1),1))</f>
        <v>0</v>
      </c>
      <c r="H131" s="57">
        <f>IF(ISERROR(IF((_xlfn.XLOOKUP(CONT_SUP[[#This Row],[PayScaleGradeCode]],GRADES[PayScaleGradeCode],GRADES[PayScaleCode])=CONT_SUP[[#This Row],[PayScaleCode]]),0,1)),1,0)</f>
        <v>0</v>
      </c>
      <c r="I131" s="57" cm="1">
        <f t="array" ref="I131">IF(ISERROR(FIND(CONT_SUP[[#This Row],[PayScalePointCode]],_xlfn.TEXTJOIN(",",TRUE,IF(PSPOINTS[PayScaleCode]=CONT_SUP[[#This Row],[PayScaleCode]],PSPOINTS[PayScalePointCode])))),1,0)</f>
        <v>0</v>
      </c>
      <c r="J131" s="57" cm="1">
        <f t="array" ref="J13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31" s="57">
        <f>IF(_xlfn.XLOOKUP(CONT_SUP[[#This Row],[PayScalePointCode]],PSPOINTS[PayScalePointCode],PSPOINTS[PayScalePointEnabled])=TRUE,0,1)</f>
        <v>0</v>
      </c>
      <c r="L131" s="57" cm="1">
        <f t="array" ref="L131">IF(_xlfn.XLOOKUP(CONT_SUP[[#This Row],[DepartmentCode]],DEPTS[DepartmentCode],DEPTS[AvailableToAllSchools],1,0,)=TRUE,0,IF(ISERROR(FIND(CONT_SUP[[#This Row],[SchoolCode]],_xlfn.TEXTJOIN(",",TRUE,_xlfn.UNIQUE(IF(DEPTS[DepartmentCode]=CONT_SUP[[#This Row],[DepartmentCode]],DEPTS[SchoolCodes],""))))),1,0))</f>
        <v>0</v>
      </c>
      <c r="M131" s="57">
        <f>IFERROR(IF(_xlfn.XLOOKUP(CONT_SUP[[#This Row],[SRG Gross]],FinanceCodesBudget[FinanceCode],FinanceCodesBudget[LedgerCode])=_xlfn.XLOOKUP(CONT_SUP[[#This Row],[DepartmentCode]],DEPTS[DepartmentCode],DEPTS[LedgerCode]),0,1),1)</f>
        <v>0</v>
      </c>
      <c r="N131" s="57" cm="1">
        <f t="array" ref="N131">IF(_xlfn.XLOOKUP(CONT_SUP[[#This Row],[PensionCode]],PENS[PensionCode],PENS[AvailableToAllSchools],1,0,)=TRUE,0,IF(ISERROR(FIND(CONT_SUP[[#This Row],[SchoolCode]],_xlfn.TEXTJOIN(",",TRUE,_xlfn.UNIQUE(IF(PENS[PensionCode]=CONT_SUP[[#This Row],[PensionCode]],PENS[SchoolCodes],""))))),1,0))</f>
        <v>0</v>
      </c>
      <c r="O131" s="57" cm="1">
        <f t="array" ref="O131">IF(_xlfn.XLOOKUP(CONT_SUP[[#This Row],[EquatedWeekPatternCode]],EQW[EquatedWeekPatternCode],EQW[AvailableToAllSchools],1,0,)=TRUE,0,IF(ISERROR(FIND(CONT_SUP[[#This Row],[SchoolCode]],_xlfn.TEXTJOIN(",",TRUE,_xlfn.UNIQUE(IF(EQW[EquatedWeekPatternCode]=CONT_SUP[[#This Row],[EquatedWeekPatternCode]],EQW[SchoolCodes],""))))),1,0))</f>
        <v>0</v>
      </c>
      <c r="P131" s="57">
        <f>1-COUNTIF(ContractTypes[Code],CONT_SUP[[#This Row],[ContractTypeCode]])</f>
        <v>0</v>
      </c>
      <c r="Q131" s="57">
        <f>IF(VLOOKUP(CONT_SUP[[#This Row],[StaffMemberCode]],MEMBERS[[StaffMemberCode]:[ServiceStartDate]],5,0)&gt;CONT_SUP[[#This Row],[DateFrom]],1,0)</f>
        <v>0</v>
      </c>
      <c r="R131" s="57">
        <f>IF(_xlfn.XLOOKUP(CONT_SUP[[#This Row],[StaffMemberCode]],MEMBERS[StaffMemberCode],MEMBERS[ServiceEndDate])="",0,IF(CONT_SUP[[#This Row],[DateTo]]="",1,IF(_xlfn.XLOOKUP(CONT_SUP[[#This Row],[StaffMemberCode]],MEMBERS[StaffMemberCode],MEMBERS[ServiceEndDate])&lt;CONT_SUP[[#This Row],[DateTo]],1,0)))</f>
        <v>0</v>
      </c>
      <c r="S131" s="57">
        <f>IF(ISBLANK(CONT_SUP[[#This Row],[DateTo]]),0,IF(CONT_SUP[[#This Row],[DateFrom]]=CONT_SUP[[#This Row],[DateTo]],0,IF(CONT_SUP[[#This Row],[DateFrom]]&lt;CONT_SUP[[#This Row],[DateTo]],0,1)))</f>
        <v>0</v>
      </c>
      <c r="T131" s="57" cm="1">
        <f t="array" aca="1" ref="T131" ca="1">IF(CELL("format",CONT_SUP[[#This Row],[DateFrom]])="D1",0,1)+IF(CELL("format",CONT_SUP[[#This Row],[DateTo]])="D1",0,1)</f>
        <v>0</v>
      </c>
      <c r="U131" s="57">
        <f>IF(OR(CONT_SUP[[#This Row],[MatEditOnly]]=TRUE,CONT_SUP[[#This Row],[MatEditOnly]]=FALSE),IF(OR(CONT_SUP[[#This Row],[NoIncrement]]=TRUE,CONT_SUP[[#This Row],[NoIncrement]]=FALSE),0,1),1)</f>
        <v>0</v>
      </c>
      <c r="V131" s="57">
        <f>IF(ISBLANK(CONT_SUP[[#This Row],[FundCode]])=TRUE,0,IF(COUNTIF(FUNDS[FundCode],CONT_SUP[[#This Row],[FundCode]])=1,0,1))</f>
        <v>0</v>
      </c>
      <c r="W131" s="57">
        <f>IF(LEN(CONT_SUP[[#This Row],[Notes]])&lt;4000,0,1)</f>
        <v>0</v>
      </c>
      <c r="X131" s="57">
        <f>IF(SUBSTITUTE(TEXT(CONT_SUP[[#This Row],[Reference]],10)," ","")=TEXT(CONT_SUP[[#This Row],[Reference]],10),0,1)</f>
        <v>0</v>
      </c>
      <c r="Y131" s="57">
        <f ca="1">SUM(CONT_SUP[[#This Row],[Duplicate Contract]:[Space in Code]])</f>
        <v>0</v>
      </c>
      <c r="AA131" s="12" t="s">
        <v>2094</v>
      </c>
      <c r="AB131" s="12">
        <v>91073483</v>
      </c>
      <c r="AC131" s="12" t="s">
        <v>4727</v>
      </c>
      <c r="AD131" s="57" t="str">
        <f>_xlfn.XLOOKUP(CONT_SUP[[#This Row],[StaffMemberCode]],StaffMembers!O:O,StaffMembers!R:R)</f>
        <v>Jayne Boffey</v>
      </c>
      <c r="AE131" s="12" t="s">
        <v>4307</v>
      </c>
      <c r="AF131" s="57">
        <f>_xlfn.XLOOKUP(CONT_SUP[[#This Row],[SRG]],SRG[StaffRoleGroupCode],SRG[GrossSalaryFinanceCode])</f>
        <v>635100</v>
      </c>
      <c r="AG131" s="57" t="str">
        <f>_xlfn.XLOOKUP(CONT_SUP[[#This Row],[StaffRoleCode]],ROLES[StaffRoleCode],ROLES[StaffRoleGroupCode])</f>
        <v>MDS</v>
      </c>
      <c r="AH131" s="57" t="str">
        <f>_xlfn.XLOOKUP(CONT_SUP[[#This Row],[StaffRoleCode]],ROLES[StaffRoleCode],ROLES[PayScaleCode])</f>
        <v>NJC_CHE</v>
      </c>
      <c r="AI131" s="12" t="s">
        <v>3120</v>
      </c>
      <c r="AJ131" s="12">
        <v>2</v>
      </c>
      <c r="AK131" s="12" t="s">
        <v>2488</v>
      </c>
      <c r="AM131" s="68" t="s">
        <v>3132</v>
      </c>
      <c r="AN131" s="12" t="s">
        <v>3134</v>
      </c>
      <c r="AO131" s="21">
        <v>45901</v>
      </c>
      <c r="AQ131" s="12">
        <v>16</v>
      </c>
      <c r="AR131" t="b">
        <v>0</v>
      </c>
      <c r="AS131" t="b">
        <v>0</v>
      </c>
      <c r="AT131" s="12" t="s">
        <v>1574</v>
      </c>
    </row>
    <row r="132" spans="1:46" x14ac:dyDescent="0.3">
      <c r="A132" s="57" t="str">
        <f t="shared" si="4"/>
        <v>BLS9107356991073569AMDASMID45901</v>
      </c>
      <c r="B132" s="57">
        <f>COUNTIF(CONT_SUP[Unique Contract],CONT_SUP[[#This Row],[Unique Contract]])-1</f>
        <v>0</v>
      </c>
      <c r="C132" s="57">
        <f>IFERROR(IF(FIND(CONT_SUP[[#This Row],[SchoolCode]],_xlfn.XLOOKUP(CONT_SUP[[#This Row],[StaffMemberCode]],MEMBERS[StaffMemberCode],MEMBERS[SchoolCodes]))&gt;0,0,1),1)</f>
        <v>0</v>
      </c>
      <c r="D132" s="57" cm="1">
        <f t="array" ref="D132">IF(_xlfn.XLOOKUP(CONT_SUP[[#This Row],[StaffRoleCode]],ROLES[StaffRoleCode],ROLES[AvailableToAllSchools],1,0,)=TRUE,0,IF(ISERROR(FIND(CONT_SUP[[#This Row],[SchoolCode]],_xlfn.TEXTJOIN(",",TRUE,_xlfn.UNIQUE(IF(ROLES[StaffRoleCode]=CONT_SUP[[#This Row],[StaffRoleCode]],ROLES[SchoolCodes],""))))),1,0))</f>
        <v>0</v>
      </c>
      <c r="E132" s="57" cm="1">
        <f t="array" ref="E13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32" s="57" cm="1">
        <f t="array" ref="F132">IF(_xlfn.XLOOKUP(CONT_SUP[[#This Row],[PayScaleCode]],PAYSCALES[PayScaleCode],PAYSCALES[AvailableToAllSchools],1,0,)=TRUE,0,IF(ISERROR(FIND(CONT_SUP[[#This Row],[SchoolCode]],_xlfn.TEXTJOIN(",",TRUE,_xlfn.UNIQUE(IF(PAYSCALES[PayScaleCode]=CONT_SUP[[#This Row],[PayScaleCode]],PAYSCALES[SchoolCodes],""))))),1,0))</f>
        <v>0</v>
      </c>
      <c r="G132" s="57">
        <f>IF(_xlfn.XLOOKUP(CONT_SUP[[#This Row],[PayScaleGradeCode]],GRADES[PayScaleGradeCode],GRADES[AvailableToAllSchools])=TRUE,0,IFERROR(IF(FIND(CONT_SUP[[#This Row],[SchoolCode]],_xlfn.XLOOKUP(CONT_SUP[[#This Row],[PayScaleGradeCode]],GRADES[PayScaleGradeCode],GRADES[SchoolCodes]))&gt;=1,0,1),1))</f>
        <v>0</v>
      </c>
      <c r="H132" s="57">
        <f>IF(ISERROR(IF((_xlfn.XLOOKUP(CONT_SUP[[#This Row],[PayScaleGradeCode]],GRADES[PayScaleGradeCode],GRADES[PayScaleCode])=CONT_SUP[[#This Row],[PayScaleCode]]),0,1)),1,0)</f>
        <v>0</v>
      </c>
      <c r="I132" s="57" cm="1">
        <f t="array" ref="I132">IF(ISERROR(FIND(CONT_SUP[[#This Row],[PayScalePointCode]],_xlfn.TEXTJOIN(",",TRUE,IF(PSPOINTS[PayScaleCode]=CONT_SUP[[#This Row],[PayScaleCode]],PSPOINTS[PayScalePointCode])))),1,0)</f>
        <v>0</v>
      </c>
      <c r="J132" s="57" cm="1">
        <f t="array" ref="J13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32" s="57">
        <f>IF(_xlfn.XLOOKUP(CONT_SUP[[#This Row],[PayScalePointCode]],PSPOINTS[PayScalePointCode],PSPOINTS[PayScalePointEnabled])=TRUE,0,1)</f>
        <v>0</v>
      </c>
      <c r="L132" s="57" cm="1">
        <f t="array" ref="L132">IF(_xlfn.XLOOKUP(CONT_SUP[[#This Row],[DepartmentCode]],DEPTS[DepartmentCode],DEPTS[AvailableToAllSchools],1,0,)=TRUE,0,IF(ISERROR(FIND(CONT_SUP[[#This Row],[SchoolCode]],_xlfn.TEXTJOIN(",",TRUE,_xlfn.UNIQUE(IF(DEPTS[DepartmentCode]=CONT_SUP[[#This Row],[DepartmentCode]],DEPTS[SchoolCodes],""))))),1,0))</f>
        <v>0</v>
      </c>
      <c r="M132" s="57">
        <f>IFERROR(IF(_xlfn.XLOOKUP(CONT_SUP[[#This Row],[SRG Gross]],FinanceCodesBudget[FinanceCode],FinanceCodesBudget[LedgerCode])=_xlfn.XLOOKUP(CONT_SUP[[#This Row],[DepartmentCode]],DEPTS[DepartmentCode],DEPTS[LedgerCode]),0,1),1)</f>
        <v>0</v>
      </c>
      <c r="N132" s="57" cm="1">
        <f t="array" ref="N132">IF(_xlfn.XLOOKUP(CONT_SUP[[#This Row],[PensionCode]],PENS[PensionCode],PENS[AvailableToAllSchools],1,0,)=TRUE,0,IF(ISERROR(FIND(CONT_SUP[[#This Row],[SchoolCode]],_xlfn.TEXTJOIN(",",TRUE,_xlfn.UNIQUE(IF(PENS[PensionCode]=CONT_SUP[[#This Row],[PensionCode]],PENS[SchoolCodes],""))))),1,0))</f>
        <v>0</v>
      </c>
      <c r="O132" s="57" cm="1">
        <f t="array" ref="O132">IF(_xlfn.XLOOKUP(CONT_SUP[[#This Row],[EquatedWeekPatternCode]],EQW[EquatedWeekPatternCode],EQW[AvailableToAllSchools],1,0,)=TRUE,0,IF(ISERROR(FIND(CONT_SUP[[#This Row],[SchoolCode]],_xlfn.TEXTJOIN(",",TRUE,_xlfn.UNIQUE(IF(EQW[EquatedWeekPatternCode]=CONT_SUP[[#This Row],[EquatedWeekPatternCode]],EQW[SchoolCodes],""))))),1,0))</f>
        <v>0</v>
      </c>
      <c r="P132" s="57">
        <f>1-COUNTIF(ContractTypes[Code],CONT_SUP[[#This Row],[ContractTypeCode]])</f>
        <v>0</v>
      </c>
      <c r="Q132" s="57">
        <f>IF(VLOOKUP(CONT_SUP[[#This Row],[StaffMemberCode]],MEMBERS[[StaffMemberCode]:[ServiceStartDate]],5,0)&gt;CONT_SUP[[#This Row],[DateFrom]],1,0)</f>
        <v>0</v>
      </c>
      <c r="R132" s="57">
        <f>IF(_xlfn.XLOOKUP(CONT_SUP[[#This Row],[StaffMemberCode]],MEMBERS[StaffMemberCode],MEMBERS[ServiceEndDate])="",0,IF(CONT_SUP[[#This Row],[DateTo]]="",1,IF(_xlfn.XLOOKUP(CONT_SUP[[#This Row],[StaffMemberCode]],MEMBERS[StaffMemberCode],MEMBERS[ServiceEndDate])&lt;CONT_SUP[[#This Row],[DateTo]],1,0)))</f>
        <v>0</v>
      </c>
      <c r="S132" s="57">
        <f>IF(ISBLANK(CONT_SUP[[#This Row],[DateTo]]),0,IF(CONT_SUP[[#This Row],[DateFrom]]=CONT_SUP[[#This Row],[DateTo]],0,IF(CONT_SUP[[#This Row],[DateFrom]]&lt;CONT_SUP[[#This Row],[DateTo]],0,1)))</f>
        <v>0</v>
      </c>
      <c r="T132" s="57" cm="1">
        <f t="array" aca="1" ref="T132" ca="1">IF(CELL("format",CONT_SUP[[#This Row],[DateFrom]])="D1",0,1)+IF(CELL("format",CONT_SUP[[#This Row],[DateTo]])="D1",0,1)</f>
        <v>0</v>
      </c>
      <c r="U132" s="57">
        <f>IF(OR(CONT_SUP[[#This Row],[MatEditOnly]]=TRUE,CONT_SUP[[#This Row],[MatEditOnly]]=FALSE),IF(OR(CONT_SUP[[#This Row],[NoIncrement]]=TRUE,CONT_SUP[[#This Row],[NoIncrement]]=FALSE),0,1),1)</f>
        <v>0</v>
      </c>
      <c r="V132" s="57">
        <f>IF(ISBLANK(CONT_SUP[[#This Row],[FundCode]])=TRUE,0,IF(COUNTIF(FUNDS[FundCode],CONT_SUP[[#This Row],[FundCode]])=1,0,1))</f>
        <v>0</v>
      </c>
      <c r="W132" s="57">
        <f>IF(LEN(CONT_SUP[[#This Row],[Notes]])&lt;4000,0,1)</f>
        <v>0</v>
      </c>
      <c r="X132" s="57">
        <f>IF(SUBSTITUTE(TEXT(CONT_SUP[[#This Row],[Reference]],10)," ","")=TEXT(CONT_SUP[[#This Row],[Reference]],10),0,1)</f>
        <v>0</v>
      </c>
      <c r="Y132" s="57">
        <f ca="1">SUM(CONT_SUP[[#This Row],[Duplicate Contract]:[Space in Code]])</f>
        <v>0</v>
      </c>
      <c r="AA132" s="12" t="s">
        <v>2094</v>
      </c>
      <c r="AB132" s="12">
        <v>91073569</v>
      </c>
      <c r="AC132" s="12" t="s">
        <v>4728</v>
      </c>
      <c r="AD132" s="57" t="str">
        <f>_xlfn.XLOOKUP(CONT_SUP[[#This Row],[StaffMemberCode]],StaffMembers!O:O,StaffMembers!R:R)</f>
        <v>Joanne Green</v>
      </c>
      <c r="AE132" s="12" t="s">
        <v>4307</v>
      </c>
      <c r="AF132" s="57">
        <f>_xlfn.XLOOKUP(CONT_SUP[[#This Row],[SRG]],SRG[StaffRoleGroupCode],SRG[GrossSalaryFinanceCode])</f>
        <v>635100</v>
      </c>
      <c r="AG132" s="57" t="str">
        <f>_xlfn.XLOOKUP(CONT_SUP[[#This Row],[StaffRoleCode]],ROLES[StaffRoleCode],ROLES[StaffRoleGroupCode])</f>
        <v>MDS</v>
      </c>
      <c r="AH132" s="57" t="str">
        <f>_xlfn.XLOOKUP(CONT_SUP[[#This Row],[StaffRoleCode]],ROLES[StaffRoleCode],ROLES[PayScaleCode])</f>
        <v>NJC_CHE</v>
      </c>
      <c r="AI132" s="12" t="s">
        <v>3120</v>
      </c>
      <c r="AJ132" s="12">
        <v>2</v>
      </c>
      <c r="AK132" s="12" t="s">
        <v>2488</v>
      </c>
      <c r="AM132" s="68" t="s">
        <v>1149</v>
      </c>
      <c r="AN132" s="12" t="s">
        <v>3134</v>
      </c>
      <c r="AO132" s="21">
        <v>45901</v>
      </c>
      <c r="AQ132" s="12">
        <v>3.75</v>
      </c>
      <c r="AR132" t="b">
        <v>0</v>
      </c>
      <c r="AS132" t="b">
        <v>0</v>
      </c>
      <c r="AT132" s="12" t="s">
        <v>1574</v>
      </c>
    </row>
    <row r="133" spans="1:46" x14ac:dyDescent="0.3">
      <c r="A133" s="57" t="str">
        <f t="shared" si="4"/>
        <v>SBL9107576791075767BMDASMID45901</v>
      </c>
      <c r="B133" s="57">
        <f>COUNTIF(CONT_SUP[Unique Contract],CONT_SUP[[#This Row],[Unique Contract]])-1</f>
        <v>0</v>
      </c>
      <c r="C133" s="57">
        <f>IFERROR(IF(FIND(CONT_SUP[[#This Row],[SchoolCode]],_xlfn.XLOOKUP(CONT_SUP[[#This Row],[StaffMemberCode]],MEMBERS[StaffMemberCode],MEMBERS[SchoolCodes]))&gt;0,0,1),1)</f>
        <v>0</v>
      </c>
      <c r="D133" s="57" cm="1">
        <f t="array" ref="D133">IF(_xlfn.XLOOKUP(CONT_SUP[[#This Row],[StaffRoleCode]],ROLES[StaffRoleCode],ROLES[AvailableToAllSchools],1,0,)=TRUE,0,IF(ISERROR(FIND(CONT_SUP[[#This Row],[SchoolCode]],_xlfn.TEXTJOIN(",",TRUE,_xlfn.UNIQUE(IF(ROLES[StaffRoleCode]=CONT_SUP[[#This Row],[StaffRoleCode]],ROLES[SchoolCodes],""))))),1,0))</f>
        <v>0</v>
      </c>
      <c r="E133" s="57" cm="1">
        <f t="array" ref="E13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33" s="57" cm="1">
        <f t="array" ref="F133">IF(_xlfn.XLOOKUP(CONT_SUP[[#This Row],[PayScaleCode]],PAYSCALES[PayScaleCode],PAYSCALES[AvailableToAllSchools],1,0,)=TRUE,0,IF(ISERROR(FIND(CONT_SUP[[#This Row],[SchoolCode]],_xlfn.TEXTJOIN(",",TRUE,_xlfn.UNIQUE(IF(PAYSCALES[PayScaleCode]=CONT_SUP[[#This Row],[PayScaleCode]],PAYSCALES[SchoolCodes],""))))),1,0))</f>
        <v>0</v>
      </c>
      <c r="G133" s="57">
        <f>IF(_xlfn.XLOOKUP(CONT_SUP[[#This Row],[PayScaleGradeCode]],GRADES[PayScaleGradeCode],GRADES[AvailableToAllSchools])=TRUE,0,IFERROR(IF(FIND(CONT_SUP[[#This Row],[SchoolCode]],_xlfn.XLOOKUP(CONT_SUP[[#This Row],[PayScaleGradeCode]],GRADES[PayScaleGradeCode],GRADES[SchoolCodes]))&gt;=1,0,1),1))</f>
        <v>0</v>
      </c>
      <c r="H133" s="57">
        <f>IF(ISERROR(IF((_xlfn.XLOOKUP(CONT_SUP[[#This Row],[PayScaleGradeCode]],GRADES[PayScaleGradeCode],GRADES[PayScaleCode])=CONT_SUP[[#This Row],[PayScaleCode]]),0,1)),1,0)</f>
        <v>0</v>
      </c>
      <c r="I133" s="57" cm="1">
        <f t="array" ref="I133">IF(ISERROR(FIND(CONT_SUP[[#This Row],[PayScalePointCode]],_xlfn.TEXTJOIN(",",TRUE,IF(PSPOINTS[PayScaleCode]=CONT_SUP[[#This Row],[PayScaleCode]],PSPOINTS[PayScalePointCode])))),1,0)</f>
        <v>0</v>
      </c>
      <c r="J133" s="57" cm="1">
        <f t="array" ref="J13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33" s="57">
        <f>IF(_xlfn.XLOOKUP(CONT_SUP[[#This Row],[PayScalePointCode]],PSPOINTS[PayScalePointCode],PSPOINTS[PayScalePointEnabled])=TRUE,0,1)</f>
        <v>0</v>
      </c>
      <c r="L133" s="57" cm="1">
        <f t="array" ref="L133">IF(_xlfn.XLOOKUP(CONT_SUP[[#This Row],[DepartmentCode]],DEPTS[DepartmentCode],DEPTS[AvailableToAllSchools],1,0,)=TRUE,0,IF(ISERROR(FIND(CONT_SUP[[#This Row],[SchoolCode]],_xlfn.TEXTJOIN(",",TRUE,_xlfn.UNIQUE(IF(DEPTS[DepartmentCode]=CONT_SUP[[#This Row],[DepartmentCode]],DEPTS[SchoolCodes],""))))),1,0))</f>
        <v>0</v>
      </c>
      <c r="M133" s="57">
        <f>IFERROR(IF(_xlfn.XLOOKUP(CONT_SUP[[#This Row],[SRG Gross]],FinanceCodesBudget[FinanceCode],FinanceCodesBudget[LedgerCode])=_xlfn.XLOOKUP(CONT_SUP[[#This Row],[DepartmentCode]],DEPTS[DepartmentCode],DEPTS[LedgerCode]),0,1),1)</f>
        <v>0</v>
      </c>
      <c r="N133" s="57" cm="1">
        <f t="array" ref="N133">IF(_xlfn.XLOOKUP(CONT_SUP[[#This Row],[PensionCode]],PENS[PensionCode],PENS[AvailableToAllSchools],1,0,)=TRUE,0,IF(ISERROR(FIND(CONT_SUP[[#This Row],[SchoolCode]],_xlfn.TEXTJOIN(",",TRUE,_xlfn.UNIQUE(IF(PENS[PensionCode]=CONT_SUP[[#This Row],[PensionCode]],PENS[SchoolCodes],""))))),1,0))</f>
        <v>0</v>
      </c>
      <c r="O133" s="57" cm="1">
        <f t="array" ref="O133">IF(_xlfn.XLOOKUP(CONT_SUP[[#This Row],[EquatedWeekPatternCode]],EQW[EquatedWeekPatternCode],EQW[AvailableToAllSchools],1,0,)=TRUE,0,IF(ISERROR(FIND(CONT_SUP[[#This Row],[SchoolCode]],_xlfn.TEXTJOIN(",",TRUE,_xlfn.UNIQUE(IF(EQW[EquatedWeekPatternCode]=CONT_SUP[[#This Row],[EquatedWeekPatternCode]],EQW[SchoolCodes],""))))),1,0))</f>
        <v>0</v>
      </c>
      <c r="P133" s="57">
        <f>1-COUNTIF(ContractTypes[Code],CONT_SUP[[#This Row],[ContractTypeCode]])</f>
        <v>0</v>
      </c>
      <c r="Q133" s="57">
        <f>IF(VLOOKUP(CONT_SUP[[#This Row],[StaffMemberCode]],MEMBERS[[StaffMemberCode]:[ServiceStartDate]],5,0)&gt;CONT_SUP[[#This Row],[DateFrom]],1,0)</f>
        <v>0</v>
      </c>
      <c r="R133" s="57">
        <f>IF(_xlfn.XLOOKUP(CONT_SUP[[#This Row],[StaffMemberCode]],MEMBERS[StaffMemberCode],MEMBERS[ServiceEndDate])="",0,IF(CONT_SUP[[#This Row],[DateTo]]="",1,IF(_xlfn.XLOOKUP(CONT_SUP[[#This Row],[StaffMemberCode]],MEMBERS[StaffMemberCode],MEMBERS[ServiceEndDate])&lt;CONT_SUP[[#This Row],[DateTo]],1,0)))</f>
        <v>0</v>
      </c>
      <c r="S133" s="57">
        <f>IF(ISBLANK(CONT_SUP[[#This Row],[DateTo]]),0,IF(CONT_SUP[[#This Row],[DateFrom]]=CONT_SUP[[#This Row],[DateTo]],0,IF(CONT_SUP[[#This Row],[DateFrom]]&lt;CONT_SUP[[#This Row],[DateTo]],0,1)))</f>
        <v>0</v>
      </c>
      <c r="T133" s="57" cm="1">
        <f t="array" aca="1" ref="T133" ca="1">IF(CELL("format",CONT_SUP[[#This Row],[DateFrom]])="D1",0,1)+IF(CELL("format",CONT_SUP[[#This Row],[DateTo]])="D1",0,1)</f>
        <v>0</v>
      </c>
      <c r="U133" s="57">
        <f>IF(OR(CONT_SUP[[#This Row],[MatEditOnly]]=TRUE,CONT_SUP[[#This Row],[MatEditOnly]]=FALSE),IF(OR(CONT_SUP[[#This Row],[NoIncrement]]=TRUE,CONT_SUP[[#This Row],[NoIncrement]]=FALSE),0,1),1)</f>
        <v>0</v>
      </c>
      <c r="V133" s="57">
        <f>IF(ISBLANK(CONT_SUP[[#This Row],[FundCode]])=TRUE,0,IF(COUNTIF(FUNDS[FundCode],CONT_SUP[[#This Row],[FundCode]])=1,0,1))</f>
        <v>0</v>
      </c>
      <c r="W133" s="57">
        <f>IF(LEN(CONT_SUP[[#This Row],[Notes]])&lt;4000,0,1)</f>
        <v>0</v>
      </c>
      <c r="X133" s="57">
        <f>IF(SUBSTITUTE(TEXT(CONT_SUP[[#This Row],[Reference]],10)," ","")=TEXT(CONT_SUP[[#This Row],[Reference]],10),0,1)</f>
        <v>0</v>
      </c>
      <c r="Y133" s="57">
        <f ca="1">SUM(CONT_SUP[[#This Row],[Duplicate Contract]:[Space in Code]])</f>
        <v>0</v>
      </c>
      <c r="AA133" s="12" t="s">
        <v>2200</v>
      </c>
      <c r="AB133" s="12">
        <v>91075767</v>
      </c>
      <c r="AC133" s="12" t="s">
        <v>4729</v>
      </c>
      <c r="AD133" s="57" t="str">
        <f>_xlfn.XLOOKUP(CONT_SUP[[#This Row],[StaffMemberCode]],StaffMembers!O:O,StaffMembers!R:R)</f>
        <v>Karen Balden</v>
      </c>
      <c r="AE133" s="12" t="s">
        <v>4307</v>
      </c>
      <c r="AF133" s="57">
        <f>_xlfn.XLOOKUP(CONT_SUP[[#This Row],[SRG]],SRG[StaffRoleGroupCode],SRG[GrossSalaryFinanceCode])</f>
        <v>635100</v>
      </c>
      <c r="AG133" s="57" t="str">
        <f>_xlfn.XLOOKUP(CONT_SUP[[#This Row],[StaffRoleCode]],ROLES[StaffRoleCode],ROLES[StaffRoleGroupCode])</f>
        <v>MDS</v>
      </c>
      <c r="AH133" s="57" t="str">
        <f>_xlfn.XLOOKUP(CONT_SUP[[#This Row],[StaffRoleCode]],ROLES[StaffRoleCode],ROLES[PayScaleCode])</f>
        <v>NJC_CHE</v>
      </c>
      <c r="AI133" s="12" t="s">
        <v>3120</v>
      </c>
      <c r="AJ133" s="12">
        <v>2</v>
      </c>
      <c r="AK133" s="12" t="s">
        <v>2488</v>
      </c>
      <c r="AM133" s="68" t="s">
        <v>3132</v>
      </c>
      <c r="AN133" s="12" t="s">
        <v>3134</v>
      </c>
      <c r="AO133" s="21">
        <v>45901</v>
      </c>
      <c r="AQ133" s="12">
        <v>2.5</v>
      </c>
      <c r="AR133" t="b">
        <v>0</v>
      </c>
      <c r="AS133" t="b">
        <v>0</v>
      </c>
      <c r="AT133" s="12" t="s">
        <v>1574</v>
      </c>
    </row>
    <row r="134" spans="1:46" x14ac:dyDescent="0.3">
      <c r="A134" s="57" t="str">
        <f t="shared" si="4"/>
        <v>SBL9107576891075768BMDASMID45901</v>
      </c>
      <c r="B134" s="57">
        <f>COUNTIF(CONT_SUP[Unique Contract],CONT_SUP[[#This Row],[Unique Contract]])-1</f>
        <v>0</v>
      </c>
      <c r="C134" s="57">
        <f>IFERROR(IF(FIND(CONT_SUP[[#This Row],[SchoolCode]],_xlfn.XLOOKUP(CONT_SUP[[#This Row],[StaffMemberCode]],MEMBERS[StaffMemberCode],MEMBERS[SchoolCodes]))&gt;0,0,1),1)</f>
        <v>0</v>
      </c>
      <c r="D134" s="57" cm="1">
        <f t="array" ref="D134">IF(_xlfn.XLOOKUP(CONT_SUP[[#This Row],[StaffRoleCode]],ROLES[StaffRoleCode],ROLES[AvailableToAllSchools],1,0,)=TRUE,0,IF(ISERROR(FIND(CONT_SUP[[#This Row],[SchoolCode]],_xlfn.TEXTJOIN(",",TRUE,_xlfn.UNIQUE(IF(ROLES[StaffRoleCode]=CONT_SUP[[#This Row],[StaffRoleCode]],ROLES[SchoolCodes],""))))),1,0))</f>
        <v>0</v>
      </c>
      <c r="E134" s="57" cm="1">
        <f t="array" ref="E13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34" s="57" cm="1">
        <f t="array" ref="F134">IF(_xlfn.XLOOKUP(CONT_SUP[[#This Row],[PayScaleCode]],PAYSCALES[PayScaleCode],PAYSCALES[AvailableToAllSchools],1,0,)=TRUE,0,IF(ISERROR(FIND(CONT_SUP[[#This Row],[SchoolCode]],_xlfn.TEXTJOIN(",",TRUE,_xlfn.UNIQUE(IF(PAYSCALES[PayScaleCode]=CONT_SUP[[#This Row],[PayScaleCode]],PAYSCALES[SchoolCodes],""))))),1,0))</f>
        <v>0</v>
      </c>
      <c r="G134" s="57">
        <f>IF(_xlfn.XLOOKUP(CONT_SUP[[#This Row],[PayScaleGradeCode]],GRADES[PayScaleGradeCode],GRADES[AvailableToAllSchools])=TRUE,0,IFERROR(IF(FIND(CONT_SUP[[#This Row],[SchoolCode]],_xlfn.XLOOKUP(CONT_SUP[[#This Row],[PayScaleGradeCode]],GRADES[PayScaleGradeCode],GRADES[SchoolCodes]))&gt;=1,0,1),1))</f>
        <v>0</v>
      </c>
      <c r="H134" s="57">
        <f>IF(ISERROR(IF((_xlfn.XLOOKUP(CONT_SUP[[#This Row],[PayScaleGradeCode]],GRADES[PayScaleGradeCode],GRADES[PayScaleCode])=CONT_SUP[[#This Row],[PayScaleCode]]),0,1)),1,0)</f>
        <v>0</v>
      </c>
      <c r="I134" s="57" cm="1">
        <f t="array" ref="I134">IF(ISERROR(FIND(CONT_SUP[[#This Row],[PayScalePointCode]],_xlfn.TEXTJOIN(",",TRUE,IF(PSPOINTS[PayScaleCode]=CONT_SUP[[#This Row],[PayScaleCode]],PSPOINTS[PayScalePointCode])))),1,0)</f>
        <v>0</v>
      </c>
      <c r="J134" s="57" cm="1">
        <f t="array" ref="J13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34" s="57">
        <f>IF(_xlfn.XLOOKUP(CONT_SUP[[#This Row],[PayScalePointCode]],PSPOINTS[PayScalePointCode],PSPOINTS[PayScalePointEnabled])=TRUE,0,1)</f>
        <v>0</v>
      </c>
      <c r="L134" s="57" cm="1">
        <f t="array" ref="L134">IF(_xlfn.XLOOKUP(CONT_SUP[[#This Row],[DepartmentCode]],DEPTS[DepartmentCode],DEPTS[AvailableToAllSchools],1,0,)=TRUE,0,IF(ISERROR(FIND(CONT_SUP[[#This Row],[SchoolCode]],_xlfn.TEXTJOIN(",",TRUE,_xlfn.UNIQUE(IF(DEPTS[DepartmentCode]=CONT_SUP[[#This Row],[DepartmentCode]],DEPTS[SchoolCodes],""))))),1,0))</f>
        <v>0</v>
      </c>
      <c r="M134" s="57">
        <f>IFERROR(IF(_xlfn.XLOOKUP(CONT_SUP[[#This Row],[SRG Gross]],FinanceCodesBudget[FinanceCode],FinanceCodesBudget[LedgerCode])=_xlfn.XLOOKUP(CONT_SUP[[#This Row],[DepartmentCode]],DEPTS[DepartmentCode],DEPTS[LedgerCode]),0,1),1)</f>
        <v>0</v>
      </c>
      <c r="N134" s="57" cm="1">
        <f t="array" ref="N134">IF(_xlfn.XLOOKUP(CONT_SUP[[#This Row],[PensionCode]],PENS[PensionCode],PENS[AvailableToAllSchools],1,0,)=TRUE,0,IF(ISERROR(FIND(CONT_SUP[[#This Row],[SchoolCode]],_xlfn.TEXTJOIN(",",TRUE,_xlfn.UNIQUE(IF(PENS[PensionCode]=CONT_SUP[[#This Row],[PensionCode]],PENS[SchoolCodes],""))))),1,0))</f>
        <v>0</v>
      </c>
      <c r="O134" s="57" cm="1">
        <f t="array" ref="O134">IF(_xlfn.XLOOKUP(CONT_SUP[[#This Row],[EquatedWeekPatternCode]],EQW[EquatedWeekPatternCode],EQW[AvailableToAllSchools],1,0,)=TRUE,0,IF(ISERROR(FIND(CONT_SUP[[#This Row],[SchoolCode]],_xlfn.TEXTJOIN(",",TRUE,_xlfn.UNIQUE(IF(EQW[EquatedWeekPatternCode]=CONT_SUP[[#This Row],[EquatedWeekPatternCode]],EQW[SchoolCodes],""))))),1,0))</f>
        <v>0</v>
      </c>
      <c r="P134" s="57">
        <f>1-COUNTIF(ContractTypes[Code],CONT_SUP[[#This Row],[ContractTypeCode]])</f>
        <v>0</v>
      </c>
      <c r="Q134" s="57">
        <f>IF(VLOOKUP(CONT_SUP[[#This Row],[StaffMemberCode]],MEMBERS[[StaffMemberCode]:[ServiceStartDate]],5,0)&gt;CONT_SUP[[#This Row],[DateFrom]],1,0)</f>
        <v>0</v>
      </c>
      <c r="R134" s="57">
        <f>IF(_xlfn.XLOOKUP(CONT_SUP[[#This Row],[StaffMemberCode]],MEMBERS[StaffMemberCode],MEMBERS[ServiceEndDate])="",0,IF(CONT_SUP[[#This Row],[DateTo]]="",1,IF(_xlfn.XLOOKUP(CONT_SUP[[#This Row],[StaffMemberCode]],MEMBERS[StaffMemberCode],MEMBERS[ServiceEndDate])&lt;CONT_SUP[[#This Row],[DateTo]],1,0)))</f>
        <v>0</v>
      </c>
      <c r="S134" s="57">
        <f>IF(ISBLANK(CONT_SUP[[#This Row],[DateTo]]),0,IF(CONT_SUP[[#This Row],[DateFrom]]=CONT_SUP[[#This Row],[DateTo]],0,IF(CONT_SUP[[#This Row],[DateFrom]]&lt;CONT_SUP[[#This Row],[DateTo]],0,1)))</f>
        <v>0</v>
      </c>
      <c r="T134" s="57" cm="1">
        <f t="array" aca="1" ref="T134" ca="1">IF(CELL("format",CONT_SUP[[#This Row],[DateFrom]])="D1",0,1)+IF(CELL("format",CONT_SUP[[#This Row],[DateTo]])="D1",0,1)</f>
        <v>0</v>
      </c>
      <c r="U134" s="57">
        <f>IF(OR(CONT_SUP[[#This Row],[MatEditOnly]]=TRUE,CONT_SUP[[#This Row],[MatEditOnly]]=FALSE),IF(OR(CONT_SUP[[#This Row],[NoIncrement]]=TRUE,CONT_SUP[[#This Row],[NoIncrement]]=FALSE),0,1),1)</f>
        <v>0</v>
      </c>
      <c r="V134" s="57">
        <f>IF(ISBLANK(CONT_SUP[[#This Row],[FundCode]])=TRUE,0,IF(COUNTIF(FUNDS[FundCode],CONT_SUP[[#This Row],[FundCode]])=1,0,1))</f>
        <v>0</v>
      </c>
      <c r="W134" s="57">
        <f>IF(LEN(CONT_SUP[[#This Row],[Notes]])&lt;4000,0,1)</f>
        <v>0</v>
      </c>
      <c r="X134" s="57">
        <f>IF(SUBSTITUTE(TEXT(CONT_SUP[[#This Row],[Reference]],10)," ","")=TEXT(CONT_SUP[[#This Row],[Reference]],10),0,1)</f>
        <v>0</v>
      </c>
      <c r="Y134" s="57">
        <f ca="1">SUM(CONT_SUP[[#This Row],[Duplicate Contract]:[Space in Code]])</f>
        <v>0</v>
      </c>
      <c r="AA134" s="12" t="s">
        <v>2200</v>
      </c>
      <c r="AB134" s="12">
        <v>91075768</v>
      </c>
      <c r="AC134" s="12" t="s">
        <v>4730</v>
      </c>
      <c r="AD134" s="57" t="str">
        <f>_xlfn.XLOOKUP(CONT_SUP[[#This Row],[StaffMemberCode]],StaffMembers!O:O,StaffMembers!R:R)</f>
        <v>Karen Kenny</v>
      </c>
      <c r="AE134" s="12" t="s">
        <v>4307</v>
      </c>
      <c r="AF134" s="57">
        <f>_xlfn.XLOOKUP(CONT_SUP[[#This Row],[SRG]],SRG[StaffRoleGroupCode],SRG[GrossSalaryFinanceCode])</f>
        <v>635100</v>
      </c>
      <c r="AG134" s="57" t="str">
        <f>_xlfn.XLOOKUP(CONT_SUP[[#This Row],[StaffRoleCode]],ROLES[StaffRoleCode],ROLES[StaffRoleGroupCode])</f>
        <v>MDS</v>
      </c>
      <c r="AH134" s="57" t="str">
        <f>_xlfn.XLOOKUP(CONT_SUP[[#This Row],[StaffRoleCode]],ROLES[StaffRoleCode],ROLES[PayScaleCode])</f>
        <v>NJC_CHE</v>
      </c>
      <c r="AI134" s="12" t="s">
        <v>3120</v>
      </c>
      <c r="AJ134" s="12">
        <v>2</v>
      </c>
      <c r="AK134" s="12" t="s">
        <v>2488</v>
      </c>
      <c r="AM134" s="68" t="s">
        <v>3132</v>
      </c>
      <c r="AN134" s="12" t="s">
        <v>3134</v>
      </c>
      <c r="AO134" s="21">
        <v>45901</v>
      </c>
      <c r="AQ134" s="12">
        <v>5</v>
      </c>
      <c r="AR134" t="b">
        <v>0</v>
      </c>
      <c r="AS134" t="b">
        <v>0</v>
      </c>
      <c r="AT134" s="12" t="s">
        <v>1574</v>
      </c>
    </row>
    <row r="135" spans="1:46" x14ac:dyDescent="0.3">
      <c r="A135" s="57" t="str">
        <f t="shared" si="4"/>
        <v>SBL9107574891075748BMDASMID45901</v>
      </c>
      <c r="B135" s="57">
        <f>COUNTIF(CONT_SUP[Unique Contract],CONT_SUP[[#This Row],[Unique Contract]])-1</f>
        <v>0</v>
      </c>
      <c r="C135" s="57">
        <f>IFERROR(IF(FIND(CONT_SUP[[#This Row],[SchoolCode]],_xlfn.XLOOKUP(CONT_SUP[[#This Row],[StaffMemberCode]],MEMBERS[StaffMemberCode],MEMBERS[SchoolCodes]))&gt;0,0,1),1)</f>
        <v>0</v>
      </c>
      <c r="D135" s="57" cm="1">
        <f t="array" ref="D135">IF(_xlfn.XLOOKUP(CONT_SUP[[#This Row],[StaffRoleCode]],ROLES[StaffRoleCode],ROLES[AvailableToAllSchools],1,0,)=TRUE,0,IF(ISERROR(FIND(CONT_SUP[[#This Row],[SchoolCode]],_xlfn.TEXTJOIN(",",TRUE,_xlfn.UNIQUE(IF(ROLES[StaffRoleCode]=CONT_SUP[[#This Row],[StaffRoleCode]],ROLES[SchoolCodes],""))))),1,0))</f>
        <v>0</v>
      </c>
      <c r="E135" s="57" cm="1">
        <f t="array" ref="E13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35" s="57" cm="1">
        <f t="array" ref="F135">IF(_xlfn.XLOOKUP(CONT_SUP[[#This Row],[PayScaleCode]],PAYSCALES[PayScaleCode],PAYSCALES[AvailableToAllSchools],1,0,)=TRUE,0,IF(ISERROR(FIND(CONT_SUP[[#This Row],[SchoolCode]],_xlfn.TEXTJOIN(",",TRUE,_xlfn.UNIQUE(IF(PAYSCALES[PayScaleCode]=CONT_SUP[[#This Row],[PayScaleCode]],PAYSCALES[SchoolCodes],""))))),1,0))</f>
        <v>0</v>
      </c>
      <c r="G135" s="57">
        <f>IF(_xlfn.XLOOKUP(CONT_SUP[[#This Row],[PayScaleGradeCode]],GRADES[PayScaleGradeCode],GRADES[AvailableToAllSchools])=TRUE,0,IFERROR(IF(FIND(CONT_SUP[[#This Row],[SchoolCode]],_xlfn.XLOOKUP(CONT_SUP[[#This Row],[PayScaleGradeCode]],GRADES[PayScaleGradeCode],GRADES[SchoolCodes]))&gt;=1,0,1),1))</f>
        <v>0</v>
      </c>
      <c r="H135" s="57">
        <f>IF(ISERROR(IF((_xlfn.XLOOKUP(CONT_SUP[[#This Row],[PayScaleGradeCode]],GRADES[PayScaleGradeCode],GRADES[PayScaleCode])=CONT_SUP[[#This Row],[PayScaleCode]]),0,1)),1,0)</f>
        <v>0</v>
      </c>
      <c r="I135" s="57" cm="1">
        <f t="array" ref="I135">IF(ISERROR(FIND(CONT_SUP[[#This Row],[PayScalePointCode]],_xlfn.TEXTJOIN(",",TRUE,IF(PSPOINTS[PayScaleCode]=CONT_SUP[[#This Row],[PayScaleCode]],PSPOINTS[PayScalePointCode])))),1,0)</f>
        <v>0</v>
      </c>
      <c r="J135" s="57" cm="1">
        <f t="array" ref="J13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35" s="57">
        <f>IF(_xlfn.XLOOKUP(CONT_SUP[[#This Row],[PayScalePointCode]],PSPOINTS[PayScalePointCode],PSPOINTS[PayScalePointEnabled])=TRUE,0,1)</f>
        <v>0</v>
      </c>
      <c r="L135" s="57" cm="1">
        <f t="array" ref="L135">IF(_xlfn.XLOOKUP(CONT_SUP[[#This Row],[DepartmentCode]],DEPTS[DepartmentCode],DEPTS[AvailableToAllSchools],1,0,)=TRUE,0,IF(ISERROR(FIND(CONT_SUP[[#This Row],[SchoolCode]],_xlfn.TEXTJOIN(",",TRUE,_xlfn.UNIQUE(IF(DEPTS[DepartmentCode]=CONT_SUP[[#This Row],[DepartmentCode]],DEPTS[SchoolCodes],""))))),1,0))</f>
        <v>0</v>
      </c>
      <c r="M135" s="57">
        <f>IFERROR(IF(_xlfn.XLOOKUP(CONT_SUP[[#This Row],[SRG Gross]],FinanceCodesBudget[FinanceCode],FinanceCodesBudget[LedgerCode])=_xlfn.XLOOKUP(CONT_SUP[[#This Row],[DepartmentCode]],DEPTS[DepartmentCode],DEPTS[LedgerCode]),0,1),1)</f>
        <v>0</v>
      </c>
      <c r="N135" s="57" cm="1">
        <f t="array" ref="N135">IF(_xlfn.XLOOKUP(CONT_SUP[[#This Row],[PensionCode]],PENS[PensionCode],PENS[AvailableToAllSchools],1,0,)=TRUE,0,IF(ISERROR(FIND(CONT_SUP[[#This Row],[SchoolCode]],_xlfn.TEXTJOIN(",",TRUE,_xlfn.UNIQUE(IF(PENS[PensionCode]=CONT_SUP[[#This Row],[PensionCode]],PENS[SchoolCodes],""))))),1,0))</f>
        <v>0</v>
      </c>
      <c r="O135" s="57" cm="1">
        <f t="array" ref="O135">IF(_xlfn.XLOOKUP(CONT_SUP[[#This Row],[EquatedWeekPatternCode]],EQW[EquatedWeekPatternCode],EQW[AvailableToAllSchools],1,0,)=TRUE,0,IF(ISERROR(FIND(CONT_SUP[[#This Row],[SchoolCode]],_xlfn.TEXTJOIN(",",TRUE,_xlfn.UNIQUE(IF(EQW[EquatedWeekPatternCode]=CONT_SUP[[#This Row],[EquatedWeekPatternCode]],EQW[SchoolCodes],""))))),1,0))</f>
        <v>0</v>
      </c>
      <c r="P135" s="57">
        <f>1-COUNTIF(ContractTypes[Code],CONT_SUP[[#This Row],[ContractTypeCode]])</f>
        <v>0</v>
      </c>
      <c r="Q135" s="57">
        <f>IF(VLOOKUP(CONT_SUP[[#This Row],[StaffMemberCode]],MEMBERS[[StaffMemberCode]:[ServiceStartDate]],5,0)&gt;CONT_SUP[[#This Row],[DateFrom]],1,0)</f>
        <v>0</v>
      </c>
      <c r="R135" s="57">
        <f>IF(_xlfn.XLOOKUP(CONT_SUP[[#This Row],[StaffMemberCode]],MEMBERS[StaffMemberCode],MEMBERS[ServiceEndDate])="",0,IF(CONT_SUP[[#This Row],[DateTo]]="",1,IF(_xlfn.XLOOKUP(CONT_SUP[[#This Row],[StaffMemberCode]],MEMBERS[StaffMemberCode],MEMBERS[ServiceEndDate])&lt;CONT_SUP[[#This Row],[DateTo]],1,0)))</f>
        <v>0</v>
      </c>
      <c r="S135" s="57">
        <f>IF(ISBLANK(CONT_SUP[[#This Row],[DateTo]]),0,IF(CONT_SUP[[#This Row],[DateFrom]]=CONT_SUP[[#This Row],[DateTo]],0,IF(CONT_SUP[[#This Row],[DateFrom]]&lt;CONT_SUP[[#This Row],[DateTo]],0,1)))</f>
        <v>0</v>
      </c>
      <c r="T135" s="57" cm="1">
        <f t="array" aca="1" ref="T135" ca="1">IF(CELL("format",CONT_SUP[[#This Row],[DateFrom]])="D1",0,1)+IF(CELL("format",CONT_SUP[[#This Row],[DateTo]])="D1",0,1)</f>
        <v>0</v>
      </c>
      <c r="U135" s="57">
        <f>IF(OR(CONT_SUP[[#This Row],[MatEditOnly]]=TRUE,CONT_SUP[[#This Row],[MatEditOnly]]=FALSE),IF(OR(CONT_SUP[[#This Row],[NoIncrement]]=TRUE,CONT_SUP[[#This Row],[NoIncrement]]=FALSE),0,1),1)</f>
        <v>0</v>
      </c>
      <c r="V135" s="57">
        <f>IF(ISBLANK(CONT_SUP[[#This Row],[FundCode]])=TRUE,0,IF(COUNTIF(FUNDS[FundCode],CONT_SUP[[#This Row],[FundCode]])=1,0,1))</f>
        <v>0</v>
      </c>
      <c r="W135" s="57">
        <f>IF(LEN(CONT_SUP[[#This Row],[Notes]])&lt;4000,0,1)</f>
        <v>0</v>
      </c>
      <c r="X135" s="57">
        <f>IF(SUBSTITUTE(TEXT(CONT_SUP[[#This Row],[Reference]],10)," ","")=TEXT(CONT_SUP[[#This Row],[Reference]],10),0,1)</f>
        <v>0</v>
      </c>
      <c r="Y135" s="57">
        <f ca="1">SUM(CONT_SUP[[#This Row],[Duplicate Contract]:[Space in Code]])</f>
        <v>0</v>
      </c>
      <c r="AA135" s="12" t="s">
        <v>2200</v>
      </c>
      <c r="AB135" s="12">
        <v>91075748</v>
      </c>
      <c r="AC135" s="12" t="s">
        <v>4731</v>
      </c>
      <c r="AD135" s="57" t="str">
        <f>_xlfn.XLOOKUP(CONT_SUP[[#This Row],[StaffMemberCode]],StaffMembers!O:O,StaffMembers!R:R)</f>
        <v>Karen Morgan-Wynne</v>
      </c>
      <c r="AE135" s="12" t="s">
        <v>4307</v>
      </c>
      <c r="AF135" s="57">
        <f>_xlfn.XLOOKUP(CONT_SUP[[#This Row],[SRG]],SRG[StaffRoleGroupCode],SRG[GrossSalaryFinanceCode])</f>
        <v>635100</v>
      </c>
      <c r="AG135" s="57" t="str">
        <f>_xlfn.XLOOKUP(CONT_SUP[[#This Row],[StaffRoleCode]],ROLES[StaffRoleCode],ROLES[StaffRoleGroupCode])</f>
        <v>MDS</v>
      </c>
      <c r="AH135" s="57" t="str">
        <f>_xlfn.XLOOKUP(CONT_SUP[[#This Row],[StaffRoleCode]],ROLES[StaffRoleCode],ROLES[PayScaleCode])</f>
        <v>NJC_CHE</v>
      </c>
      <c r="AI135" s="12" t="s">
        <v>3120</v>
      </c>
      <c r="AJ135" s="12">
        <v>2</v>
      </c>
      <c r="AK135" s="12" t="s">
        <v>2488</v>
      </c>
      <c r="AM135" s="68" t="s">
        <v>3132</v>
      </c>
      <c r="AN135" s="12" t="s">
        <v>3134</v>
      </c>
      <c r="AO135" s="21">
        <v>45901</v>
      </c>
      <c r="AQ135" s="12">
        <v>3.75</v>
      </c>
      <c r="AR135" t="b">
        <v>0</v>
      </c>
      <c r="AS135" t="b">
        <v>0</v>
      </c>
      <c r="AT135" s="12" t="s">
        <v>1574</v>
      </c>
    </row>
    <row r="136" spans="1:46" x14ac:dyDescent="0.3">
      <c r="A136" s="57" t="str">
        <f t="shared" si="4"/>
        <v>WVP9107343391073433AMDASMID45901</v>
      </c>
      <c r="B136" s="57">
        <f>COUNTIF(CONT_SUP[Unique Contract],CONT_SUP[[#This Row],[Unique Contract]])-1</f>
        <v>0</v>
      </c>
      <c r="C136" s="57">
        <f>IFERROR(IF(FIND(CONT_SUP[[#This Row],[SchoolCode]],_xlfn.XLOOKUP(CONT_SUP[[#This Row],[StaffMemberCode]],MEMBERS[StaffMemberCode],MEMBERS[SchoolCodes]))&gt;0,0,1),1)</f>
        <v>0</v>
      </c>
      <c r="D136" s="57" cm="1">
        <f t="array" ref="D136">IF(_xlfn.XLOOKUP(CONT_SUP[[#This Row],[StaffRoleCode]],ROLES[StaffRoleCode],ROLES[AvailableToAllSchools],1,0,)=TRUE,0,IF(ISERROR(FIND(CONT_SUP[[#This Row],[SchoolCode]],_xlfn.TEXTJOIN(",",TRUE,_xlfn.UNIQUE(IF(ROLES[StaffRoleCode]=CONT_SUP[[#This Row],[StaffRoleCode]],ROLES[SchoolCodes],""))))),1,0))</f>
        <v>0</v>
      </c>
      <c r="E136" s="57" cm="1">
        <f t="array" ref="E13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36" s="57" cm="1">
        <f t="array" ref="F136">IF(_xlfn.XLOOKUP(CONT_SUP[[#This Row],[PayScaleCode]],PAYSCALES[PayScaleCode],PAYSCALES[AvailableToAllSchools],1,0,)=TRUE,0,IF(ISERROR(FIND(CONT_SUP[[#This Row],[SchoolCode]],_xlfn.TEXTJOIN(",",TRUE,_xlfn.UNIQUE(IF(PAYSCALES[PayScaleCode]=CONT_SUP[[#This Row],[PayScaleCode]],PAYSCALES[SchoolCodes],""))))),1,0))</f>
        <v>0</v>
      </c>
      <c r="G136" s="57">
        <f>IF(_xlfn.XLOOKUP(CONT_SUP[[#This Row],[PayScaleGradeCode]],GRADES[PayScaleGradeCode],GRADES[AvailableToAllSchools])=TRUE,0,IFERROR(IF(FIND(CONT_SUP[[#This Row],[SchoolCode]],_xlfn.XLOOKUP(CONT_SUP[[#This Row],[PayScaleGradeCode]],GRADES[PayScaleGradeCode],GRADES[SchoolCodes]))&gt;=1,0,1),1))</f>
        <v>0</v>
      </c>
      <c r="H136" s="57">
        <f>IF(ISERROR(IF((_xlfn.XLOOKUP(CONT_SUP[[#This Row],[PayScaleGradeCode]],GRADES[PayScaleGradeCode],GRADES[PayScaleCode])=CONT_SUP[[#This Row],[PayScaleCode]]),0,1)),1,0)</f>
        <v>0</v>
      </c>
      <c r="I136" s="57" cm="1">
        <f t="array" ref="I136">IF(ISERROR(FIND(CONT_SUP[[#This Row],[PayScalePointCode]],_xlfn.TEXTJOIN(",",TRUE,IF(PSPOINTS[PayScaleCode]=CONT_SUP[[#This Row],[PayScaleCode]],PSPOINTS[PayScalePointCode])))),1,0)</f>
        <v>0</v>
      </c>
      <c r="J136" s="57" cm="1">
        <f t="array" ref="J13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36" s="57">
        <f>IF(_xlfn.XLOOKUP(CONT_SUP[[#This Row],[PayScalePointCode]],PSPOINTS[PayScalePointCode],PSPOINTS[PayScalePointEnabled])=TRUE,0,1)</f>
        <v>0</v>
      </c>
      <c r="L136" s="57" cm="1">
        <f t="array" ref="L136">IF(_xlfn.XLOOKUP(CONT_SUP[[#This Row],[DepartmentCode]],DEPTS[DepartmentCode],DEPTS[AvailableToAllSchools],1,0,)=TRUE,0,IF(ISERROR(FIND(CONT_SUP[[#This Row],[SchoolCode]],_xlfn.TEXTJOIN(",",TRUE,_xlfn.UNIQUE(IF(DEPTS[DepartmentCode]=CONT_SUP[[#This Row],[DepartmentCode]],DEPTS[SchoolCodes],""))))),1,0))</f>
        <v>0</v>
      </c>
      <c r="M136" s="57">
        <f>IFERROR(IF(_xlfn.XLOOKUP(CONT_SUP[[#This Row],[SRG Gross]],FinanceCodesBudget[FinanceCode],FinanceCodesBudget[LedgerCode])=_xlfn.XLOOKUP(CONT_SUP[[#This Row],[DepartmentCode]],DEPTS[DepartmentCode],DEPTS[LedgerCode]),0,1),1)</f>
        <v>0</v>
      </c>
      <c r="N136" s="57" cm="1">
        <f t="array" ref="N136">IF(_xlfn.XLOOKUP(CONT_SUP[[#This Row],[PensionCode]],PENS[PensionCode],PENS[AvailableToAllSchools],1,0,)=TRUE,0,IF(ISERROR(FIND(CONT_SUP[[#This Row],[SchoolCode]],_xlfn.TEXTJOIN(",",TRUE,_xlfn.UNIQUE(IF(PENS[PensionCode]=CONT_SUP[[#This Row],[PensionCode]],PENS[SchoolCodes],""))))),1,0))</f>
        <v>0</v>
      </c>
      <c r="O136" s="57" cm="1">
        <f t="array" ref="O136">IF(_xlfn.XLOOKUP(CONT_SUP[[#This Row],[EquatedWeekPatternCode]],EQW[EquatedWeekPatternCode],EQW[AvailableToAllSchools],1,0,)=TRUE,0,IF(ISERROR(FIND(CONT_SUP[[#This Row],[SchoolCode]],_xlfn.TEXTJOIN(",",TRUE,_xlfn.UNIQUE(IF(EQW[EquatedWeekPatternCode]=CONT_SUP[[#This Row],[EquatedWeekPatternCode]],EQW[SchoolCodes],""))))),1,0))</f>
        <v>0</v>
      </c>
      <c r="P136" s="57">
        <f>1-COUNTIF(ContractTypes[Code],CONT_SUP[[#This Row],[ContractTypeCode]])</f>
        <v>0</v>
      </c>
      <c r="Q136" s="57">
        <f>IF(VLOOKUP(CONT_SUP[[#This Row],[StaffMemberCode]],MEMBERS[[StaffMemberCode]:[ServiceStartDate]],5,0)&gt;CONT_SUP[[#This Row],[DateFrom]],1,0)</f>
        <v>0</v>
      </c>
      <c r="R136" s="57">
        <f>IF(_xlfn.XLOOKUP(CONT_SUP[[#This Row],[StaffMemberCode]],MEMBERS[StaffMemberCode],MEMBERS[ServiceEndDate])="",0,IF(CONT_SUP[[#This Row],[DateTo]]="",1,IF(_xlfn.XLOOKUP(CONT_SUP[[#This Row],[StaffMemberCode]],MEMBERS[StaffMemberCode],MEMBERS[ServiceEndDate])&lt;CONT_SUP[[#This Row],[DateTo]],1,0)))</f>
        <v>0</v>
      </c>
      <c r="S136" s="57">
        <f>IF(ISBLANK(CONT_SUP[[#This Row],[DateTo]]),0,IF(CONT_SUP[[#This Row],[DateFrom]]=CONT_SUP[[#This Row],[DateTo]],0,IF(CONT_SUP[[#This Row],[DateFrom]]&lt;CONT_SUP[[#This Row],[DateTo]],0,1)))</f>
        <v>0</v>
      </c>
      <c r="T136" s="57" cm="1">
        <f t="array" aca="1" ref="T136" ca="1">IF(CELL("format",CONT_SUP[[#This Row],[DateFrom]])="D1",0,1)+IF(CELL("format",CONT_SUP[[#This Row],[DateTo]])="D1",0,1)</f>
        <v>0</v>
      </c>
      <c r="U136" s="57">
        <f>IF(OR(CONT_SUP[[#This Row],[MatEditOnly]]=TRUE,CONT_SUP[[#This Row],[MatEditOnly]]=FALSE),IF(OR(CONT_SUP[[#This Row],[NoIncrement]]=TRUE,CONT_SUP[[#This Row],[NoIncrement]]=FALSE),0,1),1)</f>
        <v>0</v>
      </c>
      <c r="V136" s="57">
        <f>IF(ISBLANK(CONT_SUP[[#This Row],[FundCode]])=TRUE,0,IF(COUNTIF(FUNDS[FundCode],CONT_SUP[[#This Row],[FundCode]])=1,0,1))</f>
        <v>0</v>
      </c>
      <c r="W136" s="57">
        <f>IF(LEN(CONT_SUP[[#This Row],[Notes]])&lt;4000,0,1)</f>
        <v>0</v>
      </c>
      <c r="X136" s="57">
        <f>IF(SUBSTITUTE(TEXT(CONT_SUP[[#This Row],[Reference]],10)," ","")=TEXT(CONT_SUP[[#This Row],[Reference]],10),0,1)</f>
        <v>0</v>
      </c>
      <c r="Y136" s="57">
        <f ca="1">SUM(CONT_SUP[[#This Row],[Duplicate Contract]:[Space in Code]])</f>
        <v>0</v>
      </c>
      <c r="AA136" s="12" t="s">
        <v>2275</v>
      </c>
      <c r="AB136" s="12">
        <v>91073433</v>
      </c>
      <c r="AC136" s="12" t="s">
        <v>4732</v>
      </c>
      <c r="AD136" s="57" t="str">
        <f>_xlfn.XLOOKUP(CONT_SUP[[#This Row],[StaffMemberCode]],StaffMembers!O:O,StaffMembers!R:R)</f>
        <v>Kathy Harris</v>
      </c>
      <c r="AE136" s="12" t="s">
        <v>4307</v>
      </c>
      <c r="AF136" s="57">
        <f>_xlfn.XLOOKUP(CONT_SUP[[#This Row],[SRG]],SRG[StaffRoleGroupCode],SRG[GrossSalaryFinanceCode])</f>
        <v>635100</v>
      </c>
      <c r="AG136" s="57" t="str">
        <f>_xlfn.XLOOKUP(CONT_SUP[[#This Row],[StaffRoleCode]],ROLES[StaffRoleCode],ROLES[StaffRoleGroupCode])</f>
        <v>MDS</v>
      </c>
      <c r="AH136" s="57" t="str">
        <f>_xlfn.XLOOKUP(CONT_SUP[[#This Row],[StaffRoleCode]],ROLES[StaffRoleCode],ROLES[PayScaleCode])</f>
        <v>NJC_CHE</v>
      </c>
      <c r="AI136" s="12" t="s">
        <v>3120</v>
      </c>
      <c r="AJ136" s="12">
        <v>2</v>
      </c>
      <c r="AK136" s="12" t="s">
        <v>2488</v>
      </c>
      <c r="AM136" s="68" t="s">
        <v>3132</v>
      </c>
      <c r="AN136" s="12" t="s">
        <v>3134</v>
      </c>
      <c r="AO136" s="21">
        <v>45901</v>
      </c>
      <c r="AQ136" s="12">
        <v>8.75</v>
      </c>
      <c r="AR136" t="b">
        <v>0</v>
      </c>
      <c r="AS136" t="b">
        <v>0</v>
      </c>
      <c r="AT136" s="12" t="s">
        <v>1574</v>
      </c>
    </row>
    <row r="137" spans="1:46" x14ac:dyDescent="0.3">
      <c r="A137" s="57" t="str">
        <f t="shared" si="4"/>
        <v>PTP9107394891073948BMDASMID45901</v>
      </c>
      <c r="B137" s="57">
        <f>COUNTIF(CONT_SUP[Unique Contract],CONT_SUP[[#This Row],[Unique Contract]])-1</f>
        <v>0</v>
      </c>
      <c r="C137" s="57">
        <f>IFERROR(IF(FIND(CONT_SUP[[#This Row],[SchoolCode]],_xlfn.XLOOKUP(CONT_SUP[[#This Row],[StaffMemberCode]],MEMBERS[StaffMemberCode],MEMBERS[SchoolCodes]))&gt;0,0,1),1)</f>
        <v>0</v>
      </c>
      <c r="D137" s="57" cm="1">
        <f t="array" ref="D137">IF(_xlfn.XLOOKUP(CONT_SUP[[#This Row],[StaffRoleCode]],ROLES[StaffRoleCode],ROLES[AvailableToAllSchools],1,0,)=TRUE,0,IF(ISERROR(FIND(CONT_SUP[[#This Row],[SchoolCode]],_xlfn.TEXTJOIN(",",TRUE,_xlfn.UNIQUE(IF(ROLES[StaffRoleCode]=CONT_SUP[[#This Row],[StaffRoleCode]],ROLES[SchoolCodes],""))))),1,0))</f>
        <v>0</v>
      </c>
      <c r="E137" s="57" cm="1">
        <f t="array" ref="E13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37" s="57" cm="1">
        <f t="array" ref="F137">IF(_xlfn.XLOOKUP(CONT_SUP[[#This Row],[PayScaleCode]],PAYSCALES[PayScaleCode],PAYSCALES[AvailableToAllSchools],1,0,)=TRUE,0,IF(ISERROR(FIND(CONT_SUP[[#This Row],[SchoolCode]],_xlfn.TEXTJOIN(",",TRUE,_xlfn.UNIQUE(IF(PAYSCALES[PayScaleCode]=CONT_SUP[[#This Row],[PayScaleCode]],PAYSCALES[SchoolCodes],""))))),1,0))</f>
        <v>0</v>
      </c>
      <c r="G137" s="57">
        <f>IF(_xlfn.XLOOKUP(CONT_SUP[[#This Row],[PayScaleGradeCode]],GRADES[PayScaleGradeCode],GRADES[AvailableToAllSchools])=TRUE,0,IFERROR(IF(FIND(CONT_SUP[[#This Row],[SchoolCode]],_xlfn.XLOOKUP(CONT_SUP[[#This Row],[PayScaleGradeCode]],GRADES[PayScaleGradeCode],GRADES[SchoolCodes]))&gt;=1,0,1),1))</f>
        <v>0</v>
      </c>
      <c r="H137" s="57">
        <f>IF(ISERROR(IF((_xlfn.XLOOKUP(CONT_SUP[[#This Row],[PayScaleGradeCode]],GRADES[PayScaleGradeCode],GRADES[PayScaleCode])=CONT_SUP[[#This Row],[PayScaleCode]]),0,1)),1,0)</f>
        <v>0</v>
      </c>
      <c r="I137" s="57" cm="1">
        <f t="array" ref="I137">IF(ISERROR(FIND(CONT_SUP[[#This Row],[PayScalePointCode]],_xlfn.TEXTJOIN(",",TRUE,IF(PSPOINTS[PayScaleCode]=CONT_SUP[[#This Row],[PayScaleCode]],PSPOINTS[PayScalePointCode])))),1,0)</f>
        <v>0</v>
      </c>
      <c r="J137" s="57" cm="1">
        <f t="array" ref="J13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37" s="57">
        <f>IF(_xlfn.XLOOKUP(CONT_SUP[[#This Row],[PayScalePointCode]],PSPOINTS[PayScalePointCode],PSPOINTS[PayScalePointEnabled])=TRUE,0,1)</f>
        <v>0</v>
      </c>
      <c r="L137" s="57" cm="1">
        <f t="array" ref="L137">IF(_xlfn.XLOOKUP(CONT_SUP[[#This Row],[DepartmentCode]],DEPTS[DepartmentCode],DEPTS[AvailableToAllSchools],1,0,)=TRUE,0,IF(ISERROR(FIND(CONT_SUP[[#This Row],[SchoolCode]],_xlfn.TEXTJOIN(",",TRUE,_xlfn.UNIQUE(IF(DEPTS[DepartmentCode]=CONT_SUP[[#This Row],[DepartmentCode]],DEPTS[SchoolCodes],""))))),1,0))</f>
        <v>0</v>
      </c>
      <c r="M137" s="57">
        <f>IFERROR(IF(_xlfn.XLOOKUP(CONT_SUP[[#This Row],[SRG Gross]],FinanceCodesBudget[FinanceCode],FinanceCodesBudget[LedgerCode])=_xlfn.XLOOKUP(CONT_SUP[[#This Row],[DepartmentCode]],DEPTS[DepartmentCode],DEPTS[LedgerCode]),0,1),1)</f>
        <v>0</v>
      </c>
      <c r="N137" s="57" cm="1">
        <f t="array" ref="N137">IF(_xlfn.XLOOKUP(CONT_SUP[[#This Row],[PensionCode]],PENS[PensionCode],PENS[AvailableToAllSchools],1,0,)=TRUE,0,IF(ISERROR(FIND(CONT_SUP[[#This Row],[SchoolCode]],_xlfn.TEXTJOIN(",",TRUE,_xlfn.UNIQUE(IF(PENS[PensionCode]=CONT_SUP[[#This Row],[PensionCode]],PENS[SchoolCodes],""))))),1,0))</f>
        <v>0</v>
      </c>
      <c r="O137" s="57" cm="1">
        <f t="array" ref="O137">IF(_xlfn.XLOOKUP(CONT_SUP[[#This Row],[EquatedWeekPatternCode]],EQW[EquatedWeekPatternCode],EQW[AvailableToAllSchools],1,0,)=TRUE,0,IF(ISERROR(FIND(CONT_SUP[[#This Row],[SchoolCode]],_xlfn.TEXTJOIN(",",TRUE,_xlfn.UNIQUE(IF(EQW[EquatedWeekPatternCode]=CONT_SUP[[#This Row],[EquatedWeekPatternCode]],EQW[SchoolCodes],""))))),1,0))</f>
        <v>0</v>
      </c>
      <c r="P137" s="57">
        <f>1-COUNTIF(ContractTypes[Code],CONT_SUP[[#This Row],[ContractTypeCode]])</f>
        <v>0</v>
      </c>
      <c r="Q137" s="57">
        <f>IF(VLOOKUP(CONT_SUP[[#This Row],[StaffMemberCode]],MEMBERS[[StaffMemberCode]:[ServiceStartDate]],5,0)&gt;CONT_SUP[[#This Row],[DateFrom]],1,0)</f>
        <v>0</v>
      </c>
      <c r="R137" s="57">
        <f>IF(_xlfn.XLOOKUP(CONT_SUP[[#This Row],[StaffMemberCode]],MEMBERS[StaffMemberCode],MEMBERS[ServiceEndDate])="",0,IF(CONT_SUP[[#This Row],[DateTo]]="",1,IF(_xlfn.XLOOKUP(CONT_SUP[[#This Row],[StaffMemberCode]],MEMBERS[StaffMemberCode],MEMBERS[ServiceEndDate])&lt;CONT_SUP[[#This Row],[DateTo]],1,0)))</f>
        <v>0</v>
      </c>
      <c r="S137" s="57">
        <f>IF(ISBLANK(CONT_SUP[[#This Row],[DateTo]]),0,IF(CONT_SUP[[#This Row],[DateFrom]]=CONT_SUP[[#This Row],[DateTo]],0,IF(CONT_SUP[[#This Row],[DateFrom]]&lt;CONT_SUP[[#This Row],[DateTo]],0,1)))</f>
        <v>0</v>
      </c>
      <c r="T137" s="57" cm="1">
        <f t="array" aca="1" ref="T137" ca="1">IF(CELL("format",CONT_SUP[[#This Row],[DateFrom]])="D1",0,1)+IF(CELL("format",CONT_SUP[[#This Row],[DateTo]])="D1",0,1)</f>
        <v>0</v>
      </c>
      <c r="U137" s="57">
        <f>IF(OR(CONT_SUP[[#This Row],[MatEditOnly]]=TRUE,CONT_SUP[[#This Row],[MatEditOnly]]=FALSE),IF(OR(CONT_SUP[[#This Row],[NoIncrement]]=TRUE,CONT_SUP[[#This Row],[NoIncrement]]=FALSE),0,1),1)</f>
        <v>0</v>
      </c>
      <c r="V137" s="57">
        <f>IF(ISBLANK(CONT_SUP[[#This Row],[FundCode]])=TRUE,0,IF(COUNTIF(FUNDS[FundCode],CONT_SUP[[#This Row],[FundCode]])=1,0,1))</f>
        <v>0</v>
      </c>
      <c r="W137" s="57">
        <f>IF(LEN(CONT_SUP[[#This Row],[Notes]])&lt;4000,0,1)</f>
        <v>0</v>
      </c>
      <c r="X137" s="57">
        <f>IF(SUBSTITUTE(TEXT(CONT_SUP[[#This Row],[Reference]],10)," ","")=TEXT(CONT_SUP[[#This Row],[Reference]],10),0,1)</f>
        <v>0</v>
      </c>
      <c r="Y137" s="57">
        <f ca="1">SUM(CONT_SUP[[#This Row],[Duplicate Contract]:[Space in Code]])</f>
        <v>0</v>
      </c>
      <c r="AA137" s="12" t="s">
        <v>2299</v>
      </c>
      <c r="AB137" s="12">
        <v>91073948</v>
      </c>
      <c r="AC137" s="12" t="s">
        <v>4733</v>
      </c>
      <c r="AD137" s="57" t="str">
        <f>_xlfn.XLOOKUP(CONT_SUP[[#This Row],[StaffMemberCode]],StaffMembers!O:O,StaffMembers!R:R)</f>
        <v>Kirsty Beeston</v>
      </c>
      <c r="AE137" s="12" t="s">
        <v>4307</v>
      </c>
      <c r="AF137" s="57">
        <f>_xlfn.XLOOKUP(CONT_SUP[[#This Row],[SRG]],SRG[StaffRoleGroupCode],SRG[GrossSalaryFinanceCode])</f>
        <v>635100</v>
      </c>
      <c r="AG137" s="57" t="str">
        <f>_xlfn.XLOOKUP(CONT_SUP[[#This Row],[StaffRoleCode]],ROLES[StaffRoleCode],ROLES[StaffRoleGroupCode])</f>
        <v>MDS</v>
      </c>
      <c r="AH137" s="57" t="str">
        <f>_xlfn.XLOOKUP(CONT_SUP[[#This Row],[StaffRoleCode]],ROLES[StaffRoleCode],ROLES[PayScaleCode])</f>
        <v>NJC_CHE</v>
      </c>
      <c r="AI137" s="12" t="s">
        <v>3120</v>
      </c>
      <c r="AJ137" s="12">
        <v>2</v>
      </c>
      <c r="AK137" s="12" t="s">
        <v>2488</v>
      </c>
      <c r="AM137" s="68" t="s">
        <v>3132</v>
      </c>
      <c r="AN137" s="12" t="s">
        <v>3134</v>
      </c>
      <c r="AO137" s="21">
        <v>45901</v>
      </c>
      <c r="AQ137" s="12">
        <v>7.5</v>
      </c>
      <c r="AR137" t="b">
        <v>0</v>
      </c>
      <c r="AS137" t="b">
        <v>0</v>
      </c>
      <c r="AT137" s="12" t="s">
        <v>1574</v>
      </c>
    </row>
    <row r="138" spans="1:46" x14ac:dyDescent="0.3">
      <c r="A138" s="57" t="str">
        <f t="shared" si="4"/>
        <v>HIG9107387791073877AMDASMID45901</v>
      </c>
      <c r="B138" s="57">
        <f>COUNTIF(CONT_SUP[Unique Contract],CONT_SUP[[#This Row],[Unique Contract]])-1</f>
        <v>0</v>
      </c>
      <c r="C138" s="57">
        <f>IFERROR(IF(FIND(CONT_SUP[[#This Row],[SchoolCode]],_xlfn.XLOOKUP(CONT_SUP[[#This Row],[StaffMemberCode]],MEMBERS[StaffMemberCode],MEMBERS[SchoolCodes]))&gt;0,0,1),1)</f>
        <v>0</v>
      </c>
      <c r="D138" s="57" cm="1">
        <f t="array" ref="D138">IF(_xlfn.XLOOKUP(CONT_SUP[[#This Row],[StaffRoleCode]],ROLES[StaffRoleCode],ROLES[AvailableToAllSchools],1,0,)=TRUE,0,IF(ISERROR(FIND(CONT_SUP[[#This Row],[SchoolCode]],_xlfn.TEXTJOIN(",",TRUE,_xlfn.UNIQUE(IF(ROLES[StaffRoleCode]=CONT_SUP[[#This Row],[StaffRoleCode]],ROLES[SchoolCodes],""))))),1,0))</f>
        <v>0</v>
      </c>
      <c r="E138" s="57" cm="1">
        <f t="array" ref="E13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38" s="57" cm="1">
        <f t="array" ref="F138">IF(_xlfn.XLOOKUP(CONT_SUP[[#This Row],[PayScaleCode]],PAYSCALES[PayScaleCode],PAYSCALES[AvailableToAllSchools],1,0,)=TRUE,0,IF(ISERROR(FIND(CONT_SUP[[#This Row],[SchoolCode]],_xlfn.TEXTJOIN(",",TRUE,_xlfn.UNIQUE(IF(PAYSCALES[PayScaleCode]=CONT_SUP[[#This Row],[PayScaleCode]],PAYSCALES[SchoolCodes],""))))),1,0))</f>
        <v>0</v>
      </c>
      <c r="G138" s="57">
        <f>IF(_xlfn.XLOOKUP(CONT_SUP[[#This Row],[PayScaleGradeCode]],GRADES[PayScaleGradeCode],GRADES[AvailableToAllSchools])=TRUE,0,IFERROR(IF(FIND(CONT_SUP[[#This Row],[SchoolCode]],_xlfn.XLOOKUP(CONT_SUP[[#This Row],[PayScaleGradeCode]],GRADES[PayScaleGradeCode],GRADES[SchoolCodes]))&gt;=1,0,1),1))</f>
        <v>0</v>
      </c>
      <c r="H138" s="57">
        <f>IF(ISERROR(IF((_xlfn.XLOOKUP(CONT_SUP[[#This Row],[PayScaleGradeCode]],GRADES[PayScaleGradeCode],GRADES[PayScaleCode])=CONT_SUP[[#This Row],[PayScaleCode]]),0,1)),1,0)</f>
        <v>0</v>
      </c>
      <c r="I138" s="57" cm="1">
        <f t="array" ref="I138">IF(ISERROR(FIND(CONT_SUP[[#This Row],[PayScalePointCode]],_xlfn.TEXTJOIN(",",TRUE,IF(PSPOINTS[PayScaleCode]=CONT_SUP[[#This Row],[PayScaleCode]],PSPOINTS[PayScalePointCode])))),1,0)</f>
        <v>0</v>
      </c>
      <c r="J138" s="57" cm="1">
        <f t="array" ref="J13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38" s="57">
        <f>IF(_xlfn.XLOOKUP(CONT_SUP[[#This Row],[PayScalePointCode]],PSPOINTS[PayScalePointCode],PSPOINTS[PayScalePointEnabled])=TRUE,0,1)</f>
        <v>0</v>
      </c>
      <c r="L138" s="57" cm="1">
        <f t="array" ref="L138">IF(_xlfn.XLOOKUP(CONT_SUP[[#This Row],[DepartmentCode]],DEPTS[DepartmentCode],DEPTS[AvailableToAllSchools],1,0,)=TRUE,0,IF(ISERROR(FIND(CONT_SUP[[#This Row],[SchoolCode]],_xlfn.TEXTJOIN(",",TRUE,_xlfn.UNIQUE(IF(DEPTS[DepartmentCode]=CONT_SUP[[#This Row],[DepartmentCode]],DEPTS[SchoolCodes],""))))),1,0))</f>
        <v>0</v>
      </c>
      <c r="M138" s="57">
        <f>IFERROR(IF(_xlfn.XLOOKUP(CONT_SUP[[#This Row],[SRG Gross]],FinanceCodesBudget[FinanceCode],FinanceCodesBudget[LedgerCode])=_xlfn.XLOOKUP(CONT_SUP[[#This Row],[DepartmentCode]],DEPTS[DepartmentCode],DEPTS[LedgerCode]),0,1),1)</f>
        <v>0</v>
      </c>
      <c r="N138" s="57" cm="1">
        <f t="array" ref="N138">IF(_xlfn.XLOOKUP(CONT_SUP[[#This Row],[PensionCode]],PENS[PensionCode],PENS[AvailableToAllSchools],1,0,)=TRUE,0,IF(ISERROR(FIND(CONT_SUP[[#This Row],[SchoolCode]],_xlfn.TEXTJOIN(",",TRUE,_xlfn.UNIQUE(IF(PENS[PensionCode]=CONT_SUP[[#This Row],[PensionCode]],PENS[SchoolCodes],""))))),1,0))</f>
        <v>0</v>
      </c>
      <c r="O138" s="57" cm="1">
        <f t="array" ref="O138">IF(_xlfn.XLOOKUP(CONT_SUP[[#This Row],[EquatedWeekPatternCode]],EQW[EquatedWeekPatternCode],EQW[AvailableToAllSchools],1,0,)=TRUE,0,IF(ISERROR(FIND(CONT_SUP[[#This Row],[SchoolCode]],_xlfn.TEXTJOIN(",",TRUE,_xlfn.UNIQUE(IF(EQW[EquatedWeekPatternCode]=CONT_SUP[[#This Row],[EquatedWeekPatternCode]],EQW[SchoolCodes],""))))),1,0))</f>
        <v>0</v>
      </c>
      <c r="P138" s="57">
        <f>1-COUNTIF(ContractTypes[Code],CONT_SUP[[#This Row],[ContractTypeCode]])</f>
        <v>0</v>
      </c>
      <c r="Q138" s="57">
        <f>IF(VLOOKUP(CONT_SUP[[#This Row],[StaffMemberCode]],MEMBERS[[StaffMemberCode]:[ServiceStartDate]],5,0)&gt;CONT_SUP[[#This Row],[DateFrom]],1,0)</f>
        <v>0</v>
      </c>
      <c r="R138" s="57">
        <f>IF(_xlfn.XLOOKUP(CONT_SUP[[#This Row],[StaffMemberCode]],MEMBERS[StaffMemberCode],MEMBERS[ServiceEndDate])="",0,IF(CONT_SUP[[#This Row],[DateTo]]="",1,IF(_xlfn.XLOOKUP(CONT_SUP[[#This Row],[StaffMemberCode]],MEMBERS[StaffMemberCode],MEMBERS[ServiceEndDate])&lt;CONT_SUP[[#This Row],[DateTo]],1,0)))</f>
        <v>0</v>
      </c>
      <c r="S138" s="57">
        <f>IF(ISBLANK(CONT_SUP[[#This Row],[DateTo]]),0,IF(CONT_SUP[[#This Row],[DateFrom]]=CONT_SUP[[#This Row],[DateTo]],0,IF(CONT_SUP[[#This Row],[DateFrom]]&lt;CONT_SUP[[#This Row],[DateTo]],0,1)))</f>
        <v>0</v>
      </c>
      <c r="T138" s="57" cm="1">
        <f t="array" aca="1" ref="T138" ca="1">IF(CELL("format",CONT_SUP[[#This Row],[DateFrom]])="D1",0,1)+IF(CELL("format",CONT_SUP[[#This Row],[DateTo]])="D1",0,1)</f>
        <v>0</v>
      </c>
      <c r="U138" s="57">
        <f>IF(OR(CONT_SUP[[#This Row],[MatEditOnly]]=TRUE,CONT_SUP[[#This Row],[MatEditOnly]]=FALSE),IF(OR(CONT_SUP[[#This Row],[NoIncrement]]=TRUE,CONT_SUP[[#This Row],[NoIncrement]]=FALSE),0,1),1)</f>
        <v>0</v>
      </c>
      <c r="V138" s="57">
        <f>IF(ISBLANK(CONT_SUP[[#This Row],[FundCode]])=TRUE,0,IF(COUNTIF(FUNDS[FundCode],CONT_SUP[[#This Row],[FundCode]])=1,0,1))</f>
        <v>0</v>
      </c>
      <c r="W138" s="57">
        <f>IF(LEN(CONT_SUP[[#This Row],[Notes]])&lt;4000,0,1)</f>
        <v>0</v>
      </c>
      <c r="X138" s="57">
        <f>IF(SUBSTITUTE(TEXT(CONT_SUP[[#This Row],[Reference]],10)," ","")=TEXT(CONT_SUP[[#This Row],[Reference]],10),0,1)</f>
        <v>0</v>
      </c>
      <c r="Y138" s="57">
        <f ca="1">SUM(CONT_SUP[[#This Row],[Duplicate Contract]:[Space in Code]])</f>
        <v>0</v>
      </c>
      <c r="AA138" s="12" t="s">
        <v>2266</v>
      </c>
      <c r="AB138" s="12">
        <v>91073877</v>
      </c>
      <c r="AC138" s="12" t="s">
        <v>4734</v>
      </c>
      <c r="AD138" s="57" t="str">
        <f>_xlfn.XLOOKUP(CONT_SUP[[#This Row],[StaffMemberCode]],StaffMembers!O:O,StaffMembers!R:R)</f>
        <v>Lorraine Donovan</v>
      </c>
      <c r="AE138" s="12" t="s">
        <v>4307</v>
      </c>
      <c r="AF138" s="57">
        <f>_xlfn.XLOOKUP(CONT_SUP[[#This Row],[SRG]],SRG[StaffRoleGroupCode],SRG[GrossSalaryFinanceCode])</f>
        <v>635100</v>
      </c>
      <c r="AG138" s="57" t="str">
        <f>_xlfn.XLOOKUP(CONT_SUP[[#This Row],[StaffRoleCode]],ROLES[StaffRoleCode],ROLES[StaffRoleGroupCode])</f>
        <v>MDS</v>
      </c>
      <c r="AH138" s="57" t="str">
        <f>_xlfn.XLOOKUP(CONT_SUP[[#This Row],[StaffRoleCode]],ROLES[StaffRoleCode],ROLES[PayScaleCode])</f>
        <v>NJC_CHE</v>
      </c>
      <c r="AI138" s="12" t="s">
        <v>3120</v>
      </c>
      <c r="AJ138" s="12">
        <v>2</v>
      </c>
      <c r="AK138" s="12" t="s">
        <v>2488</v>
      </c>
      <c r="AM138" s="68" t="s">
        <v>3132</v>
      </c>
      <c r="AN138" s="12" t="s">
        <v>3134</v>
      </c>
      <c r="AO138" s="21">
        <v>45901</v>
      </c>
      <c r="AQ138" s="12">
        <v>7.5</v>
      </c>
      <c r="AR138" t="b">
        <v>0</v>
      </c>
      <c r="AS138" t="b">
        <v>0</v>
      </c>
      <c r="AT138" s="12" t="s">
        <v>1574</v>
      </c>
    </row>
    <row r="139" spans="1:46" x14ac:dyDescent="0.3">
      <c r="A139" s="57" t="str">
        <f t="shared" si="4"/>
        <v>WVP9107341391073413AMDASMID45901</v>
      </c>
      <c r="B139" s="57">
        <f>COUNTIF(CONT_SUP[Unique Contract],CONT_SUP[[#This Row],[Unique Contract]])-1</f>
        <v>0</v>
      </c>
      <c r="C139" s="57">
        <f>IFERROR(IF(FIND(CONT_SUP[[#This Row],[SchoolCode]],_xlfn.XLOOKUP(CONT_SUP[[#This Row],[StaffMemberCode]],MEMBERS[StaffMemberCode],MEMBERS[SchoolCodes]))&gt;0,0,1),1)</f>
        <v>0</v>
      </c>
      <c r="D139" s="57" cm="1">
        <f t="array" ref="D139">IF(_xlfn.XLOOKUP(CONT_SUP[[#This Row],[StaffRoleCode]],ROLES[StaffRoleCode],ROLES[AvailableToAllSchools],1,0,)=TRUE,0,IF(ISERROR(FIND(CONT_SUP[[#This Row],[SchoolCode]],_xlfn.TEXTJOIN(",",TRUE,_xlfn.UNIQUE(IF(ROLES[StaffRoleCode]=CONT_SUP[[#This Row],[StaffRoleCode]],ROLES[SchoolCodes],""))))),1,0))</f>
        <v>0</v>
      </c>
      <c r="E139" s="57" cm="1">
        <f t="array" ref="E13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39" s="57" cm="1">
        <f t="array" ref="F139">IF(_xlfn.XLOOKUP(CONT_SUP[[#This Row],[PayScaleCode]],PAYSCALES[PayScaleCode],PAYSCALES[AvailableToAllSchools],1,0,)=TRUE,0,IF(ISERROR(FIND(CONT_SUP[[#This Row],[SchoolCode]],_xlfn.TEXTJOIN(",",TRUE,_xlfn.UNIQUE(IF(PAYSCALES[PayScaleCode]=CONT_SUP[[#This Row],[PayScaleCode]],PAYSCALES[SchoolCodes],""))))),1,0))</f>
        <v>0</v>
      </c>
      <c r="G139" s="57">
        <f>IF(_xlfn.XLOOKUP(CONT_SUP[[#This Row],[PayScaleGradeCode]],GRADES[PayScaleGradeCode],GRADES[AvailableToAllSchools])=TRUE,0,IFERROR(IF(FIND(CONT_SUP[[#This Row],[SchoolCode]],_xlfn.XLOOKUP(CONT_SUP[[#This Row],[PayScaleGradeCode]],GRADES[PayScaleGradeCode],GRADES[SchoolCodes]))&gt;=1,0,1),1))</f>
        <v>0</v>
      </c>
      <c r="H139" s="57">
        <f>IF(ISERROR(IF((_xlfn.XLOOKUP(CONT_SUP[[#This Row],[PayScaleGradeCode]],GRADES[PayScaleGradeCode],GRADES[PayScaleCode])=CONT_SUP[[#This Row],[PayScaleCode]]),0,1)),1,0)</f>
        <v>0</v>
      </c>
      <c r="I139" s="57" cm="1">
        <f t="array" ref="I139">IF(ISERROR(FIND(CONT_SUP[[#This Row],[PayScalePointCode]],_xlfn.TEXTJOIN(",",TRUE,IF(PSPOINTS[PayScaleCode]=CONT_SUP[[#This Row],[PayScaleCode]],PSPOINTS[PayScalePointCode])))),1,0)</f>
        <v>0</v>
      </c>
      <c r="J139" s="57" cm="1">
        <f t="array" ref="J13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39" s="57">
        <f>IF(_xlfn.XLOOKUP(CONT_SUP[[#This Row],[PayScalePointCode]],PSPOINTS[PayScalePointCode],PSPOINTS[PayScalePointEnabled])=TRUE,0,1)</f>
        <v>0</v>
      </c>
      <c r="L139" s="57" cm="1">
        <f t="array" ref="L139">IF(_xlfn.XLOOKUP(CONT_SUP[[#This Row],[DepartmentCode]],DEPTS[DepartmentCode],DEPTS[AvailableToAllSchools],1,0,)=TRUE,0,IF(ISERROR(FIND(CONT_SUP[[#This Row],[SchoolCode]],_xlfn.TEXTJOIN(",",TRUE,_xlfn.UNIQUE(IF(DEPTS[DepartmentCode]=CONT_SUP[[#This Row],[DepartmentCode]],DEPTS[SchoolCodes],""))))),1,0))</f>
        <v>0</v>
      </c>
      <c r="M139" s="57">
        <f>IFERROR(IF(_xlfn.XLOOKUP(CONT_SUP[[#This Row],[SRG Gross]],FinanceCodesBudget[FinanceCode],FinanceCodesBudget[LedgerCode])=_xlfn.XLOOKUP(CONT_SUP[[#This Row],[DepartmentCode]],DEPTS[DepartmentCode],DEPTS[LedgerCode]),0,1),1)</f>
        <v>0</v>
      </c>
      <c r="N139" s="57" cm="1">
        <f t="array" ref="N139">IF(_xlfn.XLOOKUP(CONT_SUP[[#This Row],[PensionCode]],PENS[PensionCode],PENS[AvailableToAllSchools],1,0,)=TRUE,0,IF(ISERROR(FIND(CONT_SUP[[#This Row],[SchoolCode]],_xlfn.TEXTJOIN(",",TRUE,_xlfn.UNIQUE(IF(PENS[PensionCode]=CONT_SUP[[#This Row],[PensionCode]],PENS[SchoolCodes],""))))),1,0))</f>
        <v>0</v>
      </c>
      <c r="O139" s="57" cm="1">
        <f t="array" ref="O139">IF(_xlfn.XLOOKUP(CONT_SUP[[#This Row],[EquatedWeekPatternCode]],EQW[EquatedWeekPatternCode],EQW[AvailableToAllSchools],1,0,)=TRUE,0,IF(ISERROR(FIND(CONT_SUP[[#This Row],[SchoolCode]],_xlfn.TEXTJOIN(",",TRUE,_xlfn.UNIQUE(IF(EQW[EquatedWeekPatternCode]=CONT_SUP[[#This Row],[EquatedWeekPatternCode]],EQW[SchoolCodes],""))))),1,0))</f>
        <v>0</v>
      </c>
      <c r="P139" s="57">
        <f>1-COUNTIF(ContractTypes[Code],CONT_SUP[[#This Row],[ContractTypeCode]])</f>
        <v>0</v>
      </c>
      <c r="Q139" s="57">
        <f>IF(VLOOKUP(CONT_SUP[[#This Row],[StaffMemberCode]],MEMBERS[[StaffMemberCode]:[ServiceStartDate]],5,0)&gt;CONT_SUP[[#This Row],[DateFrom]],1,0)</f>
        <v>0</v>
      </c>
      <c r="R139" s="57">
        <f>IF(_xlfn.XLOOKUP(CONT_SUP[[#This Row],[StaffMemberCode]],MEMBERS[StaffMemberCode],MEMBERS[ServiceEndDate])="",0,IF(CONT_SUP[[#This Row],[DateTo]]="",1,IF(_xlfn.XLOOKUP(CONT_SUP[[#This Row],[StaffMemberCode]],MEMBERS[StaffMemberCode],MEMBERS[ServiceEndDate])&lt;CONT_SUP[[#This Row],[DateTo]],1,0)))</f>
        <v>0</v>
      </c>
      <c r="S139" s="57">
        <f>IF(ISBLANK(CONT_SUP[[#This Row],[DateTo]]),0,IF(CONT_SUP[[#This Row],[DateFrom]]=CONT_SUP[[#This Row],[DateTo]],0,IF(CONT_SUP[[#This Row],[DateFrom]]&lt;CONT_SUP[[#This Row],[DateTo]],0,1)))</f>
        <v>0</v>
      </c>
      <c r="T139" s="57" cm="1">
        <f t="array" aca="1" ref="T139" ca="1">IF(CELL("format",CONT_SUP[[#This Row],[DateFrom]])="D1",0,1)+IF(CELL("format",CONT_SUP[[#This Row],[DateTo]])="D1",0,1)</f>
        <v>0</v>
      </c>
      <c r="U139" s="57">
        <f>IF(OR(CONT_SUP[[#This Row],[MatEditOnly]]=TRUE,CONT_SUP[[#This Row],[MatEditOnly]]=FALSE),IF(OR(CONT_SUP[[#This Row],[NoIncrement]]=TRUE,CONT_SUP[[#This Row],[NoIncrement]]=FALSE),0,1),1)</f>
        <v>0</v>
      </c>
      <c r="V139" s="57">
        <f>IF(ISBLANK(CONT_SUP[[#This Row],[FundCode]])=TRUE,0,IF(COUNTIF(FUNDS[FundCode],CONT_SUP[[#This Row],[FundCode]])=1,0,1))</f>
        <v>0</v>
      </c>
      <c r="W139" s="57">
        <f>IF(LEN(CONT_SUP[[#This Row],[Notes]])&lt;4000,0,1)</f>
        <v>0</v>
      </c>
      <c r="X139" s="57">
        <f>IF(SUBSTITUTE(TEXT(CONT_SUP[[#This Row],[Reference]],10)," ","")=TEXT(CONT_SUP[[#This Row],[Reference]],10),0,1)</f>
        <v>0</v>
      </c>
      <c r="Y139" s="57">
        <f ca="1">SUM(CONT_SUP[[#This Row],[Duplicate Contract]:[Space in Code]])</f>
        <v>0</v>
      </c>
      <c r="AA139" s="12" t="s">
        <v>2275</v>
      </c>
      <c r="AB139" s="12">
        <v>91073413</v>
      </c>
      <c r="AC139" s="12" t="s">
        <v>4735</v>
      </c>
      <c r="AD139" s="57" t="str">
        <f>_xlfn.XLOOKUP(CONT_SUP[[#This Row],[StaffMemberCode]],StaffMembers!O:O,StaffMembers!R:R)</f>
        <v>Lynn Peacock</v>
      </c>
      <c r="AE139" s="12" t="s">
        <v>4307</v>
      </c>
      <c r="AF139" s="57">
        <f>_xlfn.XLOOKUP(CONT_SUP[[#This Row],[SRG]],SRG[StaffRoleGroupCode],SRG[GrossSalaryFinanceCode])</f>
        <v>635100</v>
      </c>
      <c r="AG139" s="57" t="str">
        <f>_xlfn.XLOOKUP(CONT_SUP[[#This Row],[StaffRoleCode]],ROLES[StaffRoleCode],ROLES[StaffRoleGroupCode])</f>
        <v>MDS</v>
      </c>
      <c r="AH139" s="57" t="str">
        <f>_xlfn.XLOOKUP(CONT_SUP[[#This Row],[StaffRoleCode]],ROLES[StaffRoleCode],ROLES[PayScaleCode])</f>
        <v>NJC_CHE</v>
      </c>
      <c r="AI139" s="12" t="s">
        <v>3120</v>
      </c>
      <c r="AJ139" s="12">
        <v>2</v>
      </c>
      <c r="AK139" s="12" t="s">
        <v>2488</v>
      </c>
      <c r="AM139" s="68" t="s">
        <v>3132</v>
      </c>
      <c r="AN139" s="12" t="s">
        <v>3134</v>
      </c>
      <c r="AO139" s="21">
        <v>45901</v>
      </c>
      <c r="AQ139" s="12">
        <v>5.25</v>
      </c>
      <c r="AR139" t="b">
        <v>0</v>
      </c>
      <c r="AS139" t="b">
        <v>0</v>
      </c>
      <c r="AT139" s="12" t="s">
        <v>1574</v>
      </c>
    </row>
    <row r="140" spans="1:46" x14ac:dyDescent="0.3">
      <c r="A140" s="57" t="str">
        <f t="shared" si="4"/>
        <v>SBL9107575691075756BMDASMID45901</v>
      </c>
      <c r="B140" s="57">
        <f>COUNTIF(CONT_SUP[Unique Contract],CONT_SUP[[#This Row],[Unique Contract]])-1</f>
        <v>0</v>
      </c>
      <c r="C140" s="57">
        <f>IFERROR(IF(FIND(CONT_SUP[[#This Row],[SchoolCode]],_xlfn.XLOOKUP(CONT_SUP[[#This Row],[StaffMemberCode]],MEMBERS[StaffMemberCode],MEMBERS[SchoolCodes]))&gt;0,0,1),1)</f>
        <v>0</v>
      </c>
      <c r="D140" s="57" cm="1">
        <f t="array" ref="D140">IF(_xlfn.XLOOKUP(CONT_SUP[[#This Row],[StaffRoleCode]],ROLES[StaffRoleCode],ROLES[AvailableToAllSchools],1,0,)=TRUE,0,IF(ISERROR(FIND(CONT_SUP[[#This Row],[SchoolCode]],_xlfn.TEXTJOIN(",",TRUE,_xlfn.UNIQUE(IF(ROLES[StaffRoleCode]=CONT_SUP[[#This Row],[StaffRoleCode]],ROLES[SchoolCodes],""))))),1,0))</f>
        <v>0</v>
      </c>
      <c r="E140" s="57" cm="1">
        <f t="array" ref="E14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40" s="57" cm="1">
        <f t="array" ref="F140">IF(_xlfn.XLOOKUP(CONT_SUP[[#This Row],[PayScaleCode]],PAYSCALES[PayScaleCode],PAYSCALES[AvailableToAllSchools],1,0,)=TRUE,0,IF(ISERROR(FIND(CONT_SUP[[#This Row],[SchoolCode]],_xlfn.TEXTJOIN(",",TRUE,_xlfn.UNIQUE(IF(PAYSCALES[PayScaleCode]=CONT_SUP[[#This Row],[PayScaleCode]],PAYSCALES[SchoolCodes],""))))),1,0))</f>
        <v>0</v>
      </c>
      <c r="G140" s="57">
        <f>IF(_xlfn.XLOOKUP(CONT_SUP[[#This Row],[PayScaleGradeCode]],GRADES[PayScaleGradeCode],GRADES[AvailableToAllSchools])=TRUE,0,IFERROR(IF(FIND(CONT_SUP[[#This Row],[SchoolCode]],_xlfn.XLOOKUP(CONT_SUP[[#This Row],[PayScaleGradeCode]],GRADES[PayScaleGradeCode],GRADES[SchoolCodes]))&gt;=1,0,1),1))</f>
        <v>0</v>
      </c>
      <c r="H140" s="57">
        <f>IF(ISERROR(IF((_xlfn.XLOOKUP(CONT_SUP[[#This Row],[PayScaleGradeCode]],GRADES[PayScaleGradeCode],GRADES[PayScaleCode])=CONT_SUP[[#This Row],[PayScaleCode]]),0,1)),1,0)</f>
        <v>0</v>
      </c>
      <c r="I140" s="57" cm="1">
        <f t="array" ref="I140">IF(ISERROR(FIND(CONT_SUP[[#This Row],[PayScalePointCode]],_xlfn.TEXTJOIN(",",TRUE,IF(PSPOINTS[PayScaleCode]=CONT_SUP[[#This Row],[PayScaleCode]],PSPOINTS[PayScalePointCode])))),1,0)</f>
        <v>0</v>
      </c>
      <c r="J140" s="57" cm="1">
        <f t="array" ref="J14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40" s="57">
        <f>IF(_xlfn.XLOOKUP(CONT_SUP[[#This Row],[PayScalePointCode]],PSPOINTS[PayScalePointCode],PSPOINTS[PayScalePointEnabled])=TRUE,0,1)</f>
        <v>0</v>
      </c>
      <c r="L140" s="57" cm="1">
        <f t="array" ref="L140">IF(_xlfn.XLOOKUP(CONT_SUP[[#This Row],[DepartmentCode]],DEPTS[DepartmentCode],DEPTS[AvailableToAllSchools],1,0,)=TRUE,0,IF(ISERROR(FIND(CONT_SUP[[#This Row],[SchoolCode]],_xlfn.TEXTJOIN(",",TRUE,_xlfn.UNIQUE(IF(DEPTS[DepartmentCode]=CONT_SUP[[#This Row],[DepartmentCode]],DEPTS[SchoolCodes],""))))),1,0))</f>
        <v>0</v>
      </c>
      <c r="M140" s="57">
        <f>IFERROR(IF(_xlfn.XLOOKUP(CONT_SUP[[#This Row],[SRG Gross]],FinanceCodesBudget[FinanceCode],FinanceCodesBudget[LedgerCode])=_xlfn.XLOOKUP(CONT_SUP[[#This Row],[DepartmentCode]],DEPTS[DepartmentCode],DEPTS[LedgerCode]),0,1),1)</f>
        <v>0</v>
      </c>
      <c r="N140" s="57" cm="1">
        <f t="array" ref="N140">IF(_xlfn.XLOOKUP(CONT_SUP[[#This Row],[PensionCode]],PENS[PensionCode],PENS[AvailableToAllSchools],1,0,)=TRUE,0,IF(ISERROR(FIND(CONT_SUP[[#This Row],[SchoolCode]],_xlfn.TEXTJOIN(",",TRUE,_xlfn.UNIQUE(IF(PENS[PensionCode]=CONT_SUP[[#This Row],[PensionCode]],PENS[SchoolCodes],""))))),1,0))</f>
        <v>0</v>
      </c>
      <c r="O140" s="57" cm="1">
        <f t="array" ref="O140">IF(_xlfn.XLOOKUP(CONT_SUP[[#This Row],[EquatedWeekPatternCode]],EQW[EquatedWeekPatternCode],EQW[AvailableToAllSchools],1,0,)=TRUE,0,IF(ISERROR(FIND(CONT_SUP[[#This Row],[SchoolCode]],_xlfn.TEXTJOIN(",",TRUE,_xlfn.UNIQUE(IF(EQW[EquatedWeekPatternCode]=CONT_SUP[[#This Row],[EquatedWeekPatternCode]],EQW[SchoolCodes],""))))),1,0))</f>
        <v>0</v>
      </c>
      <c r="P140" s="57">
        <f>1-COUNTIF(ContractTypes[Code],CONT_SUP[[#This Row],[ContractTypeCode]])</f>
        <v>0</v>
      </c>
      <c r="Q140" s="57">
        <f>IF(VLOOKUP(CONT_SUP[[#This Row],[StaffMemberCode]],MEMBERS[[StaffMemberCode]:[ServiceStartDate]],5,0)&gt;CONT_SUP[[#This Row],[DateFrom]],1,0)</f>
        <v>0</v>
      </c>
      <c r="R140" s="57">
        <f>IF(_xlfn.XLOOKUP(CONT_SUP[[#This Row],[StaffMemberCode]],MEMBERS[StaffMemberCode],MEMBERS[ServiceEndDate])="",0,IF(CONT_SUP[[#This Row],[DateTo]]="",1,IF(_xlfn.XLOOKUP(CONT_SUP[[#This Row],[StaffMemberCode]],MEMBERS[StaffMemberCode],MEMBERS[ServiceEndDate])&lt;CONT_SUP[[#This Row],[DateTo]],1,0)))</f>
        <v>0</v>
      </c>
      <c r="S140" s="57">
        <f>IF(ISBLANK(CONT_SUP[[#This Row],[DateTo]]),0,IF(CONT_SUP[[#This Row],[DateFrom]]=CONT_SUP[[#This Row],[DateTo]],0,IF(CONT_SUP[[#This Row],[DateFrom]]&lt;CONT_SUP[[#This Row],[DateTo]],0,1)))</f>
        <v>0</v>
      </c>
      <c r="T140" s="57" cm="1">
        <f t="array" aca="1" ref="T140" ca="1">IF(CELL("format",CONT_SUP[[#This Row],[DateFrom]])="D1",0,1)+IF(CELL("format",CONT_SUP[[#This Row],[DateTo]])="D1",0,1)</f>
        <v>0</v>
      </c>
      <c r="U140" s="57">
        <f>IF(OR(CONT_SUP[[#This Row],[MatEditOnly]]=TRUE,CONT_SUP[[#This Row],[MatEditOnly]]=FALSE),IF(OR(CONT_SUP[[#This Row],[NoIncrement]]=TRUE,CONT_SUP[[#This Row],[NoIncrement]]=FALSE),0,1),1)</f>
        <v>0</v>
      </c>
      <c r="V140" s="57">
        <f>IF(ISBLANK(CONT_SUP[[#This Row],[FundCode]])=TRUE,0,IF(COUNTIF(FUNDS[FundCode],CONT_SUP[[#This Row],[FundCode]])=1,0,1))</f>
        <v>0</v>
      </c>
      <c r="W140" s="57">
        <f>IF(LEN(CONT_SUP[[#This Row],[Notes]])&lt;4000,0,1)</f>
        <v>0</v>
      </c>
      <c r="X140" s="57">
        <f>IF(SUBSTITUTE(TEXT(CONT_SUP[[#This Row],[Reference]],10)," ","")=TEXT(CONT_SUP[[#This Row],[Reference]],10),0,1)</f>
        <v>0</v>
      </c>
      <c r="Y140" s="57">
        <f ca="1">SUM(CONT_SUP[[#This Row],[Duplicate Contract]:[Space in Code]])</f>
        <v>0</v>
      </c>
      <c r="AA140" s="12" t="s">
        <v>2200</v>
      </c>
      <c r="AB140" s="12">
        <v>91075756</v>
      </c>
      <c r="AC140" s="12" t="s">
        <v>4736</v>
      </c>
      <c r="AD140" s="57" t="str">
        <f>_xlfn.XLOOKUP(CONT_SUP[[#This Row],[StaffMemberCode]],StaffMembers!O:O,StaffMembers!R:R)</f>
        <v>Paula Maginess</v>
      </c>
      <c r="AE140" s="12" t="s">
        <v>4307</v>
      </c>
      <c r="AF140" s="57">
        <f>_xlfn.XLOOKUP(CONT_SUP[[#This Row],[SRG]],SRG[StaffRoleGroupCode],SRG[GrossSalaryFinanceCode])</f>
        <v>635100</v>
      </c>
      <c r="AG140" s="57" t="str">
        <f>_xlfn.XLOOKUP(CONT_SUP[[#This Row],[StaffRoleCode]],ROLES[StaffRoleCode],ROLES[StaffRoleGroupCode])</f>
        <v>MDS</v>
      </c>
      <c r="AH140" s="57" t="str">
        <f>_xlfn.XLOOKUP(CONT_SUP[[#This Row],[StaffRoleCode]],ROLES[StaffRoleCode],ROLES[PayScaleCode])</f>
        <v>NJC_CHE</v>
      </c>
      <c r="AI140" s="12" t="s">
        <v>3120</v>
      </c>
      <c r="AJ140" s="12">
        <v>2</v>
      </c>
      <c r="AK140" s="12" t="s">
        <v>2488</v>
      </c>
      <c r="AM140" s="68" t="s">
        <v>3132</v>
      </c>
      <c r="AN140" s="12" t="s">
        <v>3134</v>
      </c>
      <c r="AO140" s="21">
        <v>45901</v>
      </c>
      <c r="AQ140" s="12">
        <v>2.5</v>
      </c>
      <c r="AR140" t="b">
        <v>0</v>
      </c>
      <c r="AS140" t="b">
        <v>0</v>
      </c>
      <c r="AT140" s="12" t="s">
        <v>1574</v>
      </c>
    </row>
    <row r="141" spans="1:46" x14ac:dyDescent="0.3">
      <c r="A141" s="57" t="str">
        <f t="shared" si="4"/>
        <v>HIG9107388991073889AMDASMID45901</v>
      </c>
      <c r="B141" s="57">
        <f>COUNTIF(CONT_SUP[Unique Contract],CONT_SUP[[#This Row],[Unique Contract]])-1</f>
        <v>0</v>
      </c>
      <c r="C141" s="57">
        <f>IFERROR(IF(FIND(CONT_SUP[[#This Row],[SchoolCode]],_xlfn.XLOOKUP(CONT_SUP[[#This Row],[StaffMemberCode]],MEMBERS[StaffMemberCode],MEMBERS[SchoolCodes]))&gt;0,0,1),1)</f>
        <v>0</v>
      </c>
      <c r="D141" s="57" cm="1">
        <f t="array" ref="D141">IF(_xlfn.XLOOKUP(CONT_SUP[[#This Row],[StaffRoleCode]],ROLES[StaffRoleCode],ROLES[AvailableToAllSchools],1,0,)=TRUE,0,IF(ISERROR(FIND(CONT_SUP[[#This Row],[SchoolCode]],_xlfn.TEXTJOIN(",",TRUE,_xlfn.UNIQUE(IF(ROLES[StaffRoleCode]=CONT_SUP[[#This Row],[StaffRoleCode]],ROLES[SchoolCodes],""))))),1,0))</f>
        <v>0</v>
      </c>
      <c r="E141" s="57" cm="1">
        <f t="array" ref="E14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41" s="57" cm="1">
        <f t="array" ref="F141">IF(_xlfn.XLOOKUP(CONT_SUP[[#This Row],[PayScaleCode]],PAYSCALES[PayScaleCode],PAYSCALES[AvailableToAllSchools],1,0,)=TRUE,0,IF(ISERROR(FIND(CONT_SUP[[#This Row],[SchoolCode]],_xlfn.TEXTJOIN(",",TRUE,_xlfn.UNIQUE(IF(PAYSCALES[PayScaleCode]=CONT_SUP[[#This Row],[PayScaleCode]],PAYSCALES[SchoolCodes],""))))),1,0))</f>
        <v>0</v>
      </c>
      <c r="G141" s="57">
        <f>IF(_xlfn.XLOOKUP(CONT_SUP[[#This Row],[PayScaleGradeCode]],GRADES[PayScaleGradeCode],GRADES[AvailableToAllSchools])=TRUE,0,IFERROR(IF(FIND(CONT_SUP[[#This Row],[SchoolCode]],_xlfn.XLOOKUP(CONT_SUP[[#This Row],[PayScaleGradeCode]],GRADES[PayScaleGradeCode],GRADES[SchoolCodes]))&gt;=1,0,1),1))</f>
        <v>0</v>
      </c>
      <c r="H141" s="57">
        <f>IF(ISERROR(IF((_xlfn.XLOOKUP(CONT_SUP[[#This Row],[PayScaleGradeCode]],GRADES[PayScaleGradeCode],GRADES[PayScaleCode])=CONT_SUP[[#This Row],[PayScaleCode]]),0,1)),1,0)</f>
        <v>0</v>
      </c>
      <c r="I141" s="57" cm="1">
        <f t="array" ref="I141">IF(ISERROR(FIND(CONT_SUP[[#This Row],[PayScalePointCode]],_xlfn.TEXTJOIN(",",TRUE,IF(PSPOINTS[PayScaleCode]=CONT_SUP[[#This Row],[PayScaleCode]],PSPOINTS[PayScalePointCode])))),1,0)</f>
        <v>0</v>
      </c>
      <c r="J141" s="57" cm="1">
        <f t="array" ref="J14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41" s="57">
        <f>IF(_xlfn.XLOOKUP(CONT_SUP[[#This Row],[PayScalePointCode]],PSPOINTS[PayScalePointCode],PSPOINTS[PayScalePointEnabled])=TRUE,0,1)</f>
        <v>0</v>
      </c>
      <c r="L141" s="57" cm="1">
        <f t="array" ref="L141">IF(_xlfn.XLOOKUP(CONT_SUP[[#This Row],[DepartmentCode]],DEPTS[DepartmentCode],DEPTS[AvailableToAllSchools],1,0,)=TRUE,0,IF(ISERROR(FIND(CONT_SUP[[#This Row],[SchoolCode]],_xlfn.TEXTJOIN(",",TRUE,_xlfn.UNIQUE(IF(DEPTS[DepartmentCode]=CONT_SUP[[#This Row],[DepartmentCode]],DEPTS[SchoolCodes],""))))),1,0))</f>
        <v>0</v>
      </c>
      <c r="M141" s="57">
        <f>IFERROR(IF(_xlfn.XLOOKUP(CONT_SUP[[#This Row],[SRG Gross]],FinanceCodesBudget[FinanceCode],FinanceCodesBudget[LedgerCode])=_xlfn.XLOOKUP(CONT_SUP[[#This Row],[DepartmentCode]],DEPTS[DepartmentCode],DEPTS[LedgerCode]),0,1),1)</f>
        <v>0</v>
      </c>
      <c r="N141" s="57" cm="1">
        <f t="array" ref="N141">IF(_xlfn.XLOOKUP(CONT_SUP[[#This Row],[PensionCode]],PENS[PensionCode],PENS[AvailableToAllSchools],1,0,)=TRUE,0,IF(ISERROR(FIND(CONT_SUP[[#This Row],[SchoolCode]],_xlfn.TEXTJOIN(",",TRUE,_xlfn.UNIQUE(IF(PENS[PensionCode]=CONT_SUP[[#This Row],[PensionCode]],PENS[SchoolCodes],""))))),1,0))</f>
        <v>0</v>
      </c>
      <c r="O141" s="57" cm="1">
        <f t="array" ref="O141">IF(_xlfn.XLOOKUP(CONT_SUP[[#This Row],[EquatedWeekPatternCode]],EQW[EquatedWeekPatternCode],EQW[AvailableToAllSchools],1,0,)=TRUE,0,IF(ISERROR(FIND(CONT_SUP[[#This Row],[SchoolCode]],_xlfn.TEXTJOIN(",",TRUE,_xlfn.UNIQUE(IF(EQW[EquatedWeekPatternCode]=CONT_SUP[[#This Row],[EquatedWeekPatternCode]],EQW[SchoolCodes],""))))),1,0))</f>
        <v>0</v>
      </c>
      <c r="P141" s="57">
        <f>1-COUNTIF(ContractTypes[Code],CONT_SUP[[#This Row],[ContractTypeCode]])</f>
        <v>0</v>
      </c>
      <c r="Q141" s="57">
        <f>IF(VLOOKUP(CONT_SUP[[#This Row],[StaffMemberCode]],MEMBERS[[StaffMemberCode]:[ServiceStartDate]],5,0)&gt;CONT_SUP[[#This Row],[DateFrom]],1,0)</f>
        <v>0</v>
      </c>
      <c r="R141" s="57">
        <f>IF(_xlfn.XLOOKUP(CONT_SUP[[#This Row],[StaffMemberCode]],MEMBERS[StaffMemberCode],MEMBERS[ServiceEndDate])="",0,IF(CONT_SUP[[#This Row],[DateTo]]="",1,IF(_xlfn.XLOOKUP(CONT_SUP[[#This Row],[StaffMemberCode]],MEMBERS[StaffMemberCode],MEMBERS[ServiceEndDate])&lt;CONT_SUP[[#This Row],[DateTo]],1,0)))</f>
        <v>0</v>
      </c>
      <c r="S141" s="57">
        <f>IF(ISBLANK(CONT_SUP[[#This Row],[DateTo]]),0,IF(CONT_SUP[[#This Row],[DateFrom]]=CONT_SUP[[#This Row],[DateTo]],0,IF(CONT_SUP[[#This Row],[DateFrom]]&lt;CONT_SUP[[#This Row],[DateTo]],0,1)))</f>
        <v>0</v>
      </c>
      <c r="T141" s="57" cm="1">
        <f t="array" aca="1" ref="T141" ca="1">IF(CELL("format",CONT_SUP[[#This Row],[DateFrom]])="D1",0,1)+IF(CELL("format",CONT_SUP[[#This Row],[DateTo]])="D1",0,1)</f>
        <v>0</v>
      </c>
      <c r="U141" s="57">
        <f>IF(OR(CONT_SUP[[#This Row],[MatEditOnly]]=TRUE,CONT_SUP[[#This Row],[MatEditOnly]]=FALSE),IF(OR(CONT_SUP[[#This Row],[NoIncrement]]=TRUE,CONT_SUP[[#This Row],[NoIncrement]]=FALSE),0,1),1)</f>
        <v>0</v>
      </c>
      <c r="V141" s="57">
        <f>IF(ISBLANK(CONT_SUP[[#This Row],[FundCode]])=TRUE,0,IF(COUNTIF(FUNDS[FundCode],CONT_SUP[[#This Row],[FundCode]])=1,0,1))</f>
        <v>0</v>
      </c>
      <c r="W141" s="57">
        <f>IF(LEN(CONT_SUP[[#This Row],[Notes]])&lt;4000,0,1)</f>
        <v>0</v>
      </c>
      <c r="X141" s="57">
        <f>IF(SUBSTITUTE(TEXT(CONT_SUP[[#This Row],[Reference]],10)," ","")=TEXT(CONT_SUP[[#This Row],[Reference]],10),0,1)</f>
        <v>0</v>
      </c>
      <c r="Y141" s="57">
        <f ca="1">SUM(CONT_SUP[[#This Row],[Duplicate Contract]:[Space in Code]])</f>
        <v>0</v>
      </c>
      <c r="AA141" s="12" t="s">
        <v>2266</v>
      </c>
      <c r="AB141" s="12">
        <v>91073889</v>
      </c>
      <c r="AC141" s="12" t="s">
        <v>4737</v>
      </c>
      <c r="AD141" s="57" t="str">
        <f>_xlfn.XLOOKUP(CONT_SUP[[#This Row],[StaffMemberCode]],StaffMembers!O:O,StaffMembers!R:R)</f>
        <v>Susan Ndagire</v>
      </c>
      <c r="AE141" s="12" t="s">
        <v>4307</v>
      </c>
      <c r="AF141" s="57">
        <f>_xlfn.XLOOKUP(CONT_SUP[[#This Row],[SRG]],SRG[StaffRoleGroupCode],SRG[GrossSalaryFinanceCode])</f>
        <v>635100</v>
      </c>
      <c r="AG141" s="57" t="str">
        <f>_xlfn.XLOOKUP(CONT_SUP[[#This Row],[StaffRoleCode]],ROLES[StaffRoleCode],ROLES[StaffRoleGroupCode])</f>
        <v>MDS</v>
      </c>
      <c r="AH141" s="57" t="str">
        <f>_xlfn.XLOOKUP(CONT_SUP[[#This Row],[StaffRoleCode]],ROLES[StaffRoleCode],ROLES[PayScaleCode])</f>
        <v>NJC_CHE</v>
      </c>
      <c r="AI141" s="12" t="s">
        <v>3120</v>
      </c>
      <c r="AJ141" s="12">
        <v>2</v>
      </c>
      <c r="AK141" s="12" t="s">
        <v>2488</v>
      </c>
      <c r="AM141" s="68" t="s">
        <v>3132</v>
      </c>
      <c r="AN141" s="12" t="s">
        <v>3134</v>
      </c>
      <c r="AO141" s="21">
        <v>45901</v>
      </c>
      <c r="AQ141" s="12">
        <v>7.5</v>
      </c>
      <c r="AR141" t="b">
        <v>0</v>
      </c>
      <c r="AS141" t="b">
        <v>0</v>
      </c>
      <c r="AT141" s="12" t="s">
        <v>1574</v>
      </c>
    </row>
    <row r="142" spans="1:46" x14ac:dyDescent="0.3">
      <c r="A142" s="57" t="str">
        <f t="shared" si="4"/>
        <v>SBL9107575291075752AMDASMID45901</v>
      </c>
      <c r="B142" s="57">
        <f>COUNTIF(CONT_SUP[Unique Contract],CONT_SUP[[#This Row],[Unique Contract]])-1</f>
        <v>0</v>
      </c>
      <c r="C142" s="57">
        <f>IFERROR(IF(FIND(CONT_SUP[[#This Row],[SchoolCode]],_xlfn.XLOOKUP(CONT_SUP[[#This Row],[StaffMemberCode]],MEMBERS[StaffMemberCode],MEMBERS[SchoolCodes]))&gt;0,0,1),1)</f>
        <v>0</v>
      </c>
      <c r="D142" s="57" cm="1">
        <f t="array" ref="D142">IF(_xlfn.XLOOKUP(CONT_SUP[[#This Row],[StaffRoleCode]],ROLES[StaffRoleCode],ROLES[AvailableToAllSchools],1,0,)=TRUE,0,IF(ISERROR(FIND(CONT_SUP[[#This Row],[SchoolCode]],_xlfn.TEXTJOIN(",",TRUE,_xlfn.UNIQUE(IF(ROLES[StaffRoleCode]=CONT_SUP[[#This Row],[StaffRoleCode]],ROLES[SchoolCodes],""))))),1,0))</f>
        <v>0</v>
      </c>
      <c r="E142" s="57" cm="1">
        <f t="array" ref="E14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42" s="57" cm="1">
        <f t="array" ref="F142">IF(_xlfn.XLOOKUP(CONT_SUP[[#This Row],[PayScaleCode]],PAYSCALES[PayScaleCode],PAYSCALES[AvailableToAllSchools],1,0,)=TRUE,0,IF(ISERROR(FIND(CONT_SUP[[#This Row],[SchoolCode]],_xlfn.TEXTJOIN(",",TRUE,_xlfn.UNIQUE(IF(PAYSCALES[PayScaleCode]=CONT_SUP[[#This Row],[PayScaleCode]],PAYSCALES[SchoolCodes],""))))),1,0))</f>
        <v>0</v>
      </c>
      <c r="G142" s="57">
        <f>IF(_xlfn.XLOOKUP(CONT_SUP[[#This Row],[PayScaleGradeCode]],GRADES[PayScaleGradeCode],GRADES[AvailableToAllSchools])=TRUE,0,IFERROR(IF(FIND(CONT_SUP[[#This Row],[SchoolCode]],_xlfn.XLOOKUP(CONT_SUP[[#This Row],[PayScaleGradeCode]],GRADES[PayScaleGradeCode],GRADES[SchoolCodes]))&gt;=1,0,1),1))</f>
        <v>0</v>
      </c>
      <c r="H142" s="57">
        <f>IF(ISERROR(IF((_xlfn.XLOOKUP(CONT_SUP[[#This Row],[PayScaleGradeCode]],GRADES[PayScaleGradeCode],GRADES[PayScaleCode])=CONT_SUP[[#This Row],[PayScaleCode]]),0,1)),1,0)</f>
        <v>0</v>
      </c>
      <c r="I142" s="57" cm="1">
        <f t="array" ref="I142">IF(ISERROR(FIND(CONT_SUP[[#This Row],[PayScalePointCode]],_xlfn.TEXTJOIN(",",TRUE,IF(PSPOINTS[PayScaleCode]=CONT_SUP[[#This Row],[PayScaleCode]],PSPOINTS[PayScalePointCode])))),1,0)</f>
        <v>0</v>
      </c>
      <c r="J142" s="57" cm="1">
        <f t="array" ref="J14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42" s="57">
        <f>IF(_xlfn.XLOOKUP(CONT_SUP[[#This Row],[PayScalePointCode]],PSPOINTS[PayScalePointCode],PSPOINTS[PayScalePointEnabled])=TRUE,0,1)</f>
        <v>0</v>
      </c>
      <c r="L142" s="57" cm="1">
        <f t="array" ref="L142">IF(_xlfn.XLOOKUP(CONT_SUP[[#This Row],[DepartmentCode]],DEPTS[DepartmentCode],DEPTS[AvailableToAllSchools],1,0,)=TRUE,0,IF(ISERROR(FIND(CONT_SUP[[#This Row],[SchoolCode]],_xlfn.TEXTJOIN(",",TRUE,_xlfn.UNIQUE(IF(DEPTS[DepartmentCode]=CONT_SUP[[#This Row],[DepartmentCode]],DEPTS[SchoolCodes],""))))),1,0))</f>
        <v>0</v>
      </c>
      <c r="M142" s="57">
        <f>IFERROR(IF(_xlfn.XLOOKUP(CONT_SUP[[#This Row],[SRG Gross]],FinanceCodesBudget[FinanceCode],FinanceCodesBudget[LedgerCode])=_xlfn.XLOOKUP(CONT_SUP[[#This Row],[DepartmentCode]],DEPTS[DepartmentCode],DEPTS[LedgerCode]),0,1),1)</f>
        <v>0</v>
      </c>
      <c r="N142" s="57" cm="1">
        <f t="array" ref="N142">IF(_xlfn.XLOOKUP(CONT_SUP[[#This Row],[PensionCode]],PENS[PensionCode],PENS[AvailableToAllSchools],1,0,)=TRUE,0,IF(ISERROR(FIND(CONT_SUP[[#This Row],[SchoolCode]],_xlfn.TEXTJOIN(",",TRUE,_xlfn.UNIQUE(IF(PENS[PensionCode]=CONT_SUP[[#This Row],[PensionCode]],PENS[SchoolCodes],""))))),1,0))</f>
        <v>0</v>
      </c>
      <c r="O142" s="57" cm="1">
        <f t="array" ref="O142">IF(_xlfn.XLOOKUP(CONT_SUP[[#This Row],[EquatedWeekPatternCode]],EQW[EquatedWeekPatternCode],EQW[AvailableToAllSchools],1,0,)=TRUE,0,IF(ISERROR(FIND(CONT_SUP[[#This Row],[SchoolCode]],_xlfn.TEXTJOIN(",",TRUE,_xlfn.UNIQUE(IF(EQW[EquatedWeekPatternCode]=CONT_SUP[[#This Row],[EquatedWeekPatternCode]],EQW[SchoolCodes],""))))),1,0))</f>
        <v>0</v>
      </c>
      <c r="P142" s="57">
        <f>1-COUNTIF(ContractTypes[Code],CONT_SUP[[#This Row],[ContractTypeCode]])</f>
        <v>0</v>
      </c>
      <c r="Q142" s="57">
        <f>IF(VLOOKUP(CONT_SUP[[#This Row],[StaffMemberCode]],MEMBERS[[StaffMemberCode]:[ServiceStartDate]],5,0)&gt;CONT_SUP[[#This Row],[DateFrom]],1,0)</f>
        <v>0</v>
      </c>
      <c r="R142" s="57">
        <f>IF(_xlfn.XLOOKUP(CONT_SUP[[#This Row],[StaffMemberCode]],MEMBERS[StaffMemberCode],MEMBERS[ServiceEndDate])="",0,IF(CONT_SUP[[#This Row],[DateTo]]="",1,IF(_xlfn.XLOOKUP(CONT_SUP[[#This Row],[StaffMemberCode]],MEMBERS[StaffMemberCode],MEMBERS[ServiceEndDate])&lt;CONT_SUP[[#This Row],[DateTo]],1,0)))</f>
        <v>0</v>
      </c>
      <c r="S142" s="57">
        <f>IF(ISBLANK(CONT_SUP[[#This Row],[DateTo]]),0,IF(CONT_SUP[[#This Row],[DateFrom]]=CONT_SUP[[#This Row],[DateTo]],0,IF(CONT_SUP[[#This Row],[DateFrom]]&lt;CONT_SUP[[#This Row],[DateTo]],0,1)))</f>
        <v>0</v>
      </c>
      <c r="T142" s="57" cm="1">
        <f t="array" aca="1" ref="T142" ca="1">IF(CELL("format",CONT_SUP[[#This Row],[DateFrom]])="D1",0,1)+IF(CELL("format",CONT_SUP[[#This Row],[DateTo]])="D1",0,1)</f>
        <v>0</v>
      </c>
      <c r="U142" s="57">
        <f>IF(OR(CONT_SUP[[#This Row],[MatEditOnly]]=TRUE,CONT_SUP[[#This Row],[MatEditOnly]]=FALSE),IF(OR(CONT_SUP[[#This Row],[NoIncrement]]=TRUE,CONT_SUP[[#This Row],[NoIncrement]]=FALSE),0,1),1)</f>
        <v>0</v>
      </c>
      <c r="V142" s="57">
        <f>IF(ISBLANK(CONT_SUP[[#This Row],[FundCode]])=TRUE,0,IF(COUNTIF(FUNDS[FundCode],CONT_SUP[[#This Row],[FundCode]])=1,0,1))</f>
        <v>0</v>
      </c>
      <c r="W142" s="57">
        <f>IF(LEN(CONT_SUP[[#This Row],[Notes]])&lt;4000,0,1)</f>
        <v>0</v>
      </c>
      <c r="X142" s="57">
        <f>IF(SUBSTITUTE(TEXT(CONT_SUP[[#This Row],[Reference]],10)," ","")=TEXT(CONT_SUP[[#This Row],[Reference]],10),0,1)</f>
        <v>0</v>
      </c>
      <c r="Y142" s="57">
        <f ca="1">SUM(CONT_SUP[[#This Row],[Duplicate Contract]:[Space in Code]])</f>
        <v>0</v>
      </c>
      <c r="AA142" s="12" t="s">
        <v>2200</v>
      </c>
      <c r="AB142" s="12">
        <v>91075752</v>
      </c>
      <c r="AC142" s="12" t="s">
        <v>4738</v>
      </c>
      <c r="AD142" s="57" t="str">
        <f>_xlfn.XLOOKUP(CONT_SUP[[#This Row],[StaffMemberCode]],StaffMembers!O:O,StaffMembers!R:R)</f>
        <v>Victoria Wright</v>
      </c>
      <c r="AE142" s="12" t="s">
        <v>4307</v>
      </c>
      <c r="AF142" s="57">
        <f>_xlfn.XLOOKUP(CONT_SUP[[#This Row],[SRG]],SRG[StaffRoleGroupCode],SRG[GrossSalaryFinanceCode])</f>
        <v>635100</v>
      </c>
      <c r="AG142" s="57" t="str">
        <f>_xlfn.XLOOKUP(CONT_SUP[[#This Row],[StaffRoleCode]],ROLES[StaffRoleCode],ROLES[StaffRoleGroupCode])</f>
        <v>MDS</v>
      </c>
      <c r="AH142" s="57" t="str">
        <f>_xlfn.XLOOKUP(CONT_SUP[[#This Row],[StaffRoleCode]],ROLES[StaffRoleCode],ROLES[PayScaleCode])</f>
        <v>NJC_CHE</v>
      </c>
      <c r="AI142" s="12" t="s">
        <v>3120</v>
      </c>
      <c r="AJ142" s="12">
        <v>2</v>
      </c>
      <c r="AK142" s="12" t="s">
        <v>2488</v>
      </c>
      <c r="AM142" s="68" t="s">
        <v>3132</v>
      </c>
      <c r="AN142" s="12" t="s">
        <v>3134</v>
      </c>
      <c r="AO142" s="21">
        <v>45901</v>
      </c>
      <c r="AQ142" s="12">
        <v>1</v>
      </c>
      <c r="AR142" t="b">
        <v>0</v>
      </c>
      <c r="AS142" t="b">
        <v>0</v>
      </c>
      <c r="AT142" s="12" t="s">
        <v>1574</v>
      </c>
    </row>
    <row r="143" spans="1:46" x14ac:dyDescent="0.3">
      <c r="A143" s="57" t="str">
        <f t="shared" si="4"/>
        <v>SBL9107575491075754CMDSSMID45901</v>
      </c>
      <c r="B143" s="57">
        <f>COUNTIF(CONT_SUP[Unique Contract],CONT_SUP[[#This Row],[Unique Contract]])-1</f>
        <v>0</v>
      </c>
      <c r="C143" s="57">
        <f>IFERROR(IF(FIND(CONT_SUP[[#This Row],[SchoolCode]],_xlfn.XLOOKUP(CONT_SUP[[#This Row],[StaffMemberCode]],MEMBERS[StaffMemberCode],MEMBERS[SchoolCodes]))&gt;0,0,1),1)</f>
        <v>0</v>
      </c>
      <c r="D143" s="57" cm="1">
        <f t="array" ref="D143">IF(_xlfn.XLOOKUP(CONT_SUP[[#This Row],[StaffRoleCode]],ROLES[StaffRoleCode],ROLES[AvailableToAllSchools],1,0,)=TRUE,0,IF(ISERROR(FIND(CONT_SUP[[#This Row],[SchoolCode]],_xlfn.TEXTJOIN(",",TRUE,_xlfn.UNIQUE(IF(ROLES[StaffRoleCode]=CONT_SUP[[#This Row],[StaffRoleCode]],ROLES[SchoolCodes],""))))),1,0))</f>
        <v>0</v>
      </c>
      <c r="E143" s="57" cm="1">
        <f t="array" ref="E14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43" s="57" cm="1">
        <f t="array" ref="F143">IF(_xlfn.XLOOKUP(CONT_SUP[[#This Row],[PayScaleCode]],PAYSCALES[PayScaleCode],PAYSCALES[AvailableToAllSchools],1,0,)=TRUE,0,IF(ISERROR(FIND(CONT_SUP[[#This Row],[SchoolCode]],_xlfn.TEXTJOIN(",",TRUE,_xlfn.UNIQUE(IF(PAYSCALES[PayScaleCode]=CONT_SUP[[#This Row],[PayScaleCode]],PAYSCALES[SchoolCodes],""))))),1,0))</f>
        <v>0</v>
      </c>
      <c r="G143" s="57">
        <f>IF(_xlfn.XLOOKUP(CONT_SUP[[#This Row],[PayScaleGradeCode]],GRADES[PayScaleGradeCode],GRADES[AvailableToAllSchools])=TRUE,0,IFERROR(IF(FIND(CONT_SUP[[#This Row],[SchoolCode]],_xlfn.XLOOKUP(CONT_SUP[[#This Row],[PayScaleGradeCode]],GRADES[PayScaleGradeCode],GRADES[SchoolCodes]))&gt;=1,0,1),1))</f>
        <v>0</v>
      </c>
      <c r="H143" s="57">
        <f>IF(ISERROR(IF((_xlfn.XLOOKUP(CONT_SUP[[#This Row],[PayScaleGradeCode]],GRADES[PayScaleGradeCode],GRADES[PayScaleCode])=CONT_SUP[[#This Row],[PayScaleCode]]),0,1)),1,0)</f>
        <v>0</v>
      </c>
      <c r="I143" s="57" cm="1">
        <f t="array" ref="I143">IF(ISERROR(FIND(CONT_SUP[[#This Row],[PayScalePointCode]],_xlfn.TEXTJOIN(",",TRUE,IF(PSPOINTS[PayScaleCode]=CONT_SUP[[#This Row],[PayScaleCode]],PSPOINTS[PayScalePointCode])))),1,0)</f>
        <v>0</v>
      </c>
      <c r="J143" s="57" cm="1">
        <f t="array" ref="J14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43" s="57">
        <f>IF(_xlfn.XLOOKUP(CONT_SUP[[#This Row],[PayScalePointCode]],PSPOINTS[PayScalePointCode],PSPOINTS[PayScalePointEnabled])=TRUE,0,1)</f>
        <v>0</v>
      </c>
      <c r="L143" s="57" cm="1">
        <f t="array" ref="L143">IF(_xlfn.XLOOKUP(CONT_SUP[[#This Row],[DepartmentCode]],DEPTS[DepartmentCode],DEPTS[AvailableToAllSchools],1,0,)=TRUE,0,IF(ISERROR(FIND(CONT_SUP[[#This Row],[SchoolCode]],_xlfn.TEXTJOIN(",",TRUE,_xlfn.UNIQUE(IF(DEPTS[DepartmentCode]=CONT_SUP[[#This Row],[DepartmentCode]],DEPTS[SchoolCodes],""))))),1,0))</f>
        <v>0</v>
      </c>
      <c r="M143" s="57">
        <f>IFERROR(IF(_xlfn.XLOOKUP(CONT_SUP[[#This Row],[SRG Gross]],FinanceCodesBudget[FinanceCode],FinanceCodesBudget[LedgerCode])=_xlfn.XLOOKUP(CONT_SUP[[#This Row],[DepartmentCode]],DEPTS[DepartmentCode],DEPTS[LedgerCode]),0,1),1)</f>
        <v>0</v>
      </c>
      <c r="N143" s="57" cm="1">
        <f t="array" ref="N143">IF(_xlfn.XLOOKUP(CONT_SUP[[#This Row],[PensionCode]],PENS[PensionCode],PENS[AvailableToAllSchools],1,0,)=TRUE,0,IF(ISERROR(FIND(CONT_SUP[[#This Row],[SchoolCode]],_xlfn.TEXTJOIN(",",TRUE,_xlfn.UNIQUE(IF(PENS[PensionCode]=CONT_SUP[[#This Row],[PensionCode]],PENS[SchoolCodes],""))))),1,0))</f>
        <v>0</v>
      </c>
      <c r="O143" s="57" cm="1">
        <f t="array" ref="O143">IF(_xlfn.XLOOKUP(CONT_SUP[[#This Row],[EquatedWeekPatternCode]],EQW[EquatedWeekPatternCode],EQW[AvailableToAllSchools],1,0,)=TRUE,0,IF(ISERROR(FIND(CONT_SUP[[#This Row],[SchoolCode]],_xlfn.TEXTJOIN(",",TRUE,_xlfn.UNIQUE(IF(EQW[EquatedWeekPatternCode]=CONT_SUP[[#This Row],[EquatedWeekPatternCode]],EQW[SchoolCodes],""))))),1,0))</f>
        <v>0</v>
      </c>
      <c r="P143" s="57">
        <f>1-COUNTIF(ContractTypes[Code],CONT_SUP[[#This Row],[ContractTypeCode]])</f>
        <v>0</v>
      </c>
      <c r="Q143" s="57">
        <f>IF(VLOOKUP(CONT_SUP[[#This Row],[StaffMemberCode]],MEMBERS[[StaffMemberCode]:[ServiceStartDate]],5,0)&gt;CONT_SUP[[#This Row],[DateFrom]],1,0)</f>
        <v>0</v>
      </c>
      <c r="R143" s="57">
        <f>IF(_xlfn.XLOOKUP(CONT_SUP[[#This Row],[StaffMemberCode]],MEMBERS[StaffMemberCode],MEMBERS[ServiceEndDate])="",0,IF(CONT_SUP[[#This Row],[DateTo]]="",1,IF(_xlfn.XLOOKUP(CONT_SUP[[#This Row],[StaffMemberCode]],MEMBERS[StaffMemberCode],MEMBERS[ServiceEndDate])&lt;CONT_SUP[[#This Row],[DateTo]],1,0)))</f>
        <v>0</v>
      </c>
      <c r="S143" s="57">
        <f>IF(ISBLANK(CONT_SUP[[#This Row],[DateTo]]),0,IF(CONT_SUP[[#This Row],[DateFrom]]=CONT_SUP[[#This Row],[DateTo]],0,IF(CONT_SUP[[#This Row],[DateFrom]]&lt;CONT_SUP[[#This Row],[DateTo]],0,1)))</f>
        <v>0</v>
      </c>
      <c r="T143" s="57" cm="1">
        <f t="array" aca="1" ref="T143" ca="1">IF(CELL("format",CONT_SUP[[#This Row],[DateFrom]])="D1",0,1)+IF(CELL("format",CONT_SUP[[#This Row],[DateTo]])="D1",0,1)</f>
        <v>0</v>
      </c>
      <c r="U143" s="57">
        <f>IF(OR(CONT_SUP[[#This Row],[MatEditOnly]]=TRUE,CONT_SUP[[#This Row],[MatEditOnly]]=FALSE),IF(OR(CONT_SUP[[#This Row],[NoIncrement]]=TRUE,CONT_SUP[[#This Row],[NoIncrement]]=FALSE),0,1),1)</f>
        <v>0</v>
      </c>
      <c r="V143" s="57">
        <f>IF(ISBLANK(CONT_SUP[[#This Row],[FundCode]])=TRUE,0,IF(COUNTIF(FUNDS[FundCode],CONT_SUP[[#This Row],[FundCode]])=1,0,1))</f>
        <v>0</v>
      </c>
      <c r="W143" s="57">
        <f>IF(LEN(CONT_SUP[[#This Row],[Notes]])&lt;4000,0,1)</f>
        <v>0</v>
      </c>
      <c r="X143" s="57">
        <f>IF(SUBSTITUTE(TEXT(CONT_SUP[[#This Row],[Reference]],10)," ","")=TEXT(CONT_SUP[[#This Row],[Reference]],10),0,1)</f>
        <v>0</v>
      </c>
      <c r="Y143" s="57">
        <f ca="1">SUM(CONT_SUP[[#This Row],[Duplicate Contract]:[Space in Code]])</f>
        <v>0</v>
      </c>
      <c r="AA143" s="12" t="s">
        <v>2200</v>
      </c>
      <c r="AB143" s="12">
        <v>91075754</v>
      </c>
      <c r="AC143" s="12" t="s">
        <v>4739</v>
      </c>
      <c r="AD143" s="57" t="str">
        <f>_xlfn.XLOOKUP(CONT_SUP[[#This Row],[StaffMemberCode]],StaffMembers!O:O,StaffMembers!R:R)</f>
        <v>Leanne Herbert-Jackson</v>
      </c>
      <c r="AE143" s="12" t="s">
        <v>1192</v>
      </c>
      <c r="AF143" s="57">
        <f>_xlfn.XLOOKUP(CONT_SUP[[#This Row],[SRG]],SRG[StaffRoleGroupCode],SRG[GrossSalaryFinanceCode])</f>
        <v>635100</v>
      </c>
      <c r="AG143" s="57" t="str">
        <f>_xlfn.XLOOKUP(CONT_SUP[[#This Row],[StaffRoleCode]],ROLES[StaffRoleCode],ROLES[StaffRoleGroupCode])</f>
        <v>MDS</v>
      </c>
      <c r="AH143" s="57" t="str">
        <f>_xlfn.XLOOKUP(CONT_SUP[[#This Row],[StaffRoleCode]],ROLES[StaffRoleCode],ROLES[PayScaleCode])</f>
        <v>NJC_CHE</v>
      </c>
      <c r="AI143" s="12" t="s">
        <v>3122</v>
      </c>
      <c r="AJ143" s="12">
        <v>5</v>
      </c>
      <c r="AK143" s="12" t="s">
        <v>2488</v>
      </c>
      <c r="AM143" s="68" t="s">
        <v>3132</v>
      </c>
      <c r="AN143" s="12" t="s">
        <v>3134</v>
      </c>
      <c r="AO143" s="21">
        <v>45901</v>
      </c>
      <c r="AQ143" s="12">
        <v>6.25</v>
      </c>
      <c r="AR143" t="b">
        <v>0</v>
      </c>
      <c r="AS143" t="b">
        <v>0</v>
      </c>
      <c r="AT143" s="12" t="s">
        <v>1574</v>
      </c>
    </row>
    <row r="144" spans="1:46" x14ac:dyDescent="0.3">
      <c r="A144" s="57" t="str">
        <f t="shared" si="4"/>
        <v>PTP9107392791073927BMDSSMID45901</v>
      </c>
      <c r="B144" s="57">
        <f>COUNTIF(CONT_SUP[Unique Contract],CONT_SUP[[#This Row],[Unique Contract]])-1</f>
        <v>0</v>
      </c>
      <c r="C144" s="57">
        <f>IFERROR(IF(FIND(CONT_SUP[[#This Row],[SchoolCode]],_xlfn.XLOOKUP(CONT_SUP[[#This Row],[StaffMemberCode]],MEMBERS[StaffMemberCode],MEMBERS[SchoolCodes]))&gt;0,0,1),1)</f>
        <v>0</v>
      </c>
      <c r="D144" s="57" cm="1">
        <f t="array" ref="D144">IF(_xlfn.XLOOKUP(CONT_SUP[[#This Row],[StaffRoleCode]],ROLES[StaffRoleCode],ROLES[AvailableToAllSchools],1,0,)=TRUE,0,IF(ISERROR(FIND(CONT_SUP[[#This Row],[SchoolCode]],_xlfn.TEXTJOIN(",",TRUE,_xlfn.UNIQUE(IF(ROLES[StaffRoleCode]=CONT_SUP[[#This Row],[StaffRoleCode]],ROLES[SchoolCodes],""))))),1,0))</f>
        <v>0</v>
      </c>
      <c r="E144" s="57" cm="1">
        <f t="array" ref="E14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44" s="57" cm="1">
        <f t="array" ref="F144">IF(_xlfn.XLOOKUP(CONT_SUP[[#This Row],[PayScaleCode]],PAYSCALES[PayScaleCode],PAYSCALES[AvailableToAllSchools],1,0,)=TRUE,0,IF(ISERROR(FIND(CONT_SUP[[#This Row],[SchoolCode]],_xlfn.TEXTJOIN(",",TRUE,_xlfn.UNIQUE(IF(PAYSCALES[PayScaleCode]=CONT_SUP[[#This Row],[PayScaleCode]],PAYSCALES[SchoolCodes],""))))),1,0))</f>
        <v>0</v>
      </c>
      <c r="G144" s="57">
        <f>IF(_xlfn.XLOOKUP(CONT_SUP[[#This Row],[PayScaleGradeCode]],GRADES[PayScaleGradeCode],GRADES[AvailableToAllSchools])=TRUE,0,IFERROR(IF(FIND(CONT_SUP[[#This Row],[SchoolCode]],_xlfn.XLOOKUP(CONT_SUP[[#This Row],[PayScaleGradeCode]],GRADES[PayScaleGradeCode],GRADES[SchoolCodes]))&gt;=1,0,1),1))</f>
        <v>0</v>
      </c>
      <c r="H144" s="57">
        <f>IF(ISERROR(IF((_xlfn.XLOOKUP(CONT_SUP[[#This Row],[PayScaleGradeCode]],GRADES[PayScaleGradeCode],GRADES[PayScaleCode])=CONT_SUP[[#This Row],[PayScaleCode]]),0,1)),1,0)</f>
        <v>0</v>
      </c>
      <c r="I144" s="57" cm="1">
        <f t="array" ref="I144">IF(ISERROR(FIND(CONT_SUP[[#This Row],[PayScalePointCode]],_xlfn.TEXTJOIN(",",TRUE,IF(PSPOINTS[PayScaleCode]=CONT_SUP[[#This Row],[PayScaleCode]],PSPOINTS[PayScalePointCode])))),1,0)</f>
        <v>0</v>
      </c>
      <c r="J144" s="57" cm="1">
        <f t="array" ref="J14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44" s="57">
        <f>IF(_xlfn.XLOOKUP(CONT_SUP[[#This Row],[PayScalePointCode]],PSPOINTS[PayScalePointCode],PSPOINTS[PayScalePointEnabled])=TRUE,0,1)</f>
        <v>0</v>
      </c>
      <c r="L144" s="57" cm="1">
        <f t="array" ref="L144">IF(_xlfn.XLOOKUP(CONT_SUP[[#This Row],[DepartmentCode]],DEPTS[DepartmentCode],DEPTS[AvailableToAllSchools],1,0,)=TRUE,0,IF(ISERROR(FIND(CONT_SUP[[#This Row],[SchoolCode]],_xlfn.TEXTJOIN(",",TRUE,_xlfn.UNIQUE(IF(DEPTS[DepartmentCode]=CONT_SUP[[#This Row],[DepartmentCode]],DEPTS[SchoolCodes],""))))),1,0))</f>
        <v>0</v>
      </c>
      <c r="M144" s="57">
        <f>IFERROR(IF(_xlfn.XLOOKUP(CONT_SUP[[#This Row],[SRG Gross]],FinanceCodesBudget[FinanceCode],FinanceCodesBudget[LedgerCode])=_xlfn.XLOOKUP(CONT_SUP[[#This Row],[DepartmentCode]],DEPTS[DepartmentCode],DEPTS[LedgerCode]),0,1),1)</f>
        <v>0</v>
      </c>
      <c r="N144" s="57" cm="1">
        <f t="array" ref="N144">IF(_xlfn.XLOOKUP(CONT_SUP[[#This Row],[PensionCode]],PENS[PensionCode],PENS[AvailableToAllSchools],1,0,)=TRUE,0,IF(ISERROR(FIND(CONT_SUP[[#This Row],[SchoolCode]],_xlfn.TEXTJOIN(",",TRUE,_xlfn.UNIQUE(IF(PENS[PensionCode]=CONT_SUP[[#This Row],[PensionCode]],PENS[SchoolCodes],""))))),1,0))</f>
        <v>0</v>
      </c>
      <c r="O144" s="57" cm="1">
        <f t="array" ref="O144">IF(_xlfn.XLOOKUP(CONT_SUP[[#This Row],[EquatedWeekPatternCode]],EQW[EquatedWeekPatternCode],EQW[AvailableToAllSchools],1,0,)=TRUE,0,IF(ISERROR(FIND(CONT_SUP[[#This Row],[SchoolCode]],_xlfn.TEXTJOIN(",",TRUE,_xlfn.UNIQUE(IF(EQW[EquatedWeekPatternCode]=CONT_SUP[[#This Row],[EquatedWeekPatternCode]],EQW[SchoolCodes],""))))),1,0))</f>
        <v>0</v>
      </c>
      <c r="P144" s="57">
        <f>1-COUNTIF(ContractTypes[Code],CONT_SUP[[#This Row],[ContractTypeCode]])</f>
        <v>0</v>
      </c>
      <c r="Q144" s="57">
        <f>IF(VLOOKUP(CONT_SUP[[#This Row],[StaffMemberCode]],MEMBERS[[StaffMemberCode]:[ServiceStartDate]],5,0)&gt;CONT_SUP[[#This Row],[DateFrom]],1,0)</f>
        <v>0</v>
      </c>
      <c r="R144" s="57">
        <f>IF(_xlfn.XLOOKUP(CONT_SUP[[#This Row],[StaffMemberCode]],MEMBERS[StaffMemberCode],MEMBERS[ServiceEndDate])="",0,IF(CONT_SUP[[#This Row],[DateTo]]="",1,IF(_xlfn.XLOOKUP(CONT_SUP[[#This Row],[StaffMemberCode]],MEMBERS[StaffMemberCode],MEMBERS[ServiceEndDate])&lt;CONT_SUP[[#This Row],[DateTo]],1,0)))</f>
        <v>0</v>
      </c>
      <c r="S144" s="57">
        <f>IF(ISBLANK(CONT_SUP[[#This Row],[DateTo]]),0,IF(CONT_SUP[[#This Row],[DateFrom]]=CONT_SUP[[#This Row],[DateTo]],0,IF(CONT_SUP[[#This Row],[DateFrom]]&lt;CONT_SUP[[#This Row],[DateTo]],0,1)))</f>
        <v>0</v>
      </c>
      <c r="T144" s="57" cm="1">
        <f t="array" aca="1" ref="T144" ca="1">IF(CELL("format",CONT_SUP[[#This Row],[DateFrom]])="D1",0,1)+IF(CELL("format",CONT_SUP[[#This Row],[DateTo]])="D1",0,1)</f>
        <v>0</v>
      </c>
      <c r="U144" s="57">
        <f>IF(OR(CONT_SUP[[#This Row],[MatEditOnly]]=TRUE,CONT_SUP[[#This Row],[MatEditOnly]]=FALSE),IF(OR(CONT_SUP[[#This Row],[NoIncrement]]=TRUE,CONT_SUP[[#This Row],[NoIncrement]]=FALSE),0,1),1)</f>
        <v>0</v>
      </c>
      <c r="V144" s="57">
        <f>IF(ISBLANK(CONT_SUP[[#This Row],[FundCode]])=TRUE,0,IF(COUNTIF(FUNDS[FundCode],CONT_SUP[[#This Row],[FundCode]])=1,0,1))</f>
        <v>0</v>
      </c>
      <c r="W144" s="57">
        <f>IF(LEN(CONT_SUP[[#This Row],[Notes]])&lt;4000,0,1)</f>
        <v>0</v>
      </c>
      <c r="X144" s="57">
        <f>IF(SUBSTITUTE(TEXT(CONT_SUP[[#This Row],[Reference]],10)," ","")=TEXT(CONT_SUP[[#This Row],[Reference]],10),0,1)</f>
        <v>0</v>
      </c>
      <c r="Y144" s="57">
        <f ca="1">SUM(CONT_SUP[[#This Row],[Duplicate Contract]:[Space in Code]])</f>
        <v>0</v>
      </c>
      <c r="AA144" s="12" t="s">
        <v>2299</v>
      </c>
      <c r="AB144" s="12">
        <v>91073927</v>
      </c>
      <c r="AC144" s="12" t="s">
        <v>4740</v>
      </c>
      <c r="AD144" s="57" t="str">
        <f>_xlfn.XLOOKUP(CONT_SUP[[#This Row],[StaffMemberCode]],StaffMembers!O:O,StaffMembers!R:R)</f>
        <v>Suzanne Boughey</v>
      </c>
      <c r="AE144" s="12" t="s">
        <v>1192</v>
      </c>
      <c r="AF144" s="57">
        <f>_xlfn.XLOOKUP(CONT_SUP[[#This Row],[SRG]],SRG[StaffRoleGroupCode],SRG[GrossSalaryFinanceCode])</f>
        <v>635100</v>
      </c>
      <c r="AG144" s="57" t="str">
        <f>_xlfn.XLOOKUP(CONT_SUP[[#This Row],[StaffRoleCode]],ROLES[StaffRoleCode],ROLES[StaffRoleGroupCode])</f>
        <v>MDS</v>
      </c>
      <c r="AH144" s="57" t="str">
        <f>_xlfn.XLOOKUP(CONT_SUP[[#This Row],[StaffRoleCode]],ROLES[StaffRoleCode],ROLES[PayScaleCode])</f>
        <v>NJC_CHE</v>
      </c>
      <c r="AI144" s="12" t="s">
        <v>3122</v>
      </c>
      <c r="AJ144" s="12">
        <v>6</v>
      </c>
      <c r="AK144" s="12" t="s">
        <v>2488</v>
      </c>
      <c r="AM144" s="68" t="s">
        <v>3132</v>
      </c>
      <c r="AN144" s="12" t="s">
        <v>3134</v>
      </c>
      <c r="AO144" s="21">
        <v>45901</v>
      </c>
      <c r="AQ144" s="12">
        <v>7.5</v>
      </c>
      <c r="AR144" t="b">
        <v>0</v>
      </c>
      <c r="AS144" t="b">
        <v>0</v>
      </c>
      <c r="AT144" s="12" t="s">
        <v>1574</v>
      </c>
    </row>
    <row r="145" spans="1:46" x14ac:dyDescent="0.3">
      <c r="A145" s="57" t="str">
        <f t="shared" si="4"/>
        <v>HIG9107388491073884BHLTA_NURNURSERY45901</v>
      </c>
      <c r="B145" s="57">
        <f>COUNTIF(CONT_SUP[Unique Contract],CONT_SUP[[#This Row],[Unique Contract]])-1</f>
        <v>0</v>
      </c>
      <c r="C145" s="57">
        <f>IFERROR(IF(FIND(CONT_SUP[[#This Row],[SchoolCode]],_xlfn.XLOOKUP(CONT_SUP[[#This Row],[StaffMemberCode]],MEMBERS[StaffMemberCode],MEMBERS[SchoolCodes]))&gt;0,0,1),1)</f>
        <v>0</v>
      </c>
      <c r="D145" s="57" cm="1">
        <f t="array" ref="D145">IF(_xlfn.XLOOKUP(CONT_SUP[[#This Row],[StaffRoleCode]],ROLES[StaffRoleCode],ROLES[AvailableToAllSchools],1,0,)=TRUE,0,IF(ISERROR(FIND(CONT_SUP[[#This Row],[SchoolCode]],_xlfn.TEXTJOIN(",",TRUE,_xlfn.UNIQUE(IF(ROLES[StaffRoleCode]=CONT_SUP[[#This Row],[StaffRoleCode]],ROLES[SchoolCodes],""))))),1,0))</f>
        <v>0</v>
      </c>
      <c r="E145" s="57" cm="1">
        <f t="array" ref="E14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45" s="57" cm="1">
        <f t="array" ref="F145">IF(_xlfn.XLOOKUP(CONT_SUP[[#This Row],[PayScaleCode]],PAYSCALES[PayScaleCode],PAYSCALES[AvailableToAllSchools],1,0,)=TRUE,0,IF(ISERROR(FIND(CONT_SUP[[#This Row],[SchoolCode]],_xlfn.TEXTJOIN(",",TRUE,_xlfn.UNIQUE(IF(PAYSCALES[PayScaleCode]=CONT_SUP[[#This Row],[PayScaleCode]],PAYSCALES[SchoolCodes],""))))),1,0))</f>
        <v>0</v>
      </c>
      <c r="G145" s="57">
        <f>IF(_xlfn.XLOOKUP(CONT_SUP[[#This Row],[PayScaleGradeCode]],GRADES[PayScaleGradeCode],GRADES[AvailableToAllSchools])=TRUE,0,IFERROR(IF(FIND(CONT_SUP[[#This Row],[SchoolCode]],_xlfn.XLOOKUP(CONT_SUP[[#This Row],[PayScaleGradeCode]],GRADES[PayScaleGradeCode],GRADES[SchoolCodes]))&gt;=1,0,1),1))</f>
        <v>0</v>
      </c>
      <c r="H145" s="57">
        <f>IF(ISERROR(IF((_xlfn.XLOOKUP(CONT_SUP[[#This Row],[PayScaleGradeCode]],GRADES[PayScaleGradeCode],GRADES[PayScaleCode])=CONT_SUP[[#This Row],[PayScaleCode]]),0,1)),1,0)</f>
        <v>0</v>
      </c>
      <c r="I145" s="57" cm="1">
        <f t="array" ref="I145">IF(ISERROR(FIND(CONT_SUP[[#This Row],[PayScalePointCode]],_xlfn.TEXTJOIN(",",TRUE,IF(PSPOINTS[PayScaleCode]=CONT_SUP[[#This Row],[PayScaleCode]],PSPOINTS[PayScalePointCode])))),1,0)</f>
        <v>0</v>
      </c>
      <c r="J145" s="57" cm="1">
        <f t="array" ref="J14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45" s="57">
        <f>IF(_xlfn.XLOOKUP(CONT_SUP[[#This Row],[PayScalePointCode]],PSPOINTS[PayScalePointCode],PSPOINTS[PayScalePointEnabled])=TRUE,0,1)</f>
        <v>0</v>
      </c>
      <c r="L145" s="57" cm="1">
        <f t="array" ref="L145">IF(_xlfn.XLOOKUP(CONT_SUP[[#This Row],[DepartmentCode]],DEPTS[DepartmentCode],DEPTS[AvailableToAllSchools],1,0,)=TRUE,0,IF(ISERROR(FIND(CONT_SUP[[#This Row],[SchoolCode]],_xlfn.TEXTJOIN(",",TRUE,_xlfn.UNIQUE(IF(DEPTS[DepartmentCode]=CONT_SUP[[#This Row],[DepartmentCode]],DEPTS[SchoolCodes],""))))),1,0))</f>
        <v>0</v>
      </c>
      <c r="M145" s="57">
        <f>IFERROR(IF(_xlfn.XLOOKUP(CONT_SUP[[#This Row],[SRG Gross]],FinanceCodesBudget[FinanceCode],FinanceCodesBudget[LedgerCode])=_xlfn.XLOOKUP(CONT_SUP[[#This Row],[DepartmentCode]],DEPTS[DepartmentCode],DEPTS[LedgerCode]),0,1),1)</f>
        <v>0</v>
      </c>
      <c r="N145" s="57" cm="1">
        <f t="array" ref="N145">IF(_xlfn.XLOOKUP(CONT_SUP[[#This Row],[PensionCode]],PENS[PensionCode],PENS[AvailableToAllSchools],1,0,)=TRUE,0,IF(ISERROR(FIND(CONT_SUP[[#This Row],[SchoolCode]],_xlfn.TEXTJOIN(",",TRUE,_xlfn.UNIQUE(IF(PENS[PensionCode]=CONT_SUP[[#This Row],[PensionCode]],PENS[SchoolCodes],""))))),1,0))</f>
        <v>0</v>
      </c>
      <c r="O145" s="57" cm="1">
        <f t="array" ref="O145">IF(_xlfn.XLOOKUP(CONT_SUP[[#This Row],[EquatedWeekPatternCode]],EQW[EquatedWeekPatternCode],EQW[AvailableToAllSchools],1,0,)=TRUE,0,IF(ISERROR(FIND(CONT_SUP[[#This Row],[SchoolCode]],_xlfn.TEXTJOIN(",",TRUE,_xlfn.UNIQUE(IF(EQW[EquatedWeekPatternCode]=CONT_SUP[[#This Row],[EquatedWeekPatternCode]],EQW[SchoolCodes],""))))),1,0))</f>
        <v>0</v>
      </c>
      <c r="P145" s="57">
        <f>1-COUNTIF(ContractTypes[Code],CONT_SUP[[#This Row],[ContractTypeCode]])</f>
        <v>0</v>
      </c>
      <c r="Q145" s="57">
        <f>IF(VLOOKUP(CONT_SUP[[#This Row],[StaffMemberCode]],MEMBERS[[StaffMemberCode]:[ServiceStartDate]],5,0)&gt;CONT_SUP[[#This Row],[DateFrom]],1,0)</f>
        <v>0</v>
      </c>
      <c r="R145" s="57">
        <f>IF(_xlfn.XLOOKUP(CONT_SUP[[#This Row],[StaffMemberCode]],MEMBERS[StaffMemberCode],MEMBERS[ServiceEndDate])="",0,IF(CONT_SUP[[#This Row],[DateTo]]="",1,IF(_xlfn.XLOOKUP(CONT_SUP[[#This Row],[StaffMemberCode]],MEMBERS[StaffMemberCode],MEMBERS[ServiceEndDate])&lt;CONT_SUP[[#This Row],[DateTo]],1,0)))</f>
        <v>0</v>
      </c>
      <c r="S145" s="57">
        <f>IF(ISBLANK(CONT_SUP[[#This Row],[DateTo]]),0,IF(CONT_SUP[[#This Row],[DateFrom]]=CONT_SUP[[#This Row],[DateTo]],0,IF(CONT_SUP[[#This Row],[DateFrom]]&lt;CONT_SUP[[#This Row],[DateTo]],0,1)))</f>
        <v>0</v>
      </c>
      <c r="T145" s="57" cm="1">
        <f t="array" aca="1" ref="T145" ca="1">IF(CELL("format",CONT_SUP[[#This Row],[DateFrom]])="D1",0,1)+IF(CELL("format",CONT_SUP[[#This Row],[DateTo]])="D1",0,1)</f>
        <v>0</v>
      </c>
      <c r="U145" s="57">
        <f>IF(OR(CONT_SUP[[#This Row],[MatEditOnly]]=TRUE,CONT_SUP[[#This Row],[MatEditOnly]]=FALSE),IF(OR(CONT_SUP[[#This Row],[NoIncrement]]=TRUE,CONT_SUP[[#This Row],[NoIncrement]]=FALSE),0,1),1)</f>
        <v>0</v>
      </c>
      <c r="V145" s="57">
        <f>IF(ISBLANK(CONT_SUP[[#This Row],[FundCode]])=TRUE,0,IF(COUNTIF(FUNDS[FundCode],CONT_SUP[[#This Row],[FundCode]])=1,0,1))</f>
        <v>0</v>
      </c>
      <c r="W145" s="57">
        <f>IF(LEN(CONT_SUP[[#This Row],[Notes]])&lt;4000,0,1)</f>
        <v>0</v>
      </c>
      <c r="X145" s="57">
        <f>IF(SUBSTITUTE(TEXT(CONT_SUP[[#This Row],[Reference]],10)," ","")=TEXT(CONT_SUP[[#This Row],[Reference]],10),0,1)</f>
        <v>0</v>
      </c>
      <c r="Y145" s="57">
        <f ca="1">SUM(CONT_SUP[[#This Row],[Duplicate Contract]:[Space in Code]])</f>
        <v>0</v>
      </c>
      <c r="AA145" s="12" t="s">
        <v>2266</v>
      </c>
      <c r="AB145" s="12">
        <v>91073884</v>
      </c>
      <c r="AC145" s="12" t="s">
        <v>4741</v>
      </c>
      <c r="AD145" s="57" t="str">
        <f>_xlfn.XLOOKUP(CONT_SUP[[#This Row],[StaffMemberCode]],StaffMembers!O:O,StaffMembers!R:R)</f>
        <v>Samantha Ward</v>
      </c>
      <c r="AE145" s="12" t="s">
        <v>4281</v>
      </c>
      <c r="AF145" s="57">
        <f>_xlfn.XLOOKUP(CONT_SUP[[#This Row],[SRG]],SRG[StaffRoleGroupCode],SRG[GrossSalaryFinanceCode])</f>
        <v>637100</v>
      </c>
      <c r="AG145" s="57" t="str">
        <f>_xlfn.XLOOKUP(CONT_SUP[[#This Row],[StaffRoleCode]],ROLES[StaffRoleCode],ROLES[StaffRoleGroupCode])</f>
        <v>NUR</v>
      </c>
      <c r="AH145" s="57" t="str">
        <f>_xlfn.XLOOKUP(CONT_SUP[[#This Row],[StaffRoleCode]],ROLES[StaffRoleCode],ROLES[PayScaleCode])</f>
        <v>NJC_CHE</v>
      </c>
      <c r="AI145" s="12" t="s">
        <v>3125</v>
      </c>
      <c r="AJ145" s="12">
        <v>18</v>
      </c>
      <c r="AK145" s="12" t="s">
        <v>1959</v>
      </c>
      <c r="AM145" s="68" t="s">
        <v>3132</v>
      </c>
      <c r="AN145" s="12" t="s">
        <v>3135</v>
      </c>
      <c r="AO145" s="21">
        <v>45901</v>
      </c>
      <c r="AQ145" s="12">
        <v>32.5</v>
      </c>
      <c r="AR145" t="b">
        <v>0</v>
      </c>
      <c r="AS145" t="b">
        <v>0</v>
      </c>
      <c r="AT145" s="12" t="s">
        <v>1574</v>
      </c>
    </row>
    <row r="146" spans="1:46" x14ac:dyDescent="0.3">
      <c r="A146" s="57" t="str">
        <f t="shared" si="4"/>
        <v>SBL9107577391075773AMDA_NURNURSERY45901</v>
      </c>
      <c r="B146" s="57">
        <f>COUNTIF(CONT_SUP[Unique Contract],CONT_SUP[[#This Row],[Unique Contract]])-1</f>
        <v>0</v>
      </c>
      <c r="C146" s="57">
        <f>IFERROR(IF(FIND(CONT_SUP[[#This Row],[SchoolCode]],_xlfn.XLOOKUP(CONT_SUP[[#This Row],[StaffMemberCode]],MEMBERS[StaffMemberCode],MEMBERS[SchoolCodes]))&gt;0,0,1),1)</f>
        <v>0</v>
      </c>
      <c r="D146" s="57" cm="1">
        <f t="array" ref="D146">IF(_xlfn.XLOOKUP(CONT_SUP[[#This Row],[StaffRoleCode]],ROLES[StaffRoleCode],ROLES[AvailableToAllSchools],1,0,)=TRUE,0,IF(ISERROR(FIND(CONT_SUP[[#This Row],[SchoolCode]],_xlfn.TEXTJOIN(",",TRUE,_xlfn.UNIQUE(IF(ROLES[StaffRoleCode]=CONT_SUP[[#This Row],[StaffRoleCode]],ROLES[SchoolCodes],""))))),1,0))</f>
        <v>0</v>
      </c>
      <c r="E146" s="57" cm="1">
        <f t="array" ref="E14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46" s="57" cm="1">
        <f t="array" ref="F146">IF(_xlfn.XLOOKUP(CONT_SUP[[#This Row],[PayScaleCode]],PAYSCALES[PayScaleCode],PAYSCALES[AvailableToAllSchools],1,0,)=TRUE,0,IF(ISERROR(FIND(CONT_SUP[[#This Row],[SchoolCode]],_xlfn.TEXTJOIN(",",TRUE,_xlfn.UNIQUE(IF(PAYSCALES[PayScaleCode]=CONT_SUP[[#This Row],[PayScaleCode]],PAYSCALES[SchoolCodes],""))))),1,0))</f>
        <v>0</v>
      </c>
      <c r="G146" s="57">
        <f>IF(_xlfn.XLOOKUP(CONT_SUP[[#This Row],[PayScaleGradeCode]],GRADES[PayScaleGradeCode],GRADES[AvailableToAllSchools])=TRUE,0,IFERROR(IF(FIND(CONT_SUP[[#This Row],[SchoolCode]],_xlfn.XLOOKUP(CONT_SUP[[#This Row],[PayScaleGradeCode]],GRADES[PayScaleGradeCode],GRADES[SchoolCodes]))&gt;=1,0,1),1))</f>
        <v>0</v>
      </c>
      <c r="H146" s="57">
        <f>IF(ISERROR(IF((_xlfn.XLOOKUP(CONT_SUP[[#This Row],[PayScaleGradeCode]],GRADES[PayScaleGradeCode],GRADES[PayScaleCode])=CONT_SUP[[#This Row],[PayScaleCode]]),0,1)),1,0)</f>
        <v>0</v>
      </c>
      <c r="I146" s="57" cm="1">
        <f t="array" ref="I146">IF(ISERROR(FIND(CONT_SUP[[#This Row],[PayScalePointCode]],_xlfn.TEXTJOIN(",",TRUE,IF(PSPOINTS[PayScaleCode]=CONT_SUP[[#This Row],[PayScaleCode]],PSPOINTS[PayScalePointCode])))),1,0)</f>
        <v>0</v>
      </c>
      <c r="J146" s="57" cm="1">
        <f t="array" ref="J14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46" s="57">
        <f>IF(_xlfn.XLOOKUP(CONT_SUP[[#This Row],[PayScalePointCode]],PSPOINTS[PayScalePointCode],PSPOINTS[PayScalePointEnabled])=TRUE,0,1)</f>
        <v>0</v>
      </c>
      <c r="L146" s="57" cm="1">
        <f t="array" ref="L146">IF(_xlfn.XLOOKUP(CONT_SUP[[#This Row],[DepartmentCode]],DEPTS[DepartmentCode],DEPTS[AvailableToAllSchools],1,0,)=TRUE,0,IF(ISERROR(FIND(CONT_SUP[[#This Row],[SchoolCode]],_xlfn.TEXTJOIN(",",TRUE,_xlfn.UNIQUE(IF(DEPTS[DepartmentCode]=CONT_SUP[[#This Row],[DepartmentCode]],DEPTS[SchoolCodes],""))))),1,0))</f>
        <v>0</v>
      </c>
      <c r="M146" s="57">
        <f>IFERROR(IF(_xlfn.XLOOKUP(CONT_SUP[[#This Row],[SRG Gross]],FinanceCodesBudget[FinanceCode],FinanceCodesBudget[LedgerCode])=_xlfn.XLOOKUP(CONT_SUP[[#This Row],[DepartmentCode]],DEPTS[DepartmentCode],DEPTS[LedgerCode]),0,1),1)</f>
        <v>0</v>
      </c>
      <c r="N146" s="57" cm="1">
        <f t="array" ref="N146">IF(_xlfn.XLOOKUP(CONT_SUP[[#This Row],[PensionCode]],PENS[PensionCode],PENS[AvailableToAllSchools],1,0,)=TRUE,0,IF(ISERROR(FIND(CONT_SUP[[#This Row],[SchoolCode]],_xlfn.TEXTJOIN(",",TRUE,_xlfn.UNIQUE(IF(PENS[PensionCode]=CONT_SUP[[#This Row],[PensionCode]],PENS[SchoolCodes],""))))),1,0))</f>
        <v>0</v>
      </c>
      <c r="O146" s="57" cm="1">
        <f t="array" ref="O146">IF(_xlfn.XLOOKUP(CONT_SUP[[#This Row],[EquatedWeekPatternCode]],EQW[EquatedWeekPatternCode],EQW[AvailableToAllSchools],1,0,)=TRUE,0,IF(ISERROR(FIND(CONT_SUP[[#This Row],[SchoolCode]],_xlfn.TEXTJOIN(",",TRUE,_xlfn.UNIQUE(IF(EQW[EquatedWeekPatternCode]=CONT_SUP[[#This Row],[EquatedWeekPatternCode]],EQW[SchoolCodes],""))))),1,0))</f>
        <v>0</v>
      </c>
      <c r="P146" s="57">
        <f>1-COUNTIF(ContractTypes[Code],CONT_SUP[[#This Row],[ContractTypeCode]])</f>
        <v>0</v>
      </c>
      <c r="Q146" s="57">
        <f>IF(VLOOKUP(CONT_SUP[[#This Row],[StaffMemberCode]],MEMBERS[[StaffMemberCode]:[ServiceStartDate]],5,0)&gt;CONT_SUP[[#This Row],[DateFrom]],1,0)</f>
        <v>0</v>
      </c>
      <c r="R146" s="57">
        <f>IF(_xlfn.XLOOKUP(CONT_SUP[[#This Row],[StaffMemberCode]],MEMBERS[StaffMemberCode],MEMBERS[ServiceEndDate])="",0,IF(CONT_SUP[[#This Row],[DateTo]]="",1,IF(_xlfn.XLOOKUP(CONT_SUP[[#This Row],[StaffMemberCode]],MEMBERS[StaffMemberCode],MEMBERS[ServiceEndDate])&lt;CONT_SUP[[#This Row],[DateTo]],1,0)))</f>
        <v>0</v>
      </c>
      <c r="S146" s="57">
        <f>IF(ISBLANK(CONT_SUP[[#This Row],[DateTo]]),0,IF(CONT_SUP[[#This Row],[DateFrom]]=CONT_SUP[[#This Row],[DateTo]],0,IF(CONT_SUP[[#This Row],[DateFrom]]&lt;CONT_SUP[[#This Row],[DateTo]],0,1)))</f>
        <v>0</v>
      </c>
      <c r="T146" s="57" cm="1">
        <f t="array" aca="1" ref="T146" ca="1">IF(CELL("format",CONT_SUP[[#This Row],[DateFrom]])="D1",0,1)+IF(CELL("format",CONT_SUP[[#This Row],[DateTo]])="D1",0,1)</f>
        <v>0</v>
      </c>
      <c r="U146" s="57">
        <f>IF(OR(CONT_SUP[[#This Row],[MatEditOnly]]=TRUE,CONT_SUP[[#This Row],[MatEditOnly]]=FALSE),IF(OR(CONT_SUP[[#This Row],[NoIncrement]]=TRUE,CONT_SUP[[#This Row],[NoIncrement]]=FALSE),0,1),1)</f>
        <v>0</v>
      </c>
      <c r="V146" s="57">
        <f>IF(ISBLANK(CONT_SUP[[#This Row],[FundCode]])=TRUE,0,IF(COUNTIF(FUNDS[FundCode],CONT_SUP[[#This Row],[FundCode]])=1,0,1))</f>
        <v>0</v>
      </c>
      <c r="W146" s="57">
        <f>IF(LEN(CONT_SUP[[#This Row],[Notes]])&lt;4000,0,1)</f>
        <v>0</v>
      </c>
      <c r="X146" s="57">
        <f>IF(SUBSTITUTE(TEXT(CONT_SUP[[#This Row],[Reference]],10)," ","")=TEXT(CONT_SUP[[#This Row],[Reference]],10),0,1)</f>
        <v>0</v>
      </c>
      <c r="Y146" s="57">
        <f ca="1">SUM(CONT_SUP[[#This Row],[Duplicate Contract]:[Space in Code]])</f>
        <v>0</v>
      </c>
      <c r="AA146" s="12" t="s">
        <v>2200</v>
      </c>
      <c r="AB146" s="12">
        <v>91075773</v>
      </c>
      <c r="AC146" s="12" t="s">
        <v>4742</v>
      </c>
      <c r="AD146" s="57" t="str">
        <f>_xlfn.XLOOKUP(CONT_SUP[[#This Row],[StaffMemberCode]],StaffMembers!O:O,StaffMembers!R:R)</f>
        <v>Bridie Bonner</v>
      </c>
      <c r="AE146" s="12" t="s">
        <v>4283</v>
      </c>
      <c r="AF146" s="57">
        <f>_xlfn.XLOOKUP(CONT_SUP[[#This Row],[SRG]],SRG[StaffRoleGroupCode],SRG[GrossSalaryFinanceCode])</f>
        <v>637100</v>
      </c>
      <c r="AG146" s="57" t="str">
        <f>_xlfn.XLOOKUP(CONT_SUP[[#This Row],[StaffRoleCode]],ROLES[StaffRoleCode],ROLES[StaffRoleGroupCode])</f>
        <v>NUR</v>
      </c>
      <c r="AH146" s="57" t="str">
        <f>_xlfn.XLOOKUP(CONT_SUP[[#This Row],[StaffRoleCode]],ROLES[StaffRoleCode],ROLES[PayScaleCode])</f>
        <v>NJC_CHE</v>
      </c>
      <c r="AI146" s="12" t="s">
        <v>3120</v>
      </c>
      <c r="AJ146" s="12">
        <v>2</v>
      </c>
      <c r="AK146" s="12" t="s">
        <v>1959</v>
      </c>
      <c r="AM146" s="68" t="s">
        <v>3132</v>
      </c>
      <c r="AN146" s="12" t="s">
        <v>3134</v>
      </c>
      <c r="AO146" s="21">
        <v>45901</v>
      </c>
      <c r="AQ146" s="12">
        <v>7.5</v>
      </c>
      <c r="AR146" t="b">
        <v>0</v>
      </c>
      <c r="AS146" t="b">
        <v>0</v>
      </c>
      <c r="AT146" s="12" t="s">
        <v>1574</v>
      </c>
    </row>
    <row r="147" spans="1:46" x14ac:dyDescent="0.3">
      <c r="A147" s="57" t="str">
        <f t="shared" si="4"/>
        <v>HIG9107389591073895ATA_NURNURSERY45901</v>
      </c>
      <c r="B147" s="57">
        <f>COUNTIF(CONT_SUP[Unique Contract],CONT_SUP[[#This Row],[Unique Contract]])-1</f>
        <v>0</v>
      </c>
      <c r="C147" s="57">
        <f>IFERROR(IF(FIND(CONT_SUP[[#This Row],[SchoolCode]],_xlfn.XLOOKUP(CONT_SUP[[#This Row],[StaffMemberCode]],MEMBERS[StaffMemberCode],MEMBERS[SchoolCodes]))&gt;0,0,1),1)</f>
        <v>0</v>
      </c>
      <c r="D147" s="57" cm="1">
        <f t="array" ref="D147">IF(_xlfn.XLOOKUP(CONT_SUP[[#This Row],[StaffRoleCode]],ROLES[StaffRoleCode],ROLES[AvailableToAllSchools],1,0,)=TRUE,0,IF(ISERROR(FIND(CONT_SUP[[#This Row],[SchoolCode]],_xlfn.TEXTJOIN(",",TRUE,_xlfn.UNIQUE(IF(ROLES[StaffRoleCode]=CONT_SUP[[#This Row],[StaffRoleCode]],ROLES[SchoolCodes],""))))),1,0))</f>
        <v>0</v>
      </c>
      <c r="E147" s="57" cm="1">
        <f t="array" ref="E14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47" s="57" cm="1">
        <f t="array" ref="F147">IF(_xlfn.XLOOKUP(CONT_SUP[[#This Row],[PayScaleCode]],PAYSCALES[PayScaleCode],PAYSCALES[AvailableToAllSchools],1,0,)=TRUE,0,IF(ISERROR(FIND(CONT_SUP[[#This Row],[SchoolCode]],_xlfn.TEXTJOIN(",",TRUE,_xlfn.UNIQUE(IF(PAYSCALES[PayScaleCode]=CONT_SUP[[#This Row],[PayScaleCode]],PAYSCALES[SchoolCodes],""))))),1,0))</f>
        <v>0</v>
      </c>
      <c r="G147" s="57">
        <f>IF(_xlfn.XLOOKUP(CONT_SUP[[#This Row],[PayScaleGradeCode]],GRADES[PayScaleGradeCode],GRADES[AvailableToAllSchools])=TRUE,0,IFERROR(IF(FIND(CONT_SUP[[#This Row],[SchoolCode]],_xlfn.XLOOKUP(CONT_SUP[[#This Row],[PayScaleGradeCode]],GRADES[PayScaleGradeCode],GRADES[SchoolCodes]))&gt;=1,0,1),1))</f>
        <v>0</v>
      </c>
      <c r="H147" s="57">
        <f>IF(ISERROR(IF((_xlfn.XLOOKUP(CONT_SUP[[#This Row],[PayScaleGradeCode]],GRADES[PayScaleGradeCode],GRADES[PayScaleCode])=CONT_SUP[[#This Row],[PayScaleCode]]),0,1)),1,0)</f>
        <v>0</v>
      </c>
      <c r="I147" s="57" cm="1">
        <f t="array" ref="I147">IF(ISERROR(FIND(CONT_SUP[[#This Row],[PayScalePointCode]],_xlfn.TEXTJOIN(",",TRUE,IF(PSPOINTS[PayScaleCode]=CONT_SUP[[#This Row],[PayScaleCode]],PSPOINTS[PayScalePointCode])))),1,0)</f>
        <v>0</v>
      </c>
      <c r="J147" s="57" cm="1">
        <f t="array" ref="J14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47" s="57">
        <f>IF(_xlfn.XLOOKUP(CONT_SUP[[#This Row],[PayScalePointCode]],PSPOINTS[PayScalePointCode],PSPOINTS[PayScalePointEnabled])=TRUE,0,1)</f>
        <v>0</v>
      </c>
      <c r="L147" s="57" cm="1">
        <f t="array" ref="L147">IF(_xlfn.XLOOKUP(CONT_SUP[[#This Row],[DepartmentCode]],DEPTS[DepartmentCode],DEPTS[AvailableToAllSchools],1,0,)=TRUE,0,IF(ISERROR(FIND(CONT_SUP[[#This Row],[SchoolCode]],_xlfn.TEXTJOIN(",",TRUE,_xlfn.UNIQUE(IF(DEPTS[DepartmentCode]=CONT_SUP[[#This Row],[DepartmentCode]],DEPTS[SchoolCodes],""))))),1,0))</f>
        <v>0</v>
      </c>
      <c r="M147" s="57">
        <f>IFERROR(IF(_xlfn.XLOOKUP(CONT_SUP[[#This Row],[SRG Gross]],FinanceCodesBudget[FinanceCode],FinanceCodesBudget[LedgerCode])=_xlfn.XLOOKUP(CONT_SUP[[#This Row],[DepartmentCode]],DEPTS[DepartmentCode],DEPTS[LedgerCode]),0,1),1)</f>
        <v>0</v>
      </c>
      <c r="N147" s="57" cm="1">
        <f t="array" ref="N147">IF(_xlfn.XLOOKUP(CONT_SUP[[#This Row],[PensionCode]],PENS[PensionCode],PENS[AvailableToAllSchools],1,0,)=TRUE,0,IF(ISERROR(FIND(CONT_SUP[[#This Row],[SchoolCode]],_xlfn.TEXTJOIN(",",TRUE,_xlfn.UNIQUE(IF(PENS[PensionCode]=CONT_SUP[[#This Row],[PensionCode]],PENS[SchoolCodes],""))))),1,0))</f>
        <v>0</v>
      </c>
      <c r="O147" s="57" cm="1">
        <f t="array" ref="O147">IF(_xlfn.XLOOKUP(CONT_SUP[[#This Row],[EquatedWeekPatternCode]],EQW[EquatedWeekPatternCode],EQW[AvailableToAllSchools],1,0,)=TRUE,0,IF(ISERROR(FIND(CONT_SUP[[#This Row],[SchoolCode]],_xlfn.TEXTJOIN(",",TRUE,_xlfn.UNIQUE(IF(EQW[EquatedWeekPatternCode]=CONT_SUP[[#This Row],[EquatedWeekPatternCode]],EQW[SchoolCodes],""))))),1,0))</f>
        <v>0</v>
      </c>
      <c r="P147" s="57">
        <f>1-COUNTIF(ContractTypes[Code],CONT_SUP[[#This Row],[ContractTypeCode]])</f>
        <v>0</v>
      </c>
      <c r="Q147" s="57">
        <f>IF(VLOOKUP(CONT_SUP[[#This Row],[StaffMemberCode]],MEMBERS[[StaffMemberCode]:[ServiceStartDate]],5,0)&gt;CONT_SUP[[#This Row],[DateFrom]],1,0)</f>
        <v>0</v>
      </c>
      <c r="R147" s="57">
        <f>IF(_xlfn.XLOOKUP(CONT_SUP[[#This Row],[StaffMemberCode]],MEMBERS[StaffMemberCode],MEMBERS[ServiceEndDate])="",0,IF(CONT_SUP[[#This Row],[DateTo]]="",1,IF(_xlfn.XLOOKUP(CONT_SUP[[#This Row],[StaffMemberCode]],MEMBERS[StaffMemberCode],MEMBERS[ServiceEndDate])&lt;CONT_SUP[[#This Row],[DateTo]],1,0)))</f>
        <v>0</v>
      </c>
      <c r="S147" s="57">
        <f>IF(ISBLANK(CONT_SUP[[#This Row],[DateTo]]),0,IF(CONT_SUP[[#This Row],[DateFrom]]=CONT_SUP[[#This Row],[DateTo]],0,IF(CONT_SUP[[#This Row],[DateFrom]]&lt;CONT_SUP[[#This Row],[DateTo]],0,1)))</f>
        <v>0</v>
      </c>
      <c r="T147" s="57" cm="1">
        <f t="array" aca="1" ref="T147" ca="1">IF(CELL("format",CONT_SUP[[#This Row],[DateFrom]])="D1",0,1)+IF(CELL("format",CONT_SUP[[#This Row],[DateTo]])="D1",0,1)</f>
        <v>0</v>
      </c>
      <c r="U147" s="57">
        <f>IF(OR(CONT_SUP[[#This Row],[MatEditOnly]]=TRUE,CONT_SUP[[#This Row],[MatEditOnly]]=FALSE),IF(OR(CONT_SUP[[#This Row],[NoIncrement]]=TRUE,CONT_SUP[[#This Row],[NoIncrement]]=FALSE),0,1),1)</f>
        <v>0</v>
      </c>
      <c r="V147" s="57">
        <f>IF(ISBLANK(CONT_SUP[[#This Row],[FundCode]])=TRUE,0,IF(COUNTIF(FUNDS[FundCode],CONT_SUP[[#This Row],[FundCode]])=1,0,1))</f>
        <v>0</v>
      </c>
      <c r="W147" s="57">
        <f>IF(LEN(CONT_SUP[[#This Row],[Notes]])&lt;4000,0,1)</f>
        <v>0</v>
      </c>
      <c r="X147" s="57">
        <f>IF(SUBSTITUTE(TEXT(CONT_SUP[[#This Row],[Reference]],10)," ","")=TEXT(CONT_SUP[[#This Row],[Reference]],10),0,1)</f>
        <v>0</v>
      </c>
      <c r="Y147" s="57">
        <f ca="1">SUM(CONT_SUP[[#This Row],[Duplicate Contract]:[Space in Code]])</f>
        <v>0</v>
      </c>
      <c r="AA147" s="12" t="s">
        <v>2266</v>
      </c>
      <c r="AB147" s="12">
        <v>91073895</v>
      </c>
      <c r="AC147" s="12" t="s">
        <v>4743</v>
      </c>
      <c r="AD147" s="57" t="str">
        <f>_xlfn.XLOOKUP(CONT_SUP[[#This Row],[StaffMemberCode]],StaffMembers!O:O,StaffMembers!R:R)</f>
        <v>Katy Andrews</v>
      </c>
      <c r="AE147" s="12" t="s">
        <v>4285</v>
      </c>
      <c r="AF147" s="57">
        <f>_xlfn.XLOOKUP(CONT_SUP[[#This Row],[SRG]],SRG[StaffRoleGroupCode],SRG[GrossSalaryFinanceCode])</f>
        <v>637100</v>
      </c>
      <c r="AG147" s="57" t="str">
        <f>_xlfn.XLOOKUP(CONT_SUP[[#This Row],[StaffRoleCode]],ROLES[StaffRoleCode],ROLES[StaffRoleGroupCode])</f>
        <v>NUR</v>
      </c>
      <c r="AH147" s="57" t="str">
        <f>_xlfn.XLOOKUP(CONT_SUP[[#This Row],[StaffRoleCode]],ROLES[StaffRoleCode],ROLES[PayScaleCode])</f>
        <v>NJC_CHE</v>
      </c>
      <c r="AI147" s="12" t="s">
        <v>3122</v>
      </c>
      <c r="AJ147" s="12">
        <v>6</v>
      </c>
      <c r="AK147" s="12" t="s">
        <v>1959</v>
      </c>
      <c r="AM147" s="68" t="s">
        <v>3132</v>
      </c>
      <c r="AN147" s="12" t="s">
        <v>3135</v>
      </c>
      <c r="AO147" s="21">
        <v>45901</v>
      </c>
      <c r="AQ147" s="12">
        <v>32.5</v>
      </c>
      <c r="AR147" t="b">
        <v>0</v>
      </c>
      <c r="AS147" t="b">
        <v>0</v>
      </c>
      <c r="AT147" s="12" t="s">
        <v>1574</v>
      </c>
    </row>
    <row r="148" spans="1:46" x14ac:dyDescent="0.3">
      <c r="A148" s="57" t="str">
        <f t="shared" si="4"/>
        <v>SBL9107576191075761ATA_NURNURSERY45901</v>
      </c>
      <c r="B148" s="57">
        <f>COUNTIF(CONT_SUP[Unique Contract],CONT_SUP[[#This Row],[Unique Contract]])-1</f>
        <v>0</v>
      </c>
      <c r="C148" s="57">
        <f>IFERROR(IF(FIND(CONT_SUP[[#This Row],[SchoolCode]],_xlfn.XLOOKUP(CONT_SUP[[#This Row],[StaffMemberCode]],MEMBERS[StaffMemberCode],MEMBERS[SchoolCodes]))&gt;0,0,1),1)</f>
        <v>0</v>
      </c>
      <c r="D148" s="57" cm="1">
        <f t="array" ref="D148">IF(_xlfn.XLOOKUP(CONT_SUP[[#This Row],[StaffRoleCode]],ROLES[StaffRoleCode],ROLES[AvailableToAllSchools],1,0,)=TRUE,0,IF(ISERROR(FIND(CONT_SUP[[#This Row],[SchoolCode]],_xlfn.TEXTJOIN(",",TRUE,_xlfn.UNIQUE(IF(ROLES[StaffRoleCode]=CONT_SUP[[#This Row],[StaffRoleCode]],ROLES[SchoolCodes],""))))),1,0))</f>
        <v>0</v>
      </c>
      <c r="E148" s="57" cm="1">
        <f t="array" ref="E14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48" s="57" cm="1">
        <f t="array" ref="F148">IF(_xlfn.XLOOKUP(CONT_SUP[[#This Row],[PayScaleCode]],PAYSCALES[PayScaleCode],PAYSCALES[AvailableToAllSchools],1,0,)=TRUE,0,IF(ISERROR(FIND(CONT_SUP[[#This Row],[SchoolCode]],_xlfn.TEXTJOIN(",",TRUE,_xlfn.UNIQUE(IF(PAYSCALES[PayScaleCode]=CONT_SUP[[#This Row],[PayScaleCode]],PAYSCALES[SchoolCodes],""))))),1,0))</f>
        <v>0</v>
      </c>
      <c r="G148" s="57">
        <f>IF(_xlfn.XLOOKUP(CONT_SUP[[#This Row],[PayScaleGradeCode]],GRADES[PayScaleGradeCode],GRADES[AvailableToAllSchools])=TRUE,0,IFERROR(IF(FIND(CONT_SUP[[#This Row],[SchoolCode]],_xlfn.XLOOKUP(CONT_SUP[[#This Row],[PayScaleGradeCode]],GRADES[PayScaleGradeCode],GRADES[SchoolCodes]))&gt;=1,0,1),1))</f>
        <v>0</v>
      </c>
      <c r="H148" s="57">
        <f>IF(ISERROR(IF((_xlfn.XLOOKUP(CONT_SUP[[#This Row],[PayScaleGradeCode]],GRADES[PayScaleGradeCode],GRADES[PayScaleCode])=CONT_SUP[[#This Row],[PayScaleCode]]),0,1)),1,0)</f>
        <v>0</v>
      </c>
      <c r="I148" s="57" cm="1">
        <f t="array" ref="I148">IF(ISERROR(FIND(CONT_SUP[[#This Row],[PayScalePointCode]],_xlfn.TEXTJOIN(",",TRUE,IF(PSPOINTS[PayScaleCode]=CONT_SUP[[#This Row],[PayScaleCode]],PSPOINTS[PayScalePointCode])))),1,0)</f>
        <v>0</v>
      </c>
      <c r="J148" s="57" cm="1">
        <f t="array" ref="J14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48" s="57">
        <f>IF(_xlfn.XLOOKUP(CONT_SUP[[#This Row],[PayScalePointCode]],PSPOINTS[PayScalePointCode],PSPOINTS[PayScalePointEnabled])=TRUE,0,1)</f>
        <v>0</v>
      </c>
      <c r="L148" s="57" cm="1">
        <f t="array" ref="L148">IF(_xlfn.XLOOKUP(CONT_SUP[[#This Row],[DepartmentCode]],DEPTS[DepartmentCode],DEPTS[AvailableToAllSchools],1,0,)=TRUE,0,IF(ISERROR(FIND(CONT_SUP[[#This Row],[SchoolCode]],_xlfn.TEXTJOIN(",",TRUE,_xlfn.UNIQUE(IF(DEPTS[DepartmentCode]=CONT_SUP[[#This Row],[DepartmentCode]],DEPTS[SchoolCodes],""))))),1,0))</f>
        <v>0</v>
      </c>
      <c r="M148" s="57">
        <f>IFERROR(IF(_xlfn.XLOOKUP(CONT_SUP[[#This Row],[SRG Gross]],FinanceCodesBudget[FinanceCode],FinanceCodesBudget[LedgerCode])=_xlfn.XLOOKUP(CONT_SUP[[#This Row],[DepartmentCode]],DEPTS[DepartmentCode],DEPTS[LedgerCode]),0,1),1)</f>
        <v>0</v>
      </c>
      <c r="N148" s="57" cm="1">
        <f t="array" ref="N148">IF(_xlfn.XLOOKUP(CONT_SUP[[#This Row],[PensionCode]],PENS[PensionCode],PENS[AvailableToAllSchools],1,0,)=TRUE,0,IF(ISERROR(FIND(CONT_SUP[[#This Row],[SchoolCode]],_xlfn.TEXTJOIN(",",TRUE,_xlfn.UNIQUE(IF(PENS[PensionCode]=CONT_SUP[[#This Row],[PensionCode]],PENS[SchoolCodes],""))))),1,0))</f>
        <v>0</v>
      </c>
      <c r="O148" s="57" cm="1">
        <f t="array" ref="O148">IF(_xlfn.XLOOKUP(CONT_SUP[[#This Row],[EquatedWeekPatternCode]],EQW[EquatedWeekPatternCode],EQW[AvailableToAllSchools],1,0,)=TRUE,0,IF(ISERROR(FIND(CONT_SUP[[#This Row],[SchoolCode]],_xlfn.TEXTJOIN(",",TRUE,_xlfn.UNIQUE(IF(EQW[EquatedWeekPatternCode]=CONT_SUP[[#This Row],[EquatedWeekPatternCode]],EQW[SchoolCodes],""))))),1,0))</f>
        <v>0</v>
      </c>
      <c r="P148" s="57">
        <f>1-COUNTIF(ContractTypes[Code],CONT_SUP[[#This Row],[ContractTypeCode]])</f>
        <v>0</v>
      </c>
      <c r="Q148" s="57">
        <f>IF(VLOOKUP(CONT_SUP[[#This Row],[StaffMemberCode]],MEMBERS[[StaffMemberCode]:[ServiceStartDate]],5,0)&gt;CONT_SUP[[#This Row],[DateFrom]],1,0)</f>
        <v>0</v>
      </c>
      <c r="R148" s="57">
        <f>IF(_xlfn.XLOOKUP(CONT_SUP[[#This Row],[StaffMemberCode]],MEMBERS[StaffMemberCode],MEMBERS[ServiceEndDate])="",0,IF(CONT_SUP[[#This Row],[DateTo]]="",1,IF(_xlfn.XLOOKUP(CONT_SUP[[#This Row],[StaffMemberCode]],MEMBERS[StaffMemberCode],MEMBERS[ServiceEndDate])&lt;CONT_SUP[[#This Row],[DateTo]],1,0)))</f>
        <v>0</v>
      </c>
      <c r="S148" s="57">
        <f>IF(ISBLANK(CONT_SUP[[#This Row],[DateTo]]),0,IF(CONT_SUP[[#This Row],[DateFrom]]=CONT_SUP[[#This Row],[DateTo]],0,IF(CONT_SUP[[#This Row],[DateFrom]]&lt;CONT_SUP[[#This Row],[DateTo]],0,1)))</f>
        <v>0</v>
      </c>
      <c r="T148" s="57" cm="1">
        <f t="array" aca="1" ref="T148" ca="1">IF(CELL("format",CONT_SUP[[#This Row],[DateFrom]])="D1",0,1)+IF(CELL("format",CONT_SUP[[#This Row],[DateTo]])="D1",0,1)</f>
        <v>0</v>
      </c>
      <c r="U148" s="57">
        <f>IF(OR(CONT_SUP[[#This Row],[MatEditOnly]]=TRUE,CONT_SUP[[#This Row],[MatEditOnly]]=FALSE),IF(OR(CONT_SUP[[#This Row],[NoIncrement]]=TRUE,CONT_SUP[[#This Row],[NoIncrement]]=FALSE),0,1),1)</f>
        <v>0</v>
      </c>
      <c r="V148" s="57">
        <f>IF(ISBLANK(CONT_SUP[[#This Row],[FundCode]])=TRUE,0,IF(COUNTIF(FUNDS[FundCode],CONT_SUP[[#This Row],[FundCode]])=1,0,1))</f>
        <v>0</v>
      </c>
      <c r="W148" s="57">
        <f>IF(LEN(CONT_SUP[[#This Row],[Notes]])&lt;4000,0,1)</f>
        <v>0</v>
      </c>
      <c r="X148" s="57">
        <f>IF(SUBSTITUTE(TEXT(CONT_SUP[[#This Row],[Reference]],10)," ","")=TEXT(CONT_SUP[[#This Row],[Reference]],10),0,1)</f>
        <v>0</v>
      </c>
      <c r="Y148" s="57">
        <f ca="1">SUM(CONT_SUP[[#This Row],[Duplicate Contract]:[Space in Code]])</f>
        <v>0</v>
      </c>
      <c r="AA148" s="12" t="s">
        <v>2200</v>
      </c>
      <c r="AB148" s="12">
        <v>91075761</v>
      </c>
      <c r="AC148" s="12" t="s">
        <v>4744</v>
      </c>
      <c r="AD148" s="57" t="str">
        <f>_xlfn.XLOOKUP(CONT_SUP[[#This Row],[StaffMemberCode]],StaffMembers!O:O,StaffMembers!R:R)</f>
        <v>Kirsty Phillips</v>
      </c>
      <c r="AE148" s="12" t="s">
        <v>4285</v>
      </c>
      <c r="AF148" s="57">
        <f>_xlfn.XLOOKUP(CONT_SUP[[#This Row],[SRG]],SRG[StaffRoleGroupCode],SRG[GrossSalaryFinanceCode])</f>
        <v>637100</v>
      </c>
      <c r="AG148" s="57" t="str">
        <f>_xlfn.XLOOKUP(CONT_SUP[[#This Row],[StaffRoleCode]],ROLES[StaffRoleCode],ROLES[StaffRoleGroupCode])</f>
        <v>NUR</v>
      </c>
      <c r="AH148" s="57" t="str">
        <f>_xlfn.XLOOKUP(CONT_SUP[[#This Row],[StaffRoleCode]],ROLES[StaffRoleCode],ROLES[PayScaleCode])</f>
        <v>NJC_CHE</v>
      </c>
      <c r="AI148" s="12" t="s">
        <v>3122</v>
      </c>
      <c r="AJ148" s="12">
        <v>6</v>
      </c>
      <c r="AK148" s="12" t="s">
        <v>1959</v>
      </c>
      <c r="AM148" s="68" t="s">
        <v>3132</v>
      </c>
      <c r="AN148" s="12" t="s">
        <v>3135</v>
      </c>
      <c r="AO148" s="21">
        <v>45901</v>
      </c>
      <c r="AQ148" s="12">
        <v>30.5</v>
      </c>
      <c r="AR148" t="b">
        <v>0</v>
      </c>
      <c r="AS148" t="b">
        <v>0</v>
      </c>
      <c r="AT148" s="12" t="s">
        <v>1574</v>
      </c>
    </row>
    <row r="149" spans="1:46" x14ac:dyDescent="0.3">
      <c r="A149" s="57" t="str">
        <f t="shared" si="4"/>
        <v>WVP9107343491073434BHIVE_ADM_ASTSOSC45901</v>
      </c>
      <c r="B149" s="57">
        <f>COUNTIF(CONT_SUP[Unique Contract],CONT_SUP[[#This Row],[Unique Contract]])-1</f>
        <v>0</v>
      </c>
      <c r="C149" s="57">
        <f>IFERROR(IF(FIND(CONT_SUP[[#This Row],[SchoolCode]],_xlfn.XLOOKUP(CONT_SUP[[#This Row],[StaffMemberCode]],MEMBERS[StaffMemberCode],MEMBERS[SchoolCodes]))&gt;0,0,1),1)</f>
        <v>0</v>
      </c>
      <c r="D149" s="57" cm="1">
        <f t="array" ref="D149">IF(_xlfn.XLOOKUP(CONT_SUP[[#This Row],[StaffRoleCode]],ROLES[StaffRoleCode],ROLES[AvailableToAllSchools],1,0,)=TRUE,0,IF(ISERROR(FIND(CONT_SUP[[#This Row],[SchoolCode]],_xlfn.TEXTJOIN(",",TRUE,_xlfn.UNIQUE(IF(ROLES[StaffRoleCode]=CONT_SUP[[#This Row],[StaffRoleCode]],ROLES[SchoolCodes],""))))),1,0))</f>
        <v>0</v>
      </c>
      <c r="E149" s="57" cm="1">
        <f t="array" ref="E14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49" s="57" cm="1">
        <f t="array" ref="F149">IF(_xlfn.XLOOKUP(CONT_SUP[[#This Row],[PayScaleCode]],PAYSCALES[PayScaleCode],PAYSCALES[AvailableToAllSchools],1,0,)=TRUE,0,IF(ISERROR(FIND(CONT_SUP[[#This Row],[SchoolCode]],_xlfn.TEXTJOIN(",",TRUE,_xlfn.UNIQUE(IF(PAYSCALES[PayScaleCode]=CONT_SUP[[#This Row],[PayScaleCode]],PAYSCALES[SchoolCodes],""))))),1,0))</f>
        <v>0</v>
      </c>
      <c r="G149" s="57">
        <f>IF(_xlfn.XLOOKUP(CONT_SUP[[#This Row],[PayScaleGradeCode]],GRADES[PayScaleGradeCode],GRADES[AvailableToAllSchools])=TRUE,0,IFERROR(IF(FIND(CONT_SUP[[#This Row],[SchoolCode]],_xlfn.XLOOKUP(CONT_SUP[[#This Row],[PayScaleGradeCode]],GRADES[PayScaleGradeCode],GRADES[SchoolCodes]))&gt;=1,0,1),1))</f>
        <v>0</v>
      </c>
      <c r="H149" s="57">
        <f>IF(ISERROR(IF((_xlfn.XLOOKUP(CONT_SUP[[#This Row],[PayScaleGradeCode]],GRADES[PayScaleGradeCode],GRADES[PayScaleCode])=CONT_SUP[[#This Row],[PayScaleCode]]),0,1)),1,0)</f>
        <v>0</v>
      </c>
      <c r="I149" s="57" cm="1">
        <f t="array" ref="I149">IF(ISERROR(FIND(CONT_SUP[[#This Row],[PayScalePointCode]],_xlfn.TEXTJOIN(",",TRUE,IF(PSPOINTS[PayScaleCode]=CONT_SUP[[#This Row],[PayScaleCode]],PSPOINTS[PayScalePointCode])))),1,0)</f>
        <v>0</v>
      </c>
      <c r="J149" s="57" cm="1">
        <f t="array" ref="J14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49" s="57">
        <f>IF(_xlfn.XLOOKUP(CONT_SUP[[#This Row],[PayScalePointCode]],PSPOINTS[PayScalePointCode],PSPOINTS[PayScalePointEnabled])=TRUE,0,1)</f>
        <v>0</v>
      </c>
      <c r="L149" s="57" cm="1">
        <f t="array" ref="L149">IF(_xlfn.XLOOKUP(CONT_SUP[[#This Row],[DepartmentCode]],DEPTS[DepartmentCode],DEPTS[AvailableToAllSchools],1,0,)=TRUE,0,IF(ISERROR(FIND(CONT_SUP[[#This Row],[SchoolCode]],_xlfn.TEXTJOIN(",",TRUE,_xlfn.UNIQUE(IF(DEPTS[DepartmentCode]=CONT_SUP[[#This Row],[DepartmentCode]],DEPTS[SchoolCodes],""))))),1,0))</f>
        <v>0</v>
      </c>
      <c r="M149" s="57">
        <f>IFERROR(IF(_xlfn.XLOOKUP(CONT_SUP[[#This Row],[SRG Gross]],FinanceCodesBudget[FinanceCode],FinanceCodesBudget[LedgerCode])=_xlfn.XLOOKUP(CONT_SUP[[#This Row],[DepartmentCode]],DEPTS[DepartmentCode],DEPTS[LedgerCode]),0,1),1)</f>
        <v>0</v>
      </c>
      <c r="N149" s="57" cm="1">
        <f t="array" ref="N149">IF(_xlfn.XLOOKUP(CONT_SUP[[#This Row],[PensionCode]],PENS[PensionCode],PENS[AvailableToAllSchools],1,0,)=TRUE,0,IF(ISERROR(FIND(CONT_SUP[[#This Row],[SchoolCode]],_xlfn.TEXTJOIN(",",TRUE,_xlfn.UNIQUE(IF(PENS[PensionCode]=CONT_SUP[[#This Row],[PensionCode]],PENS[SchoolCodes],""))))),1,0))</f>
        <v>0</v>
      </c>
      <c r="O149" s="57" cm="1">
        <f t="array" ref="O149">IF(_xlfn.XLOOKUP(CONT_SUP[[#This Row],[EquatedWeekPatternCode]],EQW[EquatedWeekPatternCode],EQW[AvailableToAllSchools],1,0,)=TRUE,0,IF(ISERROR(FIND(CONT_SUP[[#This Row],[SchoolCode]],_xlfn.TEXTJOIN(",",TRUE,_xlfn.UNIQUE(IF(EQW[EquatedWeekPatternCode]=CONT_SUP[[#This Row],[EquatedWeekPatternCode]],EQW[SchoolCodes],""))))),1,0))</f>
        <v>0</v>
      </c>
      <c r="P149" s="57">
        <f>1-COUNTIF(ContractTypes[Code],CONT_SUP[[#This Row],[ContractTypeCode]])</f>
        <v>0</v>
      </c>
      <c r="Q149" s="57">
        <f>IF(VLOOKUP(CONT_SUP[[#This Row],[StaffMemberCode]],MEMBERS[[StaffMemberCode]:[ServiceStartDate]],5,0)&gt;CONT_SUP[[#This Row],[DateFrom]],1,0)</f>
        <v>0</v>
      </c>
      <c r="R149" s="57">
        <f>IF(_xlfn.XLOOKUP(CONT_SUP[[#This Row],[StaffMemberCode]],MEMBERS[StaffMemberCode],MEMBERS[ServiceEndDate])="",0,IF(CONT_SUP[[#This Row],[DateTo]]="",1,IF(_xlfn.XLOOKUP(CONT_SUP[[#This Row],[StaffMemberCode]],MEMBERS[StaffMemberCode],MEMBERS[ServiceEndDate])&lt;CONT_SUP[[#This Row],[DateTo]],1,0)))</f>
        <v>0</v>
      </c>
      <c r="S149" s="57">
        <f>IF(ISBLANK(CONT_SUP[[#This Row],[DateTo]]),0,IF(CONT_SUP[[#This Row],[DateFrom]]=CONT_SUP[[#This Row],[DateTo]],0,IF(CONT_SUP[[#This Row],[DateFrom]]&lt;CONT_SUP[[#This Row],[DateTo]],0,1)))</f>
        <v>0</v>
      </c>
      <c r="T149" s="57" cm="1">
        <f t="array" aca="1" ref="T149" ca="1">IF(CELL("format",CONT_SUP[[#This Row],[DateFrom]])="D1",0,1)+IF(CELL("format",CONT_SUP[[#This Row],[DateTo]])="D1",0,1)</f>
        <v>0</v>
      </c>
      <c r="U149" s="57">
        <f>IF(OR(CONT_SUP[[#This Row],[MatEditOnly]]=TRUE,CONT_SUP[[#This Row],[MatEditOnly]]=FALSE),IF(OR(CONT_SUP[[#This Row],[NoIncrement]]=TRUE,CONT_SUP[[#This Row],[NoIncrement]]=FALSE),0,1),1)</f>
        <v>0</v>
      </c>
      <c r="V149" s="57">
        <f>IF(ISBLANK(CONT_SUP[[#This Row],[FundCode]])=TRUE,0,IF(COUNTIF(FUNDS[FundCode],CONT_SUP[[#This Row],[FundCode]])=1,0,1))</f>
        <v>0</v>
      </c>
      <c r="W149" s="57">
        <f>IF(LEN(CONT_SUP[[#This Row],[Notes]])&lt;4000,0,1)</f>
        <v>0</v>
      </c>
      <c r="X149" s="57">
        <f>IF(SUBSTITUTE(TEXT(CONT_SUP[[#This Row],[Reference]],10)," ","")=TEXT(CONT_SUP[[#This Row],[Reference]],10),0,1)</f>
        <v>0</v>
      </c>
      <c r="Y149" s="57">
        <f ca="1">SUM(CONT_SUP[[#This Row],[Duplicate Contract]:[Space in Code]])</f>
        <v>0</v>
      </c>
      <c r="AA149" s="12" t="s">
        <v>2275</v>
      </c>
      <c r="AB149" s="12">
        <v>91073434</v>
      </c>
      <c r="AC149" s="12" t="s">
        <v>4745</v>
      </c>
      <c r="AD149" s="57" t="str">
        <f>_xlfn.XLOOKUP(CONT_SUP[[#This Row],[StaffMemberCode]],StaffMembers!O:O,StaffMembers!R:R)</f>
        <v>Nicola Blackburn</v>
      </c>
      <c r="AE149" s="12" t="s">
        <v>4310</v>
      </c>
      <c r="AF149" s="57">
        <f>_xlfn.XLOOKUP(CONT_SUP[[#This Row],[SRG]],SRG[StaffRoleGroupCode],SRG[GrossSalaryFinanceCode])</f>
        <v>647100</v>
      </c>
      <c r="AG149" s="57" t="str">
        <f>_xlfn.XLOOKUP(CONT_SUP[[#This Row],[StaffRoleCode]],ROLES[StaffRoleCode],ROLES[StaffRoleGroupCode])</f>
        <v>OTH</v>
      </c>
      <c r="AH149" s="57" t="str">
        <f>_xlfn.XLOOKUP(CONT_SUP[[#This Row],[StaffRoleCode]],ROLES[StaffRoleCode],ROLES[PayScaleCode])</f>
        <v>NJC_CHE</v>
      </c>
      <c r="AI149" s="12" t="s">
        <v>3123</v>
      </c>
      <c r="AJ149" s="12">
        <v>8</v>
      </c>
      <c r="AK149" s="12" t="s">
        <v>2490</v>
      </c>
      <c r="AM149" s="68" t="s">
        <v>3132</v>
      </c>
      <c r="AN149" s="12" t="s">
        <v>3145</v>
      </c>
      <c r="AO149" s="21">
        <v>45901</v>
      </c>
      <c r="AQ149" s="12">
        <v>8</v>
      </c>
      <c r="AR149" t="b">
        <v>0</v>
      </c>
      <c r="AS149" t="b">
        <v>0</v>
      </c>
      <c r="AT149" s="12" t="s">
        <v>1574</v>
      </c>
    </row>
    <row r="150" spans="1:46" x14ac:dyDescent="0.3">
      <c r="A150" s="57" t="str">
        <f t="shared" ref="A150:A181" si="5">AA150&amp;AB150&amp;AC150&amp;AE150&amp;AK150&amp;AO150</f>
        <v>SBL9107577291075772BOOSC_DEPSOSC45901</v>
      </c>
      <c r="B150" s="57">
        <f>COUNTIF(CONT_SUP[Unique Contract],CONT_SUP[[#This Row],[Unique Contract]])-1</f>
        <v>0</v>
      </c>
      <c r="C150" s="57">
        <f>IFERROR(IF(FIND(CONT_SUP[[#This Row],[SchoolCode]],_xlfn.XLOOKUP(CONT_SUP[[#This Row],[StaffMemberCode]],MEMBERS[StaffMemberCode],MEMBERS[SchoolCodes]))&gt;0,0,1),1)</f>
        <v>0</v>
      </c>
      <c r="D150" s="57" cm="1">
        <f t="array" ref="D150">IF(_xlfn.XLOOKUP(CONT_SUP[[#This Row],[StaffRoleCode]],ROLES[StaffRoleCode],ROLES[AvailableToAllSchools],1,0,)=TRUE,0,IF(ISERROR(FIND(CONT_SUP[[#This Row],[SchoolCode]],_xlfn.TEXTJOIN(",",TRUE,_xlfn.UNIQUE(IF(ROLES[StaffRoleCode]=CONT_SUP[[#This Row],[StaffRoleCode]],ROLES[SchoolCodes],""))))),1,0))</f>
        <v>0</v>
      </c>
      <c r="E150" s="57" cm="1">
        <f t="array" ref="E15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50" s="57" cm="1">
        <f t="array" ref="F150">IF(_xlfn.XLOOKUP(CONT_SUP[[#This Row],[PayScaleCode]],PAYSCALES[PayScaleCode],PAYSCALES[AvailableToAllSchools],1,0,)=TRUE,0,IF(ISERROR(FIND(CONT_SUP[[#This Row],[SchoolCode]],_xlfn.TEXTJOIN(",",TRUE,_xlfn.UNIQUE(IF(PAYSCALES[PayScaleCode]=CONT_SUP[[#This Row],[PayScaleCode]],PAYSCALES[SchoolCodes],""))))),1,0))</f>
        <v>0</v>
      </c>
      <c r="G150" s="57">
        <f>IF(_xlfn.XLOOKUP(CONT_SUP[[#This Row],[PayScaleGradeCode]],GRADES[PayScaleGradeCode],GRADES[AvailableToAllSchools])=TRUE,0,IFERROR(IF(FIND(CONT_SUP[[#This Row],[SchoolCode]],_xlfn.XLOOKUP(CONT_SUP[[#This Row],[PayScaleGradeCode]],GRADES[PayScaleGradeCode],GRADES[SchoolCodes]))&gt;=1,0,1),1))</f>
        <v>0</v>
      </c>
      <c r="H150" s="57">
        <f>IF(ISERROR(IF((_xlfn.XLOOKUP(CONT_SUP[[#This Row],[PayScaleGradeCode]],GRADES[PayScaleGradeCode],GRADES[PayScaleCode])=CONT_SUP[[#This Row],[PayScaleCode]]),0,1)),1,0)</f>
        <v>0</v>
      </c>
      <c r="I150" s="57" cm="1">
        <f t="array" ref="I150">IF(ISERROR(FIND(CONT_SUP[[#This Row],[PayScalePointCode]],_xlfn.TEXTJOIN(",",TRUE,IF(PSPOINTS[PayScaleCode]=CONT_SUP[[#This Row],[PayScaleCode]],PSPOINTS[PayScalePointCode])))),1,0)</f>
        <v>0</v>
      </c>
      <c r="J150" s="57" cm="1">
        <f t="array" ref="J15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50" s="57">
        <f>IF(_xlfn.XLOOKUP(CONT_SUP[[#This Row],[PayScalePointCode]],PSPOINTS[PayScalePointCode],PSPOINTS[PayScalePointEnabled])=TRUE,0,1)</f>
        <v>0</v>
      </c>
      <c r="L150" s="57" cm="1">
        <f t="array" ref="L150">IF(_xlfn.XLOOKUP(CONT_SUP[[#This Row],[DepartmentCode]],DEPTS[DepartmentCode],DEPTS[AvailableToAllSchools],1,0,)=TRUE,0,IF(ISERROR(FIND(CONT_SUP[[#This Row],[SchoolCode]],_xlfn.TEXTJOIN(",",TRUE,_xlfn.UNIQUE(IF(DEPTS[DepartmentCode]=CONT_SUP[[#This Row],[DepartmentCode]],DEPTS[SchoolCodes],""))))),1,0))</f>
        <v>0</v>
      </c>
      <c r="M150" s="57">
        <f>IFERROR(IF(_xlfn.XLOOKUP(CONT_SUP[[#This Row],[SRG Gross]],FinanceCodesBudget[FinanceCode],FinanceCodesBudget[LedgerCode])=_xlfn.XLOOKUP(CONT_SUP[[#This Row],[DepartmentCode]],DEPTS[DepartmentCode],DEPTS[LedgerCode]),0,1),1)</f>
        <v>0</v>
      </c>
      <c r="N150" s="57" cm="1">
        <f t="array" ref="N150">IF(_xlfn.XLOOKUP(CONT_SUP[[#This Row],[PensionCode]],PENS[PensionCode],PENS[AvailableToAllSchools],1,0,)=TRUE,0,IF(ISERROR(FIND(CONT_SUP[[#This Row],[SchoolCode]],_xlfn.TEXTJOIN(",",TRUE,_xlfn.UNIQUE(IF(PENS[PensionCode]=CONT_SUP[[#This Row],[PensionCode]],PENS[SchoolCodes],""))))),1,0))</f>
        <v>0</v>
      </c>
      <c r="O150" s="57" cm="1">
        <f t="array" ref="O150">IF(_xlfn.XLOOKUP(CONT_SUP[[#This Row],[EquatedWeekPatternCode]],EQW[EquatedWeekPatternCode],EQW[AvailableToAllSchools],1,0,)=TRUE,0,IF(ISERROR(FIND(CONT_SUP[[#This Row],[SchoolCode]],_xlfn.TEXTJOIN(",",TRUE,_xlfn.UNIQUE(IF(EQW[EquatedWeekPatternCode]=CONT_SUP[[#This Row],[EquatedWeekPatternCode]],EQW[SchoolCodes],""))))),1,0))</f>
        <v>0</v>
      </c>
      <c r="P150" s="57">
        <f>1-COUNTIF(ContractTypes[Code],CONT_SUP[[#This Row],[ContractTypeCode]])</f>
        <v>0</v>
      </c>
      <c r="Q150" s="57">
        <f>IF(VLOOKUP(CONT_SUP[[#This Row],[StaffMemberCode]],MEMBERS[[StaffMemberCode]:[ServiceStartDate]],5,0)&gt;CONT_SUP[[#This Row],[DateFrom]],1,0)</f>
        <v>0</v>
      </c>
      <c r="R150" s="57">
        <f>IF(_xlfn.XLOOKUP(CONT_SUP[[#This Row],[StaffMemberCode]],MEMBERS[StaffMemberCode],MEMBERS[ServiceEndDate])="",0,IF(CONT_SUP[[#This Row],[DateTo]]="",1,IF(_xlfn.XLOOKUP(CONT_SUP[[#This Row],[StaffMemberCode]],MEMBERS[StaffMemberCode],MEMBERS[ServiceEndDate])&lt;CONT_SUP[[#This Row],[DateTo]],1,0)))</f>
        <v>0</v>
      </c>
      <c r="S150" s="57">
        <f>IF(ISBLANK(CONT_SUP[[#This Row],[DateTo]]),0,IF(CONT_SUP[[#This Row],[DateFrom]]=CONT_SUP[[#This Row],[DateTo]],0,IF(CONT_SUP[[#This Row],[DateFrom]]&lt;CONT_SUP[[#This Row],[DateTo]],0,1)))</f>
        <v>0</v>
      </c>
      <c r="T150" s="57" cm="1">
        <f t="array" aca="1" ref="T150" ca="1">IF(CELL("format",CONT_SUP[[#This Row],[DateFrom]])="D1",0,1)+IF(CELL("format",CONT_SUP[[#This Row],[DateTo]])="D1",0,1)</f>
        <v>0</v>
      </c>
      <c r="U150" s="57">
        <f>IF(OR(CONT_SUP[[#This Row],[MatEditOnly]]=TRUE,CONT_SUP[[#This Row],[MatEditOnly]]=FALSE),IF(OR(CONT_SUP[[#This Row],[NoIncrement]]=TRUE,CONT_SUP[[#This Row],[NoIncrement]]=FALSE),0,1),1)</f>
        <v>0</v>
      </c>
      <c r="V150" s="57">
        <f>IF(ISBLANK(CONT_SUP[[#This Row],[FundCode]])=TRUE,0,IF(COUNTIF(FUNDS[FundCode],CONT_SUP[[#This Row],[FundCode]])=1,0,1))</f>
        <v>0</v>
      </c>
      <c r="W150" s="57">
        <f>IF(LEN(CONT_SUP[[#This Row],[Notes]])&lt;4000,0,1)</f>
        <v>0</v>
      </c>
      <c r="X150" s="57">
        <f>IF(SUBSTITUTE(TEXT(CONT_SUP[[#This Row],[Reference]],10)," ","")=TEXT(CONT_SUP[[#This Row],[Reference]],10),0,1)</f>
        <v>0</v>
      </c>
      <c r="Y150" s="57">
        <f ca="1">SUM(CONT_SUP[[#This Row],[Duplicate Contract]:[Space in Code]])</f>
        <v>0</v>
      </c>
      <c r="AA150" s="12" t="s">
        <v>2200</v>
      </c>
      <c r="AB150" s="12">
        <v>91075772</v>
      </c>
      <c r="AC150" s="12" t="s">
        <v>4746</v>
      </c>
      <c r="AD150" s="57" t="str">
        <f>_xlfn.XLOOKUP(CONT_SUP[[#This Row],[StaffMemberCode]],StaffMembers!O:O,StaffMembers!R:R)</f>
        <v>Chloe Fitton</v>
      </c>
      <c r="AE150" s="12" t="s">
        <v>4312</v>
      </c>
      <c r="AF150" s="57">
        <f>_xlfn.XLOOKUP(CONT_SUP[[#This Row],[SRG]],SRG[StaffRoleGroupCode],SRG[GrossSalaryFinanceCode])</f>
        <v>647100</v>
      </c>
      <c r="AG150" s="57" t="str">
        <f>_xlfn.XLOOKUP(CONT_SUP[[#This Row],[StaffRoleCode]],ROLES[StaffRoleCode],ROLES[StaffRoleGroupCode])</f>
        <v>OTH</v>
      </c>
      <c r="AH150" s="57" t="str">
        <f>_xlfn.XLOOKUP(CONT_SUP[[#This Row],[StaffRoleCode]],ROLES[StaffRoleCode],ROLES[PayScaleCode])</f>
        <v>NJC_CHE</v>
      </c>
      <c r="AI150" s="12" t="s">
        <v>3122</v>
      </c>
      <c r="AJ150" s="12">
        <v>5</v>
      </c>
      <c r="AK150" s="12" t="s">
        <v>2490</v>
      </c>
      <c r="AM150" s="68" t="s">
        <v>3132</v>
      </c>
      <c r="AN150" s="12" t="s">
        <v>3134</v>
      </c>
      <c r="AO150" s="21">
        <v>45901</v>
      </c>
      <c r="AQ150" s="12">
        <v>2.5</v>
      </c>
      <c r="AR150" t="b">
        <v>0</v>
      </c>
      <c r="AS150" t="b">
        <v>0</v>
      </c>
      <c r="AT150" s="12" t="s">
        <v>1574</v>
      </c>
    </row>
    <row r="151" spans="1:46" x14ac:dyDescent="0.3">
      <c r="A151" s="57" t="str">
        <f t="shared" si="5"/>
        <v>PTP9107393691073936BOOSC_DEPSOSC45901</v>
      </c>
      <c r="B151" s="57">
        <f>COUNTIF(CONT_SUP[Unique Contract],CONT_SUP[[#This Row],[Unique Contract]])-1</f>
        <v>0</v>
      </c>
      <c r="C151" s="57">
        <f>IFERROR(IF(FIND(CONT_SUP[[#This Row],[SchoolCode]],_xlfn.XLOOKUP(CONT_SUP[[#This Row],[StaffMemberCode]],MEMBERS[StaffMemberCode],MEMBERS[SchoolCodes]))&gt;0,0,1),1)</f>
        <v>0</v>
      </c>
      <c r="D151" s="57" cm="1">
        <f t="array" ref="D151">IF(_xlfn.XLOOKUP(CONT_SUP[[#This Row],[StaffRoleCode]],ROLES[StaffRoleCode],ROLES[AvailableToAllSchools],1,0,)=TRUE,0,IF(ISERROR(FIND(CONT_SUP[[#This Row],[SchoolCode]],_xlfn.TEXTJOIN(",",TRUE,_xlfn.UNIQUE(IF(ROLES[StaffRoleCode]=CONT_SUP[[#This Row],[StaffRoleCode]],ROLES[SchoolCodes],""))))),1,0))</f>
        <v>0</v>
      </c>
      <c r="E151" s="57" cm="1">
        <f t="array" ref="E15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51" s="57" cm="1">
        <f t="array" ref="F151">IF(_xlfn.XLOOKUP(CONT_SUP[[#This Row],[PayScaleCode]],PAYSCALES[PayScaleCode],PAYSCALES[AvailableToAllSchools],1,0,)=TRUE,0,IF(ISERROR(FIND(CONT_SUP[[#This Row],[SchoolCode]],_xlfn.TEXTJOIN(",",TRUE,_xlfn.UNIQUE(IF(PAYSCALES[PayScaleCode]=CONT_SUP[[#This Row],[PayScaleCode]],PAYSCALES[SchoolCodes],""))))),1,0))</f>
        <v>0</v>
      </c>
      <c r="G151" s="57">
        <f>IF(_xlfn.XLOOKUP(CONT_SUP[[#This Row],[PayScaleGradeCode]],GRADES[PayScaleGradeCode],GRADES[AvailableToAllSchools])=TRUE,0,IFERROR(IF(FIND(CONT_SUP[[#This Row],[SchoolCode]],_xlfn.XLOOKUP(CONT_SUP[[#This Row],[PayScaleGradeCode]],GRADES[PayScaleGradeCode],GRADES[SchoolCodes]))&gt;=1,0,1),1))</f>
        <v>0</v>
      </c>
      <c r="H151" s="57">
        <f>IF(ISERROR(IF((_xlfn.XLOOKUP(CONT_SUP[[#This Row],[PayScaleGradeCode]],GRADES[PayScaleGradeCode],GRADES[PayScaleCode])=CONT_SUP[[#This Row],[PayScaleCode]]),0,1)),1,0)</f>
        <v>0</v>
      </c>
      <c r="I151" s="57" cm="1">
        <f t="array" ref="I151">IF(ISERROR(FIND(CONT_SUP[[#This Row],[PayScalePointCode]],_xlfn.TEXTJOIN(",",TRUE,IF(PSPOINTS[PayScaleCode]=CONT_SUP[[#This Row],[PayScaleCode]],PSPOINTS[PayScalePointCode])))),1,0)</f>
        <v>0</v>
      </c>
      <c r="J151" s="57" cm="1">
        <f t="array" ref="J15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51" s="57">
        <f>IF(_xlfn.XLOOKUP(CONT_SUP[[#This Row],[PayScalePointCode]],PSPOINTS[PayScalePointCode],PSPOINTS[PayScalePointEnabled])=TRUE,0,1)</f>
        <v>0</v>
      </c>
      <c r="L151" s="57" cm="1">
        <f t="array" ref="L151">IF(_xlfn.XLOOKUP(CONT_SUP[[#This Row],[DepartmentCode]],DEPTS[DepartmentCode],DEPTS[AvailableToAllSchools],1,0,)=TRUE,0,IF(ISERROR(FIND(CONT_SUP[[#This Row],[SchoolCode]],_xlfn.TEXTJOIN(",",TRUE,_xlfn.UNIQUE(IF(DEPTS[DepartmentCode]=CONT_SUP[[#This Row],[DepartmentCode]],DEPTS[SchoolCodes],""))))),1,0))</f>
        <v>0</v>
      </c>
      <c r="M151" s="57">
        <f>IFERROR(IF(_xlfn.XLOOKUP(CONT_SUP[[#This Row],[SRG Gross]],FinanceCodesBudget[FinanceCode],FinanceCodesBudget[LedgerCode])=_xlfn.XLOOKUP(CONT_SUP[[#This Row],[DepartmentCode]],DEPTS[DepartmentCode],DEPTS[LedgerCode]),0,1),1)</f>
        <v>0</v>
      </c>
      <c r="N151" s="57" cm="1">
        <f t="array" ref="N151">IF(_xlfn.XLOOKUP(CONT_SUP[[#This Row],[PensionCode]],PENS[PensionCode],PENS[AvailableToAllSchools],1,0,)=TRUE,0,IF(ISERROR(FIND(CONT_SUP[[#This Row],[SchoolCode]],_xlfn.TEXTJOIN(",",TRUE,_xlfn.UNIQUE(IF(PENS[PensionCode]=CONT_SUP[[#This Row],[PensionCode]],PENS[SchoolCodes],""))))),1,0))</f>
        <v>0</v>
      </c>
      <c r="O151" s="57" cm="1">
        <f t="array" ref="O151">IF(_xlfn.XLOOKUP(CONT_SUP[[#This Row],[EquatedWeekPatternCode]],EQW[EquatedWeekPatternCode],EQW[AvailableToAllSchools],1,0,)=TRUE,0,IF(ISERROR(FIND(CONT_SUP[[#This Row],[SchoolCode]],_xlfn.TEXTJOIN(",",TRUE,_xlfn.UNIQUE(IF(EQW[EquatedWeekPatternCode]=CONT_SUP[[#This Row],[EquatedWeekPatternCode]],EQW[SchoolCodes],""))))),1,0))</f>
        <v>0</v>
      </c>
      <c r="P151" s="57">
        <f>1-COUNTIF(ContractTypes[Code],CONT_SUP[[#This Row],[ContractTypeCode]])</f>
        <v>0</v>
      </c>
      <c r="Q151" s="57">
        <f>IF(VLOOKUP(CONT_SUP[[#This Row],[StaffMemberCode]],MEMBERS[[StaffMemberCode]:[ServiceStartDate]],5,0)&gt;CONT_SUP[[#This Row],[DateFrom]],1,0)</f>
        <v>0</v>
      </c>
      <c r="R151" s="57">
        <f>IF(_xlfn.XLOOKUP(CONT_SUP[[#This Row],[StaffMemberCode]],MEMBERS[StaffMemberCode],MEMBERS[ServiceEndDate])="",0,IF(CONT_SUP[[#This Row],[DateTo]]="",1,IF(_xlfn.XLOOKUP(CONT_SUP[[#This Row],[StaffMemberCode]],MEMBERS[StaffMemberCode],MEMBERS[ServiceEndDate])&lt;CONT_SUP[[#This Row],[DateTo]],1,0)))</f>
        <v>0</v>
      </c>
      <c r="S151" s="57">
        <f>IF(ISBLANK(CONT_SUP[[#This Row],[DateTo]]),0,IF(CONT_SUP[[#This Row],[DateFrom]]=CONT_SUP[[#This Row],[DateTo]],0,IF(CONT_SUP[[#This Row],[DateFrom]]&lt;CONT_SUP[[#This Row],[DateTo]],0,1)))</f>
        <v>0</v>
      </c>
      <c r="T151" s="57" cm="1">
        <f t="array" aca="1" ref="T151" ca="1">IF(CELL("format",CONT_SUP[[#This Row],[DateFrom]])="D1",0,1)+IF(CELL("format",CONT_SUP[[#This Row],[DateTo]])="D1",0,1)</f>
        <v>0</v>
      </c>
      <c r="U151" s="57">
        <f>IF(OR(CONT_SUP[[#This Row],[MatEditOnly]]=TRUE,CONT_SUP[[#This Row],[MatEditOnly]]=FALSE),IF(OR(CONT_SUP[[#This Row],[NoIncrement]]=TRUE,CONT_SUP[[#This Row],[NoIncrement]]=FALSE),0,1),1)</f>
        <v>0</v>
      </c>
      <c r="V151" s="57">
        <f>IF(ISBLANK(CONT_SUP[[#This Row],[FundCode]])=TRUE,0,IF(COUNTIF(FUNDS[FundCode],CONT_SUP[[#This Row],[FundCode]])=1,0,1))</f>
        <v>0</v>
      </c>
      <c r="W151" s="57">
        <f>IF(LEN(CONT_SUP[[#This Row],[Notes]])&lt;4000,0,1)</f>
        <v>0</v>
      </c>
      <c r="X151" s="57">
        <f>IF(SUBSTITUTE(TEXT(CONT_SUP[[#This Row],[Reference]],10)," ","")=TEXT(CONT_SUP[[#This Row],[Reference]],10),0,1)</f>
        <v>0</v>
      </c>
      <c r="Y151" s="57">
        <f ca="1">SUM(CONT_SUP[[#This Row],[Duplicate Contract]:[Space in Code]])</f>
        <v>0</v>
      </c>
      <c r="AA151" s="12" t="s">
        <v>2299</v>
      </c>
      <c r="AB151" s="12">
        <v>91073936</v>
      </c>
      <c r="AC151" s="12" t="s">
        <v>4747</v>
      </c>
      <c r="AD151" s="57" t="str">
        <f>_xlfn.XLOOKUP(CONT_SUP[[#This Row],[StaffMemberCode]],StaffMembers!O:O,StaffMembers!R:R)</f>
        <v>Emily Shephard</v>
      </c>
      <c r="AE151" s="12" t="s">
        <v>4312</v>
      </c>
      <c r="AF151" s="57">
        <f>_xlfn.XLOOKUP(CONT_SUP[[#This Row],[SRG]],SRG[StaffRoleGroupCode],SRG[GrossSalaryFinanceCode])</f>
        <v>647100</v>
      </c>
      <c r="AG151" s="57" t="str">
        <f>_xlfn.XLOOKUP(CONT_SUP[[#This Row],[StaffRoleCode]],ROLES[StaffRoleCode],ROLES[StaffRoleGroupCode])</f>
        <v>OTH</v>
      </c>
      <c r="AH151" s="57" t="str">
        <f>_xlfn.XLOOKUP(CONT_SUP[[#This Row],[StaffRoleCode]],ROLES[StaffRoleCode],ROLES[PayScaleCode])</f>
        <v>NJC_CHE</v>
      </c>
      <c r="AI151" s="12" t="s">
        <v>3122</v>
      </c>
      <c r="AJ151" s="12">
        <v>6</v>
      </c>
      <c r="AK151" s="12" t="s">
        <v>2490</v>
      </c>
      <c r="AM151" s="68" t="s">
        <v>3132</v>
      </c>
      <c r="AN151" s="12" t="s">
        <v>3135</v>
      </c>
      <c r="AO151" s="21">
        <v>45901</v>
      </c>
      <c r="AQ151" s="12">
        <v>11.75</v>
      </c>
      <c r="AR151" t="b">
        <v>0</v>
      </c>
      <c r="AS151" t="b">
        <v>0</v>
      </c>
      <c r="AT151" s="12" t="s">
        <v>1574</v>
      </c>
    </row>
    <row r="152" spans="1:46" x14ac:dyDescent="0.3">
      <c r="A152" s="57" t="str">
        <f t="shared" si="5"/>
        <v>PTP9107393691073936AOOSC_MGRSOSC45901</v>
      </c>
      <c r="B152" s="57">
        <f>COUNTIF(CONT_SUP[Unique Contract],CONT_SUP[[#This Row],[Unique Contract]])-1</f>
        <v>0</v>
      </c>
      <c r="C152" s="57">
        <f>IFERROR(IF(FIND(CONT_SUP[[#This Row],[SchoolCode]],_xlfn.XLOOKUP(CONT_SUP[[#This Row],[StaffMemberCode]],MEMBERS[StaffMemberCode],MEMBERS[SchoolCodes]))&gt;0,0,1),1)</f>
        <v>0</v>
      </c>
      <c r="D152" s="57" cm="1">
        <f t="array" ref="D152">IF(_xlfn.XLOOKUP(CONT_SUP[[#This Row],[StaffRoleCode]],ROLES[StaffRoleCode],ROLES[AvailableToAllSchools],1,0,)=TRUE,0,IF(ISERROR(FIND(CONT_SUP[[#This Row],[SchoolCode]],_xlfn.TEXTJOIN(",",TRUE,_xlfn.UNIQUE(IF(ROLES[StaffRoleCode]=CONT_SUP[[#This Row],[StaffRoleCode]],ROLES[SchoolCodes],""))))),1,0))</f>
        <v>0</v>
      </c>
      <c r="E152" s="57" cm="1">
        <f t="array" ref="E15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52" s="57" cm="1">
        <f t="array" ref="F152">IF(_xlfn.XLOOKUP(CONT_SUP[[#This Row],[PayScaleCode]],PAYSCALES[PayScaleCode],PAYSCALES[AvailableToAllSchools],1,0,)=TRUE,0,IF(ISERROR(FIND(CONT_SUP[[#This Row],[SchoolCode]],_xlfn.TEXTJOIN(",",TRUE,_xlfn.UNIQUE(IF(PAYSCALES[PayScaleCode]=CONT_SUP[[#This Row],[PayScaleCode]],PAYSCALES[SchoolCodes],""))))),1,0))</f>
        <v>0</v>
      </c>
      <c r="G152" s="57">
        <f>IF(_xlfn.XLOOKUP(CONT_SUP[[#This Row],[PayScaleGradeCode]],GRADES[PayScaleGradeCode],GRADES[AvailableToAllSchools])=TRUE,0,IFERROR(IF(FIND(CONT_SUP[[#This Row],[SchoolCode]],_xlfn.XLOOKUP(CONT_SUP[[#This Row],[PayScaleGradeCode]],GRADES[PayScaleGradeCode],GRADES[SchoolCodes]))&gt;=1,0,1),1))</f>
        <v>0</v>
      </c>
      <c r="H152" s="57">
        <f>IF(ISERROR(IF((_xlfn.XLOOKUP(CONT_SUP[[#This Row],[PayScaleGradeCode]],GRADES[PayScaleGradeCode],GRADES[PayScaleCode])=CONT_SUP[[#This Row],[PayScaleCode]]),0,1)),1,0)</f>
        <v>0</v>
      </c>
      <c r="I152" s="57" cm="1">
        <f t="array" ref="I152">IF(ISERROR(FIND(CONT_SUP[[#This Row],[PayScalePointCode]],_xlfn.TEXTJOIN(",",TRUE,IF(PSPOINTS[PayScaleCode]=CONT_SUP[[#This Row],[PayScaleCode]],PSPOINTS[PayScalePointCode])))),1,0)</f>
        <v>0</v>
      </c>
      <c r="J152" s="57" cm="1">
        <f t="array" ref="J15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52" s="57">
        <f>IF(_xlfn.XLOOKUP(CONT_SUP[[#This Row],[PayScalePointCode]],PSPOINTS[PayScalePointCode],PSPOINTS[PayScalePointEnabled])=TRUE,0,1)</f>
        <v>0</v>
      </c>
      <c r="L152" s="57" cm="1">
        <f t="array" ref="L152">IF(_xlfn.XLOOKUP(CONT_SUP[[#This Row],[DepartmentCode]],DEPTS[DepartmentCode],DEPTS[AvailableToAllSchools],1,0,)=TRUE,0,IF(ISERROR(FIND(CONT_SUP[[#This Row],[SchoolCode]],_xlfn.TEXTJOIN(",",TRUE,_xlfn.UNIQUE(IF(DEPTS[DepartmentCode]=CONT_SUP[[#This Row],[DepartmentCode]],DEPTS[SchoolCodes],""))))),1,0))</f>
        <v>0</v>
      </c>
      <c r="M152" s="57">
        <f>IFERROR(IF(_xlfn.XLOOKUP(CONT_SUP[[#This Row],[SRG Gross]],FinanceCodesBudget[FinanceCode],FinanceCodesBudget[LedgerCode])=_xlfn.XLOOKUP(CONT_SUP[[#This Row],[DepartmentCode]],DEPTS[DepartmentCode],DEPTS[LedgerCode]),0,1),1)</f>
        <v>0</v>
      </c>
      <c r="N152" s="57" cm="1">
        <f t="array" ref="N152">IF(_xlfn.XLOOKUP(CONT_SUP[[#This Row],[PensionCode]],PENS[PensionCode],PENS[AvailableToAllSchools],1,0,)=TRUE,0,IF(ISERROR(FIND(CONT_SUP[[#This Row],[SchoolCode]],_xlfn.TEXTJOIN(",",TRUE,_xlfn.UNIQUE(IF(PENS[PensionCode]=CONT_SUP[[#This Row],[PensionCode]],PENS[SchoolCodes],""))))),1,0))</f>
        <v>0</v>
      </c>
      <c r="O152" s="57" cm="1">
        <f t="array" ref="O152">IF(_xlfn.XLOOKUP(CONT_SUP[[#This Row],[EquatedWeekPatternCode]],EQW[EquatedWeekPatternCode],EQW[AvailableToAllSchools],1,0,)=TRUE,0,IF(ISERROR(FIND(CONT_SUP[[#This Row],[SchoolCode]],_xlfn.TEXTJOIN(",",TRUE,_xlfn.UNIQUE(IF(EQW[EquatedWeekPatternCode]=CONT_SUP[[#This Row],[EquatedWeekPatternCode]],EQW[SchoolCodes],""))))),1,0))</f>
        <v>0</v>
      </c>
      <c r="P152" s="57">
        <f>1-COUNTIF(ContractTypes[Code],CONT_SUP[[#This Row],[ContractTypeCode]])</f>
        <v>0</v>
      </c>
      <c r="Q152" s="57">
        <f>IF(VLOOKUP(CONT_SUP[[#This Row],[StaffMemberCode]],MEMBERS[[StaffMemberCode]:[ServiceStartDate]],5,0)&gt;CONT_SUP[[#This Row],[DateFrom]],1,0)</f>
        <v>0</v>
      </c>
      <c r="R152" s="57">
        <f>IF(_xlfn.XLOOKUP(CONT_SUP[[#This Row],[StaffMemberCode]],MEMBERS[StaffMemberCode],MEMBERS[ServiceEndDate])="",0,IF(CONT_SUP[[#This Row],[DateTo]]="",1,IF(_xlfn.XLOOKUP(CONT_SUP[[#This Row],[StaffMemberCode]],MEMBERS[StaffMemberCode],MEMBERS[ServiceEndDate])&lt;CONT_SUP[[#This Row],[DateTo]],1,0)))</f>
        <v>0</v>
      </c>
      <c r="S152" s="57">
        <f>IF(ISBLANK(CONT_SUP[[#This Row],[DateTo]]),0,IF(CONT_SUP[[#This Row],[DateFrom]]=CONT_SUP[[#This Row],[DateTo]],0,IF(CONT_SUP[[#This Row],[DateFrom]]&lt;CONT_SUP[[#This Row],[DateTo]],0,1)))</f>
        <v>0</v>
      </c>
      <c r="T152" s="57" cm="1">
        <f t="array" aca="1" ref="T152" ca="1">IF(CELL("format",CONT_SUP[[#This Row],[DateFrom]])="D1",0,1)+IF(CELL("format",CONT_SUP[[#This Row],[DateTo]])="D1",0,1)</f>
        <v>0</v>
      </c>
      <c r="U152" s="57">
        <f>IF(OR(CONT_SUP[[#This Row],[MatEditOnly]]=TRUE,CONT_SUP[[#This Row],[MatEditOnly]]=FALSE),IF(OR(CONT_SUP[[#This Row],[NoIncrement]]=TRUE,CONT_SUP[[#This Row],[NoIncrement]]=FALSE),0,1),1)</f>
        <v>0</v>
      </c>
      <c r="V152" s="57">
        <f>IF(ISBLANK(CONT_SUP[[#This Row],[FundCode]])=TRUE,0,IF(COUNTIF(FUNDS[FundCode],CONT_SUP[[#This Row],[FundCode]])=1,0,1))</f>
        <v>0</v>
      </c>
      <c r="W152" s="57">
        <f>IF(LEN(CONT_SUP[[#This Row],[Notes]])&lt;4000,0,1)</f>
        <v>0</v>
      </c>
      <c r="X152" s="57">
        <f>IF(SUBSTITUTE(TEXT(CONT_SUP[[#This Row],[Reference]],10)," ","")=TEXT(CONT_SUP[[#This Row],[Reference]],10),0,1)</f>
        <v>0</v>
      </c>
      <c r="Y152" s="57">
        <f ca="1">SUM(CONT_SUP[[#This Row],[Duplicate Contract]:[Space in Code]])</f>
        <v>0</v>
      </c>
      <c r="AA152" s="12" t="s">
        <v>2299</v>
      </c>
      <c r="AB152" s="12">
        <v>91073936</v>
      </c>
      <c r="AC152" s="12" t="s">
        <v>4748</v>
      </c>
      <c r="AD152" s="57" t="str">
        <f>_xlfn.XLOOKUP(CONT_SUP[[#This Row],[StaffMemberCode]],StaffMembers!O:O,StaffMembers!R:R)</f>
        <v>Emily Shephard</v>
      </c>
      <c r="AE152" s="12" t="s">
        <v>4314</v>
      </c>
      <c r="AF152" s="57">
        <f>_xlfn.XLOOKUP(CONT_SUP[[#This Row],[SRG]],SRG[StaffRoleGroupCode],SRG[GrossSalaryFinanceCode])</f>
        <v>647100</v>
      </c>
      <c r="AG152" s="57" t="str">
        <f>_xlfn.XLOOKUP(CONT_SUP[[#This Row],[StaffRoleCode]],ROLES[StaffRoleCode],ROLES[StaffRoleGroupCode])</f>
        <v>OTH</v>
      </c>
      <c r="AH152" s="57" t="str">
        <f>_xlfn.XLOOKUP(CONT_SUP[[#This Row],[StaffRoleCode]],ROLES[StaffRoleCode],ROLES[PayScaleCode])</f>
        <v>NJC_CHE</v>
      </c>
      <c r="AI152" s="12" t="s">
        <v>3124</v>
      </c>
      <c r="AJ152" s="12">
        <v>14</v>
      </c>
      <c r="AK152" s="12" t="s">
        <v>2490</v>
      </c>
      <c r="AM152" s="68" t="s">
        <v>3132</v>
      </c>
      <c r="AN152" s="12" t="s">
        <v>3135</v>
      </c>
      <c r="AO152" s="21">
        <v>45901</v>
      </c>
      <c r="AQ152" s="12">
        <v>27.249600000000001</v>
      </c>
      <c r="AR152" t="b">
        <v>0</v>
      </c>
      <c r="AS152" t="b">
        <v>0</v>
      </c>
      <c r="AT152" s="12" t="s">
        <v>1574</v>
      </c>
    </row>
    <row r="153" spans="1:46" x14ac:dyDescent="0.3">
      <c r="A153" s="57" t="str">
        <f t="shared" si="5"/>
        <v>SBL9107575791075757AOOSC_MGRSOSC45901</v>
      </c>
      <c r="B153" s="57">
        <f>COUNTIF(CONT_SUP[Unique Contract],CONT_SUP[[#This Row],[Unique Contract]])-1</f>
        <v>0</v>
      </c>
      <c r="C153" s="57">
        <f>IFERROR(IF(FIND(CONT_SUP[[#This Row],[SchoolCode]],_xlfn.XLOOKUP(CONT_SUP[[#This Row],[StaffMemberCode]],MEMBERS[StaffMemberCode],MEMBERS[SchoolCodes]))&gt;0,0,1),1)</f>
        <v>0</v>
      </c>
      <c r="D153" s="57" cm="1">
        <f t="array" ref="D153">IF(_xlfn.XLOOKUP(CONT_SUP[[#This Row],[StaffRoleCode]],ROLES[StaffRoleCode],ROLES[AvailableToAllSchools],1,0,)=TRUE,0,IF(ISERROR(FIND(CONT_SUP[[#This Row],[SchoolCode]],_xlfn.TEXTJOIN(",",TRUE,_xlfn.UNIQUE(IF(ROLES[StaffRoleCode]=CONT_SUP[[#This Row],[StaffRoleCode]],ROLES[SchoolCodes],""))))),1,0))</f>
        <v>0</v>
      </c>
      <c r="E153" s="57" cm="1">
        <f t="array" ref="E15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53" s="57" cm="1">
        <f t="array" ref="F153">IF(_xlfn.XLOOKUP(CONT_SUP[[#This Row],[PayScaleCode]],PAYSCALES[PayScaleCode],PAYSCALES[AvailableToAllSchools],1,0,)=TRUE,0,IF(ISERROR(FIND(CONT_SUP[[#This Row],[SchoolCode]],_xlfn.TEXTJOIN(",",TRUE,_xlfn.UNIQUE(IF(PAYSCALES[PayScaleCode]=CONT_SUP[[#This Row],[PayScaleCode]],PAYSCALES[SchoolCodes],""))))),1,0))</f>
        <v>0</v>
      </c>
      <c r="G153" s="57">
        <f>IF(_xlfn.XLOOKUP(CONT_SUP[[#This Row],[PayScaleGradeCode]],GRADES[PayScaleGradeCode],GRADES[AvailableToAllSchools])=TRUE,0,IFERROR(IF(FIND(CONT_SUP[[#This Row],[SchoolCode]],_xlfn.XLOOKUP(CONT_SUP[[#This Row],[PayScaleGradeCode]],GRADES[PayScaleGradeCode],GRADES[SchoolCodes]))&gt;=1,0,1),1))</f>
        <v>0</v>
      </c>
      <c r="H153" s="57">
        <f>IF(ISERROR(IF((_xlfn.XLOOKUP(CONT_SUP[[#This Row],[PayScaleGradeCode]],GRADES[PayScaleGradeCode],GRADES[PayScaleCode])=CONT_SUP[[#This Row],[PayScaleCode]]),0,1)),1,0)</f>
        <v>0</v>
      </c>
      <c r="I153" s="57" cm="1">
        <f t="array" ref="I153">IF(ISERROR(FIND(CONT_SUP[[#This Row],[PayScalePointCode]],_xlfn.TEXTJOIN(",",TRUE,IF(PSPOINTS[PayScaleCode]=CONT_SUP[[#This Row],[PayScaleCode]],PSPOINTS[PayScalePointCode])))),1,0)</f>
        <v>0</v>
      </c>
      <c r="J153" s="57" cm="1">
        <f t="array" ref="J15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53" s="57">
        <f>IF(_xlfn.XLOOKUP(CONT_SUP[[#This Row],[PayScalePointCode]],PSPOINTS[PayScalePointCode],PSPOINTS[PayScalePointEnabled])=TRUE,0,1)</f>
        <v>0</v>
      </c>
      <c r="L153" s="57" cm="1">
        <f t="array" ref="L153">IF(_xlfn.XLOOKUP(CONT_SUP[[#This Row],[DepartmentCode]],DEPTS[DepartmentCode],DEPTS[AvailableToAllSchools],1,0,)=TRUE,0,IF(ISERROR(FIND(CONT_SUP[[#This Row],[SchoolCode]],_xlfn.TEXTJOIN(",",TRUE,_xlfn.UNIQUE(IF(DEPTS[DepartmentCode]=CONT_SUP[[#This Row],[DepartmentCode]],DEPTS[SchoolCodes],""))))),1,0))</f>
        <v>0</v>
      </c>
      <c r="M153" s="57">
        <f>IFERROR(IF(_xlfn.XLOOKUP(CONT_SUP[[#This Row],[SRG Gross]],FinanceCodesBudget[FinanceCode],FinanceCodesBudget[LedgerCode])=_xlfn.XLOOKUP(CONT_SUP[[#This Row],[DepartmentCode]],DEPTS[DepartmentCode],DEPTS[LedgerCode]),0,1),1)</f>
        <v>0</v>
      </c>
      <c r="N153" s="57" cm="1">
        <f t="array" ref="N153">IF(_xlfn.XLOOKUP(CONT_SUP[[#This Row],[PensionCode]],PENS[PensionCode],PENS[AvailableToAllSchools],1,0,)=TRUE,0,IF(ISERROR(FIND(CONT_SUP[[#This Row],[SchoolCode]],_xlfn.TEXTJOIN(",",TRUE,_xlfn.UNIQUE(IF(PENS[PensionCode]=CONT_SUP[[#This Row],[PensionCode]],PENS[SchoolCodes],""))))),1,0))</f>
        <v>0</v>
      </c>
      <c r="O153" s="57" cm="1">
        <f t="array" ref="O153">IF(_xlfn.XLOOKUP(CONT_SUP[[#This Row],[EquatedWeekPatternCode]],EQW[EquatedWeekPatternCode],EQW[AvailableToAllSchools],1,0,)=TRUE,0,IF(ISERROR(FIND(CONT_SUP[[#This Row],[SchoolCode]],_xlfn.TEXTJOIN(",",TRUE,_xlfn.UNIQUE(IF(EQW[EquatedWeekPatternCode]=CONT_SUP[[#This Row],[EquatedWeekPatternCode]],EQW[SchoolCodes],""))))),1,0))</f>
        <v>0</v>
      </c>
      <c r="P153" s="57">
        <f>1-COUNTIF(ContractTypes[Code],CONT_SUP[[#This Row],[ContractTypeCode]])</f>
        <v>0</v>
      </c>
      <c r="Q153" s="57">
        <f>IF(VLOOKUP(CONT_SUP[[#This Row],[StaffMemberCode]],MEMBERS[[StaffMemberCode]:[ServiceStartDate]],5,0)&gt;CONT_SUP[[#This Row],[DateFrom]],1,0)</f>
        <v>0</v>
      </c>
      <c r="R153" s="57">
        <f>IF(_xlfn.XLOOKUP(CONT_SUP[[#This Row],[StaffMemberCode]],MEMBERS[StaffMemberCode],MEMBERS[ServiceEndDate])="",0,IF(CONT_SUP[[#This Row],[DateTo]]="",1,IF(_xlfn.XLOOKUP(CONT_SUP[[#This Row],[StaffMemberCode]],MEMBERS[StaffMemberCode],MEMBERS[ServiceEndDate])&lt;CONT_SUP[[#This Row],[DateTo]],1,0)))</f>
        <v>0</v>
      </c>
      <c r="S153" s="57">
        <f>IF(ISBLANK(CONT_SUP[[#This Row],[DateTo]]),0,IF(CONT_SUP[[#This Row],[DateFrom]]=CONT_SUP[[#This Row],[DateTo]],0,IF(CONT_SUP[[#This Row],[DateFrom]]&lt;CONT_SUP[[#This Row],[DateTo]],0,1)))</f>
        <v>0</v>
      </c>
      <c r="T153" s="57" cm="1">
        <f t="array" aca="1" ref="T153" ca="1">IF(CELL("format",CONT_SUP[[#This Row],[DateFrom]])="D1",0,1)+IF(CELL("format",CONT_SUP[[#This Row],[DateTo]])="D1",0,1)</f>
        <v>0</v>
      </c>
      <c r="U153" s="57">
        <f>IF(OR(CONT_SUP[[#This Row],[MatEditOnly]]=TRUE,CONT_SUP[[#This Row],[MatEditOnly]]=FALSE),IF(OR(CONT_SUP[[#This Row],[NoIncrement]]=TRUE,CONT_SUP[[#This Row],[NoIncrement]]=FALSE),0,1),1)</f>
        <v>0</v>
      </c>
      <c r="V153" s="57">
        <f>IF(ISBLANK(CONT_SUP[[#This Row],[FundCode]])=TRUE,0,IF(COUNTIF(FUNDS[FundCode],CONT_SUP[[#This Row],[FundCode]])=1,0,1))</f>
        <v>0</v>
      </c>
      <c r="W153" s="57">
        <f>IF(LEN(CONT_SUP[[#This Row],[Notes]])&lt;4000,0,1)</f>
        <v>0</v>
      </c>
      <c r="X153" s="57">
        <f>IF(SUBSTITUTE(TEXT(CONT_SUP[[#This Row],[Reference]],10)," ","")=TEXT(CONT_SUP[[#This Row],[Reference]],10),0,1)</f>
        <v>0</v>
      </c>
      <c r="Y153" s="57">
        <f ca="1">SUM(CONT_SUP[[#This Row],[Duplicate Contract]:[Space in Code]])</f>
        <v>0</v>
      </c>
      <c r="AA153" s="12" t="s">
        <v>2200</v>
      </c>
      <c r="AB153" s="12">
        <v>91075757</v>
      </c>
      <c r="AC153" s="12" t="s">
        <v>4749</v>
      </c>
      <c r="AD153" s="57" t="str">
        <f>_xlfn.XLOOKUP(CONT_SUP[[#This Row],[StaffMemberCode]],StaffMembers!O:O,StaffMembers!R:R)</f>
        <v>Jodie Baker</v>
      </c>
      <c r="AE153" s="12" t="s">
        <v>4314</v>
      </c>
      <c r="AF153" s="57">
        <f>_xlfn.XLOOKUP(CONT_SUP[[#This Row],[SRG]],SRG[StaffRoleGroupCode],SRG[GrossSalaryFinanceCode])</f>
        <v>647100</v>
      </c>
      <c r="AG153" s="57" t="str">
        <f>_xlfn.XLOOKUP(CONT_SUP[[#This Row],[StaffRoleCode]],ROLES[StaffRoleCode],ROLES[StaffRoleGroupCode])</f>
        <v>OTH</v>
      </c>
      <c r="AH153" s="57" t="str">
        <f>_xlfn.XLOOKUP(CONT_SUP[[#This Row],[StaffRoleCode]],ROLES[StaffRoleCode],ROLES[PayScaleCode])</f>
        <v>NJC_CHE</v>
      </c>
      <c r="AI153" s="12" t="s">
        <v>3124</v>
      </c>
      <c r="AJ153" s="12">
        <v>17</v>
      </c>
      <c r="AK153" s="12" t="s">
        <v>2490</v>
      </c>
      <c r="AM153" s="68" t="s">
        <v>3132</v>
      </c>
      <c r="AN153" s="12" t="s">
        <v>1702</v>
      </c>
      <c r="AO153" s="21">
        <v>45901</v>
      </c>
      <c r="AQ153" s="12">
        <v>21.5</v>
      </c>
      <c r="AR153" t="b">
        <v>0</v>
      </c>
      <c r="AS153" t="b">
        <v>0</v>
      </c>
      <c r="AT153" s="12" t="s">
        <v>1574</v>
      </c>
    </row>
    <row r="154" spans="1:46" x14ac:dyDescent="0.3">
      <c r="A154" s="57" t="str">
        <f t="shared" si="5"/>
        <v>SBL9107575591075755BOOSC_MGRSOSC45901</v>
      </c>
      <c r="B154" s="57">
        <f>COUNTIF(CONT_SUP[Unique Contract],CONT_SUP[[#This Row],[Unique Contract]])-1</f>
        <v>0</v>
      </c>
      <c r="C154" s="57">
        <f>IFERROR(IF(FIND(CONT_SUP[[#This Row],[SchoolCode]],_xlfn.XLOOKUP(CONT_SUP[[#This Row],[StaffMemberCode]],MEMBERS[StaffMemberCode],MEMBERS[SchoolCodes]))&gt;0,0,1),1)</f>
        <v>0</v>
      </c>
      <c r="D154" s="57" cm="1">
        <f t="array" ref="D154">IF(_xlfn.XLOOKUP(CONT_SUP[[#This Row],[StaffRoleCode]],ROLES[StaffRoleCode],ROLES[AvailableToAllSchools],1,0,)=TRUE,0,IF(ISERROR(FIND(CONT_SUP[[#This Row],[SchoolCode]],_xlfn.TEXTJOIN(",",TRUE,_xlfn.UNIQUE(IF(ROLES[StaffRoleCode]=CONT_SUP[[#This Row],[StaffRoleCode]],ROLES[SchoolCodes],""))))),1,0))</f>
        <v>0</v>
      </c>
      <c r="E154" s="57" cm="1">
        <f t="array" ref="E15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54" s="57" cm="1">
        <f t="array" ref="F154">IF(_xlfn.XLOOKUP(CONT_SUP[[#This Row],[PayScaleCode]],PAYSCALES[PayScaleCode],PAYSCALES[AvailableToAllSchools],1,0,)=TRUE,0,IF(ISERROR(FIND(CONT_SUP[[#This Row],[SchoolCode]],_xlfn.TEXTJOIN(",",TRUE,_xlfn.UNIQUE(IF(PAYSCALES[PayScaleCode]=CONT_SUP[[#This Row],[PayScaleCode]],PAYSCALES[SchoolCodes],""))))),1,0))</f>
        <v>0</v>
      </c>
      <c r="G154" s="57">
        <f>IF(_xlfn.XLOOKUP(CONT_SUP[[#This Row],[PayScaleGradeCode]],GRADES[PayScaleGradeCode],GRADES[AvailableToAllSchools])=TRUE,0,IFERROR(IF(FIND(CONT_SUP[[#This Row],[SchoolCode]],_xlfn.XLOOKUP(CONT_SUP[[#This Row],[PayScaleGradeCode]],GRADES[PayScaleGradeCode],GRADES[SchoolCodes]))&gt;=1,0,1),1))</f>
        <v>0</v>
      </c>
      <c r="H154" s="57">
        <f>IF(ISERROR(IF((_xlfn.XLOOKUP(CONT_SUP[[#This Row],[PayScaleGradeCode]],GRADES[PayScaleGradeCode],GRADES[PayScaleCode])=CONT_SUP[[#This Row],[PayScaleCode]]),0,1)),1,0)</f>
        <v>0</v>
      </c>
      <c r="I154" s="57" cm="1">
        <f t="array" ref="I154">IF(ISERROR(FIND(CONT_SUP[[#This Row],[PayScalePointCode]],_xlfn.TEXTJOIN(",",TRUE,IF(PSPOINTS[PayScaleCode]=CONT_SUP[[#This Row],[PayScaleCode]],PSPOINTS[PayScalePointCode])))),1,0)</f>
        <v>0</v>
      </c>
      <c r="J154" s="57" cm="1">
        <f t="array" ref="J15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54" s="57">
        <f>IF(_xlfn.XLOOKUP(CONT_SUP[[#This Row],[PayScalePointCode]],PSPOINTS[PayScalePointCode],PSPOINTS[PayScalePointEnabled])=TRUE,0,1)</f>
        <v>0</v>
      </c>
      <c r="L154" s="57" cm="1">
        <f t="array" ref="L154">IF(_xlfn.XLOOKUP(CONT_SUP[[#This Row],[DepartmentCode]],DEPTS[DepartmentCode],DEPTS[AvailableToAllSchools],1,0,)=TRUE,0,IF(ISERROR(FIND(CONT_SUP[[#This Row],[SchoolCode]],_xlfn.TEXTJOIN(",",TRUE,_xlfn.UNIQUE(IF(DEPTS[DepartmentCode]=CONT_SUP[[#This Row],[DepartmentCode]],DEPTS[SchoolCodes],""))))),1,0))</f>
        <v>0</v>
      </c>
      <c r="M154" s="57">
        <f>IFERROR(IF(_xlfn.XLOOKUP(CONT_SUP[[#This Row],[SRG Gross]],FinanceCodesBudget[FinanceCode],FinanceCodesBudget[LedgerCode])=_xlfn.XLOOKUP(CONT_SUP[[#This Row],[DepartmentCode]],DEPTS[DepartmentCode],DEPTS[LedgerCode]),0,1),1)</f>
        <v>0</v>
      </c>
      <c r="N154" s="57" cm="1">
        <f t="array" ref="N154">IF(_xlfn.XLOOKUP(CONT_SUP[[#This Row],[PensionCode]],PENS[PensionCode],PENS[AvailableToAllSchools],1,0,)=TRUE,0,IF(ISERROR(FIND(CONT_SUP[[#This Row],[SchoolCode]],_xlfn.TEXTJOIN(",",TRUE,_xlfn.UNIQUE(IF(PENS[PensionCode]=CONT_SUP[[#This Row],[PensionCode]],PENS[SchoolCodes],""))))),1,0))</f>
        <v>0</v>
      </c>
      <c r="O154" s="57" cm="1">
        <f t="array" ref="O154">IF(_xlfn.XLOOKUP(CONT_SUP[[#This Row],[EquatedWeekPatternCode]],EQW[EquatedWeekPatternCode],EQW[AvailableToAllSchools],1,0,)=TRUE,0,IF(ISERROR(FIND(CONT_SUP[[#This Row],[SchoolCode]],_xlfn.TEXTJOIN(",",TRUE,_xlfn.UNIQUE(IF(EQW[EquatedWeekPatternCode]=CONT_SUP[[#This Row],[EquatedWeekPatternCode]],EQW[SchoolCodes],""))))),1,0))</f>
        <v>0</v>
      </c>
      <c r="P154" s="57">
        <f>1-COUNTIF(ContractTypes[Code],CONT_SUP[[#This Row],[ContractTypeCode]])</f>
        <v>0</v>
      </c>
      <c r="Q154" s="57">
        <f>IF(VLOOKUP(CONT_SUP[[#This Row],[StaffMemberCode]],MEMBERS[[StaffMemberCode]:[ServiceStartDate]],5,0)&gt;CONT_SUP[[#This Row],[DateFrom]],1,0)</f>
        <v>0</v>
      </c>
      <c r="R154" s="57">
        <f>IF(_xlfn.XLOOKUP(CONT_SUP[[#This Row],[StaffMemberCode]],MEMBERS[StaffMemberCode],MEMBERS[ServiceEndDate])="",0,IF(CONT_SUP[[#This Row],[DateTo]]="",1,IF(_xlfn.XLOOKUP(CONT_SUP[[#This Row],[StaffMemberCode]],MEMBERS[StaffMemberCode],MEMBERS[ServiceEndDate])&lt;CONT_SUP[[#This Row],[DateTo]],1,0)))</f>
        <v>0</v>
      </c>
      <c r="S154" s="57">
        <f>IF(ISBLANK(CONT_SUP[[#This Row],[DateTo]]),0,IF(CONT_SUP[[#This Row],[DateFrom]]=CONT_SUP[[#This Row],[DateTo]],0,IF(CONT_SUP[[#This Row],[DateFrom]]&lt;CONT_SUP[[#This Row],[DateTo]],0,1)))</f>
        <v>0</v>
      </c>
      <c r="T154" s="57" cm="1">
        <f t="array" aca="1" ref="T154" ca="1">IF(CELL("format",CONT_SUP[[#This Row],[DateFrom]])="D1",0,1)+IF(CELL("format",CONT_SUP[[#This Row],[DateTo]])="D1",0,1)</f>
        <v>0</v>
      </c>
      <c r="U154" s="57">
        <f>IF(OR(CONT_SUP[[#This Row],[MatEditOnly]]=TRUE,CONT_SUP[[#This Row],[MatEditOnly]]=FALSE),IF(OR(CONT_SUP[[#This Row],[NoIncrement]]=TRUE,CONT_SUP[[#This Row],[NoIncrement]]=FALSE),0,1),1)</f>
        <v>0</v>
      </c>
      <c r="V154" s="57">
        <f>IF(ISBLANK(CONT_SUP[[#This Row],[FundCode]])=TRUE,0,IF(COUNTIF(FUNDS[FundCode],CONT_SUP[[#This Row],[FundCode]])=1,0,1))</f>
        <v>0</v>
      </c>
      <c r="W154" s="57">
        <f>IF(LEN(CONT_SUP[[#This Row],[Notes]])&lt;4000,0,1)</f>
        <v>0</v>
      </c>
      <c r="X154" s="57">
        <f>IF(SUBSTITUTE(TEXT(CONT_SUP[[#This Row],[Reference]],10)," ","")=TEXT(CONT_SUP[[#This Row],[Reference]],10),0,1)</f>
        <v>0</v>
      </c>
      <c r="Y154" s="57">
        <f ca="1">SUM(CONT_SUP[[#This Row],[Duplicate Contract]:[Space in Code]])</f>
        <v>0</v>
      </c>
      <c r="AA154" s="12" t="s">
        <v>2200</v>
      </c>
      <c r="AB154" s="12">
        <v>91075755</v>
      </c>
      <c r="AC154" s="12" t="s">
        <v>4750</v>
      </c>
      <c r="AD154" s="57" t="str">
        <f>_xlfn.XLOOKUP(CONT_SUP[[#This Row],[StaffMemberCode]],StaffMembers!O:O,StaffMembers!R:R)</f>
        <v>Stephanie Davidson</v>
      </c>
      <c r="AE154" s="12" t="s">
        <v>4314</v>
      </c>
      <c r="AF154" s="57">
        <f>_xlfn.XLOOKUP(CONT_SUP[[#This Row],[SRG]],SRG[StaffRoleGroupCode],SRG[GrossSalaryFinanceCode])</f>
        <v>647100</v>
      </c>
      <c r="AG154" s="57" t="str">
        <f>_xlfn.XLOOKUP(CONT_SUP[[#This Row],[StaffRoleCode]],ROLES[StaffRoleCode],ROLES[StaffRoleGroupCode])</f>
        <v>OTH</v>
      </c>
      <c r="AH154" s="57" t="str">
        <f>_xlfn.XLOOKUP(CONT_SUP[[#This Row],[StaffRoleCode]],ROLES[StaffRoleCode],ROLES[PayScaleCode])</f>
        <v>NJC_CHE</v>
      </c>
      <c r="AI154" s="12" t="s">
        <v>3124</v>
      </c>
      <c r="AJ154" s="12">
        <v>17</v>
      </c>
      <c r="AK154" s="12" t="s">
        <v>2490</v>
      </c>
      <c r="AM154" s="68" t="s">
        <v>3132</v>
      </c>
      <c r="AN154" s="12" t="s">
        <v>1702</v>
      </c>
      <c r="AO154" s="21">
        <v>45901</v>
      </c>
      <c r="AQ154" s="12">
        <v>25</v>
      </c>
      <c r="AR154" t="b">
        <v>0</v>
      </c>
      <c r="AS154" t="b">
        <v>0</v>
      </c>
      <c r="AT154" s="12" t="s">
        <v>1574</v>
      </c>
    </row>
    <row r="155" spans="1:46" x14ac:dyDescent="0.3">
      <c r="A155" s="57" t="str">
        <f t="shared" si="5"/>
        <v>HIG9107388691073886BOOSC_PWSOSC45901</v>
      </c>
      <c r="B155" s="57">
        <f>COUNTIF(CONT_SUP[Unique Contract],CONT_SUP[[#This Row],[Unique Contract]])-1</f>
        <v>0</v>
      </c>
      <c r="C155" s="57">
        <f>IFERROR(IF(FIND(CONT_SUP[[#This Row],[SchoolCode]],_xlfn.XLOOKUP(CONT_SUP[[#This Row],[StaffMemberCode]],MEMBERS[StaffMemberCode],MEMBERS[SchoolCodes]))&gt;0,0,1),1)</f>
        <v>0</v>
      </c>
      <c r="D155" s="57" cm="1">
        <f t="array" ref="D155">IF(_xlfn.XLOOKUP(CONT_SUP[[#This Row],[StaffRoleCode]],ROLES[StaffRoleCode],ROLES[AvailableToAllSchools],1,0,)=TRUE,0,IF(ISERROR(FIND(CONT_SUP[[#This Row],[SchoolCode]],_xlfn.TEXTJOIN(",",TRUE,_xlfn.UNIQUE(IF(ROLES[StaffRoleCode]=CONT_SUP[[#This Row],[StaffRoleCode]],ROLES[SchoolCodes],""))))),1,0))</f>
        <v>0</v>
      </c>
      <c r="E155" s="57" cm="1">
        <f t="array" ref="E15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55" s="57" cm="1">
        <f t="array" ref="F155">IF(_xlfn.XLOOKUP(CONT_SUP[[#This Row],[PayScaleCode]],PAYSCALES[PayScaleCode],PAYSCALES[AvailableToAllSchools],1,0,)=TRUE,0,IF(ISERROR(FIND(CONT_SUP[[#This Row],[SchoolCode]],_xlfn.TEXTJOIN(",",TRUE,_xlfn.UNIQUE(IF(PAYSCALES[PayScaleCode]=CONT_SUP[[#This Row],[PayScaleCode]],PAYSCALES[SchoolCodes],""))))),1,0))</f>
        <v>0</v>
      </c>
      <c r="G155" s="57">
        <f>IF(_xlfn.XLOOKUP(CONT_SUP[[#This Row],[PayScaleGradeCode]],GRADES[PayScaleGradeCode],GRADES[AvailableToAllSchools])=TRUE,0,IFERROR(IF(FIND(CONT_SUP[[#This Row],[SchoolCode]],_xlfn.XLOOKUP(CONT_SUP[[#This Row],[PayScaleGradeCode]],GRADES[PayScaleGradeCode],GRADES[SchoolCodes]))&gt;=1,0,1),1))</f>
        <v>0</v>
      </c>
      <c r="H155" s="57">
        <f>IF(ISERROR(IF((_xlfn.XLOOKUP(CONT_SUP[[#This Row],[PayScaleGradeCode]],GRADES[PayScaleGradeCode],GRADES[PayScaleCode])=CONT_SUP[[#This Row],[PayScaleCode]]),0,1)),1,0)</f>
        <v>0</v>
      </c>
      <c r="I155" s="57" cm="1">
        <f t="array" ref="I155">IF(ISERROR(FIND(CONT_SUP[[#This Row],[PayScalePointCode]],_xlfn.TEXTJOIN(",",TRUE,IF(PSPOINTS[PayScaleCode]=CONT_SUP[[#This Row],[PayScaleCode]],PSPOINTS[PayScalePointCode])))),1,0)</f>
        <v>0</v>
      </c>
      <c r="J155" s="57" cm="1">
        <f t="array" ref="J15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55" s="57">
        <f>IF(_xlfn.XLOOKUP(CONT_SUP[[#This Row],[PayScalePointCode]],PSPOINTS[PayScalePointCode],PSPOINTS[PayScalePointEnabled])=TRUE,0,1)</f>
        <v>0</v>
      </c>
      <c r="L155" s="57" cm="1">
        <f t="array" ref="L155">IF(_xlfn.XLOOKUP(CONT_SUP[[#This Row],[DepartmentCode]],DEPTS[DepartmentCode],DEPTS[AvailableToAllSchools],1,0,)=TRUE,0,IF(ISERROR(FIND(CONT_SUP[[#This Row],[SchoolCode]],_xlfn.TEXTJOIN(",",TRUE,_xlfn.UNIQUE(IF(DEPTS[DepartmentCode]=CONT_SUP[[#This Row],[DepartmentCode]],DEPTS[SchoolCodes],""))))),1,0))</f>
        <v>0</v>
      </c>
      <c r="M155" s="57">
        <f>IFERROR(IF(_xlfn.XLOOKUP(CONT_SUP[[#This Row],[SRG Gross]],FinanceCodesBudget[FinanceCode],FinanceCodesBudget[LedgerCode])=_xlfn.XLOOKUP(CONT_SUP[[#This Row],[DepartmentCode]],DEPTS[DepartmentCode],DEPTS[LedgerCode]),0,1),1)</f>
        <v>0</v>
      </c>
      <c r="N155" s="57" cm="1">
        <f t="array" ref="N155">IF(_xlfn.XLOOKUP(CONT_SUP[[#This Row],[PensionCode]],PENS[PensionCode],PENS[AvailableToAllSchools],1,0,)=TRUE,0,IF(ISERROR(FIND(CONT_SUP[[#This Row],[SchoolCode]],_xlfn.TEXTJOIN(",",TRUE,_xlfn.UNIQUE(IF(PENS[PensionCode]=CONT_SUP[[#This Row],[PensionCode]],PENS[SchoolCodes],""))))),1,0))</f>
        <v>0</v>
      </c>
      <c r="O155" s="57" cm="1">
        <f t="array" ref="O155">IF(_xlfn.XLOOKUP(CONT_SUP[[#This Row],[EquatedWeekPatternCode]],EQW[EquatedWeekPatternCode],EQW[AvailableToAllSchools],1,0,)=TRUE,0,IF(ISERROR(FIND(CONT_SUP[[#This Row],[SchoolCode]],_xlfn.TEXTJOIN(",",TRUE,_xlfn.UNIQUE(IF(EQW[EquatedWeekPatternCode]=CONT_SUP[[#This Row],[EquatedWeekPatternCode]],EQW[SchoolCodes],""))))),1,0))</f>
        <v>0</v>
      </c>
      <c r="P155" s="57">
        <f>1-COUNTIF(ContractTypes[Code],CONT_SUP[[#This Row],[ContractTypeCode]])</f>
        <v>0</v>
      </c>
      <c r="Q155" s="57">
        <f>IF(VLOOKUP(CONT_SUP[[#This Row],[StaffMemberCode]],MEMBERS[[StaffMemberCode]:[ServiceStartDate]],5,0)&gt;CONT_SUP[[#This Row],[DateFrom]],1,0)</f>
        <v>0</v>
      </c>
      <c r="R155" s="57">
        <f>IF(_xlfn.XLOOKUP(CONT_SUP[[#This Row],[StaffMemberCode]],MEMBERS[StaffMemberCode],MEMBERS[ServiceEndDate])="",0,IF(CONT_SUP[[#This Row],[DateTo]]="",1,IF(_xlfn.XLOOKUP(CONT_SUP[[#This Row],[StaffMemberCode]],MEMBERS[StaffMemberCode],MEMBERS[ServiceEndDate])&lt;CONT_SUP[[#This Row],[DateTo]],1,0)))</f>
        <v>0</v>
      </c>
      <c r="S155" s="57">
        <f>IF(ISBLANK(CONT_SUP[[#This Row],[DateTo]]),0,IF(CONT_SUP[[#This Row],[DateFrom]]=CONT_SUP[[#This Row],[DateTo]],0,IF(CONT_SUP[[#This Row],[DateFrom]]&lt;CONT_SUP[[#This Row],[DateTo]],0,1)))</f>
        <v>0</v>
      </c>
      <c r="T155" s="57" cm="1">
        <f t="array" aca="1" ref="T155" ca="1">IF(CELL("format",CONT_SUP[[#This Row],[DateFrom]])="D1",0,1)+IF(CELL("format",CONT_SUP[[#This Row],[DateTo]])="D1",0,1)</f>
        <v>0</v>
      </c>
      <c r="U155" s="57">
        <f>IF(OR(CONT_SUP[[#This Row],[MatEditOnly]]=TRUE,CONT_SUP[[#This Row],[MatEditOnly]]=FALSE),IF(OR(CONT_SUP[[#This Row],[NoIncrement]]=TRUE,CONT_SUP[[#This Row],[NoIncrement]]=FALSE),0,1),1)</f>
        <v>0</v>
      </c>
      <c r="V155" s="57">
        <f>IF(ISBLANK(CONT_SUP[[#This Row],[FundCode]])=TRUE,0,IF(COUNTIF(FUNDS[FundCode],CONT_SUP[[#This Row],[FundCode]])=1,0,1))</f>
        <v>0</v>
      </c>
      <c r="W155" s="57">
        <f>IF(LEN(CONT_SUP[[#This Row],[Notes]])&lt;4000,0,1)</f>
        <v>0</v>
      </c>
      <c r="X155" s="57">
        <f>IF(SUBSTITUTE(TEXT(CONT_SUP[[#This Row],[Reference]],10)," ","")=TEXT(CONT_SUP[[#This Row],[Reference]],10),0,1)</f>
        <v>0</v>
      </c>
      <c r="Y155" s="57">
        <f ca="1">SUM(CONT_SUP[[#This Row],[Duplicate Contract]:[Space in Code]])</f>
        <v>0</v>
      </c>
      <c r="AA155" s="12" t="s">
        <v>2266</v>
      </c>
      <c r="AB155" s="12">
        <v>91073886</v>
      </c>
      <c r="AC155" s="12" t="s">
        <v>4751</v>
      </c>
      <c r="AD155" s="57" t="str">
        <f>_xlfn.XLOOKUP(CONT_SUP[[#This Row],[StaffMemberCode]],StaffMembers!O:O,StaffMembers!R:R)</f>
        <v>Asma Shah</v>
      </c>
      <c r="AE155" s="12" t="s">
        <v>4316</v>
      </c>
      <c r="AF155" s="57">
        <f>_xlfn.XLOOKUP(CONT_SUP[[#This Row],[SRG]],SRG[StaffRoleGroupCode],SRG[GrossSalaryFinanceCode])</f>
        <v>647100</v>
      </c>
      <c r="AG155" s="57" t="str">
        <f>_xlfn.XLOOKUP(CONT_SUP[[#This Row],[StaffRoleCode]],ROLES[StaffRoleCode],ROLES[StaffRoleGroupCode])</f>
        <v>OTH</v>
      </c>
      <c r="AH155" s="57" t="str">
        <f>_xlfn.XLOOKUP(CONT_SUP[[#This Row],[StaffRoleCode]],ROLES[StaffRoleCode],ROLES[PayScaleCode])</f>
        <v>NJC_CHE</v>
      </c>
      <c r="AI155" s="12" t="s">
        <v>3120</v>
      </c>
      <c r="AJ155" s="12">
        <v>2</v>
      </c>
      <c r="AK155" s="12" t="s">
        <v>2490</v>
      </c>
      <c r="AM155" s="68" t="s">
        <v>3132</v>
      </c>
      <c r="AN155" s="12" t="s">
        <v>3134</v>
      </c>
      <c r="AO155" s="21">
        <v>45901</v>
      </c>
      <c r="AQ155" s="12">
        <v>7.5</v>
      </c>
      <c r="AR155" t="b">
        <v>0</v>
      </c>
      <c r="AS155" t="b">
        <v>0</v>
      </c>
      <c r="AT155" s="12" t="s">
        <v>1574</v>
      </c>
    </row>
    <row r="156" spans="1:46" x14ac:dyDescent="0.3">
      <c r="A156" s="57" t="str">
        <f t="shared" si="5"/>
        <v>SBL9107577291075772COOSC_PWSOSC45901</v>
      </c>
      <c r="B156" s="57">
        <f>COUNTIF(CONT_SUP[Unique Contract],CONT_SUP[[#This Row],[Unique Contract]])-1</f>
        <v>0</v>
      </c>
      <c r="C156" s="57">
        <f>IFERROR(IF(FIND(CONT_SUP[[#This Row],[SchoolCode]],_xlfn.XLOOKUP(CONT_SUP[[#This Row],[StaffMemberCode]],MEMBERS[StaffMemberCode],MEMBERS[SchoolCodes]))&gt;0,0,1),1)</f>
        <v>0</v>
      </c>
      <c r="D156" s="57" cm="1">
        <f t="array" ref="D156">IF(_xlfn.XLOOKUP(CONT_SUP[[#This Row],[StaffRoleCode]],ROLES[StaffRoleCode],ROLES[AvailableToAllSchools],1,0,)=TRUE,0,IF(ISERROR(FIND(CONT_SUP[[#This Row],[SchoolCode]],_xlfn.TEXTJOIN(",",TRUE,_xlfn.UNIQUE(IF(ROLES[StaffRoleCode]=CONT_SUP[[#This Row],[StaffRoleCode]],ROLES[SchoolCodes],""))))),1,0))</f>
        <v>0</v>
      </c>
      <c r="E156" s="57" cm="1">
        <f t="array" ref="E15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56" s="57" cm="1">
        <f t="array" ref="F156">IF(_xlfn.XLOOKUP(CONT_SUP[[#This Row],[PayScaleCode]],PAYSCALES[PayScaleCode],PAYSCALES[AvailableToAllSchools],1,0,)=TRUE,0,IF(ISERROR(FIND(CONT_SUP[[#This Row],[SchoolCode]],_xlfn.TEXTJOIN(",",TRUE,_xlfn.UNIQUE(IF(PAYSCALES[PayScaleCode]=CONT_SUP[[#This Row],[PayScaleCode]],PAYSCALES[SchoolCodes],""))))),1,0))</f>
        <v>0</v>
      </c>
      <c r="G156" s="57">
        <f>IF(_xlfn.XLOOKUP(CONT_SUP[[#This Row],[PayScaleGradeCode]],GRADES[PayScaleGradeCode],GRADES[AvailableToAllSchools])=TRUE,0,IFERROR(IF(FIND(CONT_SUP[[#This Row],[SchoolCode]],_xlfn.XLOOKUP(CONT_SUP[[#This Row],[PayScaleGradeCode]],GRADES[PayScaleGradeCode],GRADES[SchoolCodes]))&gt;=1,0,1),1))</f>
        <v>0</v>
      </c>
      <c r="H156" s="57">
        <f>IF(ISERROR(IF((_xlfn.XLOOKUP(CONT_SUP[[#This Row],[PayScaleGradeCode]],GRADES[PayScaleGradeCode],GRADES[PayScaleCode])=CONT_SUP[[#This Row],[PayScaleCode]]),0,1)),1,0)</f>
        <v>0</v>
      </c>
      <c r="I156" s="57" cm="1">
        <f t="array" ref="I156">IF(ISERROR(FIND(CONT_SUP[[#This Row],[PayScalePointCode]],_xlfn.TEXTJOIN(",",TRUE,IF(PSPOINTS[PayScaleCode]=CONT_SUP[[#This Row],[PayScaleCode]],PSPOINTS[PayScalePointCode])))),1,0)</f>
        <v>0</v>
      </c>
      <c r="J156" s="57" cm="1">
        <f t="array" ref="J15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56" s="57">
        <f>IF(_xlfn.XLOOKUP(CONT_SUP[[#This Row],[PayScalePointCode]],PSPOINTS[PayScalePointCode],PSPOINTS[PayScalePointEnabled])=TRUE,0,1)</f>
        <v>0</v>
      </c>
      <c r="L156" s="57" cm="1">
        <f t="array" ref="L156">IF(_xlfn.XLOOKUP(CONT_SUP[[#This Row],[DepartmentCode]],DEPTS[DepartmentCode],DEPTS[AvailableToAllSchools],1,0,)=TRUE,0,IF(ISERROR(FIND(CONT_SUP[[#This Row],[SchoolCode]],_xlfn.TEXTJOIN(",",TRUE,_xlfn.UNIQUE(IF(DEPTS[DepartmentCode]=CONT_SUP[[#This Row],[DepartmentCode]],DEPTS[SchoolCodes],""))))),1,0))</f>
        <v>0</v>
      </c>
      <c r="M156" s="57">
        <f>IFERROR(IF(_xlfn.XLOOKUP(CONT_SUP[[#This Row],[SRG Gross]],FinanceCodesBudget[FinanceCode],FinanceCodesBudget[LedgerCode])=_xlfn.XLOOKUP(CONT_SUP[[#This Row],[DepartmentCode]],DEPTS[DepartmentCode],DEPTS[LedgerCode]),0,1),1)</f>
        <v>0</v>
      </c>
      <c r="N156" s="57" cm="1">
        <f t="array" ref="N156">IF(_xlfn.XLOOKUP(CONT_SUP[[#This Row],[PensionCode]],PENS[PensionCode],PENS[AvailableToAllSchools],1,0,)=TRUE,0,IF(ISERROR(FIND(CONT_SUP[[#This Row],[SchoolCode]],_xlfn.TEXTJOIN(",",TRUE,_xlfn.UNIQUE(IF(PENS[PensionCode]=CONT_SUP[[#This Row],[PensionCode]],PENS[SchoolCodes],""))))),1,0))</f>
        <v>0</v>
      </c>
      <c r="O156" s="57" cm="1">
        <f t="array" ref="O156">IF(_xlfn.XLOOKUP(CONT_SUP[[#This Row],[EquatedWeekPatternCode]],EQW[EquatedWeekPatternCode],EQW[AvailableToAllSchools],1,0,)=TRUE,0,IF(ISERROR(FIND(CONT_SUP[[#This Row],[SchoolCode]],_xlfn.TEXTJOIN(",",TRUE,_xlfn.UNIQUE(IF(EQW[EquatedWeekPatternCode]=CONT_SUP[[#This Row],[EquatedWeekPatternCode]],EQW[SchoolCodes],""))))),1,0))</f>
        <v>0</v>
      </c>
      <c r="P156" s="57">
        <f>1-COUNTIF(ContractTypes[Code],CONT_SUP[[#This Row],[ContractTypeCode]])</f>
        <v>0</v>
      </c>
      <c r="Q156" s="57">
        <f>IF(VLOOKUP(CONT_SUP[[#This Row],[StaffMemberCode]],MEMBERS[[StaffMemberCode]:[ServiceStartDate]],5,0)&gt;CONT_SUP[[#This Row],[DateFrom]],1,0)</f>
        <v>0</v>
      </c>
      <c r="R156" s="57">
        <f>IF(_xlfn.XLOOKUP(CONT_SUP[[#This Row],[StaffMemberCode]],MEMBERS[StaffMemberCode],MEMBERS[ServiceEndDate])="",0,IF(CONT_SUP[[#This Row],[DateTo]]="",1,IF(_xlfn.XLOOKUP(CONT_SUP[[#This Row],[StaffMemberCode]],MEMBERS[StaffMemberCode],MEMBERS[ServiceEndDate])&lt;CONT_SUP[[#This Row],[DateTo]],1,0)))</f>
        <v>0</v>
      </c>
      <c r="S156" s="57">
        <f>IF(ISBLANK(CONT_SUP[[#This Row],[DateTo]]),0,IF(CONT_SUP[[#This Row],[DateFrom]]=CONT_SUP[[#This Row],[DateTo]],0,IF(CONT_SUP[[#This Row],[DateFrom]]&lt;CONT_SUP[[#This Row],[DateTo]],0,1)))</f>
        <v>0</v>
      </c>
      <c r="T156" s="57" cm="1">
        <f t="array" aca="1" ref="T156" ca="1">IF(CELL("format",CONT_SUP[[#This Row],[DateFrom]])="D1",0,1)+IF(CELL("format",CONT_SUP[[#This Row],[DateTo]])="D1",0,1)</f>
        <v>0</v>
      </c>
      <c r="U156" s="57">
        <f>IF(OR(CONT_SUP[[#This Row],[MatEditOnly]]=TRUE,CONT_SUP[[#This Row],[MatEditOnly]]=FALSE),IF(OR(CONT_SUP[[#This Row],[NoIncrement]]=TRUE,CONT_SUP[[#This Row],[NoIncrement]]=FALSE),0,1),1)</f>
        <v>0</v>
      </c>
      <c r="V156" s="57">
        <f>IF(ISBLANK(CONT_SUP[[#This Row],[FundCode]])=TRUE,0,IF(COUNTIF(FUNDS[FundCode],CONT_SUP[[#This Row],[FundCode]])=1,0,1))</f>
        <v>0</v>
      </c>
      <c r="W156" s="57">
        <f>IF(LEN(CONT_SUP[[#This Row],[Notes]])&lt;4000,0,1)</f>
        <v>0</v>
      </c>
      <c r="X156" s="57">
        <f>IF(SUBSTITUTE(TEXT(CONT_SUP[[#This Row],[Reference]],10)," ","")=TEXT(CONT_SUP[[#This Row],[Reference]],10),0,1)</f>
        <v>0</v>
      </c>
      <c r="Y156" s="57">
        <f ca="1">SUM(CONT_SUP[[#This Row],[Duplicate Contract]:[Space in Code]])</f>
        <v>0</v>
      </c>
      <c r="AA156" s="12" t="s">
        <v>2200</v>
      </c>
      <c r="AB156" s="12">
        <v>91075772</v>
      </c>
      <c r="AC156" s="12" t="s">
        <v>4752</v>
      </c>
      <c r="AD156" s="57" t="str">
        <f>_xlfn.XLOOKUP(CONT_SUP[[#This Row],[StaffMemberCode]],StaffMembers!O:O,StaffMembers!R:R)</f>
        <v>Chloe Fitton</v>
      </c>
      <c r="AE156" s="12" t="s">
        <v>4316</v>
      </c>
      <c r="AF156" s="57">
        <f>_xlfn.XLOOKUP(CONT_SUP[[#This Row],[SRG]],SRG[StaffRoleGroupCode],SRG[GrossSalaryFinanceCode])</f>
        <v>647100</v>
      </c>
      <c r="AG156" s="57" t="str">
        <f>_xlfn.XLOOKUP(CONT_SUP[[#This Row],[StaffRoleCode]],ROLES[StaffRoleCode],ROLES[StaffRoleGroupCode])</f>
        <v>OTH</v>
      </c>
      <c r="AH156" s="57" t="str">
        <f>_xlfn.XLOOKUP(CONT_SUP[[#This Row],[StaffRoleCode]],ROLES[StaffRoleCode],ROLES[PayScaleCode])</f>
        <v>NJC_CHE</v>
      </c>
      <c r="AI156" s="12" t="s">
        <v>3120</v>
      </c>
      <c r="AJ156" s="12">
        <v>2</v>
      </c>
      <c r="AK156" s="12" t="s">
        <v>2490</v>
      </c>
      <c r="AM156" s="68" t="s">
        <v>3132</v>
      </c>
      <c r="AN156" s="12" t="s">
        <v>3134</v>
      </c>
      <c r="AO156" s="21">
        <v>45901</v>
      </c>
      <c r="AQ156" s="12">
        <v>3.75</v>
      </c>
      <c r="AR156" t="b">
        <v>0</v>
      </c>
      <c r="AS156" t="b">
        <v>0</v>
      </c>
      <c r="AT156" s="12" t="s">
        <v>1574</v>
      </c>
    </row>
    <row r="157" spans="1:46" x14ac:dyDescent="0.3">
      <c r="A157" s="57" t="str">
        <f t="shared" si="5"/>
        <v>SBL9107576491075764BOOSC_PWSOSC45901</v>
      </c>
      <c r="B157" s="57">
        <f>COUNTIF(CONT_SUP[Unique Contract],CONT_SUP[[#This Row],[Unique Contract]])-1</f>
        <v>0</v>
      </c>
      <c r="C157" s="57">
        <f>IFERROR(IF(FIND(CONT_SUP[[#This Row],[SchoolCode]],_xlfn.XLOOKUP(CONT_SUP[[#This Row],[StaffMemberCode]],MEMBERS[StaffMemberCode],MEMBERS[SchoolCodes]))&gt;0,0,1),1)</f>
        <v>0</v>
      </c>
      <c r="D157" s="57" cm="1">
        <f t="array" ref="D157">IF(_xlfn.XLOOKUP(CONT_SUP[[#This Row],[StaffRoleCode]],ROLES[StaffRoleCode],ROLES[AvailableToAllSchools],1,0,)=TRUE,0,IF(ISERROR(FIND(CONT_SUP[[#This Row],[SchoolCode]],_xlfn.TEXTJOIN(",",TRUE,_xlfn.UNIQUE(IF(ROLES[StaffRoleCode]=CONT_SUP[[#This Row],[StaffRoleCode]],ROLES[SchoolCodes],""))))),1,0))</f>
        <v>0</v>
      </c>
      <c r="E157" s="57" cm="1">
        <f t="array" ref="E15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57" s="57" cm="1">
        <f t="array" ref="F157">IF(_xlfn.XLOOKUP(CONT_SUP[[#This Row],[PayScaleCode]],PAYSCALES[PayScaleCode],PAYSCALES[AvailableToAllSchools],1,0,)=TRUE,0,IF(ISERROR(FIND(CONT_SUP[[#This Row],[SchoolCode]],_xlfn.TEXTJOIN(",",TRUE,_xlfn.UNIQUE(IF(PAYSCALES[PayScaleCode]=CONT_SUP[[#This Row],[PayScaleCode]],PAYSCALES[SchoolCodes],""))))),1,0))</f>
        <v>0</v>
      </c>
      <c r="G157" s="57">
        <f>IF(_xlfn.XLOOKUP(CONT_SUP[[#This Row],[PayScaleGradeCode]],GRADES[PayScaleGradeCode],GRADES[AvailableToAllSchools])=TRUE,0,IFERROR(IF(FIND(CONT_SUP[[#This Row],[SchoolCode]],_xlfn.XLOOKUP(CONT_SUP[[#This Row],[PayScaleGradeCode]],GRADES[PayScaleGradeCode],GRADES[SchoolCodes]))&gt;=1,0,1),1))</f>
        <v>0</v>
      </c>
      <c r="H157" s="57">
        <f>IF(ISERROR(IF((_xlfn.XLOOKUP(CONT_SUP[[#This Row],[PayScaleGradeCode]],GRADES[PayScaleGradeCode],GRADES[PayScaleCode])=CONT_SUP[[#This Row],[PayScaleCode]]),0,1)),1,0)</f>
        <v>0</v>
      </c>
      <c r="I157" s="57" cm="1">
        <f t="array" ref="I157">IF(ISERROR(FIND(CONT_SUP[[#This Row],[PayScalePointCode]],_xlfn.TEXTJOIN(",",TRUE,IF(PSPOINTS[PayScaleCode]=CONT_SUP[[#This Row],[PayScaleCode]],PSPOINTS[PayScalePointCode])))),1,0)</f>
        <v>0</v>
      </c>
      <c r="J157" s="57" cm="1">
        <f t="array" ref="J15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57" s="57">
        <f>IF(_xlfn.XLOOKUP(CONT_SUP[[#This Row],[PayScalePointCode]],PSPOINTS[PayScalePointCode],PSPOINTS[PayScalePointEnabled])=TRUE,0,1)</f>
        <v>0</v>
      </c>
      <c r="L157" s="57" cm="1">
        <f t="array" ref="L157">IF(_xlfn.XLOOKUP(CONT_SUP[[#This Row],[DepartmentCode]],DEPTS[DepartmentCode],DEPTS[AvailableToAllSchools],1,0,)=TRUE,0,IF(ISERROR(FIND(CONT_SUP[[#This Row],[SchoolCode]],_xlfn.TEXTJOIN(",",TRUE,_xlfn.UNIQUE(IF(DEPTS[DepartmentCode]=CONT_SUP[[#This Row],[DepartmentCode]],DEPTS[SchoolCodes],""))))),1,0))</f>
        <v>0</v>
      </c>
      <c r="M157" s="57">
        <f>IFERROR(IF(_xlfn.XLOOKUP(CONT_SUP[[#This Row],[SRG Gross]],FinanceCodesBudget[FinanceCode],FinanceCodesBudget[LedgerCode])=_xlfn.XLOOKUP(CONT_SUP[[#This Row],[DepartmentCode]],DEPTS[DepartmentCode],DEPTS[LedgerCode]),0,1),1)</f>
        <v>0</v>
      </c>
      <c r="N157" s="57" cm="1">
        <f t="array" ref="N157">IF(_xlfn.XLOOKUP(CONT_SUP[[#This Row],[PensionCode]],PENS[PensionCode],PENS[AvailableToAllSchools],1,0,)=TRUE,0,IF(ISERROR(FIND(CONT_SUP[[#This Row],[SchoolCode]],_xlfn.TEXTJOIN(",",TRUE,_xlfn.UNIQUE(IF(PENS[PensionCode]=CONT_SUP[[#This Row],[PensionCode]],PENS[SchoolCodes],""))))),1,0))</f>
        <v>0</v>
      </c>
      <c r="O157" s="57" cm="1">
        <f t="array" ref="O157">IF(_xlfn.XLOOKUP(CONT_SUP[[#This Row],[EquatedWeekPatternCode]],EQW[EquatedWeekPatternCode],EQW[AvailableToAllSchools],1,0,)=TRUE,0,IF(ISERROR(FIND(CONT_SUP[[#This Row],[SchoolCode]],_xlfn.TEXTJOIN(",",TRUE,_xlfn.UNIQUE(IF(EQW[EquatedWeekPatternCode]=CONT_SUP[[#This Row],[EquatedWeekPatternCode]],EQW[SchoolCodes],""))))),1,0))</f>
        <v>0</v>
      </c>
      <c r="P157" s="57">
        <f>1-COUNTIF(ContractTypes[Code],CONT_SUP[[#This Row],[ContractTypeCode]])</f>
        <v>0</v>
      </c>
      <c r="Q157" s="57">
        <f>IF(VLOOKUP(CONT_SUP[[#This Row],[StaffMemberCode]],MEMBERS[[StaffMemberCode]:[ServiceStartDate]],5,0)&gt;CONT_SUP[[#This Row],[DateFrom]],1,0)</f>
        <v>0</v>
      </c>
      <c r="R157" s="57">
        <f>IF(_xlfn.XLOOKUP(CONT_SUP[[#This Row],[StaffMemberCode]],MEMBERS[StaffMemberCode],MEMBERS[ServiceEndDate])="",0,IF(CONT_SUP[[#This Row],[DateTo]]="",1,IF(_xlfn.XLOOKUP(CONT_SUP[[#This Row],[StaffMemberCode]],MEMBERS[StaffMemberCode],MEMBERS[ServiceEndDate])&lt;CONT_SUP[[#This Row],[DateTo]],1,0)))</f>
        <v>0</v>
      </c>
      <c r="S157" s="57">
        <f>IF(ISBLANK(CONT_SUP[[#This Row],[DateTo]]),0,IF(CONT_SUP[[#This Row],[DateFrom]]=CONT_SUP[[#This Row],[DateTo]],0,IF(CONT_SUP[[#This Row],[DateFrom]]&lt;CONT_SUP[[#This Row],[DateTo]],0,1)))</f>
        <v>0</v>
      </c>
      <c r="T157" s="57" cm="1">
        <f t="array" aca="1" ref="T157" ca="1">IF(CELL("format",CONT_SUP[[#This Row],[DateFrom]])="D1",0,1)+IF(CELL("format",CONT_SUP[[#This Row],[DateTo]])="D1",0,1)</f>
        <v>0</v>
      </c>
      <c r="U157" s="57">
        <f>IF(OR(CONT_SUP[[#This Row],[MatEditOnly]]=TRUE,CONT_SUP[[#This Row],[MatEditOnly]]=FALSE),IF(OR(CONT_SUP[[#This Row],[NoIncrement]]=TRUE,CONT_SUP[[#This Row],[NoIncrement]]=FALSE),0,1),1)</f>
        <v>0</v>
      </c>
      <c r="V157" s="57">
        <f>IF(ISBLANK(CONT_SUP[[#This Row],[FundCode]])=TRUE,0,IF(COUNTIF(FUNDS[FundCode],CONT_SUP[[#This Row],[FundCode]])=1,0,1))</f>
        <v>0</v>
      </c>
      <c r="W157" s="57">
        <f>IF(LEN(CONT_SUP[[#This Row],[Notes]])&lt;4000,0,1)</f>
        <v>0</v>
      </c>
      <c r="X157" s="57">
        <f>IF(SUBSTITUTE(TEXT(CONT_SUP[[#This Row],[Reference]],10)," ","")=TEXT(CONT_SUP[[#This Row],[Reference]],10),0,1)</f>
        <v>0</v>
      </c>
      <c r="Y157" s="57">
        <f ca="1">SUM(CONT_SUP[[#This Row],[Duplicate Contract]:[Space in Code]])</f>
        <v>0</v>
      </c>
      <c r="AA157" s="12" t="s">
        <v>2200</v>
      </c>
      <c r="AB157" s="12">
        <v>91075764</v>
      </c>
      <c r="AC157" s="12" t="s">
        <v>4753</v>
      </c>
      <c r="AD157" s="57" t="str">
        <f>_xlfn.XLOOKUP(CONT_SUP[[#This Row],[StaffMemberCode]],StaffMembers!O:O,StaffMembers!R:R)</f>
        <v>Emma Martin</v>
      </c>
      <c r="AE157" s="12" t="s">
        <v>4316</v>
      </c>
      <c r="AF157" s="57">
        <f>_xlfn.XLOOKUP(CONT_SUP[[#This Row],[SRG]],SRG[StaffRoleGroupCode],SRG[GrossSalaryFinanceCode])</f>
        <v>647100</v>
      </c>
      <c r="AG157" s="57" t="str">
        <f>_xlfn.XLOOKUP(CONT_SUP[[#This Row],[StaffRoleCode]],ROLES[StaffRoleCode],ROLES[StaffRoleGroupCode])</f>
        <v>OTH</v>
      </c>
      <c r="AH157" s="57" t="str">
        <f>_xlfn.XLOOKUP(CONT_SUP[[#This Row],[StaffRoleCode]],ROLES[StaffRoleCode],ROLES[PayScaleCode])</f>
        <v>NJC_CHE</v>
      </c>
      <c r="AI157" s="12" t="s">
        <v>3120</v>
      </c>
      <c r="AJ157" s="12">
        <v>2</v>
      </c>
      <c r="AK157" s="12" t="s">
        <v>2490</v>
      </c>
      <c r="AM157" s="68" t="s">
        <v>3132</v>
      </c>
      <c r="AN157" s="12" t="s">
        <v>3134</v>
      </c>
      <c r="AO157" s="21">
        <v>45901</v>
      </c>
      <c r="AQ157" s="12">
        <v>10</v>
      </c>
      <c r="AR157" t="b">
        <v>0</v>
      </c>
      <c r="AS157" t="b">
        <v>0</v>
      </c>
      <c r="AT157" s="12" t="s">
        <v>1574</v>
      </c>
    </row>
    <row r="158" spans="1:46" x14ac:dyDescent="0.3">
      <c r="A158" s="57" t="str">
        <f t="shared" si="5"/>
        <v>WVP9107340491073404BOOSC_PWSOSC45901</v>
      </c>
      <c r="B158" s="57">
        <f>COUNTIF(CONT_SUP[Unique Contract],CONT_SUP[[#This Row],[Unique Contract]])-1</f>
        <v>0</v>
      </c>
      <c r="C158" s="57">
        <f>IFERROR(IF(FIND(CONT_SUP[[#This Row],[SchoolCode]],_xlfn.XLOOKUP(CONT_SUP[[#This Row],[StaffMemberCode]],MEMBERS[StaffMemberCode],MEMBERS[SchoolCodes]))&gt;0,0,1),1)</f>
        <v>0</v>
      </c>
      <c r="D158" s="57" cm="1">
        <f t="array" ref="D158">IF(_xlfn.XLOOKUP(CONT_SUP[[#This Row],[StaffRoleCode]],ROLES[StaffRoleCode],ROLES[AvailableToAllSchools],1,0,)=TRUE,0,IF(ISERROR(FIND(CONT_SUP[[#This Row],[SchoolCode]],_xlfn.TEXTJOIN(",",TRUE,_xlfn.UNIQUE(IF(ROLES[StaffRoleCode]=CONT_SUP[[#This Row],[StaffRoleCode]],ROLES[SchoolCodes],""))))),1,0))</f>
        <v>0</v>
      </c>
      <c r="E158" s="57" cm="1">
        <f t="array" ref="E15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58" s="57" cm="1">
        <f t="array" ref="F158">IF(_xlfn.XLOOKUP(CONT_SUP[[#This Row],[PayScaleCode]],PAYSCALES[PayScaleCode],PAYSCALES[AvailableToAllSchools],1,0,)=TRUE,0,IF(ISERROR(FIND(CONT_SUP[[#This Row],[SchoolCode]],_xlfn.TEXTJOIN(",",TRUE,_xlfn.UNIQUE(IF(PAYSCALES[PayScaleCode]=CONT_SUP[[#This Row],[PayScaleCode]],PAYSCALES[SchoolCodes],""))))),1,0))</f>
        <v>0</v>
      </c>
      <c r="G158" s="57">
        <f>IF(_xlfn.XLOOKUP(CONT_SUP[[#This Row],[PayScaleGradeCode]],GRADES[PayScaleGradeCode],GRADES[AvailableToAllSchools])=TRUE,0,IFERROR(IF(FIND(CONT_SUP[[#This Row],[SchoolCode]],_xlfn.XLOOKUP(CONT_SUP[[#This Row],[PayScaleGradeCode]],GRADES[PayScaleGradeCode],GRADES[SchoolCodes]))&gt;=1,0,1),1))</f>
        <v>0</v>
      </c>
      <c r="H158" s="57">
        <f>IF(ISERROR(IF((_xlfn.XLOOKUP(CONT_SUP[[#This Row],[PayScaleGradeCode]],GRADES[PayScaleGradeCode],GRADES[PayScaleCode])=CONT_SUP[[#This Row],[PayScaleCode]]),0,1)),1,0)</f>
        <v>0</v>
      </c>
      <c r="I158" s="57" cm="1">
        <f t="array" ref="I158">IF(ISERROR(FIND(CONT_SUP[[#This Row],[PayScalePointCode]],_xlfn.TEXTJOIN(",",TRUE,IF(PSPOINTS[PayScaleCode]=CONT_SUP[[#This Row],[PayScaleCode]],PSPOINTS[PayScalePointCode])))),1,0)</f>
        <v>0</v>
      </c>
      <c r="J158" s="57" cm="1">
        <f t="array" ref="J15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58" s="57">
        <f>IF(_xlfn.XLOOKUP(CONT_SUP[[#This Row],[PayScalePointCode]],PSPOINTS[PayScalePointCode],PSPOINTS[PayScalePointEnabled])=TRUE,0,1)</f>
        <v>0</v>
      </c>
      <c r="L158" s="57" cm="1">
        <f t="array" ref="L158">IF(_xlfn.XLOOKUP(CONT_SUP[[#This Row],[DepartmentCode]],DEPTS[DepartmentCode],DEPTS[AvailableToAllSchools],1,0,)=TRUE,0,IF(ISERROR(FIND(CONT_SUP[[#This Row],[SchoolCode]],_xlfn.TEXTJOIN(",",TRUE,_xlfn.UNIQUE(IF(DEPTS[DepartmentCode]=CONT_SUP[[#This Row],[DepartmentCode]],DEPTS[SchoolCodes],""))))),1,0))</f>
        <v>0</v>
      </c>
      <c r="M158" s="57">
        <f>IFERROR(IF(_xlfn.XLOOKUP(CONT_SUP[[#This Row],[SRG Gross]],FinanceCodesBudget[FinanceCode],FinanceCodesBudget[LedgerCode])=_xlfn.XLOOKUP(CONT_SUP[[#This Row],[DepartmentCode]],DEPTS[DepartmentCode],DEPTS[LedgerCode]),0,1),1)</f>
        <v>0</v>
      </c>
      <c r="N158" s="57" cm="1">
        <f t="array" ref="N158">IF(_xlfn.XLOOKUP(CONT_SUP[[#This Row],[PensionCode]],PENS[PensionCode],PENS[AvailableToAllSchools],1,0,)=TRUE,0,IF(ISERROR(FIND(CONT_SUP[[#This Row],[SchoolCode]],_xlfn.TEXTJOIN(",",TRUE,_xlfn.UNIQUE(IF(PENS[PensionCode]=CONT_SUP[[#This Row],[PensionCode]],PENS[SchoolCodes],""))))),1,0))</f>
        <v>0</v>
      </c>
      <c r="O158" s="57" cm="1">
        <f t="array" ref="O158">IF(_xlfn.XLOOKUP(CONT_SUP[[#This Row],[EquatedWeekPatternCode]],EQW[EquatedWeekPatternCode],EQW[AvailableToAllSchools],1,0,)=TRUE,0,IF(ISERROR(FIND(CONT_SUP[[#This Row],[SchoolCode]],_xlfn.TEXTJOIN(",",TRUE,_xlfn.UNIQUE(IF(EQW[EquatedWeekPatternCode]=CONT_SUP[[#This Row],[EquatedWeekPatternCode]],EQW[SchoolCodes],""))))),1,0))</f>
        <v>0</v>
      </c>
      <c r="P158" s="57">
        <f>1-COUNTIF(ContractTypes[Code],CONT_SUP[[#This Row],[ContractTypeCode]])</f>
        <v>0</v>
      </c>
      <c r="Q158" s="57">
        <f>IF(VLOOKUP(CONT_SUP[[#This Row],[StaffMemberCode]],MEMBERS[[StaffMemberCode]:[ServiceStartDate]],5,0)&gt;CONT_SUP[[#This Row],[DateFrom]],1,0)</f>
        <v>0</v>
      </c>
      <c r="R158" s="57">
        <f>IF(_xlfn.XLOOKUP(CONT_SUP[[#This Row],[StaffMemberCode]],MEMBERS[StaffMemberCode],MEMBERS[ServiceEndDate])="",0,IF(CONT_SUP[[#This Row],[DateTo]]="",1,IF(_xlfn.XLOOKUP(CONT_SUP[[#This Row],[StaffMemberCode]],MEMBERS[StaffMemberCode],MEMBERS[ServiceEndDate])&lt;CONT_SUP[[#This Row],[DateTo]],1,0)))</f>
        <v>0</v>
      </c>
      <c r="S158" s="57">
        <f>IF(ISBLANK(CONT_SUP[[#This Row],[DateTo]]),0,IF(CONT_SUP[[#This Row],[DateFrom]]=CONT_SUP[[#This Row],[DateTo]],0,IF(CONT_SUP[[#This Row],[DateFrom]]&lt;CONT_SUP[[#This Row],[DateTo]],0,1)))</f>
        <v>0</v>
      </c>
      <c r="T158" s="57" cm="1">
        <f t="array" aca="1" ref="T158" ca="1">IF(CELL("format",CONT_SUP[[#This Row],[DateFrom]])="D1",0,1)+IF(CELL("format",CONT_SUP[[#This Row],[DateTo]])="D1",0,1)</f>
        <v>0</v>
      </c>
      <c r="U158" s="57">
        <f>IF(OR(CONT_SUP[[#This Row],[MatEditOnly]]=TRUE,CONT_SUP[[#This Row],[MatEditOnly]]=FALSE),IF(OR(CONT_SUP[[#This Row],[NoIncrement]]=TRUE,CONT_SUP[[#This Row],[NoIncrement]]=FALSE),0,1),1)</f>
        <v>0</v>
      </c>
      <c r="V158" s="57">
        <f>IF(ISBLANK(CONT_SUP[[#This Row],[FundCode]])=TRUE,0,IF(COUNTIF(FUNDS[FundCode],CONT_SUP[[#This Row],[FundCode]])=1,0,1))</f>
        <v>0</v>
      </c>
      <c r="W158" s="57">
        <f>IF(LEN(CONT_SUP[[#This Row],[Notes]])&lt;4000,0,1)</f>
        <v>0</v>
      </c>
      <c r="X158" s="57">
        <f>IF(SUBSTITUTE(TEXT(CONT_SUP[[#This Row],[Reference]],10)," ","")=TEXT(CONT_SUP[[#This Row],[Reference]],10),0,1)</f>
        <v>0</v>
      </c>
      <c r="Y158" s="57">
        <f ca="1">SUM(CONT_SUP[[#This Row],[Duplicate Contract]:[Space in Code]])</f>
        <v>0</v>
      </c>
      <c r="AA158" s="12" t="s">
        <v>2275</v>
      </c>
      <c r="AB158" s="12">
        <v>91073404</v>
      </c>
      <c r="AC158" s="12" t="s">
        <v>4754</v>
      </c>
      <c r="AD158" s="57" t="str">
        <f>_xlfn.XLOOKUP(CONT_SUP[[#This Row],[StaffMemberCode]],StaffMembers!O:O,StaffMembers!R:R)</f>
        <v>Gillian Shearer</v>
      </c>
      <c r="AE158" s="12" t="s">
        <v>4316</v>
      </c>
      <c r="AF158" s="57">
        <f>_xlfn.XLOOKUP(CONT_SUP[[#This Row],[SRG]],SRG[StaffRoleGroupCode],SRG[GrossSalaryFinanceCode])</f>
        <v>647100</v>
      </c>
      <c r="AG158" s="57" t="str">
        <f>_xlfn.XLOOKUP(CONT_SUP[[#This Row],[StaffRoleCode]],ROLES[StaffRoleCode],ROLES[StaffRoleGroupCode])</f>
        <v>OTH</v>
      </c>
      <c r="AH158" s="57" t="str">
        <f>_xlfn.XLOOKUP(CONT_SUP[[#This Row],[StaffRoleCode]],ROLES[StaffRoleCode],ROLES[PayScaleCode])</f>
        <v>NJC_CHE</v>
      </c>
      <c r="AI158" s="12" t="s">
        <v>3120</v>
      </c>
      <c r="AJ158" s="12">
        <v>2</v>
      </c>
      <c r="AK158" s="12" t="s">
        <v>2490</v>
      </c>
      <c r="AM158" s="68" t="s">
        <v>3132</v>
      </c>
      <c r="AN158" s="12" t="s">
        <v>3134</v>
      </c>
      <c r="AO158" s="21">
        <v>45901</v>
      </c>
      <c r="AQ158" s="12">
        <v>19.5</v>
      </c>
      <c r="AR158" t="b">
        <v>0</v>
      </c>
      <c r="AS158" t="b">
        <v>0</v>
      </c>
      <c r="AT158" s="12" t="s">
        <v>1574</v>
      </c>
    </row>
    <row r="159" spans="1:46" x14ac:dyDescent="0.3">
      <c r="A159" s="57" t="str">
        <f t="shared" si="5"/>
        <v>WVP9107339891073398COOSC_PWSOSC45901</v>
      </c>
      <c r="B159" s="57">
        <f>COUNTIF(CONT_SUP[Unique Contract],CONT_SUP[[#This Row],[Unique Contract]])-1</f>
        <v>0</v>
      </c>
      <c r="C159" s="57">
        <f>IFERROR(IF(FIND(CONT_SUP[[#This Row],[SchoolCode]],_xlfn.XLOOKUP(CONT_SUP[[#This Row],[StaffMemberCode]],MEMBERS[StaffMemberCode],MEMBERS[SchoolCodes]))&gt;0,0,1),1)</f>
        <v>0</v>
      </c>
      <c r="D159" s="57" cm="1">
        <f t="array" ref="D159">IF(_xlfn.XLOOKUP(CONT_SUP[[#This Row],[StaffRoleCode]],ROLES[StaffRoleCode],ROLES[AvailableToAllSchools],1,0,)=TRUE,0,IF(ISERROR(FIND(CONT_SUP[[#This Row],[SchoolCode]],_xlfn.TEXTJOIN(",",TRUE,_xlfn.UNIQUE(IF(ROLES[StaffRoleCode]=CONT_SUP[[#This Row],[StaffRoleCode]],ROLES[SchoolCodes],""))))),1,0))</f>
        <v>0</v>
      </c>
      <c r="E159" s="57" cm="1">
        <f t="array" ref="E15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59" s="57" cm="1">
        <f t="array" ref="F159">IF(_xlfn.XLOOKUP(CONT_SUP[[#This Row],[PayScaleCode]],PAYSCALES[PayScaleCode],PAYSCALES[AvailableToAllSchools],1,0,)=TRUE,0,IF(ISERROR(FIND(CONT_SUP[[#This Row],[SchoolCode]],_xlfn.TEXTJOIN(",",TRUE,_xlfn.UNIQUE(IF(PAYSCALES[PayScaleCode]=CONT_SUP[[#This Row],[PayScaleCode]],PAYSCALES[SchoolCodes],""))))),1,0))</f>
        <v>0</v>
      </c>
      <c r="G159" s="57">
        <f>IF(_xlfn.XLOOKUP(CONT_SUP[[#This Row],[PayScaleGradeCode]],GRADES[PayScaleGradeCode],GRADES[AvailableToAllSchools])=TRUE,0,IFERROR(IF(FIND(CONT_SUP[[#This Row],[SchoolCode]],_xlfn.XLOOKUP(CONT_SUP[[#This Row],[PayScaleGradeCode]],GRADES[PayScaleGradeCode],GRADES[SchoolCodes]))&gt;=1,0,1),1))</f>
        <v>0</v>
      </c>
      <c r="H159" s="57">
        <f>IF(ISERROR(IF((_xlfn.XLOOKUP(CONT_SUP[[#This Row],[PayScaleGradeCode]],GRADES[PayScaleGradeCode],GRADES[PayScaleCode])=CONT_SUP[[#This Row],[PayScaleCode]]),0,1)),1,0)</f>
        <v>0</v>
      </c>
      <c r="I159" s="57" cm="1">
        <f t="array" ref="I159">IF(ISERROR(FIND(CONT_SUP[[#This Row],[PayScalePointCode]],_xlfn.TEXTJOIN(",",TRUE,IF(PSPOINTS[PayScaleCode]=CONT_SUP[[#This Row],[PayScaleCode]],PSPOINTS[PayScalePointCode])))),1,0)</f>
        <v>0</v>
      </c>
      <c r="J159" s="57" cm="1">
        <f t="array" ref="J15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59" s="57">
        <f>IF(_xlfn.XLOOKUP(CONT_SUP[[#This Row],[PayScalePointCode]],PSPOINTS[PayScalePointCode],PSPOINTS[PayScalePointEnabled])=TRUE,0,1)</f>
        <v>0</v>
      </c>
      <c r="L159" s="57" cm="1">
        <f t="array" ref="L159">IF(_xlfn.XLOOKUP(CONT_SUP[[#This Row],[DepartmentCode]],DEPTS[DepartmentCode],DEPTS[AvailableToAllSchools],1,0,)=TRUE,0,IF(ISERROR(FIND(CONT_SUP[[#This Row],[SchoolCode]],_xlfn.TEXTJOIN(",",TRUE,_xlfn.UNIQUE(IF(DEPTS[DepartmentCode]=CONT_SUP[[#This Row],[DepartmentCode]],DEPTS[SchoolCodes],""))))),1,0))</f>
        <v>0</v>
      </c>
      <c r="M159" s="57">
        <f>IFERROR(IF(_xlfn.XLOOKUP(CONT_SUP[[#This Row],[SRG Gross]],FinanceCodesBudget[FinanceCode],FinanceCodesBudget[LedgerCode])=_xlfn.XLOOKUP(CONT_SUP[[#This Row],[DepartmentCode]],DEPTS[DepartmentCode],DEPTS[LedgerCode]),0,1),1)</f>
        <v>0</v>
      </c>
      <c r="N159" s="57" cm="1">
        <f t="array" ref="N159">IF(_xlfn.XLOOKUP(CONT_SUP[[#This Row],[PensionCode]],PENS[PensionCode],PENS[AvailableToAllSchools],1,0,)=TRUE,0,IF(ISERROR(FIND(CONT_SUP[[#This Row],[SchoolCode]],_xlfn.TEXTJOIN(",",TRUE,_xlfn.UNIQUE(IF(PENS[PensionCode]=CONT_SUP[[#This Row],[PensionCode]],PENS[SchoolCodes],""))))),1,0))</f>
        <v>0</v>
      </c>
      <c r="O159" s="57" cm="1">
        <f t="array" ref="O159">IF(_xlfn.XLOOKUP(CONT_SUP[[#This Row],[EquatedWeekPatternCode]],EQW[EquatedWeekPatternCode],EQW[AvailableToAllSchools],1,0,)=TRUE,0,IF(ISERROR(FIND(CONT_SUP[[#This Row],[SchoolCode]],_xlfn.TEXTJOIN(",",TRUE,_xlfn.UNIQUE(IF(EQW[EquatedWeekPatternCode]=CONT_SUP[[#This Row],[EquatedWeekPatternCode]],EQW[SchoolCodes],""))))),1,0))</f>
        <v>0</v>
      </c>
      <c r="P159" s="57">
        <f>1-COUNTIF(ContractTypes[Code],CONT_SUP[[#This Row],[ContractTypeCode]])</f>
        <v>0</v>
      </c>
      <c r="Q159" s="57">
        <f>IF(VLOOKUP(CONT_SUP[[#This Row],[StaffMemberCode]],MEMBERS[[StaffMemberCode]:[ServiceStartDate]],5,0)&gt;CONT_SUP[[#This Row],[DateFrom]],1,0)</f>
        <v>0</v>
      </c>
      <c r="R159" s="57">
        <f>IF(_xlfn.XLOOKUP(CONT_SUP[[#This Row],[StaffMemberCode]],MEMBERS[StaffMemberCode],MEMBERS[ServiceEndDate])="",0,IF(CONT_SUP[[#This Row],[DateTo]]="",1,IF(_xlfn.XLOOKUP(CONT_SUP[[#This Row],[StaffMemberCode]],MEMBERS[StaffMemberCode],MEMBERS[ServiceEndDate])&lt;CONT_SUP[[#This Row],[DateTo]],1,0)))</f>
        <v>0</v>
      </c>
      <c r="S159" s="57">
        <f>IF(ISBLANK(CONT_SUP[[#This Row],[DateTo]]),0,IF(CONT_SUP[[#This Row],[DateFrom]]=CONT_SUP[[#This Row],[DateTo]],0,IF(CONT_SUP[[#This Row],[DateFrom]]&lt;CONT_SUP[[#This Row],[DateTo]],0,1)))</f>
        <v>0</v>
      </c>
      <c r="T159" s="57" cm="1">
        <f t="array" aca="1" ref="T159" ca="1">IF(CELL("format",CONT_SUP[[#This Row],[DateFrom]])="D1",0,1)+IF(CELL("format",CONT_SUP[[#This Row],[DateTo]])="D1",0,1)</f>
        <v>0</v>
      </c>
      <c r="U159" s="57">
        <f>IF(OR(CONT_SUP[[#This Row],[MatEditOnly]]=TRUE,CONT_SUP[[#This Row],[MatEditOnly]]=FALSE),IF(OR(CONT_SUP[[#This Row],[NoIncrement]]=TRUE,CONT_SUP[[#This Row],[NoIncrement]]=FALSE),0,1),1)</f>
        <v>0</v>
      </c>
      <c r="V159" s="57">
        <f>IF(ISBLANK(CONT_SUP[[#This Row],[FundCode]])=TRUE,0,IF(COUNTIF(FUNDS[FundCode],CONT_SUP[[#This Row],[FundCode]])=1,0,1))</f>
        <v>0</v>
      </c>
      <c r="W159" s="57">
        <f>IF(LEN(CONT_SUP[[#This Row],[Notes]])&lt;4000,0,1)</f>
        <v>0</v>
      </c>
      <c r="X159" s="57">
        <f>IF(SUBSTITUTE(TEXT(CONT_SUP[[#This Row],[Reference]],10)," ","")=TEXT(CONT_SUP[[#This Row],[Reference]],10),0,1)</f>
        <v>0</v>
      </c>
      <c r="Y159" s="57">
        <f ca="1">SUM(CONT_SUP[[#This Row],[Duplicate Contract]:[Space in Code]])</f>
        <v>0</v>
      </c>
      <c r="AA159" s="12" t="s">
        <v>2275</v>
      </c>
      <c r="AB159" s="12">
        <v>91073398</v>
      </c>
      <c r="AC159" s="12" t="s">
        <v>4755</v>
      </c>
      <c r="AD159" s="57" t="str">
        <f>_xlfn.XLOOKUP(CONT_SUP[[#This Row],[StaffMemberCode]],StaffMembers!O:O,StaffMembers!R:R)</f>
        <v>Kathryn Inskip</v>
      </c>
      <c r="AE159" s="12" t="s">
        <v>4316</v>
      </c>
      <c r="AF159" s="57">
        <f>_xlfn.XLOOKUP(CONT_SUP[[#This Row],[SRG]],SRG[StaffRoleGroupCode],SRG[GrossSalaryFinanceCode])</f>
        <v>647100</v>
      </c>
      <c r="AG159" s="57" t="str">
        <f>_xlfn.XLOOKUP(CONT_SUP[[#This Row],[StaffRoleCode]],ROLES[StaffRoleCode],ROLES[StaffRoleGroupCode])</f>
        <v>OTH</v>
      </c>
      <c r="AH159" s="57" t="str">
        <f>_xlfn.XLOOKUP(CONT_SUP[[#This Row],[StaffRoleCode]],ROLES[StaffRoleCode],ROLES[PayScaleCode])</f>
        <v>NJC_CHE</v>
      </c>
      <c r="AI159" s="12" t="s">
        <v>3120</v>
      </c>
      <c r="AJ159" s="12">
        <v>2</v>
      </c>
      <c r="AK159" s="12" t="s">
        <v>2490</v>
      </c>
      <c r="AM159" s="68" t="s">
        <v>3132</v>
      </c>
      <c r="AN159" s="12" t="s">
        <v>3134</v>
      </c>
      <c r="AO159" s="21">
        <v>45901</v>
      </c>
      <c r="AQ159" s="12">
        <v>12.5</v>
      </c>
      <c r="AR159" t="b">
        <v>0</v>
      </c>
      <c r="AS159" t="b">
        <v>0</v>
      </c>
      <c r="AT159" s="12" t="s">
        <v>1574</v>
      </c>
    </row>
    <row r="160" spans="1:46" x14ac:dyDescent="0.3">
      <c r="A160" s="57" t="str">
        <f t="shared" si="5"/>
        <v>SBL9107577991075779AOOSC_PWSOSC45901</v>
      </c>
      <c r="B160" s="57">
        <f>COUNTIF(CONT_SUP[Unique Contract],CONT_SUP[[#This Row],[Unique Contract]])-1</f>
        <v>0</v>
      </c>
      <c r="C160" s="57">
        <f>IFERROR(IF(FIND(CONT_SUP[[#This Row],[SchoolCode]],_xlfn.XLOOKUP(CONT_SUP[[#This Row],[StaffMemberCode]],MEMBERS[StaffMemberCode],MEMBERS[SchoolCodes]))&gt;0,0,1),1)</f>
        <v>0</v>
      </c>
      <c r="D160" s="57" cm="1">
        <f t="array" ref="D160">IF(_xlfn.XLOOKUP(CONT_SUP[[#This Row],[StaffRoleCode]],ROLES[StaffRoleCode],ROLES[AvailableToAllSchools],1,0,)=TRUE,0,IF(ISERROR(FIND(CONT_SUP[[#This Row],[SchoolCode]],_xlfn.TEXTJOIN(",",TRUE,_xlfn.UNIQUE(IF(ROLES[StaffRoleCode]=CONT_SUP[[#This Row],[StaffRoleCode]],ROLES[SchoolCodes],""))))),1,0))</f>
        <v>0</v>
      </c>
      <c r="E160" s="57" cm="1">
        <f t="array" ref="E16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60" s="57" cm="1">
        <f t="array" ref="F160">IF(_xlfn.XLOOKUP(CONT_SUP[[#This Row],[PayScaleCode]],PAYSCALES[PayScaleCode],PAYSCALES[AvailableToAllSchools],1,0,)=TRUE,0,IF(ISERROR(FIND(CONT_SUP[[#This Row],[SchoolCode]],_xlfn.TEXTJOIN(",",TRUE,_xlfn.UNIQUE(IF(PAYSCALES[PayScaleCode]=CONT_SUP[[#This Row],[PayScaleCode]],PAYSCALES[SchoolCodes],""))))),1,0))</f>
        <v>0</v>
      </c>
      <c r="G160" s="57">
        <f>IF(_xlfn.XLOOKUP(CONT_SUP[[#This Row],[PayScaleGradeCode]],GRADES[PayScaleGradeCode],GRADES[AvailableToAllSchools])=TRUE,0,IFERROR(IF(FIND(CONT_SUP[[#This Row],[SchoolCode]],_xlfn.XLOOKUP(CONT_SUP[[#This Row],[PayScaleGradeCode]],GRADES[PayScaleGradeCode],GRADES[SchoolCodes]))&gt;=1,0,1),1))</f>
        <v>0</v>
      </c>
      <c r="H160" s="57">
        <f>IF(ISERROR(IF((_xlfn.XLOOKUP(CONT_SUP[[#This Row],[PayScaleGradeCode]],GRADES[PayScaleGradeCode],GRADES[PayScaleCode])=CONT_SUP[[#This Row],[PayScaleCode]]),0,1)),1,0)</f>
        <v>0</v>
      </c>
      <c r="I160" s="57" cm="1">
        <f t="array" ref="I160">IF(ISERROR(FIND(CONT_SUP[[#This Row],[PayScalePointCode]],_xlfn.TEXTJOIN(",",TRUE,IF(PSPOINTS[PayScaleCode]=CONT_SUP[[#This Row],[PayScaleCode]],PSPOINTS[PayScalePointCode])))),1,0)</f>
        <v>0</v>
      </c>
      <c r="J160" s="57" cm="1">
        <f t="array" ref="J16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60" s="57">
        <f>IF(_xlfn.XLOOKUP(CONT_SUP[[#This Row],[PayScalePointCode]],PSPOINTS[PayScalePointCode],PSPOINTS[PayScalePointEnabled])=TRUE,0,1)</f>
        <v>0</v>
      </c>
      <c r="L160" s="57" cm="1">
        <f t="array" ref="L160">IF(_xlfn.XLOOKUP(CONT_SUP[[#This Row],[DepartmentCode]],DEPTS[DepartmentCode],DEPTS[AvailableToAllSchools],1,0,)=TRUE,0,IF(ISERROR(FIND(CONT_SUP[[#This Row],[SchoolCode]],_xlfn.TEXTJOIN(",",TRUE,_xlfn.UNIQUE(IF(DEPTS[DepartmentCode]=CONT_SUP[[#This Row],[DepartmentCode]],DEPTS[SchoolCodes],""))))),1,0))</f>
        <v>0</v>
      </c>
      <c r="M160" s="57">
        <f>IFERROR(IF(_xlfn.XLOOKUP(CONT_SUP[[#This Row],[SRG Gross]],FinanceCodesBudget[FinanceCode],FinanceCodesBudget[LedgerCode])=_xlfn.XLOOKUP(CONT_SUP[[#This Row],[DepartmentCode]],DEPTS[DepartmentCode],DEPTS[LedgerCode]),0,1),1)</f>
        <v>0</v>
      </c>
      <c r="N160" s="57" cm="1">
        <f t="array" ref="N160">IF(_xlfn.XLOOKUP(CONT_SUP[[#This Row],[PensionCode]],PENS[PensionCode],PENS[AvailableToAllSchools],1,0,)=TRUE,0,IF(ISERROR(FIND(CONT_SUP[[#This Row],[SchoolCode]],_xlfn.TEXTJOIN(",",TRUE,_xlfn.UNIQUE(IF(PENS[PensionCode]=CONT_SUP[[#This Row],[PensionCode]],PENS[SchoolCodes],""))))),1,0))</f>
        <v>0</v>
      </c>
      <c r="O160" s="57" cm="1">
        <f t="array" ref="O160">IF(_xlfn.XLOOKUP(CONT_SUP[[#This Row],[EquatedWeekPatternCode]],EQW[EquatedWeekPatternCode],EQW[AvailableToAllSchools],1,0,)=TRUE,0,IF(ISERROR(FIND(CONT_SUP[[#This Row],[SchoolCode]],_xlfn.TEXTJOIN(",",TRUE,_xlfn.UNIQUE(IF(EQW[EquatedWeekPatternCode]=CONT_SUP[[#This Row],[EquatedWeekPatternCode]],EQW[SchoolCodes],""))))),1,0))</f>
        <v>0</v>
      </c>
      <c r="P160" s="57">
        <f>1-COUNTIF(ContractTypes[Code],CONT_SUP[[#This Row],[ContractTypeCode]])</f>
        <v>0</v>
      </c>
      <c r="Q160" s="57">
        <f>IF(VLOOKUP(CONT_SUP[[#This Row],[StaffMemberCode]],MEMBERS[[StaffMemberCode]:[ServiceStartDate]],5,0)&gt;CONT_SUP[[#This Row],[DateFrom]],1,0)</f>
        <v>0</v>
      </c>
      <c r="R160" s="57">
        <f>IF(_xlfn.XLOOKUP(CONT_SUP[[#This Row],[StaffMemberCode]],MEMBERS[StaffMemberCode],MEMBERS[ServiceEndDate])="",0,IF(CONT_SUP[[#This Row],[DateTo]]="",1,IF(_xlfn.XLOOKUP(CONT_SUP[[#This Row],[StaffMemberCode]],MEMBERS[StaffMemberCode],MEMBERS[ServiceEndDate])&lt;CONT_SUP[[#This Row],[DateTo]],1,0)))</f>
        <v>0</v>
      </c>
      <c r="S160" s="57">
        <f>IF(ISBLANK(CONT_SUP[[#This Row],[DateTo]]),0,IF(CONT_SUP[[#This Row],[DateFrom]]=CONT_SUP[[#This Row],[DateTo]],0,IF(CONT_SUP[[#This Row],[DateFrom]]&lt;CONT_SUP[[#This Row],[DateTo]],0,1)))</f>
        <v>0</v>
      </c>
      <c r="T160" s="57" cm="1">
        <f t="array" aca="1" ref="T160" ca="1">IF(CELL("format",CONT_SUP[[#This Row],[DateFrom]])="D1",0,1)+IF(CELL("format",CONT_SUP[[#This Row],[DateTo]])="D1",0,1)</f>
        <v>0</v>
      </c>
      <c r="U160" s="57">
        <f>IF(OR(CONT_SUP[[#This Row],[MatEditOnly]]=TRUE,CONT_SUP[[#This Row],[MatEditOnly]]=FALSE),IF(OR(CONT_SUP[[#This Row],[NoIncrement]]=TRUE,CONT_SUP[[#This Row],[NoIncrement]]=FALSE),0,1),1)</f>
        <v>0</v>
      </c>
      <c r="V160" s="57">
        <f>IF(ISBLANK(CONT_SUP[[#This Row],[FundCode]])=TRUE,0,IF(COUNTIF(FUNDS[FundCode],CONT_SUP[[#This Row],[FundCode]])=1,0,1))</f>
        <v>0</v>
      </c>
      <c r="W160" s="57">
        <f>IF(LEN(CONT_SUP[[#This Row],[Notes]])&lt;4000,0,1)</f>
        <v>0</v>
      </c>
      <c r="X160" s="57">
        <f>IF(SUBSTITUTE(TEXT(CONT_SUP[[#This Row],[Reference]],10)," ","")=TEXT(CONT_SUP[[#This Row],[Reference]],10),0,1)</f>
        <v>0</v>
      </c>
      <c r="Y160" s="57">
        <f ca="1">SUM(CONT_SUP[[#This Row],[Duplicate Contract]:[Space in Code]])</f>
        <v>0</v>
      </c>
      <c r="AA160" s="12" t="s">
        <v>2200</v>
      </c>
      <c r="AB160" s="12">
        <v>91075779</v>
      </c>
      <c r="AC160" s="12" t="s">
        <v>4756</v>
      </c>
      <c r="AD160" s="57" t="str">
        <f>_xlfn.XLOOKUP(CONT_SUP[[#This Row],[StaffMemberCode]],StaffMembers!O:O,StaffMembers!R:R)</f>
        <v>Lisa Thorley</v>
      </c>
      <c r="AE160" s="12" t="s">
        <v>4316</v>
      </c>
      <c r="AF160" s="57">
        <f>_xlfn.XLOOKUP(CONT_SUP[[#This Row],[SRG]],SRG[StaffRoleGroupCode],SRG[GrossSalaryFinanceCode])</f>
        <v>647100</v>
      </c>
      <c r="AG160" s="57" t="str">
        <f>_xlfn.XLOOKUP(CONT_SUP[[#This Row],[StaffRoleCode]],ROLES[StaffRoleCode],ROLES[StaffRoleGroupCode])</f>
        <v>OTH</v>
      </c>
      <c r="AH160" s="57" t="str">
        <f>_xlfn.XLOOKUP(CONT_SUP[[#This Row],[StaffRoleCode]],ROLES[StaffRoleCode],ROLES[PayScaleCode])</f>
        <v>NJC_CHE</v>
      </c>
      <c r="AI160" s="12" t="s">
        <v>3120</v>
      </c>
      <c r="AJ160" s="12">
        <v>2</v>
      </c>
      <c r="AK160" s="12" t="s">
        <v>2490</v>
      </c>
      <c r="AM160" s="68" t="s">
        <v>3132</v>
      </c>
      <c r="AN160" s="12" t="s">
        <v>3135</v>
      </c>
      <c r="AO160" s="21">
        <v>45901</v>
      </c>
      <c r="AQ160" s="12">
        <v>12.5</v>
      </c>
      <c r="AR160" t="b">
        <v>0</v>
      </c>
      <c r="AS160" t="b">
        <v>0</v>
      </c>
      <c r="AT160" s="12" t="s">
        <v>1574</v>
      </c>
    </row>
    <row r="161" spans="1:46" x14ac:dyDescent="0.3">
      <c r="A161" s="57" t="str">
        <f t="shared" si="5"/>
        <v>PTP9107394091073940AOOSC_PWSOSC45901</v>
      </c>
      <c r="B161" s="57">
        <f>COUNTIF(CONT_SUP[Unique Contract],CONT_SUP[[#This Row],[Unique Contract]])-1</f>
        <v>0</v>
      </c>
      <c r="C161" s="57">
        <f>IFERROR(IF(FIND(CONT_SUP[[#This Row],[SchoolCode]],_xlfn.XLOOKUP(CONT_SUP[[#This Row],[StaffMemberCode]],MEMBERS[StaffMemberCode],MEMBERS[SchoolCodes]))&gt;0,0,1),1)</f>
        <v>0</v>
      </c>
      <c r="D161" s="57" cm="1">
        <f t="array" ref="D161">IF(_xlfn.XLOOKUP(CONT_SUP[[#This Row],[StaffRoleCode]],ROLES[StaffRoleCode],ROLES[AvailableToAllSchools],1,0,)=TRUE,0,IF(ISERROR(FIND(CONT_SUP[[#This Row],[SchoolCode]],_xlfn.TEXTJOIN(",",TRUE,_xlfn.UNIQUE(IF(ROLES[StaffRoleCode]=CONT_SUP[[#This Row],[StaffRoleCode]],ROLES[SchoolCodes],""))))),1,0))</f>
        <v>0</v>
      </c>
      <c r="E161" s="57" cm="1">
        <f t="array" ref="E16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61" s="57" cm="1">
        <f t="array" ref="F161">IF(_xlfn.XLOOKUP(CONT_SUP[[#This Row],[PayScaleCode]],PAYSCALES[PayScaleCode],PAYSCALES[AvailableToAllSchools],1,0,)=TRUE,0,IF(ISERROR(FIND(CONT_SUP[[#This Row],[SchoolCode]],_xlfn.TEXTJOIN(",",TRUE,_xlfn.UNIQUE(IF(PAYSCALES[PayScaleCode]=CONT_SUP[[#This Row],[PayScaleCode]],PAYSCALES[SchoolCodes],""))))),1,0))</f>
        <v>0</v>
      </c>
      <c r="G161" s="57">
        <f>IF(_xlfn.XLOOKUP(CONT_SUP[[#This Row],[PayScaleGradeCode]],GRADES[PayScaleGradeCode],GRADES[AvailableToAllSchools])=TRUE,0,IFERROR(IF(FIND(CONT_SUP[[#This Row],[SchoolCode]],_xlfn.XLOOKUP(CONT_SUP[[#This Row],[PayScaleGradeCode]],GRADES[PayScaleGradeCode],GRADES[SchoolCodes]))&gt;=1,0,1),1))</f>
        <v>0</v>
      </c>
      <c r="H161" s="57">
        <f>IF(ISERROR(IF((_xlfn.XLOOKUP(CONT_SUP[[#This Row],[PayScaleGradeCode]],GRADES[PayScaleGradeCode],GRADES[PayScaleCode])=CONT_SUP[[#This Row],[PayScaleCode]]),0,1)),1,0)</f>
        <v>0</v>
      </c>
      <c r="I161" s="57" cm="1">
        <f t="array" ref="I161">IF(ISERROR(FIND(CONT_SUP[[#This Row],[PayScalePointCode]],_xlfn.TEXTJOIN(",",TRUE,IF(PSPOINTS[PayScaleCode]=CONT_SUP[[#This Row],[PayScaleCode]],PSPOINTS[PayScalePointCode])))),1,0)</f>
        <v>0</v>
      </c>
      <c r="J161" s="57" cm="1">
        <f t="array" ref="J16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61" s="57">
        <f>IF(_xlfn.XLOOKUP(CONT_SUP[[#This Row],[PayScalePointCode]],PSPOINTS[PayScalePointCode],PSPOINTS[PayScalePointEnabled])=TRUE,0,1)</f>
        <v>0</v>
      </c>
      <c r="L161" s="57" cm="1">
        <f t="array" ref="L161">IF(_xlfn.XLOOKUP(CONT_SUP[[#This Row],[DepartmentCode]],DEPTS[DepartmentCode],DEPTS[AvailableToAllSchools],1,0,)=TRUE,0,IF(ISERROR(FIND(CONT_SUP[[#This Row],[SchoolCode]],_xlfn.TEXTJOIN(",",TRUE,_xlfn.UNIQUE(IF(DEPTS[DepartmentCode]=CONT_SUP[[#This Row],[DepartmentCode]],DEPTS[SchoolCodes],""))))),1,0))</f>
        <v>0</v>
      </c>
      <c r="M161" s="57">
        <f>IFERROR(IF(_xlfn.XLOOKUP(CONT_SUP[[#This Row],[SRG Gross]],FinanceCodesBudget[FinanceCode],FinanceCodesBudget[LedgerCode])=_xlfn.XLOOKUP(CONT_SUP[[#This Row],[DepartmentCode]],DEPTS[DepartmentCode],DEPTS[LedgerCode]),0,1),1)</f>
        <v>0</v>
      </c>
      <c r="N161" s="57" cm="1">
        <f t="array" ref="N161">IF(_xlfn.XLOOKUP(CONT_SUP[[#This Row],[PensionCode]],PENS[PensionCode],PENS[AvailableToAllSchools],1,0,)=TRUE,0,IF(ISERROR(FIND(CONT_SUP[[#This Row],[SchoolCode]],_xlfn.TEXTJOIN(",",TRUE,_xlfn.UNIQUE(IF(PENS[PensionCode]=CONT_SUP[[#This Row],[PensionCode]],PENS[SchoolCodes],""))))),1,0))</f>
        <v>0</v>
      </c>
      <c r="O161" s="57" cm="1">
        <f t="array" ref="O161">IF(_xlfn.XLOOKUP(CONT_SUP[[#This Row],[EquatedWeekPatternCode]],EQW[EquatedWeekPatternCode],EQW[AvailableToAllSchools],1,0,)=TRUE,0,IF(ISERROR(FIND(CONT_SUP[[#This Row],[SchoolCode]],_xlfn.TEXTJOIN(",",TRUE,_xlfn.UNIQUE(IF(EQW[EquatedWeekPatternCode]=CONT_SUP[[#This Row],[EquatedWeekPatternCode]],EQW[SchoolCodes],""))))),1,0))</f>
        <v>0</v>
      </c>
      <c r="P161" s="57">
        <f>1-COUNTIF(ContractTypes[Code],CONT_SUP[[#This Row],[ContractTypeCode]])</f>
        <v>0</v>
      </c>
      <c r="Q161" s="57">
        <f>IF(VLOOKUP(CONT_SUP[[#This Row],[StaffMemberCode]],MEMBERS[[StaffMemberCode]:[ServiceStartDate]],5,0)&gt;CONT_SUP[[#This Row],[DateFrom]],1,0)</f>
        <v>0</v>
      </c>
      <c r="R161" s="57">
        <f>IF(_xlfn.XLOOKUP(CONT_SUP[[#This Row],[StaffMemberCode]],MEMBERS[StaffMemberCode],MEMBERS[ServiceEndDate])="",0,IF(CONT_SUP[[#This Row],[DateTo]]="",1,IF(_xlfn.XLOOKUP(CONT_SUP[[#This Row],[StaffMemberCode]],MEMBERS[StaffMemberCode],MEMBERS[ServiceEndDate])&lt;CONT_SUP[[#This Row],[DateTo]],1,0)))</f>
        <v>0</v>
      </c>
      <c r="S161" s="57">
        <f>IF(ISBLANK(CONT_SUP[[#This Row],[DateTo]]),0,IF(CONT_SUP[[#This Row],[DateFrom]]=CONT_SUP[[#This Row],[DateTo]],0,IF(CONT_SUP[[#This Row],[DateFrom]]&lt;CONT_SUP[[#This Row],[DateTo]],0,1)))</f>
        <v>0</v>
      </c>
      <c r="T161" s="57" cm="1">
        <f t="array" aca="1" ref="T161" ca="1">IF(CELL("format",CONT_SUP[[#This Row],[DateFrom]])="D1",0,1)+IF(CELL("format",CONT_SUP[[#This Row],[DateTo]])="D1",0,1)</f>
        <v>0</v>
      </c>
      <c r="U161" s="57">
        <f>IF(OR(CONT_SUP[[#This Row],[MatEditOnly]]=TRUE,CONT_SUP[[#This Row],[MatEditOnly]]=FALSE),IF(OR(CONT_SUP[[#This Row],[NoIncrement]]=TRUE,CONT_SUP[[#This Row],[NoIncrement]]=FALSE),0,1),1)</f>
        <v>0</v>
      </c>
      <c r="V161" s="57">
        <f>IF(ISBLANK(CONT_SUP[[#This Row],[FundCode]])=TRUE,0,IF(COUNTIF(FUNDS[FundCode],CONT_SUP[[#This Row],[FundCode]])=1,0,1))</f>
        <v>0</v>
      </c>
      <c r="W161" s="57">
        <f>IF(LEN(CONT_SUP[[#This Row],[Notes]])&lt;4000,0,1)</f>
        <v>0</v>
      </c>
      <c r="X161" s="57">
        <f>IF(SUBSTITUTE(TEXT(CONT_SUP[[#This Row],[Reference]],10)," ","")=TEXT(CONT_SUP[[#This Row],[Reference]],10),0,1)</f>
        <v>0</v>
      </c>
      <c r="Y161" s="57">
        <f ca="1">SUM(CONT_SUP[[#This Row],[Duplicate Contract]:[Space in Code]])</f>
        <v>0</v>
      </c>
      <c r="AA161" s="12" t="s">
        <v>2299</v>
      </c>
      <c r="AB161" s="12">
        <v>91073940</v>
      </c>
      <c r="AC161" s="12" t="s">
        <v>4757</v>
      </c>
      <c r="AD161" s="57" t="str">
        <f>_xlfn.XLOOKUP(CONT_SUP[[#This Row],[StaffMemberCode]],StaffMembers!O:O,StaffMembers!R:R)</f>
        <v>Stephanie Hinchcliffe</v>
      </c>
      <c r="AE161" s="12" t="s">
        <v>4316</v>
      </c>
      <c r="AF161" s="57">
        <f>_xlfn.XLOOKUP(CONT_SUP[[#This Row],[SRG]],SRG[StaffRoleGroupCode],SRG[GrossSalaryFinanceCode])</f>
        <v>647100</v>
      </c>
      <c r="AG161" s="57" t="str">
        <f>_xlfn.XLOOKUP(CONT_SUP[[#This Row],[StaffRoleCode]],ROLES[StaffRoleCode],ROLES[StaffRoleGroupCode])</f>
        <v>OTH</v>
      </c>
      <c r="AH161" s="57" t="str">
        <f>_xlfn.XLOOKUP(CONT_SUP[[#This Row],[StaffRoleCode]],ROLES[StaffRoleCode],ROLES[PayScaleCode])</f>
        <v>NJC_CHE</v>
      </c>
      <c r="AI161" s="12" t="s">
        <v>3120</v>
      </c>
      <c r="AJ161" s="12">
        <v>2</v>
      </c>
      <c r="AK161" s="12" t="s">
        <v>2490</v>
      </c>
      <c r="AM161" s="68" t="s">
        <v>3132</v>
      </c>
      <c r="AN161" s="12" t="s">
        <v>3134</v>
      </c>
      <c r="AO161" s="21">
        <v>45901</v>
      </c>
      <c r="AQ161" s="12">
        <v>9.75</v>
      </c>
      <c r="AR161" t="b">
        <v>0</v>
      </c>
      <c r="AS161" t="b">
        <v>0</v>
      </c>
      <c r="AT161" s="12" t="s">
        <v>1574</v>
      </c>
    </row>
    <row r="162" spans="1:46" x14ac:dyDescent="0.3">
      <c r="A162" s="57" t="str">
        <f t="shared" si="5"/>
        <v>PTP9107392991073929BOOSC_PWSOSC45901</v>
      </c>
      <c r="B162" s="57">
        <f>COUNTIF(CONT_SUP[Unique Contract],CONT_SUP[[#This Row],[Unique Contract]])-1</f>
        <v>0</v>
      </c>
      <c r="C162" s="57">
        <f>IFERROR(IF(FIND(CONT_SUP[[#This Row],[SchoolCode]],_xlfn.XLOOKUP(CONT_SUP[[#This Row],[StaffMemberCode]],MEMBERS[StaffMemberCode],MEMBERS[SchoolCodes]))&gt;0,0,1),1)</f>
        <v>0</v>
      </c>
      <c r="D162" s="57" cm="1">
        <f t="array" ref="D162">IF(_xlfn.XLOOKUP(CONT_SUP[[#This Row],[StaffRoleCode]],ROLES[StaffRoleCode],ROLES[AvailableToAllSchools],1,0,)=TRUE,0,IF(ISERROR(FIND(CONT_SUP[[#This Row],[SchoolCode]],_xlfn.TEXTJOIN(",",TRUE,_xlfn.UNIQUE(IF(ROLES[StaffRoleCode]=CONT_SUP[[#This Row],[StaffRoleCode]],ROLES[SchoolCodes],""))))),1,0))</f>
        <v>0</v>
      </c>
      <c r="E162" s="57" cm="1">
        <f t="array" ref="E16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62" s="57" cm="1">
        <f t="array" ref="F162">IF(_xlfn.XLOOKUP(CONT_SUP[[#This Row],[PayScaleCode]],PAYSCALES[PayScaleCode],PAYSCALES[AvailableToAllSchools],1,0,)=TRUE,0,IF(ISERROR(FIND(CONT_SUP[[#This Row],[SchoolCode]],_xlfn.TEXTJOIN(",",TRUE,_xlfn.UNIQUE(IF(PAYSCALES[PayScaleCode]=CONT_SUP[[#This Row],[PayScaleCode]],PAYSCALES[SchoolCodes],""))))),1,0))</f>
        <v>0</v>
      </c>
      <c r="G162" s="57">
        <f>IF(_xlfn.XLOOKUP(CONT_SUP[[#This Row],[PayScaleGradeCode]],GRADES[PayScaleGradeCode],GRADES[AvailableToAllSchools])=TRUE,0,IFERROR(IF(FIND(CONT_SUP[[#This Row],[SchoolCode]],_xlfn.XLOOKUP(CONT_SUP[[#This Row],[PayScaleGradeCode]],GRADES[PayScaleGradeCode],GRADES[SchoolCodes]))&gt;=1,0,1),1))</f>
        <v>0</v>
      </c>
      <c r="H162" s="57">
        <f>IF(ISERROR(IF((_xlfn.XLOOKUP(CONT_SUP[[#This Row],[PayScaleGradeCode]],GRADES[PayScaleGradeCode],GRADES[PayScaleCode])=CONT_SUP[[#This Row],[PayScaleCode]]),0,1)),1,0)</f>
        <v>0</v>
      </c>
      <c r="I162" s="57" cm="1">
        <f t="array" ref="I162">IF(ISERROR(FIND(CONT_SUP[[#This Row],[PayScalePointCode]],_xlfn.TEXTJOIN(",",TRUE,IF(PSPOINTS[PayScaleCode]=CONT_SUP[[#This Row],[PayScaleCode]],PSPOINTS[PayScalePointCode])))),1,0)</f>
        <v>0</v>
      </c>
      <c r="J162" s="57" cm="1">
        <f t="array" ref="J16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62" s="57">
        <f>IF(_xlfn.XLOOKUP(CONT_SUP[[#This Row],[PayScalePointCode]],PSPOINTS[PayScalePointCode],PSPOINTS[PayScalePointEnabled])=TRUE,0,1)</f>
        <v>0</v>
      </c>
      <c r="L162" s="57" cm="1">
        <f t="array" ref="L162">IF(_xlfn.XLOOKUP(CONT_SUP[[#This Row],[DepartmentCode]],DEPTS[DepartmentCode],DEPTS[AvailableToAllSchools],1,0,)=TRUE,0,IF(ISERROR(FIND(CONT_SUP[[#This Row],[SchoolCode]],_xlfn.TEXTJOIN(",",TRUE,_xlfn.UNIQUE(IF(DEPTS[DepartmentCode]=CONT_SUP[[#This Row],[DepartmentCode]],DEPTS[SchoolCodes],""))))),1,0))</f>
        <v>0</v>
      </c>
      <c r="M162" s="57">
        <f>IFERROR(IF(_xlfn.XLOOKUP(CONT_SUP[[#This Row],[SRG Gross]],FinanceCodesBudget[FinanceCode],FinanceCodesBudget[LedgerCode])=_xlfn.XLOOKUP(CONT_SUP[[#This Row],[DepartmentCode]],DEPTS[DepartmentCode],DEPTS[LedgerCode]),0,1),1)</f>
        <v>0</v>
      </c>
      <c r="N162" s="57" cm="1">
        <f t="array" ref="N162">IF(_xlfn.XLOOKUP(CONT_SUP[[#This Row],[PensionCode]],PENS[PensionCode],PENS[AvailableToAllSchools],1,0,)=TRUE,0,IF(ISERROR(FIND(CONT_SUP[[#This Row],[SchoolCode]],_xlfn.TEXTJOIN(",",TRUE,_xlfn.UNIQUE(IF(PENS[PensionCode]=CONT_SUP[[#This Row],[PensionCode]],PENS[SchoolCodes],""))))),1,0))</f>
        <v>0</v>
      </c>
      <c r="O162" s="57" cm="1">
        <f t="array" ref="O162">IF(_xlfn.XLOOKUP(CONT_SUP[[#This Row],[EquatedWeekPatternCode]],EQW[EquatedWeekPatternCode],EQW[AvailableToAllSchools],1,0,)=TRUE,0,IF(ISERROR(FIND(CONT_SUP[[#This Row],[SchoolCode]],_xlfn.TEXTJOIN(",",TRUE,_xlfn.UNIQUE(IF(EQW[EquatedWeekPatternCode]=CONT_SUP[[#This Row],[EquatedWeekPatternCode]],EQW[SchoolCodes],""))))),1,0))</f>
        <v>0</v>
      </c>
      <c r="P162" s="57">
        <f>1-COUNTIF(ContractTypes[Code],CONT_SUP[[#This Row],[ContractTypeCode]])</f>
        <v>0</v>
      </c>
      <c r="Q162" s="57">
        <f>IF(VLOOKUP(CONT_SUP[[#This Row],[StaffMemberCode]],MEMBERS[[StaffMemberCode]:[ServiceStartDate]],5,0)&gt;CONT_SUP[[#This Row],[DateFrom]],1,0)</f>
        <v>0</v>
      </c>
      <c r="R162" s="57">
        <f>IF(_xlfn.XLOOKUP(CONT_SUP[[#This Row],[StaffMemberCode]],MEMBERS[StaffMemberCode],MEMBERS[ServiceEndDate])="",0,IF(CONT_SUP[[#This Row],[DateTo]]="",1,IF(_xlfn.XLOOKUP(CONT_SUP[[#This Row],[StaffMemberCode]],MEMBERS[StaffMemberCode],MEMBERS[ServiceEndDate])&lt;CONT_SUP[[#This Row],[DateTo]],1,0)))</f>
        <v>0</v>
      </c>
      <c r="S162" s="57">
        <f>IF(ISBLANK(CONT_SUP[[#This Row],[DateTo]]),0,IF(CONT_SUP[[#This Row],[DateFrom]]=CONT_SUP[[#This Row],[DateTo]],0,IF(CONT_SUP[[#This Row],[DateFrom]]&lt;CONT_SUP[[#This Row],[DateTo]],0,1)))</f>
        <v>0</v>
      </c>
      <c r="T162" s="57" cm="1">
        <f t="array" aca="1" ref="T162" ca="1">IF(CELL("format",CONT_SUP[[#This Row],[DateFrom]])="D1",0,1)+IF(CELL("format",CONT_SUP[[#This Row],[DateTo]])="D1",0,1)</f>
        <v>0</v>
      </c>
      <c r="U162" s="57">
        <f>IF(OR(CONT_SUP[[#This Row],[MatEditOnly]]=TRUE,CONT_SUP[[#This Row],[MatEditOnly]]=FALSE),IF(OR(CONT_SUP[[#This Row],[NoIncrement]]=TRUE,CONT_SUP[[#This Row],[NoIncrement]]=FALSE),0,1),1)</f>
        <v>0</v>
      </c>
      <c r="V162" s="57">
        <f>IF(ISBLANK(CONT_SUP[[#This Row],[FundCode]])=TRUE,0,IF(COUNTIF(FUNDS[FundCode],CONT_SUP[[#This Row],[FundCode]])=1,0,1))</f>
        <v>0</v>
      </c>
      <c r="W162" s="57">
        <f>IF(LEN(CONT_SUP[[#This Row],[Notes]])&lt;4000,0,1)</f>
        <v>0</v>
      </c>
      <c r="X162" s="57">
        <f>IF(SUBSTITUTE(TEXT(CONT_SUP[[#This Row],[Reference]],10)," ","")=TEXT(CONT_SUP[[#This Row],[Reference]],10),0,1)</f>
        <v>0</v>
      </c>
      <c r="Y162" s="57">
        <f ca="1">SUM(CONT_SUP[[#This Row],[Duplicate Contract]:[Space in Code]])</f>
        <v>0</v>
      </c>
      <c r="AA162" s="12" t="s">
        <v>2299</v>
      </c>
      <c r="AB162" s="12">
        <v>91073929</v>
      </c>
      <c r="AC162" s="12" t="s">
        <v>4758</v>
      </c>
      <c r="AD162" s="57" t="str">
        <f>_xlfn.XLOOKUP(CONT_SUP[[#This Row],[StaffMemberCode]],StaffMembers!O:O,StaffMembers!R:R)</f>
        <v>Tracey Sketchley</v>
      </c>
      <c r="AE162" s="12" t="s">
        <v>4316</v>
      </c>
      <c r="AF162" s="57">
        <f>_xlfn.XLOOKUP(CONT_SUP[[#This Row],[SRG]],SRG[StaffRoleGroupCode],SRG[GrossSalaryFinanceCode])</f>
        <v>647100</v>
      </c>
      <c r="AG162" s="57" t="str">
        <f>_xlfn.XLOOKUP(CONT_SUP[[#This Row],[StaffRoleCode]],ROLES[StaffRoleCode],ROLES[StaffRoleGroupCode])</f>
        <v>OTH</v>
      </c>
      <c r="AH162" s="57" t="str">
        <f>_xlfn.XLOOKUP(CONT_SUP[[#This Row],[StaffRoleCode]],ROLES[StaffRoleCode],ROLES[PayScaleCode])</f>
        <v>NJC_CHE</v>
      </c>
      <c r="AI162" s="12" t="s">
        <v>3120</v>
      </c>
      <c r="AJ162" s="12">
        <v>2</v>
      </c>
      <c r="AK162" s="12" t="s">
        <v>2490</v>
      </c>
      <c r="AM162" s="68" t="s">
        <v>3132</v>
      </c>
      <c r="AN162" s="12" t="s">
        <v>3134</v>
      </c>
      <c r="AO162" s="21">
        <v>45901</v>
      </c>
      <c r="AQ162" s="12">
        <v>2.5</v>
      </c>
      <c r="AR162" t="b">
        <v>0</v>
      </c>
      <c r="AS162" t="b">
        <v>0</v>
      </c>
      <c r="AT162" s="12" t="s">
        <v>1574</v>
      </c>
    </row>
    <row r="163" spans="1:46" x14ac:dyDescent="0.3">
      <c r="A163" s="57" t="str">
        <f t="shared" si="5"/>
        <v>WVP9107341591073415COOSC_SUPSOSC45901</v>
      </c>
      <c r="B163" s="57">
        <f>COUNTIF(CONT_SUP[Unique Contract],CONT_SUP[[#This Row],[Unique Contract]])-1</f>
        <v>0</v>
      </c>
      <c r="C163" s="57">
        <f>IFERROR(IF(FIND(CONT_SUP[[#This Row],[SchoolCode]],_xlfn.XLOOKUP(CONT_SUP[[#This Row],[StaffMemberCode]],MEMBERS[StaffMemberCode],MEMBERS[SchoolCodes]))&gt;0,0,1),1)</f>
        <v>0</v>
      </c>
      <c r="D163" s="57" cm="1">
        <f t="array" ref="D163">IF(_xlfn.XLOOKUP(CONT_SUP[[#This Row],[StaffRoleCode]],ROLES[StaffRoleCode],ROLES[AvailableToAllSchools],1,0,)=TRUE,0,IF(ISERROR(FIND(CONT_SUP[[#This Row],[SchoolCode]],_xlfn.TEXTJOIN(",",TRUE,_xlfn.UNIQUE(IF(ROLES[StaffRoleCode]=CONT_SUP[[#This Row],[StaffRoleCode]],ROLES[SchoolCodes],""))))),1,0))</f>
        <v>0</v>
      </c>
      <c r="E163" s="57" cm="1">
        <f t="array" ref="E16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63" s="57" cm="1">
        <f t="array" ref="F163">IF(_xlfn.XLOOKUP(CONT_SUP[[#This Row],[PayScaleCode]],PAYSCALES[PayScaleCode],PAYSCALES[AvailableToAllSchools],1,0,)=TRUE,0,IF(ISERROR(FIND(CONT_SUP[[#This Row],[SchoolCode]],_xlfn.TEXTJOIN(",",TRUE,_xlfn.UNIQUE(IF(PAYSCALES[PayScaleCode]=CONT_SUP[[#This Row],[PayScaleCode]],PAYSCALES[SchoolCodes],""))))),1,0))</f>
        <v>0</v>
      </c>
      <c r="G163" s="57">
        <f>IF(_xlfn.XLOOKUP(CONT_SUP[[#This Row],[PayScaleGradeCode]],GRADES[PayScaleGradeCode],GRADES[AvailableToAllSchools])=TRUE,0,IFERROR(IF(FIND(CONT_SUP[[#This Row],[SchoolCode]],_xlfn.XLOOKUP(CONT_SUP[[#This Row],[PayScaleGradeCode]],GRADES[PayScaleGradeCode],GRADES[SchoolCodes]))&gt;=1,0,1),1))</f>
        <v>0</v>
      </c>
      <c r="H163" s="57">
        <f>IF(ISERROR(IF((_xlfn.XLOOKUP(CONT_SUP[[#This Row],[PayScaleGradeCode]],GRADES[PayScaleGradeCode],GRADES[PayScaleCode])=CONT_SUP[[#This Row],[PayScaleCode]]),0,1)),1,0)</f>
        <v>0</v>
      </c>
      <c r="I163" s="57" cm="1">
        <f t="array" ref="I163">IF(ISERROR(FIND(CONT_SUP[[#This Row],[PayScalePointCode]],_xlfn.TEXTJOIN(",",TRUE,IF(PSPOINTS[PayScaleCode]=CONT_SUP[[#This Row],[PayScaleCode]],PSPOINTS[PayScalePointCode])))),1,0)</f>
        <v>0</v>
      </c>
      <c r="J163" s="57" cm="1">
        <f t="array" ref="J16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63" s="57">
        <f>IF(_xlfn.XLOOKUP(CONT_SUP[[#This Row],[PayScalePointCode]],PSPOINTS[PayScalePointCode],PSPOINTS[PayScalePointEnabled])=TRUE,0,1)</f>
        <v>0</v>
      </c>
      <c r="L163" s="57" cm="1">
        <f t="array" ref="L163">IF(_xlfn.XLOOKUP(CONT_SUP[[#This Row],[DepartmentCode]],DEPTS[DepartmentCode],DEPTS[AvailableToAllSchools],1,0,)=TRUE,0,IF(ISERROR(FIND(CONT_SUP[[#This Row],[SchoolCode]],_xlfn.TEXTJOIN(",",TRUE,_xlfn.UNIQUE(IF(DEPTS[DepartmentCode]=CONT_SUP[[#This Row],[DepartmentCode]],DEPTS[SchoolCodes],""))))),1,0))</f>
        <v>0</v>
      </c>
      <c r="M163" s="57">
        <f>IFERROR(IF(_xlfn.XLOOKUP(CONT_SUP[[#This Row],[SRG Gross]],FinanceCodesBudget[FinanceCode],FinanceCodesBudget[LedgerCode])=_xlfn.XLOOKUP(CONT_SUP[[#This Row],[DepartmentCode]],DEPTS[DepartmentCode],DEPTS[LedgerCode]),0,1),1)</f>
        <v>0</v>
      </c>
      <c r="N163" s="57" cm="1">
        <f t="array" ref="N163">IF(_xlfn.XLOOKUP(CONT_SUP[[#This Row],[PensionCode]],PENS[PensionCode],PENS[AvailableToAllSchools],1,0,)=TRUE,0,IF(ISERROR(FIND(CONT_SUP[[#This Row],[SchoolCode]],_xlfn.TEXTJOIN(",",TRUE,_xlfn.UNIQUE(IF(PENS[PensionCode]=CONT_SUP[[#This Row],[PensionCode]],PENS[SchoolCodes],""))))),1,0))</f>
        <v>0</v>
      </c>
      <c r="O163" s="57" cm="1">
        <f t="array" ref="O163">IF(_xlfn.XLOOKUP(CONT_SUP[[#This Row],[EquatedWeekPatternCode]],EQW[EquatedWeekPatternCode],EQW[AvailableToAllSchools],1,0,)=TRUE,0,IF(ISERROR(FIND(CONT_SUP[[#This Row],[SchoolCode]],_xlfn.TEXTJOIN(",",TRUE,_xlfn.UNIQUE(IF(EQW[EquatedWeekPatternCode]=CONT_SUP[[#This Row],[EquatedWeekPatternCode]],EQW[SchoolCodes],""))))),1,0))</f>
        <v>0</v>
      </c>
      <c r="P163" s="57">
        <f>1-COUNTIF(ContractTypes[Code],CONT_SUP[[#This Row],[ContractTypeCode]])</f>
        <v>0</v>
      </c>
      <c r="Q163" s="57">
        <f>IF(VLOOKUP(CONT_SUP[[#This Row],[StaffMemberCode]],MEMBERS[[StaffMemberCode]:[ServiceStartDate]],5,0)&gt;CONT_SUP[[#This Row],[DateFrom]],1,0)</f>
        <v>0</v>
      </c>
      <c r="R163" s="57">
        <f>IF(_xlfn.XLOOKUP(CONT_SUP[[#This Row],[StaffMemberCode]],MEMBERS[StaffMemberCode],MEMBERS[ServiceEndDate])="",0,IF(CONT_SUP[[#This Row],[DateTo]]="",1,IF(_xlfn.XLOOKUP(CONT_SUP[[#This Row],[StaffMemberCode]],MEMBERS[StaffMemberCode],MEMBERS[ServiceEndDate])&lt;CONT_SUP[[#This Row],[DateTo]],1,0)))</f>
        <v>0</v>
      </c>
      <c r="S163" s="57">
        <f>IF(ISBLANK(CONT_SUP[[#This Row],[DateTo]]),0,IF(CONT_SUP[[#This Row],[DateFrom]]=CONT_SUP[[#This Row],[DateTo]],0,IF(CONT_SUP[[#This Row],[DateFrom]]&lt;CONT_SUP[[#This Row],[DateTo]],0,1)))</f>
        <v>0</v>
      </c>
      <c r="T163" s="57" cm="1">
        <f t="array" aca="1" ref="T163" ca="1">IF(CELL("format",CONT_SUP[[#This Row],[DateFrom]])="D1",0,1)+IF(CELL("format",CONT_SUP[[#This Row],[DateTo]])="D1",0,1)</f>
        <v>0</v>
      </c>
      <c r="U163" s="57">
        <f>IF(OR(CONT_SUP[[#This Row],[MatEditOnly]]=TRUE,CONT_SUP[[#This Row],[MatEditOnly]]=FALSE),IF(OR(CONT_SUP[[#This Row],[NoIncrement]]=TRUE,CONT_SUP[[#This Row],[NoIncrement]]=FALSE),0,1),1)</f>
        <v>0</v>
      </c>
      <c r="V163" s="57">
        <f>IF(ISBLANK(CONT_SUP[[#This Row],[FundCode]])=TRUE,0,IF(COUNTIF(FUNDS[FundCode],CONT_SUP[[#This Row],[FundCode]])=1,0,1))</f>
        <v>0</v>
      </c>
      <c r="W163" s="57">
        <f>IF(LEN(CONT_SUP[[#This Row],[Notes]])&lt;4000,0,1)</f>
        <v>0</v>
      </c>
      <c r="X163" s="57">
        <f>IF(SUBSTITUTE(TEXT(CONT_SUP[[#This Row],[Reference]],10)," ","")=TEXT(CONT_SUP[[#This Row],[Reference]],10),0,1)</f>
        <v>0</v>
      </c>
      <c r="Y163" s="57">
        <f ca="1">SUM(CONT_SUP[[#This Row],[Duplicate Contract]:[Space in Code]])</f>
        <v>0</v>
      </c>
      <c r="AA163" s="12" t="s">
        <v>2275</v>
      </c>
      <c r="AB163" s="12">
        <v>91073415</v>
      </c>
      <c r="AC163" s="12" t="s">
        <v>4759</v>
      </c>
      <c r="AD163" s="57" t="str">
        <f>_xlfn.XLOOKUP(CONT_SUP[[#This Row],[StaffMemberCode]],StaffMembers!O:O,StaffMembers!R:R)</f>
        <v>Emma Grindley</v>
      </c>
      <c r="AE163" s="12" t="s">
        <v>4318</v>
      </c>
      <c r="AF163" s="57">
        <f>_xlfn.XLOOKUP(CONT_SUP[[#This Row],[SRG]],SRG[StaffRoleGroupCode],SRG[GrossSalaryFinanceCode])</f>
        <v>647100</v>
      </c>
      <c r="AG163" s="57" t="str">
        <f>_xlfn.XLOOKUP(CONT_SUP[[#This Row],[StaffRoleCode]],ROLES[StaffRoleCode],ROLES[StaffRoleGroupCode])</f>
        <v>OTH</v>
      </c>
      <c r="AH163" s="57" t="str">
        <f>_xlfn.XLOOKUP(CONT_SUP[[#This Row],[StaffRoleCode]],ROLES[StaffRoleCode],ROLES[PayScaleCode])</f>
        <v>NJC_CHE</v>
      </c>
      <c r="AI163" s="12" t="s">
        <v>3122</v>
      </c>
      <c r="AJ163" s="12">
        <v>6</v>
      </c>
      <c r="AK163" s="12" t="s">
        <v>2490</v>
      </c>
      <c r="AM163" s="68" t="s">
        <v>3132</v>
      </c>
      <c r="AN163" s="12" t="s">
        <v>3134</v>
      </c>
      <c r="AO163" s="21">
        <v>45901</v>
      </c>
      <c r="AQ163" s="12">
        <v>9.5</v>
      </c>
      <c r="AR163" t="b">
        <v>0</v>
      </c>
      <c r="AS163" t="b">
        <v>0</v>
      </c>
      <c r="AT163" s="12" t="s">
        <v>1574</v>
      </c>
    </row>
    <row r="164" spans="1:46" x14ac:dyDescent="0.3">
      <c r="A164" s="57" t="str">
        <f t="shared" si="5"/>
        <v>WVP9107340491073404FOOSC_SUPSOSC45901</v>
      </c>
      <c r="B164" s="57">
        <f>COUNTIF(CONT_SUP[Unique Contract],CONT_SUP[[#This Row],[Unique Contract]])-1</f>
        <v>0</v>
      </c>
      <c r="C164" s="57">
        <f>IFERROR(IF(FIND(CONT_SUP[[#This Row],[SchoolCode]],_xlfn.XLOOKUP(CONT_SUP[[#This Row],[StaffMemberCode]],MEMBERS[StaffMemberCode],MEMBERS[SchoolCodes]))&gt;0,0,1),1)</f>
        <v>0</v>
      </c>
      <c r="D164" s="57" cm="1">
        <f t="array" ref="D164">IF(_xlfn.XLOOKUP(CONT_SUP[[#This Row],[StaffRoleCode]],ROLES[StaffRoleCode],ROLES[AvailableToAllSchools],1,0,)=TRUE,0,IF(ISERROR(FIND(CONT_SUP[[#This Row],[SchoolCode]],_xlfn.TEXTJOIN(",",TRUE,_xlfn.UNIQUE(IF(ROLES[StaffRoleCode]=CONT_SUP[[#This Row],[StaffRoleCode]],ROLES[SchoolCodes],""))))),1,0))</f>
        <v>0</v>
      </c>
      <c r="E164" s="57" cm="1">
        <f t="array" ref="E16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64" s="57" cm="1">
        <f t="array" ref="F164">IF(_xlfn.XLOOKUP(CONT_SUP[[#This Row],[PayScaleCode]],PAYSCALES[PayScaleCode],PAYSCALES[AvailableToAllSchools],1,0,)=TRUE,0,IF(ISERROR(FIND(CONT_SUP[[#This Row],[SchoolCode]],_xlfn.TEXTJOIN(",",TRUE,_xlfn.UNIQUE(IF(PAYSCALES[PayScaleCode]=CONT_SUP[[#This Row],[PayScaleCode]],PAYSCALES[SchoolCodes],""))))),1,0))</f>
        <v>0</v>
      </c>
      <c r="G164" s="57">
        <f>IF(_xlfn.XLOOKUP(CONT_SUP[[#This Row],[PayScaleGradeCode]],GRADES[PayScaleGradeCode],GRADES[AvailableToAllSchools])=TRUE,0,IFERROR(IF(FIND(CONT_SUP[[#This Row],[SchoolCode]],_xlfn.XLOOKUP(CONT_SUP[[#This Row],[PayScaleGradeCode]],GRADES[PayScaleGradeCode],GRADES[SchoolCodes]))&gt;=1,0,1),1))</f>
        <v>0</v>
      </c>
      <c r="H164" s="57">
        <f>IF(ISERROR(IF((_xlfn.XLOOKUP(CONT_SUP[[#This Row],[PayScaleGradeCode]],GRADES[PayScaleGradeCode],GRADES[PayScaleCode])=CONT_SUP[[#This Row],[PayScaleCode]]),0,1)),1,0)</f>
        <v>0</v>
      </c>
      <c r="I164" s="57" cm="1">
        <f t="array" ref="I164">IF(ISERROR(FIND(CONT_SUP[[#This Row],[PayScalePointCode]],_xlfn.TEXTJOIN(",",TRUE,IF(PSPOINTS[PayScaleCode]=CONT_SUP[[#This Row],[PayScaleCode]],PSPOINTS[PayScalePointCode])))),1,0)</f>
        <v>0</v>
      </c>
      <c r="J164" s="57" cm="1">
        <f t="array" ref="J16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64" s="57">
        <f>IF(_xlfn.XLOOKUP(CONT_SUP[[#This Row],[PayScalePointCode]],PSPOINTS[PayScalePointCode],PSPOINTS[PayScalePointEnabled])=TRUE,0,1)</f>
        <v>0</v>
      </c>
      <c r="L164" s="57" cm="1">
        <f t="array" ref="L164">IF(_xlfn.XLOOKUP(CONT_SUP[[#This Row],[DepartmentCode]],DEPTS[DepartmentCode],DEPTS[AvailableToAllSchools],1,0,)=TRUE,0,IF(ISERROR(FIND(CONT_SUP[[#This Row],[SchoolCode]],_xlfn.TEXTJOIN(",",TRUE,_xlfn.UNIQUE(IF(DEPTS[DepartmentCode]=CONT_SUP[[#This Row],[DepartmentCode]],DEPTS[SchoolCodes],""))))),1,0))</f>
        <v>0</v>
      </c>
      <c r="M164" s="57">
        <f>IFERROR(IF(_xlfn.XLOOKUP(CONT_SUP[[#This Row],[SRG Gross]],FinanceCodesBudget[FinanceCode],FinanceCodesBudget[LedgerCode])=_xlfn.XLOOKUP(CONT_SUP[[#This Row],[DepartmentCode]],DEPTS[DepartmentCode],DEPTS[LedgerCode]),0,1),1)</f>
        <v>0</v>
      </c>
      <c r="N164" s="57" cm="1">
        <f t="array" ref="N164">IF(_xlfn.XLOOKUP(CONT_SUP[[#This Row],[PensionCode]],PENS[PensionCode],PENS[AvailableToAllSchools],1,0,)=TRUE,0,IF(ISERROR(FIND(CONT_SUP[[#This Row],[SchoolCode]],_xlfn.TEXTJOIN(",",TRUE,_xlfn.UNIQUE(IF(PENS[PensionCode]=CONT_SUP[[#This Row],[PensionCode]],PENS[SchoolCodes],""))))),1,0))</f>
        <v>0</v>
      </c>
      <c r="O164" s="57" cm="1">
        <f t="array" ref="O164">IF(_xlfn.XLOOKUP(CONT_SUP[[#This Row],[EquatedWeekPatternCode]],EQW[EquatedWeekPatternCode],EQW[AvailableToAllSchools],1,0,)=TRUE,0,IF(ISERROR(FIND(CONT_SUP[[#This Row],[SchoolCode]],_xlfn.TEXTJOIN(",",TRUE,_xlfn.UNIQUE(IF(EQW[EquatedWeekPatternCode]=CONT_SUP[[#This Row],[EquatedWeekPatternCode]],EQW[SchoolCodes],""))))),1,0))</f>
        <v>0</v>
      </c>
      <c r="P164" s="57">
        <f>1-COUNTIF(ContractTypes[Code],CONT_SUP[[#This Row],[ContractTypeCode]])</f>
        <v>0</v>
      </c>
      <c r="Q164" s="57">
        <f>IF(VLOOKUP(CONT_SUP[[#This Row],[StaffMemberCode]],MEMBERS[[StaffMemberCode]:[ServiceStartDate]],5,0)&gt;CONT_SUP[[#This Row],[DateFrom]],1,0)</f>
        <v>0</v>
      </c>
      <c r="R164" s="57">
        <f>IF(_xlfn.XLOOKUP(CONT_SUP[[#This Row],[StaffMemberCode]],MEMBERS[StaffMemberCode],MEMBERS[ServiceEndDate])="",0,IF(CONT_SUP[[#This Row],[DateTo]]="",1,IF(_xlfn.XLOOKUP(CONT_SUP[[#This Row],[StaffMemberCode]],MEMBERS[StaffMemberCode],MEMBERS[ServiceEndDate])&lt;CONT_SUP[[#This Row],[DateTo]],1,0)))</f>
        <v>0</v>
      </c>
      <c r="S164" s="57">
        <f>IF(ISBLANK(CONT_SUP[[#This Row],[DateTo]]),0,IF(CONT_SUP[[#This Row],[DateFrom]]=CONT_SUP[[#This Row],[DateTo]],0,IF(CONT_SUP[[#This Row],[DateFrom]]&lt;CONT_SUP[[#This Row],[DateTo]],0,1)))</f>
        <v>0</v>
      </c>
      <c r="T164" s="57" cm="1">
        <f t="array" aca="1" ref="T164" ca="1">IF(CELL("format",CONT_SUP[[#This Row],[DateFrom]])="D1",0,1)+IF(CELL("format",CONT_SUP[[#This Row],[DateTo]])="D1",0,1)</f>
        <v>0</v>
      </c>
      <c r="U164" s="57">
        <f>IF(OR(CONT_SUP[[#This Row],[MatEditOnly]]=TRUE,CONT_SUP[[#This Row],[MatEditOnly]]=FALSE),IF(OR(CONT_SUP[[#This Row],[NoIncrement]]=TRUE,CONT_SUP[[#This Row],[NoIncrement]]=FALSE),0,1),1)</f>
        <v>0</v>
      </c>
      <c r="V164" s="57">
        <f>IF(ISBLANK(CONT_SUP[[#This Row],[FundCode]])=TRUE,0,IF(COUNTIF(FUNDS[FundCode],CONT_SUP[[#This Row],[FundCode]])=1,0,1))</f>
        <v>0</v>
      </c>
      <c r="W164" s="57">
        <f>IF(LEN(CONT_SUP[[#This Row],[Notes]])&lt;4000,0,1)</f>
        <v>0</v>
      </c>
      <c r="X164" s="57">
        <f>IF(SUBSTITUTE(TEXT(CONT_SUP[[#This Row],[Reference]],10)," ","")=TEXT(CONT_SUP[[#This Row],[Reference]],10),0,1)</f>
        <v>0</v>
      </c>
      <c r="Y164" s="57">
        <f ca="1">SUM(CONT_SUP[[#This Row],[Duplicate Contract]:[Space in Code]])</f>
        <v>0</v>
      </c>
      <c r="AA164" s="12" t="s">
        <v>2275</v>
      </c>
      <c r="AB164" s="12">
        <v>91073404</v>
      </c>
      <c r="AC164" s="12" t="s">
        <v>4760</v>
      </c>
      <c r="AD164" s="57" t="str">
        <f>_xlfn.XLOOKUP(CONT_SUP[[#This Row],[StaffMemberCode]],StaffMembers!O:O,StaffMembers!R:R)</f>
        <v>Gillian Shearer</v>
      </c>
      <c r="AE164" s="12" t="s">
        <v>4318</v>
      </c>
      <c r="AF164" s="57">
        <f>_xlfn.XLOOKUP(CONT_SUP[[#This Row],[SRG]],SRG[StaffRoleGroupCode],SRG[GrossSalaryFinanceCode])</f>
        <v>647100</v>
      </c>
      <c r="AG164" s="57" t="str">
        <f>_xlfn.XLOOKUP(CONT_SUP[[#This Row],[StaffRoleCode]],ROLES[StaffRoleCode],ROLES[StaffRoleGroupCode])</f>
        <v>OTH</v>
      </c>
      <c r="AH164" s="57" t="str">
        <f>_xlfn.XLOOKUP(CONT_SUP[[#This Row],[StaffRoleCode]],ROLES[StaffRoleCode],ROLES[PayScaleCode])</f>
        <v>NJC_CHE</v>
      </c>
      <c r="AI164" s="12" t="s">
        <v>3122</v>
      </c>
      <c r="AJ164" s="12">
        <v>6</v>
      </c>
      <c r="AK164" s="12" t="s">
        <v>2490</v>
      </c>
      <c r="AM164" s="68" t="s">
        <v>3132</v>
      </c>
      <c r="AN164" s="12" t="s">
        <v>3134</v>
      </c>
      <c r="AO164" s="21">
        <v>45901</v>
      </c>
      <c r="AQ164" s="12">
        <v>3</v>
      </c>
      <c r="AR164" t="b">
        <v>0</v>
      </c>
      <c r="AS164" t="b">
        <v>0</v>
      </c>
      <c r="AT164" s="12" t="s">
        <v>1574</v>
      </c>
    </row>
    <row r="165" spans="1:46" x14ac:dyDescent="0.3">
      <c r="A165" s="57" t="str">
        <f t="shared" si="5"/>
        <v>WVP9107341891073418APLAY_ASTSOSC45901</v>
      </c>
      <c r="B165" s="57">
        <f>COUNTIF(CONT_SUP[Unique Contract],CONT_SUP[[#This Row],[Unique Contract]])-1</f>
        <v>0</v>
      </c>
      <c r="C165" s="57">
        <f>IFERROR(IF(FIND(CONT_SUP[[#This Row],[SchoolCode]],_xlfn.XLOOKUP(CONT_SUP[[#This Row],[StaffMemberCode]],MEMBERS[StaffMemberCode],MEMBERS[SchoolCodes]))&gt;0,0,1),1)</f>
        <v>0</v>
      </c>
      <c r="D165" s="57" cm="1">
        <f t="array" ref="D165">IF(_xlfn.XLOOKUP(CONT_SUP[[#This Row],[StaffRoleCode]],ROLES[StaffRoleCode],ROLES[AvailableToAllSchools],1,0,)=TRUE,0,IF(ISERROR(FIND(CONT_SUP[[#This Row],[SchoolCode]],_xlfn.TEXTJOIN(",",TRUE,_xlfn.UNIQUE(IF(ROLES[StaffRoleCode]=CONT_SUP[[#This Row],[StaffRoleCode]],ROLES[SchoolCodes],""))))),1,0))</f>
        <v>0</v>
      </c>
      <c r="E165" s="57" cm="1">
        <f t="array" ref="E16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65" s="57" cm="1">
        <f t="array" ref="F165">IF(_xlfn.XLOOKUP(CONT_SUP[[#This Row],[PayScaleCode]],PAYSCALES[PayScaleCode],PAYSCALES[AvailableToAllSchools],1,0,)=TRUE,0,IF(ISERROR(FIND(CONT_SUP[[#This Row],[SchoolCode]],_xlfn.TEXTJOIN(",",TRUE,_xlfn.UNIQUE(IF(PAYSCALES[PayScaleCode]=CONT_SUP[[#This Row],[PayScaleCode]],PAYSCALES[SchoolCodes],""))))),1,0))</f>
        <v>0</v>
      </c>
      <c r="G165" s="57">
        <f>IF(_xlfn.XLOOKUP(CONT_SUP[[#This Row],[PayScaleGradeCode]],GRADES[PayScaleGradeCode],GRADES[AvailableToAllSchools])=TRUE,0,IFERROR(IF(FIND(CONT_SUP[[#This Row],[SchoolCode]],_xlfn.XLOOKUP(CONT_SUP[[#This Row],[PayScaleGradeCode]],GRADES[PayScaleGradeCode],GRADES[SchoolCodes]))&gt;=1,0,1),1))</f>
        <v>0</v>
      </c>
      <c r="H165" s="57">
        <f>IF(ISERROR(IF((_xlfn.XLOOKUP(CONT_SUP[[#This Row],[PayScaleGradeCode]],GRADES[PayScaleGradeCode],GRADES[PayScaleCode])=CONT_SUP[[#This Row],[PayScaleCode]]),0,1)),1,0)</f>
        <v>0</v>
      </c>
      <c r="I165" s="57" cm="1">
        <f t="array" ref="I165">IF(ISERROR(FIND(CONT_SUP[[#This Row],[PayScalePointCode]],_xlfn.TEXTJOIN(",",TRUE,IF(PSPOINTS[PayScaleCode]=CONT_SUP[[#This Row],[PayScaleCode]],PSPOINTS[PayScalePointCode])))),1,0)</f>
        <v>0</v>
      </c>
      <c r="J165" s="57" cm="1">
        <f t="array" ref="J16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65" s="57">
        <f>IF(_xlfn.XLOOKUP(CONT_SUP[[#This Row],[PayScalePointCode]],PSPOINTS[PayScalePointCode],PSPOINTS[PayScalePointEnabled])=TRUE,0,1)</f>
        <v>0</v>
      </c>
      <c r="L165" s="57" cm="1">
        <f t="array" ref="L165">IF(_xlfn.XLOOKUP(CONT_SUP[[#This Row],[DepartmentCode]],DEPTS[DepartmentCode],DEPTS[AvailableToAllSchools],1,0,)=TRUE,0,IF(ISERROR(FIND(CONT_SUP[[#This Row],[SchoolCode]],_xlfn.TEXTJOIN(",",TRUE,_xlfn.UNIQUE(IF(DEPTS[DepartmentCode]=CONT_SUP[[#This Row],[DepartmentCode]],DEPTS[SchoolCodes],""))))),1,0))</f>
        <v>0</v>
      </c>
      <c r="M165" s="57">
        <f>IFERROR(IF(_xlfn.XLOOKUP(CONT_SUP[[#This Row],[SRG Gross]],FinanceCodesBudget[FinanceCode],FinanceCodesBudget[LedgerCode])=_xlfn.XLOOKUP(CONT_SUP[[#This Row],[DepartmentCode]],DEPTS[DepartmentCode],DEPTS[LedgerCode]),0,1),1)</f>
        <v>0</v>
      </c>
      <c r="N165" s="57" cm="1">
        <f t="array" ref="N165">IF(_xlfn.XLOOKUP(CONT_SUP[[#This Row],[PensionCode]],PENS[PensionCode],PENS[AvailableToAllSchools],1,0,)=TRUE,0,IF(ISERROR(FIND(CONT_SUP[[#This Row],[SchoolCode]],_xlfn.TEXTJOIN(",",TRUE,_xlfn.UNIQUE(IF(PENS[PensionCode]=CONT_SUP[[#This Row],[PensionCode]],PENS[SchoolCodes],""))))),1,0))</f>
        <v>0</v>
      </c>
      <c r="O165" s="57" cm="1">
        <f t="array" ref="O165">IF(_xlfn.XLOOKUP(CONT_SUP[[#This Row],[EquatedWeekPatternCode]],EQW[EquatedWeekPatternCode],EQW[AvailableToAllSchools],1,0,)=TRUE,0,IF(ISERROR(FIND(CONT_SUP[[#This Row],[SchoolCode]],_xlfn.TEXTJOIN(",",TRUE,_xlfn.UNIQUE(IF(EQW[EquatedWeekPatternCode]=CONT_SUP[[#This Row],[EquatedWeekPatternCode]],EQW[SchoolCodes],""))))),1,0))</f>
        <v>0</v>
      </c>
      <c r="P165" s="57">
        <f>1-COUNTIF(ContractTypes[Code],CONT_SUP[[#This Row],[ContractTypeCode]])</f>
        <v>0</v>
      </c>
      <c r="Q165" s="57">
        <f>IF(VLOOKUP(CONT_SUP[[#This Row],[StaffMemberCode]],MEMBERS[[StaffMemberCode]:[ServiceStartDate]],5,0)&gt;CONT_SUP[[#This Row],[DateFrom]],1,0)</f>
        <v>0</v>
      </c>
      <c r="R165" s="57">
        <f>IF(_xlfn.XLOOKUP(CONT_SUP[[#This Row],[StaffMemberCode]],MEMBERS[StaffMemberCode],MEMBERS[ServiceEndDate])="",0,IF(CONT_SUP[[#This Row],[DateTo]]="",1,IF(_xlfn.XLOOKUP(CONT_SUP[[#This Row],[StaffMemberCode]],MEMBERS[StaffMemberCode],MEMBERS[ServiceEndDate])&lt;CONT_SUP[[#This Row],[DateTo]],1,0)))</f>
        <v>0</v>
      </c>
      <c r="S165" s="57">
        <f>IF(ISBLANK(CONT_SUP[[#This Row],[DateTo]]),0,IF(CONT_SUP[[#This Row],[DateFrom]]=CONT_SUP[[#This Row],[DateTo]],0,IF(CONT_SUP[[#This Row],[DateFrom]]&lt;CONT_SUP[[#This Row],[DateTo]],0,1)))</f>
        <v>0</v>
      </c>
      <c r="T165" s="57" cm="1">
        <f t="array" aca="1" ref="T165" ca="1">IF(CELL("format",CONT_SUP[[#This Row],[DateFrom]])="D1",0,1)+IF(CELL("format",CONT_SUP[[#This Row],[DateTo]])="D1",0,1)</f>
        <v>0</v>
      </c>
      <c r="U165" s="57">
        <f>IF(OR(CONT_SUP[[#This Row],[MatEditOnly]]=TRUE,CONT_SUP[[#This Row],[MatEditOnly]]=FALSE),IF(OR(CONT_SUP[[#This Row],[NoIncrement]]=TRUE,CONT_SUP[[#This Row],[NoIncrement]]=FALSE),0,1),1)</f>
        <v>0</v>
      </c>
      <c r="V165" s="57">
        <f>IF(ISBLANK(CONT_SUP[[#This Row],[FundCode]])=TRUE,0,IF(COUNTIF(FUNDS[FundCode],CONT_SUP[[#This Row],[FundCode]])=1,0,1))</f>
        <v>0</v>
      </c>
      <c r="W165" s="57">
        <f>IF(LEN(CONT_SUP[[#This Row],[Notes]])&lt;4000,0,1)</f>
        <v>0</v>
      </c>
      <c r="X165" s="57">
        <f>IF(SUBSTITUTE(TEXT(CONT_SUP[[#This Row],[Reference]],10)," ","")=TEXT(CONT_SUP[[#This Row],[Reference]],10),0,1)</f>
        <v>0</v>
      </c>
      <c r="Y165" s="57">
        <f ca="1">SUM(CONT_SUP[[#This Row],[Duplicate Contract]:[Space in Code]])</f>
        <v>0</v>
      </c>
      <c r="AA165" s="12" t="s">
        <v>2275</v>
      </c>
      <c r="AB165" s="12">
        <v>91073418</v>
      </c>
      <c r="AC165" s="12" t="s">
        <v>4761</v>
      </c>
      <c r="AD165" s="57" t="str">
        <f>_xlfn.XLOOKUP(CONT_SUP[[#This Row],[StaffMemberCode]],StaffMembers!O:O,StaffMembers!R:R)</f>
        <v>Ashleigh Shearer-Davies</v>
      </c>
      <c r="AE165" s="12" t="s">
        <v>4320</v>
      </c>
      <c r="AF165" s="57">
        <f>_xlfn.XLOOKUP(CONT_SUP[[#This Row],[SRG]],SRG[StaffRoleGroupCode],SRG[GrossSalaryFinanceCode])</f>
        <v>647100</v>
      </c>
      <c r="AG165" s="57" t="str">
        <f>_xlfn.XLOOKUP(CONT_SUP[[#This Row],[StaffRoleCode]],ROLES[StaffRoleCode],ROLES[StaffRoleGroupCode])</f>
        <v>OTH</v>
      </c>
      <c r="AH165" s="57" t="str">
        <f>_xlfn.XLOOKUP(CONT_SUP[[#This Row],[StaffRoleCode]],ROLES[StaffRoleCode],ROLES[PayScaleCode])</f>
        <v>NJC_CHE</v>
      </c>
      <c r="AI165" s="12" t="s">
        <v>3120</v>
      </c>
      <c r="AJ165" s="12">
        <v>2</v>
      </c>
      <c r="AK165" s="12" t="s">
        <v>2490</v>
      </c>
      <c r="AM165" s="68" t="s">
        <v>3132</v>
      </c>
      <c r="AN165" s="12" t="s">
        <v>3134</v>
      </c>
      <c r="AO165" s="21">
        <v>45901</v>
      </c>
      <c r="AQ165" s="12">
        <v>9</v>
      </c>
      <c r="AR165" t="b">
        <v>0</v>
      </c>
      <c r="AS165" t="b">
        <v>0</v>
      </c>
      <c r="AT165" s="12" t="s">
        <v>1574</v>
      </c>
    </row>
    <row r="166" spans="1:46" x14ac:dyDescent="0.3">
      <c r="A166" s="57" t="str">
        <f t="shared" si="5"/>
        <v>SBL9185000091850000APWSOSC45901</v>
      </c>
      <c r="B166" s="57">
        <f>COUNTIF(CONT_SUP[Unique Contract],CONT_SUP[[#This Row],[Unique Contract]])-1</f>
        <v>0</v>
      </c>
      <c r="C166" s="57">
        <f>IFERROR(IF(FIND(CONT_SUP[[#This Row],[SchoolCode]],_xlfn.XLOOKUP(CONT_SUP[[#This Row],[StaffMemberCode]],MEMBERS[StaffMemberCode],MEMBERS[SchoolCodes]))&gt;0,0,1),1)</f>
        <v>0</v>
      </c>
      <c r="D166" s="57" cm="1">
        <f t="array" ref="D166">IF(_xlfn.XLOOKUP(CONT_SUP[[#This Row],[StaffRoleCode]],ROLES[StaffRoleCode],ROLES[AvailableToAllSchools],1,0,)=TRUE,0,IF(ISERROR(FIND(CONT_SUP[[#This Row],[SchoolCode]],_xlfn.TEXTJOIN(",",TRUE,_xlfn.UNIQUE(IF(ROLES[StaffRoleCode]=CONT_SUP[[#This Row],[StaffRoleCode]],ROLES[SchoolCodes],""))))),1,0))</f>
        <v>0</v>
      </c>
      <c r="E166" s="57" cm="1">
        <f t="array" ref="E16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66" s="57" cm="1">
        <f t="array" ref="F166">IF(_xlfn.XLOOKUP(CONT_SUP[[#This Row],[PayScaleCode]],PAYSCALES[PayScaleCode],PAYSCALES[AvailableToAllSchools],1,0,)=TRUE,0,IF(ISERROR(FIND(CONT_SUP[[#This Row],[SchoolCode]],_xlfn.TEXTJOIN(",",TRUE,_xlfn.UNIQUE(IF(PAYSCALES[PayScaleCode]=CONT_SUP[[#This Row],[PayScaleCode]],PAYSCALES[SchoolCodes],""))))),1,0))</f>
        <v>0</v>
      </c>
      <c r="G166" s="57">
        <f>IF(_xlfn.XLOOKUP(CONT_SUP[[#This Row],[PayScaleGradeCode]],GRADES[PayScaleGradeCode],GRADES[AvailableToAllSchools])=TRUE,0,IFERROR(IF(FIND(CONT_SUP[[#This Row],[SchoolCode]],_xlfn.XLOOKUP(CONT_SUP[[#This Row],[PayScaleGradeCode]],GRADES[PayScaleGradeCode],GRADES[SchoolCodes]))&gt;=1,0,1),1))</f>
        <v>0</v>
      </c>
      <c r="H166" s="57">
        <f>IF(ISERROR(IF((_xlfn.XLOOKUP(CONT_SUP[[#This Row],[PayScaleGradeCode]],GRADES[PayScaleGradeCode],GRADES[PayScaleCode])=CONT_SUP[[#This Row],[PayScaleCode]]),0,1)),1,0)</f>
        <v>0</v>
      </c>
      <c r="I166" s="57" cm="1">
        <f t="array" ref="I166">IF(ISERROR(FIND(CONT_SUP[[#This Row],[PayScalePointCode]],_xlfn.TEXTJOIN(",",TRUE,IF(PSPOINTS[PayScaleCode]=CONT_SUP[[#This Row],[PayScaleCode]],PSPOINTS[PayScalePointCode])))),1,0)</f>
        <v>0</v>
      </c>
      <c r="J166" s="57" cm="1">
        <f t="array" ref="J16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66" s="57">
        <f>IF(_xlfn.XLOOKUP(CONT_SUP[[#This Row],[PayScalePointCode]],PSPOINTS[PayScalePointCode],PSPOINTS[PayScalePointEnabled])=TRUE,0,1)</f>
        <v>0</v>
      </c>
      <c r="L166" s="57" cm="1">
        <f t="array" ref="L166">IF(_xlfn.XLOOKUP(CONT_SUP[[#This Row],[DepartmentCode]],DEPTS[DepartmentCode],DEPTS[AvailableToAllSchools],1,0,)=TRUE,0,IF(ISERROR(FIND(CONT_SUP[[#This Row],[SchoolCode]],_xlfn.TEXTJOIN(",",TRUE,_xlfn.UNIQUE(IF(DEPTS[DepartmentCode]=CONT_SUP[[#This Row],[DepartmentCode]],DEPTS[SchoolCodes],""))))),1,0))</f>
        <v>0</v>
      </c>
      <c r="M166" s="57">
        <f>IFERROR(IF(_xlfn.XLOOKUP(CONT_SUP[[#This Row],[SRG Gross]],FinanceCodesBudget[FinanceCode],FinanceCodesBudget[LedgerCode])=_xlfn.XLOOKUP(CONT_SUP[[#This Row],[DepartmentCode]],DEPTS[DepartmentCode],DEPTS[LedgerCode]),0,1),1)</f>
        <v>0</v>
      </c>
      <c r="N166" s="57" cm="1">
        <f t="array" ref="N166">IF(_xlfn.XLOOKUP(CONT_SUP[[#This Row],[PensionCode]],PENS[PensionCode],PENS[AvailableToAllSchools],1,0,)=TRUE,0,IF(ISERROR(FIND(CONT_SUP[[#This Row],[SchoolCode]],_xlfn.TEXTJOIN(",",TRUE,_xlfn.UNIQUE(IF(PENS[PensionCode]=CONT_SUP[[#This Row],[PensionCode]],PENS[SchoolCodes],""))))),1,0))</f>
        <v>0</v>
      </c>
      <c r="O166" s="57" cm="1">
        <f t="array" ref="O166">IF(_xlfn.XLOOKUP(CONT_SUP[[#This Row],[EquatedWeekPatternCode]],EQW[EquatedWeekPatternCode],EQW[AvailableToAllSchools],1,0,)=TRUE,0,IF(ISERROR(FIND(CONT_SUP[[#This Row],[SchoolCode]],_xlfn.TEXTJOIN(",",TRUE,_xlfn.UNIQUE(IF(EQW[EquatedWeekPatternCode]=CONT_SUP[[#This Row],[EquatedWeekPatternCode]],EQW[SchoolCodes],""))))),1,0))</f>
        <v>0</v>
      </c>
      <c r="P166" s="57">
        <f>1-COUNTIF(ContractTypes[Code],CONT_SUP[[#This Row],[ContractTypeCode]])</f>
        <v>0</v>
      </c>
      <c r="Q166" s="57">
        <f>IF(VLOOKUP(CONT_SUP[[#This Row],[StaffMemberCode]],MEMBERS[[StaffMemberCode]:[ServiceStartDate]],5,0)&gt;CONT_SUP[[#This Row],[DateFrom]],1,0)</f>
        <v>0</v>
      </c>
      <c r="R166" s="57">
        <f>IF(_xlfn.XLOOKUP(CONT_SUP[[#This Row],[StaffMemberCode]],MEMBERS[StaffMemberCode],MEMBERS[ServiceEndDate])="",0,IF(CONT_SUP[[#This Row],[DateTo]]="",1,IF(_xlfn.XLOOKUP(CONT_SUP[[#This Row],[StaffMemberCode]],MEMBERS[StaffMemberCode],MEMBERS[ServiceEndDate])&lt;CONT_SUP[[#This Row],[DateTo]],1,0)))</f>
        <v>0</v>
      </c>
      <c r="S166" s="57">
        <f>IF(ISBLANK(CONT_SUP[[#This Row],[DateTo]]),0,IF(CONT_SUP[[#This Row],[DateFrom]]=CONT_SUP[[#This Row],[DateTo]],0,IF(CONT_SUP[[#This Row],[DateFrom]]&lt;CONT_SUP[[#This Row],[DateTo]],0,1)))</f>
        <v>0</v>
      </c>
      <c r="T166" s="57" cm="1">
        <f t="array" aca="1" ref="T166" ca="1">IF(CELL("format",CONT_SUP[[#This Row],[DateFrom]])="D1",0,1)+IF(CELL("format",CONT_SUP[[#This Row],[DateTo]])="D1",0,1)</f>
        <v>0</v>
      </c>
      <c r="U166" s="57">
        <f>IF(OR(CONT_SUP[[#This Row],[MatEditOnly]]=TRUE,CONT_SUP[[#This Row],[MatEditOnly]]=FALSE),IF(OR(CONT_SUP[[#This Row],[NoIncrement]]=TRUE,CONT_SUP[[#This Row],[NoIncrement]]=FALSE),0,1),1)</f>
        <v>0</v>
      </c>
      <c r="V166" s="57">
        <f>IF(ISBLANK(CONT_SUP[[#This Row],[FundCode]])=TRUE,0,IF(COUNTIF(FUNDS[FundCode],CONT_SUP[[#This Row],[FundCode]])=1,0,1))</f>
        <v>0</v>
      </c>
      <c r="W166" s="57">
        <f>IF(LEN(CONT_SUP[[#This Row],[Notes]])&lt;4000,0,1)</f>
        <v>0</v>
      </c>
      <c r="X166" s="57">
        <f>IF(SUBSTITUTE(TEXT(CONT_SUP[[#This Row],[Reference]],10)," ","")=TEXT(CONT_SUP[[#This Row],[Reference]],10),0,1)</f>
        <v>0</v>
      </c>
      <c r="Y166" s="57">
        <f ca="1">SUM(CONT_SUP[[#This Row],[Duplicate Contract]:[Space in Code]])</f>
        <v>0</v>
      </c>
      <c r="AA166" s="12" t="s">
        <v>2200</v>
      </c>
      <c r="AB166" s="12">
        <v>91850000</v>
      </c>
      <c r="AC166" s="12" t="s">
        <v>4762</v>
      </c>
      <c r="AD166" s="57" t="str">
        <f>_xlfn.XLOOKUP(CONT_SUP[[#This Row],[StaffMemberCode]],StaffMembers!O:O,StaffMembers!R:R)</f>
        <v>Lynsey Martin</v>
      </c>
      <c r="AE166" s="12" t="s">
        <v>4322</v>
      </c>
      <c r="AF166" s="57">
        <f>_xlfn.XLOOKUP(CONT_SUP[[#This Row],[SRG]],SRG[StaffRoleGroupCode],SRG[GrossSalaryFinanceCode])</f>
        <v>647100</v>
      </c>
      <c r="AG166" s="57" t="str">
        <f>_xlfn.XLOOKUP(CONT_SUP[[#This Row],[StaffRoleCode]],ROLES[StaffRoleCode],ROLES[StaffRoleGroupCode])</f>
        <v>OTH</v>
      </c>
      <c r="AH166" s="57" t="str">
        <f>_xlfn.XLOOKUP(CONT_SUP[[#This Row],[StaffRoleCode]],ROLES[StaffRoleCode],ROLES[PayScaleCode])</f>
        <v>NJC_CHE</v>
      </c>
      <c r="AI166" s="12" t="s">
        <v>3122</v>
      </c>
      <c r="AJ166" s="12">
        <v>5</v>
      </c>
      <c r="AK166" s="12" t="s">
        <v>2490</v>
      </c>
      <c r="AM166" s="68" t="s">
        <v>3132</v>
      </c>
      <c r="AN166" s="12" t="s">
        <v>1702</v>
      </c>
      <c r="AO166" s="21">
        <v>45901</v>
      </c>
      <c r="AQ166" s="12">
        <v>15.5</v>
      </c>
      <c r="AR166" t="b">
        <v>0</v>
      </c>
      <c r="AS166" t="b">
        <v>0</v>
      </c>
      <c r="AT166" s="12" t="s">
        <v>1574</v>
      </c>
    </row>
    <row r="167" spans="1:46" x14ac:dyDescent="0.3">
      <c r="A167" s="57" t="str">
        <f t="shared" si="5"/>
        <v>MAT9132355491323554ASITE_SUPSPREMMAT45901</v>
      </c>
      <c r="B167" s="57">
        <f>COUNTIF(CONT_SUP[Unique Contract],CONT_SUP[[#This Row],[Unique Contract]])-1</f>
        <v>0</v>
      </c>
      <c r="C167" s="57">
        <f>IFERROR(IF(FIND(CONT_SUP[[#This Row],[SchoolCode]],_xlfn.XLOOKUP(CONT_SUP[[#This Row],[StaffMemberCode]],MEMBERS[StaffMemberCode],MEMBERS[SchoolCodes]))&gt;0,0,1),1)</f>
        <v>0</v>
      </c>
      <c r="D167" s="57" cm="1">
        <f t="array" ref="D167">IF(_xlfn.XLOOKUP(CONT_SUP[[#This Row],[StaffRoleCode]],ROLES[StaffRoleCode],ROLES[AvailableToAllSchools],1,0,)=TRUE,0,IF(ISERROR(FIND(CONT_SUP[[#This Row],[SchoolCode]],_xlfn.TEXTJOIN(",",TRUE,_xlfn.UNIQUE(IF(ROLES[StaffRoleCode]=CONT_SUP[[#This Row],[StaffRoleCode]],ROLES[SchoolCodes],""))))),1,0))</f>
        <v>0</v>
      </c>
      <c r="E167" s="57" cm="1">
        <f t="array" ref="E16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67" s="57" cm="1">
        <f t="array" ref="F167">IF(_xlfn.XLOOKUP(CONT_SUP[[#This Row],[PayScaleCode]],PAYSCALES[PayScaleCode],PAYSCALES[AvailableToAllSchools],1,0,)=TRUE,0,IF(ISERROR(FIND(CONT_SUP[[#This Row],[SchoolCode]],_xlfn.TEXTJOIN(",",TRUE,_xlfn.UNIQUE(IF(PAYSCALES[PayScaleCode]=CONT_SUP[[#This Row],[PayScaleCode]],PAYSCALES[SchoolCodes],""))))),1,0))</f>
        <v>0</v>
      </c>
      <c r="G167" s="57">
        <f>IF(_xlfn.XLOOKUP(CONT_SUP[[#This Row],[PayScaleGradeCode]],GRADES[PayScaleGradeCode],GRADES[AvailableToAllSchools])=TRUE,0,IFERROR(IF(FIND(CONT_SUP[[#This Row],[SchoolCode]],_xlfn.XLOOKUP(CONT_SUP[[#This Row],[PayScaleGradeCode]],GRADES[PayScaleGradeCode],GRADES[SchoolCodes]))&gt;=1,0,1),1))</f>
        <v>0</v>
      </c>
      <c r="H167" s="57">
        <f>IF(ISERROR(IF((_xlfn.XLOOKUP(CONT_SUP[[#This Row],[PayScaleGradeCode]],GRADES[PayScaleGradeCode],GRADES[PayScaleCode])=CONT_SUP[[#This Row],[PayScaleCode]]),0,1)),1,0)</f>
        <v>0</v>
      </c>
      <c r="I167" s="57" cm="1">
        <f t="array" ref="I167">IF(ISERROR(FIND(CONT_SUP[[#This Row],[PayScalePointCode]],_xlfn.TEXTJOIN(",",TRUE,IF(PSPOINTS[PayScaleCode]=CONT_SUP[[#This Row],[PayScaleCode]],PSPOINTS[PayScalePointCode])))),1,0)</f>
        <v>0</v>
      </c>
      <c r="J167" s="57" cm="1">
        <f t="array" ref="J16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67" s="57">
        <f>IF(_xlfn.XLOOKUP(CONT_SUP[[#This Row],[PayScalePointCode]],PSPOINTS[PayScalePointCode],PSPOINTS[PayScalePointEnabled])=TRUE,0,1)</f>
        <v>0</v>
      </c>
      <c r="L167" s="57" cm="1">
        <f t="array" ref="L167">IF(_xlfn.XLOOKUP(CONT_SUP[[#This Row],[DepartmentCode]],DEPTS[DepartmentCode],DEPTS[AvailableToAllSchools],1,0,)=TRUE,0,IF(ISERROR(FIND(CONT_SUP[[#This Row],[SchoolCode]],_xlfn.TEXTJOIN(",",TRUE,_xlfn.UNIQUE(IF(DEPTS[DepartmentCode]=CONT_SUP[[#This Row],[DepartmentCode]],DEPTS[SchoolCodes],""))))),1,0))</f>
        <v>0</v>
      </c>
      <c r="M167" s="57">
        <f>IFERROR(IF(_xlfn.XLOOKUP(CONT_SUP[[#This Row],[SRG Gross]],FinanceCodesBudget[FinanceCode],FinanceCodesBudget[LedgerCode])=_xlfn.XLOOKUP(CONT_SUP[[#This Row],[DepartmentCode]],DEPTS[DepartmentCode],DEPTS[LedgerCode]),0,1),1)</f>
        <v>0</v>
      </c>
      <c r="N167" s="57" cm="1">
        <f t="array" ref="N167">IF(_xlfn.XLOOKUP(CONT_SUP[[#This Row],[PensionCode]],PENS[PensionCode],PENS[AvailableToAllSchools],1,0,)=TRUE,0,IF(ISERROR(FIND(CONT_SUP[[#This Row],[SchoolCode]],_xlfn.TEXTJOIN(",",TRUE,_xlfn.UNIQUE(IF(PENS[PensionCode]=CONT_SUP[[#This Row],[PensionCode]],PENS[SchoolCodes],""))))),1,0))</f>
        <v>0</v>
      </c>
      <c r="O167" s="57" cm="1">
        <f t="array" ref="O167">IF(_xlfn.XLOOKUP(CONT_SUP[[#This Row],[EquatedWeekPatternCode]],EQW[EquatedWeekPatternCode],EQW[AvailableToAllSchools],1,0,)=TRUE,0,IF(ISERROR(FIND(CONT_SUP[[#This Row],[SchoolCode]],_xlfn.TEXTJOIN(",",TRUE,_xlfn.UNIQUE(IF(EQW[EquatedWeekPatternCode]=CONT_SUP[[#This Row],[EquatedWeekPatternCode]],EQW[SchoolCodes],""))))),1,0))</f>
        <v>0</v>
      </c>
      <c r="P167" s="57">
        <f>1-COUNTIF(ContractTypes[Code],CONT_SUP[[#This Row],[ContractTypeCode]])</f>
        <v>0</v>
      </c>
      <c r="Q167" s="57">
        <f>IF(VLOOKUP(CONT_SUP[[#This Row],[StaffMemberCode]],MEMBERS[[StaffMemberCode]:[ServiceStartDate]],5,0)&gt;CONT_SUP[[#This Row],[DateFrom]],1,0)</f>
        <v>0</v>
      </c>
      <c r="R167" s="57">
        <f>IF(_xlfn.XLOOKUP(CONT_SUP[[#This Row],[StaffMemberCode]],MEMBERS[StaffMemberCode],MEMBERS[ServiceEndDate])="",0,IF(CONT_SUP[[#This Row],[DateTo]]="",1,IF(_xlfn.XLOOKUP(CONT_SUP[[#This Row],[StaffMemberCode]],MEMBERS[StaffMemberCode],MEMBERS[ServiceEndDate])&lt;CONT_SUP[[#This Row],[DateTo]],1,0)))</f>
        <v>0</v>
      </c>
      <c r="S167" s="57">
        <f>IF(ISBLANK(CONT_SUP[[#This Row],[DateTo]]),0,IF(CONT_SUP[[#This Row],[DateFrom]]=CONT_SUP[[#This Row],[DateTo]],0,IF(CONT_SUP[[#This Row],[DateFrom]]&lt;CONT_SUP[[#This Row],[DateTo]],0,1)))</f>
        <v>0</v>
      </c>
      <c r="T167" s="57" cm="1">
        <f t="array" aca="1" ref="T167" ca="1">IF(CELL("format",CONT_SUP[[#This Row],[DateFrom]])="D1",0,1)+IF(CELL("format",CONT_SUP[[#This Row],[DateTo]])="D1",0,1)</f>
        <v>0</v>
      </c>
      <c r="U167" s="57">
        <f>IF(OR(CONT_SUP[[#This Row],[MatEditOnly]]=TRUE,CONT_SUP[[#This Row],[MatEditOnly]]=FALSE),IF(OR(CONT_SUP[[#This Row],[NoIncrement]]=TRUE,CONT_SUP[[#This Row],[NoIncrement]]=FALSE),0,1),1)</f>
        <v>0</v>
      </c>
      <c r="V167" s="57">
        <f>IF(ISBLANK(CONT_SUP[[#This Row],[FundCode]])=TRUE,0,IF(COUNTIF(FUNDS[FundCode],CONT_SUP[[#This Row],[FundCode]])=1,0,1))</f>
        <v>0</v>
      </c>
      <c r="W167" s="57">
        <f>IF(LEN(CONT_SUP[[#This Row],[Notes]])&lt;4000,0,1)</f>
        <v>0</v>
      </c>
      <c r="X167" s="57">
        <f>IF(SUBSTITUTE(TEXT(CONT_SUP[[#This Row],[Reference]],10)," ","")=TEXT(CONT_SUP[[#This Row],[Reference]],10),0,1)</f>
        <v>0</v>
      </c>
      <c r="Y167" s="57">
        <f ca="1">SUM(CONT_SUP[[#This Row],[Duplicate Contract]:[Space in Code]])</f>
        <v>0</v>
      </c>
      <c r="AA167" s="12" t="s">
        <v>51</v>
      </c>
      <c r="AB167" s="12">
        <v>91323554</v>
      </c>
      <c r="AC167" s="12" t="s">
        <v>4763</v>
      </c>
      <c r="AD167" s="57" t="str">
        <f>_xlfn.XLOOKUP(CONT_SUP[[#This Row],[StaffMemberCode]],StaffMembers!O:O,StaffMembers!R:R)</f>
        <v>Declan Bailey</v>
      </c>
      <c r="AE167" s="12" t="s">
        <v>4301</v>
      </c>
      <c r="AF167" s="57">
        <f>_xlfn.XLOOKUP(CONT_SUP[[#This Row],[SRG]],SRG[StaffRoleGroupCode],SRG[GrossSalaryFinanceCode])</f>
        <v>627100</v>
      </c>
      <c r="AG167" s="57" t="str">
        <f>_xlfn.XLOOKUP(CONT_SUP[[#This Row],[StaffRoleCode]],ROLES[StaffRoleCode],ROLES[StaffRoleGroupCode])</f>
        <v>PRE</v>
      </c>
      <c r="AH167" s="57" t="str">
        <f>_xlfn.XLOOKUP(CONT_SUP[[#This Row],[StaffRoleCode]],ROLES[StaffRoleCode],ROLES[PayScaleCode])</f>
        <v>NJC_CHE</v>
      </c>
      <c r="AI167" s="12" t="s">
        <v>3124</v>
      </c>
      <c r="AJ167" s="12">
        <v>13</v>
      </c>
      <c r="AK167" s="12" t="s">
        <v>4927</v>
      </c>
      <c r="AM167" s="68" t="s">
        <v>3132</v>
      </c>
      <c r="AN167" s="12" t="s">
        <v>1702</v>
      </c>
      <c r="AO167" s="21">
        <v>45901</v>
      </c>
      <c r="AQ167" s="12">
        <v>37</v>
      </c>
      <c r="AR167" t="b">
        <v>0</v>
      </c>
      <c r="AS167" t="b">
        <v>0</v>
      </c>
      <c r="AT167" s="12" t="s">
        <v>1574</v>
      </c>
    </row>
    <row r="168" spans="1:46" x14ac:dyDescent="0.3">
      <c r="A168" s="57" t="str">
        <f t="shared" si="5"/>
        <v>BLS9107354391073543ACTSPREM45901</v>
      </c>
      <c r="B168" s="57">
        <f>COUNTIF(CONT_SUP[Unique Contract],CONT_SUP[[#This Row],[Unique Contract]])-1</f>
        <v>0</v>
      </c>
      <c r="C168" s="57">
        <f>IFERROR(IF(FIND(CONT_SUP[[#This Row],[SchoolCode]],_xlfn.XLOOKUP(CONT_SUP[[#This Row],[StaffMemberCode]],MEMBERS[StaffMemberCode],MEMBERS[SchoolCodes]))&gt;0,0,1),1)</f>
        <v>0</v>
      </c>
      <c r="D168" s="57" cm="1">
        <f t="array" ref="D168">IF(_xlfn.XLOOKUP(CONT_SUP[[#This Row],[StaffRoleCode]],ROLES[StaffRoleCode],ROLES[AvailableToAllSchools],1,0,)=TRUE,0,IF(ISERROR(FIND(CONT_SUP[[#This Row],[SchoolCode]],_xlfn.TEXTJOIN(",",TRUE,_xlfn.UNIQUE(IF(ROLES[StaffRoleCode]=CONT_SUP[[#This Row],[StaffRoleCode]],ROLES[SchoolCodes],""))))),1,0))</f>
        <v>0</v>
      </c>
      <c r="E168" s="57" cm="1">
        <f t="array" ref="E16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68" s="57" cm="1">
        <f t="array" ref="F168">IF(_xlfn.XLOOKUP(CONT_SUP[[#This Row],[PayScaleCode]],PAYSCALES[PayScaleCode],PAYSCALES[AvailableToAllSchools],1,0,)=TRUE,0,IF(ISERROR(FIND(CONT_SUP[[#This Row],[SchoolCode]],_xlfn.TEXTJOIN(",",TRUE,_xlfn.UNIQUE(IF(PAYSCALES[PayScaleCode]=CONT_SUP[[#This Row],[PayScaleCode]],PAYSCALES[SchoolCodes],""))))),1,0))</f>
        <v>0</v>
      </c>
      <c r="G168" s="57">
        <f>IF(_xlfn.XLOOKUP(CONT_SUP[[#This Row],[PayScaleGradeCode]],GRADES[PayScaleGradeCode],GRADES[AvailableToAllSchools])=TRUE,0,IFERROR(IF(FIND(CONT_SUP[[#This Row],[SchoolCode]],_xlfn.XLOOKUP(CONT_SUP[[#This Row],[PayScaleGradeCode]],GRADES[PayScaleGradeCode],GRADES[SchoolCodes]))&gt;=1,0,1),1))</f>
        <v>0</v>
      </c>
      <c r="H168" s="57">
        <f>IF(ISERROR(IF((_xlfn.XLOOKUP(CONT_SUP[[#This Row],[PayScaleGradeCode]],GRADES[PayScaleGradeCode],GRADES[PayScaleCode])=CONT_SUP[[#This Row],[PayScaleCode]]),0,1)),1,0)</f>
        <v>0</v>
      </c>
      <c r="I168" s="57" cm="1">
        <f t="array" ref="I168">IF(ISERROR(FIND(CONT_SUP[[#This Row],[PayScalePointCode]],_xlfn.TEXTJOIN(",",TRUE,IF(PSPOINTS[PayScaleCode]=CONT_SUP[[#This Row],[PayScaleCode]],PSPOINTS[PayScalePointCode])))),1,0)</f>
        <v>0</v>
      </c>
      <c r="J168" s="57" cm="1">
        <f t="array" ref="J16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68" s="57">
        <f>IF(_xlfn.XLOOKUP(CONT_SUP[[#This Row],[PayScalePointCode]],PSPOINTS[PayScalePointCode],PSPOINTS[PayScalePointEnabled])=TRUE,0,1)</f>
        <v>0</v>
      </c>
      <c r="L168" s="57" cm="1">
        <f t="array" ref="L168">IF(_xlfn.XLOOKUP(CONT_SUP[[#This Row],[DepartmentCode]],DEPTS[DepartmentCode],DEPTS[AvailableToAllSchools],1,0,)=TRUE,0,IF(ISERROR(FIND(CONT_SUP[[#This Row],[SchoolCode]],_xlfn.TEXTJOIN(",",TRUE,_xlfn.UNIQUE(IF(DEPTS[DepartmentCode]=CONT_SUP[[#This Row],[DepartmentCode]],DEPTS[SchoolCodes],""))))),1,0))</f>
        <v>0</v>
      </c>
      <c r="M168" s="57">
        <f>IFERROR(IF(_xlfn.XLOOKUP(CONT_SUP[[#This Row],[SRG Gross]],FinanceCodesBudget[FinanceCode],FinanceCodesBudget[LedgerCode])=_xlfn.XLOOKUP(CONT_SUP[[#This Row],[DepartmentCode]],DEPTS[DepartmentCode],DEPTS[LedgerCode]),0,1),1)</f>
        <v>0</v>
      </c>
      <c r="N168" s="57" cm="1">
        <f t="array" ref="N168">IF(_xlfn.XLOOKUP(CONT_SUP[[#This Row],[PensionCode]],PENS[PensionCode],PENS[AvailableToAllSchools],1,0,)=TRUE,0,IF(ISERROR(FIND(CONT_SUP[[#This Row],[SchoolCode]],_xlfn.TEXTJOIN(",",TRUE,_xlfn.UNIQUE(IF(PENS[PensionCode]=CONT_SUP[[#This Row],[PensionCode]],PENS[SchoolCodes],""))))),1,0))</f>
        <v>0</v>
      </c>
      <c r="O168" s="57" cm="1">
        <f t="array" ref="O168">IF(_xlfn.XLOOKUP(CONT_SUP[[#This Row],[EquatedWeekPatternCode]],EQW[EquatedWeekPatternCode],EQW[AvailableToAllSchools],1,0,)=TRUE,0,IF(ISERROR(FIND(CONT_SUP[[#This Row],[SchoolCode]],_xlfn.TEXTJOIN(",",TRUE,_xlfn.UNIQUE(IF(EQW[EquatedWeekPatternCode]=CONT_SUP[[#This Row],[EquatedWeekPatternCode]],EQW[SchoolCodes],""))))),1,0))</f>
        <v>0</v>
      </c>
      <c r="P168" s="57">
        <f>1-COUNTIF(ContractTypes[Code],CONT_SUP[[#This Row],[ContractTypeCode]])</f>
        <v>0</v>
      </c>
      <c r="Q168" s="57">
        <f>IF(VLOOKUP(CONT_SUP[[#This Row],[StaffMemberCode]],MEMBERS[[StaffMemberCode]:[ServiceStartDate]],5,0)&gt;CONT_SUP[[#This Row],[DateFrom]],1,0)</f>
        <v>0</v>
      </c>
      <c r="R168" s="57">
        <f>IF(_xlfn.XLOOKUP(CONT_SUP[[#This Row],[StaffMemberCode]],MEMBERS[StaffMemberCode],MEMBERS[ServiceEndDate])="",0,IF(CONT_SUP[[#This Row],[DateTo]]="",1,IF(_xlfn.XLOOKUP(CONT_SUP[[#This Row],[StaffMemberCode]],MEMBERS[StaffMemberCode],MEMBERS[ServiceEndDate])&lt;CONT_SUP[[#This Row],[DateTo]],1,0)))</f>
        <v>0</v>
      </c>
      <c r="S168" s="57">
        <f>IF(ISBLANK(CONT_SUP[[#This Row],[DateTo]]),0,IF(CONT_SUP[[#This Row],[DateFrom]]=CONT_SUP[[#This Row],[DateTo]],0,IF(CONT_SUP[[#This Row],[DateFrom]]&lt;CONT_SUP[[#This Row],[DateTo]],0,1)))</f>
        <v>0</v>
      </c>
      <c r="T168" s="57" cm="1">
        <f t="array" aca="1" ref="T168" ca="1">IF(CELL("format",CONT_SUP[[#This Row],[DateFrom]])="D1",0,1)+IF(CELL("format",CONT_SUP[[#This Row],[DateTo]])="D1",0,1)</f>
        <v>0</v>
      </c>
      <c r="U168" s="57">
        <f>IF(OR(CONT_SUP[[#This Row],[MatEditOnly]]=TRUE,CONT_SUP[[#This Row],[MatEditOnly]]=FALSE),IF(OR(CONT_SUP[[#This Row],[NoIncrement]]=TRUE,CONT_SUP[[#This Row],[NoIncrement]]=FALSE),0,1),1)</f>
        <v>0</v>
      </c>
      <c r="V168" s="57">
        <f>IF(ISBLANK(CONT_SUP[[#This Row],[FundCode]])=TRUE,0,IF(COUNTIF(FUNDS[FundCode],CONT_SUP[[#This Row],[FundCode]])=1,0,1))</f>
        <v>0</v>
      </c>
      <c r="W168" s="57">
        <f>IF(LEN(CONT_SUP[[#This Row],[Notes]])&lt;4000,0,1)</f>
        <v>0</v>
      </c>
      <c r="X168" s="57">
        <f>IF(SUBSTITUTE(TEXT(CONT_SUP[[#This Row],[Reference]],10)," ","")=TEXT(CONT_SUP[[#This Row],[Reference]],10),0,1)</f>
        <v>0</v>
      </c>
      <c r="Y168" s="57">
        <f ca="1">SUM(CONT_SUP[[#This Row],[Duplicate Contract]:[Space in Code]])</f>
        <v>0</v>
      </c>
      <c r="AA168" s="12" t="s">
        <v>2094</v>
      </c>
      <c r="AB168" s="12">
        <v>91073543</v>
      </c>
      <c r="AC168" s="12" t="s">
        <v>4764</v>
      </c>
      <c r="AD168" s="57" t="str">
        <f>_xlfn.XLOOKUP(CONT_SUP[[#This Row],[StaffMemberCode]],StaffMembers!O:O,StaffMembers!R:R)</f>
        <v>Ian Dodd</v>
      </c>
      <c r="AE168" s="12" t="s">
        <v>1565</v>
      </c>
      <c r="AF168" s="57">
        <f>_xlfn.XLOOKUP(CONT_SUP[[#This Row],[SRG]],SRG[StaffRoleGroupCode],SRG[GrossSalaryFinanceCode])</f>
        <v>627100</v>
      </c>
      <c r="AG168" s="57" t="str">
        <f>_xlfn.XLOOKUP(CONT_SUP[[#This Row],[StaffRoleCode]],ROLES[StaffRoleCode],ROLES[StaffRoleGroupCode])</f>
        <v>PRE</v>
      </c>
      <c r="AH168" s="57" t="str">
        <f>_xlfn.XLOOKUP(CONT_SUP[[#This Row],[StaffRoleCode]],ROLES[StaffRoleCode],ROLES[PayScaleCode])</f>
        <v>NJC_CHE</v>
      </c>
      <c r="AI168" s="12" t="s">
        <v>3122</v>
      </c>
      <c r="AJ168" s="12">
        <v>5</v>
      </c>
      <c r="AK168" s="12" t="s">
        <v>2495</v>
      </c>
      <c r="AM168" s="68" t="s">
        <v>3132</v>
      </c>
      <c r="AN168" s="12" t="s">
        <v>1702</v>
      </c>
      <c r="AO168" s="21">
        <v>45901</v>
      </c>
      <c r="AQ168" s="12">
        <v>37</v>
      </c>
      <c r="AR168" t="b">
        <v>0</v>
      </c>
      <c r="AS168" t="b">
        <v>0</v>
      </c>
      <c r="AT168" s="12" t="s">
        <v>1574</v>
      </c>
    </row>
    <row r="169" spans="1:46" x14ac:dyDescent="0.3">
      <c r="A169" s="57" t="str">
        <f t="shared" si="5"/>
        <v>MAT9107390691073906AEST_LD_DEPSPREMMAT45901</v>
      </c>
      <c r="B169" s="57">
        <f>COUNTIF(CONT_SUP[Unique Contract],CONT_SUP[[#This Row],[Unique Contract]])-1</f>
        <v>0</v>
      </c>
      <c r="C169" s="57">
        <f>IFERROR(IF(FIND(CONT_SUP[[#This Row],[SchoolCode]],_xlfn.XLOOKUP(CONT_SUP[[#This Row],[StaffMemberCode]],MEMBERS[StaffMemberCode],MEMBERS[SchoolCodes]))&gt;0,0,1),1)</f>
        <v>0</v>
      </c>
      <c r="D169" s="57" cm="1">
        <f t="array" ref="D169">IF(_xlfn.XLOOKUP(CONT_SUP[[#This Row],[StaffRoleCode]],ROLES[StaffRoleCode],ROLES[AvailableToAllSchools],1,0,)=TRUE,0,IF(ISERROR(FIND(CONT_SUP[[#This Row],[SchoolCode]],_xlfn.TEXTJOIN(",",TRUE,_xlfn.UNIQUE(IF(ROLES[StaffRoleCode]=CONT_SUP[[#This Row],[StaffRoleCode]],ROLES[SchoolCodes],""))))),1,0))</f>
        <v>0</v>
      </c>
      <c r="E169" s="57" cm="1">
        <f t="array" ref="E16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69" s="57" cm="1">
        <f t="array" ref="F169">IF(_xlfn.XLOOKUP(CONT_SUP[[#This Row],[PayScaleCode]],PAYSCALES[PayScaleCode],PAYSCALES[AvailableToAllSchools],1,0,)=TRUE,0,IF(ISERROR(FIND(CONT_SUP[[#This Row],[SchoolCode]],_xlfn.TEXTJOIN(",",TRUE,_xlfn.UNIQUE(IF(PAYSCALES[PayScaleCode]=CONT_SUP[[#This Row],[PayScaleCode]],PAYSCALES[SchoolCodes],""))))),1,0))</f>
        <v>0</v>
      </c>
      <c r="G169" s="57">
        <f>IF(_xlfn.XLOOKUP(CONT_SUP[[#This Row],[PayScaleGradeCode]],GRADES[PayScaleGradeCode],GRADES[AvailableToAllSchools])=TRUE,0,IFERROR(IF(FIND(CONT_SUP[[#This Row],[SchoolCode]],_xlfn.XLOOKUP(CONT_SUP[[#This Row],[PayScaleGradeCode]],GRADES[PayScaleGradeCode],GRADES[SchoolCodes]))&gt;=1,0,1),1))</f>
        <v>0</v>
      </c>
      <c r="H169" s="57">
        <f>IF(ISERROR(IF((_xlfn.XLOOKUP(CONT_SUP[[#This Row],[PayScaleGradeCode]],GRADES[PayScaleGradeCode],GRADES[PayScaleCode])=CONT_SUP[[#This Row],[PayScaleCode]]),0,1)),1,0)</f>
        <v>0</v>
      </c>
      <c r="I169" s="57" cm="1">
        <f t="array" ref="I169">IF(ISERROR(FIND(CONT_SUP[[#This Row],[PayScalePointCode]],_xlfn.TEXTJOIN(",",TRUE,IF(PSPOINTS[PayScaleCode]=CONT_SUP[[#This Row],[PayScaleCode]],PSPOINTS[PayScalePointCode])))),1,0)</f>
        <v>0</v>
      </c>
      <c r="J169" s="57" cm="1">
        <f t="array" ref="J16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69" s="57">
        <f>IF(_xlfn.XLOOKUP(CONT_SUP[[#This Row],[PayScalePointCode]],PSPOINTS[PayScalePointCode],PSPOINTS[PayScalePointEnabled])=TRUE,0,1)</f>
        <v>0</v>
      </c>
      <c r="L169" s="57" cm="1">
        <f t="array" ref="L169">IF(_xlfn.XLOOKUP(CONT_SUP[[#This Row],[DepartmentCode]],DEPTS[DepartmentCode],DEPTS[AvailableToAllSchools],1,0,)=TRUE,0,IF(ISERROR(FIND(CONT_SUP[[#This Row],[SchoolCode]],_xlfn.TEXTJOIN(",",TRUE,_xlfn.UNIQUE(IF(DEPTS[DepartmentCode]=CONT_SUP[[#This Row],[DepartmentCode]],DEPTS[SchoolCodes],""))))),1,0))</f>
        <v>0</v>
      </c>
      <c r="M169" s="57">
        <f>IFERROR(IF(_xlfn.XLOOKUP(CONT_SUP[[#This Row],[SRG Gross]],FinanceCodesBudget[FinanceCode],FinanceCodesBudget[LedgerCode])=_xlfn.XLOOKUP(CONT_SUP[[#This Row],[DepartmentCode]],DEPTS[DepartmentCode],DEPTS[LedgerCode]),0,1),1)</f>
        <v>0</v>
      </c>
      <c r="N169" s="57" cm="1">
        <f t="array" ref="N169">IF(_xlfn.XLOOKUP(CONT_SUP[[#This Row],[PensionCode]],PENS[PensionCode],PENS[AvailableToAllSchools],1,0,)=TRUE,0,IF(ISERROR(FIND(CONT_SUP[[#This Row],[SchoolCode]],_xlfn.TEXTJOIN(",",TRUE,_xlfn.UNIQUE(IF(PENS[PensionCode]=CONT_SUP[[#This Row],[PensionCode]],PENS[SchoolCodes],""))))),1,0))</f>
        <v>0</v>
      </c>
      <c r="O169" s="57" cm="1">
        <f t="array" ref="O169">IF(_xlfn.XLOOKUP(CONT_SUP[[#This Row],[EquatedWeekPatternCode]],EQW[EquatedWeekPatternCode],EQW[AvailableToAllSchools],1,0,)=TRUE,0,IF(ISERROR(FIND(CONT_SUP[[#This Row],[SchoolCode]],_xlfn.TEXTJOIN(",",TRUE,_xlfn.UNIQUE(IF(EQW[EquatedWeekPatternCode]=CONT_SUP[[#This Row],[EquatedWeekPatternCode]],EQW[SchoolCodes],""))))),1,0))</f>
        <v>0</v>
      </c>
      <c r="P169" s="57">
        <f>1-COUNTIF(ContractTypes[Code],CONT_SUP[[#This Row],[ContractTypeCode]])</f>
        <v>0</v>
      </c>
      <c r="Q169" s="57">
        <f>IF(VLOOKUP(CONT_SUP[[#This Row],[StaffMemberCode]],MEMBERS[[StaffMemberCode]:[ServiceStartDate]],5,0)&gt;CONT_SUP[[#This Row],[DateFrom]],1,0)</f>
        <v>0</v>
      </c>
      <c r="R169" s="57">
        <f>IF(_xlfn.XLOOKUP(CONT_SUP[[#This Row],[StaffMemberCode]],MEMBERS[StaffMemberCode],MEMBERS[ServiceEndDate])="",0,IF(CONT_SUP[[#This Row],[DateTo]]="",1,IF(_xlfn.XLOOKUP(CONT_SUP[[#This Row],[StaffMemberCode]],MEMBERS[StaffMemberCode],MEMBERS[ServiceEndDate])&lt;CONT_SUP[[#This Row],[DateTo]],1,0)))</f>
        <v>0</v>
      </c>
      <c r="S169" s="57">
        <f>IF(ISBLANK(CONT_SUP[[#This Row],[DateTo]]),0,IF(CONT_SUP[[#This Row],[DateFrom]]=CONT_SUP[[#This Row],[DateTo]],0,IF(CONT_SUP[[#This Row],[DateFrom]]&lt;CONT_SUP[[#This Row],[DateTo]],0,1)))</f>
        <v>0</v>
      </c>
      <c r="T169" s="57" cm="1">
        <f t="array" aca="1" ref="T169" ca="1">IF(CELL("format",CONT_SUP[[#This Row],[DateFrom]])="D1",0,1)+IF(CELL("format",CONT_SUP[[#This Row],[DateTo]])="D1",0,1)</f>
        <v>0</v>
      </c>
      <c r="U169" s="57">
        <f>IF(OR(CONT_SUP[[#This Row],[MatEditOnly]]=TRUE,CONT_SUP[[#This Row],[MatEditOnly]]=FALSE),IF(OR(CONT_SUP[[#This Row],[NoIncrement]]=TRUE,CONT_SUP[[#This Row],[NoIncrement]]=FALSE),0,1),1)</f>
        <v>0</v>
      </c>
      <c r="V169" s="57">
        <f>IF(ISBLANK(CONT_SUP[[#This Row],[FundCode]])=TRUE,0,IF(COUNTIF(FUNDS[FundCode],CONT_SUP[[#This Row],[FundCode]])=1,0,1))</f>
        <v>0</v>
      </c>
      <c r="W169" s="57">
        <f>IF(LEN(CONT_SUP[[#This Row],[Notes]])&lt;4000,0,1)</f>
        <v>0</v>
      </c>
      <c r="X169" s="57">
        <f>IF(SUBSTITUTE(TEXT(CONT_SUP[[#This Row],[Reference]],10)," ","")=TEXT(CONT_SUP[[#This Row],[Reference]],10),0,1)</f>
        <v>0</v>
      </c>
      <c r="Y169" s="57">
        <f ca="1">SUM(CONT_SUP[[#This Row],[Duplicate Contract]:[Space in Code]])</f>
        <v>0</v>
      </c>
      <c r="AA169" s="12" t="s">
        <v>51</v>
      </c>
      <c r="AB169" s="12">
        <v>91073906</v>
      </c>
      <c r="AC169" s="12" t="s">
        <v>4765</v>
      </c>
      <c r="AD169" s="57" t="str">
        <f>_xlfn.XLOOKUP(CONT_SUP[[#This Row],[StaffMemberCode]],StaffMembers!O:O,StaffMembers!R:R)</f>
        <v>Phillip Hemmings</v>
      </c>
      <c r="AE169" s="12" t="s">
        <v>4293</v>
      </c>
      <c r="AF169" s="57">
        <f>_xlfn.XLOOKUP(CONT_SUP[[#This Row],[SRG]],SRG[StaffRoleGroupCode],SRG[GrossSalaryFinanceCode])</f>
        <v>627100</v>
      </c>
      <c r="AG169" s="57" t="str">
        <f>_xlfn.XLOOKUP(CONT_SUP[[#This Row],[StaffRoleCode]],ROLES[StaffRoleCode],ROLES[StaffRoleGroupCode])</f>
        <v>PRE</v>
      </c>
      <c r="AH169" s="57" t="str">
        <f>_xlfn.XLOOKUP(CONT_SUP[[#This Row],[StaffRoleCode]],ROLES[StaffRoleCode],ROLES[PayScaleCode])</f>
        <v>NJC_CHE</v>
      </c>
      <c r="AI169" s="12" t="s">
        <v>3126</v>
      </c>
      <c r="AJ169" s="12">
        <v>28</v>
      </c>
      <c r="AK169" s="12" t="s">
        <v>4927</v>
      </c>
      <c r="AM169" s="68" t="s">
        <v>3132</v>
      </c>
      <c r="AN169" s="12" t="s">
        <v>1702</v>
      </c>
      <c r="AO169" s="21">
        <v>45901</v>
      </c>
      <c r="AQ169" s="12">
        <v>37</v>
      </c>
      <c r="AR169" t="b">
        <v>0</v>
      </c>
      <c r="AS169" t="b">
        <v>0</v>
      </c>
      <c r="AT169" s="12" t="s">
        <v>1574</v>
      </c>
    </row>
    <row r="170" spans="1:46" x14ac:dyDescent="0.3">
      <c r="A170" s="57" t="str">
        <f t="shared" si="5"/>
        <v>MAT9107390591073905AEST_LDSPREMMAT45901</v>
      </c>
      <c r="B170" s="57">
        <f>COUNTIF(CONT_SUP[Unique Contract],CONT_SUP[[#This Row],[Unique Contract]])-1</f>
        <v>0</v>
      </c>
      <c r="C170" s="57">
        <f>IFERROR(IF(FIND(CONT_SUP[[#This Row],[SchoolCode]],_xlfn.XLOOKUP(CONT_SUP[[#This Row],[StaffMemberCode]],MEMBERS[StaffMemberCode],MEMBERS[SchoolCodes]))&gt;0,0,1),1)</f>
        <v>0</v>
      </c>
      <c r="D170" s="57" cm="1">
        <f t="array" ref="D170">IF(_xlfn.XLOOKUP(CONT_SUP[[#This Row],[StaffRoleCode]],ROLES[StaffRoleCode],ROLES[AvailableToAllSchools],1,0,)=TRUE,0,IF(ISERROR(FIND(CONT_SUP[[#This Row],[SchoolCode]],_xlfn.TEXTJOIN(",",TRUE,_xlfn.UNIQUE(IF(ROLES[StaffRoleCode]=CONT_SUP[[#This Row],[StaffRoleCode]],ROLES[SchoolCodes],""))))),1,0))</f>
        <v>0</v>
      </c>
      <c r="E170" s="57" cm="1">
        <f t="array" ref="E17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70" s="57" cm="1">
        <f t="array" ref="F170">IF(_xlfn.XLOOKUP(CONT_SUP[[#This Row],[PayScaleCode]],PAYSCALES[PayScaleCode],PAYSCALES[AvailableToAllSchools],1,0,)=TRUE,0,IF(ISERROR(FIND(CONT_SUP[[#This Row],[SchoolCode]],_xlfn.TEXTJOIN(",",TRUE,_xlfn.UNIQUE(IF(PAYSCALES[PayScaleCode]=CONT_SUP[[#This Row],[PayScaleCode]],PAYSCALES[SchoolCodes],""))))),1,0))</f>
        <v>0</v>
      </c>
      <c r="G170" s="57">
        <f>IF(_xlfn.XLOOKUP(CONT_SUP[[#This Row],[PayScaleGradeCode]],GRADES[PayScaleGradeCode],GRADES[AvailableToAllSchools])=TRUE,0,IFERROR(IF(FIND(CONT_SUP[[#This Row],[SchoolCode]],_xlfn.XLOOKUP(CONT_SUP[[#This Row],[PayScaleGradeCode]],GRADES[PayScaleGradeCode],GRADES[SchoolCodes]))&gt;=1,0,1),1))</f>
        <v>0</v>
      </c>
      <c r="H170" s="57">
        <f>IF(ISERROR(IF((_xlfn.XLOOKUP(CONT_SUP[[#This Row],[PayScaleGradeCode]],GRADES[PayScaleGradeCode],GRADES[PayScaleCode])=CONT_SUP[[#This Row],[PayScaleCode]]),0,1)),1,0)</f>
        <v>0</v>
      </c>
      <c r="I170" s="57" cm="1">
        <f t="array" ref="I170">IF(ISERROR(FIND(CONT_SUP[[#This Row],[PayScalePointCode]],_xlfn.TEXTJOIN(",",TRUE,IF(PSPOINTS[PayScaleCode]=CONT_SUP[[#This Row],[PayScaleCode]],PSPOINTS[PayScalePointCode])))),1,0)</f>
        <v>0</v>
      </c>
      <c r="J170" s="57" cm="1">
        <f t="array" ref="J17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70" s="57">
        <f>IF(_xlfn.XLOOKUP(CONT_SUP[[#This Row],[PayScalePointCode]],PSPOINTS[PayScalePointCode],PSPOINTS[PayScalePointEnabled])=TRUE,0,1)</f>
        <v>0</v>
      </c>
      <c r="L170" s="57" cm="1">
        <f t="array" ref="L170">IF(_xlfn.XLOOKUP(CONT_SUP[[#This Row],[DepartmentCode]],DEPTS[DepartmentCode],DEPTS[AvailableToAllSchools],1,0,)=TRUE,0,IF(ISERROR(FIND(CONT_SUP[[#This Row],[SchoolCode]],_xlfn.TEXTJOIN(",",TRUE,_xlfn.UNIQUE(IF(DEPTS[DepartmentCode]=CONT_SUP[[#This Row],[DepartmentCode]],DEPTS[SchoolCodes],""))))),1,0))</f>
        <v>0</v>
      </c>
      <c r="M170" s="57">
        <f>IFERROR(IF(_xlfn.XLOOKUP(CONT_SUP[[#This Row],[SRG Gross]],FinanceCodesBudget[FinanceCode],FinanceCodesBudget[LedgerCode])=_xlfn.XLOOKUP(CONT_SUP[[#This Row],[DepartmentCode]],DEPTS[DepartmentCode],DEPTS[LedgerCode]),0,1),1)</f>
        <v>0</v>
      </c>
      <c r="N170" s="57" cm="1">
        <f t="array" ref="N170">IF(_xlfn.XLOOKUP(CONT_SUP[[#This Row],[PensionCode]],PENS[PensionCode],PENS[AvailableToAllSchools],1,0,)=TRUE,0,IF(ISERROR(FIND(CONT_SUP[[#This Row],[SchoolCode]],_xlfn.TEXTJOIN(",",TRUE,_xlfn.UNIQUE(IF(PENS[PensionCode]=CONT_SUP[[#This Row],[PensionCode]],PENS[SchoolCodes],""))))),1,0))</f>
        <v>0</v>
      </c>
      <c r="O170" s="57" cm="1">
        <f t="array" ref="O170">IF(_xlfn.XLOOKUP(CONT_SUP[[#This Row],[EquatedWeekPatternCode]],EQW[EquatedWeekPatternCode],EQW[AvailableToAllSchools],1,0,)=TRUE,0,IF(ISERROR(FIND(CONT_SUP[[#This Row],[SchoolCode]],_xlfn.TEXTJOIN(",",TRUE,_xlfn.UNIQUE(IF(EQW[EquatedWeekPatternCode]=CONT_SUP[[#This Row],[EquatedWeekPatternCode]],EQW[SchoolCodes],""))))),1,0))</f>
        <v>0</v>
      </c>
      <c r="P170" s="57">
        <f>1-COUNTIF(ContractTypes[Code],CONT_SUP[[#This Row],[ContractTypeCode]])</f>
        <v>0</v>
      </c>
      <c r="Q170" s="57">
        <f>IF(VLOOKUP(CONT_SUP[[#This Row],[StaffMemberCode]],MEMBERS[[StaffMemberCode]:[ServiceStartDate]],5,0)&gt;CONT_SUP[[#This Row],[DateFrom]],1,0)</f>
        <v>0</v>
      </c>
      <c r="R170" s="57">
        <f>IF(_xlfn.XLOOKUP(CONT_SUP[[#This Row],[StaffMemberCode]],MEMBERS[StaffMemberCode],MEMBERS[ServiceEndDate])="",0,IF(CONT_SUP[[#This Row],[DateTo]]="",1,IF(_xlfn.XLOOKUP(CONT_SUP[[#This Row],[StaffMemberCode]],MEMBERS[StaffMemberCode],MEMBERS[ServiceEndDate])&lt;CONT_SUP[[#This Row],[DateTo]],1,0)))</f>
        <v>0</v>
      </c>
      <c r="S170" s="57">
        <f>IF(ISBLANK(CONT_SUP[[#This Row],[DateTo]]),0,IF(CONT_SUP[[#This Row],[DateFrom]]=CONT_SUP[[#This Row],[DateTo]],0,IF(CONT_SUP[[#This Row],[DateFrom]]&lt;CONT_SUP[[#This Row],[DateTo]],0,1)))</f>
        <v>0</v>
      </c>
      <c r="T170" s="57" cm="1">
        <f t="array" aca="1" ref="T170" ca="1">IF(CELL("format",CONT_SUP[[#This Row],[DateFrom]])="D1",0,1)+IF(CELL("format",CONT_SUP[[#This Row],[DateTo]])="D1",0,1)</f>
        <v>0</v>
      </c>
      <c r="U170" s="57">
        <f>IF(OR(CONT_SUP[[#This Row],[MatEditOnly]]=TRUE,CONT_SUP[[#This Row],[MatEditOnly]]=FALSE),IF(OR(CONT_SUP[[#This Row],[NoIncrement]]=TRUE,CONT_SUP[[#This Row],[NoIncrement]]=FALSE),0,1),1)</f>
        <v>0</v>
      </c>
      <c r="V170" s="57">
        <f>IF(ISBLANK(CONT_SUP[[#This Row],[FundCode]])=TRUE,0,IF(COUNTIF(FUNDS[FundCode],CONT_SUP[[#This Row],[FundCode]])=1,0,1))</f>
        <v>0</v>
      </c>
      <c r="W170" s="57">
        <f>IF(LEN(CONT_SUP[[#This Row],[Notes]])&lt;4000,0,1)</f>
        <v>0</v>
      </c>
      <c r="X170" s="57">
        <f>IF(SUBSTITUTE(TEXT(CONT_SUP[[#This Row],[Reference]],10)," ","")=TEXT(CONT_SUP[[#This Row],[Reference]],10),0,1)</f>
        <v>0</v>
      </c>
      <c r="Y170" s="57">
        <f ca="1">SUM(CONT_SUP[[#This Row],[Duplicate Contract]:[Space in Code]])</f>
        <v>0</v>
      </c>
      <c r="AA170" s="12" t="s">
        <v>51</v>
      </c>
      <c r="AB170" s="12">
        <v>91073905</v>
      </c>
      <c r="AC170" s="12" t="s">
        <v>4766</v>
      </c>
      <c r="AD170" s="57" t="str">
        <f>_xlfn.XLOOKUP(CONT_SUP[[#This Row],[StaffMemberCode]],StaffMembers!O:O,StaffMembers!R:R)</f>
        <v>Matthew Harris</v>
      </c>
      <c r="AE170" s="12" t="s">
        <v>4295</v>
      </c>
      <c r="AF170" s="57">
        <f>_xlfn.XLOOKUP(CONT_SUP[[#This Row],[SRG]],SRG[StaffRoleGroupCode],SRG[GrossSalaryFinanceCode])</f>
        <v>627100</v>
      </c>
      <c r="AG170" s="57" t="str">
        <f>_xlfn.XLOOKUP(CONT_SUP[[#This Row],[StaffRoleCode]],ROLES[StaffRoleCode],ROLES[StaffRoleGroupCode])</f>
        <v>PRE</v>
      </c>
      <c r="AH170" s="57" t="str">
        <f>_xlfn.XLOOKUP(CONT_SUP[[#This Row],[StaffRoleCode]],ROLES[StaffRoleCode],ROLES[PayScaleCode])</f>
        <v>NJC_CHE</v>
      </c>
      <c r="AI170" s="12" t="s">
        <v>3128</v>
      </c>
      <c r="AJ170" s="12">
        <v>35</v>
      </c>
      <c r="AK170" s="12" t="s">
        <v>4927</v>
      </c>
      <c r="AM170" s="68" t="s">
        <v>3132</v>
      </c>
      <c r="AN170" s="12" t="s">
        <v>1702</v>
      </c>
      <c r="AO170" s="21">
        <v>45901</v>
      </c>
      <c r="AQ170" s="12">
        <v>37</v>
      </c>
      <c r="AR170" t="b">
        <v>0</v>
      </c>
      <c r="AS170" t="b">
        <v>0</v>
      </c>
      <c r="AT170" s="12" t="s">
        <v>1574</v>
      </c>
    </row>
    <row r="171" spans="1:46" x14ac:dyDescent="0.3">
      <c r="A171" s="57" t="str">
        <f t="shared" si="5"/>
        <v>MAT9107391791073917ASITE_OFFSPREMMAT45901</v>
      </c>
      <c r="B171" s="57">
        <f>COUNTIF(CONT_SUP[Unique Contract],CONT_SUP[[#This Row],[Unique Contract]])-1</f>
        <v>0</v>
      </c>
      <c r="C171" s="57">
        <f>IFERROR(IF(FIND(CONT_SUP[[#This Row],[SchoolCode]],_xlfn.XLOOKUP(CONT_SUP[[#This Row],[StaffMemberCode]],MEMBERS[StaffMemberCode],MEMBERS[SchoolCodes]))&gt;0,0,1),1)</f>
        <v>0</v>
      </c>
      <c r="D171" s="57" cm="1">
        <f t="array" ref="D171">IF(_xlfn.XLOOKUP(CONT_SUP[[#This Row],[StaffRoleCode]],ROLES[StaffRoleCode],ROLES[AvailableToAllSchools],1,0,)=TRUE,0,IF(ISERROR(FIND(CONT_SUP[[#This Row],[SchoolCode]],_xlfn.TEXTJOIN(",",TRUE,_xlfn.UNIQUE(IF(ROLES[StaffRoleCode]=CONT_SUP[[#This Row],[StaffRoleCode]],ROLES[SchoolCodes],""))))),1,0))</f>
        <v>0</v>
      </c>
      <c r="E171" s="57" cm="1">
        <f t="array" ref="E17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71" s="57" cm="1">
        <f t="array" ref="F171">IF(_xlfn.XLOOKUP(CONT_SUP[[#This Row],[PayScaleCode]],PAYSCALES[PayScaleCode],PAYSCALES[AvailableToAllSchools],1,0,)=TRUE,0,IF(ISERROR(FIND(CONT_SUP[[#This Row],[SchoolCode]],_xlfn.TEXTJOIN(",",TRUE,_xlfn.UNIQUE(IF(PAYSCALES[PayScaleCode]=CONT_SUP[[#This Row],[PayScaleCode]],PAYSCALES[SchoolCodes],""))))),1,0))</f>
        <v>0</v>
      </c>
      <c r="G171" s="57">
        <f>IF(_xlfn.XLOOKUP(CONT_SUP[[#This Row],[PayScaleGradeCode]],GRADES[PayScaleGradeCode],GRADES[AvailableToAllSchools])=TRUE,0,IFERROR(IF(FIND(CONT_SUP[[#This Row],[SchoolCode]],_xlfn.XLOOKUP(CONT_SUP[[#This Row],[PayScaleGradeCode]],GRADES[PayScaleGradeCode],GRADES[SchoolCodes]))&gt;=1,0,1),1))</f>
        <v>0</v>
      </c>
      <c r="H171" s="57">
        <f>IF(ISERROR(IF((_xlfn.XLOOKUP(CONT_SUP[[#This Row],[PayScaleGradeCode]],GRADES[PayScaleGradeCode],GRADES[PayScaleCode])=CONT_SUP[[#This Row],[PayScaleCode]]),0,1)),1,0)</f>
        <v>0</v>
      </c>
      <c r="I171" s="57" cm="1">
        <f t="array" ref="I171">IF(ISERROR(FIND(CONT_SUP[[#This Row],[PayScalePointCode]],_xlfn.TEXTJOIN(",",TRUE,IF(PSPOINTS[PayScaleCode]=CONT_SUP[[#This Row],[PayScaleCode]],PSPOINTS[PayScalePointCode])))),1,0)</f>
        <v>0</v>
      </c>
      <c r="J171" s="57" cm="1">
        <f t="array" ref="J17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71" s="57">
        <f>IF(_xlfn.XLOOKUP(CONT_SUP[[#This Row],[PayScalePointCode]],PSPOINTS[PayScalePointCode],PSPOINTS[PayScalePointEnabled])=TRUE,0,1)</f>
        <v>0</v>
      </c>
      <c r="L171" s="57" cm="1">
        <f t="array" ref="L171">IF(_xlfn.XLOOKUP(CONT_SUP[[#This Row],[DepartmentCode]],DEPTS[DepartmentCode],DEPTS[AvailableToAllSchools],1,0,)=TRUE,0,IF(ISERROR(FIND(CONT_SUP[[#This Row],[SchoolCode]],_xlfn.TEXTJOIN(",",TRUE,_xlfn.UNIQUE(IF(DEPTS[DepartmentCode]=CONT_SUP[[#This Row],[DepartmentCode]],DEPTS[SchoolCodes],""))))),1,0))</f>
        <v>0</v>
      </c>
      <c r="M171" s="57">
        <f>IFERROR(IF(_xlfn.XLOOKUP(CONT_SUP[[#This Row],[SRG Gross]],FinanceCodesBudget[FinanceCode],FinanceCodesBudget[LedgerCode])=_xlfn.XLOOKUP(CONT_SUP[[#This Row],[DepartmentCode]],DEPTS[DepartmentCode],DEPTS[LedgerCode]),0,1),1)</f>
        <v>0</v>
      </c>
      <c r="N171" s="57" cm="1">
        <f t="array" ref="N171">IF(_xlfn.XLOOKUP(CONT_SUP[[#This Row],[PensionCode]],PENS[PensionCode],PENS[AvailableToAllSchools],1,0,)=TRUE,0,IF(ISERROR(FIND(CONT_SUP[[#This Row],[SchoolCode]],_xlfn.TEXTJOIN(",",TRUE,_xlfn.UNIQUE(IF(PENS[PensionCode]=CONT_SUP[[#This Row],[PensionCode]],PENS[SchoolCodes],""))))),1,0))</f>
        <v>0</v>
      </c>
      <c r="O171" s="57" cm="1">
        <f t="array" ref="O171">IF(_xlfn.XLOOKUP(CONT_SUP[[#This Row],[EquatedWeekPatternCode]],EQW[EquatedWeekPatternCode],EQW[AvailableToAllSchools],1,0,)=TRUE,0,IF(ISERROR(FIND(CONT_SUP[[#This Row],[SchoolCode]],_xlfn.TEXTJOIN(",",TRUE,_xlfn.UNIQUE(IF(EQW[EquatedWeekPatternCode]=CONT_SUP[[#This Row],[EquatedWeekPatternCode]],EQW[SchoolCodes],""))))),1,0))</f>
        <v>0</v>
      </c>
      <c r="P171" s="57">
        <f>1-COUNTIF(ContractTypes[Code],CONT_SUP[[#This Row],[ContractTypeCode]])</f>
        <v>0</v>
      </c>
      <c r="Q171" s="57">
        <f>IF(VLOOKUP(CONT_SUP[[#This Row],[StaffMemberCode]],MEMBERS[[StaffMemberCode]:[ServiceStartDate]],5,0)&gt;CONT_SUP[[#This Row],[DateFrom]],1,0)</f>
        <v>0</v>
      </c>
      <c r="R171" s="57">
        <f>IF(_xlfn.XLOOKUP(CONT_SUP[[#This Row],[StaffMemberCode]],MEMBERS[StaffMemberCode],MEMBERS[ServiceEndDate])="",0,IF(CONT_SUP[[#This Row],[DateTo]]="",1,IF(_xlfn.XLOOKUP(CONT_SUP[[#This Row],[StaffMemberCode]],MEMBERS[StaffMemberCode],MEMBERS[ServiceEndDate])&lt;CONT_SUP[[#This Row],[DateTo]],1,0)))</f>
        <v>0</v>
      </c>
      <c r="S171" s="57">
        <f>IF(ISBLANK(CONT_SUP[[#This Row],[DateTo]]),0,IF(CONT_SUP[[#This Row],[DateFrom]]=CONT_SUP[[#This Row],[DateTo]],0,IF(CONT_SUP[[#This Row],[DateFrom]]&lt;CONT_SUP[[#This Row],[DateTo]],0,1)))</f>
        <v>0</v>
      </c>
      <c r="T171" s="57" cm="1">
        <f t="array" aca="1" ref="T171" ca="1">IF(CELL("format",CONT_SUP[[#This Row],[DateFrom]])="D1",0,1)+IF(CELL("format",CONT_SUP[[#This Row],[DateTo]])="D1",0,1)</f>
        <v>0</v>
      </c>
      <c r="U171" s="57">
        <f>IF(OR(CONT_SUP[[#This Row],[MatEditOnly]]=TRUE,CONT_SUP[[#This Row],[MatEditOnly]]=FALSE),IF(OR(CONT_SUP[[#This Row],[NoIncrement]]=TRUE,CONT_SUP[[#This Row],[NoIncrement]]=FALSE),0,1),1)</f>
        <v>0</v>
      </c>
      <c r="V171" s="57">
        <f>IF(ISBLANK(CONT_SUP[[#This Row],[FundCode]])=TRUE,0,IF(COUNTIF(FUNDS[FundCode],CONT_SUP[[#This Row],[FundCode]])=1,0,1))</f>
        <v>0</v>
      </c>
      <c r="W171" s="57">
        <f>IF(LEN(CONT_SUP[[#This Row],[Notes]])&lt;4000,0,1)</f>
        <v>0</v>
      </c>
      <c r="X171" s="57">
        <f>IF(SUBSTITUTE(TEXT(CONT_SUP[[#This Row],[Reference]],10)," ","")=TEXT(CONT_SUP[[#This Row],[Reference]],10),0,1)</f>
        <v>0</v>
      </c>
      <c r="Y171" s="57">
        <f ca="1">SUM(CONT_SUP[[#This Row],[Duplicate Contract]:[Space in Code]])</f>
        <v>0</v>
      </c>
      <c r="AA171" s="12" t="s">
        <v>51</v>
      </c>
      <c r="AB171" s="12">
        <v>91073917</v>
      </c>
      <c r="AC171" s="12" t="s">
        <v>4767</v>
      </c>
      <c r="AD171" s="57" t="str">
        <f>_xlfn.XLOOKUP(CONT_SUP[[#This Row],[StaffMemberCode]],StaffMembers!O:O,StaffMembers!R:R)</f>
        <v>Jack Cooper</v>
      </c>
      <c r="AE171" s="12" t="s">
        <v>4299</v>
      </c>
      <c r="AF171" s="57">
        <f>_xlfn.XLOOKUP(CONT_SUP[[#This Row],[SRG]],SRG[StaffRoleGroupCode],SRG[GrossSalaryFinanceCode])</f>
        <v>627100</v>
      </c>
      <c r="AG171" s="57" t="str">
        <f>_xlfn.XLOOKUP(CONT_SUP[[#This Row],[StaffRoleCode]],ROLES[StaffRoleCode],ROLES[StaffRoleGroupCode])</f>
        <v>PRE</v>
      </c>
      <c r="AH171" s="57" t="str">
        <f>_xlfn.XLOOKUP(CONT_SUP[[#This Row],[StaffRoleCode]],ROLES[StaffRoleCode],ROLES[PayScaleCode])</f>
        <v>NJC_CHE</v>
      </c>
      <c r="AI171" s="12" t="s">
        <v>3123</v>
      </c>
      <c r="AJ171" s="12">
        <v>9</v>
      </c>
      <c r="AK171" s="12" t="s">
        <v>4927</v>
      </c>
      <c r="AM171" s="68" t="s">
        <v>3132</v>
      </c>
      <c r="AN171" s="12" t="s">
        <v>1702</v>
      </c>
      <c r="AO171" s="21">
        <v>45901</v>
      </c>
      <c r="AQ171" s="12">
        <v>37</v>
      </c>
      <c r="AR171" t="b">
        <v>0</v>
      </c>
      <c r="AS171" t="b">
        <v>0</v>
      </c>
      <c r="AT171" s="12" t="s">
        <v>1574</v>
      </c>
    </row>
    <row r="172" spans="1:46" x14ac:dyDescent="0.3">
      <c r="A172" s="57" t="str">
        <f t="shared" si="5"/>
        <v>MAT9185005391850053ASITE_OFFSPREMMAT45901</v>
      </c>
      <c r="B172" s="57">
        <f>COUNTIF(CONT_SUP[Unique Contract],CONT_SUP[[#This Row],[Unique Contract]])-1</f>
        <v>0</v>
      </c>
      <c r="C172" s="57">
        <f>IFERROR(IF(FIND(CONT_SUP[[#This Row],[SchoolCode]],_xlfn.XLOOKUP(CONT_SUP[[#This Row],[StaffMemberCode]],MEMBERS[StaffMemberCode],MEMBERS[SchoolCodes]))&gt;0,0,1),1)</f>
        <v>0</v>
      </c>
      <c r="D172" s="57" cm="1">
        <f t="array" ref="D172">IF(_xlfn.XLOOKUP(CONT_SUP[[#This Row],[StaffRoleCode]],ROLES[StaffRoleCode],ROLES[AvailableToAllSchools],1,0,)=TRUE,0,IF(ISERROR(FIND(CONT_SUP[[#This Row],[SchoolCode]],_xlfn.TEXTJOIN(",",TRUE,_xlfn.UNIQUE(IF(ROLES[StaffRoleCode]=CONT_SUP[[#This Row],[StaffRoleCode]],ROLES[SchoolCodes],""))))),1,0))</f>
        <v>0</v>
      </c>
      <c r="E172" s="57" cm="1">
        <f t="array" ref="E17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72" s="57" cm="1">
        <f t="array" ref="F172">IF(_xlfn.XLOOKUP(CONT_SUP[[#This Row],[PayScaleCode]],PAYSCALES[PayScaleCode],PAYSCALES[AvailableToAllSchools],1,0,)=TRUE,0,IF(ISERROR(FIND(CONT_SUP[[#This Row],[SchoolCode]],_xlfn.TEXTJOIN(",",TRUE,_xlfn.UNIQUE(IF(PAYSCALES[PayScaleCode]=CONT_SUP[[#This Row],[PayScaleCode]],PAYSCALES[SchoolCodes],""))))),1,0))</f>
        <v>0</v>
      </c>
      <c r="G172" s="57">
        <f>IF(_xlfn.XLOOKUP(CONT_SUP[[#This Row],[PayScaleGradeCode]],GRADES[PayScaleGradeCode],GRADES[AvailableToAllSchools])=TRUE,0,IFERROR(IF(FIND(CONT_SUP[[#This Row],[SchoolCode]],_xlfn.XLOOKUP(CONT_SUP[[#This Row],[PayScaleGradeCode]],GRADES[PayScaleGradeCode],GRADES[SchoolCodes]))&gt;=1,0,1),1))</f>
        <v>0</v>
      </c>
      <c r="H172" s="57">
        <f>IF(ISERROR(IF((_xlfn.XLOOKUP(CONT_SUP[[#This Row],[PayScaleGradeCode]],GRADES[PayScaleGradeCode],GRADES[PayScaleCode])=CONT_SUP[[#This Row],[PayScaleCode]]),0,1)),1,0)</f>
        <v>0</v>
      </c>
      <c r="I172" s="57" cm="1">
        <f t="array" ref="I172">IF(ISERROR(FIND(CONT_SUP[[#This Row],[PayScalePointCode]],_xlfn.TEXTJOIN(",",TRUE,IF(PSPOINTS[PayScaleCode]=CONT_SUP[[#This Row],[PayScaleCode]],PSPOINTS[PayScalePointCode])))),1,0)</f>
        <v>0</v>
      </c>
      <c r="J172" s="57" cm="1">
        <f t="array" ref="J17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72" s="57">
        <f>IF(_xlfn.XLOOKUP(CONT_SUP[[#This Row],[PayScalePointCode]],PSPOINTS[PayScalePointCode],PSPOINTS[PayScalePointEnabled])=TRUE,0,1)</f>
        <v>0</v>
      </c>
      <c r="L172" s="57" cm="1">
        <f t="array" ref="L172">IF(_xlfn.XLOOKUP(CONT_SUP[[#This Row],[DepartmentCode]],DEPTS[DepartmentCode],DEPTS[AvailableToAllSchools],1,0,)=TRUE,0,IF(ISERROR(FIND(CONT_SUP[[#This Row],[SchoolCode]],_xlfn.TEXTJOIN(",",TRUE,_xlfn.UNIQUE(IF(DEPTS[DepartmentCode]=CONT_SUP[[#This Row],[DepartmentCode]],DEPTS[SchoolCodes],""))))),1,0))</f>
        <v>0</v>
      </c>
      <c r="M172" s="57">
        <f>IFERROR(IF(_xlfn.XLOOKUP(CONT_SUP[[#This Row],[SRG Gross]],FinanceCodesBudget[FinanceCode],FinanceCodesBudget[LedgerCode])=_xlfn.XLOOKUP(CONT_SUP[[#This Row],[DepartmentCode]],DEPTS[DepartmentCode],DEPTS[LedgerCode]),0,1),1)</f>
        <v>0</v>
      </c>
      <c r="N172" s="57" cm="1">
        <f t="array" ref="N172">IF(_xlfn.XLOOKUP(CONT_SUP[[#This Row],[PensionCode]],PENS[PensionCode],PENS[AvailableToAllSchools],1,0,)=TRUE,0,IF(ISERROR(FIND(CONT_SUP[[#This Row],[SchoolCode]],_xlfn.TEXTJOIN(",",TRUE,_xlfn.UNIQUE(IF(PENS[PensionCode]=CONT_SUP[[#This Row],[PensionCode]],PENS[SchoolCodes],""))))),1,0))</f>
        <v>0</v>
      </c>
      <c r="O172" s="57" cm="1">
        <f t="array" ref="O172">IF(_xlfn.XLOOKUP(CONT_SUP[[#This Row],[EquatedWeekPatternCode]],EQW[EquatedWeekPatternCode],EQW[AvailableToAllSchools],1,0,)=TRUE,0,IF(ISERROR(FIND(CONT_SUP[[#This Row],[SchoolCode]],_xlfn.TEXTJOIN(",",TRUE,_xlfn.UNIQUE(IF(EQW[EquatedWeekPatternCode]=CONT_SUP[[#This Row],[EquatedWeekPatternCode]],EQW[SchoolCodes],""))))),1,0))</f>
        <v>0</v>
      </c>
      <c r="P172" s="57">
        <f>1-COUNTIF(ContractTypes[Code],CONT_SUP[[#This Row],[ContractTypeCode]])</f>
        <v>0</v>
      </c>
      <c r="Q172" s="57">
        <f>IF(VLOOKUP(CONT_SUP[[#This Row],[StaffMemberCode]],MEMBERS[[StaffMemberCode]:[ServiceStartDate]],5,0)&gt;CONT_SUP[[#This Row],[DateFrom]],1,0)</f>
        <v>0</v>
      </c>
      <c r="R172" s="57">
        <f>IF(_xlfn.XLOOKUP(CONT_SUP[[#This Row],[StaffMemberCode]],MEMBERS[StaffMemberCode],MEMBERS[ServiceEndDate])="",0,IF(CONT_SUP[[#This Row],[DateTo]]="",1,IF(_xlfn.XLOOKUP(CONT_SUP[[#This Row],[StaffMemberCode]],MEMBERS[StaffMemberCode],MEMBERS[ServiceEndDate])&lt;CONT_SUP[[#This Row],[DateTo]],1,0)))</f>
        <v>0</v>
      </c>
      <c r="S172" s="57">
        <f>IF(ISBLANK(CONT_SUP[[#This Row],[DateTo]]),0,IF(CONT_SUP[[#This Row],[DateFrom]]=CONT_SUP[[#This Row],[DateTo]],0,IF(CONT_SUP[[#This Row],[DateFrom]]&lt;CONT_SUP[[#This Row],[DateTo]],0,1)))</f>
        <v>0</v>
      </c>
      <c r="T172" s="57" cm="1">
        <f t="array" aca="1" ref="T172" ca="1">IF(CELL("format",CONT_SUP[[#This Row],[DateFrom]])="D1",0,1)+IF(CELL("format",CONT_SUP[[#This Row],[DateTo]])="D1",0,1)</f>
        <v>0</v>
      </c>
      <c r="U172" s="57">
        <f>IF(OR(CONT_SUP[[#This Row],[MatEditOnly]]=TRUE,CONT_SUP[[#This Row],[MatEditOnly]]=FALSE),IF(OR(CONT_SUP[[#This Row],[NoIncrement]]=TRUE,CONT_SUP[[#This Row],[NoIncrement]]=FALSE),0,1),1)</f>
        <v>0</v>
      </c>
      <c r="V172" s="57">
        <f>IF(ISBLANK(CONT_SUP[[#This Row],[FundCode]])=TRUE,0,IF(COUNTIF(FUNDS[FundCode],CONT_SUP[[#This Row],[FundCode]])=1,0,1))</f>
        <v>0</v>
      </c>
      <c r="W172" s="57">
        <f>IF(LEN(CONT_SUP[[#This Row],[Notes]])&lt;4000,0,1)</f>
        <v>0</v>
      </c>
      <c r="X172" s="57">
        <f>IF(SUBSTITUTE(TEXT(CONT_SUP[[#This Row],[Reference]],10)," ","")=TEXT(CONT_SUP[[#This Row],[Reference]],10),0,1)</f>
        <v>0</v>
      </c>
      <c r="Y172" s="57">
        <f ca="1">SUM(CONT_SUP[[#This Row],[Duplicate Contract]:[Space in Code]])</f>
        <v>0</v>
      </c>
      <c r="AA172" s="12" t="s">
        <v>51</v>
      </c>
      <c r="AB172" s="12">
        <v>91850053</v>
      </c>
      <c r="AC172" s="12" t="s">
        <v>4768</v>
      </c>
      <c r="AD172" s="57" t="str">
        <f>_xlfn.XLOOKUP(CONT_SUP[[#This Row],[StaffMemberCode]],StaffMembers!O:O,StaffMembers!R:R)</f>
        <v>Kyra Paine</v>
      </c>
      <c r="AE172" s="12" t="s">
        <v>4299</v>
      </c>
      <c r="AF172" s="57">
        <f>_xlfn.XLOOKUP(CONT_SUP[[#This Row],[SRG]],SRG[StaffRoleGroupCode],SRG[GrossSalaryFinanceCode])</f>
        <v>627100</v>
      </c>
      <c r="AG172" s="57" t="str">
        <f>_xlfn.XLOOKUP(CONT_SUP[[#This Row],[StaffRoleCode]],ROLES[StaffRoleCode],ROLES[StaffRoleGroupCode])</f>
        <v>PRE</v>
      </c>
      <c r="AH172" s="57" t="str">
        <f>_xlfn.XLOOKUP(CONT_SUP[[#This Row],[StaffRoleCode]],ROLES[StaffRoleCode],ROLES[PayScaleCode])</f>
        <v>NJC_CHE</v>
      </c>
      <c r="AI172" s="12" t="s">
        <v>3123</v>
      </c>
      <c r="AJ172" s="12">
        <v>7</v>
      </c>
      <c r="AK172" s="12" t="s">
        <v>4927</v>
      </c>
      <c r="AM172" s="68" t="s">
        <v>3132</v>
      </c>
      <c r="AN172" s="12" t="s">
        <v>1702</v>
      </c>
      <c r="AO172" s="21">
        <v>45901</v>
      </c>
      <c r="AQ172" s="12">
        <v>37</v>
      </c>
      <c r="AR172" t="b">
        <v>0</v>
      </c>
      <c r="AS172" t="b">
        <v>0</v>
      </c>
      <c r="AT172" s="12" t="s">
        <v>1574</v>
      </c>
    </row>
    <row r="173" spans="1:46" x14ac:dyDescent="0.3">
      <c r="A173" s="57" t="str">
        <f t="shared" si="5"/>
        <v>MAT9132420491324204ASITE_OFFSPREMMAT45901</v>
      </c>
      <c r="B173" s="57">
        <f>COUNTIF(CONT_SUP[Unique Contract],CONT_SUP[[#This Row],[Unique Contract]])-1</f>
        <v>0</v>
      </c>
      <c r="C173" s="57">
        <f>IFERROR(IF(FIND(CONT_SUP[[#This Row],[SchoolCode]],_xlfn.XLOOKUP(CONT_SUP[[#This Row],[StaffMemberCode]],MEMBERS[StaffMemberCode],MEMBERS[SchoolCodes]))&gt;0,0,1),1)</f>
        <v>0</v>
      </c>
      <c r="D173" s="57" cm="1">
        <f t="array" ref="D173">IF(_xlfn.XLOOKUP(CONT_SUP[[#This Row],[StaffRoleCode]],ROLES[StaffRoleCode],ROLES[AvailableToAllSchools],1,0,)=TRUE,0,IF(ISERROR(FIND(CONT_SUP[[#This Row],[SchoolCode]],_xlfn.TEXTJOIN(",",TRUE,_xlfn.UNIQUE(IF(ROLES[StaffRoleCode]=CONT_SUP[[#This Row],[StaffRoleCode]],ROLES[SchoolCodes],""))))),1,0))</f>
        <v>0</v>
      </c>
      <c r="E173" s="57" cm="1">
        <f t="array" ref="E17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73" s="57" cm="1">
        <f t="array" ref="F173">IF(_xlfn.XLOOKUP(CONT_SUP[[#This Row],[PayScaleCode]],PAYSCALES[PayScaleCode],PAYSCALES[AvailableToAllSchools],1,0,)=TRUE,0,IF(ISERROR(FIND(CONT_SUP[[#This Row],[SchoolCode]],_xlfn.TEXTJOIN(",",TRUE,_xlfn.UNIQUE(IF(PAYSCALES[PayScaleCode]=CONT_SUP[[#This Row],[PayScaleCode]],PAYSCALES[SchoolCodes],""))))),1,0))</f>
        <v>0</v>
      </c>
      <c r="G173" s="57">
        <f>IF(_xlfn.XLOOKUP(CONT_SUP[[#This Row],[PayScaleGradeCode]],GRADES[PayScaleGradeCode],GRADES[AvailableToAllSchools])=TRUE,0,IFERROR(IF(FIND(CONT_SUP[[#This Row],[SchoolCode]],_xlfn.XLOOKUP(CONT_SUP[[#This Row],[PayScaleGradeCode]],GRADES[PayScaleGradeCode],GRADES[SchoolCodes]))&gt;=1,0,1),1))</f>
        <v>0</v>
      </c>
      <c r="H173" s="57">
        <f>IF(ISERROR(IF((_xlfn.XLOOKUP(CONT_SUP[[#This Row],[PayScaleGradeCode]],GRADES[PayScaleGradeCode],GRADES[PayScaleCode])=CONT_SUP[[#This Row],[PayScaleCode]]),0,1)),1,0)</f>
        <v>0</v>
      </c>
      <c r="I173" s="57" cm="1">
        <f t="array" ref="I173">IF(ISERROR(FIND(CONT_SUP[[#This Row],[PayScalePointCode]],_xlfn.TEXTJOIN(",",TRUE,IF(PSPOINTS[PayScaleCode]=CONT_SUP[[#This Row],[PayScaleCode]],PSPOINTS[PayScalePointCode])))),1,0)</f>
        <v>0</v>
      </c>
      <c r="J173" s="57" cm="1">
        <f t="array" ref="J17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73" s="57">
        <f>IF(_xlfn.XLOOKUP(CONT_SUP[[#This Row],[PayScalePointCode]],PSPOINTS[PayScalePointCode],PSPOINTS[PayScalePointEnabled])=TRUE,0,1)</f>
        <v>0</v>
      </c>
      <c r="L173" s="57" cm="1">
        <f t="array" ref="L173">IF(_xlfn.XLOOKUP(CONT_SUP[[#This Row],[DepartmentCode]],DEPTS[DepartmentCode],DEPTS[AvailableToAllSchools],1,0,)=TRUE,0,IF(ISERROR(FIND(CONT_SUP[[#This Row],[SchoolCode]],_xlfn.TEXTJOIN(",",TRUE,_xlfn.UNIQUE(IF(DEPTS[DepartmentCode]=CONT_SUP[[#This Row],[DepartmentCode]],DEPTS[SchoolCodes],""))))),1,0))</f>
        <v>0</v>
      </c>
      <c r="M173" s="57">
        <f>IFERROR(IF(_xlfn.XLOOKUP(CONT_SUP[[#This Row],[SRG Gross]],FinanceCodesBudget[FinanceCode],FinanceCodesBudget[LedgerCode])=_xlfn.XLOOKUP(CONT_SUP[[#This Row],[DepartmentCode]],DEPTS[DepartmentCode],DEPTS[LedgerCode]),0,1),1)</f>
        <v>0</v>
      </c>
      <c r="N173" s="57" cm="1">
        <f t="array" ref="N173">IF(_xlfn.XLOOKUP(CONT_SUP[[#This Row],[PensionCode]],PENS[PensionCode],PENS[AvailableToAllSchools],1,0,)=TRUE,0,IF(ISERROR(FIND(CONT_SUP[[#This Row],[SchoolCode]],_xlfn.TEXTJOIN(",",TRUE,_xlfn.UNIQUE(IF(PENS[PensionCode]=CONT_SUP[[#This Row],[PensionCode]],PENS[SchoolCodes],""))))),1,0))</f>
        <v>0</v>
      </c>
      <c r="O173" s="57" cm="1">
        <f t="array" ref="O173">IF(_xlfn.XLOOKUP(CONT_SUP[[#This Row],[EquatedWeekPatternCode]],EQW[EquatedWeekPatternCode],EQW[AvailableToAllSchools],1,0,)=TRUE,0,IF(ISERROR(FIND(CONT_SUP[[#This Row],[SchoolCode]],_xlfn.TEXTJOIN(",",TRUE,_xlfn.UNIQUE(IF(EQW[EquatedWeekPatternCode]=CONT_SUP[[#This Row],[EquatedWeekPatternCode]],EQW[SchoolCodes],""))))),1,0))</f>
        <v>0</v>
      </c>
      <c r="P173" s="57">
        <f>1-COUNTIF(ContractTypes[Code],CONT_SUP[[#This Row],[ContractTypeCode]])</f>
        <v>0</v>
      </c>
      <c r="Q173" s="57">
        <f>IF(VLOOKUP(CONT_SUP[[#This Row],[StaffMemberCode]],MEMBERS[[StaffMemberCode]:[ServiceStartDate]],5,0)&gt;CONT_SUP[[#This Row],[DateFrom]],1,0)</f>
        <v>0</v>
      </c>
      <c r="R173" s="57">
        <f>IF(_xlfn.XLOOKUP(CONT_SUP[[#This Row],[StaffMemberCode]],MEMBERS[StaffMemberCode],MEMBERS[ServiceEndDate])="",0,IF(CONT_SUP[[#This Row],[DateTo]]="",1,IF(_xlfn.XLOOKUP(CONT_SUP[[#This Row],[StaffMemberCode]],MEMBERS[StaffMemberCode],MEMBERS[ServiceEndDate])&lt;CONT_SUP[[#This Row],[DateTo]],1,0)))</f>
        <v>0</v>
      </c>
      <c r="S173" s="57">
        <f>IF(ISBLANK(CONT_SUP[[#This Row],[DateTo]]),0,IF(CONT_SUP[[#This Row],[DateFrom]]=CONT_SUP[[#This Row],[DateTo]],0,IF(CONT_SUP[[#This Row],[DateFrom]]&lt;CONT_SUP[[#This Row],[DateTo]],0,1)))</f>
        <v>0</v>
      </c>
      <c r="T173" s="57" cm="1">
        <f t="array" aca="1" ref="T173" ca="1">IF(CELL("format",CONT_SUP[[#This Row],[DateFrom]])="D1",0,1)+IF(CELL("format",CONT_SUP[[#This Row],[DateTo]])="D1",0,1)</f>
        <v>0</v>
      </c>
      <c r="U173" s="57">
        <f>IF(OR(CONT_SUP[[#This Row],[MatEditOnly]]=TRUE,CONT_SUP[[#This Row],[MatEditOnly]]=FALSE),IF(OR(CONT_SUP[[#This Row],[NoIncrement]]=TRUE,CONT_SUP[[#This Row],[NoIncrement]]=FALSE),0,1),1)</f>
        <v>0</v>
      </c>
      <c r="V173" s="57">
        <f>IF(ISBLANK(CONT_SUP[[#This Row],[FundCode]])=TRUE,0,IF(COUNTIF(FUNDS[FundCode],CONT_SUP[[#This Row],[FundCode]])=1,0,1))</f>
        <v>0</v>
      </c>
      <c r="W173" s="57">
        <f>IF(LEN(CONT_SUP[[#This Row],[Notes]])&lt;4000,0,1)</f>
        <v>0</v>
      </c>
      <c r="X173" s="57">
        <f>IF(SUBSTITUTE(TEXT(CONT_SUP[[#This Row],[Reference]],10)," ","")=TEXT(CONT_SUP[[#This Row],[Reference]],10),0,1)</f>
        <v>0</v>
      </c>
      <c r="Y173" s="57">
        <f ca="1">SUM(CONT_SUP[[#This Row],[Duplicate Contract]:[Space in Code]])</f>
        <v>0</v>
      </c>
      <c r="AA173" s="12" t="s">
        <v>51</v>
      </c>
      <c r="AB173" s="12">
        <v>91324204</v>
      </c>
      <c r="AC173" s="12" t="s">
        <v>4769</v>
      </c>
      <c r="AD173" s="57" t="str">
        <f>_xlfn.XLOOKUP(CONT_SUP[[#This Row],[StaffMemberCode]],StaffMembers!O:O,StaffMembers!R:R)</f>
        <v>Luke Walker</v>
      </c>
      <c r="AE173" s="12" t="s">
        <v>4299</v>
      </c>
      <c r="AF173" s="57">
        <f>_xlfn.XLOOKUP(CONT_SUP[[#This Row],[SRG]],SRG[StaffRoleGroupCode],SRG[GrossSalaryFinanceCode])</f>
        <v>627100</v>
      </c>
      <c r="AG173" s="57" t="str">
        <f>_xlfn.XLOOKUP(CONT_SUP[[#This Row],[StaffRoleCode]],ROLES[StaffRoleCode],ROLES[StaffRoleGroupCode])</f>
        <v>PRE</v>
      </c>
      <c r="AH173" s="57" t="str">
        <f>_xlfn.XLOOKUP(CONT_SUP[[#This Row],[StaffRoleCode]],ROLES[StaffRoleCode],ROLES[PayScaleCode])</f>
        <v>NJC_CHE</v>
      </c>
      <c r="AI173" s="12" t="s">
        <v>3123</v>
      </c>
      <c r="AJ173" s="12">
        <v>8</v>
      </c>
      <c r="AK173" s="12" t="s">
        <v>4927</v>
      </c>
      <c r="AM173" s="68" t="s">
        <v>3132</v>
      </c>
      <c r="AN173" s="12" t="s">
        <v>1702</v>
      </c>
      <c r="AO173" s="21">
        <v>45901</v>
      </c>
      <c r="AQ173" s="12">
        <v>37</v>
      </c>
      <c r="AR173" t="b">
        <v>0</v>
      </c>
      <c r="AS173" t="b">
        <v>0</v>
      </c>
      <c r="AT173" s="12" t="s">
        <v>1574</v>
      </c>
    </row>
    <row r="174" spans="1:46" x14ac:dyDescent="0.3">
      <c r="A174" s="57" t="str">
        <f t="shared" si="5"/>
        <v>MAT9107363491073634ASITE_OFFSPREMMAT45901</v>
      </c>
      <c r="B174" s="57">
        <f>COUNTIF(CONT_SUP[Unique Contract],CONT_SUP[[#This Row],[Unique Contract]])-1</f>
        <v>0</v>
      </c>
      <c r="C174" s="57">
        <f>IFERROR(IF(FIND(CONT_SUP[[#This Row],[SchoolCode]],_xlfn.XLOOKUP(CONT_SUP[[#This Row],[StaffMemberCode]],MEMBERS[StaffMemberCode],MEMBERS[SchoolCodes]))&gt;0,0,1),1)</f>
        <v>0</v>
      </c>
      <c r="D174" s="57" cm="1">
        <f t="array" ref="D174">IF(_xlfn.XLOOKUP(CONT_SUP[[#This Row],[StaffRoleCode]],ROLES[StaffRoleCode],ROLES[AvailableToAllSchools],1,0,)=TRUE,0,IF(ISERROR(FIND(CONT_SUP[[#This Row],[SchoolCode]],_xlfn.TEXTJOIN(",",TRUE,_xlfn.UNIQUE(IF(ROLES[StaffRoleCode]=CONT_SUP[[#This Row],[StaffRoleCode]],ROLES[SchoolCodes],""))))),1,0))</f>
        <v>0</v>
      </c>
      <c r="E174" s="57" cm="1">
        <f t="array" ref="E17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74" s="57" cm="1">
        <f t="array" ref="F174">IF(_xlfn.XLOOKUP(CONT_SUP[[#This Row],[PayScaleCode]],PAYSCALES[PayScaleCode],PAYSCALES[AvailableToAllSchools],1,0,)=TRUE,0,IF(ISERROR(FIND(CONT_SUP[[#This Row],[SchoolCode]],_xlfn.TEXTJOIN(",",TRUE,_xlfn.UNIQUE(IF(PAYSCALES[PayScaleCode]=CONT_SUP[[#This Row],[PayScaleCode]],PAYSCALES[SchoolCodes],""))))),1,0))</f>
        <v>0</v>
      </c>
      <c r="G174" s="57">
        <f>IF(_xlfn.XLOOKUP(CONT_SUP[[#This Row],[PayScaleGradeCode]],GRADES[PayScaleGradeCode],GRADES[AvailableToAllSchools])=TRUE,0,IFERROR(IF(FIND(CONT_SUP[[#This Row],[SchoolCode]],_xlfn.XLOOKUP(CONT_SUP[[#This Row],[PayScaleGradeCode]],GRADES[PayScaleGradeCode],GRADES[SchoolCodes]))&gt;=1,0,1),1))</f>
        <v>0</v>
      </c>
      <c r="H174" s="57">
        <f>IF(ISERROR(IF((_xlfn.XLOOKUP(CONT_SUP[[#This Row],[PayScaleGradeCode]],GRADES[PayScaleGradeCode],GRADES[PayScaleCode])=CONT_SUP[[#This Row],[PayScaleCode]]),0,1)),1,0)</f>
        <v>0</v>
      </c>
      <c r="I174" s="57" cm="1">
        <f t="array" ref="I174">IF(ISERROR(FIND(CONT_SUP[[#This Row],[PayScalePointCode]],_xlfn.TEXTJOIN(",",TRUE,IF(PSPOINTS[PayScaleCode]=CONT_SUP[[#This Row],[PayScaleCode]],PSPOINTS[PayScalePointCode])))),1,0)</f>
        <v>0</v>
      </c>
      <c r="J174" s="57" cm="1">
        <f t="array" ref="J17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74" s="57">
        <f>IF(_xlfn.XLOOKUP(CONT_SUP[[#This Row],[PayScalePointCode]],PSPOINTS[PayScalePointCode],PSPOINTS[PayScalePointEnabled])=TRUE,0,1)</f>
        <v>0</v>
      </c>
      <c r="L174" s="57" cm="1">
        <f t="array" ref="L174">IF(_xlfn.XLOOKUP(CONT_SUP[[#This Row],[DepartmentCode]],DEPTS[DepartmentCode],DEPTS[AvailableToAllSchools],1,0,)=TRUE,0,IF(ISERROR(FIND(CONT_SUP[[#This Row],[SchoolCode]],_xlfn.TEXTJOIN(",",TRUE,_xlfn.UNIQUE(IF(DEPTS[DepartmentCode]=CONT_SUP[[#This Row],[DepartmentCode]],DEPTS[SchoolCodes],""))))),1,0))</f>
        <v>0</v>
      </c>
      <c r="M174" s="57">
        <f>IFERROR(IF(_xlfn.XLOOKUP(CONT_SUP[[#This Row],[SRG Gross]],FinanceCodesBudget[FinanceCode],FinanceCodesBudget[LedgerCode])=_xlfn.XLOOKUP(CONT_SUP[[#This Row],[DepartmentCode]],DEPTS[DepartmentCode],DEPTS[LedgerCode]),0,1),1)</f>
        <v>0</v>
      </c>
      <c r="N174" s="57" cm="1">
        <f t="array" ref="N174">IF(_xlfn.XLOOKUP(CONT_SUP[[#This Row],[PensionCode]],PENS[PensionCode],PENS[AvailableToAllSchools],1,0,)=TRUE,0,IF(ISERROR(FIND(CONT_SUP[[#This Row],[SchoolCode]],_xlfn.TEXTJOIN(",",TRUE,_xlfn.UNIQUE(IF(PENS[PensionCode]=CONT_SUP[[#This Row],[PensionCode]],PENS[SchoolCodes],""))))),1,0))</f>
        <v>0</v>
      </c>
      <c r="O174" s="57" cm="1">
        <f t="array" ref="O174">IF(_xlfn.XLOOKUP(CONT_SUP[[#This Row],[EquatedWeekPatternCode]],EQW[EquatedWeekPatternCode],EQW[AvailableToAllSchools],1,0,)=TRUE,0,IF(ISERROR(FIND(CONT_SUP[[#This Row],[SchoolCode]],_xlfn.TEXTJOIN(",",TRUE,_xlfn.UNIQUE(IF(EQW[EquatedWeekPatternCode]=CONT_SUP[[#This Row],[EquatedWeekPatternCode]],EQW[SchoolCodes],""))))),1,0))</f>
        <v>0</v>
      </c>
      <c r="P174" s="57">
        <f>1-COUNTIF(ContractTypes[Code],CONT_SUP[[#This Row],[ContractTypeCode]])</f>
        <v>0</v>
      </c>
      <c r="Q174" s="57">
        <f>IF(VLOOKUP(CONT_SUP[[#This Row],[StaffMemberCode]],MEMBERS[[StaffMemberCode]:[ServiceStartDate]],5,0)&gt;CONT_SUP[[#This Row],[DateFrom]],1,0)</f>
        <v>0</v>
      </c>
      <c r="R174" s="57">
        <f>IF(_xlfn.XLOOKUP(CONT_SUP[[#This Row],[StaffMemberCode]],MEMBERS[StaffMemberCode],MEMBERS[ServiceEndDate])="",0,IF(CONT_SUP[[#This Row],[DateTo]]="",1,IF(_xlfn.XLOOKUP(CONT_SUP[[#This Row],[StaffMemberCode]],MEMBERS[StaffMemberCode],MEMBERS[ServiceEndDate])&lt;CONT_SUP[[#This Row],[DateTo]],1,0)))</f>
        <v>0</v>
      </c>
      <c r="S174" s="57">
        <f>IF(ISBLANK(CONT_SUP[[#This Row],[DateTo]]),0,IF(CONT_SUP[[#This Row],[DateFrom]]=CONT_SUP[[#This Row],[DateTo]],0,IF(CONT_SUP[[#This Row],[DateFrom]]&lt;CONT_SUP[[#This Row],[DateTo]],0,1)))</f>
        <v>0</v>
      </c>
      <c r="T174" s="57" cm="1">
        <f t="array" aca="1" ref="T174" ca="1">IF(CELL("format",CONT_SUP[[#This Row],[DateFrom]])="D1",0,1)+IF(CELL("format",CONT_SUP[[#This Row],[DateTo]])="D1",0,1)</f>
        <v>0</v>
      </c>
      <c r="U174" s="57">
        <f>IF(OR(CONT_SUP[[#This Row],[MatEditOnly]]=TRUE,CONT_SUP[[#This Row],[MatEditOnly]]=FALSE),IF(OR(CONT_SUP[[#This Row],[NoIncrement]]=TRUE,CONT_SUP[[#This Row],[NoIncrement]]=FALSE),0,1),1)</f>
        <v>0</v>
      </c>
      <c r="V174" s="57">
        <f>IF(ISBLANK(CONT_SUP[[#This Row],[FundCode]])=TRUE,0,IF(COUNTIF(FUNDS[FundCode],CONT_SUP[[#This Row],[FundCode]])=1,0,1))</f>
        <v>0</v>
      </c>
      <c r="W174" s="57">
        <f>IF(LEN(CONT_SUP[[#This Row],[Notes]])&lt;4000,0,1)</f>
        <v>0</v>
      </c>
      <c r="X174" s="57">
        <f>IF(SUBSTITUTE(TEXT(CONT_SUP[[#This Row],[Reference]],10)," ","")=TEXT(CONT_SUP[[#This Row],[Reference]],10),0,1)</f>
        <v>0</v>
      </c>
      <c r="Y174" s="57">
        <f ca="1">SUM(CONT_SUP[[#This Row],[Duplicate Contract]:[Space in Code]])</f>
        <v>0</v>
      </c>
      <c r="AA174" s="12" t="s">
        <v>51</v>
      </c>
      <c r="AB174" s="12">
        <v>91073634</v>
      </c>
      <c r="AC174" s="12" t="s">
        <v>4770</v>
      </c>
      <c r="AD174" s="57" t="str">
        <f>_xlfn.XLOOKUP(CONT_SUP[[#This Row],[StaffMemberCode]],StaffMembers!O:O,StaffMembers!R:R)</f>
        <v>Owen Prawl</v>
      </c>
      <c r="AE174" s="12" t="s">
        <v>4299</v>
      </c>
      <c r="AF174" s="57">
        <f>_xlfn.XLOOKUP(CONT_SUP[[#This Row],[SRG]],SRG[StaffRoleGroupCode],SRG[GrossSalaryFinanceCode])</f>
        <v>627100</v>
      </c>
      <c r="AG174" s="57" t="str">
        <f>_xlfn.XLOOKUP(CONT_SUP[[#This Row],[StaffRoleCode]],ROLES[StaffRoleCode],ROLES[StaffRoleGroupCode])</f>
        <v>PRE</v>
      </c>
      <c r="AH174" s="57" t="str">
        <f>_xlfn.XLOOKUP(CONT_SUP[[#This Row],[StaffRoleCode]],ROLES[StaffRoleCode],ROLES[PayScaleCode])</f>
        <v>NJC_CHE</v>
      </c>
      <c r="AI174" s="12" t="s">
        <v>3123</v>
      </c>
      <c r="AJ174" s="12">
        <v>7</v>
      </c>
      <c r="AK174" s="12" t="s">
        <v>4927</v>
      </c>
      <c r="AM174" s="68" t="s">
        <v>3132</v>
      </c>
      <c r="AN174" s="12" t="s">
        <v>1702</v>
      </c>
      <c r="AO174" s="21">
        <v>45901</v>
      </c>
      <c r="AQ174" s="12">
        <v>37</v>
      </c>
      <c r="AR174" t="b">
        <v>0</v>
      </c>
      <c r="AS174" t="b">
        <v>0</v>
      </c>
      <c r="AT174" s="12" t="s">
        <v>1574</v>
      </c>
    </row>
    <row r="175" spans="1:46" x14ac:dyDescent="0.3">
      <c r="A175" s="57" t="str">
        <f t="shared" si="5"/>
        <v>MAT9107391591073915ASITE_OFFSPREMMAT45901</v>
      </c>
      <c r="B175" s="57">
        <f>COUNTIF(CONT_SUP[Unique Contract],CONT_SUP[[#This Row],[Unique Contract]])-1</f>
        <v>0</v>
      </c>
      <c r="C175" s="57">
        <f>IFERROR(IF(FIND(CONT_SUP[[#This Row],[SchoolCode]],_xlfn.XLOOKUP(CONT_SUP[[#This Row],[StaffMemberCode]],MEMBERS[StaffMemberCode],MEMBERS[SchoolCodes]))&gt;0,0,1),1)</f>
        <v>0</v>
      </c>
      <c r="D175" s="57" cm="1">
        <f t="array" ref="D175">IF(_xlfn.XLOOKUP(CONT_SUP[[#This Row],[StaffRoleCode]],ROLES[StaffRoleCode],ROLES[AvailableToAllSchools],1,0,)=TRUE,0,IF(ISERROR(FIND(CONT_SUP[[#This Row],[SchoolCode]],_xlfn.TEXTJOIN(",",TRUE,_xlfn.UNIQUE(IF(ROLES[StaffRoleCode]=CONT_SUP[[#This Row],[StaffRoleCode]],ROLES[SchoolCodes],""))))),1,0))</f>
        <v>0</v>
      </c>
      <c r="E175" s="57" cm="1">
        <f t="array" ref="E17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75" s="57" cm="1">
        <f t="array" ref="F175">IF(_xlfn.XLOOKUP(CONT_SUP[[#This Row],[PayScaleCode]],PAYSCALES[PayScaleCode],PAYSCALES[AvailableToAllSchools],1,0,)=TRUE,0,IF(ISERROR(FIND(CONT_SUP[[#This Row],[SchoolCode]],_xlfn.TEXTJOIN(",",TRUE,_xlfn.UNIQUE(IF(PAYSCALES[PayScaleCode]=CONT_SUP[[#This Row],[PayScaleCode]],PAYSCALES[SchoolCodes],""))))),1,0))</f>
        <v>0</v>
      </c>
      <c r="G175" s="57">
        <f>IF(_xlfn.XLOOKUP(CONT_SUP[[#This Row],[PayScaleGradeCode]],GRADES[PayScaleGradeCode],GRADES[AvailableToAllSchools])=TRUE,0,IFERROR(IF(FIND(CONT_SUP[[#This Row],[SchoolCode]],_xlfn.XLOOKUP(CONT_SUP[[#This Row],[PayScaleGradeCode]],GRADES[PayScaleGradeCode],GRADES[SchoolCodes]))&gt;=1,0,1),1))</f>
        <v>0</v>
      </c>
      <c r="H175" s="57">
        <f>IF(ISERROR(IF((_xlfn.XLOOKUP(CONT_SUP[[#This Row],[PayScaleGradeCode]],GRADES[PayScaleGradeCode],GRADES[PayScaleCode])=CONT_SUP[[#This Row],[PayScaleCode]]),0,1)),1,0)</f>
        <v>0</v>
      </c>
      <c r="I175" s="57" cm="1">
        <f t="array" ref="I175">IF(ISERROR(FIND(CONT_SUP[[#This Row],[PayScalePointCode]],_xlfn.TEXTJOIN(",",TRUE,IF(PSPOINTS[PayScaleCode]=CONT_SUP[[#This Row],[PayScaleCode]],PSPOINTS[PayScalePointCode])))),1,0)</f>
        <v>0</v>
      </c>
      <c r="J175" s="57" cm="1">
        <f t="array" ref="J17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75" s="57">
        <f>IF(_xlfn.XLOOKUP(CONT_SUP[[#This Row],[PayScalePointCode]],PSPOINTS[PayScalePointCode],PSPOINTS[PayScalePointEnabled])=TRUE,0,1)</f>
        <v>0</v>
      </c>
      <c r="L175" s="57" cm="1">
        <f t="array" ref="L175">IF(_xlfn.XLOOKUP(CONT_SUP[[#This Row],[DepartmentCode]],DEPTS[DepartmentCode],DEPTS[AvailableToAllSchools],1,0,)=TRUE,0,IF(ISERROR(FIND(CONT_SUP[[#This Row],[SchoolCode]],_xlfn.TEXTJOIN(",",TRUE,_xlfn.UNIQUE(IF(DEPTS[DepartmentCode]=CONT_SUP[[#This Row],[DepartmentCode]],DEPTS[SchoolCodes],""))))),1,0))</f>
        <v>0</v>
      </c>
      <c r="M175" s="57">
        <f>IFERROR(IF(_xlfn.XLOOKUP(CONT_SUP[[#This Row],[SRG Gross]],FinanceCodesBudget[FinanceCode],FinanceCodesBudget[LedgerCode])=_xlfn.XLOOKUP(CONT_SUP[[#This Row],[DepartmentCode]],DEPTS[DepartmentCode],DEPTS[LedgerCode]),0,1),1)</f>
        <v>0</v>
      </c>
      <c r="N175" s="57" cm="1">
        <f t="array" ref="N175">IF(_xlfn.XLOOKUP(CONT_SUP[[#This Row],[PensionCode]],PENS[PensionCode],PENS[AvailableToAllSchools],1,0,)=TRUE,0,IF(ISERROR(FIND(CONT_SUP[[#This Row],[SchoolCode]],_xlfn.TEXTJOIN(",",TRUE,_xlfn.UNIQUE(IF(PENS[PensionCode]=CONT_SUP[[#This Row],[PensionCode]],PENS[SchoolCodes],""))))),1,0))</f>
        <v>0</v>
      </c>
      <c r="O175" s="57" cm="1">
        <f t="array" ref="O175">IF(_xlfn.XLOOKUP(CONT_SUP[[#This Row],[EquatedWeekPatternCode]],EQW[EquatedWeekPatternCode],EQW[AvailableToAllSchools],1,0,)=TRUE,0,IF(ISERROR(FIND(CONT_SUP[[#This Row],[SchoolCode]],_xlfn.TEXTJOIN(",",TRUE,_xlfn.UNIQUE(IF(EQW[EquatedWeekPatternCode]=CONT_SUP[[#This Row],[EquatedWeekPatternCode]],EQW[SchoolCodes],""))))),1,0))</f>
        <v>0</v>
      </c>
      <c r="P175" s="57">
        <f>1-COUNTIF(ContractTypes[Code],CONT_SUP[[#This Row],[ContractTypeCode]])</f>
        <v>0</v>
      </c>
      <c r="Q175" s="57">
        <f>IF(VLOOKUP(CONT_SUP[[#This Row],[StaffMemberCode]],MEMBERS[[StaffMemberCode]:[ServiceStartDate]],5,0)&gt;CONT_SUP[[#This Row],[DateFrom]],1,0)</f>
        <v>0</v>
      </c>
      <c r="R175" s="57">
        <f>IF(_xlfn.XLOOKUP(CONT_SUP[[#This Row],[StaffMemberCode]],MEMBERS[StaffMemberCode],MEMBERS[ServiceEndDate])="",0,IF(CONT_SUP[[#This Row],[DateTo]]="",1,IF(_xlfn.XLOOKUP(CONT_SUP[[#This Row],[StaffMemberCode]],MEMBERS[StaffMemberCode],MEMBERS[ServiceEndDate])&lt;CONT_SUP[[#This Row],[DateTo]],1,0)))</f>
        <v>0</v>
      </c>
      <c r="S175" s="57">
        <f>IF(ISBLANK(CONT_SUP[[#This Row],[DateTo]]),0,IF(CONT_SUP[[#This Row],[DateFrom]]=CONT_SUP[[#This Row],[DateTo]],0,IF(CONT_SUP[[#This Row],[DateFrom]]&lt;CONT_SUP[[#This Row],[DateTo]],0,1)))</f>
        <v>0</v>
      </c>
      <c r="T175" s="57" cm="1">
        <f t="array" aca="1" ref="T175" ca="1">IF(CELL("format",CONT_SUP[[#This Row],[DateFrom]])="D1",0,1)+IF(CELL("format",CONT_SUP[[#This Row],[DateTo]])="D1",0,1)</f>
        <v>0</v>
      </c>
      <c r="U175" s="57">
        <f>IF(OR(CONT_SUP[[#This Row],[MatEditOnly]]=TRUE,CONT_SUP[[#This Row],[MatEditOnly]]=FALSE),IF(OR(CONT_SUP[[#This Row],[NoIncrement]]=TRUE,CONT_SUP[[#This Row],[NoIncrement]]=FALSE),0,1),1)</f>
        <v>0</v>
      </c>
      <c r="V175" s="57">
        <f>IF(ISBLANK(CONT_SUP[[#This Row],[FundCode]])=TRUE,0,IF(COUNTIF(FUNDS[FundCode],CONT_SUP[[#This Row],[FundCode]])=1,0,1))</f>
        <v>0</v>
      </c>
      <c r="W175" s="57">
        <f>IF(LEN(CONT_SUP[[#This Row],[Notes]])&lt;4000,0,1)</f>
        <v>0</v>
      </c>
      <c r="X175" s="57">
        <f>IF(SUBSTITUTE(TEXT(CONT_SUP[[#This Row],[Reference]],10)," ","")=TEXT(CONT_SUP[[#This Row],[Reference]],10),0,1)</f>
        <v>0</v>
      </c>
      <c r="Y175" s="57">
        <f ca="1">SUM(CONT_SUP[[#This Row],[Duplicate Contract]:[Space in Code]])</f>
        <v>0</v>
      </c>
      <c r="AA175" s="12" t="s">
        <v>51</v>
      </c>
      <c r="AB175" s="12">
        <v>91073915</v>
      </c>
      <c r="AC175" s="12" t="s">
        <v>4771</v>
      </c>
      <c r="AD175" s="57" t="str">
        <f>_xlfn.XLOOKUP(CONT_SUP[[#This Row],[StaffMemberCode]],StaffMembers!O:O,StaffMembers!R:R)</f>
        <v>Robert Parris</v>
      </c>
      <c r="AE175" s="12" t="s">
        <v>4299</v>
      </c>
      <c r="AF175" s="57">
        <f>_xlfn.XLOOKUP(CONT_SUP[[#This Row],[SRG]],SRG[StaffRoleGroupCode],SRG[GrossSalaryFinanceCode])</f>
        <v>627100</v>
      </c>
      <c r="AG175" s="57" t="str">
        <f>_xlfn.XLOOKUP(CONT_SUP[[#This Row],[StaffRoleCode]],ROLES[StaffRoleCode],ROLES[StaffRoleGroupCode])</f>
        <v>PRE</v>
      </c>
      <c r="AH175" s="57" t="str">
        <f>_xlfn.XLOOKUP(CONT_SUP[[#This Row],[StaffRoleCode]],ROLES[StaffRoleCode],ROLES[PayScaleCode])</f>
        <v>NJC_CHE</v>
      </c>
      <c r="AI175" s="12" t="s">
        <v>3123</v>
      </c>
      <c r="AJ175" s="12">
        <v>7</v>
      </c>
      <c r="AK175" s="12" t="s">
        <v>4927</v>
      </c>
      <c r="AM175" s="68" t="s">
        <v>3132</v>
      </c>
      <c r="AN175" s="12" t="s">
        <v>1702</v>
      </c>
      <c r="AO175" s="21">
        <v>45901</v>
      </c>
      <c r="AQ175" s="12">
        <v>37</v>
      </c>
      <c r="AR175" t="b">
        <v>0</v>
      </c>
      <c r="AS175" t="b">
        <v>0</v>
      </c>
      <c r="AT175" s="12" t="s">
        <v>1574</v>
      </c>
    </row>
    <row r="176" spans="1:46" x14ac:dyDescent="0.3">
      <c r="A176" s="57" t="str">
        <f t="shared" si="5"/>
        <v>MAT9185005091850050ASITE_STFSPREMMAT45901</v>
      </c>
      <c r="B176" s="57">
        <f>COUNTIF(CONT_SUP[Unique Contract],CONT_SUP[[#This Row],[Unique Contract]])-1</f>
        <v>0</v>
      </c>
      <c r="C176" s="57">
        <f>IFERROR(IF(FIND(CONT_SUP[[#This Row],[SchoolCode]],_xlfn.XLOOKUP(CONT_SUP[[#This Row],[StaffMemberCode]],MEMBERS[StaffMemberCode],MEMBERS[SchoolCodes]))&gt;0,0,1),1)</f>
        <v>0</v>
      </c>
      <c r="D176" s="57" cm="1">
        <f t="array" ref="D176">IF(_xlfn.XLOOKUP(CONT_SUP[[#This Row],[StaffRoleCode]],ROLES[StaffRoleCode],ROLES[AvailableToAllSchools],1,0,)=TRUE,0,IF(ISERROR(FIND(CONT_SUP[[#This Row],[SchoolCode]],_xlfn.TEXTJOIN(",",TRUE,_xlfn.UNIQUE(IF(ROLES[StaffRoleCode]=CONT_SUP[[#This Row],[StaffRoleCode]],ROLES[SchoolCodes],""))))),1,0))</f>
        <v>0</v>
      </c>
      <c r="E176" s="57" cm="1">
        <f t="array" ref="E17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76" s="57" cm="1">
        <f t="array" ref="F176">IF(_xlfn.XLOOKUP(CONT_SUP[[#This Row],[PayScaleCode]],PAYSCALES[PayScaleCode],PAYSCALES[AvailableToAllSchools],1,0,)=TRUE,0,IF(ISERROR(FIND(CONT_SUP[[#This Row],[SchoolCode]],_xlfn.TEXTJOIN(",",TRUE,_xlfn.UNIQUE(IF(PAYSCALES[PayScaleCode]=CONT_SUP[[#This Row],[PayScaleCode]],PAYSCALES[SchoolCodes],""))))),1,0))</f>
        <v>0</v>
      </c>
      <c r="G176" s="57">
        <f>IF(_xlfn.XLOOKUP(CONT_SUP[[#This Row],[PayScaleGradeCode]],GRADES[PayScaleGradeCode],GRADES[AvailableToAllSchools])=TRUE,0,IFERROR(IF(FIND(CONT_SUP[[#This Row],[SchoolCode]],_xlfn.XLOOKUP(CONT_SUP[[#This Row],[PayScaleGradeCode]],GRADES[PayScaleGradeCode],GRADES[SchoolCodes]))&gt;=1,0,1),1))</f>
        <v>0</v>
      </c>
      <c r="H176" s="57">
        <f>IF(ISERROR(IF((_xlfn.XLOOKUP(CONT_SUP[[#This Row],[PayScaleGradeCode]],GRADES[PayScaleGradeCode],GRADES[PayScaleCode])=CONT_SUP[[#This Row],[PayScaleCode]]),0,1)),1,0)</f>
        <v>0</v>
      </c>
      <c r="I176" s="57" cm="1">
        <f t="array" ref="I176">IF(ISERROR(FIND(CONT_SUP[[#This Row],[PayScalePointCode]],_xlfn.TEXTJOIN(",",TRUE,IF(PSPOINTS[PayScaleCode]=CONT_SUP[[#This Row],[PayScaleCode]],PSPOINTS[PayScalePointCode])))),1,0)</f>
        <v>0</v>
      </c>
      <c r="J176" s="57" cm="1">
        <f t="array" ref="J17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76" s="57">
        <f>IF(_xlfn.XLOOKUP(CONT_SUP[[#This Row],[PayScalePointCode]],PSPOINTS[PayScalePointCode],PSPOINTS[PayScalePointEnabled])=TRUE,0,1)</f>
        <v>0</v>
      </c>
      <c r="L176" s="57" cm="1">
        <f t="array" ref="L176">IF(_xlfn.XLOOKUP(CONT_SUP[[#This Row],[DepartmentCode]],DEPTS[DepartmentCode],DEPTS[AvailableToAllSchools],1,0,)=TRUE,0,IF(ISERROR(FIND(CONT_SUP[[#This Row],[SchoolCode]],_xlfn.TEXTJOIN(",",TRUE,_xlfn.UNIQUE(IF(DEPTS[DepartmentCode]=CONT_SUP[[#This Row],[DepartmentCode]],DEPTS[SchoolCodes],""))))),1,0))</f>
        <v>0</v>
      </c>
      <c r="M176" s="57">
        <f>IFERROR(IF(_xlfn.XLOOKUP(CONT_SUP[[#This Row],[SRG Gross]],FinanceCodesBudget[FinanceCode],FinanceCodesBudget[LedgerCode])=_xlfn.XLOOKUP(CONT_SUP[[#This Row],[DepartmentCode]],DEPTS[DepartmentCode],DEPTS[LedgerCode]),0,1),1)</f>
        <v>0</v>
      </c>
      <c r="N176" s="57" cm="1">
        <f t="array" ref="N176">IF(_xlfn.XLOOKUP(CONT_SUP[[#This Row],[PensionCode]],PENS[PensionCode],PENS[AvailableToAllSchools],1,0,)=TRUE,0,IF(ISERROR(FIND(CONT_SUP[[#This Row],[SchoolCode]],_xlfn.TEXTJOIN(",",TRUE,_xlfn.UNIQUE(IF(PENS[PensionCode]=CONT_SUP[[#This Row],[PensionCode]],PENS[SchoolCodes],""))))),1,0))</f>
        <v>0</v>
      </c>
      <c r="O176" s="57" cm="1">
        <f t="array" ref="O176">IF(_xlfn.XLOOKUP(CONT_SUP[[#This Row],[EquatedWeekPatternCode]],EQW[EquatedWeekPatternCode],EQW[AvailableToAllSchools],1,0,)=TRUE,0,IF(ISERROR(FIND(CONT_SUP[[#This Row],[SchoolCode]],_xlfn.TEXTJOIN(",",TRUE,_xlfn.UNIQUE(IF(EQW[EquatedWeekPatternCode]=CONT_SUP[[#This Row],[EquatedWeekPatternCode]],EQW[SchoolCodes],""))))),1,0))</f>
        <v>0</v>
      </c>
      <c r="P176" s="57">
        <f>1-COUNTIF(ContractTypes[Code],CONT_SUP[[#This Row],[ContractTypeCode]])</f>
        <v>0</v>
      </c>
      <c r="Q176" s="57">
        <f>IF(VLOOKUP(CONT_SUP[[#This Row],[StaffMemberCode]],MEMBERS[[StaffMemberCode]:[ServiceStartDate]],5,0)&gt;CONT_SUP[[#This Row],[DateFrom]],1,0)</f>
        <v>0</v>
      </c>
      <c r="R176" s="57">
        <f>IF(_xlfn.XLOOKUP(CONT_SUP[[#This Row],[StaffMemberCode]],MEMBERS[StaffMemberCode],MEMBERS[ServiceEndDate])="",0,IF(CONT_SUP[[#This Row],[DateTo]]="",1,IF(_xlfn.XLOOKUP(CONT_SUP[[#This Row],[StaffMemberCode]],MEMBERS[StaffMemberCode],MEMBERS[ServiceEndDate])&lt;CONT_SUP[[#This Row],[DateTo]],1,0)))</f>
        <v>0</v>
      </c>
      <c r="S176" s="57">
        <f>IF(ISBLANK(CONT_SUP[[#This Row],[DateTo]]),0,IF(CONT_SUP[[#This Row],[DateFrom]]=CONT_SUP[[#This Row],[DateTo]],0,IF(CONT_SUP[[#This Row],[DateFrom]]&lt;CONT_SUP[[#This Row],[DateTo]],0,1)))</f>
        <v>0</v>
      </c>
      <c r="T176" s="57" cm="1">
        <f t="array" aca="1" ref="T176" ca="1">IF(CELL("format",CONT_SUP[[#This Row],[DateFrom]])="D1",0,1)+IF(CELL("format",CONT_SUP[[#This Row],[DateTo]])="D1",0,1)</f>
        <v>0</v>
      </c>
      <c r="U176" s="57">
        <f>IF(OR(CONT_SUP[[#This Row],[MatEditOnly]]=TRUE,CONT_SUP[[#This Row],[MatEditOnly]]=FALSE),IF(OR(CONT_SUP[[#This Row],[NoIncrement]]=TRUE,CONT_SUP[[#This Row],[NoIncrement]]=FALSE),0,1),1)</f>
        <v>0</v>
      </c>
      <c r="V176" s="57">
        <f>IF(ISBLANK(CONT_SUP[[#This Row],[FundCode]])=TRUE,0,IF(COUNTIF(FUNDS[FundCode],CONT_SUP[[#This Row],[FundCode]])=1,0,1))</f>
        <v>0</v>
      </c>
      <c r="W176" s="57">
        <f>IF(LEN(CONT_SUP[[#This Row],[Notes]])&lt;4000,0,1)</f>
        <v>0</v>
      </c>
      <c r="X176" s="57">
        <f>IF(SUBSTITUTE(TEXT(CONT_SUP[[#This Row],[Reference]],10)," ","")=TEXT(CONT_SUP[[#This Row],[Reference]],10),0,1)</f>
        <v>0</v>
      </c>
      <c r="Y176" s="57">
        <f ca="1">SUM(CONT_SUP[[#This Row],[Duplicate Contract]:[Space in Code]])</f>
        <v>0</v>
      </c>
      <c r="AA176" s="12" t="s">
        <v>51</v>
      </c>
      <c r="AB176" s="12">
        <v>91850050</v>
      </c>
      <c r="AC176" s="12" t="s">
        <v>4772</v>
      </c>
      <c r="AD176" s="57" t="str">
        <f>_xlfn.XLOOKUP(CONT_SUP[[#This Row],[StaffMemberCode]],StaffMembers!O:O,StaffMembers!R:R)</f>
        <v>Thomas Cassidy</v>
      </c>
      <c r="AE176" s="12" t="s">
        <v>4303</v>
      </c>
      <c r="AF176" s="57">
        <f>_xlfn.XLOOKUP(CONT_SUP[[#This Row],[SRG]],SRG[StaffRoleGroupCode],SRG[GrossSalaryFinanceCode])</f>
        <v>627100</v>
      </c>
      <c r="AG176" s="57" t="str">
        <f>_xlfn.XLOOKUP(CONT_SUP[[#This Row],[StaffRoleCode]],ROLES[StaffRoleCode],ROLES[StaffRoleGroupCode])</f>
        <v>PRE</v>
      </c>
      <c r="AH176" s="57" t="str">
        <f>_xlfn.XLOOKUP(CONT_SUP[[#This Row],[StaffRoleCode]],ROLES[StaffRoleCode],ROLES[PayScaleCode])</f>
        <v>NJC_CHE</v>
      </c>
      <c r="AI176" s="12" t="s">
        <v>3123</v>
      </c>
      <c r="AJ176" s="12">
        <v>9</v>
      </c>
      <c r="AK176" s="12" t="s">
        <v>4927</v>
      </c>
      <c r="AM176" s="68" t="s">
        <v>3132</v>
      </c>
      <c r="AN176" s="12" t="s">
        <v>1702</v>
      </c>
      <c r="AO176" s="21">
        <v>45901</v>
      </c>
      <c r="AQ176" s="12">
        <v>37</v>
      </c>
      <c r="AR176" t="b">
        <v>0</v>
      </c>
      <c r="AS176" t="b">
        <v>0</v>
      </c>
      <c r="AT176" s="12" t="s">
        <v>1574</v>
      </c>
    </row>
    <row r="177" spans="1:46" x14ac:dyDescent="0.3">
      <c r="A177" s="57" t="str">
        <f t="shared" si="5"/>
        <v>BLS9107358891073588ATASTA45901</v>
      </c>
      <c r="B177" s="57">
        <f>COUNTIF(CONT_SUP[Unique Contract],CONT_SUP[[#This Row],[Unique Contract]])-1</f>
        <v>0</v>
      </c>
      <c r="C177" s="57">
        <f>IFERROR(IF(FIND(CONT_SUP[[#This Row],[SchoolCode]],_xlfn.XLOOKUP(CONT_SUP[[#This Row],[StaffMemberCode]],MEMBERS[StaffMemberCode],MEMBERS[SchoolCodes]))&gt;0,0,1),1)</f>
        <v>0</v>
      </c>
      <c r="D177" s="57" cm="1">
        <f t="array" ref="D177">IF(_xlfn.XLOOKUP(CONT_SUP[[#This Row],[StaffRoleCode]],ROLES[StaffRoleCode],ROLES[AvailableToAllSchools],1,0,)=TRUE,0,IF(ISERROR(FIND(CONT_SUP[[#This Row],[SchoolCode]],_xlfn.TEXTJOIN(",",TRUE,_xlfn.UNIQUE(IF(ROLES[StaffRoleCode]=CONT_SUP[[#This Row],[StaffRoleCode]],ROLES[SchoolCodes],""))))),1,0))</f>
        <v>0</v>
      </c>
      <c r="E177" s="57" cm="1">
        <f t="array" ref="E17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77" s="57" cm="1">
        <f t="array" ref="F177">IF(_xlfn.XLOOKUP(CONT_SUP[[#This Row],[PayScaleCode]],PAYSCALES[PayScaleCode],PAYSCALES[AvailableToAllSchools],1,0,)=TRUE,0,IF(ISERROR(FIND(CONT_SUP[[#This Row],[SchoolCode]],_xlfn.TEXTJOIN(",",TRUE,_xlfn.UNIQUE(IF(PAYSCALES[PayScaleCode]=CONT_SUP[[#This Row],[PayScaleCode]],PAYSCALES[SchoolCodes],""))))),1,0))</f>
        <v>0</v>
      </c>
      <c r="G177" s="57">
        <f>IF(_xlfn.XLOOKUP(CONT_SUP[[#This Row],[PayScaleGradeCode]],GRADES[PayScaleGradeCode],GRADES[AvailableToAllSchools])=TRUE,0,IFERROR(IF(FIND(CONT_SUP[[#This Row],[SchoolCode]],_xlfn.XLOOKUP(CONT_SUP[[#This Row],[PayScaleGradeCode]],GRADES[PayScaleGradeCode],GRADES[SchoolCodes]))&gt;=1,0,1),1))</f>
        <v>0</v>
      </c>
      <c r="H177" s="57">
        <f>IF(ISERROR(IF((_xlfn.XLOOKUP(CONT_SUP[[#This Row],[PayScaleGradeCode]],GRADES[PayScaleGradeCode],GRADES[PayScaleCode])=CONT_SUP[[#This Row],[PayScaleCode]]),0,1)),1,0)</f>
        <v>0</v>
      </c>
      <c r="I177" s="57" cm="1">
        <f t="array" ref="I177">IF(ISERROR(FIND(CONT_SUP[[#This Row],[PayScalePointCode]],_xlfn.TEXTJOIN(",",TRUE,IF(PSPOINTS[PayScaleCode]=CONT_SUP[[#This Row],[PayScaleCode]],PSPOINTS[PayScalePointCode])))),1,0)</f>
        <v>0</v>
      </c>
      <c r="J177" s="57" cm="1">
        <f t="array" ref="J17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77" s="57">
        <f>IF(_xlfn.XLOOKUP(CONT_SUP[[#This Row],[PayScalePointCode]],PSPOINTS[PayScalePointCode],PSPOINTS[PayScalePointEnabled])=TRUE,0,1)</f>
        <v>0</v>
      </c>
      <c r="L177" s="57" cm="1">
        <f t="array" ref="L177">IF(_xlfn.XLOOKUP(CONT_SUP[[#This Row],[DepartmentCode]],DEPTS[DepartmentCode],DEPTS[AvailableToAllSchools],1,0,)=TRUE,0,IF(ISERROR(FIND(CONT_SUP[[#This Row],[SchoolCode]],_xlfn.TEXTJOIN(",",TRUE,_xlfn.UNIQUE(IF(DEPTS[DepartmentCode]=CONT_SUP[[#This Row],[DepartmentCode]],DEPTS[SchoolCodes],""))))),1,0))</f>
        <v>0</v>
      </c>
      <c r="M177" s="57">
        <f>IFERROR(IF(_xlfn.XLOOKUP(CONT_SUP[[#This Row],[SRG Gross]],FinanceCodesBudget[FinanceCode],FinanceCodesBudget[LedgerCode])=_xlfn.XLOOKUP(CONT_SUP[[#This Row],[DepartmentCode]],DEPTS[DepartmentCode],DEPTS[LedgerCode]),0,1),1)</f>
        <v>1</v>
      </c>
      <c r="N177" s="57" cm="1">
        <f t="array" ref="N177">IF(_xlfn.XLOOKUP(CONT_SUP[[#This Row],[PensionCode]],PENS[PensionCode],PENS[AvailableToAllSchools],1,0,)=TRUE,0,IF(ISERROR(FIND(CONT_SUP[[#This Row],[SchoolCode]],_xlfn.TEXTJOIN(",",TRUE,_xlfn.UNIQUE(IF(PENS[PensionCode]=CONT_SUP[[#This Row],[PensionCode]],PENS[SchoolCodes],""))))),1,0))</f>
        <v>0</v>
      </c>
      <c r="O177" s="57" cm="1">
        <f t="array" ref="O177">IF(_xlfn.XLOOKUP(CONT_SUP[[#This Row],[EquatedWeekPatternCode]],EQW[EquatedWeekPatternCode],EQW[AvailableToAllSchools],1,0,)=TRUE,0,IF(ISERROR(FIND(CONT_SUP[[#This Row],[SchoolCode]],_xlfn.TEXTJOIN(",",TRUE,_xlfn.UNIQUE(IF(EQW[EquatedWeekPatternCode]=CONT_SUP[[#This Row],[EquatedWeekPatternCode]],EQW[SchoolCodes],""))))),1,0))</f>
        <v>0</v>
      </c>
      <c r="P177" s="57">
        <f>1-COUNTIF(ContractTypes[Code],CONT_SUP[[#This Row],[ContractTypeCode]])</f>
        <v>0</v>
      </c>
      <c r="Q177" s="57">
        <f>IF(VLOOKUP(CONT_SUP[[#This Row],[StaffMemberCode]],MEMBERS[[StaffMemberCode]:[ServiceStartDate]],5,0)&gt;CONT_SUP[[#This Row],[DateFrom]],1,0)</f>
        <v>0</v>
      </c>
      <c r="R177" s="57">
        <f>IF(_xlfn.XLOOKUP(CONT_SUP[[#This Row],[StaffMemberCode]],MEMBERS[StaffMemberCode],MEMBERS[ServiceEndDate])="",0,IF(CONT_SUP[[#This Row],[DateTo]]="",1,IF(_xlfn.XLOOKUP(CONT_SUP[[#This Row],[StaffMemberCode]],MEMBERS[StaffMemberCode],MEMBERS[ServiceEndDate])&lt;CONT_SUP[[#This Row],[DateTo]],1,0)))</f>
        <v>0</v>
      </c>
      <c r="S177" s="57">
        <f>IF(ISBLANK(CONT_SUP[[#This Row],[DateTo]]),0,IF(CONT_SUP[[#This Row],[DateFrom]]=CONT_SUP[[#This Row],[DateTo]],0,IF(CONT_SUP[[#This Row],[DateFrom]]&lt;CONT_SUP[[#This Row],[DateTo]],0,1)))</f>
        <v>0</v>
      </c>
      <c r="T177" s="57" cm="1">
        <f t="array" aca="1" ref="T177" ca="1">IF(CELL("format",CONT_SUP[[#This Row],[DateFrom]])="D1",0,1)+IF(CELL("format",CONT_SUP[[#This Row],[DateTo]])="D1",0,1)</f>
        <v>0</v>
      </c>
      <c r="U177" s="57">
        <f>IF(OR(CONT_SUP[[#This Row],[MatEditOnly]]=TRUE,CONT_SUP[[#This Row],[MatEditOnly]]=FALSE),IF(OR(CONT_SUP[[#This Row],[NoIncrement]]=TRUE,CONT_SUP[[#This Row],[NoIncrement]]=FALSE),0,1),1)</f>
        <v>0</v>
      </c>
      <c r="V177" s="57">
        <f>IF(ISBLANK(CONT_SUP[[#This Row],[FundCode]])=TRUE,0,IF(COUNTIF(FUNDS[FundCode],CONT_SUP[[#This Row],[FundCode]])=1,0,1))</f>
        <v>0</v>
      </c>
      <c r="W177" s="57">
        <f>IF(LEN(CONT_SUP[[#This Row],[Notes]])&lt;4000,0,1)</f>
        <v>0</v>
      </c>
      <c r="X177" s="57">
        <f>IF(SUBSTITUTE(TEXT(CONT_SUP[[#This Row],[Reference]],10)," ","")=TEXT(CONT_SUP[[#This Row],[Reference]],10),0,1)</f>
        <v>0</v>
      </c>
      <c r="Y177" s="57">
        <f ca="1">SUM(CONT_SUP[[#This Row],[Duplicate Contract]:[Space in Code]])</f>
        <v>1</v>
      </c>
      <c r="AA177" s="12" t="s">
        <v>2094</v>
      </c>
      <c r="AB177" s="12">
        <v>91073588</v>
      </c>
      <c r="AC177" s="12" t="s">
        <v>4773</v>
      </c>
      <c r="AD177" s="57" t="str">
        <f>_xlfn.XLOOKUP(CONT_SUP[[#This Row],[StaffMemberCode]],StaffMembers!O:O,StaffMembers!R:R)</f>
        <v>Charlotte Lean</v>
      </c>
      <c r="AE177" s="12" t="s">
        <v>1180</v>
      </c>
      <c r="AF177" s="57">
        <f>_xlfn.XLOOKUP(CONT_SUP[[#This Row],[SRG]],SRG[StaffRoleGroupCode],SRG[GrossSalaryFinanceCode])</f>
        <v>615100</v>
      </c>
      <c r="AG177" s="57" t="str">
        <f>_xlfn.XLOOKUP(CONT_SUP[[#This Row],[StaffRoleCode]],ROLES[StaffRoleCode],ROLES[StaffRoleGroupCode])</f>
        <v>TA</v>
      </c>
      <c r="AH177" s="57" t="str">
        <f>_xlfn.XLOOKUP(CONT_SUP[[#This Row],[StaffRoleCode]],ROLES[StaffRoleCode],ROLES[PayScaleCode])</f>
        <v>NJC_CHE</v>
      </c>
      <c r="AI177" s="12" t="s">
        <v>3125</v>
      </c>
      <c r="AJ177" s="12">
        <v>23</v>
      </c>
      <c r="AK177" s="12" t="s">
        <v>2497</v>
      </c>
      <c r="AM177" s="68" t="s">
        <v>3132</v>
      </c>
      <c r="AN177" s="12" t="s">
        <v>3135</v>
      </c>
      <c r="AO177" s="21">
        <v>45901</v>
      </c>
      <c r="AQ177" s="12">
        <v>35</v>
      </c>
      <c r="AR177" t="b">
        <v>0</v>
      </c>
      <c r="AS177" t="b">
        <v>0</v>
      </c>
      <c r="AT177" s="12" t="s">
        <v>1574</v>
      </c>
    </row>
    <row r="178" spans="1:46" x14ac:dyDescent="0.3">
      <c r="A178" s="57" t="str">
        <f t="shared" si="5"/>
        <v>BLS9107350991073509ATASTA45901</v>
      </c>
      <c r="B178" s="57">
        <f>COUNTIF(CONT_SUP[Unique Contract],CONT_SUP[[#This Row],[Unique Contract]])-1</f>
        <v>0</v>
      </c>
      <c r="C178" s="57">
        <f>IFERROR(IF(FIND(CONT_SUP[[#This Row],[SchoolCode]],_xlfn.XLOOKUP(CONT_SUP[[#This Row],[StaffMemberCode]],MEMBERS[StaffMemberCode],MEMBERS[SchoolCodes]))&gt;0,0,1),1)</f>
        <v>0</v>
      </c>
      <c r="D178" s="57" cm="1">
        <f t="array" ref="D178">IF(_xlfn.XLOOKUP(CONT_SUP[[#This Row],[StaffRoleCode]],ROLES[StaffRoleCode],ROLES[AvailableToAllSchools],1,0,)=TRUE,0,IF(ISERROR(FIND(CONT_SUP[[#This Row],[SchoolCode]],_xlfn.TEXTJOIN(",",TRUE,_xlfn.UNIQUE(IF(ROLES[StaffRoleCode]=CONT_SUP[[#This Row],[StaffRoleCode]],ROLES[SchoolCodes],""))))),1,0))</f>
        <v>0</v>
      </c>
      <c r="E178" s="57" cm="1">
        <f t="array" ref="E17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78" s="57" cm="1">
        <f t="array" ref="F178">IF(_xlfn.XLOOKUP(CONT_SUP[[#This Row],[PayScaleCode]],PAYSCALES[PayScaleCode],PAYSCALES[AvailableToAllSchools],1,0,)=TRUE,0,IF(ISERROR(FIND(CONT_SUP[[#This Row],[SchoolCode]],_xlfn.TEXTJOIN(",",TRUE,_xlfn.UNIQUE(IF(PAYSCALES[PayScaleCode]=CONT_SUP[[#This Row],[PayScaleCode]],PAYSCALES[SchoolCodes],""))))),1,0))</f>
        <v>0</v>
      </c>
      <c r="G178" s="57">
        <f>IF(_xlfn.XLOOKUP(CONT_SUP[[#This Row],[PayScaleGradeCode]],GRADES[PayScaleGradeCode],GRADES[AvailableToAllSchools])=TRUE,0,IFERROR(IF(FIND(CONT_SUP[[#This Row],[SchoolCode]],_xlfn.XLOOKUP(CONT_SUP[[#This Row],[PayScaleGradeCode]],GRADES[PayScaleGradeCode],GRADES[SchoolCodes]))&gt;=1,0,1),1))</f>
        <v>0</v>
      </c>
      <c r="H178" s="57">
        <f>IF(ISERROR(IF((_xlfn.XLOOKUP(CONT_SUP[[#This Row],[PayScaleGradeCode]],GRADES[PayScaleGradeCode],GRADES[PayScaleCode])=CONT_SUP[[#This Row],[PayScaleCode]]),0,1)),1,0)</f>
        <v>0</v>
      </c>
      <c r="I178" s="57" cm="1">
        <f t="array" ref="I178">IF(ISERROR(FIND(CONT_SUP[[#This Row],[PayScalePointCode]],_xlfn.TEXTJOIN(",",TRUE,IF(PSPOINTS[PayScaleCode]=CONT_SUP[[#This Row],[PayScaleCode]],PSPOINTS[PayScalePointCode])))),1,0)</f>
        <v>0</v>
      </c>
      <c r="J178" s="57" cm="1">
        <f t="array" ref="J17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78" s="57">
        <f>IF(_xlfn.XLOOKUP(CONT_SUP[[#This Row],[PayScalePointCode]],PSPOINTS[PayScalePointCode],PSPOINTS[PayScalePointEnabled])=TRUE,0,1)</f>
        <v>0</v>
      </c>
      <c r="L178" s="57" cm="1">
        <f t="array" ref="L178">IF(_xlfn.XLOOKUP(CONT_SUP[[#This Row],[DepartmentCode]],DEPTS[DepartmentCode],DEPTS[AvailableToAllSchools],1,0,)=TRUE,0,IF(ISERROR(FIND(CONT_SUP[[#This Row],[SchoolCode]],_xlfn.TEXTJOIN(",",TRUE,_xlfn.UNIQUE(IF(DEPTS[DepartmentCode]=CONT_SUP[[#This Row],[DepartmentCode]],DEPTS[SchoolCodes],""))))),1,0))</f>
        <v>0</v>
      </c>
      <c r="M178" s="57">
        <f>IFERROR(IF(_xlfn.XLOOKUP(CONT_SUP[[#This Row],[SRG Gross]],FinanceCodesBudget[FinanceCode],FinanceCodesBudget[LedgerCode])=_xlfn.XLOOKUP(CONT_SUP[[#This Row],[DepartmentCode]],DEPTS[DepartmentCode],DEPTS[LedgerCode]),0,1),1)</f>
        <v>1</v>
      </c>
      <c r="N178" s="57" cm="1">
        <f t="array" ref="N178">IF(_xlfn.XLOOKUP(CONT_SUP[[#This Row],[PensionCode]],PENS[PensionCode],PENS[AvailableToAllSchools],1,0,)=TRUE,0,IF(ISERROR(FIND(CONT_SUP[[#This Row],[SchoolCode]],_xlfn.TEXTJOIN(",",TRUE,_xlfn.UNIQUE(IF(PENS[PensionCode]=CONT_SUP[[#This Row],[PensionCode]],PENS[SchoolCodes],""))))),1,0))</f>
        <v>0</v>
      </c>
      <c r="O178" s="57" cm="1">
        <f t="array" ref="O178">IF(_xlfn.XLOOKUP(CONT_SUP[[#This Row],[EquatedWeekPatternCode]],EQW[EquatedWeekPatternCode],EQW[AvailableToAllSchools],1,0,)=TRUE,0,IF(ISERROR(FIND(CONT_SUP[[#This Row],[SchoolCode]],_xlfn.TEXTJOIN(",",TRUE,_xlfn.UNIQUE(IF(EQW[EquatedWeekPatternCode]=CONT_SUP[[#This Row],[EquatedWeekPatternCode]],EQW[SchoolCodes],""))))),1,0))</f>
        <v>0</v>
      </c>
      <c r="P178" s="57">
        <f>1-COUNTIF(ContractTypes[Code],CONT_SUP[[#This Row],[ContractTypeCode]])</f>
        <v>0</v>
      </c>
      <c r="Q178" s="57">
        <f>IF(VLOOKUP(CONT_SUP[[#This Row],[StaffMemberCode]],MEMBERS[[StaffMemberCode]:[ServiceStartDate]],5,0)&gt;CONT_SUP[[#This Row],[DateFrom]],1,0)</f>
        <v>0</v>
      </c>
      <c r="R178" s="57">
        <f>IF(_xlfn.XLOOKUP(CONT_SUP[[#This Row],[StaffMemberCode]],MEMBERS[StaffMemberCode],MEMBERS[ServiceEndDate])="",0,IF(CONT_SUP[[#This Row],[DateTo]]="",1,IF(_xlfn.XLOOKUP(CONT_SUP[[#This Row],[StaffMemberCode]],MEMBERS[StaffMemberCode],MEMBERS[ServiceEndDate])&lt;CONT_SUP[[#This Row],[DateTo]],1,0)))</f>
        <v>0</v>
      </c>
      <c r="S178" s="57">
        <f>IF(ISBLANK(CONT_SUP[[#This Row],[DateTo]]),0,IF(CONT_SUP[[#This Row],[DateFrom]]=CONT_SUP[[#This Row],[DateTo]],0,IF(CONT_SUP[[#This Row],[DateFrom]]&lt;CONT_SUP[[#This Row],[DateTo]],0,1)))</f>
        <v>0</v>
      </c>
      <c r="T178" s="57" cm="1">
        <f t="array" aca="1" ref="T178" ca="1">IF(CELL("format",CONT_SUP[[#This Row],[DateFrom]])="D1",0,1)+IF(CELL("format",CONT_SUP[[#This Row],[DateTo]])="D1",0,1)</f>
        <v>0</v>
      </c>
      <c r="U178" s="57">
        <f>IF(OR(CONT_SUP[[#This Row],[MatEditOnly]]=TRUE,CONT_SUP[[#This Row],[MatEditOnly]]=FALSE),IF(OR(CONT_SUP[[#This Row],[NoIncrement]]=TRUE,CONT_SUP[[#This Row],[NoIncrement]]=FALSE),0,1),1)</f>
        <v>0</v>
      </c>
      <c r="V178" s="57">
        <f>IF(ISBLANK(CONT_SUP[[#This Row],[FundCode]])=TRUE,0,IF(COUNTIF(FUNDS[FundCode],CONT_SUP[[#This Row],[FundCode]])=1,0,1))</f>
        <v>0</v>
      </c>
      <c r="W178" s="57">
        <f>IF(LEN(CONT_SUP[[#This Row],[Notes]])&lt;4000,0,1)</f>
        <v>0</v>
      </c>
      <c r="X178" s="57">
        <f>IF(SUBSTITUTE(TEXT(CONT_SUP[[#This Row],[Reference]],10)," ","")=TEXT(CONT_SUP[[#This Row],[Reference]],10),0,1)</f>
        <v>0</v>
      </c>
      <c r="Y178" s="57">
        <f ca="1">SUM(CONT_SUP[[#This Row],[Duplicate Contract]:[Space in Code]])</f>
        <v>1</v>
      </c>
      <c r="AA178" s="12" t="s">
        <v>2094</v>
      </c>
      <c r="AB178" s="12">
        <v>91073509</v>
      </c>
      <c r="AC178" s="12" t="s">
        <v>4774</v>
      </c>
      <c r="AD178" s="57" t="str">
        <f>_xlfn.XLOOKUP(CONT_SUP[[#This Row],[StaffMemberCode]],StaffMembers!O:O,StaffMembers!R:R)</f>
        <v>Emma Small</v>
      </c>
      <c r="AE178" s="12" t="s">
        <v>1180</v>
      </c>
      <c r="AF178" s="57">
        <f>_xlfn.XLOOKUP(CONT_SUP[[#This Row],[SRG]],SRG[StaffRoleGroupCode],SRG[GrossSalaryFinanceCode])</f>
        <v>615100</v>
      </c>
      <c r="AG178" s="57" t="str">
        <f>_xlfn.XLOOKUP(CONT_SUP[[#This Row],[StaffRoleCode]],ROLES[StaffRoleCode],ROLES[StaffRoleGroupCode])</f>
        <v>TA</v>
      </c>
      <c r="AH178" s="57" t="str">
        <f>_xlfn.XLOOKUP(CONT_SUP[[#This Row],[StaffRoleCode]],ROLES[StaffRoleCode],ROLES[PayScaleCode])</f>
        <v>NJC_CHE</v>
      </c>
      <c r="AI178" s="12" t="s">
        <v>3122</v>
      </c>
      <c r="AJ178" s="12">
        <v>6</v>
      </c>
      <c r="AK178" s="12" t="s">
        <v>2497</v>
      </c>
      <c r="AM178" s="68" t="s">
        <v>3132</v>
      </c>
      <c r="AN178" s="12" t="s">
        <v>3134</v>
      </c>
      <c r="AO178" s="21">
        <v>45901</v>
      </c>
      <c r="AQ178" s="12">
        <v>30</v>
      </c>
      <c r="AR178" t="b">
        <v>0</v>
      </c>
      <c r="AS178" t="b">
        <v>0</v>
      </c>
      <c r="AT178" s="12" t="s">
        <v>1574</v>
      </c>
    </row>
    <row r="179" spans="1:46" x14ac:dyDescent="0.3">
      <c r="A179" s="57" t="str">
        <f t="shared" si="5"/>
        <v>ALS9107367691073676ABLMSTA45901</v>
      </c>
      <c r="B179" s="57">
        <f>COUNTIF(CONT_SUP[Unique Contract],CONT_SUP[[#This Row],[Unique Contract]])-1</f>
        <v>0</v>
      </c>
      <c r="C179" s="57">
        <f>IFERROR(IF(FIND(CONT_SUP[[#This Row],[SchoolCode]],_xlfn.XLOOKUP(CONT_SUP[[#This Row],[StaffMemberCode]],MEMBERS[StaffMemberCode],MEMBERS[SchoolCodes]))&gt;0,0,1),1)</f>
        <v>0</v>
      </c>
      <c r="D179" s="57" cm="1">
        <f t="array" ref="D179">IF(_xlfn.XLOOKUP(CONT_SUP[[#This Row],[StaffRoleCode]],ROLES[StaffRoleCode],ROLES[AvailableToAllSchools],1,0,)=TRUE,0,IF(ISERROR(FIND(CONT_SUP[[#This Row],[SchoolCode]],_xlfn.TEXTJOIN(",",TRUE,_xlfn.UNIQUE(IF(ROLES[StaffRoleCode]=CONT_SUP[[#This Row],[StaffRoleCode]],ROLES[SchoolCodes],""))))),1,0))</f>
        <v>0</v>
      </c>
      <c r="E179" s="57" cm="1">
        <f t="array" ref="E17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79" s="57" cm="1">
        <f t="array" ref="F179">IF(_xlfn.XLOOKUP(CONT_SUP[[#This Row],[PayScaleCode]],PAYSCALES[PayScaleCode],PAYSCALES[AvailableToAllSchools],1,0,)=TRUE,0,IF(ISERROR(FIND(CONT_SUP[[#This Row],[SchoolCode]],_xlfn.TEXTJOIN(",",TRUE,_xlfn.UNIQUE(IF(PAYSCALES[PayScaleCode]=CONT_SUP[[#This Row],[PayScaleCode]],PAYSCALES[SchoolCodes],""))))),1,0))</f>
        <v>0</v>
      </c>
      <c r="G179" s="57">
        <f>IF(_xlfn.XLOOKUP(CONT_SUP[[#This Row],[PayScaleGradeCode]],GRADES[PayScaleGradeCode],GRADES[AvailableToAllSchools])=TRUE,0,IFERROR(IF(FIND(CONT_SUP[[#This Row],[SchoolCode]],_xlfn.XLOOKUP(CONT_SUP[[#This Row],[PayScaleGradeCode]],GRADES[PayScaleGradeCode],GRADES[SchoolCodes]))&gt;=1,0,1),1))</f>
        <v>0</v>
      </c>
      <c r="H179" s="57">
        <f>IF(ISERROR(IF((_xlfn.XLOOKUP(CONT_SUP[[#This Row],[PayScaleGradeCode]],GRADES[PayScaleGradeCode],GRADES[PayScaleCode])=CONT_SUP[[#This Row],[PayScaleCode]]),0,1)),1,0)</f>
        <v>0</v>
      </c>
      <c r="I179" s="57" cm="1">
        <f t="array" ref="I179">IF(ISERROR(FIND(CONT_SUP[[#This Row],[PayScalePointCode]],_xlfn.TEXTJOIN(",",TRUE,IF(PSPOINTS[PayScaleCode]=CONT_SUP[[#This Row],[PayScaleCode]],PSPOINTS[PayScalePointCode])))),1,0)</f>
        <v>0</v>
      </c>
      <c r="J179" s="57" cm="1">
        <f t="array" ref="J17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79" s="57">
        <f>IF(_xlfn.XLOOKUP(CONT_SUP[[#This Row],[PayScalePointCode]],PSPOINTS[PayScalePointCode],PSPOINTS[PayScalePointEnabled])=TRUE,0,1)</f>
        <v>0</v>
      </c>
      <c r="L179" s="57" cm="1">
        <f t="array" ref="L179">IF(_xlfn.XLOOKUP(CONT_SUP[[#This Row],[DepartmentCode]],DEPTS[DepartmentCode],DEPTS[AvailableToAllSchools],1,0,)=TRUE,0,IF(ISERROR(FIND(CONT_SUP[[#This Row],[SchoolCode]],_xlfn.TEXTJOIN(",",TRUE,_xlfn.UNIQUE(IF(DEPTS[DepartmentCode]=CONT_SUP[[#This Row],[DepartmentCode]],DEPTS[SchoolCodes],""))))),1,0))</f>
        <v>0</v>
      </c>
      <c r="M179" s="57">
        <f>IFERROR(IF(_xlfn.XLOOKUP(CONT_SUP[[#This Row],[SRG Gross]],FinanceCodesBudget[FinanceCode],FinanceCodesBudget[LedgerCode])=_xlfn.XLOOKUP(CONT_SUP[[#This Row],[DepartmentCode]],DEPTS[DepartmentCode],DEPTS[LedgerCode]),0,1),1)</f>
        <v>1</v>
      </c>
      <c r="N179" s="57" cm="1">
        <f t="array" ref="N179">IF(_xlfn.XLOOKUP(CONT_SUP[[#This Row],[PensionCode]],PENS[PensionCode],PENS[AvailableToAllSchools],1,0,)=TRUE,0,IF(ISERROR(FIND(CONT_SUP[[#This Row],[SchoolCode]],_xlfn.TEXTJOIN(",",TRUE,_xlfn.UNIQUE(IF(PENS[PensionCode]=CONT_SUP[[#This Row],[PensionCode]],PENS[SchoolCodes],""))))),1,0))</f>
        <v>0</v>
      </c>
      <c r="O179" s="57" cm="1">
        <f t="array" ref="O179">IF(_xlfn.XLOOKUP(CONT_SUP[[#This Row],[EquatedWeekPatternCode]],EQW[EquatedWeekPatternCode],EQW[AvailableToAllSchools],1,0,)=TRUE,0,IF(ISERROR(FIND(CONT_SUP[[#This Row],[SchoolCode]],_xlfn.TEXTJOIN(",",TRUE,_xlfn.UNIQUE(IF(EQW[EquatedWeekPatternCode]=CONT_SUP[[#This Row],[EquatedWeekPatternCode]],EQW[SchoolCodes],""))))),1,0))</f>
        <v>0</v>
      </c>
      <c r="P179" s="57">
        <f>1-COUNTIF(ContractTypes[Code],CONT_SUP[[#This Row],[ContractTypeCode]])</f>
        <v>0</v>
      </c>
      <c r="Q179" s="57">
        <f>IF(VLOOKUP(CONT_SUP[[#This Row],[StaffMemberCode]],MEMBERS[[StaffMemberCode]:[ServiceStartDate]],5,0)&gt;CONT_SUP[[#This Row],[DateFrom]],1,0)</f>
        <v>0</v>
      </c>
      <c r="R179" s="57">
        <f>IF(_xlfn.XLOOKUP(CONT_SUP[[#This Row],[StaffMemberCode]],MEMBERS[StaffMemberCode],MEMBERS[ServiceEndDate])="",0,IF(CONT_SUP[[#This Row],[DateTo]]="",1,IF(_xlfn.XLOOKUP(CONT_SUP[[#This Row],[StaffMemberCode]],MEMBERS[StaffMemberCode],MEMBERS[ServiceEndDate])&lt;CONT_SUP[[#This Row],[DateTo]],1,0)))</f>
        <v>0</v>
      </c>
      <c r="S179" s="57">
        <f>IF(ISBLANK(CONT_SUP[[#This Row],[DateTo]]),0,IF(CONT_SUP[[#This Row],[DateFrom]]=CONT_SUP[[#This Row],[DateTo]],0,IF(CONT_SUP[[#This Row],[DateFrom]]&lt;CONT_SUP[[#This Row],[DateTo]],0,1)))</f>
        <v>0</v>
      </c>
      <c r="T179" s="57" cm="1">
        <f t="array" aca="1" ref="T179" ca="1">IF(CELL("format",CONT_SUP[[#This Row],[DateFrom]])="D1",0,1)+IF(CELL("format",CONT_SUP[[#This Row],[DateTo]])="D1",0,1)</f>
        <v>0</v>
      </c>
      <c r="U179" s="57">
        <f>IF(OR(CONT_SUP[[#This Row],[MatEditOnly]]=TRUE,CONT_SUP[[#This Row],[MatEditOnly]]=FALSE),IF(OR(CONT_SUP[[#This Row],[NoIncrement]]=TRUE,CONT_SUP[[#This Row],[NoIncrement]]=FALSE),0,1),1)</f>
        <v>0</v>
      </c>
      <c r="V179" s="57">
        <f>IF(ISBLANK(CONT_SUP[[#This Row],[FundCode]])=TRUE,0,IF(COUNTIF(FUNDS[FundCode],CONT_SUP[[#This Row],[FundCode]])=1,0,1))</f>
        <v>0</v>
      </c>
      <c r="W179" s="57">
        <f>IF(LEN(CONT_SUP[[#This Row],[Notes]])&lt;4000,0,1)</f>
        <v>0</v>
      </c>
      <c r="X179" s="57">
        <f>IF(SUBSTITUTE(TEXT(CONT_SUP[[#This Row],[Reference]],10)," ","")=TEXT(CONT_SUP[[#This Row],[Reference]],10),0,1)</f>
        <v>0</v>
      </c>
      <c r="Y179" s="57">
        <f ca="1">SUM(CONT_SUP[[#This Row],[Duplicate Contract]:[Space in Code]])</f>
        <v>1</v>
      </c>
      <c r="AA179" s="12" t="s">
        <v>2082</v>
      </c>
      <c r="AB179" s="12">
        <v>91073676</v>
      </c>
      <c r="AC179" s="12" t="s">
        <v>4775</v>
      </c>
      <c r="AD179" s="57" t="str">
        <f>_xlfn.XLOOKUP(CONT_SUP[[#This Row],[StaffMemberCode]],StaffMembers!O:O,StaffMembers!R:R)</f>
        <v>Maria Millar</v>
      </c>
      <c r="AE179" s="12" t="s">
        <v>4169</v>
      </c>
      <c r="AF179" s="57">
        <f>_xlfn.XLOOKUP(CONT_SUP[[#This Row],[SRG]],SRG[StaffRoleGroupCode],SRG[GrossSalaryFinanceCode])</f>
        <v>615100</v>
      </c>
      <c r="AG179" s="57" t="str">
        <f>_xlfn.XLOOKUP(CONT_SUP[[#This Row],[StaffRoleCode]],ROLES[StaffRoleCode],ROLES[StaffRoleGroupCode])</f>
        <v>TA</v>
      </c>
      <c r="AH179" s="57" t="str">
        <f>_xlfn.XLOOKUP(CONT_SUP[[#This Row],[StaffRoleCode]],ROLES[StaffRoleCode],ROLES[PayScaleCode])</f>
        <v>NJC_CHE</v>
      </c>
      <c r="AI179" s="12" t="s">
        <v>3123</v>
      </c>
      <c r="AJ179" s="12">
        <v>11</v>
      </c>
      <c r="AK179" s="12" t="s">
        <v>2497</v>
      </c>
      <c r="AM179" s="68" t="s">
        <v>3132</v>
      </c>
      <c r="AN179" s="12" t="s">
        <v>3134</v>
      </c>
      <c r="AO179" s="21">
        <v>45901</v>
      </c>
      <c r="AQ179" s="12">
        <v>37</v>
      </c>
      <c r="AR179" t="b">
        <v>0</v>
      </c>
      <c r="AS179" t="b">
        <v>0</v>
      </c>
      <c r="AT179" s="12" t="s">
        <v>1574</v>
      </c>
    </row>
    <row r="180" spans="1:46" x14ac:dyDescent="0.3">
      <c r="A180" s="57" t="str">
        <f t="shared" si="5"/>
        <v>ALS9107369591073695AHLTASTA45901</v>
      </c>
      <c r="B180" s="57">
        <f>COUNTIF(CONT_SUP[Unique Contract],CONT_SUP[[#This Row],[Unique Contract]])-1</f>
        <v>0</v>
      </c>
      <c r="C180" s="57">
        <f>IFERROR(IF(FIND(CONT_SUP[[#This Row],[SchoolCode]],_xlfn.XLOOKUP(CONT_SUP[[#This Row],[StaffMemberCode]],MEMBERS[StaffMemberCode],MEMBERS[SchoolCodes]))&gt;0,0,1),1)</f>
        <v>0</v>
      </c>
      <c r="D180" s="57" cm="1">
        <f t="array" ref="D180">IF(_xlfn.XLOOKUP(CONT_SUP[[#This Row],[StaffRoleCode]],ROLES[StaffRoleCode],ROLES[AvailableToAllSchools],1,0,)=TRUE,0,IF(ISERROR(FIND(CONT_SUP[[#This Row],[SchoolCode]],_xlfn.TEXTJOIN(",",TRUE,_xlfn.UNIQUE(IF(ROLES[StaffRoleCode]=CONT_SUP[[#This Row],[StaffRoleCode]],ROLES[SchoolCodes],""))))),1,0))</f>
        <v>0</v>
      </c>
      <c r="E180" s="57" cm="1">
        <f t="array" ref="E18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80" s="57" cm="1">
        <f t="array" ref="F180">IF(_xlfn.XLOOKUP(CONT_SUP[[#This Row],[PayScaleCode]],PAYSCALES[PayScaleCode],PAYSCALES[AvailableToAllSchools],1,0,)=TRUE,0,IF(ISERROR(FIND(CONT_SUP[[#This Row],[SchoolCode]],_xlfn.TEXTJOIN(",",TRUE,_xlfn.UNIQUE(IF(PAYSCALES[PayScaleCode]=CONT_SUP[[#This Row],[PayScaleCode]],PAYSCALES[SchoolCodes],""))))),1,0))</f>
        <v>0</v>
      </c>
      <c r="G180" s="57">
        <f>IF(_xlfn.XLOOKUP(CONT_SUP[[#This Row],[PayScaleGradeCode]],GRADES[PayScaleGradeCode],GRADES[AvailableToAllSchools])=TRUE,0,IFERROR(IF(FIND(CONT_SUP[[#This Row],[SchoolCode]],_xlfn.XLOOKUP(CONT_SUP[[#This Row],[PayScaleGradeCode]],GRADES[PayScaleGradeCode],GRADES[SchoolCodes]))&gt;=1,0,1),1))</f>
        <v>0</v>
      </c>
      <c r="H180" s="57">
        <f>IF(ISERROR(IF((_xlfn.XLOOKUP(CONT_SUP[[#This Row],[PayScaleGradeCode]],GRADES[PayScaleGradeCode],GRADES[PayScaleCode])=CONT_SUP[[#This Row],[PayScaleCode]]),0,1)),1,0)</f>
        <v>0</v>
      </c>
      <c r="I180" s="57" cm="1">
        <f t="array" ref="I180">IF(ISERROR(FIND(CONT_SUP[[#This Row],[PayScalePointCode]],_xlfn.TEXTJOIN(",",TRUE,IF(PSPOINTS[PayScaleCode]=CONT_SUP[[#This Row],[PayScaleCode]],PSPOINTS[PayScalePointCode])))),1,0)</f>
        <v>0</v>
      </c>
      <c r="J180" s="57" cm="1">
        <f t="array" ref="J18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80" s="57">
        <f>IF(_xlfn.XLOOKUP(CONT_SUP[[#This Row],[PayScalePointCode]],PSPOINTS[PayScalePointCode],PSPOINTS[PayScalePointEnabled])=TRUE,0,1)</f>
        <v>0</v>
      </c>
      <c r="L180" s="57" cm="1">
        <f t="array" ref="L180">IF(_xlfn.XLOOKUP(CONT_SUP[[#This Row],[DepartmentCode]],DEPTS[DepartmentCode],DEPTS[AvailableToAllSchools],1,0,)=TRUE,0,IF(ISERROR(FIND(CONT_SUP[[#This Row],[SchoolCode]],_xlfn.TEXTJOIN(",",TRUE,_xlfn.UNIQUE(IF(DEPTS[DepartmentCode]=CONT_SUP[[#This Row],[DepartmentCode]],DEPTS[SchoolCodes],""))))),1,0))</f>
        <v>0</v>
      </c>
      <c r="M180" s="57">
        <f>IFERROR(IF(_xlfn.XLOOKUP(CONT_SUP[[#This Row],[SRG Gross]],FinanceCodesBudget[FinanceCode],FinanceCodesBudget[LedgerCode])=_xlfn.XLOOKUP(CONT_SUP[[#This Row],[DepartmentCode]],DEPTS[DepartmentCode],DEPTS[LedgerCode]),0,1),1)</f>
        <v>1</v>
      </c>
      <c r="N180" s="57" cm="1">
        <f t="array" ref="N180">IF(_xlfn.XLOOKUP(CONT_SUP[[#This Row],[PensionCode]],PENS[PensionCode],PENS[AvailableToAllSchools],1,0,)=TRUE,0,IF(ISERROR(FIND(CONT_SUP[[#This Row],[SchoolCode]],_xlfn.TEXTJOIN(",",TRUE,_xlfn.UNIQUE(IF(PENS[PensionCode]=CONT_SUP[[#This Row],[PensionCode]],PENS[SchoolCodes],""))))),1,0))</f>
        <v>0</v>
      </c>
      <c r="O180" s="57" cm="1">
        <f t="array" ref="O180">IF(_xlfn.XLOOKUP(CONT_SUP[[#This Row],[EquatedWeekPatternCode]],EQW[EquatedWeekPatternCode],EQW[AvailableToAllSchools],1,0,)=TRUE,0,IF(ISERROR(FIND(CONT_SUP[[#This Row],[SchoolCode]],_xlfn.TEXTJOIN(",",TRUE,_xlfn.UNIQUE(IF(EQW[EquatedWeekPatternCode]=CONT_SUP[[#This Row],[EquatedWeekPatternCode]],EQW[SchoolCodes],""))))),1,0))</f>
        <v>0</v>
      </c>
      <c r="P180" s="57">
        <f>1-COUNTIF(ContractTypes[Code],CONT_SUP[[#This Row],[ContractTypeCode]])</f>
        <v>0</v>
      </c>
      <c r="Q180" s="57">
        <f>IF(VLOOKUP(CONT_SUP[[#This Row],[StaffMemberCode]],MEMBERS[[StaffMemberCode]:[ServiceStartDate]],5,0)&gt;CONT_SUP[[#This Row],[DateFrom]],1,0)</f>
        <v>0</v>
      </c>
      <c r="R180" s="57">
        <f>IF(_xlfn.XLOOKUP(CONT_SUP[[#This Row],[StaffMemberCode]],MEMBERS[StaffMemberCode],MEMBERS[ServiceEndDate])="",0,IF(CONT_SUP[[#This Row],[DateTo]]="",1,IF(_xlfn.XLOOKUP(CONT_SUP[[#This Row],[StaffMemberCode]],MEMBERS[StaffMemberCode],MEMBERS[ServiceEndDate])&lt;CONT_SUP[[#This Row],[DateTo]],1,0)))</f>
        <v>0</v>
      </c>
      <c r="S180" s="57">
        <f>IF(ISBLANK(CONT_SUP[[#This Row],[DateTo]]),0,IF(CONT_SUP[[#This Row],[DateFrom]]=CONT_SUP[[#This Row],[DateTo]],0,IF(CONT_SUP[[#This Row],[DateFrom]]&lt;CONT_SUP[[#This Row],[DateTo]],0,1)))</f>
        <v>0</v>
      </c>
      <c r="T180" s="57" cm="1">
        <f t="array" aca="1" ref="T180" ca="1">IF(CELL("format",CONT_SUP[[#This Row],[DateFrom]])="D1",0,1)+IF(CELL("format",CONT_SUP[[#This Row],[DateTo]])="D1",0,1)</f>
        <v>0</v>
      </c>
      <c r="U180" s="57">
        <f>IF(OR(CONT_SUP[[#This Row],[MatEditOnly]]=TRUE,CONT_SUP[[#This Row],[MatEditOnly]]=FALSE),IF(OR(CONT_SUP[[#This Row],[NoIncrement]]=TRUE,CONT_SUP[[#This Row],[NoIncrement]]=FALSE),0,1),1)</f>
        <v>0</v>
      </c>
      <c r="V180" s="57">
        <f>IF(ISBLANK(CONT_SUP[[#This Row],[FundCode]])=TRUE,0,IF(COUNTIF(FUNDS[FundCode],CONT_SUP[[#This Row],[FundCode]])=1,0,1))</f>
        <v>0</v>
      </c>
      <c r="W180" s="57">
        <f>IF(LEN(CONT_SUP[[#This Row],[Notes]])&lt;4000,0,1)</f>
        <v>0</v>
      </c>
      <c r="X180" s="57">
        <f>IF(SUBSTITUTE(TEXT(CONT_SUP[[#This Row],[Reference]],10)," ","")=TEXT(CONT_SUP[[#This Row],[Reference]],10),0,1)</f>
        <v>0</v>
      </c>
      <c r="Y180" s="57">
        <f ca="1">SUM(CONT_SUP[[#This Row],[Duplicate Contract]:[Space in Code]])</f>
        <v>1</v>
      </c>
      <c r="AA180" s="12" t="s">
        <v>2082</v>
      </c>
      <c r="AB180" s="12">
        <v>91073695</v>
      </c>
      <c r="AC180" s="12" t="s">
        <v>4776</v>
      </c>
      <c r="AD180" s="57" t="str">
        <f>_xlfn.XLOOKUP(CONT_SUP[[#This Row],[StaffMemberCode]],StaffMembers!O:O,StaffMembers!R:R)</f>
        <v>Arlene Preston</v>
      </c>
      <c r="AE180" s="12" t="s">
        <v>1224</v>
      </c>
      <c r="AF180" s="57">
        <f>_xlfn.XLOOKUP(CONT_SUP[[#This Row],[SRG]],SRG[StaffRoleGroupCode],SRG[GrossSalaryFinanceCode])</f>
        <v>615100</v>
      </c>
      <c r="AG180" s="57" t="str">
        <f>_xlfn.XLOOKUP(CONT_SUP[[#This Row],[StaffRoleCode]],ROLES[StaffRoleCode],ROLES[StaffRoleGroupCode])</f>
        <v>TA</v>
      </c>
      <c r="AH180" s="57" t="str">
        <f>_xlfn.XLOOKUP(CONT_SUP[[#This Row],[StaffRoleCode]],ROLES[StaffRoleCode],ROLES[PayScaleCode])</f>
        <v>NJC_CHE</v>
      </c>
      <c r="AI180" s="12" t="s">
        <v>3125</v>
      </c>
      <c r="AJ180" s="12">
        <v>23</v>
      </c>
      <c r="AK180" s="12" t="s">
        <v>2497</v>
      </c>
      <c r="AM180" s="68" t="s">
        <v>3132</v>
      </c>
      <c r="AN180" s="12" t="s">
        <v>1702</v>
      </c>
      <c r="AO180" s="21">
        <v>45901</v>
      </c>
      <c r="AQ180" s="12">
        <v>37</v>
      </c>
      <c r="AR180" t="b">
        <v>0</v>
      </c>
      <c r="AS180" t="b">
        <v>0</v>
      </c>
      <c r="AT180" s="12" t="s">
        <v>1574</v>
      </c>
    </row>
    <row r="181" spans="1:46" x14ac:dyDescent="0.3">
      <c r="A181" s="57" t="str">
        <f t="shared" si="5"/>
        <v>SBL9107574291075742AHLTASTA45901</v>
      </c>
      <c r="B181" s="57">
        <f>COUNTIF(CONT_SUP[Unique Contract],CONT_SUP[[#This Row],[Unique Contract]])-1</f>
        <v>0</v>
      </c>
      <c r="C181" s="57">
        <f>IFERROR(IF(FIND(CONT_SUP[[#This Row],[SchoolCode]],_xlfn.XLOOKUP(CONT_SUP[[#This Row],[StaffMemberCode]],MEMBERS[StaffMemberCode],MEMBERS[SchoolCodes]))&gt;0,0,1),1)</f>
        <v>0</v>
      </c>
      <c r="D181" s="57" cm="1">
        <f t="array" ref="D181">IF(_xlfn.XLOOKUP(CONT_SUP[[#This Row],[StaffRoleCode]],ROLES[StaffRoleCode],ROLES[AvailableToAllSchools],1,0,)=TRUE,0,IF(ISERROR(FIND(CONT_SUP[[#This Row],[SchoolCode]],_xlfn.TEXTJOIN(",",TRUE,_xlfn.UNIQUE(IF(ROLES[StaffRoleCode]=CONT_SUP[[#This Row],[StaffRoleCode]],ROLES[SchoolCodes],""))))),1,0))</f>
        <v>0</v>
      </c>
      <c r="E181" s="57" cm="1">
        <f t="array" ref="E18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81" s="57" cm="1">
        <f t="array" ref="F181">IF(_xlfn.XLOOKUP(CONT_SUP[[#This Row],[PayScaleCode]],PAYSCALES[PayScaleCode],PAYSCALES[AvailableToAllSchools],1,0,)=TRUE,0,IF(ISERROR(FIND(CONT_SUP[[#This Row],[SchoolCode]],_xlfn.TEXTJOIN(",",TRUE,_xlfn.UNIQUE(IF(PAYSCALES[PayScaleCode]=CONT_SUP[[#This Row],[PayScaleCode]],PAYSCALES[SchoolCodes],""))))),1,0))</f>
        <v>0</v>
      </c>
      <c r="G181" s="57">
        <f>IF(_xlfn.XLOOKUP(CONT_SUP[[#This Row],[PayScaleGradeCode]],GRADES[PayScaleGradeCode],GRADES[AvailableToAllSchools])=TRUE,0,IFERROR(IF(FIND(CONT_SUP[[#This Row],[SchoolCode]],_xlfn.XLOOKUP(CONT_SUP[[#This Row],[PayScaleGradeCode]],GRADES[PayScaleGradeCode],GRADES[SchoolCodes]))&gt;=1,0,1),1))</f>
        <v>0</v>
      </c>
      <c r="H181" s="57">
        <f>IF(ISERROR(IF((_xlfn.XLOOKUP(CONT_SUP[[#This Row],[PayScaleGradeCode]],GRADES[PayScaleGradeCode],GRADES[PayScaleCode])=CONT_SUP[[#This Row],[PayScaleCode]]),0,1)),1,0)</f>
        <v>0</v>
      </c>
      <c r="I181" s="57" cm="1">
        <f t="array" ref="I181">IF(ISERROR(FIND(CONT_SUP[[#This Row],[PayScalePointCode]],_xlfn.TEXTJOIN(",",TRUE,IF(PSPOINTS[PayScaleCode]=CONT_SUP[[#This Row],[PayScaleCode]],PSPOINTS[PayScalePointCode])))),1,0)</f>
        <v>0</v>
      </c>
      <c r="J181" s="57" cm="1">
        <f t="array" ref="J18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81" s="57">
        <f>IF(_xlfn.XLOOKUP(CONT_SUP[[#This Row],[PayScalePointCode]],PSPOINTS[PayScalePointCode],PSPOINTS[PayScalePointEnabled])=TRUE,0,1)</f>
        <v>0</v>
      </c>
      <c r="L181" s="57" cm="1">
        <f t="array" ref="L181">IF(_xlfn.XLOOKUP(CONT_SUP[[#This Row],[DepartmentCode]],DEPTS[DepartmentCode],DEPTS[AvailableToAllSchools],1,0,)=TRUE,0,IF(ISERROR(FIND(CONT_SUP[[#This Row],[SchoolCode]],_xlfn.TEXTJOIN(",",TRUE,_xlfn.UNIQUE(IF(DEPTS[DepartmentCode]=CONT_SUP[[#This Row],[DepartmentCode]],DEPTS[SchoolCodes],""))))),1,0))</f>
        <v>0</v>
      </c>
      <c r="M181" s="57">
        <f>IFERROR(IF(_xlfn.XLOOKUP(CONT_SUP[[#This Row],[SRG Gross]],FinanceCodesBudget[FinanceCode],FinanceCodesBudget[LedgerCode])=_xlfn.XLOOKUP(CONT_SUP[[#This Row],[DepartmentCode]],DEPTS[DepartmentCode],DEPTS[LedgerCode]),0,1),1)</f>
        <v>1</v>
      </c>
      <c r="N181" s="57" cm="1">
        <f t="array" ref="N181">IF(_xlfn.XLOOKUP(CONT_SUP[[#This Row],[PensionCode]],PENS[PensionCode],PENS[AvailableToAllSchools],1,0,)=TRUE,0,IF(ISERROR(FIND(CONT_SUP[[#This Row],[SchoolCode]],_xlfn.TEXTJOIN(",",TRUE,_xlfn.UNIQUE(IF(PENS[PensionCode]=CONT_SUP[[#This Row],[PensionCode]],PENS[SchoolCodes],""))))),1,0))</f>
        <v>0</v>
      </c>
      <c r="O181" s="57" cm="1">
        <f t="array" ref="O181">IF(_xlfn.XLOOKUP(CONT_SUP[[#This Row],[EquatedWeekPatternCode]],EQW[EquatedWeekPatternCode],EQW[AvailableToAllSchools],1,0,)=TRUE,0,IF(ISERROR(FIND(CONT_SUP[[#This Row],[SchoolCode]],_xlfn.TEXTJOIN(",",TRUE,_xlfn.UNIQUE(IF(EQW[EquatedWeekPatternCode]=CONT_SUP[[#This Row],[EquatedWeekPatternCode]],EQW[SchoolCodes],""))))),1,0))</f>
        <v>0</v>
      </c>
      <c r="P181" s="57">
        <f>1-COUNTIF(ContractTypes[Code],CONT_SUP[[#This Row],[ContractTypeCode]])</f>
        <v>0</v>
      </c>
      <c r="Q181" s="57">
        <f>IF(VLOOKUP(CONT_SUP[[#This Row],[StaffMemberCode]],MEMBERS[[StaffMemberCode]:[ServiceStartDate]],5,0)&gt;CONT_SUP[[#This Row],[DateFrom]],1,0)</f>
        <v>0</v>
      </c>
      <c r="R181" s="57">
        <f>IF(_xlfn.XLOOKUP(CONT_SUP[[#This Row],[StaffMemberCode]],MEMBERS[StaffMemberCode],MEMBERS[ServiceEndDate])="",0,IF(CONT_SUP[[#This Row],[DateTo]]="",1,IF(_xlfn.XLOOKUP(CONT_SUP[[#This Row],[StaffMemberCode]],MEMBERS[StaffMemberCode],MEMBERS[ServiceEndDate])&lt;CONT_SUP[[#This Row],[DateTo]],1,0)))</f>
        <v>0</v>
      </c>
      <c r="S181" s="57">
        <f>IF(ISBLANK(CONT_SUP[[#This Row],[DateTo]]),0,IF(CONT_SUP[[#This Row],[DateFrom]]=CONT_SUP[[#This Row],[DateTo]],0,IF(CONT_SUP[[#This Row],[DateFrom]]&lt;CONT_SUP[[#This Row],[DateTo]],0,1)))</f>
        <v>0</v>
      </c>
      <c r="T181" s="57" cm="1">
        <f t="array" aca="1" ref="T181" ca="1">IF(CELL("format",CONT_SUP[[#This Row],[DateFrom]])="D1",0,1)+IF(CELL("format",CONT_SUP[[#This Row],[DateTo]])="D1",0,1)</f>
        <v>0</v>
      </c>
      <c r="U181" s="57">
        <f>IF(OR(CONT_SUP[[#This Row],[MatEditOnly]]=TRUE,CONT_SUP[[#This Row],[MatEditOnly]]=FALSE),IF(OR(CONT_SUP[[#This Row],[NoIncrement]]=TRUE,CONT_SUP[[#This Row],[NoIncrement]]=FALSE),0,1),1)</f>
        <v>0</v>
      </c>
      <c r="V181" s="57">
        <f>IF(ISBLANK(CONT_SUP[[#This Row],[FundCode]])=TRUE,0,IF(COUNTIF(FUNDS[FundCode],CONT_SUP[[#This Row],[FundCode]])=1,0,1))</f>
        <v>0</v>
      </c>
      <c r="W181" s="57">
        <f>IF(LEN(CONT_SUP[[#This Row],[Notes]])&lt;4000,0,1)</f>
        <v>0</v>
      </c>
      <c r="X181" s="57">
        <f>IF(SUBSTITUTE(TEXT(CONT_SUP[[#This Row],[Reference]],10)," ","")=TEXT(CONT_SUP[[#This Row],[Reference]],10),0,1)</f>
        <v>0</v>
      </c>
      <c r="Y181" s="57">
        <f ca="1">SUM(CONT_SUP[[#This Row],[Duplicate Contract]:[Space in Code]])</f>
        <v>1</v>
      </c>
      <c r="AA181" s="12" t="s">
        <v>2200</v>
      </c>
      <c r="AB181" s="12">
        <v>91075742</v>
      </c>
      <c r="AC181" s="12" t="s">
        <v>4777</v>
      </c>
      <c r="AD181" s="57" t="str">
        <f>_xlfn.XLOOKUP(CONT_SUP[[#This Row],[StaffMemberCode]],StaffMembers!O:O,StaffMembers!R:R)</f>
        <v>Ceridwen Whitehead</v>
      </c>
      <c r="AE181" s="12" t="s">
        <v>1224</v>
      </c>
      <c r="AF181" s="57">
        <f>_xlfn.XLOOKUP(CONT_SUP[[#This Row],[SRG]],SRG[StaffRoleGroupCode],SRG[GrossSalaryFinanceCode])</f>
        <v>615100</v>
      </c>
      <c r="AG181" s="57" t="str">
        <f>_xlfn.XLOOKUP(CONT_SUP[[#This Row],[StaffRoleCode]],ROLES[StaffRoleCode],ROLES[StaffRoleGroupCode])</f>
        <v>TA</v>
      </c>
      <c r="AH181" s="57" t="str">
        <f>_xlfn.XLOOKUP(CONT_SUP[[#This Row],[StaffRoleCode]],ROLES[StaffRoleCode],ROLES[PayScaleCode])</f>
        <v>NJC_CHE</v>
      </c>
      <c r="AI181" s="12" t="s">
        <v>3125</v>
      </c>
      <c r="AJ181" s="12">
        <v>23</v>
      </c>
      <c r="AK181" s="12" t="s">
        <v>2497</v>
      </c>
      <c r="AM181" s="68" t="s">
        <v>3132</v>
      </c>
      <c r="AN181" s="12" t="s">
        <v>3135</v>
      </c>
      <c r="AO181" s="21">
        <v>45901</v>
      </c>
      <c r="AQ181" s="12">
        <v>19.5</v>
      </c>
      <c r="AR181" t="b">
        <v>0</v>
      </c>
      <c r="AS181" t="b">
        <v>0</v>
      </c>
      <c r="AT181" s="12" t="s">
        <v>1574</v>
      </c>
    </row>
    <row r="182" spans="1:46" x14ac:dyDescent="0.3">
      <c r="A182" s="57" t="str">
        <f t="shared" ref="A182:A213" si="6">AA182&amp;AB182&amp;AC182&amp;AE182&amp;AK182&amp;AO182</f>
        <v>HIG9107387591073875AHLTASTA45901</v>
      </c>
      <c r="B182" s="57">
        <f>COUNTIF(CONT_SUP[Unique Contract],CONT_SUP[[#This Row],[Unique Contract]])-1</f>
        <v>0</v>
      </c>
      <c r="C182" s="57">
        <f>IFERROR(IF(FIND(CONT_SUP[[#This Row],[SchoolCode]],_xlfn.XLOOKUP(CONT_SUP[[#This Row],[StaffMemberCode]],MEMBERS[StaffMemberCode],MEMBERS[SchoolCodes]))&gt;0,0,1),1)</f>
        <v>0</v>
      </c>
      <c r="D182" s="57" cm="1">
        <f t="array" ref="D182">IF(_xlfn.XLOOKUP(CONT_SUP[[#This Row],[StaffRoleCode]],ROLES[StaffRoleCode],ROLES[AvailableToAllSchools],1,0,)=TRUE,0,IF(ISERROR(FIND(CONT_SUP[[#This Row],[SchoolCode]],_xlfn.TEXTJOIN(",",TRUE,_xlfn.UNIQUE(IF(ROLES[StaffRoleCode]=CONT_SUP[[#This Row],[StaffRoleCode]],ROLES[SchoolCodes],""))))),1,0))</f>
        <v>0</v>
      </c>
      <c r="E182" s="57" cm="1">
        <f t="array" ref="E18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82" s="57" cm="1">
        <f t="array" ref="F182">IF(_xlfn.XLOOKUP(CONT_SUP[[#This Row],[PayScaleCode]],PAYSCALES[PayScaleCode],PAYSCALES[AvailableToAllSchools],1,0,)=TRUE,0,IF(ISERROR(FIND(CONT_SUP[[#This Row],[SchoolCode]],_xlfn.TEXTJOIN(",",TRUE,_xlfn.UNIQUE(IF(PAYSCALES[PayScaleCode]=CONT_SUP[[#This Row],[PayScaleCode]],PAYSCALES[SchoolCodes],""))))),1,0))</f>
        <v>0</v>
      </c>
      <c r="G182" s="57">
        <f>IF(_xlfn.XLOOKUP(CONT_SUP[[#This Row],[PayScaleGradeCode]],GRADES[PayScaleGradeCode],GRADES[AvailableToAllSchools])=TRUE,0,IFERROR(IF(FIND(CONT_SUP[[#This Row],[SchoolCode]],_xlfn.XLOOKUP(CONT_SUP[[#This Row],[PayScaleGradeCode]],GRADES[PayScaleGradeCode],GRADES[SchoolCodes]))&gt;=1,0,1),1))</f>
        <v>0</v>
      </c>
      <c r="H182" s="57">
        <f>IF(ISERROR(IF((_xlfn.XLOOKUP(CONT_SUP[[#This Row],[PayScaleGradeCode]],GRADES[PayScaleGradeCode],GRADES[PayScaleCode])=CONT_SUP[[#This Row],[PayScaleCode]]),0,1)),1,0)</f>
        <v>0</v>
      </c>
      <c r="I182" s="57" cm="1">
        <f t="array" ref="I182">IF(ISERROR(FIND(CONT_SUP[[#This Row],[PayScalePointCode]],_xlfn.TEXTJOIN(",",TRUE,IF(PSPOINTS[PayScaleCode]=CONT_SUP[[#This Row],[PayScaleCode]],PSPOINTS[PayScalePointCode])))),1,0)</f>
        <v>0</v>
      </c>
      <c r="J182" s="57" cm="1">
        <f t="array" ref="J18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82" s="57">
        <f>IF(_xlfn.XLOOKUP(CONT_SUP[[#This Row],[PayScalePointCode]],PSPOINTS[PayScalePointCode],PSPOINTS[PayScalePointEnabled])=TRUE,0,1)</f>
        <v>0</v>
      </c>
      <c r="L182" s="57" cm="1">
        <f t="array" ref="L182">IF(_xlfn.XLOOKUP(CONT_SUP[[#This Row],[DepartmentCode]],DEPTS[DepartmentCode],DEPTS[AvailableToAllSchools],1,0,)=TRUE,0,IF(ISERROR(FIND(CONT_SUP[[#This Row],[SchoolCode]],_xlfn.TEXTJOIN(",",TRUE,_xlfn.UNIQUE(IF(DEPTS[DepartmentCode]=CONT_SUP[[#This Row],[DepartmentCode]],DEPTS[SchoolCodes],""))))),1,0))</f>
        <v>0</v>
      </c>
      <c r="M182" s="57">
        <f>IFERROR(IF(_xlfn.XLOOKUP(CONT_SUP[[#This Row],[SRG Gross]],FinanceCodesBudget[FinanceCode],FinanceCodesBudget[LedgerCode])=_xlfn.XLOOKUP(CONT_SUP[[#This Row],[DepartmentCode]],DEPTS[DepartmentCode],DEPTS[LedgerCode]),0,1),1)</f>
        <v>1</v>
      </c>
      <c r="N182" s="57" cm="1">
        <f t="array" ref="N182">IF(_xlfn.XLOOKUP(CONT_SUP[[#This Row],[PensionCode]],PENS[PensionCode],PENS[AvailableToAllSchools],1,0,)=TRUE,0,IF(ISERROR(FIND(CONT_SUP[[#This Row],[SchoolCode]],_xlfn.TEXTJOIN(",",TRUE,_xlfn.UNIQUE(IF(PENS[PensionCode]=CONT_SUP[[#This Row],[PensionCode]],PENS[SchoolCodes],""))))),1,0))</f>
        <v>0</v>
      </c>
      <c r="O182" s="57" cm="1">
        <f t="array" ref="O182">IF(_xlfn.XLOOKUP(CONT_SUP[[#This Row],[EquatedWeekPatternCode]],EQW[EquatedWeekPatternCode],EQW[AvailableToAllSchools],1,0,)=TRUE,0,IF(ISERROR(FIND(CONT_SUP[[#This Row],[SchoolCode]],_xlfn.TEXTJOIN(",",TRUE,_xlfn.UNIQUE(IF(EQW[EquatedWeekPatternCode]=CONT_SUP[[#This Row],[EquatedWeekPatternCode]],EQW[SchoolCodes],""))))),1,0))</f>
        <v>0</v>
      </c>
      <c r="P182" s="57">
        <f>1-COUNTIF(ContractTypes[Code],CONT_SUP[[#This Row],[ContractTypeCode]])</f>
        <v>0</v>
      </c>
      <c r="Q182" s="57">
        <f>IF(VLOOKUP(CONT_SUP[[#This Row],[StaffMemberCode]],MEMBERS[[StaffMemberCode]:[ServiceStartDate]],5,0)&gt;CONT_SUP[[#This Row],[DateFrom]],1,0)</f>
        <v>0</v>
      </c>
      <c r="R182" s="57">
        <f>IF(_xlfn.XLOOKUP(CONT_SUP[[#This Row],[StaffMemberCode]],MEMBERS[StaffMemberCode],MEMBERS[ServiceEndDate])="",0,IF(CONT_SUP[[#This Row],[DateTo]]="",1,IF(_xlfn.XLOOKUP(CONT_SUP[[#This Row],[StaffMemberCode]],MEMBERS[StaffMemberCode],MEMBERS[ServiceEndDate])&lt;CONT_SUP[[#This Row],[DateTo]],1,0)))</f>
        <v>0</v>
      </c>
      <c r="S182" s="57">
        <f>IF(ISBLANK(CONT_SUP[[#This Row],[DateTo]]),0,IF(CONT_SUP[[#This Row],[DateFrom]]=CONT_SUP[[#This Row],[DateTo]],0,IF(CONT_SUP[[#This Row],[DateFrom]]&lt;CONT_SUP[[#This Row],[DateTo]],0,1)))</f>
        <v>0</v>
      </c>
      <c r="T182" s="57" cm="1">
        <f t="array" aca="1" ref="T182" ca="1">IF(CELL("format",CONT_SUP[[#This Row],[DateFrom]])="D1",0,1)+IF(CELL("format",CONT_SUP[[#This Row],[DateTo]])="D1",0,1)</f>
        <v>0</v>
      </c>
      <c r="U182" s="57">
        <f>IF(OR(CONT_SUP[[#This Row],[MatEditOnly]]=TRUE,CONT_SUP[[#This Row],[MatEditOnly]]=FALSE),IF(OR(CONT_SUP[[#This Row],[NoIncrement]]=TRUE,CONT_SUP[[#This Row],[NoIncrement]]=FALSE),0,1),1)</f>
        <v>0</v>
      </c>
      <c r="V182" s="57">
        <f>IF(ISBLANK(CONT_SUP[[#This Row],[FundCode]])=TRUE,0,IF(COUNTIF(FUNDS[FundCode],CONT_SUP[[#This Row],[FundCode]])=1,0,1))</f>
        <v>0</v>
      </c>
      <c r="W182" s="57">
        <f>IF(LEN(CONT_SUP[[#This Row],[Notes]])&lt;4000,0,1)</f>
        <v>0</v>
      </c>
      <c r="X182" s="57">
        <f>IF(SUBSTITUTE(TEXT(CONT_SUP[[#This Row],[Reference]],10)," ","")=TEXT(CONT_SUP[[#This Row],[Reference]],10),0,1)</f>
        <v>0</v>
      </c>
      <c r="Y182" s="57">
        <f ca="1">SUM(CONT_SUP[[#This Row],[Duplicate Contract]:[Space in Code]])</f>
        <v>1</v>
      </c>
      <c r="AA182" s="12" t="s">
        <v>2266</v>
      </c>
      <c r="AB182" s="12">
        <v>91073875</v>
      </c>
      <c r="AC182" s="12" t="s">
        <v>4778</v>
      </c>
      <c r="AD182" s="57" t="str">
        <f>_xlfn.XLOOKUP(CONT_SUP[[#This Row],[StaffMemberCode]],StaffMembers!O:O,StaffMembers!R:R)</f>
        <v>Dawn Hancock</v>
      </c>
      <c r="AE182" s="12" t="s">
        <v>1224</v>
      </c>
      <c r="AF182" s="57">
        <f>_xlfn.XLOOKUP(CONT_SUP[[#This Row],[SRG]],SRG[StaffRoleGroupCode],SRG[GrossSalaryFinanceCode])</f>
        <v>615100</v>
      </c>
      <c r="AG182" s="57" t="str">
        <f>_xlfn.XLOOKUP(CONT_SUP[[#This Row],[StaffRoleCode]],ROLES[StaffRoleCode],ROLES[StaffRoleGroupCode])</f>
        <v>TA</v>
      </c>
      <c r="AH182" s="57" t="str">
        <f>_xlfn.XLOOKUP(CONT_SUP[[#This Row],[StaffRoleCode]],ROLES[StaffRoleCode],ROLES[PayScaleCode])</f>
        <v>NJC_CHE</v>
      </c>
      <c r="AI182" s="12" t="s">
        <v>3125</v>
      </c>
      <c r="AJ182" s="12">
        <v>21</v>
      </c>
      <c r="AK182" s="12" t="s">
        <v>2497</v>
      </c>
      <c r="AM182" s="68" t="s">
        <v>3132</v>
      </c>
      <c r="AN182" s="12" t="s">
        <v>3135</v>
      </c>
      <c r="AO182" s="21">
        <v>45901</v>
      </c>
      <c r="AQ182" s="12">
        <v>32.5</v>
      </c>
      <c r="AR182" t="b">
        <v>0</v>
      </c>
      <c r="AS182" t="b">
        <v>0</v>
      </c>
      <c r="AT182" s="12" t="s">
        <v>1574</v>
      </c>
    </row>
    <row r="183" spans="1:46" x14ac:dyDescent="0.3">
      <c r="A183" s="57" t="str">
        <f t="shared" si="6"/>
        <v>WVP9107341091073410BHLTASTA45901</v>
      </c>
      <c r="B183" s="57">
        <f>COUNTIF(CONT_SUP[Unique Contract],CONT_SUP[[#This Row],[Unique Contract]])-1</f>
        <v>0</v>
      </c>
      <c r="C183" s="57">
        <f>IFERROR(IF(FIND(CONT_SUP[[#This Row],[SchoolCode]],_xlfn.XLOOKUP(CONT_SUP[[#This Row],[StaffMemberCode]],MEMBERS[StaffMemberCode],MEMBERS[SchoolCodes]))&gt;0,0,1),1)</f>
        <v>0</v>
      </c>
      <c r="D183" s="57" cm="1">
        <f t="array" ref="D183">IF(_xlfn.XLOOKUP(CONT_SUP[[#This Row],[StaffRoleCode]],ROLES[StaffRoleCode],ROLES[AvailableToAllSchools],1,0,)=TRUE,0,IF(ISERROR(FIND(CONT_SUP[[#This Row],[SchoolCode]],_xlfn.TEXTJOIN(",",TRUE,_xlfn.UNIQUE(IF(ROLES[StaffRoleCode]=CONT_SUP[[#This Row],[StaffRoleCode]],ROLES[SchoolCodes],""))))),1,0))</f>
        <v>0</v>
      </c>
      <c r="E183" s="57" cm="1">
        <f t="array" ref="E18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83" s="57" cm="1">
        <f t="array" ref="F183">IF(_xlfn.XLOOKUP(CONT_SUP[[#This Row],[PayScaleCode]],PAYSCALES[PayScaleCode],PAYSCALES[AvailableToAllSchools],1,0,)=TRUE,0,IF(ISERROR(FIND(CONT_SUP[[#This Row],[SchoolCode]],_xlfn.TEXTJOIN(",",TRUE,_xlfn.UNIQUE(IF(PAYSCALES[PayScaleCode]=CONT_SUP[[#This Row],[PayScaleCode]],PAYSCALES[SchoolCodes],""))))),1,0))</f>
        <v>0</v>
      </c>
      <c r="G183" s="57">
        <f>IF(_xlfn.XLOOKUP(CONT_SUP[[#This Row],[PayScaleGradeCode]],GRADES[PayScaleGradeCode],GRADES[AvailableToAllSchools])=TRUE,0,IFERROR(IF(FIND(CONT_SUP[[#This Row],[SchoolCode]],_xlfn.XLOOKUP(CONT_SUP[[#This Row],[PayScaleGradeCode]],GRADES[PayScaleGradeCode],GRADES[SchoolCodes]))&gt;=1,0,1),1))</f>
        <v>0</v>
      </c>
      <c r="H183" s="57">
        <f>IF(ISERROR(IF((_xlfn.XLOOKUP(CONT_SUP[[#This Row],[PayScaleGradeCode]],GRADES[PayScaleGradeCode],GRADES[PayScaleCode])=CONT_SUP[[#This Row],[PayScaleCode]]),0,1)),1,0)</f>
        <v>0</v>
      </c>
      <c r="I183" s="57" cm="1">
        <f t="array" ref="I183">IF(ISERROR(FIND(CONT_SUP[[#This Row],[PayScalePointCode]],_xlfn.TEXTJOIN(",",TRUE,IF(PSPOINTS[PayScaleCode]=CONT_SUP[[#This Row],[PayScaleCode]],PSPOINTS[PayScalePointCode])))),1,0)</f>
        <v>0</v>
      </c>
      <c r="J183" s="57" cm="1">
        <f t="array" ref="J18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83" s="57">
        <f>IF(_xlfn.XLOOKUP(CONT_SUP[[#This Row],[PayScalePointCode]],PSPOINTS[PayScalePointCode],PSPOINTS[PayScalePointEnabled])=TRUE,0,1)</f>
        <v>0</v>
      </c>
      <c r="L183" s="57" cm="1">
        <f t="array" ref="L183">IF(_xlfn.XLOOKUP(CONT_SUP[[#This Row],[DepartmentCode]],DEPTS[DepartmentCode],DEPTS[AvailableToAllSchools],1,0,)=TRUE,0,IF(ISERROR(FIND(CONT_SUP[[#This Row],[SchoolCode]],_xlfn.TEXTJOIN(",",TRUE,_xlfn.UNIQUE(IF(DEPTS[DepartmentCode]=CONT_SUP[[#This Row],[DepartmentCode]],DEPTS[SchoolCodes],""))))),1,0))</f>
        <v>0</v>
      </c>
      <c r="M183" s="57">
        <f>IFERROR(IF(_xlfn.XLOOKUP(CONT_SUP[[#This Row],[SRG Gross]],FinanceCodesBudget[FinanceCode],FinanceCodesBudget[LedgerCode])=_xlfn.XLOOKUP(CONT_SUP[[#This Row],[DepartmentCode]],DEPTS[DepartmentCode],DEPTS[LedgerCode]),0,1),1)</f>
        <v>1</v>
      </c>
      <c r="N183" s="57" cm="1">
        <f t="array" ref="N183">IF(_xlfn.XLOOKUP(CONT_SUP[[#This Row],[PensionCode]],PENS[PensionCode],PENS[AvailableToAllSchools],1,0,)=TRUE,0,IF(ISERROR(FIND(CONT_SUP[[#This Row],[SchoolCode]],_xlfn.TEXTJOIN(",",TRUE,_xlfn.UNIQUE(IF(PENS[PensionCode]=CONT_SUP[[#This Row],[PensionCode]],PENS[SchoolCodes],""))))),1,0))</f>
        <v>0</v>
      </c>
      <c r="O183" s="57" cm="1">
        <f t="array" ref="O183">IF(_xlfn.XLOOKUP(CONT_SUP[[#This Row],[EquatedWeekPatternCode]],EQW[EquatedWeekPatternCode],EQW[AvailableToAllSchools],1,0,)=TRUE,0,IF(ISERROR(FIND(CONT_SUP[[#This Row],[SchoolCode]],_xlfn.TEXTJOIN(",",TRUE,_xlfn.UNIQUE(IF(EQW[EquatedWeekPatternCode]=CONT_SUP[[#This Row],[EquatedWeekPatternCode]],EQW[SchoolCodes],""))))),1,0))</f>
        <v>0</v>
      </c>
      <c r="P183" s="57">
        <f>1-COUNTIF(ContractTypes[Code],CONT_SUP[[#This Row],[ContractTypeCode]])</f>
        <v>0</v>
      </c>
      <c r="Q183" s="57">
        <f>IF(VLOOKUP(CONT_SUP[[#This Row],[StaffMemberCode]],MEMBERS[[StaffMemberCode]:[ServiceStartDate]],5,0)&gt;CONT_SUP[[#This Row],[DateFrom]],1,0)</f>
        <v>0</v>
      </c>
      <c r="R183" s="57">
        <f>IF(_xlfn.XLOOKUP(CONT_SUP[[#This Row],[StaffMemberCode]],MEMBERS[StaffMemberCode],MEMBERS[ServiceEndDate])="",0,IF(CONT_SUP[[#This Row],[DateTo]]="",1,IF(_xlfn.XLOOKUP(CONT_SUP[[#This Row],[StaffMemberCode]],MEMBERS[StaffMemberCode],MEMBERS[ServiceEndDate])&lt;CONT_SUP[[#This Row],[DateTo]],1,0)))</f>
        <v>0</v>
      </c>
      <c r="S183" s="57">
        <f>IF(ISBLANK(CONT_SUP[[#This Row],[DateTo]]),0,IF(CONT_SUP[[#This Row],[DateFrom]]=CONT_SUP[[#This Row],[DateTo]],0,IF(CONT_SUP[[#This Row],[DateFrom]]&lt;CONT_SUP[[#This Row],[DateTo]],0,1)))</f>
        <v>0</v>
      </c>
      <c r="T183" s="57" cm="1">
        <f t="array" aca="1" ref="T183" ca="1">IF(CELL("format",CONT_SUP[[#This Row],[DateFrom]])="D1",0,1)+IF(CELL("format",CONT_SUP[[#This Row],[DateTo]])="D1",0,1)</f>
        <v>0</v>
      </c>
      <c r="U183" s="57">
        <f>IF(OR(CONT_SUP[[#This Row],[MatEditOnly]]=TRUE,CONT_SUP[[#This Row],[MatEditOnly]]=FALSE),IF(OR(CONT_SUP[[#This Row],[NoIncrement]]=TRUE,CONT_SUP[[#This Row],[NoIncrement]]=FALSE),0,1),1)</f>
        <v>0</v>
      </c>
      <c r="V183" s="57">
        <f>IF(ISBLANK(CONT_SUP[[#This Row],[FundCode]])=TRUE,0,IF(COUNTIF(FUNDS[FundCode],CONT_SUP[[#This Row],[FundCode]])=1,0,1))</f>
        <v>0</v>
      </c>
      <c r="W183" s="57">
        <f>IF(LEN(CONT_SUP[[#This Row],[Notes]])&lt;4000,0,1)</f>
        <v>0</v>
      </c>
      <c r="X183" s="57">
        <f>IF(SUBSTITUTE(TEXT(CONT_SUP[[#This Row],[Reference]],10)," ","")=TEXT(CONT_SUP[[#This Row],[Reference]],10),0,1)</f>
        <v>0</v>
      </c>
      <c r="Y183" s="57">
        <f ca="1">SUM(CONT_SUP[[#This Row],[Duplicate Contract]:[Space in Code]])</f>
        <v>1</v>
      </c>
      <c r="AA183" s="12" t="s">
        <v>2275</v>
      </c>
      <c r="AB183" s="12">
        <v>91073410</v>
      </c>
      <c r="AC183" s="12" t="s">
        <v>4779</v>
      </c>
      <c r="AD183" s="57" t="str">
        <f>_xlfn.XLOOKUP(CONT_SUP[[#This Row],[StaffMemberCode]],StaffMembers!O:O,StaffMembers!R:R)</f>
        <v>Dean Richards</v>
      </c>
      <c r="AE183" s="12" t="s">
        <v>1224</v>
      </c>
      <c r="AF183" s="57">
        <f>_xlfn.XLOOKUP(CONT_SUP[[#This Row],[SRG]],SRG[StaffRoleGroupCode],SRG[GrossSalaryFinanceCode])</f>
        <v>615100</v>
      </c>
      <c r="AG183" s="57" t="str">
        <f>_xlfn.XLOOKUP(CONT_SUP[[#This Row],[StaffRoleCode]],ROLES[StaffRoleCode],ROLES[StaffRoleGroupCode])</f>
        <v>TA</v>
      </c>
      <c r="AH183" s="57" t="str">
        <f>_xlfn.XLOOKUP(CONT_SUP[[#This Row],[StaffRoleCode]],ROLES[StaffRoleCode],ROLES[PayScaleCode])</f>
        <v>NJC_CHE</v>
      </c>
      <c r="AI183" s="12" t="s">
        <v>3125</v>
      </c>
      <c r="AJ183" s="12">
        <v>23</v>
      </c>
      <c r="AK183" s="12" t="s">
        <v>2497</v>
      </c>
      <c r="AM183" s="68" t="s">
        <v>3132</v>
      </c>
      <c r="AN183" s="12" t="s">
        <v>3134</v>
      </c>
      <c r="AO183" s="21">
        <v>45901</v>
      </c>
      <c r="AQ183" s="12">
        <v>12</v>
      </c>
      <c r="AR183" t="b">
        <v>0</v>
      </c>
      <c r="AS183" t="b">
        <v>0</v>
      </c>
      <c r="AT183" s="12" t="s">
        <v>1574</v>
      </c>
    </row>
    <row r="184" spans="1:46" x14ac:dyDescent="0.3">
      <c r="A184" s="57" t="str">
        <f t="shared" si="6"/>
        <v>WVP9107340091073400BHLTASTA45901</v>
      </c>
      <c r="B184" s="57">
        <f>COUNTIF(CONT_SUP[Unique Contract],CONT_SUP[[#This Row],[Unique Contract]])-1</f>
        <v>0</v>
      </c>
      <c r="C184" s="57">
        <f>IFERROR(IF(FIND(CONT_SUP[[#This Row],[SchoolCode]],_xlfn.XLOOKUP(CONT_SUP[[#This Row],[StaffMemberCode]],MEMBERS[StaffMemberCode],MEMBERS[SchoolCodes]))&gt;0,0,1),1)</f>
        <v>0</v>
      </c>
      <c r="D184" s="57" cm="1">
        <f t="array" ref="D184">IF(_xlfn.XLOOKUP(CONT_SUP[[#This Row],[StaffRoleCode]],ROLES[StaffRoleCode],ROLES[AvailableToAllSchools],1,0,)=TRUE,0,IF(ISERROR(FIND(CONT_SUP[[#This Row],[SchoolCode]],_xlfn.TEXTJOIN(",",TRUE,_xlfn.UNIQUE(IF(ROLES[StaffRoleCode]=CONT_SUP[[#This Row],[StaffRoleCode]],ROLES[SchoolCodes],""))))),1,0))</f>
        <v>0</v>
      </c>
      <c r="E184" s="57" cm="1">
        <f t="array" ref="E18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84" s="57" cm="1">
        <f t="array" ref="F184">IF(_xlfn.XLOOKUP(CONT_SUP[[#This Row],[PayScaleCode]],PAYSCALES[PayScaleCode],PAYSCALES[AvailableToAllSchools],1,0,)=TRUE,0,IF(ISERROR(FIND(CONT_SUP[[#This Row],[SchoolCode]],_xlfn.TEXTJOIN(",",TRUE,_xlfn.UNIQUE(IF(PAYSCALES[PayScaleCode]=CONT_SUP[[#This Row],[PayScaleCode]],PAYSCALES[SchoolCodes],""))))),1,0))</f>
        <v>0</v>
      </c>
      <c r="G184" s="57">
        <f>IF(_xlfn.XLOOKUP(CONT_SUP[[#This Row],[PayScaleGradeCode]],GRADES[PayScaleGradeCode],GRADES[AvailableToAllSchools])=TRUE,0,IFERROR(IF(FIND(CONT_SUP[[#This Row],[SchoolCode]],_xlfn.XLOOKUP(CONT_SUP[[#This Row],[PayScaleGradeCode]],GRADES[PayScaleGradeCode],GRADES[SchoolCodes]))&gt;=1,0,1),1))</f>
        <v>0</v>
      </c>
      <c r="H184" s="57">
        <f>IF(ISERROR(IF((_xlfn.XLOOKUP(CONT_SUP[[#This Row],[PayScaleGradeCode]],GRADES[PayScaleGradeCode],GRADES[PayScaleCode])=CONT_SUP[[#This Row],[PayScaleCode]]),0,1)),1,0)</f>
        <v>0</v>
      </c>
      <c r="I184" s="57" cm="1">
        <f t="array" ref="I184">IF(ISERROR(FIND(CONT_SUP[[#This Row],[PayScalePointCode]],_xlfn.TEXTJOIN(",",TRUE,IF(PSPOINTS[PayScaleCode]=CONT_SUP[[#This Row],[PayScaleCode]],PSPOINTS[PayScalePointCode])))),1,0)</f>
        <v>0</v>
      </c>
      <c r="J184" s="57" cm="1">
        <f t="array" ref="J18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84" s="57">
        <f>IF(_xlfn.XLOOKUP(CONT_SUP[[#This Row],[PayScalePointCode]],PSPOINTS[PayScalePointCode],PSPOINTS[PayScalePointEnabled])=TRUE,0,1)</f>
        <v>0</v>
      </c>
      <c r="L184" s="57" cm="1">
        <f t="array" ref="L184">IF(_xlfn.XLOOKUP(CONT_SUP[[#This Row],[DepartmentCode]],DEPTS[DepartmentCode],DEPTS[AvailableToAllSchools],1,0,)=TRUE,0,IF(ISERROR(FIND(CONT_SUP[[#This Row],[SchoolCode]],_xlfn.TEXTJOIN(",",TRUE,_xlfn.UNIQUE(IF(DEPTS[DepartmentCode]=CONT_SUP[[#This Row],[DepartmentCode]],DEPTS[SchoolCodes],""))))),1,0))</f>
        <v>0</v>
      </c>
      <c r="M184" s="57">
        <f>IFERROR(IF(_xlfn.XLOOKUP(CONT_SUP[[#This Row],[SRG Gross]],FinanceCodesBudget[FinanceCode],FinanceCodesBudget[LedgerCode])=_xlfn.XLOOKUP(CONT_SUP[[#This Row],[DepartmentCode]],DEPTS[DepartmentCode],DEPTS[LedgerCode]),0,1),1)</f>
        <v>1</v>
      </c>
      <c r="N184" s="57" cm="1">
        <f t="array" ref="N184">IF(_xlfn.XLOOKUP(CONT_SUP[[#This Row],[PensionCode]],PENS[PensionCode],PENS[AvailableToAllSchools],1,0,)=TRUE,0,IF(ISERROR(FIND(CONT_SUP[[#This Row],[SchoolCode]],_xlfn.TEXTJOIN(",",TRUE,_xlfn.UNIQUE(IF(PENS[PensionCode]=CONT_SUP[[#This Row],[PensionCode]],PENS[SchoolCodes],""))))),1,0))</f>
        <v>0</v>
      </c>
      <c r="O184" s="57" cm="1">
        <f t="array" ref="O184">IF(_xlfn.XLOOKUP(CONT_SUP[[#This Row],[EquatedWeekPatternCode]],EQW[EquatedWeekPatternCode],EQW[AvailableToAllSchools],1,0,)=TRUE,0,IF(ISERROR(FIND(CONT_SUP[[#This Row],[SchoolCode]],_xlfn.TEXTJOIN(",",TRUE,_xlfn.UNIQUE(IF(EQW[EquatedWeekPatternCode]=CONT_SUP[[#This Row],[EquatedWeekPatternCode]],EQW[SchoolCodes],""))))),1,0))</f>
        <v>0</v>
      </c>
      <c r="P184" s="57">
        <f>1-COUNTIF(ContractTypes[Code],CONT_SUP[[#This Row],[ContractTypeCode]])</f>
        <v>0</v>
      </c>
      <c r="Q184" s="57">
        <f>IF(VLOOKUP(CONT_SUP[[#This Row],[StaffMemberCode]],MEMBERS[[StaffMemberCode]:[ServiceStartDate]],5,0)&gt;CONT_SUP[[#This Row],[DateFrom]],1,0)</f>
        <v>0</v>
      </c>
      <c r="R184" s="57">
        <f>IF(_xlfn.XLOOKUP(CONT_SUP[[#This Row],[StaffMemberCode]],MEMBERS[StaffMemberCode],MEMBERS[ServiceEndDate])="",0,IF(CONT_SUP[[#This Row],[DateTo]]="",1,IF(_xlfn.XLOOKUP(CONT_SUP[[#This Row],[StaffMemberCode]],MEMBERS[StaffMemberCode],MEMBERS[ServiceEndDate])&lt;CONT_SUP[[#This Row],[DateTo]],1,0)))</f>
        <v>0</v>
      </c>
      <c r="S184" s="57">
        <f>IF(ISBLANK(CONT_SUP[[#This Row],[DateTo]]),0,IF(CONT_SUP[[#This Row],[DateFrom]]=CONT_SUP[[#This Row],[DateTo]],0,IF(CONT_SUP[[#This Row],[DateFrom]]&lt;CONT_SUP[[#This Row],[DateTo]],0,1)))</f>
        <v>0</v>
      </c>
      <c r="T184" s="57" cm="1">
        <f t="array" aca="1" ref="T184" ca="1">IF(CELL("format",CONT_SUP[[#This Row],[DateFrom]])="D1",0,1)+IF(CELL("format",CONT_SUP[[#This Row],[DateTo]])="D1",0,1)</f>
        <v>0</v>
      </c>
      <c r="U184" s="57">
        <f>IF(OR(CONT_SUP[[#This Row],[MatEditOnly]]=TRUE,CONT_SUP[[#This Row],[MatEditOnly]]=FALSE),IF(OR(CONT_SUP[[#This Row],[NoIncrement]]=TRUE,CONT_SUP[[#This Row],[NoIncrement]]=FALSE),0,1),1)</f>
        <v>0</v>
      </c>
      <c r="V184" s="57">
        <f>IF(ISBLANK(CONT_SUP[[#This Row],[FundCode]])=TRUE,0,IF(COUNTIF(FUNDS[FundCode],CONT_SUP[[#This Row],[FundCode]])=1,0,1))</f>
        <v>0</v>
      </c>
      <c r="W184" s="57">
        <f>IF(LEN(CONT_SUP[[#This Row],[Notes]])&lt;4000,0,1)</f>
        <v>0</v>
      </c>
      <c r="X184" s="57">
        <f>IF(SUBSTITUTE(TEXT(CONT_SUP[[#This Row],[Reference]],10)," ","")=TEXT(CONT_SUP[[#This Row],[Reference]],10),0,1)</f>
        <v>0</v>
      </c>
      <c r="Y184" s="57">
        <f ca="1">SUM(CONT_SUP[[#This Row],[Duplicate Contract]:[Space in Code]])</f>
        <v>1</v>
      </c>
      <c r="AA184" s="12" t="s">
        <v>2275</v>
      </c>
      <c r="AB184" s="12">
        <v>91073400</v>
      </c>
      <c r="AC184" s="12" t="s">
        <v>4780</v>
      </c>
      <c r="AD184" s="57" t="str">
        <f>_xlfn.XLOOKUP(CONT_SUP[[#This Row],[StaffMemberCode]],StaffMembers!O:O,StaffMembers!R:R)</f>
        <v>Kirsty Lister</v>
      </c>
      <c r="AE184" s="12" t="s">
        <v>1224</v>
      </c>
      <c r="AF184" s="57">
        <f>_xlfn.XLOOKUP(CONT_SUP[[#This Row],[SRG]],SRG[StaffRoleGroupCode],SRG[GrossSalaryFinanceCode])</f>
        <v>615100</v>
      </c>
      <c r="AG184" s="57" t="str">
        <f>_xlfn.XLOOKUP(CONT_SUP[[#This Row],[StaffRoleCode]],ROLES[StaffRoleCode],ROLES[StaffRoleGroupCode])</f>
        <v>TA</v>
      </c>
      <c r="AH184" s="57" t="str">
        <f>_xlfn.XLOOKUP(CONT_SUP[[#This Row],[StaffRoleCode]],ROLES[StaffRoleCode],ROLES[PayScaleCode])</f>
        <v>NJC_CHE</v>
      </c>
      <c r="AI184" s="12" t="s">
        <v>3125</v>
      </c>
      <c r="AJ184" s="12">
        <v>23</v>
      </c>
      <c r="AK184" s="12" t="s">
        <v>2497</v>
      </c>
      <c r="AM184" s="68" t="s">
        <v>3132</v>
      </c>
      <c r="AN184" s="12" t="s">
        <v>3134</v>
      </c>
      <c r="AO184" s="21">
        <v>45901</v>
      </c>
      <c r="AQ184" s="12">
        <v>10.5</v>
      </c>
      <c r="AR184" t="b">
        <v>0</v>
      </c>
      <c r="AS184" t="b">
        <v>0</v>
      </c>
      <c r="AT184" s="12" t="s">
        <v>1574</v>
      </c>
    </row>
    <row r="185" spans="1:46" x14ac:dyDescent="0.3">
      <c r="A185" s="57" t="str">
        <f t="shared" si="6"/>
        <v>SBL9107575491075754BHLTASTA45901</v>
      </c>
      <c r="B185" s="57">
        <f>COUNTIF(CONT_SUP[Unique Contract],CONT_SUP[[#This Row],[Unique Contract]])-1</f>
        <v>0</v>
      </c>
      <c r="C185" s="57">
        <f>IFERROR(IF(FIND(CONT_SUP[[#This Row],[SchoolCode]],_xlfn.XLOOKUP(CONT_SUP[[#This Row],[StaffMemberCode]],MEMBERS[StaffMemberCode],MEMBERS[SchoolCodes]))&gt;0,0,1),1)</f>
        <v>0</v>
      </c>
      <c r="D185" s="57" cm="1">
        <f t="array" ref="D185">IF(_xlfn.XLOOKUP(CONT_SUP[[#This Row],[StaffRoleCode]],ROLES[StaffRoleCode],ROLES[AvailableToAllSchools],1,0,)=TRUE,0,IF(ISERROR(FIND(CONT_SUP[[#This Row],[SchoolCode]],_xlfn.TEXTJOIN(",",TRUE,_xlfn.UNIQUE(IF(ROLES[StaffRoleCode]=CONT_SUP[[#This Row],[StaffRoleCode]],ROLES[SchoolCodes],""))))),1,0))</f>
        <v>0</v>
      </c>
      <c r="E185" s="57" cm="1">
        <f t="array" ref="E18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85" s="57" cm="1">
        <f t="array" ref="F185">IF(_xlfn.XLOOKUP(CONT_SUP[[#This Row],[PayScaleCode]],PAYSCALES[PayScaleCode],PAYSCALES[AvailableToAllSchools],1,0,)=TRUE,0,IF(ISERROR(FIND(CONT_SUP[[#This Row],[SchoolCode]],_xlfn.TEXTJOIN(",",TRUE,_xlfn.UNIQUE(IF(PAYSCALES[PayScaleCode]=CONT_SUP[[#This Row],[PayScaleCode]],PAYSCALES[SchoolCodes],""))))),1,0))</f>
        <v>0</v>
      </c>
      <c r="G185" s="57">
        <f>IF(_xlfn.XLOOKUP(CONT_SUP[[#This Row],[PayScaleGradeCode]],GRADES[PayScaleGradeCode],GRADES[AvailableToAllSchools])=TRUE,0,IFERROR(IF(FIND(CONT_SUP[[#This Row],[SchoolCode]],_xlfn.XLOOKUP(CONT_SUP[[#This Row],[PayScaleGradeCode]],GRADES[PayScaleGradeCode],GRADES[SchoolCodes]))&gt;=1,0,1),1))</f>
        <v>0</v>
      </c>
      <c r="H185" s="57">
        <f>IF(ISERROR(IF((_xlfn.XLOOKUP(CONT_SUP[[#This Row],[PayScaleGradeCode]],GRADES[PayScaleGradeCode],GRADES[PayScaleCode])=CONT_SUP[[#This Row],[PayScaleCode]]),0,1)),1,0)</f>
        <v>0</v>
      </c>
      <c r="I185" s="57" cm="1">
        <f t="array" ref="I185">IF(ISERROR(FIND(CONT_SUP[[#This Row],[PayScalePointCode]],_xlfn.TEXTJOIN(",",TRUE,IF(PSPOINTS[PayScaleCode]=CONT_SUP[[#This Row],[PayScaleCode]],PSPOINTS[PayScalePointCode])))),1,0)</f>
        <v>0</v>
      </c>
      <c r="J185" s="57" cm="1">
        <f t="array" ref="J18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85" s="57">
        <f>IF(_xlfn.XLOOKUP(CONT_SUP[[#This Row],[PayScalePointCode]],PSPOINTS[PayScalePointCode],PSPOINTS[PayScalePointEnabled])=TRUE,0,1)</f>
        <v>0</v>
      </c>
      <c r="L185" s="57" cm="1">
        <f t="array" ref="L185">IF(_xlfn.XLOOKUP(CONT_SUP[[#This Row],[DepartmentCode]],DEPTS[DepartmentCode],DEPTS[AvailableToAllSchools],1,0,)=TRUE,0,IF(ISERROR(FIND(CONT_SUP[[#This Row],[SchoolCode]],_xlfn.TEXTJOIN(",",TRUE,_xlfn.UNIQUE(IF(DEPTS[DepartmentCode]=CONT_SUP[[#This Row],[DepartmentCode]],DEPTS[SchoolCodes],""))))),1,0))</f>
        <v>0</v>
      </c>
      <c r="M185" s="57">
        <f>IFERROR(IF(_xlfn.XLOOKUP(CONT_SUP[[#This Row],[SRG Gross]],FinanceCodesBudget[FinanceCode],FinanceCodesBudget[LedgerCode])=_xlfn.XLOOKUP(CONT_SUP[[#This Row],[DepartmentCode]],DEPTS[DepartmentCode],DEPTS[LedgerCode]),0,1),1)</f>
        <v>1</v>
      </c>
      <c r="N185" s="57" cm="1">
        <f t="array" ref="N185">IF(_xlfn.XLOOKUP(CONT_SUP[[#This Row],[PensionCode]],PENS[PensionCode],PENS[AvailableToAllSchools],1,0,)=TRUE,0,IF(ISERROR(FIND(CONT_SUP[[#This Row],[SchoolCode]],_xlfn.TEXTJOIN(",",TRUE,_xlfn.UNIQUE(IF(PENS[PensionCode]=CONT_SUP[[#This Row],[PensionCode]],PENS[SchoolCodes],""))))),1,0))</f>
        <v>0</v>
      </c>
      <c r="O185" s="57" cm="1">
        <f t="array" ref="O185">IF(_xlfn.XLOOKUP(CONT_SUP[[#This Row],[EquatedWeekPatternCode]],EQW[EquatedWeekPatternCode],EQW[AvailableToAllSchools],1,0,)=TRUE,0,IF(ISERROR(FIND(CONT_SUP[[#This Row],[SchoolCode]],_xlfn.TEXTJOIN(",",TRUE,_xlfn.UNIQUE(IF(EQW[EquatedWeekPatternCode]=CONT_SUP[[#This Row],[EquatedWeekPatternCode]],EQW[SchoolCodes],""))))),1,0))</f>
        <v>0</v>
      </c>
      <c r="P185" s="57">
        <f>1-COUNTIF(ContractTypes[Code],CONT_SUP[[#This Row],[ContractTypeCode]])</f>
        <v>0</v>
      </c>
      <c r="Q185" s="57">
        <f>IF(VLOOKUP(CONT_SUP[[#This Row],[StaffMemberCode]],MEMBERS[[StaffMemberCode]:[ServiceStartDate]],5,0)&gt;CONT_SUP[[#This Row],[DateFrom]],1,0)</f>
        <v>0</v>
      </c>
      <c r="R185" s="57">
        <f>IF(_xlfn.XLOOKUP(CONT_SUP[[#This Row],[StaffMemberCode]],MEMBERS[StaffMemberCode],MEMBERS[ServiceEndDate])="",0,IF(CONT_SUP[[#This Row],[DateTo]]="",1,IF(_xlfn.XLOOKUP(CONT_SUP[[#This Row],[StaffMemberCode]],MEMBERS[StaffMemberCode],MEMBERS[ServiceEndDate])&lt;CONT_SUP[[#This Row],[DateTo]],1,0)))</f>
        <v>0</v>
      </c>
      <c r="S185" s="57">
        <f>IF(ISBLANK(CONT_SUP[[#This Row],[DateTo]]),0,IF(CONT_SUP[[#This Row],[DateFrom]]=CONT_SUP[[#This Row],[DateTo]],0,IF(CONT_SUP[[#This Row],[DateFrom]]&lt;CONT_SUP[[#This Row],[DateTo]],0,1)))</f>
        <v>0</v>
      </c>
      <c r="T185" s="57" cm="1">
        <f t="array" aca="1" ref="T185" ca="1">IF(CELL("format",CONT_SUP[[#This Row],[DateFrom]])="D1",0,1)+IF(CELL("format",CONT_SUP[[#This Row],[DateTo]])="D1",0,1)</f>
        <v>0</v>
      </c>
      <c r="U185" s="57">
        <f>IF(OR(CONT_SUP[[#This Row],[MatEditOnly]]=TRUE,CONT_SUP[[#This Row],[MatEditOnly]]=FALSE),IF(OR(CONT_SUP[[#This Row],[NoIncrement]]=TRUE,CONT_SUP[[#This Row],[NoIncrement]]=FALSE),0,1),1)</f>
        <v>0</v>
      </c>
      <c r="V185" s="57">
        <f>IF(ISBLANK(CONT_SUP[[#This Row],[FundCode]])=TRUE,0,IF(COUNTIF(FUNDS[FundCode],CONT_SUP[[#This Row],[FundCode]])=1,0,1))</f>
        <v>0</v>
      </c>
      <c r="W185" s="57">
        <f>IF(LEN(CONT_SUP[[#This Row],[Notes]])&lt;4000,0,1)</f>
        <v>0</v>
      </c>
      <c r="X185" s="57">
        <f>IF(SUBSTITUTE(TEXT(CONT_SUP[[#This Row],[Reference]],10)," ","")=TEXT(CONT_SUP[[#This Row],[Reference]],10),0,1)</f>
        <v>0</v>
      </c>
      <c r="Y185" s="57">
        <f ca="1">SUM(CONT_SUP[[#This Row],[Duplicate Contract]:[Space in Code]])</f>
        <v>1</v>
      </c>
      <c r="AA185" s="12" t="s">
        <v>2200</v>
      </c>
      <c r="AB185" s="12">
        <v>91075754</v>
      </c>
      <c r="AC185" s="12" t="s">
        <v>4781</v>
      </c>
      <c r="AD185" s="57" t="str">
        <f>_xlfn.XLOOKUP(CONT_SUP[[#This Row],[StaffMemberCode]],StaffMembers!O:O,StaffMembers!R:R)</f>
        <v>Leanne Herbert-Jackson</v>
      </c>
      <c r="AE185" s="12" t="s">
        <v>1224</v>
      </c>
      <c r="AF185" s="57">
        <f>_xlfn.XLOOKUP(CONT_SUP[[#This Row],[SRG]],SRG[StaffRoleGroupCode],SRG[GrossSalaryFinanceCode])</f>
        <v>615100</v>
      </c>
      <c r="AG185" s="57" t="str">
        <f>_xlfn.XLOOKUP(CONT_SUP[[#This Row],[StaffRoleCode]],ROLES[StaffRoleCode],ROLES[StaffRoleGroupCode])</f>
        <v>TA</v>
      </c>
      <c r="AH185" s="57" t="str">
        <f>_xlfn.XLOOKUP(CONT_SUP[[#This Row],[StaffRoleCode]],ROLES[StaffRoleCode],ROLES[PayScaleCode])</f>
        <v>NJC_CHE</v>
      </c>
      <c r="AI185" s="12" t="s">
        <v>3124</v>
      </c>
      <c r="AJ185" s="12">
        <v>17</v>
      </c>
      <c r="AK185" s="12" t="s">
        <v>2497</v>
      </c>
      <c r="AM185" s="68" t="s">
        <v>3132</v>
      </c>
      <c r="AN185" s="12" t="s">
        <v>3134</v>
      </c>
      <c r="AO185" s="21">
        <v>45901</v>
      </c>
      <c r="AQ185" s="12">
        <v>11.5</v>
      </c>
      <c r="AR185" t="b">
        <v>0</v>
      </c>
      <c r="AS185" t="b">
        <v>0</v>
      </c>
      <c r="AT185" s="12" t="s">
        <v>1574</v>
      </c>
    </row>
    <row r="186" spans="1:46" x14ac:dyDescent="0.3">
      <c r="A186" s="57" t="str">
        <f t="shared" si="6"/>
        <v>AUD9107364891073648BHLTASTA45901</v>
      </c>
      <c r="B186" s="57">
        <f>COUNTIF(CONT_SUP[Unique Contract],CONT_SUP[[#This Row],[Unique Contract]])-1</f>
        <v>0</v>
      </c>
      <c r="C186" s="57">
        <f>IFERROR(IF(FIND(CONT_SUP[[#This Row],[SchoolCode]],_xlfn.XLOOKUP(CONT_SUP[[#This Row],[StaffMemberCode]],MEMBERS[StaffMemberCode],MEMBERS[SchoolCodes]))&gt;0,0,1),1)</f>
        <v>0</v>
      </c>
      <c r="D186" s="57" cm="1">
        <f t="array" ref="D186">IF(_xlfn.XLOOKUP(CONT_SUP[[#This Row],[StaffRoleCode]],ROLES[StaffRoleCode],ROLES[AvailableToAllSchools],1,0,)=TRUE,0,IF(ISERROR(FIND(CONT_SUP[[#This Row],[SchoolCode]],_xlfn.TEXTJOIN(",",TRUE,_xlfn.UNIQUE(IF(ROLES[StaffRoleCode]=CONT_SUP[[#This Row],[StaffRoleCode]],ROLES[SchoolCodes],""))))),1,0))</f>
        <v>0</v>
      </c>
      <c r="E186" s="57" cm="1">
        <f t="array" ref="E18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86" s="57" cm="1">
        <f t="array" ref="F186">IF(_xlfn.XLOOKUP(CONT_SUP[[#This Row],[PayScaleCode]],PAYSCALES[PayScaleCode],PAYSCALES[AvailableToAllSchools],1,0,)=TRUE,0,IF(ISERROR(FIND(CONT_SUP[[#This Row],[SchoolCode]],_xlfn.TEXTJOIN(",",TRUE,_xlfn.UNIQUE(IF(PAYSCALES[PayScaleCode]=CONT_SUP[[#This Row],[PayScaleCode]],PAYSCALES[SchoolCodes],""))))),1,0))</f>
        <v>0</v>
      </c>
      <c r="G186" s="57">
        <f>IF(_xlfn.XLOOKUP(CONT_SUP[[#This Row],[PayScaleGradeCode]],GRADES[PayScaleGradeCode],GRADES[AvailableToAllSchools])=TRUE,0,IFERROR(IF(FIND(CONT_SUP[[#This Row],[SchoolCode]],_xlfn.XLOOKUP(CONT_SUP[[#This Row],[PayScaleGradeCode]],GRADES[PayScaleGradeCode],GRADES[SchoolCodes]))&gt;=1,0,1),1))</f>
        <v>0</v>
      </c>
      <c r="H186" s="57">
        <f>IF(ISERROR(IF((_xlfn.XLOOKUP(CONT_SUP[[#This Row],[PayScaleGradeCode]],GRADES[PayScaleGradeCode],GRADES[PayScaleCode])=CONT_SUP[[#This Row],[PayScaleCode]]),0,1)),1,0)</f>
        <v>0</v>
      </c>
      <c r="I186" s="57" cm="1">
        <f t="array" ref="I186">IF(ISERROR(FIND(CONT_SUP[[#This Row],[PayScalePointCode]],_xlfn.TEXTJOIN(",",TRUE,IF(PSPOINTS[PayScaleCode]=CONT_SUP[[#This Row],[PayScaleCode]],PSPOINTS[PayScalePointCode])))),1,0)</f>
        <v>0</v>
      </c>
      <c r="J186" s="57" cm="1">
        <f t="array" ref="J18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86" s="57">
        <f>IF(_xlfn.XLOOKUP(CONT_SUP[[#This Row],[PayScalePointCode]],PSPOINTS[PayScalePointCode],PSPOINTS[PayScalePointEnabled])=TRUE,0,1)</f>
        <v>0</v>
      </c>
      <c r="L186" s="57" cm="1">
        <f t="array" ref="L186">IF(_xlfn.XLOOKUP(CONT_SUP[[#This Row],[DepartmentCode]],DEPTS[DepartmentCode],DEPTS[AvailableToAllSchools],1,0,)=TRUE,0,IF(ISERROR(FIND(CONT_SUP[[#This Row],[SchoolCode]],_xlfn.TEXTJOIN(",",TRUE,_xlfn.UNIQUE(IF(DEPTS[DepartmentCode]=CONT_SUP[[#This Row],[DepartmentCode]],DEPTS[SchoolCodes],""))))),1,0))</f>
        <v>0</v>
      </c>
      <c r="M186" s="57">
        <f>IFERROR(IF(_xlfn.XLOOKUP(CONT_SUP[[#This Row],[SRG Gross]],FinanceCodesBudget[FinanceCode],FinanceCodesBudget[LedgerCode])=_xlfn.XLOOKUP(CONT_SUP[[#This Row],[DepartmentCode]],DEPTS[DepartmentCode],DEPTS[LedgerCode]),0,1),1)</f>
        <v>1</v>
      </c>
      <c r="N186" s="57" cm="1">
        <f t="array" ref="N186">IF(_xlfn.XLOOKUP(CONT_SUP[[#This Row],[PensionCode]],PENS[PensionCode],PENS[AvailableToAllSchools],1,0,)=TRUE,0,IF(ISERROR(FIND(CONT_SUP[[#This Row],[SchoolCode]],_xlfn.TEXTJOIN(",",TRUE,_xlfn.UNIQUE(IF(PENS[PensionCode]=CONT_SUP[[#This Row],[PensionCode]],PENS[SchoolCodes],""))))),1,0))</f>
        <v>0</v>
      </c>
      <c r="O186" s="57" cm="1">
        <f t="array" ref="O186">IF(_xlfn.XLOOKUP(CONT_SUP[[#This Row],[EquatedWeekPatternCode]],EQW[EquatedWeekPatternCode],EQW[AvailableToAllSchools],1,0,)=TRUE,0,IF(ISERROR(FIND(CONT_SUP[[#This Row],[SchoolCode]],_xlfn.TEXTJOIN(",",TRUE,_xlfn.UNIQUE(IF(EQW[EquatedWeekPatternCode]=CONT_SUP[[#This Row],[EquatedWeekPatternCode]],EQW[SchoolCodes],""))))),1,0))</f>
        <v>0</v>
      </c>
      <c r="P186" s="57">
        <f>1-COUNTIF(ContractTypes[Code],CONT_SUP[[#This Row],[ContractTypeCode]])</f>
        <v>0</v>
      </c>
      <c r="Q186" s="57">
        <f>IF(VLOOKUP(CONT_SUP[[#This Row],[StaffMemberCode]],MEMBERS[[StaffMemberCode]:[ServiceStartDate]],5,0)&gt;CONT_SUP[[#This Row],[DateFrom]],1,0)</f>
        <v>0</v>
      </c>
      <c r="R186" s="57">
        <f>IF(_xlfn.XLOOKUP(CONT_SUP[[#This Row],[StaffMemberCode]],MEMBERS[StaffMemberCode],MEMBERS[ServiceEndDate])="",0,IF(CONT_SUP[[#This Row],[DateTo]]="",1,IF(_xlfn.XLOOKUP(CONT_SUP[[#This Row],[StaffMemberCode]],MEMBERS[StaffMemberCode],MEMBERS[ServiceEndDate])&lt;CONT_SUP[[#This Row],[DateTo]],1,0)))</f>
        <v>0</v>
      </c>
      <c r="S186" s="57">
        <f>IF(ISBLANK(CONT_SUP[[#This Row],[DateTo]]),0,IF(CONT_SUP[[#This Row],[DateFrom]]=CONT_SUP[[#This Row],[DateTo]],0,IF(CONT_SUP[[#This Row],[DateFrom]]&lt;CONT_SUP[[#This Row],[DateTo]],0,1)))</f>
        <v>0</v>
      </c>
      <c r="T186" s="57" cm="1">
        <f t="array" aca="1" ref="T186" ca="1">IF(CELL("format",CONT_SUP[[#This Row],[DateFrom]])="D1",0,1)+IF(CELL("format",CONT_SUP[[#This Row],[DateTo]])="D1",0,1)</f>
        <v>0</v>
      </c>
      <c r="U186" s="57">
        <f>IF(OR(CONT_SUP[[#This Row],[MatEditOnly]]=TRUE,CONT_SUP[[#This Row],[MatEditOnly]]=FALSE),IF(OR(CONT_SUP[[#This Row],[NoIncrement]]=TRUE,CONT_SUP[[#This Row],[NoIncrement]]=FALSE),0,1),1)</f>
        <v>0</v>
      </c>
      <c r="V186" s="57">
        <f>IF(ISBLANK(CONT_SUP[[#This Row],[FundCode]])=TRUE,0,IF(COUNTIF(FUNDS[FundCode],CONT_SUP[[#This Row],[FundCode]])=1,0,1))</f>
        <v>0</v>
      </c>
      <c r="W186" s="57">
        <f>IF(LEN(CONT_SUP[[#This Row],[Notes]])&lt;4000,0,1)</f>
        <v>0</v>
      </c>
      <c r="X186" s="57">
        <f>IF(SUBSTITUTE(TEXT(CONT_SUP[[#This Row],[Reference]],10)," ","")=TEXT(CONT_SUP[[#This Row],[Reference]],10),0,1)</f>
        <v>0</v>
      </c>
      <c r="Y186" s="57">
        <f ca="1">SUM(CONT_SUP[[#This Row],[Duplicate Contract]:[Space in Code]])</f>
        <v>1</v>
      </c>
      <c r="AA186" s="12" t="s">
        <v>2089</v>
      </c>
      <c r="AB186" s="12">
        <v>91073648</v>
      </c>
      <c r="AC186" s="12" t="s">
        <v>4782</v>
      </c>
      <c r="AD186" s="57" t="str">
        <f>_xlfn.XLOOKUP(CONT_SUP[[#This Row],[StaffMemberCode]],StaffMembers!O:O,StaffMembers!R:R)</f>
        <v>Sally-Ann Spooner</v>
      </c>
      <c r="AE186" s="12" t="s">
        <v>1224</v>
      </c>
      <c r="AF186" s="57">
        <f>_xlfn.XLOOKUP(CONT_SUP[[#This Row],[SRG]],SRG[StaffRoleGroupCode],SRG[GrossSalaryFinanceCode])</f>
        <v>615100</v>
      </c>
      <c r="AG186" s="57" t="str">
        <f>_xlfn.XLOOKUP(CONT_SUP[[#This Row],[StaffRoleCode]],ROLES[StaffRoleCode],ROLES[StaffRoleGroupCode])</f>
        <v>TA</v>
      </c>
      <c r="AH186" s="57" t="str">
        <f>_xlfn.XLOOKUP(CONT_SUP[[#This Row],[StaffRoleCode]],ROLES[StaffRoleCode],ROLES[PayScaleCode])</f>
        <v>NJC_CHE</v>
      </c>
      <c r="AI186" s="12" t="s">
        <v>3125</v>
      </c>
      <c r="AJ186" s="12">
        <v>22</v>
      </c>
      <c r="AK186" s="12" t="s">
        <v>2497</v>
      </c>
      <c r="AM186" s="68" t="s">
        <v>3132</v>
      </c>
      <c r="AN186" s="12" t="s">
        <v>3135</v>
      </c>
      <c r="AO186" s="21">
        <v>45901</v>
      </c>
      <c r="AQ186" s="12">
        <v>7.5</v>
      </c>
      <c r="AR186" t="b">
        <v>0</v>
      </c>
      <c r="AS186" t="b">
        <v>0</v>
      </c>
      <c r="AT186" s="12" t="s">
        <v>1574</v>
      </c>
    </row>
    <row r="187" spans="1:46" x14ac:dyDescent="0.3">
      <c r="A187" s="57" t="str">
        <f t="shared" si="6"/>
        <v>PTP9107392291073922AHLTASTA45901</v>
      </c>
      <c r="B187" s="57">
        <f>COUNTIF(CONT_SUP[Unique Contract],CONT_SUP[[#This Row],[Unique Contract]])-1</f>
        <v>0</v>
      </c>
      <c r="C187" s="57">
        <f>IFERROR(IF(FIND(CONT_SUP[[#This Row],[SchoolCode]],_xlfn.XLOOKUP(CONT_SUP[[#This Row],[StaffMemberCode]],MEMBERS[StaffMemberCode],MEMBERS[SchoolCodes]))&gt;0,0,1),1)</f>
        <v>0</v>
      </c>
      <c r="D187" s="57" cm="1">
        <f t="array" ref="D187">IF(_xlfn.XLOOKUP(CONT_SUP[[#This Row],[StaffRoleCode]],ROLES[StaffRoleCode],ROLES[AvailableToAllSchools],1,0,)=TRUE,0,IF(ISERROR(FIND(CONT_SUP[[#This Row],[SchoolCode]],_xlfn.TEXTJOIN(",",TRUE,_xlfn.UNIQUE(IF(ROLES[StaffRoleCode]=CONT_SUP[[#This Row],[StaffRoleCode]],ROLES[SchoolCodes],""))))),1,0))</f>
        <v>0</v>
      </c>
      <c r="E187" s="57" cm="1">
        <f t="array" ref="E18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87" s="57" cm="1">
        <f t="array" ref="F187">IF(_xlfn.XLOOKUP(CONT_SUP[[#This Row],[PayScaleCode]],PAYSCALES[PayScaleCode],PAYSCALES[AvailableToAllSchools],1,0,)=TRUE,0,IF(ISERROR(FIND(CONT_SUP[[#This Row],[SchoolCode]],_xlfn.TEXTJOIN(",",TRUE,_xlfn.UNIQUE(IF(PAYSCALES[PayScaleCode]=CONT_SUP[[#This Row],[PayScaleCode]],PAYSCALES[SchoolCodes],""))))),1,0))</f>
        <v>0</v>
      </c>
      <c r="G187" s="57">
        <f>IF(_xlfn.XLOOKUP(CONT_SUP[[#This Row],[PayScaleGradeCode]],GRADES[PayScaleGradeCode],GRADES[AvailableToAllSchools])=TRUE,0,IFERROR(IF(FIND(CONT_SUP[[#This Row],[SchoolCode]],_xlfn.XLOOKUP(CONT_SUP[[#This Row],[PayScaleGradeCode]],GRADES[PayScaleGradeCode],GRADES[SchoolCodes]))&gt;=1,0,1),1))</f>
        <v>0</v>
      </c>
      <c r="H187" s="57">
        <f>IF(ISERROR(IF((_xlfn.XLOOKUP(CONT_SUP[[#This Row],[PayScaleGradeCode]],GRADES[PayScaleGradeCode],GRADES[PayScaleCode])=CONT_SUP[[#This Row],[PayScaleCode]]),0,1)),1,0)</f>
        <v>0</v>
      </c>
      <c r="I187" s="57" cm="1">
        <f t="array" ref="I187">IF(ISERROR(FIND(CONT_SUP[[#This Row],[PayScalePointCode]],_xlfn.TEXTJOIN(",",TRUE,IF(PSPOINTS[PayScaleCode]=CONT_SUP[[#This Row],[PayScaleCode]],PSPOINTS[PayScalePointCode])))),1,0)</f>
        <v>0</v>
      </c>
      <c r="J187" s="57" cm="1">
        <f t="array" ref="J18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87" s="57">
        <f>IF(_xlfn.XLOOKUP(CONT_SUP[[#This Row],[PayScalePointCode]],PSPOINTS[PayScalePointCode],PSPOINTS[PayScalePointEnabled])=TRUE,0,1)</f>
        <v>0</v>
      </c>
      <c r="L187" s="57" cm="1">
        <f t="array" ref="L187">IF(_xlfn.XLOOKUP(CONT_SUP[[#This Row],[DepartmentCode]],DEPTS[DepartmentCode],DEPTS[AvailableToAllSchools],1,0,)=TRUE,0,IF(ISERROR(FIND(CONT_SUP[[#This Row],[SchoolCode]],_xlfn.TEXTJOIN(",",TRUE,_xlfn.UNIQUE(IF(DEPTS[DepartmentCode]=CONT_SUP[[#This Row],[DepartmentCode]],DEPTS[SchoolCodes],""))))),1,0))</f>
        <v>0</v>
      </c>
      <c r="M187" s="57">
        <f>IFERROR(IF(_xlfn.XLOOKUP(CONT_SUP[[#This Row],[SRG Gross]],FinanceCodesBudget[FinanceCode],FinanceCodesBudget[LedgerCode])=_xlfn.XLOOKUP(CONT_SUP[[#This Row],[DepartmentCode]],DEPTS[DepartmentCode],DEPTS[LedgerCode]),0,1),1)</f>
        <v>1</v>
      </c>
      <c r="N187" s="57" cm="1">
        <f t="array" ref="N187">IF(_xlfn.XLOOKUP(CONT_SUP[[#This Row],[PensionCode]],PENS[PensionCode],PENS[AvailableToAllSchools],1,0,)=TRUE,0,IF(ISERROR(FIND(CONT_SUP[[#This Row],[SchoolCode]],_xlfn.TEXTJOIN(",",TRUE,_xlfn.UNIQUE(IF(PENS[PensionCode]=CONT_SUP[[#This Row],[PensionCode]],PENS[SchoolCodes],""))))),1,0))</f>
        <v>0</v>
      </c>
      <c r="O187" s="57" cm="1">
        <f t="array" ref="O187">IF(_xlfn.XLOOKUP(CONT_SUP[[#This Row],[EquatedWeekPatternCode]],EQW[EquatedWeekPatternCode],EQW[AvailableToAllSchools],1,0,)=TRUE,0,IF(ISERROR(FIND(CONT_SUP[[#This Row],[SchoolCode]],_xlfn.TEXTJOIN(",",TRUE,_xlfn.UNIQUE(IF(EQW[EquatedWeekPatternCode]=CONT_SUP[[#This Row],[EquatedWeekPatternCode]],EQW[SchoolCodes],""))))),1,0))</f>
        <v>0</v>
      </c>
      <c r="P187" s="57">
        <f>1-COUNTIF(ContractTypes[Code],CONT_SUP[[#This Row],[ContractTypeCode]])</f>
        <v>0</v>
      </c>
      <c r="Q187" s="57">
        <f>IF(VLOOKUP(CONT_SUP[[#This Row],[StaffMemberCode]],MEMBERS[[StaffMemberCode]:[ServiceStartDate]],5,0)&gt;CONT_SUP[[#This Row],[DateFrom]],1,0)</f>
        <v>0</v>
      </c>
      <c r="R187" s="57">
        <f>IF(_xlfn.XLOOKUP(CONT_SUP[[#This Row],[StaffMemberCode]],MEMBERS[StaffMemberCode],MEMBERS[ServiceEndDate])="",0,IF(CONT_SUP[[#This Row],[DateTo]]="",1,IF(_xlfn.XLOOKUP(CONT_SUP[[#This Row],[StaffMemberCode]],MEMBERS[StaffMemberCode],MEMBERS[ServiceEndDate])&lt;CONT_SUP[[#This Row],[DateTo]],1,0)))</f>
        <v>0</v>
      </c>
      <c r="S187" s="57">
        <f>IF(ISBLANK(CONT_SUP[[#This Row],[DateTo]]),0,IF(CONT_SUP[[#This Row],[DateFrom]]=CONT_SUP[[#This Row],[DateTo]],0,IF(CONT_SUP[[#This Row],[DateFrom]]&lt;CONT_SUP[[#This Row],[DateTo]],0,1)))</f>
        <v>0</v>
      </c>
      <c r="T187" s="57" cm="1">
        <f t="array" aca="1" ref="T187" ca="1">IF(CELL("format",CONT_SUP[[#This Row],[DateFrom]])="D1",0,1)+IF(CELL("format",CONT_SUP[[#This Row],[DateTo]])="D1",0,1)</f>
        <v>0</v>
      </c>
      <c r="U187" s="57">
        <f>IF(OR(CONT_SUP[[#This Row],[MatEditOnly]]=TRUE,CONT_SUP[[#This Row],[MatEditOnly]]=FALSE),IF(OR(CONT_SUP[[#This Row],[NoIncrement]]=TRUE,CONT_SUP[[#This Row],[NoIncrement]]=FALSE),0,1),1)</f>
        <v>0</v>
      </c>
      <c r="V187" s="57">
        <f>IF(ISBLANK(CONT_SUP[[#This Row],[FundCode]])=TRUE,0,IF(COUNTIF(FUNDS[FundCode],CONT_SUP[[#This Row],[FundCode]])=1,0,1))</f>
        <v>0</v>
      </c>
      <c r="W187" s="57">
        <f>IF(LEN(CONT_SUP[[#This Row],[Notes]])&lt;4000,0,1)</f>
        <v>0</v>
      </c>
      <c r="X187" s="57">
        <f>IF(SUBSTITUTE(TEXT(CONT_SUP[[#This Row],[Reference]],10)," ","")=TEXT(CONT_SUP[[#This Row],[Reference]],10),0,1)</f>
        <v>0</v>
      </c>
      <c r="Y187" s="57">
        <f ca="1">SUM(CONT_SUP[[#This Row],[Duplicate Contract]:[Space in Code]])</f>
        <v>1</v>
      </c>
      <c r="AA187" s="12" t="s">
        <v>2299</v>
      </c>
      <c r="AB187" s="12">
        <v>91073922</v>
      </c>
      <c r="AC187" s="12" t="s">
        <v>4783</v>
      </c>
      <c r="AD187" s="57" t="str">
        <f>_xlfn.XLOOKUP(CONT_SUP[[#This Row],[StaffMemberCode]],StaffMembers!O:O,StaffMembers!R:R)</f>
        <v>Sandra Yeomans</v>
      </c>
      <c r="AE187" s="12" t="s">
        <v>1224</v>
      </c>
      <c r="AF187" s="57">
        <f>_xlfn.XLOOKUP(CONT_SUP[[#This Row],[SRG]],SRG[StaffRoleGroupCode],SRG[GrossSalaryFinanceCode])</f>
        <v>615100</v>
      </c>
      <c r="AG187" s="57" t="str">
        <f>_xlfn.XLOOKUP(CONT_SUP[[#This Row],[StaffRoleCode]],ROLES[StaffRoleCode],ROLES[StaffRoleGroupCode])</f>
        <v>TA</v>
      </c>
      <c r="AH187" s="57" t="str">
        <f>_xlfn.XLOOKUP(CONT_SUP[[#This Row],[StaffRoleCode]],ROLES[StaffRoleCode],ROLES[PayScaleCode])</f>
        <v>NJC_CHE</v>
      </c>
      <c r="AI187" s="12" t="s">
        <v>3125</v>
      </c>
      <c r="AJ187" s="12">
        <v>23</v>
      </c>
      <c r="AK187" s="12" t="s">
        <v>2497</v>
      </c>
      <c r="AM187" s="68" t="s">
        <v>3132</v>
      </c>
      <c r="AN187" s="12" t="s">
        <v>3134</v>
      </c>
      <c r="AO187" s="21">
        <v>45901</v>
      </c>
      <c r="AQ187" s="12">
        <v>32</v>
      </c>
      <c r="AR187" t="b">
        <v>0</v>
      </c>
      <c r="AS187" t="b">
        <v>0</v>
      </c>
      <c r="AT187" s="12" t="s">
        <v>1574</v>
      </c>
    </row>
    <row r="188" spans="1:46" x14ac:dyDescent="0.3">
      <c r="A188" s="57" t="str">
        <f t="shared" si="6"/>
        <v>SBL9107575291075752BHLTASTA45901</v>
      </c>
      <c r="B188" s="57">
        <f>COUNTIF(CONT_SUP[Unique Contract],CONT_SUP[[#This Row],[Unique Contract]])-1</f>
        <v>0</v>
      </c>
      <c r="C188" s="57">
        <f>IFERROR(IF(FIND(CONT_SUP[[#This Row],[SchoolCode]],_xlfn.XLOOKUP(CONT_SUP[[#This Row],[StaffMemberCode]],MEMBERS[StaffMemberCode],MEMBERS[SchoolCodes]))&gt;0,0,1),1)</f>
        <v>0</v>
      </c>
      <c r="D188" s="57" cm="1">
        <f t="array" ref="D188">IF(_xlfn.XLOOKUP(CONT_SUP[[#This Row],[StaffRoleCode]],ROLES[StaffRoleCode],ROLES[AvailableToAllSchools],1,0,)=TRUE,0,IF(ISERROR(FIND(CONT_SUP[[#This Row],[SchoolCode]],_xlfn.TEXTJOIN(",",TRUE,_xlfn.UNIQUE(IF(ROLES[StaffRoleCode]=CONT_SUP[[#This Row],[StaffRoleCode]],ROLES[SchoolCodes],""))))),1,0))</f>
        <v>0</v>
      </c>
      <c r="E188" s="57" cm="1">
        <f t="array" ref="E18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88" s="57" cm="1">
        <f t="array" ref="F188">IF(_xlfn.XLOOKUP(CONT_SUP[[#This Row],[PayScaleCode]],PAYSCALES[PayScaleCode],PAYSCALES[AvailableToAllSchools],1,0,)=TRUE,0,IF(ISERROR(FIND(CONT_SUP[[#This Row],[SchoolCode]],_xlfn.TEXTJOIN(",",TRUE,_xlfn.UNIQUE(IF(PAYSCALES[PayScaleCode]=CONT_SUP[[#This Row],[PayScaleCode]],PAYSCALES[SchoolCodes],""))))),1,0))</f>
        <v>0</v>
      </c>
      <c r="G188" s="57">
        <f>IF(_xlfn.XLOOKUP(CONT_SUP[[#This Row],[PayScaleGradeCode]],GRADES[PayScaleGradeCode],GRADES[AvailableToAllSchools])=TRUE,0,IFERROR(IF(FIND(CONT_SUP[[#This Row],[SchoolCode]],_xlfn.XLOOKUP(CONT_SUP[[#This Row],[PayScaleGradeCode]],GRADES[PayScaleGradeCode],GRADES[SchoolCodes]))&gt;=1,0,1),1))</f>
        <v>0</v>
      </c>
      <c r="H188" s="57">
        <f>IF(ISERROR(IF((_xlfn.XLOOKUP(CONT_SUP[[#This Row],[PayScaleGradeCode]],GRADES[PayScaleGradeCode],GRADES[PayScaleCode])=CONT_SUP[[#This Row],[PayScaleCode]]),0,1)),1,0)</f>
        <v>0</v>
      </c>
      <c r="I188" s="57" cm="1">
        <f t="array" ref="I188">IF(ISERROR(FIND(CONT_SUP[[#This Row],[PayScalePointCode]],_xlfn.TEXTJOIN(",",TRUE,IF(PSPOINTS[PayScaleCode]=CONT_SUP[[#This Row],[PayScaleCode]],PSPOINTS[PayScalePointCode])))),1,0)</f>
        <v>0</v>
      </c>
      <c r="J188" s="57" cm="1">
        <f t="array" ref="J18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88" s="57">
        <f>IF(_xlfn.XLOOKUP(CONT_SUP[[#This Row],[PayScalePointCode]],PSPOINTS[PayScalePointCode],PSPOINTS[PayScalePointEnabled])=TRUE,0,1)</f>
        <v>0</v>
      </c>
      <c r="L188" s="57" cm="1">
        <f t="array" ref="L188">IF(_xlfn.XLOOKUP(CONT_SUP[[#This Row],[DepartmentCode]],DEPTS[DepartmentCode],DEPTS[AvailableToAllSchools],1,0,)=TRUE,0,IF(ISERROR(FIND(CONT_SUP[[#This Row],[SchoolCode]],_xlfn.TEXTJOIN(",",TRUE,_xlfn.UNIQUE(IF(DEPTS[DepartmentCode]=CONT_SUP[[#This Row],[DepartmentCode]],DEPTS[SchoolCodes],""))))),1,0))</f>
        <v>0</v>
      </c>
      <c r="M188" s="57">
        <f>IFERROR(IF(_xlfn.XLOOKUP(CONT_SUP[[#This Row],[SRG Gross]],FinanceCodesBudget[FinanceCode],FinanceCodesBudget[LedgerCode])=_xlfn.XLOOKUP(CONT_SUP[[#This Row],[DepartmentCode]],DEPTS[DepartmentCode],DEPTS[LedgerCode]),0,1),1)</f>
        <v>1</v>
      </c>
      <c r="N188" s="57" cm="1">
        <f t="array" ref="N188">IF(_xlfn.XLOOKUP(CONT_SUP[[#This Row],[PensionCode]],PENS[PensionCode],PENS[AvailableToAllSchools],1,0,)=TRUE,0,IF(ISERROR(FIND(CONT_SUP[[#This Row],[SchoolCode]],_xlfn.TEXTJOIN(",",TRUE,_xlfn.UNIQUE(IF(PENS[PensionCode]=CONT_SUP[[#This Row],[PensionCode]],PENS[SchoolCodes],""))))),1,0))</f>
        <v>0</v>
      </c>
      <c r="O188" s="57" cm="1">
        <f t="array" ref="O188">IF(_xlfn.XLOOKUP(CONT_SUP[[#This Row],[EquatedWeekPatternCode]],EQW[EquatedWeekPatternCode],EQW[AvailableToAllSchools],1,0,)=TRUE,0,IF(ISERROR(FIND(CONT_SUP[[#This Row],[SchoolCode]],_xlfn.TEXTJOIN(",",TRUE,_xlfn.UNIQUE(IF(EQW[EquatedWeekPatternCode]=CONT_SUP[[#This Row],[EquatedWeekPatternCode]],EQW[SchoolCodes],""))))),1,0))</f>
        <v>0</v>
      </c>
      <c r="P188" s="57">
        <f>1-COUNTIF(ContractTypes[Code],CONT_SUP[[#This Row],[ContractTypeCode]])</f>
        <v>0</v>
      </c>
      <c r="Q188" s="57">
        <f>IF(VLOOKUP(CONT_SUP[[#This Row],[StaffMemberCode]],MEMBERS[[StaffMemberCode]:[ServiceStartDate]],5,0)&gt;CONT_SUP[[#This Row],[DateFrom]],1,0)</f>
        <v>0</v>
      </c>
      <c r="R188" s="57">
        <f>IF(_xlfn.XLOOKUP(CONT_SUP[[#This Row],[StaffMemberCode]],MEMBERS[StaffMemberCode],MEMBERS[ServiceEndDate])="",0,IF(CONT_SUP[[#This Row],[DateTo]]="",1,IF(_xlfn.XLOOKUP(CONT_SUP[[#This Row],[StaffMemberCode]],MEMBERS[StaffMemberCode],MEMBERS[ServiceEndDate])&lt;CONT_SUP[[#This Row],[DateTo]],1,0)))</f>
        <v>0</v>
      </c>
      <c r="S188" s="57">
        <f>IF(ISBLANK(CONT_SUP[[#This Row],[DateTo]]),0,IF(CONT_SUP[[#This Row],[DateFrom]]=CONT_SUP[[#This Row],[DateTo]],0,IF(CONT_SUP[[#This Row],[DateFrom]]&lt;CONT_SUP[[#This Row],[DateTo]],0,1)))</f>
        <v>0</v>
      </c>
      <c r="T188" s="57" cm="1">
        <f t="array" aca="1" ref="T188" ca="1">IF(CELL("format",CONT_SUP[[#This Row],[DateFrom]])="D1",0,1)+IF(CELL("format",CONT_SUP[[#This Row],[DateTo]])="D1",0,1)</f>
        <v>0</v>
      </c>
      <c r="U188" s="57">
        <f>IF(OR(CONT_SUP[[#This Row],[MatEditOnly]]=TRUE,CONT_SUP[[#This Row],[MatEditOnly]]=FALSE),IF(OR(CONT_SUP[[#This Row],[NoIncrement]]=TRUE,CONT_SUP[[#This Row],[NoIncrement]]=FALSE),0,1),1)</f>
        <v>0</v>
      </c>
      <c r="V188" s="57">
        <f>IF(ISBLANK(CONT_SUP[[#This Row],[FundCode]])=TRUE,0,IF(COUNTIF(FUNDS[FundCode],CONT_SUP[[#This Row],[FundCode]])=1,0,1))</f>
        <v>0</v>
      </c>
      <c r="W188" s="57">
        <f>IF(LEN(CONT_SUP[[#This Row],[Notes]])&lt;4000,0,1)</f>
        <v>0</v>
      </c>
      <c r="X188" s="57">
        <f>IF(SUBSTITUTE(TEXT(CONT_SUP[[#This Row],[Reference]],10)," ","")=TEXT(CONT_SUP[[#This Row],[Reference]],10),0,1)</f>
        <v>0</v>
      </c>
      <c r="Y188" s="57">
        <f ca="1">SUM(CONT_SUP[[#This Row],[Duplicate Contract]:[Space in Code]])</f>
        <v>1</v>
      </c>
      <c r="AA188" s="12" t="s">
        <v>2200</v>
      </c>
      <c r="AB188" s="12">
        <v>91075752</v>
      </c>
      <c r="AC188" s="12" t="s">
        <v>4784</v>
      </c>
      <c r="AD188" s="57" t="str">
        <f>_xlfn.XLOOKUP(CONT_SUP[[#This Row],[StaffMemberCode]],StaffMembers!O:O,StaffMembers!R:R)</f>
        <v>Victoria Wright</v>
      </c>
      <c r="AE188" s="12" t="s">
        <v>1224</v>
      </c>
      <c r="AF188" s="57">
        <f>_xlfn.XLOOKUP(CONT_SUP[[#This Row],[SRG]],SRG[StaffRoleGroupCode],SRG[GrossSalaryFinanceCode])</f>
        <v>615100</v>
      </c>
      <c r="AG188" s="57" t="str">
        <f>_xlfn.XLOOKUP(CONT_SUP[[#This Row],[StaffRoleCode]],ROLES[StaffRoleCode],ROLES[StaffRoleGroupCode])</f>
        <v>TA</v>
      </c>
      <c r="AH188" s="57" t="str">
        <f>_xlfn.XLOOKUP(CONT_SUP[[#This Row],[StaffRoleCode]],ROLES[StaffRoleCode],ROLES[PayScaleCode])</f>
        <v>NJC_CHE</v>
      </c>
      <c r="AI188" s="12" t="s">
        <v>3125</v>
      </c>
      <c r="AJ188" s="12">
        <v>22</v>
      </c>
      <c r="AK188" s="12" t="s">
        <v>2497</v>
      </c>
      <c r="AM188" s="68" t="s">
        <v>3132</v>
      </c>
      <c r="AN188" s="12" t="s">
        <v>3134</v>
      </c>
      <c r="AO188" s="21">
        <v>45901</v>
      </c>
      <c r="AQ188" s="12">
        <v>12.5</v>
      </c>
      <c r="AR188" t="b">
        <v>0</v>
      </c>
      <c r="AS188" t="b">
        <v>0</v>
      </c>
      <c r="AT188" s="12" t="s">
        <v>1574</v>
      </c>
    </row>
    <row r="189" spans="1:46" x14ac:dyDescent="0.3">
      <c r="A189" s="57" t="str">
        <f t="shared" si="6"/>
        <v>ALS9107380691073806AHLTASTA45901</v>
      </c>
      <c r="B189" s="57">
        <f>COUNTIF(CONT_SUP[Unique Contract],CONT_SUP[[#This Row],[Unique Contract]])-1</f>
        <v>0</v>
      </c>
      <c r="C189" s="57">
        <f>IFERROR(IF(FIND(CONT_SUP[[#This Row],[SchoolCode]],_xlfn.XLOOKUP(CONT_SUP[[#This Row],[StaffMemberCode]],MEMBERS[StaffMemberCode],MEMBERS[SchoolCodes]))&gt;0,0,1),1)</f>
        <v>0</v>
      </c>
      <c r="D189" s="57" cm="1">
        <f t="array" ref="D189">IF(_xlfn.XLOOKUP(CONT_SUP[[#This Row],[StaffRoleCode]],ROLES[StaffRoleCode],ROLES[AvailableToAllSchools],1,0,)=TRUE,0,IF(ISERROR(FIND(CONT_SUP[[#This Row],[SchoolCode]],_xlfn.TEXTJOIN(",",TRUE,_xlfn.UNIQUE(IF(ROLES[StaffRoleCode]=CONT_SUP[[#This Row],[StaffRoleCode]],ROLES[SchoolCodes],""))))),1,0))</f>
        <v>0</v>
      </c>
      <c r="E189" s="57" cm="1">
        <f t="array" ref="E18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89" s="57" cm="1">
        <f t="array" ref="F189">IF(_xlfn.XLOOKUP(CONT_SUP[[#This Row],[PayScaleCode]],PAYSCALES[PayScaleCode],PAYSCALES[AvailableToAllSchools],1,0,)=TRUE,0,IF(ISERROR(FIND(CONT_SUP[[#This Row],[SchoolCode]],_xlfn.TEXTJOIN(",",TRUE,_xlfn.UNIQUE(IF(PAYSCALES[PayScaleCode]=CONT_SUP[[#This Row],[PayScaleCode]],PAYSCALES[SchoolCodes],""))))),1,0))</f>
        <v>0</v>
      </c>
      <c r="G189" s="57">
        <f>IF(_xlfn.XLOOKUP(CONT_SUP[[#This Row],[PayScaleGradeCode]],GRADES[PayScaleGradeCode],GRADES[AvailableToAllSchools])=TRUE,0,IFERROR(IF(FIND(CONT_SUP[[#This Row],[SchoolCode]],_xlfn.XLOOKUP(CONT_SUP[[#This Row],[PayScaleGradeCode]],GRADES[PayScaleGradeCode],GRADES[SchoolCodes]))&gt;=1,0,1),1))</f>
        <v>0</v>
      </c>
      <c r="H189" s="57">
        <f>IF(ISERROR(IF((_xlfn.XLOOKUP(CONT_SUP[[#This Row],[PayScaleGradeCode]],GRADES[PayScaleGradeCode],GRADES[PayScaleCode])=CONT_SUP[[#This Row],[PayScaleCode]]),0,1)),1,0)</f>
        <v>0</v>
      </c>
      <c r="I189" s="57" cm="1">
        <f t="array" ref="I189">IF(ISERROR(FIND(CONT_SUP[[#This Row],[PayScalePointCode]],_xlfn.TEXTJOIN(",",TRUE,IF(PSPOINTS[PayScaleCode]=CONT_SUP[[#This Row],[PayScaleCode]],PSPOINTS[PayScalePointCode])))),1,0)</f>
        <v>0</v>
      </c>
      <c r="J189" s="57" cm="1">
        <f t="array" ref="J18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89" s="57">
        <f>IF(_xlfn.XLOOKUP(CONT_SUP[[#This Row],[PayScalePointCode]],PSPOINTS[PayScalePointCode],PSPOINTS[PayScalePointEnabled])=TRUE,0,1)</f>
        <v>0</v>
      </c>
      <c r="L189" s="57" cm="1">
        <f t="array" ref="L189">IF(_xlfn.XLOOKUP(CONT_SUP[[#This Row],[DepartmentCode]],DEPTS[DepartmentCode],DEPTS[AvailableToAllSchools],1,0,)=TRUE,0,IF(ISERROR(FIND(CONT_SUP[[#This Row],[SchoolCode]],_xlfn.TEXTJOIN(",",TRUE,_xlfn.UNIQUE(IF(DEPTS[DepartmentCode]=CONT_SUP[[#This Row],[DepartmentCode]],DEPTS[SchoolCodes],""))))),1,0))</f>
        <v>0</v>
      </c>
      <c r="M189" s="57">
        <f>IFERROR(IF(_xlfn.XLOOKUP(CONT_SUP[[#This Row],[SRG Gross]],FinanceCodesBudget[FinanceCode],FinanceCodesBudget[LedgerCode])=_xlfn.XLOOKUP(CONT_SUP[[#This Row],[DepartmentCode]],DEPTS[DepartmentCode],DEPTS[LedgerCode]),0,1),1)</f>
        <v>1</v>
      </c>
      <c r="N189" s="57" cm="1">
        <f t="array" ref="N189">IF(_xlfn.XLOOKUP(CONT_SUP[[#This Row],[PensionCode]],PENS[PensionCode],PENS[AvailableToAllSchools],1,0,)=TRUE,0,IF(ISERROR(FIND(CONT_SUP[[#This Row],[SchoolCode]],_xlfn.TEXTJOIN(",",TRUE,_xlfn.UNIQUE(IF(PENS[PensionCode]=CONT_SUP[[#This Row],[PensionCode]],PENS[SchoolCodes],""))))),1,0))</f>
        <v>0</v>
      </c>
      <c r="O189" s="57" cm="1">
        <f t="array" ref="O189">IF(_xlfn.XLOOKUP(CONT_SUP[[#This Row],[EquatedWeekPatternCode]],EQW[EquatedWeekPatternCode],EQW[AvailableToAllSchools],1,0,)=TRUE,0,IF(ISERROR(FIND(CONT_SUP[[#This Row],[SchoolCode]],_xlfn.TEXTJOIN(",",TRUE,_xlfn.UNIQUE(IF(EQW[EquatedWeekPatternCode]=CONT_SUP[[#This Row],[EquatedWeekPatternCode]],EQW[SchoolCodes],""))))),1,0))</f>
        <v>0</v>
      </c>
      <c r="P189" s="57">
        <f>1-COUNTIF(ContractTypes[Code],CONT_SUP[[#This Row],[ContractTypeCode]])</f>
        <v>0</v>
      </c>
      <c r="Q189" s="57">
        <f>IF(VLOOKUP(CONT_SUP[[#This Row],[StaffMemberCode]],MEMBERS[[StaffMemberCode]:[ServiceStartDate]],5,0)&gt;CONT_SUP[[#This Row],[DateFrom]],1,0)</f>
        <v>0</v>
      </c>
      <c r="R189" s="57">
        <f>IF(_xlfn.XLOOKUP(CONT_SUP[[#This Row],[StaffMemberCode]],MEMBERS[StaffMemberCode],MEMBERS[ServiceEndDate])="",0,IF(CONT_SUP[[#This Row],[DateTo]]="",1,IF(_xlfn.XLOOKUP(CONT_SUP[[#This Row],[StaffMemberCode]],MEMBERS[StaffMemberCode],MEMBERS[ServiceEndDate])&lt;CONT_SUP[[#This Row],[DateTo]],1,0)))</f>
        <v>0</v>
      </c>
      <c r="S189" s="57">
        <f>IF(ISBLANK(CONT_SUP[[#This Row],[DateTo]]),0,IF(CONT_SUP[[#This Row],[DateFrom]]=CONT_SUP[[#This Row],[DateTo]],0,IF(CONT_SUP[[#This Row],[DateFrom]]&lt;CONT_SUP[[#This Row],[DateTo]],0,1)))</f>
        <v>0</v>
      </c>
      <c r="T189" s="57" cm="1">
        <f t="array" aca="1" ref="T189" ca="1">IF(CELL("format",CONT_SUP[[#This Row],[DateFrom]])="D1",0,1)+IF(CELL("format",CONT_SUP[[#This Row],[DateTo]])="D1",0,1)</f>
        <v>0</v>
      </c>
      <c r="U189" s="57">
        <f>IF(OR(CONT_SUP[[#This Row],[MatEditOnly]]=TRUE,CONT_SUP[[#This Row],[MatEditOnly]]=FALSE),IF(OR(CONT_SUP[[#This Row],[NoIncrement]]=TRUE,CONT_SUP[[#This Row],[NoIncrement]]=FALSE),0,1),1)</f>
        <v>0</v>
      </c>
      <c r="V189" s="57">
        <f>IF(ISBLANK(CONT_SUP[[#This Row],[FundCode]])=TRUE,0,IF(COUNTIF(FUNDS[FundCode],CONT_SUP[[#This Row],[FundCode]])=1,0,1))</f>
        <v>0</v>
      </c>
      <c r="W189" s="57">
        <f>IF(LEN(CONT_SUP[[#This Row],[Notes]])&lt;4000,0,1)</f>
        <v>0</v>
      </c>
      <c r="X189" s="57">
        <f>IF(SUBSTITUTE(TEXT(CONT_SUP[[#This Row],[Reference]],10)," ","")=TEXT(CONT_SUP[[#This Row],[Reference]],10),0,1)</f>
        <v>0</v>
      </c>
      <c r="Y189" s="57">
        <f ca="1">SUM(CONT_SUP[[#This Row],[Duplicate Contract]:[Space in Code]])</f>
        <v>1</v>
      </c>
      <c r="AA189" s="12" t="s">
        <v>2082</v>
      </c>
      <c r="AB189" s="12">
        <v>91073806</v>
      </c>
      <c r="AC189" s="12" t="s">
        <v>4785</v>
      </c>
      <c r="AD189" s="57" t="str">
        <f>_xlfn.XLOOKUP(CONT_SUP[[#This Row],[StaffMemberCode]],StaffMembers!O:O,StaffMembers!R:R)</f>
        <v>Zoe Martinez</v>
      </c>
      <c r="AE189" s="12" t="s">
        <v>1224</v>
      </c>
      <c r="AF189" s="57">
        <f>_xlfn.XLOOKUP(CONT_SUP[[#This Row],[SRG]],SRG[StaffRoleGroupCode],SRG[GrossSalaryFinanceCode])</f>
        <v>615100</v>
      </c>
      <c r="AG189" s="57" t="str">
        <f>_xlfn.XLOOKUP(CONT_SUP[[#This Row],[StaffRoleCode]],ROLES[StaffRoleCode],ROLES[StaffRoleGroupCode])</f>
        <v>TA</v>
      </c>
      <c r="AH189" s="57" t="str">
        <f>_xlfn.XLOOKUP(CONT_SUP[[#This Row],[StaffRoleCode]],ROLES[StaffRoleCode],ROLES[PayScaleCode])</f>
        <v>NJC_CHE</v>
      </c>
      <c r="AI189" s="12" t="s">
        <v>3125</v>
      </c>
      <c r="AJ189" s="12">
        <v>21</v>
      </c>
      <c r="AK189" s="12" t="s">
        <v>2497</v>
      </c>
      <c r="AM189" s="68" t="s">
        <v>3132</v>
      </c>
      <c r="AN189" s="12" t="s">
        <v>3137</v>
      </c>
      <c r="AO189" s="21">
        <v>45901</v>
      </c>
      <c r="AQ189" s="12">
        <v>37</v>
      </c>
      <c r="AR189" t="b">
        <v>0</v>
      </c>
      <c r="AS189" t="b">
        <v>0</v>
      </c>
      <c r="AT189" s="12" t="s">
        <v>1574</v>
      </c>
    </row>
    <row r="190" spans="1:46" x14ac:dyDescent="0.3">
      <c r="A190" s="57" t="str">
        <f t="shared" si="6"/>
        <v>ALS9107378291073782BINC_OFFSTA45901</v>
      </c>
      <c r="B190" s="57">
        <f>COUNTIF(CONT_SUP[Unique Contract],CONT_SUP[[#This Row],[Unique Contract]])-1</f>
        <v>0</v>
      </c>
      <c r="C190" s="57">
        <f>IFERROR(IF(FIND(CONT_SUP[[#This Row],[SchoolCode]],_xlfn.XLOOKUP(CONT_SUP[[#This Row],[StaffMemberCode]],MEMBERS[StaffMemberCode],MEMBERS[SchoolCodes]))&gt;0,0,1),1)</f>
        <v>0</v>
      </c>
      <c r="D190" s="57" cm="1">
        <f t="array" ref="D190">IF(_xlfn.XLOOKUP(CONT_SUP[[#This Row],[StaffRoleCode]],ROLES[StaffRoleCode],ROLES[AvailableToAllSchools],1,0,)=TRUE,0,IF(ISERROR(FIND(CONT_SUP[[#This Row],[SchoolCode]],_xlfn.TEXTJOIN(",",TRUE,_xlfn.UNIQUE(IF(ROLES[StaffRoleCode]=CONT_SUP[[#This Row],[StaffRoleCode]],ROLES[SchoolCodes],""))))),1,0))</f>
        <v>0</v>
      </c>
      <c r="E190" s="57" cm="1">
        <f t="array" ref="E19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90" s="57" cm="1">
        <f t="array" ref="F190">IF(_xlfn.XLOOKUP(CONT_SUP[[#This Row],[PayScaleCode]],PAYSCALES[PayScaleCode],PAYSCALES[AvailableToAllSchools],1,0,)=TRUE,0,IF(ISERROR(FIND(CONT_SUP[[#This Row],[SchoolCode]],_xlfn.TEXTJOIN(",",TRUE,_xlfn.UNIQUE(IF(PAYSCALES[PayScaleCode]=CONT_SUP[[#This Row],[PayScaleCode]],PAYSCALES[SchoolCodes],""))))),1,0))</f>
        <v>0</v>
      </c>
      <c r="G190" s="57">
        <f>IF(_xlfn.XLOOKUP(CONT_SUP[[#This Row],[PayScaleGradeCode]],GRADES[PayScaleGradeCode],GRADES[AvailableToAllSchools])=TRUE,0,IFERROR(IF(FIND(CONT_SUP[[#This Row],[SchoolCode]],_xlfn.XLOOKUP(CONT_SUP[[#This Row],[PayScaleGradeCode]],GRADES[PayScaleGradeCode],GRADES[SchoolCodes]))&gt;=1,0,1),1))</f>
        <v>0</v>
      </c>
      <c r="H190" s="57">
        <f>IF(ISERROR(IF((_xlfn.XLOOKUP(CONT_SUP[[#This Row],[PayScaleGradeCode]],GRADES[PayScaleGradeCode],GRADES[PayScaleCode])=CONT_SUP[[#This Row],[PayScaleCode]]),0,1)),1,0)</f>
        <v>0</v>
      </c>
      <c r="I190" s="57" cm="1">
        <f t="array" ref="I190">IF(ISERROR(FIND(CONT_SUP[[#This Row],[PayScalePointCode]],_xlfn.TEXTJOIN(",",TRUE,IF(PSPOINTS[PayScaleCode]=CONT_SUP[[#This Row],[PayScaleCode]],PSPOINTS[PayScalePointCode])))),1,0)</f>
        <v>0</v>
      </c>
      <c r="J190" s="57" cm="1">
        <f t="array" ref="J19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90" s="57">
        <f>IF(_xlfn.XLOOKUP(CONT_SUP[[#This Row],[PayScalePointCode]],PSPOINTS[PayScalePointCode],PSPOINTS[PayScalePointEnabled])=TRUE,0,1)</f>
        <v>0</v>
      </c>
      <c r="L190" s="57" cm="1">
        <f t="array" ref="L190">IF(_xlfn.XLOOKUP(CONT_SUP[[#This Row],[DepartmentCode]],DEPTS[DepartmentCode],DEPTS[AvailableToAllSchools],1,0,)=TRUE,0,IF(ISERROR(FIND(CONT_SUP[[#This Row],[SchoolCode]],_xlfn.TEXTJOIN(",",TRUE,_xlfn.UNIQUE(IF(DEPTS[DepartmentCode]=CONT_SUP[[#This Row],[DepartmentCode]],DEPTS[SchoolCodes],""))))),1,0))</f>
        <v>0</v>
      </c>
      <c r="M190" s="57">
        <f>IFERROR(IF(_xlfn.XLOOKUP(CONT_SUP[[#This Row],[SRG Gross]],FinanceCodesBudget[FinanceCode],FinanceCodesBudget[LedgerCode])=_xlfn.XLOOKUP(CONT_SUP[[#This Row],[DepartmentCode]],DEPTS[DepartmentCode],DEPTS[LedgerCode]),0,1),1)</f>
        <v>1</v>
      </c>
      <c r="N190" s="57" cm="1">
        <f t="array" ref="N190">IF(_xlfn.XLOOKUP(CONT_SUP[[#This Row],[PensionCode]],PENS[PensionCode],PENS[AvailableToAllSchools],1,0,)=TRUE,0,IF(ISERROR(FIND(CONT_SUP[[#This Row],[SchoolCode]],_xlfn.TEXTJOIN(",",TRUE,_xlfn.UNIQUE(IF(PENS[PensionCode]=CONT_SUP[[#This Row],[PensionCode]],PENS[SchoolCodes],""))))),1,0))</f>
        <v>0</v>
      </c>
      <c r="O190" s="57" cm="1">
        <f t="array" ref="O190">IF(_xlfn.XLOOKUP(CONT_SUP[[#This Row],[EquatedWeekPatternCode]],EQW[EquatedWeekPatternCode],EQW[AvailableToAllSchools],1,0,)=TRUE,0,IF(ISERROR(FIND(CONT_SUP[[#This Row],[SchoolCode]],_xlfn.TEXTJOIN(",",TRUE,_xlfn.UNIQUE(IF(EQW[EquatedWeekPatternCode]=CONT_SUP[[#This Row],[EquatedWeekPatternCode]],EQW[SchoolCodes],""))))),1,0))</f>
        <v>0</v>
      </c>
      <c r="P190" s="57">
        <f>1-COUNTIF(ContractTypes[Code],CONT_SUP[[#This Row],[ContractTypeCode]])</f>
        <v>0</v>
      </c>
      <c r="Q190" s="57">
        <f>IF(VLOOKUP(CONT_SUP[[#This Row],[StaffMemberCode]],MEMBERS[[StaffMemberCode]:[ServiceStartDate]],5,0)&gt;CONT_SUP[[#This Row],[DateFrom]],1,0)</f>
        <v>0</v>
      </c>
      <c r="R190" s="57">
        <f>IF(_xlfn.XLOOKUP(CONT_SUP[[#This Row],[StaffMemberCode]],MEMBERS[StaffMemberCode],MEMBERS[ServiceEndDate])="",0,IF(CONT_SUP[[#This Row],[DateTo]]="",1,IF(_xlfn.XLOOKUP(CONT_SUP[[#This Row],[StaffMemberCode]],MEMBERS[StaffMemberCode],MEMBERS[ServiceEndDate])&lt;CONT_SUP[[#This Row],[DateTo]],1,0)))</f>
        <v>0</v>
      </c>
      <c r="S190" s="57">
        <f>IF(ISBLANK(CONT_SUP[[#This Row],[DateTo]]),0,IF(CONT_SUP[[#This Row],[DateFrom]]=CONT_SUP[[#This Row],[DateTo]],0,IF(CONT_SUP[[#This Row],[DateFrom]]&lt;CONT_SUP[[#This Row],[DateTo]],0,1)))</f>
        <v>0</v>
      </c>
      <c r="T190" s="57" cm="1">
        <f t="array" aca="1" ref="T190" ca="1">IF(CELL("format",CONT_SUP[[#This Row],[DateFrom]])="D1",0,1)+IF(CELL("format",CONT_SUP[[#This Row],[DateTo]])="D1",0,1)</f>
        <v>0</v>
      </c>
      <c r="U190" s="57">
        <f>IF(OR(CONT_SUP[[#This Row],[MatEditOnly]]=TRUE,CONT_SUP[[#This Row],[MatEditOnly]]=FALSE),IF(OR(CONT_SUP[[#This Row],[NoIncrement]]=TRUE,CONT_SUP[[#This Row],[NoIncrement]]=FALSE),0,1),1)</f>
        <v>0</v>
      </c>
      <c r="V190" s="57">
        <f>IF(ISBLANK(CONT_SUP[[#This Row],[FundCode]])=TRUE,0,IF(COUNTIF(FUNDS[FundCode],CONT_SUP[[#This Row],[FundCode]])=1,0,1))</f>
        <v>0</v>
      </c>
      <c r="W190" s="57">
        <f>IF(LEN(CONT_SUP[[#This Row],[Notes]])&lt;4000,0,1)</f>
        <v>0</v>
      </c>
      <c r="X190" s="57">
        <f>IF(SUBSTITUTE(TEXT(CONT_SUP[[#This Row],[Reference]],10)," ","")=TEXT(CONT_SUP[[#This Row],[Reference]],10),0,1)</f>
        <v>0</v>
      </c>
      <c r="Y190" s="57">
        <f ca="1">SUM(CONT_SUP[[#This Row],[Duplicate Contract]:[Space in Code]])</f>
        <v>1</v>
      </c>
      <c r="AA190" s="12" t="s">
        <v>2082</v>
      </c>
      <c r="AB190" s="12">
        <v>91073782</v>
      </c>
      <c r="AC190" s="12" t="s">
        <v>4786</v>
      </c>
      <c r="AD190" s="57" t="str">
        <f>_xlfn.XLOOKUP(CONT_SUP[[#This Row],[StaffMemberCode]],StaffMembers!O:O,StaffMembers!R:R)</f>
        <v>Christian Marper</v>
      </c>
      <c r="AE190" s="12" t="s">
        <v>4171</v>
      </c>
      <c r="AF190" s="57">
        <f>_xlfn.XLOOKUP(CONT_SUP[[#This Row],[SRG]],SRG[StaffRoleGroupCode],SRG[GrossSalaryFinanceCode])</f>
        <v>615100</v>
      </c>
      <c r="AG190" s="57" t="str">
        <f>_xlfn.XLOOKUP(CONT_SUP[[#This Row],[StaffRoleCode]],ROLES[StaffRoleCode],ROLES[StaffRoleGroupCode])</f>
        <v>TA</v>
      </c>
      <c r="AH190" s="57" t="str">
        <f>_xlfn.XLOOKUP(CONT_SUP[[#This Row],[StaffRoleCode]],ROLES[StaffRoleCode],ROLES[PayScaleCode])</f>
        <v>NJC_CHE</v>
      </c>
      <c r="AI190" s="12" t="s">
        <v>3124</v>
      </c>
      <c r="AJ190" s="12">
        <v>12</v>
      </c>
      <c r="AK190" s="12" t="s">
        <v>2497</v>
      </c>
      <c r="AM190" s="68" t="s">
        <v>3132</v>
      </c>
      <c r="AN190" s="12" t="s">
        <v>3135</v>
      </c>
      <c r="AO190" s="21">
        <v>45901</v>
      </c>
      <c r="AQ190" s="12">
        <v>37</v>
      </c>
      <c r="AR190" t="b">
        <v>0</v>
      </c>
      <c r="AS190" t="b">
        <v>0</v>
      </c>
      <c r="AT190" s="12" t="s">
        <v>1574</v>
      </c>
    </row>
    <row r="191" spans="1:46" x14ac:dyDescent="0.3">
      <c r="A191" s="57" t="str">
        <f t="shared" si="6"/>
        <v>HIG9107390291073902BSPO_COSTA45901</v>
      </c>
      <c r="B191" s="57">
        <f>COUNTIF(CONT_SUP[Unique Contract],CONT_SUP[[#This Row],[Unique Contract]])-1</f>
        <v>0</v>
      </c>
      <c r="C191" s="57">
        <f>IFERROR(IF(FIND(CONT_SUP[[#This Row],[SchoolCode]],_xlfn.XLOOKUP(CONT_SUP[[#This Row],[StaffMemberCode]],MEMBERS[StaffMemberCode],MEMBERS[SchoolCodes]))&gt;0,0,1),1)</f>
        <v>0</v>
      </c>
      <c r="D191" s="57" cm="1">
        <f t="array" ref="D191">IF(_xlfn.XLOOKUP(CONT_SUP[[#This Row],[StaffRoleCode]],ROLES[StaffRoleCode],ROLES[AvailableToAllSchools],1,0,)=TRUE,0,IF(ISERROR(FIND(CONT_SUP[[#This Row],[SchoolCode]],_xlfn.TEXTJOIN(",",TRUE,_xlfn.UNIQUE(IF(ROLES[StaffRoleCode]=CONT_SUP[[#This Row],[StaffRoleCode]],ROLES[SchoolCodes],""))))),1,0))</f>
        <v>0</v>
      </c>
      <c r="E191" s="57" cm="1">
        <f t="array" ref="E19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91" s="57" cm="1">
        <f t="array" ref="F191">IF(_xlfn.XLOOKUP(CONT_SUP[[#This Row],[PayScaleCode]],PAYSCALES[PayScaleCode],PAYSCALES[AvailableToAllSchools],1,0,)=TRUE,0,IF(ISERROR(FIND(CONT_SUP[[#This Row],[SchoolCode]],_xlfn.TEXTJOIN(",",TRUE,_xlfn.UNIQUE(IF(PAYSCALES[PayScaleCode]=CONT_SUP[[#This Row],[PayScaleCode]],PAYSCALES[SchoolCodes],""))))),1,0))</f>
        <v>0</v>
      </c>
      <c r="G191" s="57">
        <f>IF(_xlfn.XLOOKUP(CONT_SUP[[#This Row],[PayScaleGradeCode]],GRADES[PayScaleGradeCode],GRADES[AvailableToAllSchools])=TRUE,0,IFERROR(IF(FIND(CONT_SUP[[#This Row],[SchoolCode]],_xlfn.XLOOKUP(CONT_SUP[[#This Row],[PayScaleGradeCode]],GRADES[PayScaleGradeCode],GRADES[SchoolCodes]))&gt;=1,0,1),1))</f>
        <v>0</v>
      </c>
      <c r="H191" s="57">
        <f>IF(ISERROR(IF((_xlfn.XLOOKUP(CONT_SUP[[#This Row],[PayScaleGradeCode]],GRADES[PayScaleGradeCode],GRADES[PayScaleCode])=CONT_SUP[[#This Row],[PayScaleCode]]),0,1)),1,0)</f>
        <v>0</v>
      </c>
      <c r="I191" s="57" cm="1">
        <f t="array" ref="I191">IF(ISERROR(FIND(CONT_SUP[[#This Row],[PayScalePointCode]],_xlfn.TEXTJOIN(",",TRUE,IF(PSPOINTS[PayScaleCode]=CONT_SUP[[#This Row],[PayScaleCode]],PSPOINTS[PayScalePointCode])))),1,0)</f>
        <v>0</v>
      </c>
      <c r="J191" s="57" cm="1">
        <f t="array" ref="J19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91" s="57">
        <f>IF(_xlfn.XLOOKUP(CONT_SUP[[#This Row],[PayScalePointCode]],PSPOINTS[PayScalePointCode],PSPOINTS[PayScalePointEnabled])=TRUE,0,1)</f>
        <v>0</v>
      </c>
      <c r="L191" s="57" cm="1">
        <f t="array" ref="L191">IF(_xlfn.XLOOKUP(CONT_SUP[[#This Row],[DepartmentCode]],DEPTS[DepartmentCode],DEPTS[AvailableToAllSchools],1,0,)=TRUE,0,IF(ISERROR(FIND(CONT_SUP[[#This Row],[SchoolCode]],_xlfn.TEXTJOIN(",",TRUE,_xlfn.UNIQUE(IF(DEPTS[DepartmentCode]=CONT_SUP[[#This Row],[DepartmentCode]],DEPTS[SchoolCodes],""))))),1,0))</f>
        <v>0</v>
      </c>
      <c r="M191" s="57">
        <f>IFERROR(IF(_xlfn.XLOOKUP(CONT_SUP[[#This Row],[SRG Gross]],FinanceCodesBudget[FinanceCode],FinanceCodesBudget[LedgerCode])=_xlfn.XLOOKUP(CONT_SUP[[#This Row],[DepartmentCode]],DEPTS[DepartmentCode],DEPTS[LedgerCode]),0,1),1)</f>
        <v>1</v>
      </c>
      <c r="N191" s="57" cm="1">
        <f t="array" ref="N191">IF(_xlfn.XLOOKUP(CONT_SUP[[#This Row],[PensionCode]],PENS[PensionCode],PENS[AvailableToAllSchools],1,0,)=TRUE,0,IF(ISERROR(FIND(CONT_SUP[[#This Row],[SchoolCode]],_xlfn.TEXTJOIN(",",TRUE,_xlfn.UNIQUE(IF(PENS[PensionCode]=CONT_SUP[[#This Row],[PensionCode]],PENS[SchoolCodes],""))))),1,0))</f>
        <v>0</v>
      </c>
      <c r="O191" s="57" cm="1">
        <f t="array" ref="O191">IF(_xlfn.XLOOKUP(CONT_SUP[[#This Row],[EquatedWeekPatternCode]],EQW[EquatedWeekPatternCode],EQW[AvailableToAllSchools],1,0,)=TRUE,0,IF(ISERROR(FIND(CONT_SUP[[#This Row],[SchoolCode]],_xlfn.TEXTJOIN(",",TRUE,_xlfn.UNIQUE(IF(EQW[EquatedWeekPatternCode]=CONT_SUP[[#This Row],[EquatedWeekPatternCode]],EQW[SchoolCodes],""))))),1,0))</f>
        <v>0</v>
      </c>
      <c r="P191" s="57">
        <f>1-COUNTIF(ContractTypes[Code],CONT_SUP[[#This Row],[ContractTypeCode]])</f>
        <v>0</v>
      </c>
      <c r="Q191" s="57">
        <f>IF(VLOOKUP(CONT_SUP[[#This Row],[StaffMemberCode]],MEMBERS[[StaffMemberCode]:[ServiceStartDate]],5,0)&gt;CONT_SUP[[#This Row],[DateFrom]],1,0)</f>
        <v>0</v>
      </c>
      <c r="R191" s="57">
        <f>IF(_xlfn.XLOOKUP(CONT_SUP[[#This Row],[StaffMemberCode]],MEMBERS[StaffMemberCode],MEMBERS[ServiceEndDate])="",0,IF(CONT_SUP[[#This Row],[DateTo]]="",1,IF(_xlfn.XLOOKUP(CONT_SUP[[#This Row],[StaffMemberCode]],MEMBERS[StaffMemberCode],MEMBERS[ServiceEndDate])&lt;CONT_SUP[[#This Row],[DateTo]],1,0)))</f>
        <v>0</v>
      </c>
      <c r="S191" s="57">
        <f>IF(ISBLANK(CONT_SUP[[#This Row],[DateTo]]),0,IF(CONT_SUP[[#This Row],[DateFrom]]=CONT_SUP[[#This Row],[DateTo]],0,IF(CONT_SUP[[#This Row],[DateFrom]]&lt;CONT_SUP[[#This Row],[DateTo]],0,1)))</f>
        <v>0</v>
      </c>
      <c r="T191" s="57" cm="1">
        <f t="array" aca="1" ref="T191" ca="1">IF(CELL("format",CONT_SUP[[#This Row],[DateFrom]])="D1",0,1)+IF(CELL("format",CONT_SUP[[#This Row],[DateTo]])="D1",0,1)</f>
        <v>0</v>
      </c>
      <c r="U191" s="57">
        <f>IF(OR(CONT_SUP[[#This Row],[MatEditOnly]]=TRUE,CONT_SUP[[#This Row],[MatEditOnly]]=FALSE),IF(OR(CONT_SUP[[#This Row],[NoIncrement]]=TRUE,CONT_SUP[[#This Row],[NoIncrement]]=FALSE),0,1),1)</f>
        <v>0</v>
      </c>
      <c r="V191" s="57">
        <f>IF(ISBLANK(CONT_SUP[[#This Row],[FundCode]])=TRUE,0,IF(COUNTIF(FUNDS[FundCode],CONT_SUP[[#This Row],[FundCode]])=1,0,1))</f>
        <v>0</v>
      </c>
      <c r="W191" s="57">
        <f>IF(LEN(CONT_SUP[[#This Row],[Notes]])&lt;4000,0,1)</f>
        <v>0</v>
      </c>
      <c r="X191" s="57">
        <f>IF(SUBSTITUTE(TEXT(CONT_SUP[[#This Row],[Reference]],10)," ","")=TEXT(CONT_SUP[[#This Row],[Reference]],10),0,1)</f>
        <v>0</v>
      </c>
      <c r="Y191" s="57">
        <f ca="1">SUM(CONT_SUP[[#This Row],[Duplicate Contract]:[Space in Code]])</f>
        <v>1</v>
      </c>
      <c r="AA191" s="12" t="s">
        <v>2266</v>
      </c>
      <c r="AB191" s="12">
        <v>91073902</v>
      </c>
      <c r="AC191" s="12" t="s">
        <v>4787</v>
      </c>
      <c r="AD191" s="57" t="str">
        <f>_xlfn.XLOOKUP(CONT_SUP[[#This Row],[StaffMemberCode]],StaffMembers!O:O,StaffMembers!R:R)</f>
        <v>Myles Hocknell</v>
      </c>
      <c r="AE191" s="12" t="s">
        <v>4175</v>
      </c>
      <c r="AF191" s="57">
        <f>_xlfn.XLOOKUP(CONT_SUP[[#This Row],[SRG]],SRG[StaffRoleGroupCode],SRG[GrossSalaryFinanceCode])</f>
        <v>615100</v>
      </c>
      <c r="AG191" s="57" t="str">
        <f>_xlfn.XLOOKUP(CONT_SUP[[#This Row],[StaffRoleCode]],ROLES[StaffRoleCode],ROLES[StaffRoleGroupCode])</f>
        <v>TA</v>
      </c>
      <c r="AH191" s="57" t="str">
        <f>_xlfn.XLOOKUP(CONT_SUP[[#This Row],[StaffRoleCode]],ROLES[StaffRoleCode],ROLES[PayScaleCode])</f>
        <v>NJC_CHE</v>
      </c>
      <c r="AI191" s="12" t="s">
        <v>3123</v>
      </c>
      <c r="AJ191" s="12">
        <v>8</v>
      </c>
      <c r="AK191" s="12" t="s">
        <v>2497</v>
      </c>
      <c r="AM191" s="68" t="s">
        <v>3132</v>
      </c>
      <c r="AN191" s="12" t="s">
        <v>3134</v>
      </c>
      <c r="AO191" s="21">
        <v>45901</v>
      </c>
      <c r="AQ191" s="12">
        <v>15.5</v>
      </c>
      <c r="AR191" t="b">
        <v>0</v>
      </c>
      <c r="AS191" t="b">
        <v>0</v>
      </c>
      <c r="AT191" s="12" t="s">
        <v>1575</v>
      </c>
    </row>
    <row r="192" spans="1:46" x14ac:dyDescent="0.3">
      <c r="A192" s="57" t="str">
        <f t="shared" si="6"/>
        <v>ALS9185004591850045ATASTA45901</v>
      </c>
      <c r="B192" s="57">
        <f>COUNTIF(CONT_SUP[Unique Contract],CONT_SUP[[#This Row],[Unique Contract]])-1</f>
        <v>0</v>
      </c>
      <c r="C192" s="57">
        <f>IFERROR(IF(FIND(CONT_SUP[[#This Row],[SchoolCode]],_xlfn.XLOOKUP(CONT_SUP[[#This Row],[StaffMemberCode]],MEMBERS[StaffMemberCode],MEMBERS[SchoolCodes]))&gt;0,0,1),1)</f>
        <v>0</v>
      </c>
      <c r="D192" s="57" cm="1">
        <f t="array" ref="D192">IF(_xlfn.XLOOKUP(CONT_SUP[[#This Row],[StaffRoleCode]],ROLES[StaffRoleCode],ROLES[AvailableToAllSchools],1,0,)=TRUE,0,IF(ISERROR(FIND(CONT_SUP[[#This Row],[SchoolCode]],_xlfn.TEXTJOIN(",",TRUE,_xlfn.UNIQUE(IF(ROLES[StaffRoleCode]=CONT_SUP[[#This Row],[StaffRoleCode]],ROLES[SchoolCodes],""))))),1,0))</f>
        <v>0</v>
      </c>
      <c r="E192" s="57" cm="1">
        <f t="array" ref="E19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92" s="57" cm="1">
        <f t="array" ref="F192">IF(_xlfn.XLOOKUP(CONT_SUP[[#This Row],[PayScaleCode]],PAYSCALES[PayScaleCode],PAYSCALES[AvailableToAllSchools],1,0,)=TRUE,0,IF(ISERROR(FIND(CONT_SUP[[#This Row],[SchoolCode]],_xlfn.TEXTJOIN(",",TRUE,_xlfn.UNIQUE(IF(PAYSCALES[PayScaleCode]=CONT_SUP[[#This Row],[PayScaleCode]],PAYSCALES[SchoolCodes],""))))),1,0))</f>
        <v>0</v>
      </c>
      <c r="G192" s="57">
        <f>IF(_xlfn.XLOOKUP(CONT_SUP[[#This Row],[PayScaleGradeCode]],GRADES[PayScaleGradeCode],GRADES[AvailableToAllSchools])=TRUE,0,IFERROR(IF(FIND(CONT_SUP[[#This Row],[SchoolCode]],_xlfn.XLOOKUP(CONT_SUP[[#This Row],[PayScaleGradeCode]],GRADES[PayScaleGradeCode],GRADES[SchoolCodes]))&gt;=1,0,1),1))</f>
        <v>0</v>
      </c>
      <c r="H192" s="57">
        <f>IF(ISERROR(IF((_xlfn.XLOOKUP(CONT_SUP[[#This Row],[PayScaleGradeCode]],GRADES[PayScaleGradeCode],GRADES[PayScaleCode])=CONT_SUP[[#This Row],[PayScaleCode]]),0,1)),1,0)</f>
        <v>0</v>
      </c>
      <c r="I192" s="57" cm="1">
        <f t="array" ref="I192">IF(ISERROR(FIND(CONT_SUP[[#This Row],[PayScalePointCode]],_xlfn.TEXTJOIN(",",TRUE,IF(PSPOINTS[PayScaleCode]=CONT_SUP[[#This Row],[PayScaleCode]],PSPOINTS[PayScalePointCode])))),1,0)</f>
        <v>0</v>
      </c>
      <c r="J192" s="57" cm="1">
        <f t="array" ref="J19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92" s="57">
        <f>IF(_xlfn.XLOOKUP(CONT_SUP[[#This Row],[PayScalePointCode]],PSPOINTS[PayScalePointCode],PSPOINTS[PayScalePointEnabled])=TRUE,0,1)</f>
        <v>0</v>
      </c>
      <c r="L192" s="57" cm="1">
        <f t="array" ref="L192">IF(_xlfn.XLOOKUP(CONT_SUP[[#This Row],[DepartmentCode]],DEPTS[DepartmentCode],DEPTS[AvailableToAllSchools],1,0,)=TRUE,0,IF(ISERROR(FIND(CONT_SUP[[#This Row],[SchoolCode]],_xlfn.TEXTJOIN(",",TRUE,_xlfn.UNIQUE(IF(DEPTS[DepartmentCode]=CONT_SUP[[#This Row],[DepartmentCode]],DEPTS[SchoolCodes],""))))),1,0))</f>
        <v>0</v>
      </c>
      <c r="M192" s="57">
        <f>IFERROR(IF(_xlfn.XLOOKUP(CONT_SUP[[#This Row],[SRG Gross]],FinanceCodesBudget[FinanceCode],FinanceCodesBudget[LedgerCode])=_xlfn.XLOOKUP(CONT_SUP[[#This Row],[DepartmentCode]],DEPTS[DepartmentCode],DEPTS[LedgerCode]),0,1),1)</f>
        <v>1</v>
      </c>
      <c r="N192" s="57" cm="1">
        <f t="array" ref="N192">IF(_xlfn.XLOOKUP(CONT_SUP[[#This Row],[PensionCode]],PENS[PensionCode],PENS[AvailableToAllSchools],1,0,)=TRUE,0,IF(ISERROR(FIND(CONT_SUP[[#This Row],[SchoolCode]],_xlfn.TEXTJOIN(",",TRUE,_xlfn.UNIQUE(IF(PENS[PensionCode]=CONT_SUP[[#This Row],[PensionCode]],PENS[SchoolCodes],""))))),1,0))</f>
        <v>0</v>
      </c>
      <c r="O192" s="57" cm="1">
        <f t="array" ref="O192">IF(_xlfn.XLOOKUP(CONT_SUP[[#This Row],[EquatedWeekPatternCode]],EQW[EquatedWeekPatternCode],EQW[AvailableToAllSchools],1,0,)=TRUE,0,IF(ISERROR(FIND(CONT_SUP[[#This Row],[SchoolCode]],_xlfn.TEXTJOIN(",",TRUE,_xlfn.UNIQUE(IF(EQW[EquatedWeekPatternCode]=CONT_SUP[[#This Row],[EquatedWeekPatternCode]],EQW[SchoolCodes],""))))),1,0))</f>
        <v>0</v>
      </c>
      <c r="P192" s="57">
        <f>1-COUNTIF(ContractTypes[Code],CONT_SUP[[#This Row],[ContractTypeCode]])</f>
        <v>0</v>
      </c>
      <c r="Q192" s="57">
        <f>IF(VLOOKUP(CONT_SUP[[#This Row],[StaffMemberCode]],MEMBERS[[StaffMemberCode]:[ServiceStartDate]],5,0)&gt;CONT_SUP[[#This Row],[DateFrom]],1,0)</f>
        <v>0</v>
      </c>
      <c r="R192" s="57">
        <f>IF(_xlfn.XLOOKUP(CONT_SUP[[#This Row],[StaffMemberCode]],MEMBERS[StaffMemberCode],MEMBERS[ServiceEndDate])="",0,IF(CONT_SUP[[#This Row],[DateTo]]="",1,IF(_xlfn.XLOOKUP(CONT_SUP[[#This Row],[StaffMemberCode]],MEMBERS[StaffMemberCode],MEMBERS[ServiceEndDate])&lt;CONT_SUP[[#This Row],[DateTo]],1,0)))</f>
        <v>0</v>
      </c>
      <c r="S192" s="57">
        <f>IF(ISBLANK(CONT_SUP[[#This Row],[DateTo]]),0,IF(CONT_SUP[[#This Row],[DateFrom]]=CONT_SUP[[#This Row],[DateTo]],0,IF(CONT_SUP[[#This Row],[DateFrom]]&lt;CONT_SUP[[#This Row],[DateTo]],0,1)))</f>
        <v>0</v>
      </c>
      <c r="T192" s="57" cm="1">
        <f t="array" aca="1" ref="T192" ca="1">IF(CELL("format",CONT_SUP[[#This Row],[DateFrom]])="D1",0,1)+IF(CELL("format",CONT_SUP[[#This Row],[DateTo]])="D1",0,1)</f>
        <v>0</v>
      </c>
      <c r="U192" s="57">
        <f>IF(OR(CONT_SUP[[#This Row],[MatEditOnly]]=TRUE,CONT_SUP[[#This Row],[MatEditOnly]]=FALSE),IF(OR(CONT_SUP[[#This Row],[NoIncrement]]=TRUE,CONT_SUP[[#This Row],[NoIncrement]]=FALSE),0,1),1)</f>
        <v>0</v>
      </c>
      <c r="V192" s="57">
        <f>IF(ISBLANK(CONT_SUP[[#This Row],[FundCode]])=TRUE,0,IF(COUNTIF(FUNDS[FundCode],CONT_SUP[[#This Row],[FundCode]])=1,0,1))</f>
        <v>0</v>
      </c>
      <c r="W192" s="57">
        <f>IF(LEN(CONT_SUP[[#This Row],[Notes]])&lt;4000,0,1)</f>
        <v>0</v>
      </c>
      <c r="X192" s="57">
        <f>IF(SUBSTITUTE(TEXT(CONT_SUP[[#This Row],[Reference]],10)," ","")=TEXT(CONT_SUP[[#This Row],[Reference]],10),0,1)</f>
        <v>0</v>
      </c>
      <c r="Y192" s="57">
        <f ca="1">SUM(CONT_SUP[[#This Row],[Duplicate Contract]:[Space in Code]])</f>
        <v>1</v>
      </c>
      <c r="AA192" s="12" t="s">
        <v>2082</v>
      </c>
      <c r="AB192" s="12">
        <v>91850045</v>
      </c>
      <c r="AC192" s="12" t="s">
        <v>4788</v>
      </c>
      <c r="AD192" s="57" t="str">
        <f>_xlfn.XLOOKUP(CONT_SUP[[#This Row],[StaffMemberCode]],StaffMembers!O:O,StaffMembers!R:R)</f>
        <v>Amelie Bennett</v>
      </c>
      <c r="AE192" s="12" t="s">
        <v>1180</v>
      </c>
      <c r="AF192" s="57">
        <f>_xlfn.XLOOKUP(CONT_SUP[[#This Row],[SRG]],SRG[StaffRoleGroupCode],SRG[GrossSalaryFinanceCode])</f>
        <v>615100</v>
      </c>
      <c r="AG192" s="57" t="str">
        <f>_xlfn.XLOOKUP(CONT_SUP[[#This Row],[StaffRoleCode]],ROLES[StaffRoleCode],ROLES[StaffRoleGroupCode])</f>
        <v>TA</v>
      </c>
      <c r="AH192" s="57" t="str">
        <f>_xlfn.XLOOKUP(CONT_SUP[[#This Row],[StaffRoleCode]],ROLES[StaffRoleCode],ROLES[PayScaleCode])</f>
        <v>NJC_CHE</v>
      </c>
      <c r="AI192" s="12" t="s">
        <v>3122</v>
      </c>
      <c r="AJ192" s="12">
        <v>5</v>
      </c>
      <c r="AK192" s="12" t="s">
        <v>2497</v>
      </c>
      <c r="AM192" s="68" t="s">
        <v>3132</v>
      </c>
      <c r="AN192" s="12" t="s">
        <v>3135</v>
      </c>
      <c r="AO192" s="21">
        <v>45901</v>
      </c>
      <c r="AQ192" s="12">
        <v>31.25</v>
      </c>
      <c r="AR192" t="b">
        <v>0</v>
      </c>
      <c r="AS192" t="b">
        <v>0</v>
      </c>
      <c r="AT192" s="12" t="s">
        <v>1575</v>
      </c>
    </row>
    <row r="193" spans="1:46" x14ac:dyDescent="0.3">
      <c r="A193" s="57" t="str">
        <f t="shared" si="6"/>
        <v>BLS9132371491323714ATASTA45901</v>
      </c>
      <c r="B193" s="57">
        <f>COUNTIF(CONT_SUP[Unique Contract],CONT_SUP[[#This Row],[Unique Contract]])-1</f>
        <v>0</v>
      </c>
      <c r="C193" s="57">
        <f>IFERROR(IF(FIND(CONT_SUP[[#This Row],[SchoolCode]],_xlfn.XLOOKUP(CONT_SUP[[#This Row],[StaffMemberCode]],MEMBERS[StaffMemberCode],MEMBERS[SchoolCodes]))&gt;0,0,1),1)</f>
        <v>0</v>
      </c>
      <c r="D193" s="57" cm="1">
        <f t="array" ref="D193">IF(_xlfn.XLOOKUP(CONT_SUP[[#This Row],[StaffRoleCode]],ROLES[StaffRoleCode],ROLES[AvailableToAllSchools],1,0,)=TRUE,0,IF(ISERROR(FIND(CONT_SUP[[#This Row],[SchoolCode]],_xlfn.TEXTJOIN(",",TRUE,_xlfn.UNIQUE(IF(ROLES[StaffRoleCode]=CONT_SUP[[#This Row],[StaffRoleCode]],ROLES[SchoolCodes],""))))),1,0))</f>
        <v>0</v>
      </c>
      <c r="E193" s="57" cm="1">
        <f t="array" ref="E19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93" s="57" cm="1">
        <f t="array" ref="F193">IF(_xlfn.XLOOKUP(CONT_SUP[[#This Row],[PayScaleCode]],PAYSCALES[PayScaleCode],PAYSCALES[AvailableToAllSchools],1,0,)=TRUE,0,IF(ISERROR(FIND(CONT_SUP[[#This Row],[SchoolCode]],_xlfn.TEXTJOIN(",",TRUE,_xlfn.UNIQUE(IF(PAYSCALES[PayScaleCode]=CONT_SUP[[#This Row],[PayScaleCode]],PAYSCALES[SchoolCodes],""))))),1,0))</f>
        <v>0</v>
      </c>
      <c r="G193" s="57">
        <f>IF(_xlfn.XLOOKUP(CONT_SUP[[#This Row],[PayScaleGradeCode]],GRADES[PayScaleGradeCode],GRADES[AvailableToAllSchools])=TRUE,0,IFERROR(IF(FIND(CONT_SUP[[#This Row],[SchoolCode]],_xlfn.XLOOKUP(CONT_SUP[[#This Row],[PayScaleGradeCode]],GRADES[PayScaleGradeCode],GRADES[SchoolCodes]))&gt;=1,0,1),1))</f>
        <v>0</v>
      </c>
      <c r="H193" s="57">
        <f>IF(ISERROR(IF((_xlfn.XLOOKUP(CONT_SUP[[#This Row],[PayScaleGradeCode]],GRADES[PayScaleGradeCode],GRADES[PayScaleCode])=CONT_SUP[[#This Row],[PayScaleCode]]),0,1)),1,0)</f>
        <v>0</v>
      </c>
      <c r="I193" s="57" cm="1">
        <f t="array" ref="I193">IF(ISERROR(FIND(CONT_SUP[[#This Row],[PayScalePointCode]],_xlfn.TEXTJOIN(",",TRUE,IF(PSPOINTS[PayScaleCode]=CONT_SUP[[#This Row],[PayScaleCode]],PSPOINTS[PayScalePointCode])))),1,0)</f>
        <v>0</v>
      </c>
      <c r="J193" s="57" cm="1">
        <f t="array" ref="J19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93" s="57">
        <f>IF(_xlfn.XLOOKUP(CONT_SUP[[#This Row],[PayScalePointCode]],PSPOINTS[PayScalePointCode],PSPOINTS[PayScalePointEnabled])=TRUE,0,1)</f>
        <v>0</v>
      </c>
      <c r="L193" s="57" cm="1">
        <f t="array" ref="L193">IF(_xlfn.XLOOKUP(CONT_SUP[[#This Row],[DepartmentCode]],DEPTS[DepartmentCode],DEPTS[AvailableToAllSchools],1,0,)=TRUE,0,IF(ISERROR(FIND(CONT_SUP[[#This Row],[SchoolCode]],_xlfn.TEXTJOIN(",",TRUE,_xlfn.UNIQUE(IF(DEPTS[DepartmentCode]=CONT_SUP[[#This Row],[DepartmentCode]],DEPTS[SchoolCodes],""))))),1,0))</f>
        <v>0</v>
      </c>
      <c r="M193" s="57">
        <f>IFERROR(IF(_xlfn.XLOOKUP(CONT_SUP[[#This Row],[SRG Gross]],FinanceCodesBudget[FinanceCode],FinanceCodesBudget[LedgerCode])=_xlfn.XLOOKUP(CONT_SUP[[#This Row],[DepartmentCode]],DEPTS[DepartmentCode],DEPTS[LedgerCode]),0,1),1)</f>
        <v>1</v>
      </c>
      <c r="N193" s="57" cm="1">
        <f t="array" ref="N193">IF(_xlfn.XLOOKUP(CONT_SUP[[#This Row],[PensionCode]],PENS[PensionCode],PENS[AvailableToAllSchools],1,0,)=TRUE,0,IF(ISERROR(FIND(CONT_SUP[[#This Row],[SchoolCode]],_xlfn.TEXTJOIN(",",TRUE,_xlfn.UNIQUE(IF(PENS[PensionCode]=CONT_SUP[[#This Row],[PensionCode]],PENS[SchoolCodes],""))))),1,0))</f>
        <v>0</v>
      </c>
      <c r="O193" s="57" cm="1">
        <f t="array" ref="O193">IF(_xlfn.XLOOKUP(CONT_SUP[[#This Row],[EquatedWeekPatternCode]],EQW[EquatedWeekPatternCode],EQW[AvailableToAllSchools],1,0,)=TRUE,0,IF(ISERROR(FIND(CONT_SUP[[#This Row],[SchoolCode]],_xlfn.TEXTJOIN(",",TRUE,_xlfn.UNIQUE(IF(EQW[EquatedWeekPatternCode]=CONT_SUP[[#This Row],[EquatedWeekPatternCode]],EQW[SchoolCodes],""))))),1,0))</f>
        <v>0</v>
      </c>
      <c r="P193" s="57">
        <f>1-COUNTIF(ContractTypes[Code],CONT_SUP[[#This Row],[ContractTypeCode]])</f>
        <v>0</v>
      </c>
      <c r="Q193" s="57">
        <f>IF(VLOOKUP(CONT_SUP[[#This Row],[StaffMemberCode]],MEMBERS[[StaffMemberCode]:[ServiceStartDate]],5,0)&gt;CONT_SUP[[#This Row],[DateFrom]],1,0)</f>
        <v>0</v>
      </c>
      <c r="R193" s="57">
        <f>IF(_xlfn.XLOOKUP(CONT_SUP[[#This Row],[StaffMemberCode]],MEMBERS[StaffMemberCode],MEMBERS[ServiceEndDate])="",0,IF(CONT_SUP[[#This Row],[DateTo]]="",1,IF(_xlfn.XLOOKUP(CONT_SUP[[#This Row],[StaffMemberCode]],MEMBERS[StaffMemberCode],MEMBERS[ServiceEndDate])&lt;CONT_SUP[[#This Row],[DateTo]],1,0)))</f>
        <v>0</v>
      </c>
      <c r="S193" s="57">
        <f>IF(ISBLANK(CONT_SUP[[#This Row],[DateTo]]),0,IF(CONT_SUP[[#This Row],[DateFrom]]=CONT_SUP[[#This Row],[DateTo]],0,IF(CONT_SUP[[#This Row],[DateFrom]]&lt;CONT_SUP[[#This Row],[DateTo]],0,1)))</f>
        <v>0</v>
      </c>
      <c r="T193" s="57" cm="1">
        <f t="array" aca="1" ref="T193" ca="1">IF(CELL("format",CONT_SUP[[#This Row],[DateFrom]])="D1",0,1)+IF(CELL("format",CONT_SUP[[#This Row],[DateTo]])="D1",0,1)</f>
        <v>0</v>
      </c>
      <c r="U193" s="57">
        <f>IF(OR(CONT_SUP[[#This Row],[MatEditOnly]]=TRUE,CONT_SUP[[#This Row],[MatEditOnly]]=FALSE),IF(OR(CONT_SUP[[#This Row],[NoIncrement]]=TRUE,CONT_SUP[[#This Row],[NoIncrement]]=FALSE),0,1),1)</f>
        <v>0</v>
      </c>
      <c r="V193" s="57">
        <f>IF(ISBLANK(CONT_SUP[[#This Row],[FundCode]])=TRUE,0,IF(COUNTIF(FUNDS[FundCode],CONT_SUP[[#This Row],[FundCode]])=1,0,1))</f>
        <v>0</v>
      </c>
      <c r="W193" s="57">
        <f>IF(LEN(CONT_SUP[[#This Row],[Notes]])&lt;4000,0,1)</f>
        <v>0</v>
      </c>
      <c r="X193" s="57">
        <f>IF(SUBSTITUTE(TEXT(CONT_SUP[[#This Row],[Reference]],10)," ","")=TEXT(CONT_SUP[[#This Row],[Reference]],10),0,1)</f>
        <v>0</v>
      </c>
      <c r="Y193" s="57">
        <f ca="1">SUM(CONT_SUP[[#This Row],[Duplicate Contract]:[Space in Code]])</f>
        <v>1</v>
      </c>
      <c r="AA193" s="12" t="s">
        <v>2094</v>
      </c>
      <c r="AB193" s="12">
        <v>91323714</v>
      </c>
      <c r="AC193" s="12" t="s">
        <v>4789</v>
      </c>
      <c r="AD193" s="57" t="str">
        <f>_xlfn.XLOOKUP(CONT_SUP[[#This Row],[StaffMemberCode]],StaffMembers!O:O,StaffMembers!R:R)</f>
        <v>Amy Eastwood</v>
      </c>
      <c r="AE193" s="12" t="s">
        <v>1180</v>
      </c>
      <c r="AF193" s="57">
        <f>_xlfn.XLOOKUP(CONT_SUP[[#This Row],[SRG]],SRG[StaffRoleGroupCode],SRG[GrossSalaryFinanceCode])</f>
        <v>615100</v>
      </c>
      <c r="AG193" s="57" t="str">
        <f>_xlfn.XLOOKUP(CONT_SUP[[#This Row],[StaffRoleCode]],ROLES[StaffRoleCode],ROLES[StaffRoleGroupCode])</f>
        <v>TA</v>
      </c>
      <c r="AH193" s="57" t="str">
        <f>_xlfn.XLOOKUP(CONT_SUP[[#This Row],[StaffRoleCode]],ROLES[StaffRoleCode],ROLES[PayScaleCode])</f>
        <v>NJC_CHE</v>
      </c>
      <c r="AI193" s="12" t="s">
        <v>3122</v>
      </c>
      <c r="AJ193" s="12">
        <v>5</v>
      </c>
      <c r="AK193" s="12" t="s">
        <v>2497</v>
      </c>
      <c r="AM193" s="68" t="s">
        <v>3132</v>
      </c>
      <c r="AN193" s="12" t="s">
        <v>3134</v>
      </c>
      <c r="AO193" s="21">
        <v>45901</v>
      </c>
      <c r="AQ193" s="12">
        <v>31.25</v>
      </c>
      <c r="AR193" t="b">
        <v>0</v>
      </c>
      <c r="AS193" t="b">
        <v>0</v>
      </c>
      <c r="AT193" s="12" t="s">
        <v>1574</v>
      </c>
    </row>
    <row r="194" spans="1:46" x14ac:dyDescent="0.3">
      <c r="A194" s="57" t="str">
        <f t="shared" si="6"/>
        <v>HIG9107387691073876ATASTA45901</v>
      </c>
      <c r="B194" s="57">
        <f>COUNTIF(CONT_SUP[Unique Contract],CONT_SUP[[#This Row],[Unique Contract]])-1</f>
        <v>0</v>
      </c>
      <c r="C194" s="57">
        <f>IFERROR(IF(FIND(CONT_SUP[[#This Row],[SchoolCode]],_xlfn.XLOOKUP(CONT_SUP[[#This Row],[StaffMemberCode]],MEMBERS[StaffMemberCode],MEMBERS[SchoolCodes]))&gt;0,0,1),1)</f>
        <v>0</v>
      </c>
      <c r="D194" s="57" cm="1">
        <f t="array" ref="D194">IF(_xlfn.XLOOKUP(CONT_SUP[[#This Row],[StaffRoleCode]],ROLES[StaffRoleCode],ROLES[AvailableToAllSchools],1,0,)=TRUE,0,IF(ISERROR(FIND(CONT_SUP[[#This Row],[SchoolCode]],_xlfn.TEXTJOIN(",",TRUE,_xlfn.UNIQUE(IF(ROLES[StaffRoleCode]=CONT_SUP[[#This Row],[StaffRoleCode]],ROLES[SchoolCodes],""))))),1,0))</f>
        <v>0</v>
      </c>
      <c r="E194" s="57" cm="1">
        <f t="array" ref="E19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94" s="57" cm="1">
        <f t="array" ref="F194">IF(_xlfn.XLOOKUP(CONT_SUP[[#This Row],[PayScaleCode]],PAYSCALES[PayScaleCode],PAYSCALES[AvailableToAllSchools],1,0,)=TRUE,0,IF(ISERROR(FIND(CONT_SUP[[#This Row],[SchoolCode]],_xlfn.TEXTJOIN(",",TRUE,_xlfn.UNIQUE(IF(PAYSCALES[PayScaleCode]=CONT_SUP[[#This Row],[PayScaleCode]],PAYSCALES[SchoolCodes],""))))),1,0))</f>
        <v>0</v>
      </c>
      <c r="G194" s="57">
        <f>IF(_xlfn.XLOOKUP(CONT_SUP[[#This Row],[PayScaleGradeCode]],GRADES[PayScaleGradeCode],GRADES[AvailableToAllSchools])=TRUE,0,IFERROR(IF(FIND(CONT_SUP[[#This Row],[SchoolCode]],_xlfn.XLOOKUP(CONT_SUP[[#This Row],[PayScaleGradeCode]],GRADES[PayScaleGradeCode],GRADES[SchoolCodes]))&gt;=1,0,1),1))</f>
        <v>0</v>
      </c>
      <c r="H194" s="57">
        <f>IF(ISERROR(IF((_xlfn.XLOOKUP(CONT_SUP[[#This Row],[PayScaleGradeCode]],GRADES[PayScaleGradeCode],GRADES[PayScaleCode])=CONT_SUP[[#This Row],[PayScaleCode]]),0,1)),1,0)</f>
        <v>0</v>
      </c>
      <c r="I194" s="57" cm="1">
        <f t="array" ref="I194">IF(ISERROR(FIND(CONT_SUP[[#This Row],[PayScalePointCode]],_xlfn.TEXTJOIN(",",TRUE,IF(PSPOINTS[PayScaleCode]=CONT_SUP[[#This Row],[PayScaleCode]],PSPOINTS[PayScalePointCode])))),1,0)</f>
        <v>0</v>
      </c>
      <c r="J194" s="57" cm="1">
        <f t="array" ref="J19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94" s="57">
        <f>IF(_xlfn.XLOOKUP(CONT_SUP[[#This Row],[PayScalePointCode]],PSPOINTS[PayScalePointCode],PSPOINTS[PayScalePointEnabled])=TRUE,0,1)</f>
        <v>0</v>
      </c>
      <c r="L194" s="57" cm="1">
        <f t="array" ref="L194">IF(_xlfn.XLOOKUP(CONT_SUP[[#This Row],[DepartmentCode]],DEPTS[DepartmentCode],DEPTS[AvailableToAllSchools],1,0,)=TRUE,0,IF(ISERROR(FIND(CONT_SUP[[#This Row],[SchoolCode]],_xlfn.TEXTJOIN(",",TRUE,_xlfn.UNIQUE(IF(DEPTS[DepartmentCode]=CONT_SUP[[#This Row],[DepartmentCode]],DEPTS[SchoolCodes],""))))),1,0))</f>
        <v>0</v>
      </c>
      <c r="M194" s="57">
        <f>IFERROR(IF(_xlfn.XLOOKUP(CONT_SUP[[#This Row],[SRG Gross]],FinanceCodesBudget[FinanceCode],FinanceCodesBudget[LedgerCode])=_xlfn.XLOOKUP(CONT_SUP[[#This Row],[DepartmentCode]],DEPTS[DepartmentCode],DEPTS[LedgerCode]),0,1),1)</f>
        <v>1</v>
      </c>
      <c r="N194" s="57" cm="1">
        <f t="array" ref="N194">IF(_xlfn.XLOOKUP(CONT_SUP[[#This Row],[PensionCode]],PENS[PensionCode],PENS[AvailableToAllSchools],1,0,)=TRUE,0,IF(ISERROR(FIND(CONT_SUP[[#This Row],[SchoolCode]],_xlfn.TEXTJOIN(",",TRUE,_xlfn.UNIQUE(IF(PENS[PensionCode]=CONT_SUP[[#This Row],[PensionCode]],PENS[SchoolCodes],""))))),1,0))</f>
        <v>0</v>
      </c>
      <c r="O194" s="57" cm="1">
        <f t="array" ref="O194">IF(_xlfn.XLOOKUP(CONT_SUP[[#This Row],[EquatedWeekPatternCode]],EQW[EquatedWeekPatternCode],EQW[AvailableToAllSchools],1,0,)=TRUE,0,IF(ISERROR(FIND(CONT_SUP[[#This Row],[SchoolCode]],_xlfn.TEXTJOIN(",",TRUE,_xlfn.UNIQUE(IF(EQW[EquatedWeekPatternCode]=CONT_SUP[[#This Row],[EquatedWeekPatternCode]],EQW[SchoolCodes],""))))),1,0))</f>
        <v>0</v>
      </c>
      <c r="P194" s="57">
        <f>1-COUNTIF(ContractTypes[Code],CONT_SUP[[#This Row],[ContractTypeCode]])</f>
        <v>0</v>
      </c>
      <c r="Q194" s="57">
        <f>IF(VLOOKUP(CONT_SUP[[#This Row],[StaffMemberCode]],MEMBERS[[StaffMemberCode]:[ServiceStartDate]],5,0)&gt;CONT_SUP[[#This Row],[DateFrom]],1,0)</f>
        <v>0</v>
      </c>
      <c r="R194" s="57">
        <f>IF(_xlfn.XLOOKUP(CONT_SUP[[#This Row],[StaffMemberCode]],MEMBERS[StaffMemberCode],MEMBERS[ServiceEndDate])="",0,IF(CONT_SUP[[#This Row],[DateTo]]="",1,IF(_xlfn.XLOOKUP(CONT_SUP[[#This Row],[StaffMemberCode]],MEMBERS[StaffMemberCode],MEMBERS[ServiceEndDate])&lt;CONT_SUP[[#This Row],[DateTo]],1,0)))</f>
        <v>0</v>
      </c>
      <c r="S194" s="57">
        <f>IF(ISBLANK(CONT_SUP[[#This Row],[DateTo]]),0,IF(CONT_SUP[[#This Row],[DateFrom]]=CONT_SUP[[#This Row],[DateTo]],0,IF(CONT_SUP[[#This Row],[DateFrom]]&lt;CONT_SUP[[#This Row],[DateTo]],0,1)))</f>
        <v>0</v>
      </c>
      <c r="T194" s="57" cm="1">
        <f t="array" aca="1" ref="T194" ca="1">IF(CELL("format",CONT_SUP[[#This Row],[DateFrom]])="D1",0,1)+IF(CELL("format",CONT_SUP[[#This Row],[DateTo]])="D1",0,1)</f>
        <v>0</v>
      </c>
      <c r="U194" s="57">
        <f>IF(OR(CONT_SUP[[#This Row],[MatEditOnly]]=TRUE,CONT_SUP[[#This Row],[MatEditOnly]]=FALSE),IF(OR(CONT_SUP[[#This Row],[NoIncrement]]=TRUE,CONT_SUP[[#This Row],[NoIncrement]]=FALSE),0,1),1)</f>
        <v>0</v>
      </c>
      <c r="V194" s="57">
        <f>IF(ISBLANK(CONT_SUP[[#This Row],[FundCode]])=TRUE,0,IF(COUNTIF(FUNDS[FundCode],CONT_SUP[[#This Row],[FundCode]])=1,0,1))</f>
        <v>0</v>
      </c>
      <c r="W194" s="57">
        <f>IF(LEN(CONT_SUP[[#This Row],[Notes]])&lt;4000,0,1)</f>
        <v>0</v>
      </c>
      <c r="X194" s="57">
        <f>IF(SUBSTITUTE(TEXT(CONT_SUP[[#This Row],[Reference]],10)," ","")=TEXT(CONT_SUP[[#This Row],[Reference]],10),0,1)</f>
        <v>0</v>
      </c>
      <c r="Y194" s="57">
        <f ca="1">SUM(CONT_SUP[[#This Row],[Duplicate Contract]:[Space in Code]])</f>
        <v>1</v>
      </c>
      <c r="AA194" s="12" t="s">
        <v>2266</v>
      </c>
      <c r="AB194" s="12">
        <v>91073876</v>
      </c>
      <c r="AC194" s="12" t="s">
        <v>4790</v>
      </c>
      <c r="AD194" s="57" t="str">
        <f>_xlfn.XLOOKUP(CONT_SUP[[#This Row],[StaffMemberCode]],StaffMembers!O:O,StaffMembers!R:R)</f>
        <v>Andrea Flanders</v>
      </c>
      <c r="AE194" s="12" t="s">
        <v>1180</v>
      </c>
      <c r="AF194" s="57">
        <f>_xlfn.XLOOKUP(CONT_SUP[[#This Row],[SRG]],SRG[StaffRoleGroupCode],SRG[GrossSalaryFinanceCode])</f>
        <v>615100</v>
      </c>
      <c r="AG194" s="57" t="str">
        <f>_xlfn.XLOOKUP(CONT_SUP[[#This Row],[StaffRoleCode]],ROLES[StaffRoleCode],ROLES[StaffRoleGroupCode])</f>
        <v>TA</v>
      </c>
      <c r="AH194" s="57" t="str">
        <f>_xlfn.XLOOKUP(CONT_SUP[[#This Row],[StaffRoleCode]],ROLES[StaffRoleCode],ROLES[PayScaleCode])</f>
        <v>NJC_CHE</v>
      </c>
      <c r="AI194" s="12" t="s">
        <v>3123</v>
      </c>
      <c r="AJ194" s="12">
        <v>11</v>
      </c>
      <c r="AK194" s="12" t="s">
        <v>2497</v>
      </c>
      <c r="AM194" s="68" t="s">
        <v>3132</v>
      </c>
      <c r="AN194" s="12" t="s">
        <v>3135</v>
      </c>
      <c r="AO194" s="21">
        <v>45901</v>
      </c>
      <c r="AQ194" s="12">
        <v>18</v>
      </c>
      <c r="AR194" t="b">
        <v>0</v>
      </c>
      <c r="AS194" t="b">
        <v>0</v>
      </c>
      <c r="AT194" s="12" t="s">
        <v>1574</v>
      </c>
    </row>
    <row r="195" spans="1:46" x14ac:dyDescent="0.3">
      <c r="A195" s="57" t="str">
        <f t="shared" si="6"/>
        <v>ALS9107376491073764ATASTA45901</v>
      </c>
      <c r="B195" s="57">
        <f>COUNTIF(CONT_SUP[Unique Contract],CONT_SUP[[#This Row],[Unique Contract]])-1</f>
        <v>0</v>
      </c>
      <c r="C195" s="57">
        <f>IFERROR(IF(FIND(CONT_SUP[[#This Row],[SchoolCode]],_xlfn.XLOOKUP(CONT_SUP[[#This Row],[StaffMemberCode]],MEMBERS[StaffMemberCode],MEMBERS[SchoolCodes]))&gt;0,0,1),1)</f>
        <v>0</v>
      </c>
      <c r="D195" s="57" cm="1">
        <f t="array" ref="D195">IF(_xlfn.XLOOKUP(CONT_SUP[[#This Row],[StaffRoleCode]],ROLES[StaffRoleCode],ROLES[AvailableToAllSchools],1,0,)=TRUE,0,IF(ISERROR(FIND(CONT_SUP[[#This Row],[SchoolCode]],_xlfn.TEXTJOIN(",",TRUE,_xlfn.UNIQUE(IF(ROLES[StaffRoleCode]=CONT_SUP[[#This Row],[StaffRoleCode]],ROLES[SchoolCodes],""))))),1,0))</f>
        <v>0</v>
      </c>
      <c r="E195" s="57" cm="1">
        <f t="array" ref="E19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95" s="57" cm="1">
        <f t="array" ref="F195">IF(_xlfn.XLOOKUP(CONT_SUP[[#This Row],[PayScaleCode]],PAYSCALES[PayScaleCode],PAYSCALES[AvailableToAllSchools],1,0,)=TRUE,0,IF(ISERROR(FIND(CONT_SUP[[#This Row],[SchoolCode]],_xlfn.TEXTJOIN(",",TRUE,_xlfn.UNIQUE(IF(PAYSCALES[PayScaleCode]=CONT_SUP[[#This Row],[PayScaleCode]],PAYSCALES[SchoolCodes],""))))),1,0))</f>
        <v>0</v>
      </c>
      <c r="G195" s="57">
        <f>IF(_xlfn.XLOOKUP(CONT_SUP[[#This Row],[PayScaleGradeCode]],GRADES[PayScaleGradeCode],GRADES[AvailableToAllSchools])=TRUE,0,IFERROR(IF(FIND(CONT_SUP[[#This Row],[SchoolCode]],_xlfn.XLOOKUP(CONT_SUP[[#This Row],[PayScaleGradeCode]],GRADES[PayScaleGradeCode],GRADES[SchoolCodes]))&gt;=1,0,1),1))</f>
        <v>0</v>
      </c>
      <c r="H195" s="57">
        <f>IF(ISERROR(IF((_xlfn.XLOOKUP(CONT_SUP[[#This Row],[PayScaleGradeCode]],GRADES[PayScaleGradeCode],GRADES[PayScaleCode])=CONT_SUP[[#This Row],[PayScaleCode]]),0,1)),1,0)</f>
        <v>0</v>
      </c>
      <c r="I195" s="57" cm="1">
        <f t="array" ref="I195">IF(ISERROR(FIND(CONT_SUP[[#This Row],[PayScalePointCode]],_xlfn.TEXTJOIN(",",TRUE,IF(PSPOINTS[PayScaleCode]=CONT_SUP[[#This Row],[PayScaleCode]],PSPOINTS[PayScalePointCode])))),1,0)</f>
        <v>0</v>
      </c>
      <c r="J195" s="57" cm="1">
        <f t="array" ref="J19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95" s="57">
        <f>IF(_xlfn.XLOOKUP(CONT_SUP[[#This Row],[PayScalePointCode]],PSPOINTS[PayScalePointCode],PSPOINTS[PayScalePointEnabled])=TRUE,0,1)</f>
        <v>0</v>
      </c>
      <c r="L195" s="57" cm="1">
        <f t="array" ref="L195">IF(_xlfn.XLOOKUP(CONT_SUP[[#This Row],[DepartmentCode]],DEPTS[DepartmentCode],DEPTS[AvailableToAllSchools],1,0,)=TRUE,0,IF(ISERROR(FIND(CONT_SUP[[#This Row],[SchoolCode]],_xlfn.TEXTJOIN(",",TRUE,_xlfn.UNIQUE(IF(DEPTS[DepartmentCode]=CONT_SUP[[#This Row],[DepartmentCode]],DEPTS[SchoolCodes],""))))),1,0))</f>
        <v>0</v>
      </c>
      <c r="M195" s="57">
        <f>IFERROR(IF(_xlfn.XLOOKUP(CONT_SUP[[#This Row],[SRG Gross]],FinanceCodesBudget[FinanceCode],FinanceCodesBudget[LedgerCode])=_xlfn.XLOOKUP(CONT_SUP[[#This Row],[DepartmentCode]],DEPTS[DepartmentCode],DEPTS[LedgerCode]),0,1),1)</f>
        <v>1</v>
      </c>
      <c r="N195" s="57" cm="1">
        <f t="array" ref="N195">IF(_xlfn.XLOOKUP(CONT_SUP[[#This Row],[PensionCode]],PENS[PensionCode],PENS[AvailableToAllSchools],1,0,)=TRUE,0,IF(ISERROR(FIND(CONT_SUP[[#This Row],[SchoolCode]],_xlfn.TEXTJOIN(",",TRUE,_xlfn.UNIQUE(IF(PENS[PensionCode]=CONT_SUP[[#This Row],[PensionCode]],PENS[SchoolCodes],""))))),1,0))</f>
        <v>0</v>
      </c>
      <c r="O195" s="57" cm="1">
        <f t="array" ref="O195">IF(_xlfn.XLOOKUP(CONT_SUP[[#This Row],[EquatedWeekPatternCode]],EQW[EquatedWeekPatternCode],EQW[AvailableToAllSchools],1,0,)=TRUE,0,IF(ISERROR(FIND(CONT_SUP[[#This Row],[SchoolCode]],_xlfn.TEXTJOIN(",",TRUE,_xlfn.UNIQUE(IF(EQW[EquatedWeekPatternCode]=CONT_SUP[[#This Row],[EquatedWeekPatternCode]],EQW[SchoolCodes],""))))),1,0))</f>
        <v>0</v>
      </c>
      <c r="P195" s="57">
        <f>1-COUNTIF(ContractTypes[Code],CONT_SUP[[#This Row],[ContractTypeCode]])</f>
        <v>0</v>
      </c>
      <c r="Q195" s="57">
        <f>IF(VLOOKUP(CONT_SUP[[#This Row],[StaffMemberCode]],MEMBERS[[StaffMemberCode]:[ServiceStartDate]],5,0)&gt;CONT_SUP[[#This Row],[DateFrom]],1,0)</f>
        <v>0</v>
      </c>
      <c r="R195" s="57">
        <f>IF(_xlfn.XLOOKUP(CONT_SUP[[#This Row],[StaffMemberCode]],MEMBERS[StaffMemberCode],MEMBERS[ServiceEndDate])="",0,IF(CONT_SUP[[#This Row],[DateTo]]="",1,IF(_xlfn.XLOOKUP(CONT_SUP[[#This Row],[StaffMemberCode]],MEMBERS[StaffMemberCode],MEMBERS[ServiceEndDate])&lt;CONT_SUP[[#This Row],[DateTo]],1,0)))</f>
        <v>0</v>
      </c>
      <c r="S195" s="57">
        <f>IF(ISBLANK(CONT_SUP[[#This Row],[DateTo]]),0,IF(CONT_SUP[[#This Row],[DateFrom]]=CONT_SUP[[#This Row],[DateTo]],0,IF(CONT_SUP[[#This Row],[DateFrom]]&lt;CONT_SUP[[#This Row],[DateTo]],0,1)))</f>
        <v>0</v>
      </c>
      <c r="T195" s="57" cm="1">
        <f t="array" aca="1" ref="T195" ca="1">IF(CELL("format",CONT_SUP[[#This Row],[DateFrom]])="D1",0,1)+IF(CELL("format",CONT_SUP[[#This Row],[DateTo]])="D1",0,1)</f>
        <v>0</v>
      </c>
      <c r="U195" s="57">
        <f>IF(OR(CONT_SUP[[#This Row],[MatEditOnly]]=TRUE,CONT_SUP[[#This Row],[MatEditOnly]]=FALSE),IF(OR(CONT_SUP[[#This Row],[NoIncrement]]=TRUE,CONT_SUP[[#This Row],[NoIncrement]]=FALSE),0,1),1)</f>
        <v>0</v>
      </c>
      <c r="V195" s="57">
        <f>IF(ISBLANK(CONT_SUP[[#This Row],[FundCode]])=TRUE,0,IF(COUNTIF(FUNDS[FundCode],CONT_SUP[[#This Row],[FundCode]])=1,0,1))</f>
        <v>0</v>
      </c>
      <c r="W195" s="57">
        <f>IF(LEN(CONT_SUP[[#This Row],[Notes]])&lt;4000,0,1)</f>
        <v>0</v>
      </c>
      <c r="X195" s="57">
        <f>IF(SUBSTITUTE(TEXT(CONT_SUP[[#This Row],[Reference]],10)," ","")=TEXT(CONT_SUP[[#This Row],[Reference]],10),0,1)</f>
        <v>0</v>
      </c>
      <c r="Y195" s="57">
        <f ca="1">SUM(CONT_SUP[[#This Row],[Duplicate Contract]:[Space in Code]])</f>
        <v>1</v>
      </c>
      <c r="AA195" s="12" t="s">
        <v>2082</v>
      </c>
      <c r="AB195" s="12">
        <v>91073764</v>
      </c>
      <c r="AC195" s="12" t="s">
        <v>4791</v>
      </c>
      <c r="AD195" s="57" t="str">
        <f>_xlfn.XLOOKUP(CONT_SUP[[#This Row],[StaffMemberCode]],StaffMembers!O:O,StaffMembers!R:R)</f>
        <v>Angela Painter</v>
      </c>
      <c r="AE195" s="12" t="s">
        <v>1180</v>
      </c>
      <c r="AF195" s="57">
        <f>_xlfn.XLOOKUP(CONT_SUP[[#This Row],[SRG]],SRG[StaffRoleGroupCode],SRG[GrossSalaryFinanceCode])</f>
        <v>615100</v>
      </c>
      <c r="AG195" s="57" t="str">
        <f>_xlfn.XLOOKUP(CONT_SUP[[#This Row],[StaffRoleCode]],ROLES[StaffRoleCode],ROLES[StaffRoleGroupCode])</f>
        <v>TA</v>
      </c>
      <c r="AH195" s="57" t="str">
        <f>_xlfn.XLOOKUP(CONT_SUP[[#This Row],[StaffRoleCode]],ROLES[StaffRoleCode],ROLES[PayScaleCode])</f>
        <v>NJC_CHE</v>
      </c>
      <c r="AI195" s="12" t="s">
        <v>3123</v>
      </c>
      <c r="AJ195" s="12">
        <v>11</v>
      </c>
      <c r="AK195" s="12" t="s">
        <v>2497</v>
      </c>
      <c r="AM195" s="68" t="s">
        <v>3132</v>
      </c>
      <c r="AN195" s="12" t="s">
        <v>3135</v>
      </c>
      <c r="AO195" s="21">
        <v>45901</v>
      </c>
      <c r="AQ195" s="12">
        <v>31.25</v>
      </c>
      <c r="AR195" t="b">
        <v>0</v>
      </c>
      <c r="AS195" t="b">
        <v>0</v>
      </c>
      <c r="AT195" s="12" t="s">
        <v>1574</v>
      </c>
    </row>
    <row r="196" spans="1:46" x14ac:dyDescent="0.3">
      <c r="A196" s="57" t="str">
        <f t="shared" si="6"/>
        <v>WVP9107341891073418CTASTA45901</v>
      </c>
      <c r="B196" s="57">
        <f>COUNTIF(CONT_SUP[Unique Contract],CONT_SUP[[#This Row],[Unique Contract]])-1</f>
        <v>0</v>
      </c>
      <c r="C196" s="57">
        <f>IFERROR(IF(FIND(CONT_SUP[[#This Row],[SchoolCode]],_xlfn.XLOOKUP(CONT_SUP[[#This Row],[StaffMemberCode]],MEMBERS[StaffMemberCode],MEMBERS[SchoolCodes]))&gt;0,0,1),1)</f>
        <v>0</v>
      </c>
      <c r="D196" s="57" cm="1">
        <f t="array" ref="D196">IF(_xlfn.XLOOKUP(CONT_SUP[[#This Row],[StaffRoleCode]],ROLES[StaffRoleCode],ROLES[AvailableToAllSchools],1,0,)=TRUE,0,IF(ISERROR(FIND(CONT_SUP[[#This Row],[SchoolCode]],_xlfn.TEXTJOIN(",",TRUE,_xlfn.UNIQUE(IF(ROLES[StaffRoleCode]=CONT_SUP[[#This Row],[StaffRoleCode]],ROLES[SchoolCodes],""))))),1,0))</f>
        <v>0</v>
      </c>
      <c r="E196" s="57" cm="1">
        <f t="array" ref="E19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96" s="57" cm="1">
        <f t="array" ref="F196">IF(_xlfn.XLOOKUP(CONT_SUP[[#This Row],[PayScaleCode]],PAYSCALES[PayScaleCode],PAYSCALES[AvailableToAllSchools],1,0,)=TRUE,0,IF(ISERROR(FIND(CONT_SUP[[#This Row],[SchoolCode]],_xlfn.TEXTJOIN(",",TRUE,_xlfn.UNIQUE(IF(PAYSCALES[PayScaleCode]=CONT_SUP[[#This Row],[PayScaleCode]],PAYSCALES[SchoolCodes],""))))),1,0))</f>
        <v>0</v>
      </c>
      <c r="G196" s="57">
        <f>IF(_xlfn.XLOOKUP(CONT_SUP[[#This Row],[PayScaleGradeCode]],GRADES[PayScaleGradeCode],GRADES[AvailableToAllSchools])=TRUE,0,IFERROR(IF(FIND(CONT_SUP[[#This Row],[SchoolCode]],_xlfn.XLOOKUP(CONT_SUP[[#This Row],[PayScaleGradeCode]],GRADES[PayScaleGradeCode],GRADES[SchoolCodes]))&gt;=1,0,1),1))</f>
        <v>0</v>
      </c>
      <c r="H196" s="57">
        <f>IF(ISERROR(IF((_xlfn.XLOOKUP(CONT_SUP[[#This Row],[PayScaleGradeCode]],GRADES[PayScaleGradeCode],GRADES[PayScaleCode])=CONT_SUP[[#This Row],[PayScaleCode]]),0,1)),1,0)</f>
        <v>0</v>
      </c>
      <c r="I196" s="57" cm="1">
        <f t="array" ref="I196">IF(ISERROR(FIND(CONT_SUP[[#This Row],[PayScalePointCode]],_xlfn.TEXTJOIN(",",TRUE,IF(PSPOINTS[PayScaleCode]=CONT_SUP[[#This Row],[PayScaleCode]],PSPOINTS[PayScalePointCode])))),1,0)</f>
        <v>0</v>
      </c>
      <c r="J196" s="57" cm="1">
        <f t="array" ref="J19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96" s="57">
        <f>IF(_xlfn.XLOOKUP(CONT_SUP[[#This Row],[PayScalePointCode]],PSPOINTS[PayScalePointCode],PSPOINTS[PayScalePointEnabled])=TRUE,0,1)</f>
        <v>0</v>
      </c>
      <c r="L196" s="57" cm="1">
        <f t="array" ref="L196">IF(_xlfn.XLOOKUP(CONT_SUP[[#This Row],[DepartmentCode]],DEPTS[DepartmentCode],DEPTS[AvailableToAllSchools],1,0,)=TRUE,0,IF(ISERROR(FIND(CONT_SUP[[#This Row],[SchoolCode]],_xlfn.TEXTJOIN(",",TRUE,_xlfn.UNIQUE(IF(DEPTS[DepartmentCode]=CONT_SUP[[#This Row],[DepartmentCode]],DEPTS[SchoolCodes],""))))),1,0))</f>
        <v>0</v>
      </c>
      <c r="M196" s="57">
        <f>IFERROR(IF(_xlfn.XLOOKUP(CONT_SUP[[#This Row],[SRG Gross]],FinanceCodesBudget[FinanceCode],FinanceCodesBudget[LedgerCode])=_xlfn.XLOOKUP(CONT_SUP[[#This Row],[DepartmentCode]],DEPTS[DepartmentCode],DEPTS[LedgerCode]),0,1),1)</f>
        <v>1</v>
      </c>
      <c r="N196" s="57" cm="1">
        <f t="array" ref="N196">IF(_xlfn.XLOOKUP(CONT_SUP[[#This Row],[PensionCode]],PENS[PensionCode],PENS[AvailableToAllSchools],1,0,)=TRUE,0,IF(ISERROR(FIND(CONT_SUP[[#This Row],[SchoolCode]],_xlfn.TEXTJOIN(",",TRUE,_xlfn.UNIQUE(IF(PENS[PensionCode]=CONT_SUP[[#This Row],[PensionCode]],PENS[SchoolCodes],""))))),1,0))</f>
        <v>0</v>
      </c>
      <c r="O196" s="57" cm="1">
        <f t="array" ref="O196">IF(_xlfn.XLOOKUP(CONT_SUP[[#This Row],[EquatedWeekPatternCode]],EQW[EquatedWeekPatternCode],EQW[AvailableToAllSchools],1,0,)=TRUE,0,IF(ISERROR(FIND(CONT_SUP[[#This Row],[SchoolCode]],_xlfn.TEXTJOIN(",",TRUE,_xlfn.UNIQUE(IF(EQW[EquatedWeekPatternCode]=CONT_SUP[[#This Row],[EquatedWeekPatternCode]],EQW[SchoolCodes],""))))),1,0))</f>
        <v>0</v>
      </c>
      <c r="P196" s="57">
        <f>1-COUNTIF(ContractTypes[Code],CONT_SUP[[#This Row],[ContractTypeCode]])</f>
        <v>0</v>
      </c>
      <c r="Q196" s="57">
        <f>IF(VLOOKUP(CONT_SUP[[#This Row],[StaffMemberCode]],MEMBERS[[StaffMemberCode]:[ServiceStartDate]],5,0)&gt;CONT_SUP[[#This Row],[DateFrom]],1,0)</f>
        <v>0</v>
      </c>
      <c r="R196" s="57">
        <f>IF(_xlfn.XLOOKUP(CONT_SUP[[#This Row],[StaffMemberCode]],MEMBERS[StaffMemberCode],MEMBERS[ServiceEndDate])="",0,IF(CONT_SUP[[#This Row],[DateTo]]="",1,IF(_xlfn.XLOOKUP(CONT_SUP[[#This Row],[StaffMemberCode]],MEMBERS[StaffMemberCode],MEMBERS[ServiceEndDate])&lt;CONT_SUP[[#This Row],[DateTo]],1,0)))</f>
        <v>0</v>
      </c>
      <c r="S196" s="57">
        <f>IF(ISBLANK(CONT_SUP[[#This Row],[DateTo]]),0,IF(CONT_SUP[[#This Row],[DateFrom]]=CONT_SUP[[#This Row],[DateTo]],0,IF(CONT_SUP[[#This Row],[DateFrom]]&lt;CONT_SUP[[#This Row],[DateTo]],0,1)))</f>
        <v>0</v>
      </c>
      <c r="T196" s="57" cm="1">
        <f t="array" aca="1" ref="T196" ca="1">IF(CELL("format",CONT_SUP[[#This Row],[DateFrom]])="D1",0,1)+IF(CELL("format",CONT_SUP[[#This Row],[DateTo]])="D1",0,1)</f>
        <v>0</v>
      </c>
      <c r="U196" s="57">
        <f>IF(OR(CONT_SUP[[#This Row],[MatEditOnly]]=TRUE,CONT_SUP[[#This Row],[MatEditOnly]]=FALSE),IF(OR(CONT_SUP[[#This Row],[NoIncrement]]=TRUE,CONT_SUP[[#This Row],[NoIncrement]]=FALSE),0,1),1)</f>
        <v>0</v>
      </c>
      <c r="V196" s="57">
        <f>IF(ISBLANK(CONT_SUP[[#This Row],[FundCode]])=TRUE,0,IF(COUNTIF(FUNDS[FundCode],CONT_SUP[[#This Row],[FundCode]])=1,0,1))</f>
        <v>0</v>
      </c>
      <c r="W196" s="57">
        <f>IF(LEN(CONT_SUP[[#This Row],[Notes]])&lt;4000,0,1)</f>
        <v>0</v>
      </c>
      <c r="X196" s="57">
        <f>IF(SUBSTITUTE(TEXT(CONT_SUP[[#This Row],[Reference]],10)," ","")=TEXT(CONT_SUP[[#This Row],[Reference]],10),0,1)</f>
        <v>0</v>
      </c>
      <c r="Y196" s="57">
        <f ca="1">SUM(CONT_SUP[[#This Row],[Duplicate Contract]:[Space in Code]])</f>
        <v>1</v>
      </c>
      <c r="AA196" s="12" t="s">
        <v>2275</v>
      </c>
      <c r="AB196" s="12">
        <v>91073418</v>
      </c>
      <c r="AC196" s="12" t="s">
        <v>4792</v>
      </c>
      <c r="AD196" s="57" t="str">
        <f>_xlfn.XLOOKUP(CONT_SUP[[#This Row],[StaffMemberCode]],StaffMembers!O:O,StaffMembers!R:R)</f>
        <v>Ashleigh Shearer-Davies</v>
      </c>
      <c r="AE196" s="12" t="s">
        <v>1180</v>
      </c>
      <c r="AF196" s="57">
        <f>_xlfn.XLOOKUP(CONT_SUP[[#This Row],[SRG]],SRG[StaffRoleGroupCode],SRG[GrossSalaryFinanceCode])</f>
        <v>615100</v>
      </c>
      <c r="AG196" s="57" t="str">
        <f>_xlfn.XLOOKUP(CONT_SUP[[#This Row],[StaffRoleCode]],ROLES[StaffRoleCode],ROLES[StaffRoleGroupCode])</f>
        <v>TA</v>
      </c>
      <c r="AH196" s="57" t="str">
        <f>_xlfn.XLOOKUP(CONT_SUP[[#This Row],[StaffRoleCode]],ROLES[StaffRoleCode],ROLES[PayScaleCode])</f>
        <v>NJC_CHE</v>
      </c>
      <c r="AI196" s="12" t="s">
        <v>3122</v>
      </c>
      <c r="AJ196" s="12">
        <v>6</v>
      </c>
      <c r="AK196" s="12" t="s">
        <v>2497</v>
      </c>
      <c r="AM196" s="68" t="s">
        <v>3132</v>
      </c>
      <c r="AN196" s="12" t="s">
        <v>3134</v>
      </c>
      <c r="AO196" s="21">
        <v>45901</v>
      </c>
      <c r="AQ196" s="12">
        <v>30</v>
      </c>
      <c r="AR196" t="b">
        <v>0</v>
      </c>
      <c r="AS196" t="b">
        <v>0</v>
      </c>
      <c r="AT196" s="12" t="s">
        <v>1575</v>
      </c>
    </row>
    <row r="197" spans="1:46" x14ac:dyDescent="0.3">
      <c r="A197" s="57" t="str">
        <f t="shared" si="6"/>
        <v>AUD9107365291073652ATASTA45901</v>
      </c>
      <c r="B197" s="57">
        <f>COUNTIF(CONT_SUP[Unique Contract],CONT_SUP[[#This Row],[Unique Contract]])-1</f>
        <v>0</v>
      </c>
      <c r="C197" s="57">
        <f>IFERROR(IF(FIND(CONT_SUP[[#This Row],[SchoolCode]],_xlfn.XLOOKUP(CONT_SUP[[#This Row],[StaffMemberCode]],MEMBERS[StaffMemberCode],MEMBERS[SchoolCodes]))&gt;0,0,1),1)</f>
        <v>0</v>
      </c>
      <c r="D197" s="57" cm="1">
        <f t="array" ref="D197">IF(_xlfn.XLOOKUP(CONT_SUP[[#This Row],[StaffRoleCode]],ROLES[StaffRoleCode],ROLES[AvailableToAllSchools],1,0,)=TRUE,0,IF(ISERROR(FIND(CONT_SUP[[#This Row],[SchoolCode]],_xlfn.TEXTJOIN(",",TRUE,_xlfn.UNIQUE(IF(ROLES[StaffRoleCode]=CONT_SUP[[#This Row],[StaffRoleCode]],ROLES[SchoolCodes],""))))),1,0))</f>
        <v>0</v>
      </c>
      <c r="E197" s="57" cm="1">
        <f t="array" ref="E19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97" s="57" cm="1">
        <f t="array" ref="F197">IF(_xlfn.XLOOKUP(CONT_SUP[[#This Row],[PayScaleCode]],PAYSCALES[PayScaleCode],PAYSCALES[AvailableToAllSchools],1,0,)=TRUE,0,IF(ISERROR(FIND(CONT_SUP[[#This Row],[SchoolCode]],_xlfn.TEXTJOIN(",",TRUE,_xlfn.UNIQUE(IF(PAYSCALES[PayScaleCode]=CONT_SUP[[#This Row],[PayScaleCode]],PAYSCALES[SchoolCodes],""))))),1,0))</f>
        <v>0</v>
      </c>
      <c r="G197" s="57">
        <f>IF(_xlfn.XLOOKUP(CONT_SUP[[#This Row],[PayScaleGradeCode]],GRADES[PayScaleGradeCode],GRADES[AvailableToAllSchools])=TRUE,0,IFERROR(IF(FIND(CONT_SUP[[#This Row],[SchoolCode]],_xlfn.XLOOKUP(CONT_SUP[[#This Row],[PayScaleGradeCode]],GRADES[PayScaleGradeCode],GRADES[SchoolCodes]))&gt;=1,0,1),1))</f>
        <v>0</v>
      </c>
      <c r="H197" s="57">
        <f>IF(ISERROR(IF((_xlfn.XLOOKUP(CONT_SUP[[#This Row],[PayScaleGradeCode]],GRADES[PayScaleGradeCode],GRADES[PayScaleCode])=CONT_SUP[[#This Row],[PayScaleCode]]),0,1)),1,0)</f>
        <v>0</v>
      </c>
      <c r="I197" s="57" cm="1">
        <f t="array" ref="I197">IF(ISERROR(FIND(CONT_SUP[[#This Row],[PayScalePointCode]],_xlfn.TEXTJOIN(",",TRUE,IF(PSPOINTS[PayScaleCode]=CONT_SUP[[#This Row],[PayScaleCode]],PSPOINTS[PayScalePointCode])))),1,0)</f>
        <v>0</v>
      </c>
      <c r="J197" s="57" cm="1">
        <f t="array" ref="J19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97" s="57">
        <f>IF(_xlfn.XLOOKUP(CONT_SUP[[#This Row],[PayScalePointCode]],PSPOINTS[PayScalePointCode],PSPOINTS[PayScalePointEnabled])=TRUE,0,1)</f>
        <v>0</v>
      </c>
      <c r="L197" s="57" cm="1">
        <f t="array" ref="L197">IF(_xlfn.XLOOKUP(CONT_SUP[[#This Row],[DepartmentCode]],DEPTS[DepartmentCode],DEPTS[AvailableToAllSchools],1,0,)=TRUE,0,IF(ISERROR(FIND(CONT_SUP[[#This Row],[SchoolCode]],_xlfn.TEXTJOIN(",",TRUE,_xlfn.UNIQUE(IF(DEPTS[DepartmentCode]=CONT_SUP[[#This Row],[DepartmentCode]],DEPTS[SchoolCodes],""))))),1,0))</f>
        <v>0</v>
      </c>
      <c r="M197" s="57">
        <f>IFERROR(IF(_xlfn.XLOOKUP(CONT_SUP[[#This Row],[SRG Gross]],FinanceCodesBudget[FinanceCode],FinanceCodesBudget[LedgerCode])=_xlfn.XLOOKUP(CONT_SUP[[#This Row],[DepartmentCode]],DEPTS[DepartmentCode],DEPTS[LedgerCode]),0,1),1)</f>
        <v>1</v>
      </c>
      <c r="N197" s="57" cm="1">
        <f t="array" ref="N197">IF(_xlfn.XLOOKUP(CONT_SUP[[#This Row],[PensionCode]],PENS[PensionCode],PENS[AvailableToAllSchools],1,0,)=TRUE,0,IF(ISERROR(FIND(CONT_SUP[[#This Row],[SchoolCode]],_xlfn.TEXTJOIN(",",TRUE,_xlfn.UNIQUE(IF(PENS[PensionCode]=CONT_SUP[[#This Row],[PensionCode]],PENS[SchoolCodes],""))))),1,0))</f>
        <v>0</v>
      </c>
      <c r="O197" s="57" cm="1">
        <f t="array" ref="O197">IF(_xlfn.XLOOKUP(CONT_SUP[[#This Row],[EquatedWeekPatternCode]],EQW[EquatedWeekPatternCode],EQW[AvailableToAllSchools],1,0,)=TRUE,0,IF(ISERROR(FIND(CONT_SUP[[#This Row],[SchoolCode]],_xlfn.TEXTJOIN(",",TRUE,_xlfn.UNIQUE(IF(EQW[EquatedWeekPatternCode]=CONT_SUP[[#This Row],[EquatedWeekPatternCode]],EQW[SchoolCodes],""))))),1,0))</f>
        <v>0</v>
      </c>
      <c r="P197" s="57">
        <f>1-COUNTIF(ContractTypes[Code],CONT_SUP[[#This Row],[ContractTypeCode]])</f>
        <v>0</v>
      </c>
      <c r="Q197" s="57">
        <f>IF(VLOOKUP(CONT_SUP[[#This Row],[StaffMemberCode]],MEMBERS[[StaffMemberCode]:[ServiceStartDate]],5,0)&gt;CONT_SUP[[#This Row],[DateFrom]],1,0)</f>
        <v>0</v>
      </c>
      <c r="R197" s="57">
        <f>IF(_xlfn.XLOOKUP(CONT_SUP[[#This Row],[StaffMemberCode]],MEMBERS[StaffMemberCode],MEMBERS[ServiceEndDate])="",0,IF(CONT_SUP[[#This Row],[DateTo]]="",1,IF(_xlfn.XLOOKUP(CONT_SUP[[#This Row],[StaffMemberCode]],MEMBERS[StaffMemberCode],MEMBERS[ServiceEndDate])&lt;CONT_SUP[[#This Row],[DateTo]],1,0)))</f>
        <v>0</v>
      </c>
      <c r="S197" s="57">
        <f>IF(ISBLANK(CONT_SUP[[#This Row],[DateTo]]),0,IF(CONT_SUP[[#This Row],[DateFrom]]=CONT_SUP[[#This Row],[DateTo]],0,IF(CONT_SUP[[#This Row],[DateFrom]]&lt;CONT_SUP[[#This Row],[DateTo]],0,1)))</f>
        <v>0</v>
      </c>
      <c r="T197" s="57" cm="1">
        <f t="array" aca="1" ref="T197" ca="1">IF(CELL("format",CONT_SUP[[#This Row],[DateFrom]])="D1",0,1)+IF(CELL("format",CONT_SUP[[#This Row],[DateTo]])="D1",0,1)</f>
        <v>0</v>
      </c>
      <c r="U197" s="57">
        <f>IF(OR(CONT_SUP[[#This Row],[MatEditOnly]]=TRUE,CONT_SUP[[#This Row],[MatEditOnly]]=FALSE),IF(OR(CONT_SUP[[#This Row],[NoIncrement]]=TRUE,CONT_SUP[[#This Row],[NoIncrement]]=FALSE),0,1),1)</f>
        <v>0</v>
      </c>
      <c r="V197" s="57">
        <f>IF(ISBLANK(CONT_SUP[[#This Row],[FundCode]])=TRUE,0,IF(COUNTIF(FUNDS[FundCode],CONT_SUP[[#This Row],[FundCode]])=1,0,1))</f>
        <v>0</v>
      </c>
      <c r="W197" s="57">
        <f>IF(LEN(CONT_SUP[[#This Row],[Notes]])&lt;4000,0,1)</f>
        <v>0</v>
      </c>
      <c r="X197" s="57">
        <f>IF(SUBSTITUTE(TEXT(CONT_SUP[[#This Row],[Reference]],10)," ","")=TEXT(CONT_SUP[[#This Row],[Reference]],10),0,1)</f>
        <v>0</v>
      </c>
      <c r="Y197" s="57">
        <f ca="1">SUM(CONT_SUP[[#This Row],[Duplicate Contract]:[Space in Code]])</f>
        <v>1</v>
      </c>
      <c r="AA197" s="12" t="s">
        <v>2089</v>
      </c>
      <c r="AB197" s="12">
        <v>91073652</v>
      </c>
      <c r="AC197" s="12" t="s">
        <v>4793</v>
      </c>
      <c r="AD197" s="57" t="str">
        <f>_xlfn.XLOOKUP(CONT_SUP[[#This Row],[StaffMemberCode]],StaffMembers!O:O,StaffMembers!R:R)</f>
        <v>Bronwen Jones</v>
      </c>
      <c r="AE197" s="12" t="s">
        <v>1180</v>
      </c>
      <c r="AF197" s="57">
        <f>_xlfn.XLOOKUP(CONT_SUP[[#This Row],[SRG]],SRG[StaffRoleGroupCode],SRG[GrossSalaryFinanceCode])</f>
        <v>615100</v>
      </c>
      <c r="AG197" s="57" t="str">
        <f>_xlfn.XLOOKUP(CONT_SUP[[#This Row],[StaffRoleCode]],ROLES[StaffRoleCode],ROLES[StaffRoleGroupCode])</f>
        <v>TA</v>
      </c>
      <c r="AH197" s="57" t="str">
        <f>_xlfn.XLOOKUP(CONT_SUP[[#This Row],[StaffRoleCode]],ROLES[StaffRoleCode],ROLES[PayScaleCode])</f>
        <v>NJC_CHE</v>
      </c>
      <c r="AI197" s="12" t="s">
        <v>3123</v>
      </c>
      <c r="AJ197" s="12">
        <v>11</v>
      </c>
      <c r="AK197" s="12" t="s">
        <v>2497</v>
      </c>
      <c r="AM197" s="68" t="s">
        <v>3132</v>
      </c>
      <c r="AN197" s="12" t="s">
        <v>3135</v>
      </c>
      <c r="AO197" s="21">
        <v>45901</v>
      </c>
      <c r="AP197" s="21">
        <v>45963</v>
      </c>
      <c r="AQ197" s="12">
        <v>18.75</v>
      </c>
      <c r="AR197" t="b">
        <v>0</v>
      </c>
      <c r="AS197" t="b">
        <v>0</v>
      </c>
      <c r="AT197" s="12" t="s">
        <v>1574</v>
      </c>
    </row>
    <row r="198" spans="1:46" x14ac:dyDescent="0.3">
      <c r="A198" s="57" t="str">
        <f t="shared" si="6"/>
        <v>PTP9107394291073942ATASTA45901</v>
      </c>
      <c r="B198" s="57">
        <f>COUNTIF(CONT_SUP[Unique Contract],CONT_SUP[[#This Row],[Unique Contract]])-1</f>
        <v>0</v>
      </c>
      <c r="C198" s="57">
        <f>IFERROR(IF(FIND(CONT_SUP[[#This Row],[SchoolCode]],_xlfn.XLOOKUP(CONT_SUP[[#This Row],[StaffMemberCode]],MEMBERS[StaffMemberCode],MEMBERS[SchoolCodes]))&gt;0,0,1),1)</f>
        <v>0</v>
      </c>
      <c r="D198" s="57" cm="1">
        <f t="array" ref="D198">IF(_xlfn.XLOOKUP(CONT_SUP[[#This Row],[StaffRoleCode]],ROLES[StaffRoleCode],ROLES[AvailableToAllSchools],1,0,)=TRUE,0,IF(ISERROR(FIND(CONT_SUP[[#This Row],[SchoolCode]],_xlfn.TEXTJOIN(",",TRUE,_xlfn.UNIQUE(IF(ROLES[StaffRoleCode]=CONT_SUP[[#This Row],[StaffRoleCode]],ROLES[SchoolCodes],""))))),1,0))</f>
        <v>0</v>
      </c>
      <c r="E198" s="57" cm="1">
        <f t="array" ref="E19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98" s="57" cm="1">
        <f t="array" ref="F198">IF(_xlfn.XLOOKUP(CONT_SUP[[#This Row],[PayScaleCode]],PAYSCALES[PayScaleCode],PAYSCALES[AvailableToAllSchools],1,0,)=TRUE,0,IF(ISERROR(FIND(CONT_SUP[[#This Row],[SchoolCode]],_xlfn.TEXTJOIN(",",TRUE,_xlfn.UNIQUE(IF(PAYSCALES[PayScaleCode]=CONT_SUP[[#This Row],[PayScaleCode]],PAYSCALES[SchoolCodes],""))))),1,0))</f>
        <v>0</v>
      </c>
      <c r="G198" s="57">
        <f>IF(_xlfn.XLOOKUP(CONT_SUP[[#This Row],[PayScaleGradeCode]],GRADES[PayScaleGradeCode],GRADES[AvailableToAllSchools])=TRUE,0,IFERROR(IF(FIND(CONT_SUP[[#This Row],[SchoolCode]],_xlfn.XLOOKUP(CONT_SUP[[#This Row],[PayScaleGradeCode]],GRADES[PayScaleGradeCode],GRADES[SchoolCodes]))&gt;=1,0,1),1))</f>
        <v>0</v>
      </c>
      <c r="H198" s="57">
        <f>IF(ISERROR(IF((_xlfn.XLOOKUP(CONT_SUP[[#This Row],[PayScaleGradeCode]],GRADES[PayScaleGradeCode],GRADES[PayScaleCode])=CONT_SUP[[#This Row],[PayScaleCode]]),0,1)),1,0)</f>
        <v>0</v>
      </c>
      <c r="I198" s="57" cm="1">
        <f t="array" ref="I198">IF(ISERROR(FIND(CONT_SUP[[#This Row],[PayScalePointCode]],_xlfn.TEXTJOIN(",",TRUE,IF(PSPOINTS[PayScaleCode]=CONT_SUP[[#This Row],[PayScaleCode]],PSPOINTS[PayScalePointCode])))),1,0)</f>
        <v>0</v>
      </c>
      <c r="J198" s="57" cm="1">
        <f t="array" ref="J19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98" s="57">
        <f>IF(_xlfn.XLOOKUP(CONT_SUP[[#This Row],[PayScalePointCode]],PSPOINTS[PayScalePointCode],PSPOINTS[PayScalePointEnabled])=TRUE,0,1)</f>
        <v>0</v>
      </c>
      <c r="L198" s="57" cm="1">
        <f t="array" ref="L198">IF(_xlfn.XLOOKUP(CONT_SUP[[#This Row],[DepartmentCode]],DEPTS[DepartmentCode],DEPTS[AvailableToAllSchools],1,0,)=TRUE,0,IF(ISERROR(FIND(CONT_SUP[[#This Row],[SchoolCode]],_xlfn.TEXTJOIN(",",TRUE,_xlfn.UNIQUE(IF(DEPTS[DepartmentCode]=CONT_SUP[[#This Row],[DepartmentCode]],DEPTS[SchoolCodes],""))))),1,0))</f>
        <v>0</v>
      </c>
      <c r="M198" s="57">
        <f>IFERROR(IF(_xlfn.XLOOKUP(CONT_SUP[[#This Row],[SRG Gross]],FinanceCodesBudget[FinanceCode],FinanceCodesBudget[LedgerCode])=_xlfn.XLOOKUP(CONT_SUP[[#This Row],[DepartmentCode]],DEPTS[DepartmentCode],DEPTS[LedgerCode]),0,1),1)</f>
        <v>1</v>
      </c>
      <c r="N198" s="57" cm="1">
        <f t="array" ref="N198">IF(_xlfn.XLOOKUP(CONT_SUP[[#This Row],[PensionCode]],PENS[PensionCode],PENS[AvailableToAllSchools],1,0,)=TRUE,0,IF(ISERROR(FIND(CONT_SUP[[#This Row],[SchoolCode]],_xlfn.TEXTJOIN(",",TRUE,_xlfn.UNIQUE(IF(PENS[PensionCode]=CONT_SUP[[#This Row],[PensionCode]],PENS[SchoolCodes],""))))),1,0))</f>
        <v>0</v>
      </c>
      <c r="O198" s="57" cm="1">
        <f t="array" ref="O198">IF(_xlfn.XLOOKUP(CONT_SUP[[#This Row],[EquatedWeekPatternCode]],EQW[EquatedWeekPatternCode],EQW[AvailableToAllSchools],1,0,)=TRUE,0,IF(ISERROR(FIND(CONT_SUP[[#This Row],[SchoolCode]],_xlfn.TEXTJOIN(",",TRUE,_xlfn.UNIQUE(IF(EQW[EquatedWeekPatternCode]=CONT_SUP[[#This Row],[EquatedWeekPatternCode]],EQW[SchoolCodes],""))))),1,0))</f>
        <v>0</v>
      </c>
      <c r="P198" s="57">
        <f>1-COUNTIF(ContractTypes[Code],CONT_SUP[[#This Row],[ContractTypeCode]])</f>
        <v>0</v>
      </c>
      <c r="Q198" s="57">
        <f>IF(VLOOKUP(CONT_SUP[[#This Row],[StaffMemberCode]],MEMBERS[[StaffMemberCode]:[ServiceStartDate]],5,0)&gt;CONT_SUP[[#This Row],[DateFrom]],1,0)</f>
        <v>0</v>
      </c>
      <c r="R198" s="57">
        <f>IF(_xlfn.XLOOKUP(CONT_SUP[[#This Row],[StaffMemberCode]],MEMBERS[StaffMemberCode],MEMBERS[ServiceEndDate])="",0,IF(CONT_SUP[[#This Row],[DateTo]]="",1,IF(_xlfn.XLOOKUP(CONT_SUP[[#This Row],[StaffMemberCode]],MEMBERS[StaffMemberCode],MEMBERS[ServiceEndDate])&lt;CONT_SUP[[#This Row],[DateTo]],1,0)))</f>
        <v>0</v>
      </c>
      <c r="S198" s="57">
        <f>IF(ISBLANK(CONT_SUP[[#This Row],[DateTo]]),0,IF(CONT_SUP[[#This Row],[DateFrom]]=CONT_SUP[[#This Row],[DateTo]],0,IF(CONT_SUP[[#This Row],[DateFrom]]&lt;CONT_SUP[[#This Row],[DateTo]],0,1)))</f>
        <v>0</v>
      </c>
      <c r="T198" s="57" cm="1">
        <f t="array" aca="1" ref="T198" ca="1">IF(CELL("format",CONT_SUP[[#This Row],[DateFrom]])="D1",0,1)+IF(CELL("format",CONT_SUP[[#This Row],[DateTo]])="D1",0,1)</f>
        <v>0</v>
      </c>
      <c r="U198" s="57">
        <f>IF(OR(CONT_SUP[[#This Row],[MatEditOnly]]=TRUE,CONT_SUP[[#This Row],[MatEditOnly]]=FALSE),IF(OR(CONT_SUP[[#This Row],[NoIncrement]]=TRUE,CONT_SUP[[#This Row],[NoIncrement]]=FALSE),0,1),1)</f>
        <v>0</v>
      </c>
      <c r="V198" s="57">
        <f>IF(ISBLANK(CONT_SUP[[#This Row],[FundCode]])=TRUE,0,IF(COUNTIF(FUNDS[FundCode],CONT_SUP[[#This Row],[FundCode]])=1,0,1))</f>
        <v>0</v>
      </c>
      <c r="W198" s="57">
        <f>IF(LEN(CONT_SUP[[#This Row],[Notes]])&lt;4000,0,1)</f>
        <v>0</v>
      </c>
      <c r="X198" s="57">
        <f>IF(SUBSTITUTE(TEXT(CONT_SUP[[#This Row],[Reference]],10)," ","")=TEXT(CONT_SUP[[#This Row],[Reference]],10),0,1)</f>
        <v>0</v>
      </c>
      <c r="Y198" s="57">
        <f ca="1">SUM(CONT_SUP[[#This Row],[Duplicate Contract]:[Space in Code]])</f>
        <v>1</v>
      </c>
      <c r="AA198" s="12" t="s">
        <v>2299</v>
      </c>
      <c r="AB198" s="12">
        <v>91073942</v>
      </c>
      <c r="AC198" s="12" t="s">
        <v>4794</v>
      </c>
      <c r="AD198" s="57" t="str">
        <f>_xlfn.XLOOKUP(CONT_SUP[[#This Row],[StaffMemberCode]],StaffMembers!O:O,StaffMembers!R:R)</f>
        <v>Carly Logan</v>
      </c>
      <c r="AE198" s="12" t="s">
        <v>1180</v>
      </c>
      <c r="AF198" s="57">
        <f>_xlfn.XLOOKUP(CONT_SUP[[#This Row],[SRG]],SRG[StaffRoleGroupCode],SRG[GrossSalaryFinanceCode])</f>
        <v>615100</v>
      </c>
      <c r="AG198" s="57" t="str">
        <f>_xlfn.XLOOKUP(CONT_SUP[[#This Row],[StaffRoleCode]],ROLES[StaffRoleCode],ROLES[StaffRoleGroupCode])</f>
        <v>TA</v>
      </c>
      <c r="AH198" s="57" t="str">
        <f>_xlfn.XLOOKUP(CONT_SUP[[#This Row],[StaffRoleCode]],ROLES[StaffRoleCode],ROLES[PayScaleCode])</f>
        <v>NJC_CHE</v>
      </c>
      <c r="AI198" s="12" t="s">
        <v>3122</v>
      </c>
      <c r="AJ198" s="12">
        <v>6</v>
      </c>
      <c r="AK198" s="12" t="s">
        <v>2497</v>
      </c>
      <c r="AM198" s="68" t="s">
        <v>3132</v>
      </c>
      <c r="AN198" s="12" t="s">
        <v>3134</v>
      </c>
      <c r="AO198" s="21">
        <v>45901</v>
      </c>
      <c r="AQ198" s="12">
        <v>32</v>
      </c>
      <c r="AR198" t="b">
        <v>0</v>
      </c>
      <c r="AS198" t="b">
        <v>0</v>
      </c>
      <c r="AT198" s="12" t="s">
        <v>1574</v>
      </c>
    </row>
    <row r="199" spans="1:46" x14ac:dyDescent="0.3">
      <c r="A199" s="57" t="str">
        <f t="shared" si="6"/>
        <v>HIG9107387491073874ATASTA45901</v>
      </c>
      <c r="B199" s="57">
        <f>COUNTIF(CONT_SUP[Unique Contract],CONT_SUP[[#This Row],[Unique Contract]])-1</f>
        <v>0</v>
      </c>
      <c r="C199" s="57">
        <f>IFERROR(IF(FIND(CONT_SUP[[#This Row],[SchoolCode]],_xlfn.XLOOKUP(CONT_SUP[[#This Row],[StaffMemberCode]],MEMBERS[StaffMemberCode],MEMBERS[SchoolCodes]))&gt;0,0,1),1)</f>
        <v>0</v>
      </c>
      <c r="D199" s="57" cm="1">
        <f t="array" ref="D199">IF(_xlfn.XLOOKUP(CONT_SUP[[#This Row],[StaffRoleCode]],ROLES[StaffRoleCode],ROLES[AvailableToAllSchools],1,0,)=TRUE,0,IF(ISERROR(FIND(CONT_SUP[[#This Row],[SchoolCode]],_xlfn.TEXTJOIN(",",TRUE,_xlfn.UNIQUE(IF(ROLES[StaffRoleCode]=CONT_SUP[[#This Row],[StaffRoleCode]],ROLES[SchoolCodes],""))))),1,0))</f>
        <v>0</v>
      </c>
      <c r="E199" s="57" cm="1">
        <f t="array" ref="E19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199" s="57" cm="1">
        <f t="array" ref="F199">IF(_xlfn.XLOOKUP(CONT_SUP[[#This Row],[PayScaleCode]],PAYSCALES[PayScaleCode],PAYSCALES[AvailableToAllSchools],1,0,)=TRUE,0,IF(ISERROR(FIND(CONT_SUP[[#This Row],[SchoolCode]],_xlfn.TEXTJOIN(",",TRUE,_xlfn.UNIQUE(IF(PAYSCALES[PayScaleCode]=CONT_SUP[[#This Row],[PayScaleCode]],PAYSCALES[SchoolCodes],""))))),1,0))</f>
        <v>0</v>
      </c>
      <c r="G199" s="57">
        <f>IF(_xlfn.XLOOKUP(CONT_SUP[[#This Row],[PayScaleGradeCode]],GRADES[PayScaleGradeCode],GRADES[AvailableToAllSchools])=TRUE,0,IFERROR(IF(FIND(CONT_SUP[[#This Row],[SchoolCode]],_xlfn.XLOOKUP(CONT_SUP[[#This Row],[PayScaleGradeCode]],GRADES[PayScaleGradeCode],GRADES[SchoolCodes]))&gt;=1,0,1),1))</f>
        <v>0</v>
      </c>
      <c r="H199" s="57">
        <f>IF(ISERROR(IF((_xlfn.XLOOKUP(CONT_SUP[[#This Row],[PayScaleGradeCode]],GRADES[PayScaleGradeCode],GRADES[PayScaleCode])=CONT_SUP[[#This Row],[PayScaleCode]]),0,1)),1,0)</f>
        <v>0</v>
      </c>
      <c r="I199" s="57" cm="1">
        <f t="array" ref="I199">IF(ISERROR(FIND(CONT_SUP[[#This Row],[PayScalePointCode]],_xlfn.TEXTJOIN(",",TRUE,IF(PSPOINTS[PayScaleCode]=CONT_SUP[[#This Row],[PayScaleCode]],PSPOINTS[PayScalePointCode])))),1,0)</f>
        <v>0</v>
      </c>
      <c r="J199" s="57" cm="1">
        <f t="array" ref="J19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199" s="57">
        <f>IF(_xlfn.XLOOKUP(CONT_SUP[[#This Row],[PayScalePointCode]],PSPOINTS[PayScalePointCode],PSPOINTS[PayScalePointEnabled])=TRUE,0,1)</f>
        <v>0</v>
      </c>
      <c r="L199" s="57" cm="1">
        <f t="array" ref="L199">IF(_xlfn.XLOOKUP(CONT_SUP[[#This Row],[DepartmentCode]],DEPTS[DepartmentCode],DEPTS[AvailableToAllSchools],1,0,)=TRUE,0,IF(ISERROR(FIND(CONT_SUP[[#This Row],[SchoolCode]],_xlfn.TEXTJOIN(",",TRUE,_xlfn.UNIQUE(IF(DEPTS[DepartmentCode]=CONT_SUP[[#This Row],[DepartmentCode]],DEPTS[SchoolCodes],""))))),1,0))</f>
        <v>0</v>
      </c>
      <c r="M199" s="57">
        <f>IFERROR(IF(_xlfn.XLOOKUP(CONT_SUP[[#This Row],[SRG Gross]],FinanceCodesBudget[FinanceCode],FinanceCodesBudget[LedgerCode])=_xlfn.XLOOKUP(CONT_SUP[[#This Row],[DepartmentCode]],DEPTS[DepartmentCode],DEPTS[LedgerCode]),0,1),1)</f>
        <v>1</v>
      </c>
      <c r="N199" s="57" cm="1">
        <f t="array" ref="N199">IF(_xlfn.XLOOKUP(CONT_SUP[[#This Row],[PensionCode]],PENS[PensionCode],PENS[AvailableToAllSchools],1,0,)=TRUE,0,IF(ISERROR(FIND(CONT_SUP[[#This Row],[SchoolCode]],_xlfn.TEXTJOIN(",",TRUE,_xlfn.UNIQUE(IF(PENS[PensionCode]=CONT_SUP[[#This Row],[PensionCode]],PENS[SchoolCodes],""))))),1,0))</f>
        <v>0</v>
      </c>
      <c r="O199" s="57" cm="1">
        <f t="array" ref="O199">IF(_xlfn.XLOOKUP(CONT_SUP[[#This Row],[EquatedWeekPatternCode]],EQW[EquatedWeekPatternCode],EQW[AvailableToAllSchools],1,0,)=TRUE,0,IF(ISERROR(FIND(CONT_SUP[[#This Row],[SchoolCode]],_xlfn.TEXTJOIN(",",TRUE,_xlfn.UNIQUE(IF(EQW[EquatedWeekPatternCode]=CONT_SUP[[#This Row],[EquatedWeekPatternCode]],EQW[SchoolCodes],""))))),1,0))</f>
        <v>0</v>
      </c>
      <c r="P199" s="57">
        <f>1-COUNTIF(ContractTypes[Code],CONT_SUP[[#This Row],[ContractTypeCode]])</f>
        <v>0</v>
      </c>
      <c r="Q199" s="57">
        <f>IF(VLOOKUP(CONT_SUP[[#This Row],[StaffMemberCode]],MEMBERS[[StaffMemberCode]:[ServiceStartDate]],5,0)&gt;CONT_SUP[[#This Row],[DateFrom]],1,0)</f>
        <v>0</v>
      </c>
      <c r="R199" s="57">
        <f>IF(_xlfn.XLOOKUP(CONT_SUP[[#This Row],[StaffMemberCode]],MEMBERS[StaffMemberCode],MEMBERS[ServiceEndDate])="",0,IF(CONT_SUP[[#This Row],[DateTo]]="",1,IF(_xlfn.XLOOKUP(CONT_SUP[[#This Row],[StaffMemberCode]],MEMBERS[StaffMemberCode],MEMBERS[ServiceEndDate])&lt;CONT_SUP[[#This Row],[DateTo]],1,0)))</f>
        <v>0</v>
      </c>
      <c r="S199" s="57">
        <f>IF(ISBLANK(CONT_SUP[[#This Row],[DateTo]]),0,IF(CONT_SUP[[#This Row],[DateFrom]]=CONT_SUP[[#This Row],[DateTo]],0,IF(CONT_SUP[[#This Row],[DateFrom]]&lt;CONT_SUP[[#This Row],[DateTo]],0,1)))</f>
        <v>0</v>
      </c>
      <c r="T199" s="57" cm="1">
        <f t="array" aca="1" ref="T199" ca="1">IF(CELL("format",CONT_SUP[[#This Row],[DateFrom]])="D1",0,1)+IF(CELL("format",CONT_SUP[[#This Row],[DateTo]])="D1",0,1)</f>
        <v>0</v>
      </c>
      <c r="U199" s="57">
        <f>IF(OR(CONT_SUP[[#This Row],[MatEditOnly]]=TRUE,CONT_SUP[[#This Row],[MatEditOnly]]=FALSE),IF(OR(CONT_SUP[[#This Row],[NoIncrement]]=TRUE,CONT_SUP[[#This Row],[NoIncrement]]=FALSE),0,1),1)</f>
        <v>0</v>
      </c>
      <c r="V199" s="57">
        <f>IF(ISBLANK(CONT_SUP[[#This Row],[FundCode]])=TRUE,0,IF(COUNTIF(FUNDS[FundCode],CONT_SUP[[#This Row],[FundCode]])=1,0,1))</f>
        <v>0</v>
      </c>
      <c r="W199" s="57">
        <f>IF(LEN(CONT_SUP[[#This Row],[Notes]])&lt;4000,0,1)</f>
        <v>0</v>
      </c>
      <c r="X199" s="57">
        <f>IF(SUBSTITUTE(TEXT(CONT_SUP[[#This Row],[Reference]],10)," ","")=TEXT(CONT_SUP[[#This Row],[Reference]],10),0,1)</f>
        <v>0</v>
      </c>
      <c r="Y199" s="57">
        <f ca="1">SUM(CONT_SUP[[#This Row],[Duplicate Contract]:[Space in Code]])</f>
        <v>1</v>
      </c>
      <c r="AA199" s="12" t="s">
        <v>2266</v>
      </c>
      <c r="AB199" s="12">
        <v>91073874</v>
      </c>
      <c r="AC199" s="12" t="s">
        <v>4795</v>
      </c>
      <c r="AD199" s="57" t="str">
        <f>_xlfn.XLOOKUP(CONT_SUP[[#This Row],[StaffMemberCode]],StaffMembers!O:O,StaffMembers!R:R)</f>
        <v>Carolynne Robinson</v>
      </c>
      <c r="AE199" s="12" t="s">
        <v>1180</v>
      </c>
      <c r="AF199" s="57">
        <f>_xlfn.XLOOKUP(CONT_SUP[[#This Row],[SRG]],SRG[StaffRoleGroupCode],SRG[GrossSalaryFinanceCode])</f>
        <v>615100</v>
      </c>
      <c r="AG199" s="57" t="str">
        <f>_xlfn.XLOOKUP(CONT_SUP[[#This Row],[StaffRoleCode]],ROLES[StaffRoleCode],ROLES[StaffRoleGroupCode])</f>
        <v>TA</v>
      </c>
      <c r="AH199" s="57" t="str">
        <f>_xlfn.XLOOKUP(CONT_SUP[[#This Row],[StaffRoleCode]],ROLES[StaffRoleCode],ROLES[PayScaleCode])</f>
        <v>NJC_CHE</v>
      </c>
      <c r="AI199" s="12" t="s">
        <v>3123</v>
      </c>
      <c r="AJ199" s="12">
        <v>11</v>
      </c>
      <c r="AK199" s="12" t="s">
        <v>2497</v>
      </c>
      <c r="AM199" s="68" t="s">
        <v>3132</v>
      </c>
      <c r="AN199" s="12" t="s">
        <v>3135</v>
      </c>
      <c r="AO199" s="21">
        <v>45901</v>
      </c>
      <c r="AQ199" s="12">
        <v>32.5</v>
      </c>
      <c r="AR199" t="b">
        <v>0</v>
      </c>
      <c r="AS199" t="b">
        <v>0</v>
      </c>
      <c r="AT199" s="12" t="s">
        <v>1574</v>
      </c>
    </row>
    <row r="200" spans="1:46" x14ac:dyDescent="0.3">
      <c r="A200" s="57" t="str">
        <f t="shared" si="6"/>
        <v>ALS9107385991073859ATASTA45901</v>
      </c>
      <c r="B200" s="57">
        <f>COUNTIF(CONT_SUP[Unique Contract],CONT_SUP[[#This Row],[Unique Contract]])-1</f>
        <v>0</v>
      </c>
      <c r="C200" s="57">
        <f>IFERROR(IF(FIND(CONT_SUP[[#This Row],[SchoolCode]],_xlfn.XLOOKUP(CONT_SUP[[#This Row],[StaffMemberCode]],MEMBERS[StaffMemberCode],MEMBERS[SchoolCodes]))&gt;0,0,1),1)</f>
        <v>0</v>
      </c>
      <c r="D200" s="57" cm="1">
        <f t="array" ref="D200">IF(_xlfn.XLOOKUP(CONT_SUP[[#This Row],[StaffRoleCode]],ROLES[StaffRoleCode],ROLES[AvailableToAllSchools],1,0,)=TRUE,0,IF(ISERROR(FIND(CONT_SUP[[#This Row],[SchoolCode]],_xlfn.TEXTJOIN(",",TRUE,_xlfn.UNIQUE(IF(ROLES[StaffRoleCode]=CONT_SUP[[#This Row],[StaffRoleCode]],ROLES[SchoolCodes],""))))),1,0))</f>
        <v>0</v>
      </c>
      <c r="E200" s="57" cm="1">
        <f t="array" ref="E20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00" s="57" cm="1">
        <f t="array" ref="F200">IF(_xlfn.XLOOKUP(CONT_SUP[[#This Row],[PayScaleCode]],PAYSCALES[PayScaleCode],PAYSCALES[AvailableToAllSchools],1,0,)=TRUE,0,IF(ISERROR(FIND(CONT_SUP[[#This Row],[SchoolCode]],_xlfn.TEXTJOIN(",",TRUE,_xlfn.UNIQUE(IF(PAYSCALES[PayScaleCode]=CONT_SUP[[#This Row],[PayScaleCode]],PAYSCALES[SchoolCodes],""))))),1,0))</f>
        <v>0</v>
      </c>
      <c r="G200" s="57">
        <f>IF(_xlfn.XLOOKUP(CONT_SUP[[#This Row],[PayScaleGradeCode]],GRADES[PayScaleGradeCode],GRADES[AvailableToAllSchools])=TRUE,0,IFERROR(IF(FIND(CONT_SUP[[#This Row],[SchoolCode]],_xlfn.XLOOKUP(CONT_SUP[[#This Row],[PayScaleGradeCode]],GRADES[PayScaleGradeCode],GRADES[SchoolCodes]))&gt;=1,0,1),1))</f>
        <v>0</v>
      </c>
      <c r="H200" s="57">
        <f>IF(ISERROR(IF((_xlfn.XLOOKUP(CONT_SUP[[#This Row],[PayScaleGradeCode]],GRADES[PayScaleGradeCode],GRADES[PayScaleCode])=CONT_SUP[[#This Row],[PayScaleCode]]),0,1)),1,0)</f>
        <v>0</v>
      </c>
      <c r="I200" s="57" cm="1">
        <f t="array" ref="I200">IF(ISERROR(FIND(CONT_SUP[[#This Row],[PayScalePointCode]],_xlfn.TEXTJOIN(",",TRUE,IF(PSPOINTS[PayScaleCode]=CONT_SUP[[#This Row],[PayScaleCode]],PSPOINTS[PayScalePointCode])))),1,0)</f>
        <v>0</v>
      </c>
      <c r="J200" s="57" cm="1">
        <f t="array" ref="J20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00" s="57">
        <f>IF(_xlfn.XLOOKUP(CONT_SUP[[#This Row],[PayScalePointCode]],PSPOINTS[PayScalePointCode],PSPOINTS[PayScalePointEnabled])=TRUE,0,1)</f>
        <v>0</v>
      </c>
      <c r="L200" s="57" cm="1">
        <f t="array" ref="L200">IF(_xlfn.XLOOKUP(CONT_SUP[[#This Row],[DepartmentCode]],DEPTS[DepartmentCode],DEPTS[AvailableToAllSchools],1,0,)=TRUE,0,IF(ISERROR(FIND(CONT_SUP[[#This Row],[SchoolCode]],_xlfn.TEXTJOIN(",",TRUE,_xlfn.UNIQUE(IF(DEPTS[DepartmentCode]=CONT_SUP[[#This Row],[DepartmentCode]],DEPTS[SchoolCodes],""))))),1,0))</f>
        <v>0</v>
      </c>
      <c r="M200" s="57">
        <f>IFERROR(IF(_xlfn.XLOOKUP(CONT_SUP[[#This Row],[SRG Gross]],FinanceCodesBudget[FinanceCode],FinanceCodesBudget[LedgerCode])=_xlfn.XLOOKUP(CONT_SUP[[#This Row],[DepartmentCode]],DEPTS[DepartmentCode],DEPTS[LedgerCode]),0,1),1)</f>
        <v>1</v>
      </c>
      <c r="N200" s="57" cm="1">
        <f t="array" ref="N200">IF(_xlfn.XLOOKUP(CONT_SUP[[#This Row],[PensionCode]],PENS[PensionCode],PENS[AvailableToAllSchools],1,0,)=TRUE,0,IF(ISERROR(FIND(CONT_SUP[[#This Row],[SchoolCode]],_xlfn.TEXTJOIN(",",TRUE,_xlfn.UNIQUE(IF(PENS[PensionCode]=CONT_SUP[[#This Row],[PensionCode]],PENS[SchoolCodes],""))))),1,0))</f>
        <v>0</v>
      </c>
      <c r="O200" s="57" cm="1">
        <f t="array" ref="O200">IF(_xlfn.XLOOKUP(CONT_SUP[[#This Row],[EquatedWeekPatternCode]],EQW[EquatedWeekPatternCode],EQW[AvailableToAllSchools],1,0,)=TRUE,0,IF(ISERROR(FIND(CONT_SUP[[#This Row],[SchoolCode]],_xlfn.TEXTJOIN(",",TRUE,_xlfn.UNIQUE(IF(EQW[EquatedWeekPatternCode]=CONT_SUP[[#This Row],[EquatedWeekPatternCode]],EQW[SchoolCodes],""))))),1,0))</f>
        <v>0</v>
      </c>
      <c r="P200" s="57">
        <f>1-COUNTIF(ContractTypes[Code],CONT_SUP[[#This Row],[ContractTypeCode]])</f>
        <v>0</v>
      </c>
      <c r="Q200" s="57">
        <f>IF(VLOOKUP(CONT_SUP[[#This Row],[StaffMemberCode]],MEMBERS[[StaffMemberCode]:[ServiceStartDate]],5,0)&gt;CONT_SUP[[#This Row],[DateFrom]],1,0)</f>
        <v>0</v>
      </c>
      <c r="R200" s="57">
        <f>IF(_xlfn.XLOOKUP(CONT_SUP[[#This Row],[StaffMemberCode]],MEMBERS[StaffMemberCode],MEMBERS[ServiceEndDate])="",0,IF(CONT_SUP[[#This Row],[DateTo]]="",1,IF(_xlfn.XLOOKUP(CONT_SUP[[#This Row],[StaffMemberCode]],MEMBERS[StaffMemberCode],MEMBERS[ServiceEndDate])&lt;CONT_SUP[[#This Row],[DateTo]],1,0)))</f>
        <v>0</v>
      </c>
      <c r="S200" s="57">
        <f>IF(ISBLANK(CONT_SUP[[#This Row],[DateTo]]),0,IF(CONT_SUP[[#This Row],[DateFrom]]=CONT_SUP[[#This Row],[DateTo]],0,IF(CONT_SUP[[#This Row],[DateFrom]]&lt;CONT_SUP[[#This Row],[DateTo]],0,1)))</f>
        <v>0</v>
      </c>
      <c r="T200" s="57" cm="1">
        <f t="array" aca="1" ref="T200" ca="1">IF(CELL("format",CONT_SUP[[#This Row],[DateFrom]])="D1",0,1)+IF(CELL("format",CONT_SUP[[#This Row],[DateTo]])="D1",0,1)</f>
        <v>0</v>
      </c>
      <c r="U200" s="57">
        <f>IF(OR(CONT_SUP[[#This Row],[MatEditOnly]]=TRUE,CONT_SUP[[#This Row],[MatEditOnly]]=FALSE),IF(OR(CONT_SUP[[#This Row],[NoIncrement]]=TRUE,CONT_SUP[[#This Row],[NoIncrement]]=FALSE),0,1),1)</f>
        <v>0</v>
      </c>
      <c r="V200" s="57">
        <f>IF(ISBLANK(CONT_SUP[[#This Row],[FundCode]])=TRUE,0,IF(COUNTIF(FUNDS[FundCode],CONT_SUP[[#This Row],[FundCode]])=1,0,1))</f>
        <v>0</v>
      </c>
      <c r="W200" s="57">
        <f>IF(LEN(CONT_SUP[[#This Row],[Notes]])&lt;4000,0,1)</f>
        <v>0</v>
      </c>
      <c r="X200" s="57">
        <f>IF(SUBSTITUTE(TEXT(CONT_SUP[[#This Row],[Reference]],10)," ","")=TEXT(CONT_SUP[[#This Row],[Reference]],10),0,1)</f>
        <v>0</v>
      </c>
      <c r="Y200" s="57">
        <f ca="1">SUM(CONT_SUP[[#This Row],[Duplicate Contract]:[Space in Code]])</f>
        <v>1</v>
      </c>
      <c r="AA200" s="12" t="s">
        <v>2082</v>
      </c>
      <c r="AB200" s="12">
        <v>91073859</v>
      </c>
      <c r="AC200" s="12" t="s">
        <v>4796</v>
      </c>
      <c r="AD200" s="57" t="str">
        <f>_xlfn.XLOOKUP(CONT_SUP[[#This Row],[StaffMemberCode]],StaffMembers!O:O,StaffMembers!R:R)</f>
        <v>Cerys Lally</v>
      </c>
      <c r="AE200" s="12" t="s">
        <v>1180</v>
      </c>
      <c r="AF200" s="57">
        <f>_xlfn.XLOOKUP(CONT_SUP[[#This Row],[SRG]],SRG[StaffRoleGroupCode],SRG[GrossSalaryFinanceCode])</f>
        <v>615100</v>
      </c>
      <c r="AG200" s="57" t="str">
        <f>_xlfn.XLOOKUP(CONT_SUP[[#This Row],[StaffRoleCode]],ROLES[StaffRoleCode],ROLES[StaffRoleGroupCode])</f>
        <v>TA</v>
      </c>
      <c r="AH200" s="57" t="str">
        <f>_xlfn.XLOOKUP(CONT_SUP[[#This Row],[StaffRoleCode]],ROLES[StaffRoleCode],ROLES[PayScaleCode])</f>
        <v>NJC_CHE</v>
      </c>
      <c r="AI200" s="12" t="s">
        <v>3123</v>
      </c>
      <c r="AJ200" s="12">
        <v>9</v>
      </c>
      <c r="AK200" s="12" t="s">
        <v>2497</v>
      </c>
      <c r="AM200" s="68" t="s">
        <v>3132</v>
      </c>
      <c r="AN200" s="12" t="s">
        <v>3135</v>
      </c>
      <c r="AO200" s="21">
        <v>45901</v>
      </c>
      <c r="AQ200" s="12">
        <v>34.25</v>
      </c>
      <c r="AR200" t="b">
        <v>0</v>
      </c>
      <c r="AS200" t="b">
        <v>0</v>
      </c>
      <c r="AT200" s="12" t="s">
        <v>1575</v>
      </c>
    </row>
    <row r="201" spans="1:46" x14ac:dyDescent="0.3">
      <c r="A201" s="57" t="str">
        <f t="shared" si="6"/>
        <v>BLS9185001091850010ATASTA45901</v>
      </c>
      <c r="B201" s="57">
        <f>COUNTIF(CONT_SUP[Unique Contract],CONT_SUP[[#This Row],[Unique Contract]])-1</f>
        <v>0</v>
      </c>
      <c r="C201" s="57">
        <f>IFERROR(IF(FIND(CONT_SUP[[#This Row],[SchoolCode]],_xlfn.XLOOKUP(CONT_SUP[[#This Row],[StaffMemberCode]],MEMBERS[StaffMemberCode],MEMBERS[SchoolCodes]))&gt;0,0,1),1)</f>
        <v>0</v>
      </c>
      <c r="D201" s="57" cm="1">
        <f t="array" ref="D201">IF(_xlfn.XLOOKUP(CONT_SUP[[#This Row],[StaffRoleCode]],ROLES[StaffRoleCode],ROLES[AvailableToAllSchools],1,0,)=TRUE,0,IF(ISERROR(FIND(CONT_SUP[[#This Row],[SchoolCode]],_xlfn.TEXTJOIN(",",TRUE,_xlfn.UNIQUE(IF(ROLES[StaffRoleCode]=CONT_SUP[[#This Row],[StaffRoleCode]],ROLES[SchoolCodes],""))))),1,0))</f>
        <v>0</v>
      </c>
      <c r="E201" s="57" cm="1">
        <f t="array" ref="E20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01" s="57" cm="1">
        <f t="array" ref="F201">IF(_xlfn.XLOOKUP(CONT_SUP[[#This Row],[PayScaleCode]],PAYSCALES[PayScaleCode],PAYSCALES[AvailableToAllSchools],1,0,)=TRUE,0,IF(ISERROR(FIND(CONT_SUP[[#This Row],[SchoolCode]],_xlfn.TEXTJOIN(",",TRUE,_xlfn.UNIQUE(IF(PAYSCALES[PayScaleCode]=CONT_SUP[[#This Row],[PayScaleCode]],PAYSCALES[SchoolCodes],""))))),1,0))</f>
        <v>0</v>
      </c>
      <c r="G201" s="57">
        <f>IF(_xlfn.XLOOKUP(CONT_SUP[[#This Row],[PayScaleGradeCode]],GRADES[PayScaleGradeCode],GRADES[AvailableToAllSchools])=TRUE,0,IFERROR(IF(FIND(CONT_SUP[[#This Row],[SchoolCode]],_xlfn.XLOOKUP(CONT_SUP[[#This Row],[PayScaleGradeCode]],GRADES[PayScaleGradeCode],GRADES[SchoolCodes]))&gt;=1,0,1),1))</f>
        <v>0</v>
      </c>
      <c r="H201" s="57">
        <f>IF(ISERROR(IF((_xlfn.XLOOKUP(CONT_SUP[[#This Row],[PayScaleGradeCode]],GRADES[PayScaleGradeCode],GRADES[PayScaleCode])=CONT_SUP[[#This Row],[PayScaleCode]]),0,1)),1,0)</f>
        <v>0</v>
      </c>
      <c r="I201" s="57" cm="1">
        <f t="array" ref="I201">IF(ISERROR(FIND(CONT_SUP[[#This Row],[PayScalePointCode]],_xlfn.TEXTJOIN(",",TRUE,IF(PSPOINTS[PayScaleCode]=CONT_SUP[[#This Row],[PayScaleCode]],PSPOINTS[PayScalePointCode])))),1,0)</f>
        <v>0</v>
      </c>
      <c r="J201" s="57" cm="1">
        <f t="array" ref="J20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01" s="57">
        <f>IF(_xlfn.XLOOKUP(CONT_SUP[[#This Row],[PayScalePointCode]],PSPOINTS[PayScalePointCode],PSPOINTS[PayScalePointEnabled])=TRUE,0,1)</f>
        <v>0</v>
      </c>
      <c r="L201" s="57" cm="1">
        <f t="array" ref="L201">IF(_xlfn.XLOOKUP(CONT_SUP[[#This Row],[DepartmentCode]],DEPTS[DepartmentCode],DEPTS[AvailableToAllSchools],1,0,)=TRUE,0,IF(ISERROR(FIND(CONT_SUP[[#This Row],[SchoolCode]],_xlfn.TEXTJOIN(",",TRUE,_xlfn.UNIQUE(IF(DEPTS[DepartmentCode]=CONT_SUP[[#This Row],[DepartmentCode]],DEPTS[SchoolCodes],""))))),1,0))</f>
        <v>0</v>
      </c>
      <c r="M201" s="57">
        <f>IFERROR(IF(_xlfn.XLOOKUP(CONT_SUP[[#This Row],[SRG Gross]],FinanceCodesBudget[FinanceCode],FinanceCodesBudget[LedgerCode])=_xlfn.XLOOKUP(CONT_SUP[[#This Row],[DepartmentCode]],DEPTS[DepartmentCode],DEPTS[LedgerCode]),0,1),1)</f>
        <v>1</v>
      </c>
      <c r="N201" s="57" cm="1">
        <f t="array" ref="N201">IF(_xlfn.XLOOKUP(CONT_SUP[[#This Row],[PensionCode]],PENS[PensionCode],PENS[AvailableToAllSchools],1,0,)=TRUE,0,IF(ISERROR(FIND(CONT_SUP[[#This Row],[SchoolCode]],_xlfn.TEXTJOIN(",",TRUE,_xlfn.UNIQUE(IF(PENS[PensionCode]=CONT_SUP[[#This Row],[PensionCode]],PENS[SchoolCodes],""))))),1,0))</f>
        <v>0</v>
      </c>
      <c r="O201" s="57" cm="1">
        <f t="array" ref="O201">IF(_xlfn.XLOOKUP(CONT_SUP[[#This Row],[EquatedWeekPatternCode]],EQW[EquatedWeekPatternCode],EQW[AvailableToAllSchools],1,0,)=TRUE,0,IF(ISERROR(FIND(CONT_SUP[[#This Row],[SchoolCode]],_xlfn.TEXTJOIN(",",TRUE,_xlfn.UNIQUE(IF(EQW[EquatedWeekPatternCode]=CONT_SUP[[#This Row],[EquatedWeekPatternCode]],EQW[SchoolCodes],""))))),1,0))</f>
        <v>0</v>
      </c>
      <c r="P201" s="57">
        <f>1-COUNTIF(ContractTypes[Code],CONT_SUP[[#This Row],[ContractTypeCode]])</f>
        <v>0</v>
      </c>
      <c r="Q201" s="57">
        <f>IF(VLOOKUP(CONT_SUP[[#This Row],[StaffMemberCode]],MEMBERS[[StaffMemberCode]:[ServiceStartDate]],5,0)&gt;CONT_SUP[[#This Row],[DateFrom]],1,0)</f>
        <v>0</v>
      </c>
      <c r="R201" s="57">
        <f>IF(_xlfn.XLOOKUP(CONT_SUP[[#This Row],[StaffMemberCode]],MEMBERS[StaffMemberCode],MEMBERS[ServiceEndDate])="",0,IF(CONT_SUP[[#This Row],[DateTo]]="",1,IF(_xlfn.XLOOKUP(CONT_SUP[[#This Row],[StaffMemberCode]],MEMBERS[StaffMemberCode],MEMBERS[ServiceEndDate])&lt;CONT_SUP[[#This Row],[DateTo]],1,0)))</f>
        <v>0</v>
      </c>
      <c r="S201" s="57">
        <f>IF(ISBLANK(CONT_SUP[[#This Row],[DateTo]]),0,IF(CONT_SUP[[#This Row],[DateFrom]]=CONT_SUP[[#This Row],[DateTo]],0,IF(CONT_SUP[[#This Row],[DateFrom]]&lt;CONT_SUP[[#This Row],[DateTo]],0,1)))</f>
        <v>0</v>
      </c>
      <c r="T201" s="57" cm="1">
        <f t="array" aca="1" ref="T201" ca="1">IF(CELL("format",CONT_SUP[[#This Row],[DateFrom]])="D1",0,1)+IF(CELL("format",CONT_SUP[[#This Row],[DateTo]])="D1",0,1)</f>
        <v>0</v>
      </c>
      <c r="U201" s="57">
        <f>IF(OR(CONT_SUP[[#This Row],[MatEditOnly]]=TRUE,CONT_SUP[[#This Row],[MatEditOnly]]=FALSE),IF(OR(CONT_SUP[[#This Row],[NoIncrement]]=TRUE,CONT_SUP[[#This Row],[NoIncrement]]=FALSE),0,1),1)</f>
        <v>0</v>
      </c>
      <c r="V201" s="57">
        <f>IF(ISBLANK(CONT_SUP[[#This Row],[FundCode]])=TRUE,0,IF(COUNTIF(FUNDS[FundCode],CONT_SUP[[#This Row],[FundCode]])=1,0,1))</f>
        <v>0</v>
      </c>
      <c r="W201" s="57">
        <f>IF(LEN(CONT_SUP[[#This Row],[Notes]])&lt;4000,0,1)</f>
        <v>0</v>
      </c>
      <c r="X201" s="57">
        <f>IF(SUBSTITUTE(TEXT(CONT_SUP[[#This Row],[Reference]],10)," ","")=TEXT(CONT_SUP[[#This Row],[Reference]],10),0,1)</f>
        <v>0</v>
      </c>
      <c r="Y201" s="57">
        <f ca="1">SUM(CONT_SUP[[#This Row],[Duplicate Contract]:[Space in Code]])</f>
        <v>1</v>
      </c>
      <c r="AA201" s="12" t="s">
        <v>2094</v>
      </c>
      <c r="AB201" s="12">
        <v>91850010</v>
      </c>
      <c r="AC201" s="12" t="s">
        <v>4797</v>
      </c>
      <c r="AD201" s="57" t="str">
        <f>_xlfn.XLOOKUP(CONT_SUP[[#This Row],[StaffMemberCode]],StaffMembers!O:O,StaffMembers!R:R)</f>
        <v>Charlotte Gibbs</v>
      </c>
      <c r="AE201" s="12" t="s">
        <v>1180</v>
      </c>
      <c r="AF201" s="57">
        <f>_xlfn.XLOOKUP(CONT_SUP[[#This Row],[SRG]],SRG[StaffRoleGroupCode],SRG[GrossSalaryFinanceCode])</f>
        <v>615100</v>
      </c>
      <c r="AG201" s="57" t="str">
        <f>_xlfn.XLOOKUP(CONT_SUP[[#This Row],[StaffRoleCode]],ROLES[StaffRoleCode],ROLES[StaffRoleGroupCode])</f>
        <v>TA</v>
      </c>
      <c r="AH201" s="57" t="str">
        <f>_xlfn.XLOOKUP(CONT_SUP[[#This Row],[StaffRoleCode]],ROLES[StaffRoleCode],ROLES[PayScaleCode])</f>
        <v>NJC_CHE</v>
      </c>
      <c r="AI201" s="12" t="s">
        <v>3122</v>
      </c>
      <c r="AJ201" s="12">
        <v>5</v>
      </c>
      <c r="AK201" s="12" t="s">
        <v>2497</v>
      </c>
      <c r="AM201" s="68" t="s">
        <v>3132</v>
      </c>
      <c r="AN201" s="12" t="s">
        <v>3135</v>
      </c>
      <c r="AO201" s="21">
        <v>45901</v>
      </c>
      <c r="AQ201" s="12">
        <v>31.25</v>
      </c>
      <c r="AR201" t="b">
        <v>0</v>
      </c>
      <c r="AS201" t="b">
        <v>0</v>
      </c>
      <c r="AT201" s="12" t="s">
        <v>1574</v>
      </c>
    </row>
    <row r="202" spans="1:46" x14ac:dyDescent="0.3">
      <c r="A202" s="57" t="str">
        <f t="shared" si="6"/>
        <v>PTP9132801491328014ATASTA45901</v>
      </c>
      <c r="B202" s="57">
        <f>COUNTIF(CONT_SUP[Unique Contract],CONT_SUP[[#This Row],[Unique Contract]])-1</f>
        <v>0</v>
      </c>
      <c r="C202" s="57">
        <f>IFERROR(IF(FIND(CONT_SUP[[#This Row],[SchoolCode]],_xlfn.XLOOKUP(CONT_SUP[[#This Row],[StaffMemberCode]],MEMBERS[StaffMemberCode],MEMBERS[SchoolCodes]))&gt;0,0,1),1)</f>
        <v>0</v>
      </c>
      <c r="D202" s="57" cm="1">
        <f t="array" ref="D202">IF(_xlfn.XLOOKUP(CONT_SUP[[#This Row],[StaffRoleCode]],ROLES[StaffRoleCode],ROLES[AvailableToAllSchools],1,0,)=TRUE,0,IF(ISERROR(FIND(CONT_SUP[[#This Row],[SchoolCode]],_xlfn.TEXTJOIN(",",TRUE,_xlfn.UNIQUE(IF(ROLES[StaffRoleCode]=CONT_SUP[[#This Row],[StaffRoleCode]],ROLES[SchoolCodes],""))))),1,0))</f>
        <v>0</v>
      </c>
      <c r="E202" s="57" cm="1">
        <f t="array" ref="E20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02" s="57" cm="1">
        <f t="array" ref="F202">IF(_xlfn.XLOOKUP(CONT_SUP[[#This Row],[PayScaleCode]],PAYSCALES[PayScaleCode],PAYSCALES[AvailableToAllSchools],1,0,)=TRUE,0,IF(ISERROR(FIND(CONT_SUP[[#This Row],[SchoolCode]],_xlfn.TEXTJOIN(",",TRUE,_xlfn.UNIQUE(IF(PAYSCALES[PayScaleCode]=CONT_SUP[[#This Row],[PayScaleCode]],PAYSCALES[SchoolCodes],""))))),1,0))</f>
        <v>0</v>
      </c>
      <c r="G202" s="57">
        <f>IF(_xlfn.XLOOKUP(CONT_SUP[[#This Row],[PayScaleGradeCode]],GRADES[PayScaleGradeCode],GRADES[AvailableToAllSchools])=TRUE,0,IFERROR(IF(FIND(CONT_SUP[[#This Row],[SchoolCode]],_xlfn.XLOOKUP(CONT_SUP[[#This Row],[PayScaleGradeCode]],GRADES[PayScaleGradeCode],GRADES[SchoolCodes]))&gt;=1,0,1),1))</f>
        <v>0</v>
      </c>
      <c r="H202" s="57">
        <f>IF(ISERROR(IF((_xlfn.XLOOKUP(CONT_SUP[[#This Row],[PayScaleGradeCode]],GRADES[PayScaleGradeCode],GRADES[PayScaleCode])=CONT_SUP[[#This Row],[PayScaleCode]]),0,1)),1,0)</f>
        <v>0</v>
      </c>
      <c r="I202" s="57" cm="1">
        <f t="array" ref="I202">IF(ISERROR(FIND(CONT_SUP[[#This Row],[PayScalePointCode]],_xlfn.TEXTJOIN(",",TRUE,IF(PSPOINTS[PayScaleCode]=CONT_SUP[[#This Row],[PayScaleCode]],PSPOINTS[PayScalePointCode])))),1,0)</f>
        <v>0</v>
      </c>
      <c r="J202" s="57" cm="1">
        <f t="array" ref="J20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02" s="57">
        <f>IF(_xlfn.XLOOKUP(CONT_SUP[[#This Row],[PayScalePointCode]],PSPOINTS[PayScalePointCode],PSPOINTS[PayScalePointEnabled])=TRUE,0,1)</f>
        <v>0</v>
      </c>
      <c r="L202" s="57" cm="1">
        <f t="array" ref="L202">IF(_xlfn.XLOOKUP(CONT_SUP[[#This Row],[DepartmentCode]],DEPTS[DepartmentCode],DEPTS[AvailableToAllSchools],1,0,)=TRUE,0,IF(ISERROR(FIND(CONT_SUP[[#This Row],[SchoolCode]],_xlfn.TEXTJOIN(",",TRUE,_xlfn.UNIQUE(IF(DEPTS[DepartmentCode]=CONT_SUP[[#This Row],[DepartmentCode]],DEPTS[SchoolCodes],""))))),1,0))</f>
        <v>0</v>
      </c>
      <c r="M202" s="57">
        <f>IFERROR(IF(_xlfn.XLOOKUP(CONT_SUP[[#This Row],[SRG Gross]],FinanceCodesBudget[FinanceCode],FinanceCodesBudget[LedgerCode])=_xlfn.XLOOKUP(CONT_SUP[[#This Row],[DepartmentCode]],DEPTS[DepartmentCode],DEPTS[LedgerCode]),0,1),1)</f>
        <v>1</v>
      </c>
      <c r="N202" s="57" cm="1">
        <f t="array" ref="N202">IF(_xlfn.XLOOKUP(CONT_SUP[[#This Row],[PensionCode]],PENS[PensionCode],PENS[AvailableToAllSchools],1,0,)=TRUE,0,IF(ISERROR(FIND(CONT_SUP[[#This Row],[SchoolCode]],_xlfn.TEXTJOIN(",",TRUE,_xlfn.UNIQUE(IF(PENS[PensionCode]=CONT_SUP[[#This Row],[PensionCode]],PENS[SchoolCodes],""))))),1,0))</f>
        <v>0</v>
      </c>
      <c r="O202" s="57" cm="1">
        <f t="array" ref="O202">IF(_xlfn.XLOOKUP(CONT_SUP[[#This Row],[EquatedWeekPatternCode]],EQW[EquatedWeekPatternCode],EQW[AvailableToAllSchools],1,0,)=TRUE,0,IF(ISERROR(FIND(CONT_SUP[[#This Row],[SchoolCode]],_xlfn.TEXTJOIN(",",TRUE,_xlfn.UNIQUE(IF(EQW[EquatedWeekPatternCode]=CONT_SUP[[#This Row],[EquatedWeekPatternCode]],EQW[SchoolCodes],""))))),1,0))</f>
        <v>0</v>
      </c>
      <c r="P202" s="57">
        <f>1-COUNTIF(ContractTypes[Code],CONT_SUP[[#This Row],[ContractTypeCode]])</f>
        <v>0</v>
      </c>
      <c r="Q202" s="57">
        <f>IF(VLOOKUP(CONT_SUP[[#This Row],[StaffMemberCode]],MEMBERS[[StaffMemberCode]:[ServiceStartDate]],5,0)&gt;CONT_SUP[[#This Row],[DateFrom]],1,0)</f>
        <v>0</v>
      </c>
      <c r="R202" s="57">
        <f>IF(_xlfn.XLOOKUP(CONT_SUP[[#This Row],[StaffMemberCode]],MEMBERS[StaffMemberCode],MEMBERS[ServiceEndDate])="",0,IF(CONT_SUP[[#This Row],[DateTo]]="",1,IF(_xlfn.XLOOKUP(CONT_SUP[[#This Row],[StaffMemberCode]],MEMBERS[StaffMemberCode],MEMBERS[ServiceEndDate])&lt;CONT_SUP[[#This Row],[DateTo]],1,0)))</f>
        <v>0</v>
      </c>
      <c r="S202" s="57">
        <f>IF(ISBLANK(CONT_SUP[[#This Row],[DateTo]]),0,IF(CONT_SUP[[#This Row],[DateFrom]]=CONT_SUP[[#This Row],[DateTo]],0,IF(CONT_SUP[[#This Row],[DateFrom]]&lt;CONT_SUP[[#This Row],[DateTo]],0,1)))</f>
        <v>0</v>
      </c>
      <c r="T202" s="57" cm="1">
        <f t="array" aca="1" ref="T202" ca="1">IF(CELL("format",CONT_SUP[[#This Row],[DateFrom]])="D1",0,1)+IF(CELL("format",CONT_SUP[[#This Row],[DateTo]])="D1",0,1)</f>
        <v>0</v>
      </c>
      <c r="U202" s="57">
        <f>IF(OR(CONT_SUP[[#This Row],[MatEditOnly]]=TRUE,CONT_SUP[[#This Row],[MatEditOnly]]=FALSE),IF(OR(CONT_SUP[[#This Row],[NoIncrement]]=TRUE,CONT_SUP[[#This Row],[NoIncrement]]=FALSE),0,1),1)</f>
        <v>0</v>
      </c>
      <c r="V202" s="57">
        <f>IF(ISBLANK(CONT_SUP[[#This Row],[FundCode]])=TRUE,0,IF(COUNTIF(FUNDS[FundCode],CONT_SUP[[#This Row],[FundCode]])=1,0,1))</f>
        <v>0</v>
      </c>
      <c r="W202" s="57">
        <f>IF(LEN(CONT_SUP[[#This Row],[Notes]])&lt;4000,0,1)</f>
        <v>0</v>
      </c>
      <c r="X202" s="57">
        <f>IF(SUBSTITUTE(TEXT(CONT_SUP[[#This Row],[Reference]],10)," ","")=TEXT(CONT_SUP[[#This Row],[Reference]],10),0,1)</f>
        <v>0</v>
      </c>
      <c r="Y202" s="57">
        <f ca="1">SUM(CONT_SUP[[#This Row],[Duplicate Contract]:[Space in Code]])</f>
        <v>1</v>
      </c>
      <c r="AA202" s="12" t="s">
        <v>2299</v>
      </c>
      <c r="AB202" s="12">
        <v>91328014</v>
      </c>
      <c r="AC202" s="12" t="s">
        <v>4798</v>
      </c>
      <c r="AD202" s="57" t="str">
        <f>_xlfn.XLOOKUP(CONT_SUP[[#This Row],[StaffMemberCode]],StaffMembers!O:O,StaffMembers!R:R)</f>
        <v>Cheryl Ann Kay</v>
      </c>
      <c r="AE202" s="12" t="s">
        <v>1180</v>
      </c>
      <c r="AF202" s="57">
        <f>_xlfn.XLOOKUP(CONT_SUP[[#This Row],[SRG]],SRG[StaffRoleGroupCode],SRG[GrossSalaryFinanceCode])</f>
        <v>615100</v>
      </c>
      <c r="AG202" s="57" t="str">
        <f>_xlfn.XLOOKUP(CONT_SUP[[#This Row],[StaffRoleCode]],ROLES[StaffRoleCode],ROLES[StaffRoleGroupCode])</f>
        <v>TA</v>
      </c>
      <c r="AH202" s="57" t="str">
        <f>_xlfn.XLOOKUP(CONT_SUP[[#This Row],[StaffRoleCode]],ROLES[StaffRoleCode],ROLES[PayScaleCode])</f>
        <v>NJC_CHE</v>
      </c>
      <c r="AI202" s="12" t="s">
        <v>3122</v>
      </c>
      <c r="AJ202" s="12">
        <v>5</v>
      </c>
      <c r="AK202" s="12" t="s">
        <v>2497</v>
      </c>
      <c r="AM202" s="68" t="s">
        <v>3132</v>
      </c>
      <c r="AN202" s="12" t="s">
        <v>3134</v>
      </c>
      <c r="AO202" s="21">
        <v>45901</v>
      </c>
      <c r="AQ202" s="12">
        <v>32.5</v>
      </c>
      <c r="AR202" t="b">
        <v>0</v>
      </c>
      <c r="AS202" t="b">
        <v>0</v>
      </c>
      <c r="AT202" s="12" t="s">
        <v>1574</v>
      </c>
    </row>
    <row r="203" spans="1:46" x14ac:dyDescent="0.3">
      <c r="A203" s="57" t="str">
        <f t="shared" si="6"/>
        <v>SBL9107577291075772ATASTA45901</v>
      </c>
      <c r="B203" s="57">
        <f>COUNTIF(CONT_SUP[Unique Contract],CONT_SUP[[#This Row],[Unique Contract]])-1</f>
        <v>0</v>
      </c>
      <c r="C203" s="57">
        <f>IFERROR(IF(FIND(CONT_SUP[[#This Row],[SchoolCode]],_xlfn.XLOOKUP(CONT_SUP[[#This Row],[StaffMemberCode]],MEMBERS[StaffMemberCode],MEMBERS[SchoolCodes]))&gt;0,0,1),1)</f>
        <v>0</v>
      </c>
      <c r="D203" s="57" cm="1">
        <f t="array" ref="D203">IF(_xlfn.XLOOKUP(CONT_SUP[[#This Row],[StaffRoleCode]],ROLES[StaffRoleCode],ROLES[AvailableToAllSchools],1,0,)=TRUE,0,IF(ISERROR(FIND(CONT_SUP[[#This Row],[SchoolCode]],_xlfn.TEXTJOIN(",",TRUE,_xlfn.UNIQUE(IF(ROLES[StaffRoleCode]=CONT_SUP[[#This Row],[StaffRoleCode]],ROLES[SchoolCodes],""))))),1,0))</f>
        <v>0</v>
      </c>
      <c r="E203" s="57" cm="1">
        <f t="array" ref="E20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03" s="57" cm="1">
        <f t="array" ref="F203">IF(_xlfn.XLOOKUP(CONT_SUP[[#This Row],[PayScaleCode]],PAYSCALES[PayScaleCode],PAYSCALES[AvailableToAllSchools],1,0,)=TRUE,0,IF(ISERROR(FIND(CONT_SUP[[#This Row],[SchoolCode]],_xlfn.TEXTJOIN(",",TRUE,_xlfn.UNIQUE(IF(PAYSCALES[PayScaleCode]=CONT_SUP[[#This Row],[PayScaleCode]],PAYSCALES[SchoolCodes],""))))),1,0))</f>
        <v>0</v>
      </c>
      <c r="G203" s="57">
        <f>IF(_xlfn.XLOOKUP(CONT_SUP[[#This Row],[PayScaleGradeCode]],GRADES[PayScaleGradeCode],GRADES[AvailableToAllSchools])=TRUE,0,IFERROR(IF(FIND(CONT_SUP[[#This Row],[SchoolCode]],_xlfn.XLOOKUP(CONT_SUP[[#This Row],[PayScaleGradeCode]],GRADES[PayScaleGradeCode],GRADES[SchoolCodes]))&gt;=1,0,1),1))</f>
        <v>0</v>
      </c>
      <c r="H203" s="57">
        <f>IF(ISERROR(IF((_xlfn.XLOOKUP(CONT_SUP[[#This Row],[PayScaleGradeCode]],GRADES[PayScaleGradeCode],GRADES[PayScaleCode])=CONT_SUP[[#This Row],[PayScaleCode]]),0,1)),1,0)</f>
        <v>0</v>
      </c>
      <c r="I203" s="57" cm="1">
        <f t="array" ref="I203">IF(ISERROR(FIND(CONT_SUP[[#This Row],[PayScalePointCode]],_xlfn.TEXTJOIN(",",TRUE,IF(PSPOINTS[PayScaleCode]=CONT_SUP[[#This Row],[PayScaleCode]],PSPOINTS[PayScalePointCode])))),1,0)</f>
        <v>0</v>
      </c>
      <c r="J203" s="57" cm="1">
        <f t="array" ref="J20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03" s="57">
        <f>IF(_xlfn.XLOOKUP(CONT_SUP[[#This Row],[PayScalePointCode]],PSPOINTS[PayScalePointCode],PSPOINTS[PayScalePointEnabled])=TRUE,0,1)</f>
        <v>0</v>
      </c>
      <c r="L203" s="57" cm="1">
        <f t="array" ref="L203">IF(_xlfn.XLOOKUP(CONT_SUP[[#This Row],[DepartmentCode]],DEPTS[DepartmentCode],DEPTS[AvailableToAllSchools],1,0,)=TRUE,0,IF(ISERROR(FIND(CONT_SUP[[#This Row],[SchoolCode]],_xlfn.TEXTJOIN(",",TRUE,_xlfn.UNIQUE(IF(DEPTS[DepartmentCode]=CONT_SUP[[#This Row],[DepartmentCode]],DEPTS[SchoolCodes],""))))),1,0))</f>
        <v>0</v>
      </c>
      <c r="M203" s="57">
        <f>IFERROR(IF(_xlfn.XLOOKUP(CONT_SUP[[#This Row],[SRG Gross]],FinanceCodesBudget[FinanceCode],FinanceCodesBudget[LedgerCode])=_xlfn.XLOOKUP(CONT_SUP[[#This Row],[DepartmentCode]],DEPTS[DepartmentCode],DEPTS[LedgerCode]),0,1),1)</f>
        <v>1</v>
      </c>
      <c r="N203" s="57" cm="1">
        <f t="array" ref="N203">IF(_xlfn.XLOOKUP(CONT_SUP[[#This Row],[PensionCode]],PENS[PensionCode],PENS[AvailableToAllSchools],1,0,)=TRUE,0,IF(ISERROR(FIND(CONT_SUP[[#This Row],[SchoolCode]],_xlfn.TEXTJOIN(",",TRUE,_xlfn.UNIQUE(IF(PENS[PensionCode]=CONT_SUP[[#This Row],[PensionCode]],PENS[SchoolCodes],""))))),1,0))</f>
        <v>0</v>
      </c>
      <c r="O203" s="57" cm="1">
        <f t="array" ref="O203">IF(_xlfn.XLOOKUP(CONT_SUP[[#This Row],[EquatedWeekPatternCode]],EQW[EquatedWeekPatternCode],EQW[AvailableToAllSchools],1,0,)=TRUE,0,IF(ISERROR(FIND(CONT_SUP[[#This Row],[SchoolCode]],_xlfn.TEXTJOIN(",",TRUE,_xlfn.UNIQUE(IF(EQW[EquatedWeekPatternCode]=CONT_SUP[[#This Row],[EquatedWeekPatternCode]],EQW[SchoolCodes],""))))),1,0))</f>
        <v>0</v>
      </c>
      <c r="P203" s="57">
        <f>1-COUNTIF(ContractTypes[Code],CONT_SUP[[#This Row],[ContractTypeCode]])</f>
        <v>0</v>
      </c>
      <c r="Q203" s="57">
        <f>IF(VLOOKUP(CONT_SUP[[#This Row],[StaffMemberCode]],MEMBERS[[StaffMemberCode]:[ServiceStartDate]],5,0)&gt;CONT_SUP[[#This Row],[DateFrom]],1,0)</f>
        <v>0</v>
      </c>
      <c r="R203" s="57">
        <f>IF(_xlfn.XLOOKUP(CONT_SUP[[#This Row],[StaffMemberCode]],MEMBERS[StaffMemberCode],MEMBERS[ServiceEndDate])="",0,IF(CONT_SUP[[#This Row],[DateTo]]="",1,IF(_xlfn.XLOOKUP(CONT_SUP[[#This Row],[StaffMemberCode]],MEMBERS[StaffMemberCode],MEMBERS[ServiceEndDate])&lt;CONT_SUP[[#This Row],[DateTo]],1,0)))</f>
        <v>0</v>
      </c>
      <c r="S203" s="57">
        <f>IF(ISBLANK(CONT_SUP[[#This Row],[DateTo]]),0,IF(CONT_SUP[[#This Row],[DateFrom]]=CONT_SUP[[#This Row],[DateTo]],0,IF(CONT_SUP[[#This Row],[DateFrom]]&lt;CONT_SUP[[#This Row],[DateTo]],0,1)))</f>
        <v>0</v>
      </c>
      <c r="T203" s="57" cm="1">
        <f t="array" aca="1" ref="T203" ca="1">IF(CELL("format",CONT_SUP[[#This Row],[DateFrom]])="D1",0,1)+IF(CELL("format",CONT_SUP[[#This Row],[DateTo]])="D1",0,1)</f>
        <v>0</v>
      </c>
      <c r="U203" s="57">
        <f>IF(OR(CONT_SUP[[#This Row],[MatEditOnly]]=TRUE,CONT_SUP[[#This Row],[MatEditOnly]]=FALSE),IF(OR(CONT_SUP[[#This Row],[NoIncrement]]=TRUE,CONT_SUP[[#This Row],[NoIncrement]]=FALSE),0,1),1)</f>
        <v>0</v>
      </c>
      <c r="V203" s="57">
        <f>IF(ISBLANK(CONT_SUP[[#This Row],[FundCode]])=TRUE,0,IF(COUNTIF(FUNDS[FundCode],CONT_SUP[[#This Row],[FundCode]])=1,0,1))</f>
        <v>0</v>
      </c>
      <c r="W203" s="57">
        <f>IF(LEN(CONT_SUP[[#This Row],[Notes]])&lt;4000,0,1)</f>
        <v>0</v>
      </c>
      <c r="X203" s="57">
        <f>IF(SUBSTITUTE(TEXT(CONT_SUP[[#This Row],[Reference]],10)," ","")=TEXT(CONT_SUP[[#This Row],[Reference]],10),0,1)</f>
        <v>0</v>
      </c>
      <c r="Y203" s="57">
        <f ca="1">SUM(CONT_SUP[[#This Row],[Duplicate Contract]:[Space in Code]])</f>
        <v>1</v>
      </c>
      <c r="AA203" s="12" t="s">
        <v>2200</v>
      </c>
      <c r="AB203" s="12">
        <v>91075772</v>
      </c>
      <c r="AC203" s="12" t="s">
        <v>4799</v>
      </c>
      <c r="AD203" s="57" t="str">
        <f>_xlfn.XLOOKUP(CONT_SUP[[#This Row],[StaffMemberCode]],StaffMembers!O:O,StaffMembers!R:R)</f>
        <v>Chloe Fitton</v>
      </c>
      <c r="AE203" s="12" t="s">
        <v>1180</v>
      </c>
      <c r="AF203" s="57">
        <f>_xlfn.XLOOKUP(CONT_SUP[[#This Row],[SRG]],SRG[StaffRoleGroupCode],SRG[GrossSalaryFinanceCode])</f>
        <v>615100</v>
      </c>
      <c r="AG203" s="57" t="str">
        <f>_xlfn.XLOOKUP(CONT_SUP[[#This Row],[StaffRoleCode]],ROLES[StaffRoleCode],ROLES[StaffRoleGroupCode])</f>
        <v>TA</v>
      </c>
      <c r="AH203" s="57" t="str">
        <f>_xlfn.XLOOKUP(CONT_SUP[[#This Row],[StaffRoleCode]],ROLES[StaffRoleCode],ROLES[PayScaleCode])</f>
        <v>NJC_CHE</v>
      </c>
      <c r="AI203" s="12" t="s">
        <v>3122</v>
      </c>
      <c r="AJ203" s="12">
        <v>5</v>
      </c>
      <c r="AK203" s="12" t="s">
        <v>2497</v>
      </c>
      <c r="AM203" s="68" t="s">
        <v>3132</v>
      </c>
      <c r="AN203" s="12" t="s">
        <v>3134</v>
      </c>
      <c r="AO203" s="21">
        <v>45901</v>
      </c>
      <c r="AQ203" s="12">
        <v>30.75</v>
      </c>
      <c r="AR203" t="b">
        <v>0</v>
      </c>
      <c r="AS203" t="b">
        <v>0</v>
      </c>
      <c r="AT203" s="12" t="s">
        <v>1574</v>
      </c>
    </row>
    <row r="204" spans="1:46" x14ac:dyDescent="0.3">
      <c r="A204" s="57" t="str">
        <f t="shared" si="6"/>
        <v>ALS9185006491850064ATASTA45943</v>
      </c>
      <c r="B204" s="57">
        <f>COUNTIF(CONT_SUP[Unique Contract],CONT_SUP[[#This Row],[Unique Contract]])-1</f>
        <v>0</v>
      </c>
      <c r="C204" s="57">
        <f>IFERROR(IF(FIND(CONT_SUP[[#This Row],[SchoolCode]],_xlfn.XLOOKUP(CONT_SUP[[#This Row],[StaffMemberCode]],MEMBERS[StaffMemberCode],MEMBERS[SchoolCodes]))&gt;0,0,1),1)</f>
        <v>0</v>
      </c>
      <c r="D204" s="57" cm="1">
        <f t="array" ref="D204">IF(_xlfn.XLOOKUP(CONT_SUP[[#This Row],[StaffRoleCode]],ROLES[StaffRoleCode],ROLES[AvailableToAllSchools],1,0,)=TRUE,0,IF(ISERROR(FIND(CONT_SUP[[#This Row],[SchoolCode]],_xlfn.TEXTJOIN(",",TRUE,_xlfn.UNIQUE(IF(ROLES[StaffRoleCode]=CONT_SUP[[#This Row],[StaffRoleCode]],ROLES[SchoolCodes],""))))),1,0))</f>
        <v>0</v>
      </c>
      <c r="E204" s="57" cm="1">
        <f t="array" ref="E20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04" s="57" cm="1">
        <f t="array" ref="F204">IF(_xlfn.XLOOKUP(CONT_SUP[[#This Row],[PayScaleCode]],PAYSCALES[PayScaleCode],PAYSCALES[AvailableToAllSchools],1,0,)=TRUE,0,IF(ISERROR(FIND(CONT_SUP[[#This Row],[SchoolCode]],_xlfn.TEXTJOIN(",",TRUE,_xlfn.UNIQUE(IF(PAYSCALES[PayScaleCode]=CONT_SUP[[#This Row],[PayScaleCode]],PAYSCALES[SchoolCodes],""))))),1,0))</f>
        <v>0</v>
      </c>
      <c r="G204" s="57">
        <f>IF(_xlfn.XLOOKUP(CONT_SUP[[#This Row],[PayScaleGradeCode]],GRADES[PayScaleGradeCode],GRADES[AvailableToAllSchools])=TRUE,0,IFERROR(IF(FIND(CONT_SUP[[#This Row],[SchoolCode]],_xlfn.XLOOKUP(CONT_SUP[[#This Row],[PayScaleGradeCode]],GRADES[PayScaleGradeCode],GRADES[SchoolCodes]))&gt;=1,0,1),1))</f>
        <v>0</v>
      </c>
      <c r="H204" s="57">
        <f>IF(ISERROR(IF((_xlfn.XLOOKUP(CONT_SUP[[#This Row],[PayScaleGradeCode]],GRADES[PayScaleGradeCode],GRADES[PayScaleCode])=CONT_SUP[[#This Row],[PayScaleCode]]),0,1)),1,0)</f>
        <v>0</v>
      </c>
      <c r="I204" s="57" cm="1">
        <f t="array" ref="I204">IF(ISERROR(FIND(CONT_SUP[[#This Row],[PayScalePointCode]],_xlfn.TEXTJOIN(",",TRUE,IF(PSPOINTS[PayScaleCode]=CONT_SUP[[#This Row],[PayScaleCode]],PSPOINTS[PayScalePointCode])))),1,0)</f>
        <v>0</v>
      </c>
      <c r="J204" s="57" cm="1">
        <f t="array" ref="J20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04" s="57">
        <f>IF(_xlfn.XLOOKUP(CONT_SUP[[#This Row],[PayScalePointCode]],PSPOINTS[PayScalePointCode],PSPOINTS[PayScalePointEnabled])=TRUE,0,1)</f>
        <v>0</v>
      </c>
      <c r="L204" s="57" cm="1">
        <f t="array" ref="L204">IF(_xlfn.XLOOKUP(CONT_SUP[[#This Row],[DepartmentCode]],DEPTS[DepartmentCode],DEPTS[AvailableToAllSchools],1,0,)=TRUE,0,IF(ISERROR(FIND(CONT_SUP[[#This Row],[SchoolCode]],_xlfn.TEXTJOIN(",",TRUE,_xlfn.UNIQUE(IF(DEPTS[DepartmentCode]=CONT_SUP[[#This Row],[DepartmentCode]],DEPTS[SchoolCodes],""))))),1,0))</f>
        <v>0</v>
      </c>
      <c r="M204" s="57">
        <f>IFERROR(IF(_xlfn.XLOOKUP(CONT_SUP[[#This Row],[SRG Gross]],FinanceCodesBudget[FinanceCode],FinanceCodesBudget[LedgerCode])=_xlfn.XLOOKUP(CONT_SUP[[#This Row],[DepartmentCode]],DEPTS[DepartmentCode],DEPTS[LedgerCode]),0,1),1)</f>
        <v>1</v>
      </c>
      <c r="N204" s="57" cm="1">
        <f t="array" ref="N204">IF(_xlfn.XLOOKUP(CONT_SUP[[#This Row],[PensionCode]],PENS[PensionCode],PENS[AvailableToAllSchools],1,0,)=TRUE,0,IF(ISERROR(FIND(CONT_SUP[[#This Row],[SchoolCode]],_xlfn.TEXTJOIN(",",TRUE,_xlfn.UNIQUE(IF(PENS[PensionCode]=CONT_SUP[[#This Row],[PensionCode]],PENS[SchoolCodes],""))))),1,0))</f>
        <v>0</v>
      </c>
      <c r="O204" s="57" cm="1">
        <f t="array" ref="O204">IF(_xlfn.XLOOKUP(CONT_SUP[[#This Row],[EquatedWeekPatternCode]],EQW[EquatedWeekPatternCode],EQW[AvailableToAllSchools],1,0,)=TRUE,0,IF(ISERROR(FIND(CONT_SUP[[#This Row],[SchoolCode]],_xlfn.TEXTJOIN(",",TRUE,_xlfn.UNIQUE(IF(EQW[EquatedWeekPatternCode]=CONT_SUP[[#This Row],[EquatedWeekPatternCode]],EQW[SchoolCodes],""))))),1,0))</f>
        <v>0</v>
      </c>
      <c r="P204" s="57">
        <f>1-COUNTIF(ContractTypes[Code],CONT_SUP[[#This Row],[ContractTypeCode]])</f>
        <v>0</v>
      </c>
      <c r="Q204" s="57">
        <f>IF(VLOOKUP(CONT_SUP[[#This Row],[StaffMemberCode]],MEMBERS[[StaffMemberCode]:[ServiceStartDate]],5,0)&gt;CONT_SUP[[#This Row],[DateFrom]],1,0)</f>
        <v>0</v>
      </c>
      <c r="R204" s="57">
        <f>IF(_xlfn.XLOOKUP(CONT_SUP[[#This Row],[StaffMemberCode]],MEMBERS[StaffMemberCode],MEMBERS[ServiceEndDate])="",0,IF(CONT_SUP[[#This Row],[DateTo]]="",1,IF(_xlfn.XLOOKUP(CONT_SUP[[#This Row],[StaffMemberCode]],MEMBERS[StaffMemberCode],MEMBERS[ServiceEndDate])&lt;CONT_SUP[[#This Row],[DateTo]],1,0)))</f>
        <v>0</v>
      </c>
      <c r="S204" s="57">
        <f>IF(ISBLANK(CONT_SUP[[#This Row],[DateTo]]),0,IF(CONT_SUP[[#This Row],[DateFrom]]=CONT_SUP[[#This Row],[DateTo]],0,IF(CONT_SUP[[#This Row],[DateFrom]]&lt;CONT_SUP[[#This Row],[DateTo]],0,1)))</f>
        <v>0</v>
      </c>
      <c r="T204" s="57" cm="1">
        <f t="array" aca="1" ref="T204" ca="1">IF(CELL("format",CONT_SUP[[#This Row],[DateFrom]])="D1",0,1)+IF(CELL("format",CONT_SUP[[#This Row],[DateTo]])="D1",0,1)</f>
        <v>0</v>
      </c>
      <c r="U204" s="57">
        <f>IF(OR(CONT_SUP[[#This Row],[MatEditOnly]]=TRUE,CONT_SUP[[#This Row],[MatEditOnly]]=FALSE),IF(OR(CONT_SUP[[#This Row],[NoIncrement]]=TRUE,CONT_SUP[[#This Row],[NoIncrement]]=FALSE),0,1),1)</f>
        <v>0</v>
      </c>
      <c r="V204" s="57">
        <f>IF(ISBLANK(CONT_SUP[[#This Row],[FundCode]])=TRUE,0,IF(COUNTIF(FUNDS[FundCode],CONT_SUP[[#This Row],[FundCode]])=1,0,1))</f>
        <v>0</v>
      </c>
      <c r="W204" s="57">
        <f>IF(LEN(CONT_SUP[[#This Row],[Notes]])&lt;4000,0,1)</f>
        <v>0</v>
      </c>
      <c r="X204" s="57">
        <f>IF(SUBSTITUTE(TEXT(CONT_SUP[[#This Row],[Reference]],10)," ","")=TEXT(CONT_SUP[[#This Row],[Reference]],10),0,1)</f>
        <v>0</v>
      </c>
      <c r="Y204" s="57">
        <f ca="1">SUM(CONT_SUP[[#This Row],[Duplicate Contract]:[Space in Code]])</f>
        <v>1</v>
      </c>
      <c r="AA204" s="12" t="s">
        <v>2082</v>
      </c>
      <c r="AB204" s="12">
        <v>91850064</v>
      </c>
      <c r="AC204" s="12" t="s">
        <v>4800</v>
      </c>
      <c r="AD204" s="57" t="str">
        <f>_xlfn.XLOOKUP(CONT_SUP[[#This Row],[StaffMemberCode]],StaffMembers!O:O,StaffMembers!R:R)</f>
        <v>Claire Butler</v>
      </c>
      <c r="AE204" s="12" t="s">
        <v>1180</v>
      </c>
      <c r="AF204" s="57">
        <f>_xlfn.XLOOKUP(CONT_SUP[[#This Row],[SRG]],SRG[StaffRoleGroupCode],SRG[GrossSalaryFinanceCode])</f>
        <v>615100</v>
      </c>
      <c r="AG204" s="57" t="str">
        <f>_xlfn.XLOOKUP(CONT_SUP[[#This Row],[StaffRoleCode]],ROLES[StaffRoleCode],ROLES[StaffRoleGroupCode])</f>
        <v>TA</v>
      </c>
      <c r="AH204" s="57" t="str">
        <f>_xlfn.XLOOKUP(CONT_SUP[[#This Row],[StaffRoleCode]],ROLES[StaffRoleCode],ROLES[PayScaleCode])</f>
        <v>NJC_CHE</v>
      </c>
      <c r="AI204" s="12" t="s">
        <v>3122</v>
      </c>
      <c r="AJ204" s="12">
        <v>5</v>
      </c>
      <c r="AK204" s="12" t="s">
        <v>2497</v>
      </c>
      <c r="AM204" s="68" t="s">
        <v>3132</v>
      </c>
      <c r="AN204" s="12" t="s">
        <v>3135</v>
      </c>
      <c r="AO204" s="21">
        <v>45943</v>
      </c>
      <c r="AQ204" s="12">
        <v>31.25</v>
      </c>
      <c r="AR204" t="b">
        <v>0</v>
      </c>
      <c r="AS204" t="b">
        <v>0</v>
      </c>
      <c r="AT204" s="12" t="s">
        <v>1575</v>
      </c>
    </row>
    <row r="205" spans="1:46" x14ac:dyDescent="0.3">
      <c r="A205" s="57" t="str">
        <f t="shared" si="6"/>
        <v>HIG9107389391073893ATASTA45901</v>
      </c>
      <c r="B205" s="57">
        <f>COUNTIF(CONT_SUP[Unique Contract],CONT_SUP[[#This Row],[Unique Contract]])-1</f>
        <v>0</v>
      </c>
      <c r="C205" s="57">
        <f>IFERROR(IF(FIND(CONT_SUP[[#This Row],[SchoolCode]],_xlfn.XLOOKUP(CONT_SUP[[#This Row],[StaffMemberCode]],MEMBERS[StaffMemberCode],MEMBERS[SchoolCodes]))&gt;0,0,1),1)</f>
        <v>0</v>
      </c>
      <c r="D205" s="57" cm="1">
        <f t="array" ref="D205">IF(_xlfn.XLOOKUP(CONT_SUP[[#This Row],[StaffRoleCode]],ROLES[StaffRoleCode],ROLES[AvailableToAllSchools],1,0,)=TRUE,0,IF(ISERROR(FIND(CONT_SUP[[#This Row],[SchoolCode]],_xlfn.TEXTJOIN(",",TRUE,_xlfn.UNIQUE(IF(ROLES[StaffRoleCode]=CONT_SUP[[#This Row],[StaffRoleCode]],ROLES[SchoolCodes],""))))),1,0))</f>
        <v>0</v>
      </c>
      <c r="E205" s="57" cm="1">
        <f t="array" ref="E20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05" s="57" cm="1">
        <f t="array" ref="F205">IF(_xlfn.XLOOKUP(CONT_SUP[[#This Row],[PayScaleCode]],PAYSCALES[PayScaleCode],PAYSCALES[AvailableToAllSchools],1,0,)=TRUE,0,IF(ISERROR(FIND(CONT_SUP[[#This Row],[SchoolCode]],_xlfn.TEXTJOIN(",",TRUE,_xlfn.UNIQUE(IF(PAYSCALES[PayScaleCode]=CONT_SUP[[#This Row],[PayScaleCode]],PAYSCALES[SchoolCodes],""))))),1,0))</f>
        <v>0</v>
      </c>
      <c r="G205" s="57">
        <f>IF(_xlfn.XLOOKUP(CONT_SUP[[#This Row],[PayScaleGradeCode]],GRADES[PayScaleGradeCode],GRADES[AvailableToAllSchools])=TRUE,0,IFERROR(IF(FIND(CONT_SUP[[#This Row],[SchoolCode]],_xlfn.XLOOKUP(CONT_SUP[[#This Row],[PayScaleGradeCode]],GRADES[PayScaleGradeCode],GRADES[SchoolCodes]))&gt;=1,0,1),1))</f>
        <v>0</v>
      </c>
      <c r="H205" s="57">
        <f>IF(ISERROR(IF((_xlfn.XLOOKUP(CONT_SUP[[#This Row],[PayScaleGradeCode]],GRADES[PayScaleGradeCode],GRADES[PayScaleCode])=CONT_SUP[[#This Row],[PayScaleCode]]),0,1)),1,0)</f>
        <v>0</v>
      </c>
      <c r="I205" s="57" cm="1">
        <f t="array" ref="I205">IF(ISERROR(FIND(CONT_SUP[[#This Row],[PayScalePointCode]],_xlfn.TEXTJOIN(",",TRUE,IF(PSPOINTS[PayScaleCode]=CONT_SUP[[#This Row],[PayScaleCode]],PSPOINTS[PayScalePointCode])))),1,0)</f>
        <v>0</v>
      </c>
      <c r="J205" s="57" cm="1">
        <f t="array" ref="J20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05" s="57">
        <f>IF(_xlfn.XLOOKUP(CONT_SUP[[#This Row],[PayScalePointCode]],PSPOINTS[PayScalePointCode],PSPOINTS[PayScalePointEnabled])=TRUE,0,1)</f>
        <v>0</v>
      </c>
      <c r="L205" s="57" cm="1">
        <f t="array" ref="L205">IF(_xlfn.XLOOKUP(CONT_SUP[[#This Row],[DepartmentCode]],DEPTS[DepartmentCode],DEPTS[AvailableToAllSchools],1,0,)=TRUE,0,IF(ISERROR(FIND(CONT_SUP[[#This Row],[SchoolCode]],_xlfn.TEXTJOIN(",",TRUE,_xlfn.UNIQUE(IF(DEPTS[DepartmentCode]=CONT_SUP[[#This Row],[DepartmentCode]],DEPTS[SchoolCodes],""))))),1,0))</f>
        <v>0</v>
      </c>
      <c r="M205" s="57">
        <f>IFERROR(IF(_xlfn.XLOOKUP(CONT_SUP[[#This Row],[SRG Gross]],FinanceCodesBudget[FinanceCode],FinanceCodesBudget[LedgerCode])=_xlfn.XLOOKUP(CONT_SUP[[#This Row],[DepartmentCode]],DEPTS[DepartmentCode],DEPTS[LedgerCode]),0,1),1)</f>
        <v>1</v>
      </c>
      <c r="N205" s="57" cm="1">
        <f t="array" ref="N205">IF(_xlfn.XLOOKUP(CONT_SUP[[#This Row],[PensionCode]],PENS[PensionCode],PENS[AvailableToAllSchools],1,0,)=TRUE,0,IF(ISERROR(FIND(CONT_SUP[[#This Row],[SchoolCode]],_xlfn.TEXTJOIN(",",TRUE,_xlfn.UNIQUE(IF(PENS[PensionCode]=CONT_SUP[[#This Row],[PensionCode]],PENS[SchoolCodes],""))))),1,0))</f>
        <v>0</v>
      </c>
      <c r="O205" s="57" cm="1">
        <f t="array" ref="O205">IF(_xlfn.XLOOKUP(CONT_SUP[[#This Row],[EquatedWeekPatternCode]],EQW[EquatedWeekPatternCode],EQW[AvailableToAllSchools],1,0,)=TRUE,0,IF(ISERROR(FIND(CONT_SUP[[#This Row],[SchoolCode]],_xlfn.TEXTJOIN(",",TRUE,_xlfn.UNIQUE(IF(EQW[EquatedWeekPatternCode]=CONT_SUP[[#This Row],[EquatedWeekPatternCode]],EQW[SchoolCodes],""))))),1,0))</f>
        <v>0</v>
      </c>
      <c r="P205" s="57">
        <f>1-COUNTIF(ContractTypes[Code],CONT_SUP[[#This Row],[ContractTypeCode]])</f>
        <v>0</v>
      </c>
      <c r="Q205" s="57">
        <f>IF(VLOOKUP(CONT_SUP[[#This Row],[StaffMemberCode]],MEMBERS[[StaffMemberCode]:[ServiceStartDate]],5,0)&gt;CONT_SUP[[#This Row],[DateFrom]],1,0)</f>
        <v>0</v>
      </c>
      <c r="R205" s="57">
        <f>IF(_xlfn.XLOOKUP(CONT_SUP[[#This Row],[StaffMemberCode]],MEMBERS[StaffMemberCode],MEMBERS[ServiceEndDate])="",0,IF(CONT_SUP[[#This Row],[DateTo]]="",1,IF(_xlfn.XLOOKUP(CONT_SUP[[#This Row],[StaffMemberCode]],MEMBERS[StaffMemberCode],MEMBERS[ServiceEndDate])&lt;CONT_SUP[[#This Row],[DateTo]],1,0)))</f>
        <v>0</v>
      </c>
      <c r="S205" s="57">
        <f>IF(ISBLANK(CONT_SUP[[#This Row],[DateTo]]),0,IF(CONT_SUP[[#This Row],[DateFrom]]=CONT_SUP[[#This Row],[DateTo]],0,IF(CONT_SUP[[#This Row],[DateFrom]]&lt;CONT_SUP[[#This Row],[DateTo]],0,1)))</f>
        <v>0</v>
      </c>
      <c r="T205" s="57" cm="1">
        <f t="array" aca="1" ref="T205" ca="1">IF(CELL("format",CONT_SUP[[#This Row],[DateFrom]])="D1",0,1)+IF(CELL("format",CONT_SUP[[#This Row],[DateTo]])="D1",0,1)</f>
        <v>0</v>
      </c>
      <c r="U205" s="57">
        <f>IF(OR(CONT_SUP[[#This Row],[MatEditOnly]]=TRUE,CONT_SUP[[#This Row],[MatEditOnly]]=FALSE),IF(OR(CONT_SUP[[#This Row],[NoIncrement]]=TRUE,CONT_SUP[[#This Row],[NoIncrement]]=FALSE),0,1),1)</f>
        <v>0</v>
      </c>
      <c r="V205" s="57">
        <f>IF(ISBLANK(CONT_SUP[[#This Row],[FundCode]])=TRUE,0,IF(COUNTIF(FUNDS[FundCode],CONT_SUP[[#This Row],[FundCode]])=1,0,1))</f>
        <v>0</v>
      </c>
      <c r="W205" s="57">
        <f>IF(LEN(CONT_SUP[[#This Row],[Notes]])&lt;4000,0,1)</f>
        <v>0</v>
      </c>
      <c r="X205" s="57">
        <f>IF(SUBSTITUTE(TEXT(CONT_SUP[[#This Row],[Reference]],10)," ","")=TEXT(CONT_SUP[[#This Row],[Reference]],10),0,1)</f>
        <v>0</v>
      </c>
      <c r="Y205" s="57">
        <f ca="1">SUM(CONT_SUP[[#This Row],[Duplicate Contract]:[Space in Code]])</f>
        <v>1</v>
      </c>
      <c r="AA205" s="12" t="s">
        <v>2266</v>
      </c>
      <c r="AB205" s="12">
        <v>91073893</v>
      </c>
      <c r="AC205" s="12" t="s">
        <v>4801</v>
      </c>
      <c r="AD205" s="57" t="str">
        <f>_xlfn.XLOOKUP(CONT_SUP[[#This Row],[StaffMemberCode]],StaffMembers!O:O,StaffMembers!R:R)</f>
        <v>Claire Ellis</v>
      </c>
      <c r="AE205" s="12" t="s">
        <v>1180</v>
      </c>
      <c r="AF205" s="57">
        <f>_xlfn.XLOOKUP(CONT_SUP[[#This Row],[SRG]],SRG[StaffRoleGroupCode],SRG[GrossSalaryFinanceCode])</f>
        <v>615100</v>
      </c>
      <c r="AG205" s="57" t="str">
        <f>_xlfn.XLOOKUP(CONT_SUP[[#This Row],[StaffRoleCode]],ROLES[StaffRoleCode],ROLES[StaffRoleGroupCode])</f>
        <v>TA</v>
      </c>
      <c r="AH205" s="57" t="str">
        <f>_xlfn.XLOOKUP(CONT_SUP[[#This Row],[StaffRoleCode]],ROLES[StaffRoleCode],ROLES[PayScaleCode])</f>
        <v>NJC_CHE</v>
      </c>
      <c r="AI205" s="12" t="s">
        <v>3122</v>
      </c>
      <c r="AJ205" s="12">
        <v>6</v>
      </c>
      <c r="AK205" s="12" t="s">
        <v>2497</v>
      </c>
      <c r="AM205" s="68" t="s">
        <v>3132</v>
      </c>
      <c r="AN205" s="12" t="s">
        <v>3135</v>
      </c>
      <c r="AO205" s="21">
        <v>45901</v>
      </c>
      <c r="AQ205" s="12">
        <v>32.5</v>
      </c>
      <c r="AR205" t="b">
        <v>0</v>
      </c>
      <c r="AS205" t="b">
        <v>0</v>
      </c>
      <c r="AT205" s="12" t="s">
        <v>1574</v>
      </c>
    </row>
    <row r="206" spans="1:46" x14ac:dyDescent="0.3">
      <c r="A206" s="57" t="str">
        <f t="shared" si="6"/>
        <v>WVP9185000791850007ATASTA45901</v>
      </c>
      <c r="B206" s="57">
        <f>COUNTIF(CONT_SUP[Unique Contract],CONT_SUP[[#This Row],[Unique Contract]])-1</f>
        <v>0</v>
      </c>
      <c r="C206" s="57">
        <f>IFERROR(IF(FIND(CONT_SUP[[#This Row],[SchoolCode]],_xlfn.XLOOKUP(CONT_SUP[[#This Row],[StaffMemberCode]],MEMBERS[StaffMemberCode],MEMBERS[SchoolCodes]))&gt;0,0,1),1)</f>
        <v>0</v>
      </c>
      <c r="D206" s="57" cm="1">
        <f t="array" ref="D206">IF(_xlfn.XLOOKUP(CONT_SUP[[#This Row],[StaffRoleCode]],ROLES[StaffRoleCode],ROLES[AvailableToAllSchools],1,0,)=TRUE,0,IF(ISERROR(FIND(CONT_SUP[[#This Row],[SchoolCode]],_xlfn.TEXTJOIN(",",TRUE,_xlfn.UNIQUE(IF(ROLES[StaffRoleCode]=CONT_SUP[[#This Row],[StaffRoleCode]],ROLES[SchoolCodes],""))))),1,0))</f>
        <v>0</v>
      </c>
      <c r="E206" s="57" cm="1">
        <f t="array" ref="E20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06" s="57" cm="1">
        <f t="array" ref="F206">IF(_xlfn.XLOOKUP(CONT_SUP[[#This Row],[PayScaleCode]],PAYSCALES[PayScaleCode],PAYSCALES[AvailableToAllSchools],1,0,)=TRUE,0,IF(ISERROR(FIND(CONT_SUP[[#This Row],[SchoolCode]],_xlfn.TEXTJOIN(",",TRUE,_xlfn.UNIQUE(IF(PAYSCALES[PayScaleCode]=CONT_SUP[[#This Row],[PayScaleCode]],PAYSCALES[SchoolCodes],""))))),1,0))</f>
        <v>0</v>
      </c>
      <c r="G206" s="57">
        <f>IF(_xlfn.XLOOKUP(CONT_SUP[[#This Row],[PayScaleGradeCode]],GRADES[PayScaleGradeCode],GRADES[AvailableToAllSchools])=TRUE,0,IFERROR(IF(FIND(CONT_SUP[[#This Row],[SchoolCode]],_xlfn.XLOOKUP(CONT_SUP[[#This Row],[PayScaleGradeCode]],GRADES[PayScaleGradeCode],GRADES[SchoolCodes]))&gt;=1,0,1),1))</f>
        <v>0</v>
      </c>
      <c r="H206" s="57">
        <f>IF(ISERROR(IF((_xlfn.XLOOKUP(CONT_SUP[[#This Row],[PayScaleGradeCode]],GRADES[PayScaleGradeCode],GRADES[PayScaleCode])=CONT_SUP[[#This Row],[PayScaleCode]]),0,1)),1,0)</f>
        <v>0</v>
      </c>
      <c r="I206" s="57" cm="1">
        <f t="array" ref="I206">IF(ISERROR(FIND(CONT_SUP[[#This Row],[PayScalePointCode]],_xlfn.TEXTJOIN(",",TRUE,IF(PSPOINTS[PayScaleCode]=CONT_SUP[[#This Row],[PayScaleCode]],PSPOINTS[PayScalePointCode])))),1,0)</f>
        <v>0</v>
      </c>
      <c r="J206" s="57" cm="1">
        <f t="array" ref="J20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06" s="57">
        <f>IF(_xlfn.XLOOKUP(CONT_SUP[[#This Row],[PayScalePointCode]],PSPOINTS[PayScalePointCode],PSPOINTS[PayScalePointEnabled])=TRUE,0,1)</f>
        <v>0</v>
      </c>
      <c r="L206" s="57" cm="1">
        <f t="array" ref="L206">IF(_xlfn.XLOOKUP(CONT_SUP[[#This Row],[DepartmentCode]],DEPTS[DepartmentCode],DEPTS[AvailableToAllSchools],1,0,)=TRUE,0,IF(ISERROR(FIND(CONT_SUP[[#This Row],[SchoolCode]],_xlfn.TEXTJOIN(",",TRUE,_xlfn.UNIQUE(IF(DEPTS[DepartmentCode]=CONT_SUP[[#This Row],[DepartmentCode]],DEPTS[SchoolCodes],""))))),1,0))</f>
        <v>0</v>
      </c>
      <c r="M206" s="57">
        <f>IFERROR(IF(_xlfn.XLOOKUP(CONT_SUP[[#This Row],[SRG Gross]],FinanceCodesBudget[FinanceCode],FinanceCodesBudget[LedgerCode])=_xlfn.XLOOKUP(CONT_SUP[[#This Row],[DepartmentCode]],DEPTS[DepartmentCode],DEPTS[LedgerCode]),0,1),1)</f>
        <v>1</v>
      </c>
      <c r="N206" s="57" cm="1">
        <f t="array" ref="N206">IF(_xlfn.XLOOKUP(CONT_SUP[[#This Row],[PensionCode]],PENS[PensionCode],PENS[AvailableToAllSchools],1,0,)=TRUE,0,IF(ISERROR(FIND(CONT_SUP[[#This Row],[SchoolCode]],_xlfn.TEXTJOIN(",",TRUE,_xlfn.UNIQUE(IF(PENS[PensionCode]=CONT_SUP[[#This Row],[PensionCode]],PENS[SchoolCodes],""))))),1,0))</f>
        <v>0</v>
      </c>
      <c r="O206" s="57" cm="1">
        <f t="array" ref="O206">IF(_xlfn.XLOOKUP(CONT_SUP[[#This Row],[EquatedWeekPatternCode]],EQW[EquatedWeekPatternCode],EQW[AvailableToAllSchools],1,0,)=TRUE,0,IF(ISERROR(FIND(CONT_SUP[[#This Row],[SchoolCode]],_xlfn.TEXTJOIN(",",TRUE,_xlfn.UNIQUE(IF(EQW[EquatedWeekPatternCode]=CONT_SUP[[#This Row],[EquatedWeekPatternCode]],EQW[SchoolCodes],""))))),1,0))</f>
        <v>0</v>
      </c>
      <c r="P206" s="57">
        <f>1-COUNTIF(ContractTypes[Code],CONT_SUP[[#This Row],[ContractTypeCode]])</f>
        <v>0</v>
      </c>
      <c r="Q206" s="57">
        <f>IF(VLOOKUP(CONT_SUP[[#This Row],[StaffMemberCode]],MEMBERS[[StaffMemberCode]:[ServiceStartDate]],5,0)&gt;CONT_SUP[[#This Row],[DateFrom]],1,0)</f>
        <v>0</v>
      </c>
      <c r="R206" s="57">
        <f>IF(_xlfn.XLOOKUP(CONT_SUP[[#This Row],[StaffMemberCode]],MEMBERS[StaffMemberCode],MEMBERS[ServiceEndDate])="",0,IF(CONT_SUP[[#This Row],[DateTo]]="",1,IF(_xlfn.XLOOKUP(CONT_SUP[[#This Row],[StaffMemberCode]],MEMBERS[StaffMemberCode],MEMBERS[ServiceEndDate])&lt;CONT_SUP[[#This Row],[DateTo]],1,0)))</f>
        <v>0</v>
      </c>
      <c r="S206" s="57">
        <f>IF(ISBLANK(CONT_SUP[[#This Row],[DateTo]]),0,IF(CONT_SUP[[#This Row],[DateFrom]]=CONT_SUP[[#This Row],[DateTo]],0,IF(CONT_SUP[[#This Row],[DateFrom]]&lt;CONT_SUP[[#This Row],[DateTo]],0,1)))</f>
        <v>0</v>
      </c>
      <c r="T206" s="57" cm="1">
        <f t="array" aca="1" ref="T206" ca="1">IF(CELL("format",CONT_SUP[[#This Row],[DateFrom]])="D1",0,1)+IF(CELL("format",CONT_SUP[[#This Row],[DateTo]])="D1",0,1)</f>
        <v>0</v>
      </c>
      <c r="U206" s="57">
        <f>IF(OR(CONT_SUP[[#This Row],[MatEditOnly]]=TRUE,CONT_SUP[[#This Row],[MatEditOnly]]=FALSE),IF(OR(CONT_SUP[[#This Row],[NoIncrement]]=TRUE,CONT_SUP[[#This Row],[NoIncrement]]=FALSE),0,1),1)</f>
        <v>0</v>
      </c>
      <c r="V206" s="57">
        <f>IF(ISBLANK(CONT_SUP[[#This Row],[FundCode]])=TRUE,0,IF(COUNTIF(FUNDS[FundCode],CONT_SUP[[#This Row],[FundCode]])=1,0,1))</f>
        <v>0</v>
      </c>
      <c r="W206" s="57">
        <f>IF(LEN(CONT_SUP[[#This Row],[Notes]])&lt;4000,0,1)</f>
        <v>0</v>
      </c>
      <c r="X206" s="57">
        <f>IF(SUBSTITUTE(TEXT(CONT_SUP[[#This Row],[Reference]],10)," ","")=TEXT(CONT_SUP[[#This Row],[Reference]],10),0,1)</f>
        <v>0</v>
      </c>
      <c r="Y206" s="57">
        <f ca="1">SUM(CONT_SUP[[#This Row],[Duplicate Contract]:[Space in Code]])</f>
        <v>1</v>
      </c>
      <c r="AA206" s="12" t="s">
        <v>2275</v>
      </c>
      <c r="AB206" s="12">
        <v>91850007</v>
      </c>
      <c r="AC206" s="12" t="s">
        <v>4802</v>
      </c>
      <c r="AD206" s="57" t="str">
        <f>_xlfn.XLOOKUP(CONT_SUP[[#This Row],[StaffMemberCode]],StaffMembers!O:O,StaffMembers!R:R)</f>
        <v>Daniel Gibson</v>
      </c>
      <c r="AE206" s="12" t="s">
        <v>1180</v>
      </c>
      <c r="AF206" s="57">
        <f>_xlfn.XLOOKUP(CONT_SUP[[#This Row],[SRG]],SRG[StaffRoleGroupCode],SRG[GrossSalaryFinanceCode])</f>
        <v>615100</v>
      </c>
      <c r="AG206" s="57" t="str">
        <f>_xlfn.XLOOKUP(CONT_SUP[[#This Row],[StaffRoleCode]],ROLES[StaffRoleCode],ROLES[StaffRoleGroupCode])</f>
        <v>TA</v>
      </c>
      <c r="AH206" s="57" t="str">
        <f>_xlfn.XLOOKUP(CONT_SUP[[#This Row],[StaffRoleCode]],ROLES[StaffRoleCode],ROLES[PayScaleCode])</f>
        <v>NJC_CHE</v>
      </c>
      <c r="AI206" s="12" t="s">
        <v>3122</v>
      </c>
      <c r="AJ206" s="12">
        <v>5</v>
      </c>
      <c r="AK206" s="12" t="s">
        <v>2497</v>
      </c>
      <c r="AM206" s="68" t="s">
        <v>3132</v>
      </c>
      <c r="AN206" s="12" t="s">
        <v>3134</v>
      </c>
      <c r="AO206" s="21">
        <v>45901</v>
      </c>
      <c r="AQ206" s="12">
        <v>32.5</v>
      </c>
      <c r="AR206" t="b">
        <v>0</v>
      </c>
      <c r="AS206" t="b">
        <v>0</v>
      </c>
      <c r="AT206" s="12" t="s">
        <v>1575</v>
      </c>
    </row>
    <row r="207" spans="1:46" x14ac:dyDescent="0.3">
      <c r="A207" s="57" t="str">
        <f t="shared" si="6"/>
        <v>ALS9185006391850063ATASTA45950</v>
      </c>
      <c r="B207" s="57">
        <f>COUNTIF(CONT_SUP[Unique Contract],CONT_SUP[[#This Row],[Unique Contract]])-1</f>
        <v>0</v>
      </c>
      <c r="C207" s="57">
        <f>IFERROR(IF(FIND(CONT_SUP[[#This Row],[SchoolCode]],_xlfn.XLOOKUP(CONT_SUP[[#This Row],[StaffMemberCode]],MEMBERS[StaffMemberCode],MEMBERS[SchoolCodes]))&gt;0,0,1),1)</f>
        <v>0</v>
      </c>
      <c r="D207" s="57" cm="1">
        <f t="array" ref="D207">IF(_xlfn.XLOOKUP(CONT_SUP[[#This Row],[StaffRoleCode]],ROLES[StaffRoleCode],ROLES[AvailableToAllSchools],1,0,)=TRUE,0,IF(ISERROR(FIND(CONT_SUP[[#This Row],[SchoolCode]],_xlfn.TEXTJOIN(",",TRUE,_xlfn.UNIQUE(IF(ROLES[StaffRoleCode]=CONT_SUP[[#This Row],[StaffRoleCode]],ROLES[SchoolCodes],""))))),1,0))</f>
        <v>0</v>
      </c>
      <c r="E207" s="57" cm="1">
        <f t="array" ref="E20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07" s="57" cm="1">
        <f t="array" ref="F207">IF(_xlfn.XLOOKUP(CONT_SUP[[#This Row],[PayScaleCode]],PAYSCALES[PayScaleCode],PAYSCALES[AvailableToAllSchools],1,0,)=TRUE,0,IF(ISERROR(FIND(CONT_SUP[[#This Row],[SchoolCode]],_xlfn.TEXTJOIN(",",TRUE,_xlfn.UNIQUE(IF(PAYSCALES[PayScaleCode]=CONT_SUP[[#This Row],[PayScaleCode]],PAYSCALES[SchoolCodes],""))))),1,0))</f>
        <v>0</v>
      </c>
      <c r="G207" s="57">
        <f>IF(_xlfn.XLOOKUP(CONT_SUP[[#This Row],[PayScaleGradeCode]],GRADES[PayScaleGradeCode],GRADES[AvailableToAllSchools])=TRUE,0,IFERROR(IF(FIND(CONT_SUP[[#This Row],[SchoolCode]],_xlfn.XLOOKUP(CONT_SUP[[#This Row],[PayScaleGradeCode]],GRADES[PayScaleGradeCode],GRADES[SchoolCodes]))&gt;=1,0,1),1))</f>
        <v>0</v>
      </c>
      <c r="H207" s="57">
        <f>IF(ISERROR(IF((_xlfn.XLOOKUP(CONT_SUP[[#This Row],[PayScaleGradeCode]],GRADES[PayScaleGradeCode],GRADES[PayScaleCode])=CONT_SUP[[#This Row],[PayScaleCode]]),0,1)),1,0)</f>
        <v>0</v>
      </c>
      <c r="I207" s="57" cm="1">
        <f t="array" ref="I207">IF(ISERROR(FIND(CONT_SUP[[#This Row],[PayScalePointCode]],_xlfn.TEXTJOIN(",",TRUE,IF(PSPOINTS[PayScaleCode]=CONT_SUP[[#This Row],[PayScaleCode]],PSPOINTS[PayScalePointCode])))),1,0)</f>
        <v>0</v>
      </c>
      <c r="J207" s="57" cm="1">
        <f t="array" ref="J20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07" s="57">
        <f>IF(_xlfn.XLOOKUP(CONT_SUP[[#This Row],[PayScalePointCode]],PSPOINTS[PayScalePointCode],PSPOINTS[PayScalePointEnabled])=TRUE,0,1)</f>
        <v>0</v>
      </c>
      <c r="L207" s="57" cm="1">
        <f t="array" ref="L207">IF(_xlfn.XLOOKUP(CONT_SUP[[#This Row],[DepartmentCode]],DEPTS[DepartmentCode],DEPTS[AvailableToAllSchools],1,0,)=TRUE,0,IF(ISERROR(FIND(CONT_SUP[[#This Row],[SchoolCode]],_xlfn.TEXTJOIN(",",TRUE,_xlfn.UNIQUE(IF(DEPTS[DepartmentCode]=CONT_SUP[[#This Row],[DepartmentCode]],DEPTS[SchoolCodes],""))))),1,0))</f>
        <v>0</v>
      </c>
      <c r="M207" s="57">
        <f>IFERROR(IF(_xlfn.XLOOKUP(CONT_SUP[[#This Row],[SRG Gross]],FinanceCodesBudget[FinanceCode],FinanceCodesBudget[LedgerCode])=_xlfn.XLOOKUP(CONT_SUP[[#This Row],[DepartmentCode]],DEPTS[DepartmentCode],DEPTS[LedgerCode]),0,1),1)</f>
        <v>1</v>
      </c>
      <c r="N207" s="57" cm="1">
        <f t="array" ref="N207">IF(_xlfn.XLOOKUP(CONT_SUP[[#This Row],[PensionCode]],PENS[PensionCode],PENS[AvailableToAllSchools],1,0,)=TRUE,0,IF(ISERROR(FIND(CONT_SUP[[#This Row],[SchoolCode]],_xlfn.TEXTJOIN(",",TRUE,_xlfn.UNIQUE(IF(PENS[PensionCode]=CONT_SUP[[#This Row],[PensionCode]],PENS[SchoolCodes],""))))),1,0))</f>
        <v>0</v>
      </c>
      <c r="O207" s="57" cm="1">
        <f t="array" ref="O207">IF(_xlfn.XLOOKUP(CONT_SUP[[#This Row],[EquatedWeekPatternCode]],EQW[EquatedWeekPatternCode],EQW[AvailableToAllSchools],1,0,)=TRUE,0,IF(ISERROR(FIND(CONT_SUP[[#This Row],[SchoolCode]],_xlfn.TEXTJOIN(",",TRUE,_xlfn.UNIQUE(IF(EQW[EquatedWeekPatternCode]=CONT_SUP[[#This Row],[EquatedWeekPatternCode]],EQW[SchoolCodes],""))))),1,0))</f>
        <v>0</v>
      </c>
      <c r="P207" s="57">
        <f>1-COUNTIF(ContractTypes[Code],CONT_SUP[[#This Row],[ContractTypeCode]])</f>
        <v>0</v>
      </c>
      <c r="Q207" s="57">
        <f>IF(VLOOKUP(CONT_SUP[[#This Row],[StaffMemberCode]],MEMBERS[[StaffMemberCode]:[ServiceStartDate]],5,0)&gt;CONT_SUP[[#This Row],[DateFrom]],1,0)</f>
        <v>0</v>
      </c>
      <c r="R207" s="57">
        <f>IF(_xlfn.XLOOKUP(CONT_SUP[[#This Row],[StaffMemberCode]],MEMBERS[StaffMemberCode],MEMBERS[ServiceEndDate])="",0,IF(CONT_SUP[[#This Row],[DateTo]]="",1,IF(_xlfn.XLOOKUP(CONT_SUP[[#This Row],[StaffMemberCode]],MEMBERS[StaffMemberCode],MEMBERS[ServiceEndDate])&lt;CONT_SUP[[#This Row],[DateTo]],1,0)))</f>
        <v>0</v>
      </c>
      <c r="S207" s="57">
        <f>IF(ISBLANK(CONT_SUP[[#This Row],[DateTo]]),0,IF(CONT_SUP[[#This Row],[DateFrom]]=CONT_SUP[[#This Row],[DateTo]],0,IF(CONT_SUP[[#This Row],[DateFrom]]&lt;CONT_SUP[[#This Row],[DateTo]],0,1)))</f>
        <v>0</v>
      </c>
      <c r="T207" s="57" cm="1">
        <f t="array" aca="1" ref="T207" ca="1">IF(CELL("format",CONT_SUP[[#This Row],[DateFrom]])="D1",0,1)+IF(CELL("format",CONT_SUP[[#This Row],[DateTo]])="D1",0,1)</f>
        <v>0</v>
      </c>
      <c r="U207" s="57">
        <f>IF(OR(CONT_SUP[[#This Row],[MatEditOnly]]=TRUE,CONT_SUP[[#This Row],[MatEditOnly]]=FALSE),IF(OR(CONT_SUP[[#This Row],[NoIncrement]]=TRUE,CONT_SUP[[#This Row],[NoIncrement]]=FALSE),0,1),1)</f>
        <v>0</v>
      </c>
      <c r="V207" s="57">
        <f>IF(ISBLANK(CONT_SUP[[#This Row],[FundCode]])=TRUE,0,IF(COUNTIF(FUNDS[FundCode],CONT_SUP[[#This Row],[FundCode]])=1,0,1))</f>
        <v>0</v>
      </c>
      <c r="W207" s="57">
        <f>IF(LEN(CONT_SUP[[#This Row],[Notes]])&lt;4000,0,1)</f>
        <v>0</v>
      </c>
      <c r="X207" s="57">
        <f>IF(SUBSTITUTE(TEXT(CONT_SUP[[#This Row],[Reference]],10)," ","")=TEXT(CONT_SUP[[#This Row],[Reference]],10),0,1)</f>
        <v>0</v>
      </c>
      <c r="Y207" s="57">
        <f ca="1">SUM(CONT_SUP[[#This Row],[Duplicate Contract]:[Space in Code]])</f>
        <v>1</v>
      </c>
      <c r="AA207" s="12" t="s">
        <v>2082</v>
      </c>
      <c r="AB207" s="12">
        <v>91850063</v>
      </c>
      <c r="AC207" s="12" t="s">
        <v>4803</v>
      </c>
      <c r="AD207" s="57" t="str">
        <f>_xlfn.XLOOKUP(CONT_SUP[[#This Row],[StaffMemberCode]],StaffMembers!O:O,StaffMembers!R:R)</f>
        <v>Daniella Painter</v>
      </c>
      <c r="AE207" s="12" t="s">
        <v>1180</v>
      </c>
      <c r="AF207" s="57">
        <f>_xlfn.XLOOKUP(CONT_SUP[[#This Row],[SRG]],SRG[StaffRoleGroupCode],SRG[GrossSalaryFinanceCode])</f>
        <v>615100</v>
      </c>
      <c r="AG207" s="57" t="str">
        <f>_xlfn.XLOOKUP(CONT_SUP[[#This Row],[StaffRoleCode]],ROLES[StaffRoleCode],ROLES[StaffRoleGroupCode])</f>
        <v>TA</v>
      </c>
      <c r="AH207" s="57" t="str">
        <f>_xlfn.XLOOKUP(CONT_SUP[[#This Row],[StaffRoleCode]],ROLES[StaffRoleCode],ROLES[PayScaleCode])</f>
        <v>NJC_CHE</v>
      </c>
      <c r="AI207" s="12" t="s">
        <v>3122</v>
      </c>
      <c r="AJ207" s="12">
        <v>5</v>
      </c>
      <c r="AK207" s="12" t="s">
        <v>2497</v>
      </c>
      <c r="AM207" s="68" t="s">
        <v>3132</v>
      </c>
      <c r="AN207" s="12" t="s">
        <v>3135</v>
      </c>
      <c r="AO207" s="21">
        <v>45950</v>
      </c>
      <c r="AQ207" s="12">
        <v>34.5</v>
      </c>
      <c r="AR207" t="b">
        <v>0</v>
      </c>
      <c r="AS207" t="b">
        <v>0</v>
      </c>
      <c r="AT207" s="12" t="s">
        <v>1575</v>
      </c>
    </row>
    <row r="208" spans="1:46" x14ac:dyDescent="0.3">
      <c r="A208" s="57" t="str">
        <f t="shared" si="6"/>
        <v>WVP9107341091073410ATASTA45901</v>
      </c>
      <c r="B208" s="57">
        <f>COUNTIF(CONT_SUP[Unique Contract],CONT_SUP[[#This Row],[Unique Contract]])-1</f>
        <v>0</v>
      </c>
      <c r="C208" s="57">
        <f>IFERROR(IF(FIND(CONT_SUP[[#This Row],[SchoolCode]],_xlfn.XLOOKUP(CONT_SUP[[#This Row],[StaffMemberCode]],MEMBERS[StaffMemberCode],MEMBERS[SchoolCodes]))&gt;0,0,1),1)</f>
        <v>0</v>
      </c>
      <c r="D208" s="57" cm="1">
        <f t="array" ref="D208">IF(_xlfn.XLOOKUP(CONT_SUP[[#This Row],[StaffRoleCode]],ROLES[StaffRoleCode],ROLES[AvailableToAllSchools],1,0,)=TRUE,0,IF(ISERROR(FIND(CONT_SUP[[#This Row],[SchoolCode]],_xlfn.TEXTJOIN(",",TRUE,_xlfn.UNIQUE(IF(ROLES[StaffRoleCode]=CONT_SUP[[#This Row],[StaffRoleCode]],ROLES[SchoolCodes],""))))),1,0))</f>
        <v>0</v>
      </c>
      <c r="E208" s="57" cm="1">
        <f t="array" ref="E20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08" s="57" cm="1">
        <f t="array" ref="F208">IF(_xlfn.XLOOKUP(CONT_SUP[[#This Row],[PayScaleCode]],PAYSCALES[PayScaleCode],PAYSCALES[AvailableToAllSchools],1,0,)=TRUE,0,IF(ISERROR(FIND(CONT_SUP[[#This Row],[SchoolCode]],_xlfn.TEXTJOIN(",",TRUE,_xlfn.UNIQUE(IF(PAYSCALES[PayScaleCode]=CONT_SUP[[#This Row],[PayScaleCode]],PAYSCALES[SchoolCodes],""))))),1,0))</f>
        <v>0</v>
      </c>
      <c r="G208" s="57">
        <f>IF(_xlfn.XLOOKUP(CONT_SUP[[#This Row],[PayScaleGradeCode]],GRADES[PayScaleGradeCode],GRADES[AvailableToAllSchools])=TRUE,0,IFERROR(IF(FIND(CONT_SUP[[#This Row],[SchoolCode]],_xlfn.XLOOKUP(CONT_SUP[[#This Row],[PayScaleGradeCode]],GRADES[PayScaleGradeCode],GRADES[SchoolCodes]))&gt;=1,0,1),1))</f>
        <v>0</v>
      </c>
      <c r="H208" s="57">
        <f>IF(ISERROR(IF((_xlfn.XLOOKUP(CONT_SUP[[#This Row],[PayScaleGradeCode]],GRADES[PayScaleGradeCode],GRADES[PayScaleCode])=CONT_SUP[[#This Row],[PayScaleCode]]),0,1)),1,0)</f>
        <v>0</v>
      </c>
      <c r="I208" s="57" cm="1">
        <f t="array" ref="I208">IF(ISERROR(FIND(CONT_SUP[[#This Row],[PayScalePointCode]],_xlfn.TEXTJOIN(",",TRUE,IF(PSPOINTS[PayScaleCode]=CONT_SUP[[#This Row],[PayScaleCode]],PSPOINTS[PayScalePointCode])))),1,0)</f>
        <v>0</v>
      </c>
      <c r="J208" s="57" cm="1">
        <f t="array" ref="J20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08" s="57">
        <f>IF(_xlfn.XLOOKUP(CONT_SUP[[#This Row],[PayScalePointCode]],PSPOINTS[PayScalePointCode],PSPOINTS[PayScalePointEnabled])=TRUE,0,1)</f>
        <v>0</v>
      </c>
      <c r="L208" s="57" cm="1">
        <f t="array" ref="L208">IF(_xlfn.XLOOKUP(CONT_SUP[[#This Row],[DepartmentCode]],DEPTS[DepartmentCode],DEPTS[AvailableToAllSchools],1,0,)=TRUE,0,IF(ISERROR(FIND(CONT_SUP[[#This Row],[SchoolCode]],_xlfn.TEXTJOIN(",",TRUE,_xlfn.UNIQUE(IF(DEPTS[DepartmentCode]=CONT_SUP[[#This Row],[DepartmentCode]],DEPTS[SchoolCodes],""))))),1,0))</f>
        <v>0</v>
      </c>
      <c r="M208" s="57">
        <f>IFERROR(IF(_xlfn.XLOOKUP(CONT_SUP[[#This Row],[SRG Gross]],FinanceCodesBudget[FinanceCode],FinanceCodesBudget[LedgerCode])=_xlfn.XLOOKUP(CONT_SUP[[#This Row],[DepartmentCode]],DEPTS[DepartmentCode],DEPTS[LedgerCode]),0,1),1)</f>
        <v>1</v>
      </c>
      <c r="N208" s="57" cm="1">
        <f t="array" ref="N208">IF(_xlfn.XLOOKUP(CONT_SUP[[#This Row],[PensionCode]],PENS[PensionCode],PENS[AvailableToAllSchools],1,0,)=TRUE,0,IF(ISERROR(FIND(CONT_SUP[[#This Row],[SchoolCode]],_xlfn.TEXTJOIN(",",TRUE,_xlfn.UNIQUE(IF(PENS[PensionCode]=CONT_SUP[[#This Row],[PensionCode]],PENS[SchoolCodes],""))))),1,0))</f>
        <v>0</v>
      </c>
      <c r="O208" s="57" cm="1">
        <f t="array" ref="O208">IF(_xlfn.XLOOKUP(CONT_SUP[[#This Row],[EquatedWeekPatternCode]],EQW[EquatedWeekPatternCode],EQW[AvailableToAllSchools],1,0,)=TRUE,0,IF(ISERROR(FIND(CONT_SUP[[#This Row],[SchoolCode]],_xlfn.TEXTJOIN(",",TRUE,_xlfn.UNIQUE(IF(EQW[EquatedWeekPatternCode]=CONT_SUP[[#This Row],[EquatedWeekPatternCode]],EQW[SchoolCodes],""))))),1,0))</f>
        <v>0</v>
      </c>
      <c r="P208" s="57">
        <f>1-COUNTIF(ContractTypes[Code],CONT_SUP[[#This Row],[ContractTypeCode]])</f>
        <v>0</v>
      </c>
      <c r="Q208" s="57">
        <f>IF(VLOOKUP(CONT_SUP[[#This Row],[StaffMemberCode]],MEMBERS[[StaffMemberCode]:[ServiceStartDate]],5,0)&gt;CONT_SUP[[#This Row],[DateFrom]],1,0)</f>
        <v>0</v>
      </c>
      <c r="R208" s="57">
        <f>IF(_xlfn.XLOOKUP(CONT_SUP[[#This Row],[StaffMemberCode]],MEMBERS[StaffMemberCode],MEMBERS[ServiceEndDate])="",0,IF(CONT_SUP[[#This Row],[DateTo]]="",1,IF(_xlfn.XLOOKUP(CONT_SUP[[#This Row],[StaffMemberCode]],MEMBERS[StaffMemberCode],MEMBERS[ServiceEndDate])&lt;CONT_SUP[[#This Row],[DateTo]],1,0)))</f>
        <v>0</v>
      </c>
      <c r="S208" s="57">
        <f>IF(ISBLANK(CONT_SUP[[#This Row],[DateTo]]),0,IF(CONT_SUP[[#This Row],[DateFrom]]=CONT_SUP[[#This Row],[DateTo]],0,IF(CONT_SUP[[#This Row],[DateFrom]]&lt;CONT_SUP[[#This Row],[DateTo]],0,1)))</f>
        <v>0</v>
      </c>
      <c r="T208" s="57" cm="1">
        <f t="array" aca="1" ref="T208" ca="1">IF(CELL("format",CONT_SUP[[#This Row],[DateFrom]])="D1",0,1)+IF(CELL("format",CONT_SUP[[#This Row],[DateTo]])="D1",0,1)</f>
        <v>0</v>
      </c>
      <c r="U208" s="57">
        <f>IF(OR(CONT_SUP[[#This Row],[MatEditOnly]]=TRUE,CONT_SUP[[#This Row],[MatEditOnly]]=FALSE),IF(OR(CONT_SUP[[#This Row],[NoIncrement]]=TRUE,CONT_SUP[[#This Row],[NoIncrement]]=FALSE),0,1),1)</f>
        <v>0</v>
      </c>
      <c r="V208" s="57">
        <f>IF(ISBLANK(CONT_SUP[[#This Row],[FundCode]])=TRUE,0,IF(COUNTIF(FUNDS[FundCode],CONT_SUP[[#This Row],[FundCode]])=1,0,1))</f>
        <v>0</v>
      </c>
      <c r="W208" s="57">
        <f>IF(LEN(CONT_SUP[[#This Row],[Notes]])&lt;4000,0,1)</f>
        <v>0</v>
      </c>
      <c r="X208" s="57">
        <f>IF(SUBSTITUTE(TEXT(CONT_SUP[[#This Row],[Reference]],10)," ","")=TEXT(CONT_SUP[[#This Row],[Reference]],10),0,1)</f>
        <v>0</v>
      </c>
      <c r="Y208" s="57">
        <f ca="1">SUM(CONT_SUP[[#This Row],[Duplicate Contract]:[Space in Code]])</f>
        <v>1</v>
      </c>
      <c r="AA208" s="12" t="s">
        <v>2275</v>
      </c>
      <c r="AB208" s="12">
        <v>91073410</v>
      </c>
      <c r="AC208" s="12" t="s">
        <v>4804</v>
      </c>
      <c r="AD208" s="57" t="str">
        <f>_xlfn.XLOOKUP(CONT_SUP[[#This Row],[StaffMemberCode]],StaffMembers!O:O,StaffMembers!R:R)</f>
        <v>Dean Richards</v>
      </c>
      <c r="AE208" s="12" t="s">
        <v>1180</v>
      </c>
      <c r="AF208" s="57">
        <f>_xlfn.XLOOKUP(CONT_SUP[[#This Row],[SRG]],SRG[StaffRoleGroupCode],SRG[GrossSalaryFinanceCode])</f>
        <v>615100</v>
      </c>
      <c r="AG208" s="57" t="str">
        <f>_xlfn.XLOOKUP(CONT_SUP[[#This Row],[StaffRoleCode]],ROLES[StaffRoleCode],ROLES[StaffRoleGroupCode])</f>
        <v>TA</v>
      </c>
      <c r="AH208" s="57" t="str">
        <f>_xlfn.XLOOKUP(CONT_SUP[[#This Row],[StaffRoleCode]],ROLES[StaffRoleCode],ROLES[PayScaleCode])</f>
        <v>NJC_CHE</v>
      </c>
      <c r="AI208" s="12" t="s">
        <v>3123</v>
      </c>
      <c r="AJ208" s="12">
        <v>11</v>
      </c>
      <c r="AK208" s="12" t="s">
        <v>2497</v>
      </c>
      <c r="AM208" s="68" t="s">
        <v>3132</v>
      </c>
      <c r="AN208" s="12" t="s">
        <v>3134</v>
      </c>
      <c r="AO208" s="21">
        <v>45901</v>
      </c>
      <c r="AQ208" s="12">
        <v>14</v>
      </c>
      <c r="AR208" t="b">
        <v>0</v>
      </c>
      <c r="AS208" t="b">
        <v>0</v>
      </c>
      <c r="AT208" s="12" t="s">
        <v>1574</v>
      </c>
    </row>
    <row r="209" spans="1:46" x14ac:dyDescent="0.3">
      <c r="A209" s="57" t="str">
        <f t="shared" si="6"/>
        <v>BLS9107359491073594ATASTA45901</v>
      </c>
      <c r="B209" s="57">
        <f>COUNTIF(CONT_SUP[Unique Contract],CONT_SUP[[#This Row],[Unique Contract]])-1</f>
        <v>0</v>
      </c>
      <c r="C209" s="57">
        <f>IFERROR(IF(FIND(CONT_SUP[[#This Row],[SchoolCode]],_xlfn.XLOOKUP(CONT_SUP[[#This Row],[StaffMemberCode]],MEMBERS[StaffMemberCode],MEMBERS[SchoolCodes]))&gt;0,0,1),1)</f>
        <v>0</v>
      </c>
      <c r="D209" s="57" cm="1">
        <f t="array" ref="D209">IF(_xlfn.XLOOKUP(CONT_SUP[[#This Row],[StaffRoleCode]],ROLES[StaffRoleCode],ROLES[AvailableToAllSchools],1,0,)=TRUE,0,IF(ISERROR(FIND(CONT_SUP[[#This Row],[SchoolCode]],_xlfn.TEXTJOIN(",",TRUE,_xlfn.UNIQUE(IF(ROLES[StaffRoleCode]=CONT_SUP[[#This Row],[StaffRoleCode]],ROLES[SchoolCodes],""))))),1,0))</f>
        <v>0</v>
      </c>
      <c r="E209" s="57" cm="1">
        <f t="array" ref="E20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09" s="57" cm="1">
        <f t="array" ref="F209">IF(_xlfn.XLOOKUP(CONT_SUP[[#This Row],[PayScaleCode]],PAYSCALES[PayScaleCode],PAYSCALES[AvailableToAllSchools],1,0,)=TRUE,0,IF(ISERROR(FIND(CONT_SUP[[#This Row],[SchoolCode]],_xlfn.TEXTJOIN(",",TRUE,_xlfn.UNIQUE(IF(PAYSCALES[PayScaleCode]=CONT_SUP[[#This Row],[PayScaleCode]],PAYSCALES[SchoolCodes],""))))),1,0))</f>
        <v>0</v>
      </c>
      <c r="G209" s="57">
        <f>IF(_xlfn.XLOOKUP(CONT_SUP[[#This Row],[PayScaleGradeCode]],GRADES[PayScaleGradeCode],GRADES[AvailableToAllSchools])=TRUE,0,IFERROR(IF(FIND(CONT_SUP[[#This Row],[SchoolCode]],_xlfn.XLOOKUP(CONT_SUP[[#This Row],[PayScaleGradeCode]],GRADES[PayScaleGradeCode],GRADES[SchoolCodes]))&gt;=1,0,1),1))</f>
        <v>0</v>
      </c>
      <c r="H209" s="57">
        <f>IF(ISERROR(IF((_xlfn.XLOOKUP(CONT_SUP[[#This Row],[PayScaleGradeCode]],GRADES[PayScaleGradeCode],GRADES[PayScaleCode])=CONT_SUP[[#This Row],[PayScaleCode]]),0,1)),1,0)</f>
        <v>0</v>
      </c>
      <c r="I209" s="57" cm="1">
        <f t="array" ref="I209">IF(ISERROR(FIND(CONT_SUP[[#This Row],[PayScalePointCode]],_xlfn.TEXTJOIN(",",TRUE,IF(PSPOINTS[PayScaleCode]=CONT_SUP[[#This Row],[PayScaleCode]],PSPOINTS[PayScalePointCode])))),1,0)</f>
        <v>0</v>
      </c>
      <c r="J209" s="57" cm="1">
        <f t="array" ref="J20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09" s="57">
        <f>IF(_xlfn.XLOOKUP(CONT_SUP[[#This Row],[PayScalePointCode]],PSPOINTS[PayScalePointCode],PSPOINTS[PayScalePointEnabled])=TRUE,0,1)</f>
        <v>0</v>
      </c>
      <c r="L209" s="57" cm="1">
        <f t="array" ref="L209">IF(_xlfn.XLOOKUP(CONT_SUP[[#This Row],[DepartmentCode]],DEPTS[DepartmentCode],DEPTS[AvailableToAllSchools],1,0,)=TRUE,0,IF(ISERROR(FIND(CONT_SUP[[#This Row],[SchoolCode]],_xlfn.TEXTJOIN(",",TRUE,_xlfn.UNIQUE(IF(DEPTS[DepartmentCode]=CONT_SUP[[#This Row],[DepartmentCode]],DEPTS[SchoolCodes],""))))),1,0))</f>
        <v>0</v>
      </c>
      <c r="M209" s="57">
        <f>IFERROR(IF(_xlfn.XLOOKUP(CONT_SUP[[#This Row],[SRG Gross]],FinanceCodesBudget[FinanceCode],FinanceCodesBudget[LedgerCode])=_xlfn.XLOOKUP(CONT_SUP[[#This Row],[DepartmentCode]],DEPTS[DepartmentCode],DEPTS[LedgerCode]),0,1),1)</f>
        <v>1</v>
      </c>
      <c r="N209" s="57" cm="1">
        <f t="array" ref="N209">IF(_xlfn.XLOOKUP(CONT_SUP[[#This Row],[PensionCode]],PENS[PensionCode],PENS[AvailableToAllSchools],1,0,)=TRUE,0,IF(ISERROR(FIND(CONT_SUP[[#This Row],[SchoolCode]],_xlfn.TEXTJOIN(",",TRUE,_xlfn.UNIQUE(IF(PENS[PensionCode]=CONT_SUP[[#This Row],[PensionCode]],PENS[SchoolCodes],""))))),1,0))</f>
        <v>0</v>
      </c>
      <c r="O209" s="57" cm="1">
        <f t="array" ref="O209">IF(_xlfn.XLOOKUP(CONT_SUP[[#This Row],[EquatedWeekPatternCode]],EQW[EquatedWeekPatternCode],EQW[AvailableToAllSchools],1,0,)=TRUE,0,IF(ISERROR(FIND(CONT_SUP[[#This Row],[SchoolCode]],_xlfn.TEXTJOIN(",",TRUE,_xlfn.UNIQUE(IF(EQW[EquatedWeekPatternCode]=CONT_SUP[[#This Row],[EquatedWeekPatternCode]],EQW[SchoolCodes],""))))),1,0))</f>
        <v>0</v>
      </c>
      <c r="P209" s="57">
        <f>1-COUNTIF(ContractTypes[Code],CONT_SUP[[#This Row],[ContractTypeCode]])</f>
        <v>0</v>
      </c>
      <c r="Q209" s="57">
        <f>IF(VLOOKUP(CONT_SUP[[#This Row],[StaffMemberCode]],MEMBERS[[StaffMemberCode]:[ServiceStartDate]],5,0)&gt;CONT_SUP[[#This Row],[DateFrom]],1,0)</f>
        <v>0</v>
      </c>
      <c r="R209" s="57">
        <f>IF(_xlfn.XLOOKUP(CONT_SUP[[#This Row],[StaffMemberCode]],MEMBERS[StaffMemberCode],MEMBERS[ServiceEndDate])="",0,IF(CONT_SUP[[#This Row],[DateTo]]="",1,IF(_xlfn.XLOOKUP(CONT_SUP[[#This Row],[StaffMemberCode]],MEMBERS[StaffMemberCode],MEMBERS[ServiceEndDate])&lt;CONT_SUP[[#This Row],[DateTo]],1,0)))</f>
        <v>0</v>
      </c>
      <c r="S209" s="57">
        <f>IF(ISBLANK(CONT_SUP[[#This Row],[DateTo]]),0,IF(CONT_SUP[[#This Row],[DateFrom]]=CONT_SUP[[#This Row],[DateTo]],0,IF(CONT_SUP[[#This Row],[DateFrom]]&lt;CONT_SUP[[#This Row],[DateTo]],0,1)))</f>
        <v>0</v>
      </c>
      <c r="T209" s="57" cm="1">
        <f t="array" aca="1" ref="T209" ca="1">IF(CELL("format",CONT_SUP[[#This Row],[DateFrom]])="D1",0,1)+IF(CELL("format",CONT_SUP[[#This Row],[DateTo]])="D1",0,1)</f>
        <v>0</v>
      </c>
      <c r="U209" s="57">
        <f>IF(OR(CONT_SUP[[#This Row],[MatEditOnly]]=TRUE,CONT_SUP[[#This Row],[MatEditOnly]]=FALSE),IF(OR(CONT_SUP[[#This Row],[NoIncrement]]=TRUE,CONT_SUP[[#This Row],[NoIncrement]]=FALSE),0,1),1)</f>
        <v>0</v>
      </c>
      <c r="V209" s="57">
        <f>IF(ISBLANK(CONT_SUP[[#This Row],[FundCode]])=TRUE,0,IF(COUNTIF(FUNDS[FundCode],CONT_SUP[[#This Row],[FundCode]])=1,0,1))</f>
        <v>0</v>
      </c>
      <c r="W209" s="57">
        <f>IF(LEN(CONT_SUP[[#This Row],[Notes]])&lt;4000,0,1)</f>
        <v>0</v>
      </c>
      <c r="X209" s="57">
        <f>IF(SUBSTITUTE(TEXT(CONT_SUP[[#This Row],[Reference]],10)," ","")=TEXT(CONT_SUP[[#This Row],[Reference]],10),0,1)</f>
        <v>0</v>
      </c>
      <c r="Y209" s="57">
        <f ca="1">SUM(CONT_SUP[[#This Row],[Duplicate Contract]:[Space in Code]])</f>
        <v>1</v>
      </c>
      <c r="AA209" s="12" t="s">
        <v>2094</v>
      </c>
      <c r="AB209" s="12">
        <v>91073594</v>
      </c>
      <c r="AC209" s="12" t="s">
        <v>4805</v>
      </c>
      <c r="AD209" s="57" t="str">
        <f>_xlfn.XLOOKUP(CONT_SUP[[#This Row],[StaffMemberCode]],StaffMembers!O:O,StaffMembers!R:R)</f>
        <v>Eleanor Hampson</v>
      </c>
      <c r="AE209" s="12" t="s">
        <v>1180</v>
      </c>
      <c r="AF209" s="57">
        <f>_xlfn.XLOOKUP(CONT_SUP[[#This Row],[SRG]],SRG[StaffRoleGroupCode],SRG[GrossSalaryFinanceCode])</f>
        <v>615100</v>
      </c>
      <c r="AG209" s="57" t="str">
        <f>_xlfn.XLOOKUP(CONT_SUP[[#This Row],[StaffRoleCode]],ROLES[StaffRoleCode],ROLES[StaffRoleGroupCode])</f>
        <v>TA</v>
      </c>
      <c r="AH209" s="57" t="str">
        <f>_xlfn.XLOOKUP(CONT_SUP[[#This Row],[StaffRoleCode]],ROLES[StaffRoleCode],ROLES[PayScaleCode])</f>
        <v>NJC_CHE</v>
      </c>
      <c r="AI209" s="12" t="s">
        <v>3124</v>
      </c>
      <c r="AJ209" s="12">
        <v>16</v>
      </c>
      <c r="AK209" s="12" t="s">
        <v>2497</v>
      </c>
      <c r="AM209" s="68" t="s">
        <v>3132</v>
      </c>
      <c r="AN209" s="12" t="s">
        <v>3135</v>
      </c>
      <c r="AO209" s="21">
        <v>45901</v>
      </c>
      <c r="AQ209" s="12">
        <v>32.5</v>
      </c>
      <c r="AR209" t="b">
        <v>0</v>
      </c>
      <c r="AS209" t="b">
        <v>0</v>
      </c>
      <c r="AT209" s="12" t="s">
        <v>1574</v>
      </c>
    </row>
    <row r="210" spans="1:46" x14ac:dyDescent="0.3">
      <c r="A210" s="57" t="str">
        <f t="shared" si="6"/>
        <v>PTP9107393691073936CTASTA45901</v>
      </c>
      <c r="B210" s="57">
        <f>COUNTIF(CONT_SUP[Unique Contract],CONT_SUP[[#This Row],[Unique Contract]])-1</f>
        <v>0</v>
      </c>
      <c r="C210" s="57">
        <f>IFERROR(IF(FIND(CONT_SUP[[#This Row],[SchoolCode]],_xlfn.XLOOKUP(CONT_SUP[[#This Row],[StaffMemberCode]],MEMBERS[StaffMemberCode],MEMBERS[SchoolCodes]))&gt;0,0,1),1)</f>
        <v>0</v>
      </c>
      <c r="D210" s="57" cm="1">
        <f t="array" ref="D210">IF(_xlfn.XLOOKUP(CONT_SUP[[#This Row],[StaffRoleCode]],ROLES[StaffRoleCode],ROLES[AvailableToAllSchools],1,0,)=TRUE,0,IF(ISERROR(FIND(CONT_SUP[[#This Row],[SchoolCode]],_xlfn.TEXTJOIN(",",TRUE,_xlfn.UNIQUE(IF(ROLES[StaffRoleCode]=CONT_SUP[[#This Row],[StaffRoleCode]],ROLES[SchoolCodes],""))))),1,0))</f>
        <v>0</v>
      </c>
      <c r="E210" s="57" cm="1">
        <f t="array" ref="E21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10" s="57" cm="1">
        <f t="array" ref="F210">IF(_xlfn.XLOOKUP(CONT_SUP[[#This Row],[PayScaleCode]],PAYSCALES[PayScaleCode],PAYSCALES[AvailableToAllSchools],1,0,)=TRUE,0,IF(ISERROR(FIND(CONT_SUP[[#This Row],[SchoolCode]],_xlfn.TEXTJOIN(",",TRUE,_xlfn.UNIQUE(IF(PAYSCALES[PayScaleCode]=CONT_SUP[[#This Row],[PayScaleCode]],PAYSCALES[SchoolCodes],""))))),1,0))</f>
        <v>0</v>
      </c>
      <c r="G210" s="57">
        <f>IF(_xlfn.XLOOKUP(CONT_SUP[[#This Row],[PayScaleGradeCode]],GRADES[PayScaleGradeCode],GRADES[AvailableToAllSchools])=TRUE,0,IFERROR(IF(FIND(CONT_SUP[[#This Row],[SchoolCode]],_xlfn.XLOOKUP(CONT_SUP[[#This Row],[PayScaleGradeCode]],GRADES[PayScaleGradeCode],GRADES[SchoolCodes]))&gt;=1,0,1),1))</f>
        <v>0</v>
      </c>
      <c r="H210" s="57">
        <f>IF(ISERROR(IF((_xlfn.XLOOKUP(CONT_SUP[[#This Row],[PayScaleGradeCode]],GRADES[PayScaleGradeCode],GRADES[PayScaleCode])=CONT_SUP[[#This Row],[PayScaleCode]]),0,1)),1,0)</f>
        <v>0</v>
      </c>
      <c r="I210" s="57" cm="1">
        <f t="array" ref="I210">IF(ISERROR(FIND(CONT_SUP[[#This Row],[PayScalePointCode]],_xlfn.TEXTJOIN(",",TRUE,IF(PSPOINTS[PayScaleCode]=CONT_SUP[[#This Row],[PayScaleCode]],PSPOINTS[PayScalePointCode])))),1,0)</f>
        <v>0</v>
      </c>
      <c r="J210" s="57" cm="1">
        <f t="array" ref="J21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10" s="57">
        <f>IF(_xlfn.XLOOKUP(CONT_SUP[[#This Row],[PayScalePointCode]],PSPOINTS[PayScalePointCode],PSPOINTS[PayScalePointEnabled])=TRUE,0,1)</f>
        <v>0</v>
      </c>
      <c r="L210" s="57" cm="1">
        <f t="array" ref="L210">IF(_xlfn.XLOOKUP(CONT_SUP[[#This Row],[DepartmentCode]],DEPTS[DepartmentCode],DEPTS[AvailableToAllSchools],1,0,)=TRUE,0,IF(ISERROR(FIND(CONT_SUP[[#This Row],[SchoolCode]],_xlfn.TEXTJOIN(",",TRUE,_xlfn.UNIQUE(IF(DEPTS[DepartmentCode]=CONT_SUP[[#This Row],[DepartmentCode]],DEPTS[SchoolCodes],""))))),1,0))</f>
        <v>0</v>
      </c>
      <c r="M210" s="57">
        <f>IFERROR(IF(_xlfn.XLOOKUP(CONT_SUP[[#This Row],[SRG Gross]],FinanceCodesBudget[FinanceCode],FinanceCodesBudget[LedgerCode])=_xlfn.XLOOKUP(CONT_SUP[[#This Row],[DepartmentCode]],DEPTS[DepartmentCode],DEPTS[LedgerCode]),0,1),1)</f>
        <v>1</v>
      </c>
      <c r="N210" s="57" cm="1">
        <f t="array" ref="N210">IF(_xlfn.XLOOKUP(CONT_SUP[[#This Row],[PensionCode]],PENS[PensionCode],PENS[AvailableToAllSchools],1,0,)=TRUE,0,IF(ISERROR(FIND(CONT_SUP[[#This Row],[SchoolCode]],_xlfn.TEXTJOIN(",",TRUE,_xlfn.UNIQUE(IF(PENS[PensionCode]=CONT_SUP[[#This Row],[PensionCode]],PENS[SchoolCodes],""))))),1,0))</f>
        <v>0</v>
      </c>
      <c r="O210" s="57" cm="1">
        <f t="array" ref="O210">IF(_xlfn.XLOOKUP(CONT_SUP[[#This Row],[EquatedWeekPatternCode]],EQW[EquatedWeekPatternCode],EQW[AvailableToAllSchools],1,0,)=TRUE,0,IF(ISERROR(FIND(CONT_SUP[[#This Row],[SchoolCode]],_xlfn.TEXTJOIN(",",TRUE,_xlfn.UNIQUE(IF(EQW[EquatedWeekPatternCode]=CONT_SUP[[#This Row],[EquatedWeekPatternCode]],EQW[SchoolCodes],""))))),1,0))</f>
        <v>0</v>
      </c>
      <c r="P210" s="57">
        <f>1-COUNTIF(ContractTypes[Code],CONT_SUP[[#This Row],[ContractTypeCode]])</f>
        <v>0</v>
      </c>
      <c r="Q210" s="57">
        <f>IF(VLOOKUP(CONT_SUP[[#This Row],[StaffMemberCode]],MEMBERS[[StaffMemberCode]:[ServiceStartDate]],5,0)&gt;CONT_SUP[[#This Row],[DateFrom]],1,0)</f>
        <v>0</v>
      </c>
      <c r="R210" s="57">
        <f>IF(_xlfn.XLOOKUP(CONT_SUP[[#This Row],[StaffMemberCode]],MEMBERS[StaffMemberCode],MEMBERS[ServiceEndDate])="",0,IF(CONT_SUP[[#This Row],[DateTo]]="",1,IF(_xlfn.XLOOKUP(CONT_SUP[[#This Row],[StaffMemberCode]],MEMBERS[StaffMemberCode],MEMBERS[ServiceEndDate])&lt;CONT_SUP[[#This Row],[DateTo]],1,0)))</f>
        <v>0</v>
      </c>
      <c r="S210" s="57">
        <f>IF(ISBLANK(CONT_SUP[[#This Row],[DateTo]]),0,IF(CONT_SUP[[#This Row],[DateFrom]]=CONT_SUP[[#This Row],[DateTo]],0,IF(CONT_SUP[[#This Row],[DateFrom]]&lt;CONT_SUP[[#This Row],[DateTo]],0,1)))</f>
        <v>0</v>
      </c>
      <c r="T210" s="57" cm="1">
        <f t="array" aca="1" ref="T210" ca="1">IF(CELL("format",CONT_SUP[[#This Row],[DateFrom]])="D1",0,1)+IF(CELL("format",CONT_SUP[[#This Row],[DateTo]])="D1",0,1)</f>
        <v>0</v>
      </c>
      <c r="U210" s="57">
        <f>IF(OR(CONT_SUP[[#This Row],[MatEditOnly]]=TRUE,CONT_SUP[[#This Row],[MatEditOnly]]=FALSE),IF(OR(CONT_SUP[[#This Row],[NoIncrement]]=TRUE,CONT_SUP[[#This Row],[NoIncrement]]=FALSE),0,1),1)</f>
        <v>0</v>
      </c>
      <c r="V210" s="57">
        <f>IF(ISBLANK(CONT_SUP[[#This Row],[FundCode]])=TRUE,0,IF(COUNTIF(FUNDS[FundCode],CONT_SUP[[#This Row],[FundCode]])=1,0,1))</f>
        <v>0</v>
      </c>
      <c r="W210" s="57">
        <f>IF(LEN(CONT_SUP[[#This Row],[Notes]])&lt;4000,0,1)</f>
        <v>0</v>
      </c>
      <c r="X210" s="57">
        <f>IF(SUBSTITUTE(TEXT(CONT_SUP[[#This Row],[Reference]],10)," ","")=TEXT(CONT_SUP[[#This Row],[Reference]],10),0,1)</f>
        <v>0</v>
      </c>
      <c r="Y210" s="57">
        <f ca="1">SUM(CONT_SUP[[#This Row],[Duplicate Contract]:[Space in Code]])</f>
        <v>1</v>
      </c>
      <c r="AA210" s="12" t="s">
        <v>2299</v>
      </c>
      <c r="AB210" s="12">
        <v>91073936</v>
      </c>
      <c r="AC210" s="12" t="s">
        <v>4806</v>
      </c>
      <c r="AD210" s="57" t="str">
        <f>_xlfn.XLOOKUP(CONT_SUP[[#This Row],[StaffMemberCode]],StaffMembers!O:O,StaffMembers!R:R)</f>
        <v>Emily Shephard</v>
      </c>
      <c r="AE210" s="12" t="s">
        <v>1180</v>
      </c>
      <c r="AF210" s="57">
        <f>_xlfn.XLOOKUP(CONT_SUP[[#This Row],[SRG]],SRG[StaffRoleGroupCode],SRG[GrossSalaryFinanceCode])</f>
        <v>615100</v>
      </c>
      <c r="AG210" s="57" t="str">
        <f>_xlfn.XLOOKUP(CONT_SUP[[#This Row],[StaffRoleCode]],ROLES[StaffRoleCode],ROLES[StaffRoleGroupCode])</f>
        <v>TA</v>
      </c>
      <c r="AH210" s="57" t="str">
        <f>_xlfn.XLOOKUP(CONT_SUP[[#This Row],[StaffRoleCode]],ROLES[StaffRoleCode],ROLES[PayScaleCode])</f>
        <v>NJC_CHE</v>
      </c>
      <c r="AI210" s="12" t="s">
        <v>3122</v>
      </c>
      <c r="AJ210" s="12">
        <v>6</v>
      </c>
      <c r="AK210" s="12" t="s">
        <v>2497</v>
      </c>
      <c r="AM210" s="68" t="s">
        <v>3132</v>
      </c>
      <c r="AN210" s="12" t="s">
        <v>3134</v>
      </c>
      <c r="AO210" s="21">
        <v>45901</v>
      </c>
      <c r="AQ210" s="12">
        <v>8</v>
      </c>
      <c r="AR210" t="b">
        <v>0</v>
      </c>
      <c r="AS210" t="b">
        <v>0</v>
      </c>
      <c r="AT210" s="12" t="s">
        <v>1574</v>
      </c>
    </row>
    <row r="211" spans="1:46" x14ac:dyDescent="0.3">
      <c r="A211" s="57" t="str">
        <f t="shared" si="6"/>
        <v>BLS9132808791328087ATASTA45901</v>
      </c>
      <c r="B211" s="57">
        <f>COUNTIF(CONT_SUP[Unique Contract],CONT_SUP[[#This Row],[Unique Contract]])-1</f>
        <v>0</v>
      </c>
      <c r="C211" s="57">
        <f>IFERROR(IF(FIND(CONT_SUP[[#This Row],[SchoolCode]],_xlfn.XLOOKUP(CONT_SUP[[#This Row],[StaffMemberCode]],MEMBERS[StaffMemberCode],MEMBERS[SchoolCodes]))&gt;0,0,1),1)</f>
        <v>0</v>
      </c>
      <c r="D211" s="57" cm="1">
        <f t="array" ref="D211">IF(_xlfn.XLOOKUP(CONT_SUP[[#This Row],[StaffRoleCode]],ROLES[StaffRoleCode],ROLES[AvailableToAllSchools],1,0,)=TRUE,0,IF(ISERROR(FIND(CONT_SUP[[#This Row],[SchoolCode]],_xlfn.TEXTJOIN(",",TRUE,_xlfn.UNIQUE(IF(ROLES[StaffRoleCode]=CONT_SUP[[#This Row],[StaffRoleCode]],ROLES[SchoolCodes],""))))),1,0))</f>
        <v>0</v>
      </c>
      <c r="E211" s="57" cm="1">
        <f t="array" ref="E21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11" s="57" cm="1">
        <f t="array" ref="F211">IF(_xlfn.XLOOKUP(CONT_SUP[[#This Row],[PayScaleCode]],PAYSCALES[PayScaleCode],PAYSCALES[AvailableToAllSchools],1,0,)=TRUE,0,IF(ISERROR(FIND(CONT_SUP[[#This Row],[SchoolCode]],_xlfn.TEXTJOIN(",",TRUE,_xlfn.UNIQUE(IF(PAYSCALES[PayScaleCode]=CONT_SUP[[#This Row],[PayScaleCode]],PAYSCALES[SchoolCodes],""))))),1,0))</f>
        <v>0</v>
      </c>
      <c r="G211" s="57">
        <f>IF(_xlfn.XLOOKUP(CONT_SUP[[#This Row],[PayScaleGradeCode]],GRADES[PayScaleGradeCode],GRADES[AvailableToAllSchools])=TRUE,0,IFERROR(IF(FIND(CONT_SUP[[#This Row],[SchoolCode]],_xlfn.XLOOKUP(CONT_SUP[[#This Row],[PayScaleGradeCode]],GRADES[PayScaleGradeCode],GRADES[SchoolCodes]))&gt;=1,0,1),1))</f>
        <v>0</v>
      </c>
      <c r="H211" s="57">
        <f>IF(ISERROR(IF((_xlfn.XLOOKUP(CONT_SUP[[#This Row],[PayScaleGradeCode]],GRADES[PayScaleGradeCode],GRADES[PayScaleCode])=CONT_SUP[[#This Row],[PayScaleCode]]),0,1)),1,0)</f>
        <v>0</v>
      </c>
      <c r="I211" s="57" cm="1">
        <f t="array" ref="I211">IF(ISERROR(FIND(CONT_SUP[[#This Row],[PayScalePointCode]],_xlfn.TEXTJOIN(",",TRUE,IF(PSPOINTS[PayScaleCode]=CONT_SUP[[#This Row],[PayScaleCode]],PSPOINTS[PayScalePointCode])))),1,0)</f>
        <v>0</v>
      </c>
      <c r="J211" s="57" cm="1">
        <f t="array" ref="J21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11" s="57">
        <f>IF(_xlfn.XLOOKUP(CONT_SUP[[#This Row],[PayScalePointCode]],PSPOINTS[PayScalePointCode],PSPOINTS[PayScalePointEnabled])=TRUE,0,1)</f>
        <v>0</v>
      </c>
      <c r="L211" s="57" cm="1">
        <f t="array" ref="L211">IF(_xlfn.XLOOKUP(CONT_SUP[[#This Row],[DepartmentCode]],DEPTS[DepartmentCode],DEPTS[AvailableToAllSchools],1,0,)=TRUE,0,IF(ISERROR(FIND(CONT_SUP[[#This Row],[SchoolCode]],_xlfn.TEXTJOIN(",",TRUE,_xlfn.UNIQUE(IF(DEPTS[DepartmentCode]=CONT_SUP[[#This Row],[DepartmentCode]],DEPTS[SchoolCodes],""))))),1,0))</f>
        <v>0</v>
      </c>
      <c r="M211" s="57">
        <f>IFERROR(IF(_xlfn.XLOOKUP(CONT_SUP[[#This Row],[SRG Gross]],FinanceCodesBudget[FinanceCode],FinanceCodesBudget[LedgerCode])=_xlfn.XLOOKUP(CONT_SUP[[#This Row],[DepartmentCode]],DEPTS[DepartmentCode],DEPTS[LedgerCode]),0,1),1)</f>
        <v>1</v>
      </c>
      <c r="N211" s="57" cm="1">
        <f t="array" ref="N211">IF(_xlfn.XLOOKUP(CONT_SUP[[#This Row],[PensionCode]],PENS[PensionCode],PENS[AvailableToAllSchools],1,0,)=TRUE,0,IF(ISERROR(FIND(CONT_SUP[[#This Row],[SchoolCode]],_xlfn.TEXTJOIN(",",TRUE,_xlfn.UNIQUE(IF(PENS[PensionCode]=CONT_SUP[[#This Row],[PensionCode]],PENS[SchoolCodes],""))))),1,0))</f>
        <v>0</v>
      </c>
      <c r="O211" s="57" cm="1">
        <f t="array" ref="O211">IF(_xlfn.XLOOKUP(CONT_SUP[[#This Row],[EquatedWeekPatternCode]],EQW[EquatedWeekPatternCode],EQW[AvailableToAllSchools],1,0,)=TRUE,0,IF(ISERROR(FIND(CONT_SUP[[#This Row],[SchoolCode]],_xlfn.TEXTJOIN(",",TRUE,_xlfn.UNIQUE(IF(EQW[EquatedWeekPatternCode]=CONT_SUP[[#This Row],[EquatedWeekPatternCode]],EQW[SchoolCodes],""))))),1,0))</f>
        <v>0</v>
      </c>
      <c r="P211" s="57">
        <f>1-COUNTIF(ContractTypes[Code],CONT_SUP[[#This Row],[ContractTypeCode]])</f>
        <v>0</v>
      </c>
      <c r="Q211" s="57">
        <f>IF(VLOOKUP(CONT_SUP[[#This Row],[StaffMemberCode]],MEMBERS[[StaffMemberCode]:[ServiceStartDate]],5,0)&gt;CONT_SUP[[#This Row],[DateFrom]],1,0)</f>
        <v>0</v>
      </c>
      <c r="R211" s="57">
        <f>IF(_xlfn.XLOOKUP(CONT_SUP[[#This Row],[StaffMemberCode]],MEMBERS[StaffMemberCode],MEMBERS[ServiceEndDate])="",0,IF(CONT_SUP[[#This Row],[DateTo]]="",1,IF(_xlfn.XLOOKUP(CONT_SUP[[#This Row],[StaffMemberCode]],MEMBERS[StaffMemberCode],MEMBERS[ServiceEndDate])&lt;CONT_SUP[[#This Row],[DateTo]],1,0)))</f>
        <v>0</v>
      </c>
      <c r="S211" s="57">
        <f>IF(ISBLANK(CONT_SUP[[#This Row],[DateTo]]),0,IF(CONT_SUP[[#This Row],[DateFrom]]=CONT_SUP[[#This Row],[DateTo]],0,IF(CONT_SUP[[#This Row],[DateFrom]]&lt;CONT_SUP[[#This Row],[DateTo]],0,1)))</f>
        <v>0</v>
      </c>
      <c r="T211" s="57" cm="1">
        <f t="array" aca="1" ref="T211" ca="1">IF(CELL("format",CONT_SUP[[#This Row],[DateFrom]])="D1",0,1)+IF(CELL("format",CONT_SUP[[#This Row],[DateTo]])="D1",0,1)</f>
        <v>0</v>
      </c>
      <c r="U211" s="57">
        <f>IF(OR(CONT_SUP[[#This Row],[MatEditOnly]]=TRUE,CONT_SUP[[#This Row],[MatEditOnly]]=FALSE),IF(OR(CONT_SUP[[#This Row],[NoIncrement]]=TRUE,CONT_SUP[[#This Row],[NoIncrement]]=FALSE),0,1),1)</f>
        <v>0</v>
      </c>
      <c r="V211" s="57">
        <f>IF(ISBLANK(CONT_SUP[[#This Row],[FundCode]])=TRUE,0,IF(COUNTIF(FUNDS[FundCode],CONT_SUP[[#This Row],[FundCode]])=1,0,1))</f>
        <v>0</v>
      </c>
      <c r="W211" s="57">
        <f>IF(LEN(CONT_SUP[[#This Row],[Notes]])&lt;4000,0,1)</f>
        <v>0</v>
      </c>
      <c r="X211" s="57">
        <f>IF(SUBSTITUTE(TEXT(CONT_SUP[[#This Row],[Reference]],10)," ","")=TEXT(CONT_SUP[[#This Row],[Reference]],10),0,1)</f>
        <v>0</v>
      </c>
      <c r="Y211" s="57">
        <f ca="1">SUM(CONT_SUP[[#This Row],[Duplicate Contract]:[Space in Code]])</f>
        <v>1</v>
      </c>
      <c r="AA211" s="12" t="s">
        <v>2094</v>
      </c>
      <c r="AB211" s="12">
        <v>91328087</v>
      </c>
      <c r="AC211" s="12" t="s">
        <v>4807</v>
      </c>
      <c r="AD211" s="57" t="str">
        <f>_xlfn.XLOOKUP(CONT_SUP[[#This Row],[StaffMemberCode]],StaffMembers!O:O,StaffMembers!R:R)</f>
        <v>Emily Vernon</v>
      </c>
      <c r="AE211" s="12" t="s">
        <v>1180</v>
      </c>
      <c r="AF211" s="57">
        <f>_xlfn.XLOOKUP(CONT_SUP[[#This Row],[SRG]],SRG[StaffRoleGroupCode],SRG[GrossSalaryFinanceCode])</f>
        <v>615100</v>
      </c>
      <c r="AG211" s="57" t="str">
        <f>_xlfn.XLOOKUP(CONT_SUP[[#This Row],[StaffRoleCode]],ROLES[StaffRoleCode],ROLES[StaffRoleGroupCode])</f>
        <v>TA</v>
      </c>
      <c r="AH211" s="57" t="str">
        <f>_xlfn.XLOOKUP(CONT_SUP[[#This Row],[StaffRoleCode]],ROLES[StaffRoleCode],ROLES[PayScaleCode])</f>
        <v>NJC_CHE</v>
      </c>
      <c r="AI211" s="12" t="s">
        <v>3122</v>
      </c>
      <c r="AJ211" s="12">
        <v>5</v>
      </c>
      <c r="AK211" s="12" t="s">
        <v>2497</v>
      </c>
      <c r="AM211" s="68" t="s">
        <v>3132</v>
      </c>
      <c r="AN211" s="12" t="s">
        <v>3135</v>
      </c>
      <c r="AO211" s="21">
        <v>45901</v>
      </c>
      <c r="AQ211" s="12">
        <v>31.25</v>
      </c>
      <c r="AR211" t="b">
        <v>0</v>
      </c>
      <c r="AS211" t="b">
        <v>0</v>
      </c>
      <c r="AT211" s="12" t="s">
        <v>1574</v>
      </c>
    </row>
    <row r="212" spans="1:46" x14ac:dyDescent="0.3">
      <c r="A212" s="57" t="str">
        <f t="shared" si="6"/>
        <v>WVP9107341591073415ATASTA45901</v>
      </c>
      <c r="B212" s="57">
        <f>COUNTIF(CONT_SUP[Unique Contract],CONT_SUP[[#This Row],[Unique Contract]])-1</f>
        <v>0</v>
      </c>
      <c r="C212" s="57">
        <f>IFERROR(IF(FIND(CONT_SUP[[#This Row],[SchoolCode]],_xlfn.XLOOKUP(CONT_SUP[[#This Row],[StaffMemberCode]],MEMBERS[StaffMemberCode],MEMBERS[SchoolCodes]))&gt;0,0,1),1)</f>
        <v>0</v>
      </c>
      <c r="D212" s="57" cm="1">
        <f t="array" ref="D212">IF(_xlfn.XLOOKUP(CONT_SUP[[#This Row],[StaffRoleCode]],ROLES[StaffRoleCode],ROLES[AvailableToAllSchools],1,0,)=TRUE,0,IF(ISERROR(FIND(CONT_SUP[[#This Row],[SchoolCode]],_xlfn.TEXTJOIN(",",TRUE,_xlfn.UNIQUE(IF(ROLES[StaffRoleCode]=CONT_SUP[[#This Row],[StaffRoleCode]],ROLES[SchoolCodes],""))))),1,0))</f>
        <v>0</v>
      </c>
      <c r="E212" s="57" cm="1">
        <f t="array" ref="E21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12" s="57" cm="1">
        <f t="array" ref="F212">IF(_xlfn.XLOOKUP(CONT_SUP[[#This Row],[PayScaleCode]],PAYSCALES[PayScaleCode],PAYSCALES[AvailableToAllSchools],1,0,)=TRUE,0,IF(ISERROR(FIND(CONT_SUP[[#This Row],[SchoolCode]],_xlfn.TEXTJOIN(",",TRUE,_xlfn.UNIQUE(IF(PAYSCALES[PayScaleCode]=CONT_SUP[[#This Row],[PayScaleCode]],PAYSCALES[SchoolCodes],""))))),1,0))</f>
        <v>0</v>
      </c>
      <c r="G212" s="57">
        <f>IF(_xlfn.XLOOKUP(CONT_SUP[[#This Row],[PayScaleGradeCode]],GRADES[PayScaleGradeCode],GRADES[AvailableToAllSchools])=TRUE,0,IFERROR(IF(FIND(CONT_SUP[[#This Row],[SchoolCode]],_xlfn.XLOOKUP(CONT_SUP[[#This Row],[PayScaleGradeCode]],GRADES[PayScaleGradeCode],GRADES[SchoolCodes]))&gt;=1,0,1),1))</f>
        <v>0</v>
      </c>
      <c r="H212" s="57">
        <f>IF(ISERROR(IF((_xlfn.XLOOKUP(CONT_SUP[[#This Row],[PayScaleGradeCode]],GRADES[PayScaleGradeCode],GRADES[PayScaleCode])=CONT_SUP[[#This Row],[PayScaleCode]]),0,1)),1,0)</f>
        <v>0</v>
      </c>
      <c r="I212" s="57" cm="1">
        <f t="array" ref="I212">IF(ISERROR(FIND(CONT_SUP[[#This Row],[PayScalePointCode]],_xlfn.TEXTJOIN(",",TRUE,IF(PSPOINTS[PayScaleCode]=CONT_SUP[[#This Row],[PayScaleCode]],PSPOINTS[PayScalePointCode])))),1,0)</f>
        <v>0</v>
      </c>
      <c r="J212" s="57" cm="1">
        <f t="array" ref="J21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12" s="57">
        <f>IF(_xlfn.XLOOKUP(CONT_SUP[[#This Row],[PayScalePointCode]],PSPOINTS[PayScalePointCode],PSPOINTS[PayScalePointEnabled])=TRUE,0,1)</f>
        <v>0</v>
      </c>
      <c r="L212" s="57" cm="1">
        <f t="array" ref="L212">IF(_xlfn.XLOOKUP(CONT_SUP[[#This Row],[DepartmentCode]],DEPTS[DepartmentCode],DEPTS[AvailableToAllSchools],1,0,)=TRUE,0,IF(ISERROR(FIND(CONT_SUP[[#This Row],[SchoolCode]],_xlfn.TEXTJOIN(",",TRUE,_xlfn.UNIQUE(IF(DEPTS[DepartmentCode]=CONT_SUP[[#This Row],[DepartmentCode]],DEPTS[SchoolCodes],""))))),1,0))</f>
        <v>0</v>
      </c>
      <c r="M212" s="57">
        <f>IFERROR(IF(_xlfn.XLOOKUP(CONT_SUP[[#This Row],[SRG Gross]],FinanceCodesBudget[FinanceCode],FinanceCodesBudget[LedgerCode])=_xlfn.XLOOKUP(CONT_SUP[[#This Row],[DepartmentCode]],DEPTS[DepartmentCode],DEPTS[LedgerCode]),0,1),1)</f>
        <v>1</v>
      </c>
      <c r="N212" s="57" cm="1">
        <f t="array" ref="N212">IF(_xlfn.XLOOKUP(CONT_SUP[[#This Row],[PensionCode]],PENS[PensionCode],PENS[AvailableToAllSchools],1,0,)=TRUE,0,IF(ISERROR(FIND(CONT_SUP[[#This Row],[SchoolCode]],_xlfn.TEXTJOIN(",",TRUE,_xlfn.UNIQUE(IF(PENS[PensionCode]=CONT_SUP[[#This Row],[PensionCode]],PENS[SchoolCodes],""))))),1,0))</f>
        <v>0</v>
      </c>
      <c r="O212" s="57" cm="1">
        <f t="array" ref="O212">IF(_xlfn.XLOOKUP(CONT_SUP[[#This Row],[EquatedWeekPatternCode]],EQW[EquatedWeekPatternCode],EQW[AvailableToAllSchools],1,0,)=TRUE,0,IF(ISERROR(FIND(CONT_SUP[[#This Row],[SchoolCode]],_xlfn.TEXTJOIN(",",TRUE,_xlfn.UNIQUE(IF(EQW[EquatedWeekPatternCode]=CONT_SUP[[#This Row],[EquatedWeekPatternCode]],EQW[SchoolCodes],""))))),1,0))</f>
        <v>0</v>
      </c>
      <c r="P212" s="57">
        <f>1-COUNTIF(ContractTypes[Code],CONT_SUP[[#This Row],[ContractTypeCode]])</f>
        <v>0</v>
      </c>
      <c r="Q212" s="57">
        <f>IF(VLOOKUP(CONT_SUP[[#This Row],[StaffMemberCode]],MEMBERS[[StaffMemberCode]:[ServiceStartDate]],5,0)&gt;CONT_SUP[[#This Row],[DateFrom]],1,0)</f>
        <v>0</v>
      </c>
      <c r="R212" s="57">
        <f>IF(_xlfn.XLOOKUP(CONT_SUP[[#This Row],[StaffMemberCode]],MEMBERS[StaffMemberCode],MEMBERS[ServiceEndDate])="",0,IF(CONT_SUP[[#This Row],[DateTo]]="",1,IF(_xlfn.XLOOKUP(CONT_SUP[[#This Row],[StaffMemberCode]],MEMBERS[StaffMemberCode],MEMBERS[ServiceEndDate])&lt;CONT_SUP[[#This Row],[DateTo]],1,0)))</f>
        <v>0</v>
      </c>
      <c r="S212" s="57">
        <f>IF(ISBLANK(CONT_SUP[[#This Row],[DateTo]]),0,IF(CONT_SUP[[#This Row],[DateFrom]]=CONT_SUP[[#This Row],[DateTo]],0,IF(CONT_SUP[[#This Row],[DateFrom]]&lt;CONT_SUP[[#This Row],[DateTo]],0,1)))</f>
        <v>0</v>
      </c>
      <c r="T212" s="57" cm="1">
        <f t="array" aca="1" ref="T212" ca="1">IF(CELL("format",CONT_SUP[[#This Row],[DateFrom]])="D1",0,1)+IF(CELL("format",CONT_SUP[[#This Row],[DateTo]])="D1",0,1)</f>
        <v>0</v>
      </c>
      <c r="U212" s="57">
        <f>IF(OR(CONT_SUP[[#This Row],[MatEditOnly]]=TRUE,CONT_SUP[[#This Row],[MatEditOnly]]=FALSE),IF(OR(CONT_SUP[[#This Row],[NoIncrement]]=TRUE,CONT_SUP[[#This Row],[NoIncrement]]=FALSE),0,1),1)</f>
        <v>0</v>
      </c>
      <c r="V212" s="57">
        <f>IF(ISBLANK(CONT_SUP[[#This Row],[FundCode]])=TRUE,0,IF(COUNTIF(FUNDS[FundCode],CONT_SUP[[#This Row],[FundCode]])=1,0,1))</f>
        <v>0</v>
      </c>
      <c r="W212" s="57">
        <f>IF(LEN(CONT_SUP[[#This Row],[Notes]])&lt;4000,0,1)</f>
        <v>0</v>
      </c>
      <c r="X212" s="57">
        <f>IF(SUBSTITUTE(TEXT(CONT_SUP[[#This Row],[Reference]],10)," ","")=TEXT(CONT_SUP[[#This Row],[Reference]],10),0,1)</f>
        <v>0</v>
      </c>
      <c r="Y212" s="57">
        <f ca="1">SUM(CONT_SUP[[#This Row],[Duplicate Contract]:[Space in Code]])</f>
        <v>1</v>
      </c>
      <c r="AA212" s="12" t="s">
        <v>2275</v>
      </c>
      <c r="AB212" s="12">
        <v>91073415</v>
      </c>
      <c r="AC212" s="12" t="s">
        <v>4808</v>
      </c>
      <c r="AD212" s="57" t="str">
        <f>_xlfn.XLOOKUP(CONT_SUP[[#This Row],[StaffMemberCode]],StaffMembers!O:O,StaffMembers!R:R)</f>
        <v>Emma Grindley</v>
      </c>
      <c r="AE212" s="12" t="s">
        <v>1180</v>
      </c>
      <c r="AF212" s="57">
        <f>_xlfn.XLOOKUP(CONT_SUP[[#This Row],[SRG]],SRG[StaffRoleGroupCode],SRG[GrossSalaryFinanceCode])</f>
        <v>615100</v>
      </c>
      <c r="AG212" s="57" t="str">
        <f>_xlfn.XLOOKUP(CONT_SUP[[#This Row],[StaffRoleCode]],ROLES[StaffRoleCode],ROLES[StaffRoleGroupCode])</f>
        <v>TA</v>
      </c>
      <c r="AH212" s="57" t="str">
        <f>_xlfn.XLOOKUP(CONT_SUP[[#This Row],[StaffRoleCode]],ROLES[StaffRoleCode],ROLES[PayScaleCode])</f>
        <v>NJC_CHE</v>
      </c>
      <c r="AI212" s="12" t="s">
        <v>3122</v>
      </c>
      <c r="AJ212" s="12">
        <v>6</v>
      </c>
      <c r="AK212" s="12" t="s">
        <v>2497</v>
      </c>
      <c r="AM212" s="68" t="s">
        <v>3132</v>
      </c>
      <c r="AN212" s="12" t="s">
        <v>3134</v>
      </c>
      <c r="AO212" s="21">
        <v>45901</v>
      </c>
      <c r="AQ212" s="12">
        <v>27.5</v>
      </c>
      <c r="AR212" t="b">
        <v>0</v>
      </c>
      <c r="AS212" t="b">
        <v>0</v>
      </c>
      <c r="AT212" s="12" t="s">
        <v>1575</v>
      </c>
    </row>
    <row r="213" spans="1:46" x14ac:dyDescent="0.3">
      <c r="A213" s="57" t="str">
        <f t="shared" si="6"/>
        <v>WVP9107342391073423ATASTA45901</v>
      </c>
      <c r="B213" s="57">
        <f>COUNTIF(CONT_SUP[Unique Contract],CONT_SUP[[#This Row],[Unique Contract]])-1</f>
        <v>0</v>
      </c>
      <c r="C213" s="57">
        <f>IFERROR(IF(FIND(CONT_SUP[[#This Row],[SchoolCode]],_xlfn.XLOOKUP(CONT_SUP[[#This Row],[StaffMemberCode]],MEMBERS[StaffMemberCode],MEMBERS[SchoolCodes]))&gt;0,0,1),1)</f>
        <v>0</v>
      </c>
      <c r="D213" s="57" cm="1">
        <f t="array" ref="D213">IF(_xlfn.XLOOKUP(CONT_SUP[[#This Row],[StaffRoleCode]],ROLES[StaffRoleCode],ROLES[AvailableToAllSchools],1,0,)=TRUE,0,IF(ISERROR(FIND(CONT_SUP[[#This Row],[SchoolCode]],_xlfn.TEXTJOIN(",",TRUE,_xlfn.UNIQUE(IF(ROLES[StaffRoleCode]=CONT_SUP[[#This Row],[StaffRoleCode]],ROLES[SchoolCodes],""))))),1,0))</f>
        <v>0</v>
      </c>
      <c r="E213" s="57" cm="1">
        <f t="array" ref="E21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13" s="57" cm="1">
        <f t="array" ref="F213">IF(_xlfn.XLOOKUP(CONT_SUP[[#This Row],[PayScaleCode]],PAYSCALES[PayScaleCode],PAYSCALES[AvailableToAllSchools],1,0,)=TRUE,0,IF(ISERROR(FIND(CONT_SUP[[#This Row],[SchoolCode]],_xlfn.TEXTJOIN(",",TRUE,_xlfn.UNIQUE(IF(PAYSCALES[PayScaleCode]=CONT_SUP[[#This Row],[PayScaleCode]],PAYSCALES[SchoolCodes],""))))),1,0))</f>
        <v>0</v>
      </c>
      <c r="G213" s="57">
        <f>IF(_xlfn.XLOOKUP(CONT_SUP[[#This Row],[PayScaleGradeCode]],GRADES[PayScaleGradeCode],GRADES[AvailableToAllSchools])=TRUE,0,IFERROR(IF(FIND(CONT_SUP[[#This Row],[SchoolCode]],_xlfn.XLOOKUP(CONT_SUP[[#This Row],[PayScaleGradeCode]],GRADES[PayScaleGradeCode],GRADES[SchoolCodes]))&gt;=1,0,1),1))</f>
        <v>0</v>
      </c>
      <c r="H213" s="57">
        <f>IF(ISERROR(IF((_xlfn.XLOOKUP(CONT_SUP[[#This Row],[PayScaleGradeCode]],GRADES[PayScaleGradeCode],GRADES[PayScaleCode])=CONT_SUP[[#This Row],[PayScaleCode]]),0,1)),1,0)</f>
        <v>0</v>
      </c>
      <c r="I213" s="57" cm="1">
        <f t="array" ref="I213">IF(ISERROR(FIND(CONT_SUP[[#This Row],[PayScalePointCode]],_xlfn.TEXTJOIN(",",TRUE,IF(PSPOINTS[PayScaleCode]=CONT_SUP[[#This Row],[PayScaleCode]],PSPOINTS[PayScalePointCode])))),1,0)</f>
        <v>0</v>
      </c>
      <c r="J213" s="57" cm="1">
        <f t="array" ref="J21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13" s="57">
        <f>IF(_xlfn.XLOOKUP(CONT_SUP[[#This Row],[PayScalePointCode]],PSPOINTS[PayScalePointCode],PSPOINTS[PayScalePointEnabled])=TRUE,0,1)</f>
        <v>0</v>
      </c>
      <c r="L213" s="57" cm="1">
        <f t="array" ref="L213">IF(_xlfn.XLOOKUP(CONT_SUP[[#This Row],[DepartmentCode]],DEPTS[DepartmentCode],DEPTS[AvailableToAllSchools],1,0,)=TRUE,0,IF(ISERROR(FIND(CONT_SUP[[#This Row],[SchoolCode]],_xlfn.TEXTJOIN(",",TRUE,_xlfn.UNIQUE(IF(DEPTS[DepartmentCode]=CONT_SUP[[#This Row],[DepartmentCode]],DEPTS[SchoolCodes],""))))),1,0))</f>
        <v>0</v>
      </c>
      <c r="M213" s="57">
        <f>IFERROR(IF(_xlfn.XLOOKUP(CONT_SUP[[#This Row],[SRG Gross]],FinanceCodesBudget[FinanceCode],FinanceCodesBudget[LedgerCode])=_xlfn.XLOOKUP(CONT_SUP[[#This Row],[DepartmentCode]],DEPTS[DepartmentCode],DEPTS[LedgerCode]),0,1),1)</f>
        <v>1</v>
      </c>
      <c r="N213" s="57" cm="1">
        <f t="array" ref="N213">IF(_xlfn.XLOOKUP(CONT_SUP[[#This Row],[PensionCode]],PENS[PensionCode],PENS[AvailableToAllSchools],1,0,)=TRUE,0,IF(ISERROR(FIND(CONT_SUP[[#This Row],[SchoolCode]],_xlfn.TEXTJOIN(",",TRUE,_xlfn.UNIQUE(IF(PENS[PensionCode]=CONT_SUP[[#This Row],[PensionCode]],PENS[SchoolCodes],""))))),1,0))</f>
        <v>0</v>
      </c>
      <c r="O213" s="57" cm="1">
        <f t="array" ref="O213">IF(_xlfn.XLOOKUP(CONT_SUP[[#This Row],[EquatedWeekPatternCode]],EQW[EquatedWeekPatternCode],EQW[AvailableToAllSchools],1,0,)=TRUE,0,IF(ISERROR(FIND(CONT_SUP[[#This Row],[SchoolCode]],_xlfn.TEXTJOIN(",",TRUE,_xlfn.UNIQUE(IF(EQW[EquatedWeekPatternCode]=CONT_SUP[[#This Row],[EquatedWeekPatternCode]],EQW[SchoolCodes],""))))),1,0))</f>
        <v>0</v>
      </c>
      <c r="P213" s="57">
        <f>1-COUNTIF(ContractTypes[Code],CONT_SUP[[#This Row],[ContractTypeCode]])</f>
        <v>0</v>
      </c>
      <c r="Q213" s="57">
        <f>IF(VLOOKUP(CONT_SUP[[#This Row],[StaffMemberCode]],MEMBERS[[StaffMemberCode]:[ServiceStartDate]],5,0)&gt;CONT_SUP[[#This Row],[DateFrom]],1,0)</f>
        <v>0</v>
      </c>
      <c r="R213" s="57">
        <f>IF(_xlfn.XLOOKUP(CONT_SUP[[#This Row],[StaffMemberCode]],MEMBERS[StaffMemberCode],MEMBERS[ServiceEndDate])="",0,IF(CONT_SUP[[#This Row],[DateTo]]="",1,IF(_xlfn.XLOOKUP(CONT_SUP[[#This Row],[StaffMemberCode]],MEMBERS[StaffMemberCode],MEMBERS[ServiceEndDate])&lt;CONT_SUP[[#This Row],[DateTo]],1,0)))</f>
        <v>0</v>
      </c>
      <c r="S213" s="57">
        <f>IF(ISBLANK(CONT_SUP[[#This Row],[DateTo]]),0,IF(CONT_SUP[[#This Row],[DateFrom]]=CONT_SUP[[#This Row],[DateTo]],0,IF(CONT_SUP[[#This Row],[DateFrom]]&lt;CONT_SUP[[#This Row],[DateTo]],0,1)))</f>
        <v>0</v>
      </c>
      <c r="T213" s="57" cm="1">
        <f t="array" aca="1" ref="T213" ca="1">IF(CELL("format",CONT_SUP[[#This Row],[DateFrom]])="D1",0,1)+IF(CELL("format",CONT_SUP[[#This Row],[DateTo]])="D1",0,1)</f>
        <v>0</v>
      </c>
      <c r="U213" s="57">
        <f>IF(OR(CONT_SUP[[#This Row],[MatEditOnly]]=TRUE,CONT_SUP[[#This Row],[MatEditOnly]]=FALSE),IF(OR(CONT_SUP[[#This Row],[NoIncrement]]=TRUE,CONT_SUP[[#This Row],[NoIncrement]]=FALSE),0,1),1)</f>
        <v>0</v>
      </c>
      <c r="V213" s="57">
        <f>IF(ISBLANK(CONT_SUP[[#This Row],[FundCode]])=TRUE,0,IF(COUNTIF(FUNDS[FundCode],CONT_SUP[[#This Row],[FundCode]])=1,0,1))</f>
        <v>0</v>
      </c>
      <c r="W213" s="57">
        <f>IF(LEN(CONT_SUP[[#This Row],[Notes]])&lt;4000,0,1)</f>
        <v>0</v>
      </c>
      <c r="X213" s="57">
        <f>IF(SUBSTITUTE(TEXT(CONT_SUP[[#This Row],[Reference]],10)," ","")=TEXT(CONT_SUP[[#This Row],[Reference]],10),0,1)</f>
        <v>0</v>
      </c>
      <c r="Y213" s="57">
        <f ca="1">SUM(CONT_SUP[[#This Row],[Duplicate Contract]:[Space in Code]])</f>
        <v>1</v>
      </c>
      <c r="AA213" s="12" t="s">
        <v>2275</v>
      </c>
      <c r="AB213" s="12">
        <v>91073423</v>
      </c>
      <c r="AC213" s="12" t="s">
        <v>4809</v>
      </c>
      <c r="AD213" s="57" t="str">
        <f>_xlfn.XLOOKUP(CONT_SUP[[#This Row],[StaffMemberCode]],StaffMembers!O:O,StaffMembers!R:R)</f>
        <v>Emma Shilton</v>
      </c>
      <c r="AE213" s="12" t="s">
        <v>1180</v>
      </c>
      <c r="AF213" s="57">
        <f>_xlfn.XLOOKUP(CONT_SUP[[#This Row],[SRG]],SRG[StaffRoleGroupCode],SRG[GrossSalaryFinanceCode])</f>
        <v>615100</v>
      </c>
      <c r="AG213" s="57" t="str">
        <f>_xlfn.XLOOKUP(CONT_SUP[[#This Row],[StaffRoleCode]],ROLES[StaffRoleCode],ROLES[StaffRoleGroupCode])</f>
        <v>TA</v>
      </c>
      <c r="AH213" s="57" t="str">
        <f>_xlfn.XLOOKUP(CONT_SUP[[#This Row],[StaffRoleCode]],ROLES[StaffRoleCode],ROLES[PayScaleCode])</f>
        <v>NJC_CHE</v>
      </c>
      <c r="AI213" s="12" t="s">
        <v>3122</v>
      </c>
      <c r="AJ213" s="12">
        <v>6</v>
      </c>
      <c r="AK213" s="12" t="s">
        <v>2497</v>
      </c>
      <c r="AM213" s="68" t="s">
        <v>3132</v>
      </c>
      <c r="AN213" s="12" t="s">
        <v>3134</v>
      </c>
      <c r="AO213" s="21">
        <v>45901</v>
      </c>
      <c r="AQ213" s="12">
        <v>35</v>
      </c>
      <c r="AR213" t="b">
        <v>0</v>
      </c>
      <c r="AS213" t="b">
        <v>0</v>
      </c>
      <c r="AT213" s="12" t="s">
        <v>1574</v>
      </c>
    </row>
    <row r="214" spans="1:46" x14ac:dyDescent="0.3">
      <c r="A214" s="57" t="str">
        <f t="shared" ref="A214:A245" si="7">AA214&amp;AB214&amp;AC214&amp;AE214&amp;AK214&amp;AO214</f>
        <v>BLS9107353291073532ATASTA45901</v>
      </c>
      <c r="B214" s="57">
        <f>COUNTIF(CONT_SUP[Unique Contract],CONT_SUP[[#This Row],[Unique Contract]])-1</f>
        <v>0</v>
      </c>
      <c r="C214" s="57">
        <f>IFERROR(IF(FIND(CONT_SUP[[#This Row],[SchoolCode]],_xlfn.XLOOKUP(CONT_SUP[[#This Row],[StaffMemberCode]],MEMBERS[StaffMemberCode],MEMBERS[SchoolCodes]))&gt;0,0,1),1)</f>
        <v>0</v>
      </c>
      <c r="D214" s="57" cm="1">
        <f t="array" ref="D214">IF(_xlfn.XLOOKUP(CONT_SUP[[#This Row],[StaffRoleCode]],ROLES[StaffRoleCode],ROLES[AvailableToAllSchools],1,0,)=TRUE,0,IF(ISERROR(FIND(CONT_SUP[[#This Row],[SchoolCode]],_xlfn.TEXTJOIN(",",TRUE,_xlfn.UNIQUE(IF(ROLES[StaffRoleCode]=CONT_SUP[[#This Row],[StaffRoleCode]],ROLES[SchoolCodes],""))))),1,0))</f>
        <v>0</v>
      </c>
      <c r="E214" s="57" cm="1">
        <f t="array" ref="E21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14" s="57" cm="1">
        <f t="array" ref="F214">IF(_xlfn.XLOOKUP(CONT_SUP[[#This Row],[PayScaleCode]],PAYSCALES[PayScaleCode],PAYSCALES[AvailableToAllSchools],1,0,)=TRUE,0,IF(ISERROR(FIND(CONT_SUP[[#This Row],[SchoolCode]],_xlfn.TEXTJOIN(",",TRUE,_xlfn.UNIQUE(IF(PAYSCALES[PayScaleCode]=CONT_SUP[[#This Row],[PayScaleCode]],PAYSCALES[SchoolCodes],""))))),1,0))</f>
        <v>0</v>
      </c>
      <c r="G214" s="57">
        <f>IF(_xlfn.XLOOKUP(CONT_SUP[[#This Row],[PayScaleGradeCode]],GRADES[PayScaleGradeCode],GRADES[AvailableToAllSchools])=TRUE,0,IFERROR(IF(FIND(CONT_SUP[[#This Row],[SchoolCode]],_xlfn.XLOOKUP(CONT_SUP[[#This Row],[PayScaleGradeCode]],GRADES[PayScaleGradeCode],GRADES[SchoolCodes]))&gt;=1,0,1),1))</f>
        <v>0</v>
      </c>
      <c r="H214" s="57">
        <f>IF(ISERROR(IF((_xlfn.XLOOKUP(CONT_SUP[[#This Row],[PayScaleGradeCode]],GRADES[PayScaleGradeCode],GRADES[PayScaleCode])=CONT_SUP[[#This Row],[PayScaleCode]]),0,1)),1,0)</f>
        <v>0</v>
      </c>
      <c r="I214" s="57" cm="1">
        <f t="array" ref="I214">IF(ISERROR(FIND(CONT_SUP[[#This Row],[PayScalePointCode]],_xlfn.TEXTJOIN(",",TRUE,IF(PSPOINTS[PayScaleCode]=CONT_SUP[[#This Row],[PayScaleCode]],PSPOINTS[PayScalePointCode])))),1,0)</f>
        <v>0</v>
      </c>
      <c r="J214" s="57" cm="1">
        <f t="array" ref="J21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14" s="57">
        <f>IF(_xlfn.XLOOKUP(CONT_SUP[[#This Row],[PayScalePointCode]],PSPOINTS[PayScalePointCode],PSPOINTS[PayScalePointEnabled])=TRUE,0,1)</f>
        <v>0</v>
      </c>
      <c r="L214" s="57" cm="1">
        <f t="array" ref="L214">IF(_xlfn.XLOOKUP(CONT_SUP[[#This Row],[DepartmentCode]],DEPTS[DepartmentCode],DEPTS[AvailableToAllSchools],1,0,)=TRUE,0,IF(ISERROR(FIND(CONT_SUP[[#This Row],[SchoolCode]],_xlfn.TEXTJOIN(",",TRUE,_xlfn.UNIQUE(IF(DEPTS[DepartmentCode]=CONT_SUP[[#This Row],[DepartmentCode]],DEPTS[SchoolCodes],""))))),1,0))</f>
        <v>0</v>
      </c>
      <c r="M214" s="57">
        <f>IFERROR(IF(_xlfn.XLOOKUP(CONT_SUP[[#This Row],[SRG Gross]],FinanceCodesBudget[FinanceCode],FinanceCodesBudget[LedgerCode])=_xlfn.XLOOKUP(CONT_SUP[[#This Row],[DepartmentCode]],DEPTS[DepartmentCode],DEPTS[LedgerCode]),0,1),1)</f>
        <v>1</v>
      </c>
      <c r="N214" s="57" cm="1">
        <f t="array" ref="N214">IF(_xlfn.XLOOKUP(CONT_SUP[[#This Row],[PensionCode]],PENS[PensionCode],PENS[AvailableToAllSchools],1,0,)=TRUE,0,IF(ISERROR(FIND(CONT_SUP[[#This Row],[SchoolCode]],_xlfn.TEXTJOIN(",",TRUE,_xlfn.UNIQUE(IF(PENS[PensionCode]=CONT_SUP[[#This Row],[PensionCode]],PENS[SchoolCodes],""))))),1,0))</f>
        <v>0</v>
      </c>
      <c r="O214" s="57" cm="1">
        <f t="array" ref="O214">IF(_xlfn.XLOOKUP(CONT_SUP[[#This Row],[EquatedWeekPatternCode]],EQW[EquatedWeekPatternCode],EQW[AvailableToAllSchools],1,0,)=TRUE,0,IF(ISERROR(FIND(CONT_SUP[[#This Row],[SchoolCode]],_xlfn.TEXTJOIN(",",TRUE,_xlfn.UNIQUE(IF(EQW[EquatedWeekPatternCode]=CONT_SUP[[#This Row],[EquatedWeekPatternCode]],EQW[SchoolCodes],""))))),1,0))</f>
        <v>0</v>
      </c>
      <c r="P214" s="57">
        <f>1-COUNTIF(ContractTypes[Code],CONT_SUP[[#This Row],[ContractTypeCode]])</f>
        <v>0</v>
      </c>
      <c r="Q214" s="57">
        <f>IF(VLOOKUP(CONT_SUP[[#This Row],[StaffMemberCode]],MEMBERS[[StaffMemberCode]:[ServiceStartDate]],5,0)&gt;CONT_SUP[[#This Row],[DateFrom]],1,0)</f>
        <v>0</v>
      </c>
      <c r="R214" s="57">
        <f>IF(_xlfn.XLOOKUP(CONT_SUP[[#This Row],[StaffMemberCode]],MEMBERS[StaffMemberCode],MEMBERS[ServiceEndDate])="",0,IF(CONT_SUP[[#This Row],[DateTo]]="",1,IF(_xlfn.XLOOKUP(CONT_SUP[[#This Row],[StaffMemberCode]],MEMBERS[StaffMemberCode],MEMBERS[ServiceEndDate])&lt;CONT_SUP[[#This Row],[DateTo]],1,0)))</f>
        <v>0</v>
      </c>
      <c r="S214" s="57">
        <f>IF(ISBLANK(CONT_SUP[[#This Row],[DateTo]]),0,IF(CONT_SUP[[#This Row],[DateFrom]]=CONT_SUP[[#This Row],[DateTo]],0,IF(CONT_SUP[[#This Row],[DateFrom]]&lt;CONT_SUP[[#This Row],[DateTo]],0,1)))</f>
        <v>0</v>
      </c>
      <c r="T214" s="57" cm="1">
        <f t="array" aca="1" ref="T214" ca="1">IF(CELL("format",CONT_SUP[[#This Row],[DateFrom]])="D1",0,1)+IF(CELL("format",CONT_SUP[[#This Row],[DateTo]])="D1",0,1)</f>
        <v>0</v>
      </c>
      <c r="U214" s="57">
        <f>IF(OR(CONT_SUP[[#This Row],[MatEditOnly]]=TRUE,CONT_SUP[[#This Row],[MatEditOnly]]=FALSE),IF(OR(CONT_SUP[[#This Row],[NoIncrement]]=TRUE,CONT_SUP[[#This Row],[NoIncrement]]=FALSE),0,1),1)</f>
        <v>0</v>
      </c>
      <c r="V214" s="57">
        <f>IF(ISBLANK(CONT_SUP[[#This Row],[FundCode]])=TRUE,0,IF(COUNTIF(FUNDS[FundCode],CONT_SUP[[#This Row],[FundCode]])=1,0,1))</f>
        <v>0</v>
      </c>
      <c r="W214" s="57">
        <f>IF(LEN(CONT_SUP[[#This Row],[Notes]])&lt;4000,0,1)</f>
        <v>0</v>
      </c>
      <c r="X214" s="57">
        <f>IF(SUBSTITUTE(TEXT(CONT_SUP[[#This Row],[Reference]],10)," ","")=TEXT(CONT_SUP[[#This Row],[Reference]],10),0,1)</f>
        <v>0</v>
      </c>
      <c r="Y214" s="57">
        <f ca="1">SUM(CONT_SUP[[#This Row],[Duplicate Contract]:[Space in Code]])</f>
        <v>1</v>
      </c>
      <c r="AA214" s="12" t="s">
        <v>2094</v>
      </c>
      <c r="AB214" s="12">
        <v>91073532</v>
      </c>
      <c r="AC214" s="12" t="s">
        <v>4810</v>
      </c>
      <c r="AD214" s="57" t="str">
        <f>_xlfn.XLOOKUP(CONT_SUP[[#This Row],[StaffMemberCode]],StaffMembers!O:O,StaffMembers!R:R)</f>
        <v>Emma White</v>
      </c>
      <c r="AE214" s="12" t="s">
        <v>1180</v>
      </c>
      <c r="AF214" s="57">
        <f>_xlfn.XLOOKUP(CONT_SUP[[#This Row],[SRG]],SRG[StaffRoleGroupCode],SRG[GrossSalaryFinanceCode])</f>
        <v>615100</v>
      </c>
      <c r="AG214" s="57" t="str">
        <f>_xlfn.XLOOKUP(CONT_SUP[[#This Row],[StaffRoleCode]],ROLES[StaffRoleCode],ROLES[StaffRoleGroupCode])</f>
        <v>TA</v>
      </c>
      <c r="AH214" s="57" t="str">
        <f>_xlfn.XLOOKUP(CONT_SUP[[#This Row],[StaffRoleCode]],ROLES[StaffRoleCode],ROLES[PayScaleCode])</f>
        <v>NJC_CHE</v>
      </c>
      <c r="AI214" s="12" t="s">
        <v>3122</v>
      </c>
      <c r="AJ214" s="12">
        <v>6</v>
      </c>
      <c r="AK214" s="12" t="s">
        <v>2497</v>
      </c>
      <c r="AM214" s="68" t="s">
        <v>3132</v>
      </c>
      <c r="AN214" s="12" t="s">
        <v>3134</v>
      </c>
      <c r="AO214" s="21">
        <v>45901</v>
      </c>
      <c r="AQ214" s="12">
        <v>26.25</v>
      </c>
      <c r="AR214" t="b">
        <v>0</v>
      </c>
      <c r="AS214" t="b">
        <v>0</v>
      </c>
      <c r="AT214" s="12" t="s">
        <v>1574</v>
      </c>
    </row>
    <row r="215" spans="1:46" x14ac:dyDescent="0.3">
      <c r="A215" s="57" t="str">
        <f t="shared" si="7"/>
        <v>HIG9107390191073901BTASTA45903</v>
      </c>
      <c r="B215" s="57">
        <f>COUNTIF(CONT_SUP[Unique Contract],CONT_SUP[[#This Row],[Unique Contract]])-1</f>
        <v>0</v>
      </c>
      <c r="C215" s="57">
        <f>IFERROR(IF(FIND(CONT_SUP[[#This Row],[SchoolCode]],_xlfn.XLOOKUP(CONT_SUP[[#This Row],[StaffMemberCode]],MEMBERS[StaffMemberCode],MEMBERS[SchoolCodes]))&gt;0,0,1),1)</f>
        <v>0</v>
      </c>
      <c r="D215" s="57" cm="1">
        <f t="array" ref="D215">IF(_xlfn.XLOOKUP(CONT_SUP[[#This Row],[StaffRoleCode]],ROLES[StaffRoleCode],ROLES[AvailableToAllSchools],1,0,)=TRUE,0,IF(ISERROR(FIND(CONT_SUP[[#This Row],[SchoolCode]],_xlfn.TEXTJOIN(",",TRUE,_xlfn.UNIQUE(IF(ROLES[StaffRoleCode]=CONT_SUP[[#This Row],[StaffRoleCode]],ROLES[SchoolCodes],""))))),1,0))</f>
        <v>0</v>
      </c>
      <c r="E215" s="57" cm="1">
        <f t="array" ref="E21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15" s="57" cm="1">
        <f t="array" ref="F215">IF(_xlfn.XLOOKUP(CONT_SUP[[#This Row],[PayScaleCode]],PAYSCALES[PayScaleCode],PAYSCALES[AvailableToAllSchools],1,0,)=TRUE,0,IF(ISERROR(FIND(CONT_SUP[[#This Row],[SchoolCode]],_xlfn.TEXTJOIN(",",TRUE,_xlfn.UNIQUE(IF(PAYSCALES[PayScaleCode]=CONT_SUP[[#This Row],[PayScaleCode]],PAYSCALES[SchoolCodes],""))))),1,0))</f>
        <v>0</v>
      </c>
      <c r="G215" s="57">
        <f>IF(_xlfn.XLOOKUP(CONT_SUP[[#This Row],[PayScaleGradeCode]],GRADES[PayScaleGradeCode],GRADES[AvailableToAllSchools])=TRUE,0,IFERROR(IF(FIND(CONT_SUP[[#This Row],[SchoolCode]],_xlfn.XLOOKUP(CONT_SUP[[#This Row],[PayScaleGradeCode]],GRADES[PayScaleGradeCode],GRADES[SchoolCodes]))&gt;=1,0,1),1))</f>
        <v>0</v>
      </c>
      <c r="H215" s="57">
        <f>IF(ISERROR(IF((_xlfn.XLOOKUP(CONT_SUP[[#This Row],[PayScaleGradeCode]],GRADES[PayScaleGradeCode],GRADES[PayScaleCode])=CONT_SUP[[#This Row],[PayScaleCode]]),0,1)),1,0)</f>
        <v>0</v>
      </c>
      <c r="I215" s="57" cm="1">
        <f t="array" ref="I215">IF(ISERROR(FIND(CONT_SUP[[#This Row],[PayScalePointCode]],_xlfn.TEXTJOIN(",",TRUE,IF(PSPOINTS[PayScaleCode]=CONT_SUP[[#This Row],[PayScaleCode]],PSPOINTS[PayScalePointCode])))),1,0)</f>
        <v>0</v>
      </c>
      <c r="J215" s="57" cm="1">
        <f t="array" ref="J21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15" s="57">
        <f>IF(_xlfn.XLOOKUP(CONT_SUP[[#This Row],[PayScalePointCode]],PSPOINTS[PayScalePointCode],PSPOINTS[PayScalePointEnabled])=TRUE,0,1)</f>
        <v>0</v>
      </c>
      <c r="L215" s="57" cm="1">
        <f t="array" ref="L215">IF(_xlfn.XLOOKUP(CONT_SUP[[#This Row],[DepartmentCode]],DEPTS[DepartmentCode],DEPTS[AvailableToAllSchools],1,0,)=TRUE,0,IF(ISERROR(FIND(CONT_SUP[[#This Row],[SchoolCode]],_xlfn.TEXTJOIN(",",TRUE,_xlfn.UNIQUE(IF(DEPTS[DepartmentCode]=CONT_SUP[[#This Row],[DepartmentCode]],DEPTS[SchoolCodes],""))))),1,0))</f>
        <v>0</v>
      </c>
      <c r="M215" s="57">
        <f>IFERROR(IF(_xlfn.XLOOKUP(CONT_SUP[[#This Row],[SRG Gross]],FinanceCodesBudget[FinanceCode],FinanceCodesBudget[LedgerCode])=_xlfn.XLOOKUP(CONT_SUP[[#This Row],[DepartmentCode]],DEPTS[DepartmentCode],DEPTS[LedgerCode]),0,1),1)</f>
        <v>1</v>
      </c>
      <c r="N215" s="57" cm="1">
        <f t="array" ref="N215">IF(_xlfn.XLOOKUP(CONT_SUP[[#This Row],[PensionCode]],PENS[PensionCode],PENS[AvailableToAllSchools],1,0,)=TRUE,0,IF(ISERROR(FIND(CONT_SUP[[#This Row],[SchoolCode]],_xlfn.TEXTJOIN(",",TRUE,_xlfn.UNIQUE(IF(PENS[PensionCode]=CONT_SUP[[#This Row],[PensionCode]],PENS[SchoolCodes],""))))),1,0))</f>
        <v>0</v>
      </c>
      <c r="O215" s="57" cm="1">
        <f t="array" ref="O215">IF(_xlfn.XLOOKUP(CONT_SUP[[#This Row],[EquatedWeekPatternCode]],EQW[EquatedWeekPatternCode],EQW[AvailableToAllSchools],1,0,)=TRUE,0,IF(ISERROR(FIND(CONT_SUP[[#This Row],[SchoolCode]],_xlfn.TEXTJOIN(",",TRUE,_xlfn.UNIQUE(IF(EQW[EquatedWeekPatternCode]=CONT_SUP[[#This Row],[EquatedWeekPatternCode]],EQW[SchoolCodes],""))))),1,0))</f>
        <v>0</v>
      </c>
      <c r="P215" s="57">
        <f>1-COUNTIF(ContractTypes[Code],CONT_SUP[[#This Row],[ContractTypeCode]])</f>
        <v>0</v>
      </c>
      <c r="Q215" s="57">
        <f>IF(VLOOKUP(CONT_SUP[[#This Row],[StaffMemberCode]],MEMBERS[[StaffMemberCode]:[ServiceStartDate]],5,0)&gt;CONT_SUP[[#This Row],[DateFrom]],1,0)</f>
        <v>0</v>
      </c>
      <c r="R215" s="57">
        <f>IF(_xlfn.XLOOKUP(CONT_SUP[[#This Row],[StaffMemberCode]],MEMBERS[StaffMemberCode],MEMBERS[ServiceEndDate])="",0,IF(CONT_SUP[[#This Row],[DateTo]]="",1,IF(_xlfn.XLOOKUP(CONT_SUP[[#This Row],[StaffMemberCode]],MEMBERS[StaffMemberCode],MEMBERS[ServiceEndDate])&lt;CONT_SUP[[#This Row],[DateTo]],1,0)))</f>
        <v>0</v>
      </c>
      <c r="S215" s="57">
        <f>IF(ISBLANK(CONT_SUP[[#This Row],[DateTo]]),0,IF(CONT_SUP[[#This Row],[DateFrom]]=CONT_SUP[[#This Row],[DateTo]],0,IF(CONT_SUP[[#This Row],[DateFrom]]&lt;CONT_SUP[[#This Row],[DateTo]],0,1)))</f>
        <v>0</v>
      </c>
      <c r="T215" s="57" cm="1">
        <f t="array" aca="1" ref="T215" ca="1">IF(CELL("format",CONT_SUP[[#This Row],[DateFrom]])="D1",0,1)+IF(CELL("format",CONT_SUP[[#This Row],[DateTo]])="D1",0,1)</f>
        <v>0</v>
      </c>
      <c r="U215" s="57">
        <f>IF(OR(CONT_SUP[[#This Row],[MatEditOnly]]=TRUE,CONT_SUP[[#This Row],[MatEditOnly]]=FALSE),IF(OR(CONT_SUP[[#This Row],[NoIncrement]]=TRUE,CONT_SUP[[#This Row],[NoIncrement]]=FALSE),0,1),1)</f>
        <v>0</v>
      </c>
      <c r="V215" s="57">
        <f>IF(ISBLANK(CONT_SUP[[#This Row],[FundCode]])=TRUE,0,IF(COUNTIF(FUNDS[FundCode],CONT_SUP[[#This Row],[FundCode]])=1,0,1))</f>
        <v>0</v>
      </c>
      <c r="W215" s="57">
        <f>IF(LEN(CONT_SUP[[#This Row],[Notes]])&lt;4000,0,1)</f>
        <v>0</v>
      </c>
      <c r="X215" s="57">
        <f>IF(SUBSTITUTE(TEXT(CONT_SUP[[#This Row],[Reference]],10)," ","")=TEXT(CONT_SUP[[#This Row],[Reference]],10),0,1)</f>
        <v>0</v>
      </c>
      <c r="Y215" s="57">
        <f ca="1">SUM(CONT_SUP[[#This Row],[Duplicate Contract]:[Space in Code]])</f>
        <v>1</v>
      </c>
      <c r="AA215" s="12" t="s">
        <v>2266</v>
      </c>
      <c r="AB215" s="12">
        <v>91073901</v>
      </c>
      <c r="AC215" s="12" t="s">
        <v>4811</v>
      </c>
      <c r="AD215" s="57" t="str">
        <f>_xlfn.XLOOKUP(CONT_SUP[[#This Row],[StaffMemberCode]],StaffMembers!O:O,StaffMembers!R:R)</f>
        <v>Gemma Langsdale</v>
      </c>
      <c r="AE215" s="12" t="s">
        <v>1180</v>
      </c>
      <c r="AF215" s="57">
        <f>_xlfn.XLOOKUP(CONT_SUP[[#This Row],[SRG]],SRG[StaffRoleGroupCode],SRG[GrossSalaryFinanceCode])</f>
        <v>615100</v>
      </c>
      <c r="AG215" s="57" t="str">
        <f>_xlfn.XLOOKUP(CONT_SUP[[#This Row],[StaffRoleCode]],ROLES[StaffRoleCode],ROLES[StaffRoleGroupCode])</f>
        <v>TA</v>
      </c>
      <c r="AH215" s="57" t="str">
        <f>_xlfn.XLOOKUP(CONT_SUP[[#This Row],[StaffRoleCode]],ROLES[StaffRoleCode],ROLES[PayScaleCode])</f>
        <v>NJC_CHE</v>
      </c>
      <c r="AI215" s="12" t="s">
        <v>3122</v>
      </c>
      <c r="AJ215" s="12">
        <v>6</v>
      </c>
      <c r="AK215" s="12" t="s">
        <v>2497</v>
      </c>
      <c r="AM215" s="68" t="s">
        <v>3132</v>
      </c>
      <c r="AN215" s="12" t="s">
        <v>3134</v>
      </c>
      <c r="AO215" s="21">
        <v>45903</v>
      </c>
      <c r="AQ215" s="12">
        <v>15</v>
      </c>
      <c r="AR215" t="b">
        <v>0</v>
      </c>
      <c r="AS215" t="b">
        <v>0</v>
      </c>
      <c r="AT215" s="12" t="s">
        <v>1574</v>
      </c>
    </row>
    <row r="216" spans="1:46" x14ac:dyDescent="0.3">
      <c r="A216" s="57" t="str">
        <f t="shared" si="7"/>
        <v>BLS9107346291073462ATASTA45901</v>
      </c>
      <c r="B216" s="57">
        <f>COUNTIF(CONT_SUP[Unique Contract],CONT_SUP[[#This Row],[Unique Contract]])-1</f>
        <v>0</v>
      </c>
      <c r="C216" s="57">
        <f>IFERROR(IF(FIND(CONT_SUP[[#This Row],[SchoolCode]],_xlfn.XLOOKUP(CONT_SUP[[#This Row],[StaffMemberCode]],MEMBERS[StaffMemberCode],MEMBERS[SchoolCodes]))&gt;0,0,1),1)</f>
        <v>0</v>
      </c>
      <c r="D216" s="57" cm="1">
        <f t="array" ref="D216">IF(_xlfn.XLOOKUP(CONT_SUP[[#This Row],[StaffRoleCode]],ROLES[StaffRoleCode],ROLES[AvailableToAllSchools],1,0,)=TRUE,0,IF(ISERROR(FIND(CONT_SUP[[#This Row],[SchoolCode]],_xlfn.TEXTJOIN(",",TRUE,_xlfn.UNIQUE(IF(ROLES[StaffRoleCode]=CONT_SUP[[#This Row],[StaffRoleCode]],ROLES[SchoolCodes],""))))),1,0))</f>
        <v>0</v>
      </c>
      <c r="E216" s="57" cm="1">
        <f t="array" ref="E21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16" s="57" cm="1">
        <f t="array" ref="F216">IF(_xlfn.XLOOKUP(CONT_SUP[[#This Row],[PayScaleCode]],PAYSCALES[PayScaleCode],PAYSCALES[AvailableToAllSchools],1,0,)=TRUE,0,IF(ISERROR(FIND(CONT_SUP[[#This Row],[SchoolCode]],_xlfn.TEXTJOIN(",",TRUE,_xlfn.UNIQUE(IF(PAYSCALES[PayScaleCode]=CONT_SUP[[#This Row],[PayScaleCode]],PAYSCALES[SchoolCodes],""))))),1,0))</f>
        <v>0</v>
      </c>
      <c r="G216" s="57">
        <f>IF(_xlfn.XLOOKUP(CONT_SUP[[#This Row],[PayScaleGradeCode]],GRADES[PayScaleGradeCode],GRADES[AvailableToAllSchools])=TRUE,0,IFERROR(IF(FIND(CONT_SUP[[#This Row],[SchoolCode]],_xlfn.XLOOKUP(CONT_SUP[[#This Row],[PayScaleGradeCode]],GRADES[PayScaleGradeCode],GRADES[SchoolCodes]))&gt;=1,0,1),1))</f>
        <v>0</v>
      </c>
      <c r="H216" s="57">
        <f>IF(ISERROR(IF((_xlfn.XLOOKUP(CONT_SUP[[#This Row],[PayScaleGradeCode]],GRADES[PayScaleGradeCode],GRADES[PayScaleCode])=CONT_SUP[[#This Row],[PayScaleCode]]),0,1)),1,0)</f>
        <v>0</v>
      </c>
      <c r="I216" s="57" cm="1">
        <f t="array" ref="I216">IF(ISERROR(FIND(CONT_SUP[[#This Row],[PayScalePointCode]],_xlfn.TEXTJOIN(",",TRUE,IF(PSPOINTS[PayScaleCode]=CONT_SUP[[#This Row],[PayScaleCode]],PSPOINTS[PayScalePointCode])))),1,0)</f>
        <v>0</v>
      </c>
      <c r="J216" s="57" cm="1">
        <f t="array" ref="J21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16" s="57">
        <f>IF(_xlfn.XLOOKUP(CONT_SUP[[#This Row],[PayScalePointCode]],PSPOINTS[PayScalePointCode],PSPOINTS[PayScalePointEnabled])=TRUE,0,1)</f>
        <v>0</v>
      </c>
      <c r="L216" s="57" cm="1">
        <f t="array" ref="L216">IF(_xlfn.XLOOKUP(CONT_SUP[[#This Row],[DepartmentCode]],DEPTS[DepartmentCode],DEPTS[AvailableToAllSchools],1,0,)=TRUE,0,IF(ISERROR(FIND(CONT_SUP[[#This Row],[SchoolCode]],_xlfn.TEXTJOIN(",",TRUE,_xlfn.UNIQUE(IF(DEPTS[DepartmentCode]=CONT_SUP[[#This Row],[DepartmentCode]],DEPTS[SchoolCodes],""))))),1,0))</f>
        <v>0</v>
      </c>
      <c r="M216" s="57">
        <f>IFERROR(IF(_xlfn.XLOOKUP(CONT_SUP[[#This Row],[SRG Gross]],FinanceCodesBudget[FinanceCode],FinanceCodesBudget[LedgerCode])=_xlfn.XLOOKUP(CONT_SUP[[#This Row],[DepartmentCode]],DEPTS[DepartmentCode],DEPTS[LedgerCode]),0,1),1)</f>
        <v>1</v>
      </c>
      <c r="N216" s="57" cm="1">
        <f t="array" ref="N216">IF(_xlfn.XLOOKUP(CONT_SUP[[#This Row],[PensionCode]],PENS[PensionCode],PENS[AvailableToAllSchools],1,0,)=TRUE,0,IF(ISERROR(FIND(CONT_SUP[[#This Row],[SchoolCode]],_xlfn.TEXTJOIN(",",TRUE,_xlfn.UNIQUE(IF(PENS[PensionCode]=CONT_SUP[[#This Row],[PensionCode]],PENS[SchoolCodes],""))))),1,0))</f>
        <v>0</v>
      </c>
      <c r="O216" s="57" cm="1">
        <f t="array" ref="O216">IF(_xlfn.XLOOKUP(CONT_SUP[[#This Row],[EquatedWeekPatternCode]],EQW[EquatedWeekPatternCode],EQW[AvailableToAllSchools],1,0,)=TRUE,0,IF(ISERROR(FIND(CONT_SUP[[#This Row],[SchoolCode]],_xlfn.TEXTJOIN(",",TRUE,_xlfn.UNIQUE(IF(EQW[EquatedWeekPatternCode]=CONT_SUP[[#This Row],[EquatedWeekPatternCode]],EQW[SchoolCodes],""))))),1,0))</f>
        <v>0</v>
      </c>
      <c r="P216" s="57">
        <f>1-COUNTIF(ContractTypes[Code],CONT_SUP[[#This Row],[ContractTypeCode]])</f>
        <v>0</v>
      </c>
      <c r="Q216" s="57">
        <f>IF(VLOOKUP(CONT_SUP[[#This Row],[StaffMemberCode]],MEMBERS[[StaffMemberCode]:[ServiceStartDate]],5,0)&gt;CONT_SUP[[#This Row],[DateFrom]],1,0)</f>
        <v>0</v>
      </c>
      <c r="R216" s="57">
        <f>IF(_xlfn.XLOOKUP(CONT_SUP[[#This Row],[StaffMemberCode]],MEMBERS[StaffMemberCode],MEMBERS[ServiceEndDate])="",0,IF(CONT_SUP[[#This Row],[DateTo]]="",1,IF(_xlfn.XLOOKUP(CONT_SUP[[#This Row],[StaffMemberCode]],MEMBERS[StaffMemberCode],MEMBERS[ServiceEndDate])&lt;CONT_SUP[[#This Row],[DateTo]],1,0)))</f>
        <v>0</v>
      </c>
      <c r="S216" s="57">
        <f>IF(ISBLANK(CONT_SUP[[#This Row],[DateTo]]),0,IF(CONT_SUP[[#This Row],[DateFrom]]=CONT_SUP[[#This Row],[DateTo]],0,IF(CONT_SUP[[#This Row],[DateFrom]]&lt;CONT_SUP[[#This Row],[DateTo]],0,1)))</f>
        <v>0</v>
      </c>
      <c r="T216" s="57" cm="1">
        <f t="array" aca="1" ref="T216" ca="1">IF(CELL("format",CONT_SUP[[#This Row],[DateFrom]])="D1",0,1)+IF(CELL("format",CONT_SUP[[#This Row],[DateTo]])="D1",0,1)</f>
        <v>0</v>
      </c>
      <c r="U216" s="57">
        <f>IF(OR(CONT_SUP[[#This Row],[MatEditOnly]]=TRUE,CONT_SUP[[#This Row],[MatEditOnly]]=FALSE),IF(OR(CONT_SUP[[#This Row],[NoIncrement]]=TRUE,CONT_SUP[[#This Row],[NoIncrement]]=FALSE),0,1),1)</f>
        <v>0</v>
      </c>
      <c r="V216" s="57">
        <f>IF(ISBLANK(CONT_SUP[[#This Row],[FundCode]])=TRUE,0,IF(COUNTIF(FUNDS[FundCode],CONT_SUP[[#This Row],[FundCode]])=1,0,1))</f>
        <v>0</v>
      </c>
      <c r="W216" s="57">
        <f>IF(LEN(CONT_SUP[[#This Row],[Notes]])&lt;4000,0,1)</f>
        <v>0</v>
      </c>
      <c r="X216" s="57">
        <f>IF(SUBSTITUTE(TEXT(CONT_SUP[[#This Row],[Reference]],10)," ","")=TEXT(CONT_SUP[[#This Row],[Reference]],10),0,1)</f>
        <v>0</v>
      </c>
      <c r="Y216" s="57">
        <f ca="1">SUM(CONT_SUP[[#This Row],[Duplicate Contract]:[Space in Code]])</f>
        <v>1</v>
      </c>
      <c r="AA216" s="12" t="s">
        <v>2094</v>
      </c>
      <c r="AB216" s="12">
        <v>91073462</v>
      </c>
      <c r="AC216" s="12" t="s">
        <v>4812</v>
      </c>
      <c r="AD216" s="57" t="str">
        <f>_xlfn.XLOOKUP(CONT_SUP[[#This Row],[StaffMemberCode]],StaffMembers!O:O,StaffMembers!R:R)</f>
        <v>Gillian Billington</v>
      </c>
      <c r="AE216" s="12" t="s">
        <v>1180</v>
      </c>
      <c r="AF216" s="57">
        <f>_xlfn.XLOOKUP(CONT_SUP[[#This Row],[SRG]],SRG[StaffRoleGroupCode],SRG[GrossSalaryFinanceCode])</f>
        <v>615100</v>
      </c>
      <c r="AG216" s="57" t="str">
        <f>_xlfn.XLOOKUP(CONT_SUP[[#This Row],[StaffRoleCode]],ROLES[StaffRoleCode],ROLES[StaffRoleGroupCode])</f>
        <v>TA</v>
      </c>
      <c r="AH216" s="57" t="str">
        <f>_xlfn.XLOOKUP(CONT_SUP[[#This Row],[StaffRoleCode]],ROLES[StaffRoleCode],ROLES[PayScaleCode])</f>
        <v>NJC_CHE</v>
      </c>
      <c r="AI216" s="12" t="s">
        <v>3123</v>
      </c>
      <c r="AJ216" s="12">
        <v>11</v>
      </c>
      <c r="AK216" s="12" t="s">
        <v>2497</v>
      </c>
      <c r="AM216" s="68" t="s">
        <v>3132</v>
      </c>
      <c r="AN216" s="12" t="s">
        <v>3134</v>
      </c>
      <c r="AO216" s="21">
        <v>45901</v>
      </c>
      <c r="AQ216" s="12">
        <v>32.5</v>
      </c>
      <c r="AR216" t="b">
        <v>0</v>
      </c>
      <c r="AS216" t="b">
        <v>0</v>
      </c>
      <c r="AT216" s="12" t="s">
        <v>1574</v>
      </c>
    </row>
    <row r="217" spans="1:46" x14ac:dyDescent="0.3">
      <c r="A217" s="57" t="str">
        <f t="shared" si="7"/>
        <v>ALS9107371291073712ATASTA45901</v>
      </c>
      <c r="B217" s="57">
        <f>COUNTIF(CONT_SUP[Unique Contract],CONT_SUP[[#This Row],[Unique Contract]])-1</f>
        <v>0</v>
      </c>
      <c r="C217" s="57">
        <f>IFERROR(IF(FIND(CONT_SUP[[#This Row],[SchoolCode]],_xlfn.XLOOKUP(CONT_SUP[[#This Row],[StaffMemberCode]],MEMBERS[StaffMemberCode],MEMBERS[SchoolCodes]))&gt;0,0,1),1)</f>
        <v>0</v>
      </c>
      <c r="D217" s="57" cm="1">
        <f t="array" ref="D217">IF(_xlfn.XLOOKUP(CONT_SUP[[#This Row],[StaffRoleCode]],ROLES[StaffRoleCode],ROLES[AvailableToAllSchools],1,0,)=TRUE,0,IF(ISERROR(FIND(CONT_SUP[[#This Row],[SchoolCode]],_xlfn.TEXTJOIN(",",TRUE,_xlfn.UNIQUE(IF(ROLES[StaffRoleCode]=CONT_SUP[[#This Row],[StaffRoleCode]],ROLES[SchoolCodes],""))))),1,0))</f>
        <v>0</v>
      </c>
      <c r="E217" s="57" cm="1">
        <f t="array" ref="E21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17" s="57" cm="1">
        <f t="array" ref="F217">IF(_xlfn.XLOOKUP(CONT_SUP[[#This Row],[PayScaleCode]],PAYSCALES[PayScaleCode],PAYSCALES[AvailableToAllSchools],1,0,)=TRUE,0,IF(ISERROR(FIND(CONT_SUP[[#This Row],[SchoolCode]],_xlfn.TEXTJOIN(",",TRUE,_xlfn.UNIQUE(IF(PAYSCALES[PayScaleCode]=CONT_SUP[[#This Row],[PayScaleCode]],PAYSCALES[SchoolCodes],""))))),1,0))</f>
        <v>0</v>
      </c>
      <c r="G217" s="57">
        <f>IF(_xlfn.XLOOKUP(CONT_SUP[[#This Row],[PayScaleGradeCode]],GRADES[PayScaleGradeCode],GRADES[AvailableToAllSchools])=TRUE,0,IFERROR(IF(FIND(CONT_SUP[[#This Row],[SchoolCode]],_xlfn.XLOOKUP(CONT_SUP[[#This Row],[PayScaleGradeCode]],GRADES[PayScaleGradeCode],GRADES[SchoolCodes]))&gt;=1,0,1),1))</f>
        <v>0</v>
      </c>
      <c r="H217" s="57">
        <f>IF(ISERROR(IF((_xlfn.XLOOKUP(CONT_SUP[[#This Row],[PayScaleGradeCode]],GRADES[PayScaleGradeCode],GRADES[PayScaleCode])=CONT_SUP[[#This Row],[PayScaleCode]]),0,1)),1,0)</f>
        <v>0</v>
      </c>
      <c r="I217" s="57" cm="1">
        <f t="array" ref="I217">IF(ISERROR(FIND(CONT_SUP[[#This Row],[PayScalePointCode]],_xlfn.TEXTJOIN(",",TRUE,IF(PSPOINTS[PayScaleCode]=CONT_SUP[[#This Row],[PayScaleCode]],PSPOINTS[PayScalePointCode])))),1,0)</f>
        <v>0</v>
      </c>
      <c r="J217" s="57" cm="1">
        <f t="array" ref="J21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17" s="57">
        <f>IF(_xlfn.XLOOKUP(CONT_SUP[[#This Row],[PayScalePointCode]],PSPOINTS[PayScalePointCode],PSPOINTS[PayScalePointEnabled])=TRUE,0,1)</f>
        <v>0</v>
      </c>
      <c r="L217" s="57" cm="1">
        <f t="array" ref="L217">IF(_xlfn.XLOOKUP(CONT_SUP[[#This Row],[DepartmentCode]],DEPTS[DepartmentCode],DEPTS[AvailableToAllSchools],1,0,)=TRUE,0,IF(ISERROR(FIND(CONT_SUP[[#This Row],[SchoolCode]],_xlfn.TEXTJOIN(",",TRUE,_xlfn.UNIQUE(IF(DEPTS[DepartmentCode]=CONT_SUP[[#This Row],[DepartmentCode]],DEPTS[SchoolCodes],""))))),1,0))</f>
        <v>0</v>
      </c>
      <c r="M217" s="57">
        <f>IFERROR(IF(_xlfn.XLOOKUP(CONT_SUP[[#This Row],[SRG Gross]],FinanceCodesBudget[FinanceCode],FinanceCodesBudget[LedgerCode])=_xlfn.XLOOKUP(CONT_SUP[[#This Row],[DepartmentCode]],DEPTS[DepartmentCode],DEPTS[LedgerCode]),0,1),1)</f>
        <v>1</v>
      </c>
      <c r="N217" s="57" cm="1">
        <f t="array" ref="N217">IF(_xlfn.XLOOKUP(CONT_SUP[[#This Row],[PensionCode]],PENS[PensionCode],PENS[AvailableToAllSchools],1,0,)=TRUE,0,IF(ISERROR(FIND(CONT_SUP[[#This Row],[SchoolCode]],_xlfn.TEXTJOIN(",",TRUE,_xlfn.UNIQUE(IF(PENS[PensionCode]=CONT_SUP[[#This Row],[PensionCode]],PENS[SchoolCodes],""))))),1,0))</f>
        <v>0</v>
      </c>
      <c r="O217" s="57" cm="1">
        <f t="array" ref="O217">IF(_xlfn.XLOOKUP(CONT_SUP[[#This Row],[EquatedWeekPatternCode]],EQW[EquatedWeekPatternCode],EQW[AvailableToAllSchools],1,0,)=TRUE,0,IF(ISERROR(FIND(CONT_SUP[[#This Row],[SchoolCode]],_xlfn.TEXTJOIN(",",TRUE,_xlfn.UNIQUE(IF(EQW[EquatedWeekPatternCode]=CONT_SUP[[#This Row],[EquatedWeekPatternCode]],EQW[SchoolCodes],""))))),1,0))</f>
        <v>0</v>
      </c>
      <c r="P217" s="57">
        <f>1-COUNTIF(ContractTypes[Code],CONT_SUP[[#This Row],[ContractTypeCode]])</f>
        <v>0</v>
      </c>
      <c r="Q217" s="57">
        <f>IF(VLOOKUP(CONT_SUP[[#This Row],[StaffMemberCode]],MEMBERS[[StaffMemberCode]:[ServiceStartDate]],5,0)&gt;CONT_SUP[[#This Row],[DateFrom]],1,0)</f>
        <v>0</v>
      </c>
      <c r="R217" s="57">
        <f>IF(_xlfn.XLOOKUP(CONT_SUP[[#This Row],[StaffMemberCode]],MEMBERS[StaffMemberCode],MEMBERS[ServiceEndDate])="",0,IF(CONT_SUP[[#This Row],[DateTo]]="",1,IF(_xlfn.XLOOKUP(CONT_SUP[[#This Row],[StaffMemberCode]],MEMBERS[StaffMemberCode],MEMBERS[ServiceEndDate])&lt;CONT_SUP[[#This Row],[DateTo]],1,0)))</f>
        <v>0</v>
      </c>
      <c r="S217" s="57">
        <f>IF(ISBLANK(CONT_SUP[[#This Row],[DateTo]]),0,IF(CONT_SUP[[#This Row],[DateFrom]]=CONT_SUP[[#This Row],[DateTo]],0,IF(CONT_SUP[[#This Row],[DateFrom]]&lt;CONT_SUP[[#This Row],[DateTo]],0,1)))</f>
        <v>0</v>
      </c>
      <c r="T217" s="57" cm="1">
        <f t="array" aca="1" ref="T217" ca="1">IF(CELL("format",CONT_SUP[[#This Row],[DateFrom]])="D1",0,1)+IF(CELL("format",CONT_SUP[[#This Row],[DateTo]])="D1",0,1)</f>
        <v>0</v>
      </c>
      <c r="U217" s="57">
        <f>IF(OR(CONT_SUP[[#This Row],[MatEditOnly]]=TRUE,CONT_SUP[[#This Row],[MatEditOnly]]=FALSE),IF(OR(CONT_SUP[[#This Row],[NoIncrement]]=TRUE,CONT_SUP[[#This Row],[NoIncrement]]=FALSE),0,1),1)</f>
        <v>0</v>
      </c>
      <c r="V217" s="57">
        <f>IF(ISBLANK(CONT_SUP[[#This Row],[FundCode]])=TRUE,0,IF(COUNTIF(FUNDS[FundCode],CONT_SUP[[#This Row],[FundCode]])=1,0,1))</f>
        <v>0</v>
      </c>
      <c r="W217" s="57">
        <f>IF(LEN(CONT_SUP[[#This Row],[Notes]])&lt;4000,0,1)</f>
        <v>0</v>
      </c>
      <c r="X217" s="57">
        <f>IF(SUBSTITUTE(TEXT(CONT_SUP[[#This Row],[Reference]],10)," ","")=TEXT(CONT_SUP[[#This Row],[Reference]],10),0,1)</f>
        <v>0</v>
      </c>
      <c r="Y217" s="57">
        <f ca="1">SUM(CONT_SUP[[#This Row],[Duplicate Contract]:[Space in Code]])</f>
        <v>1</v>
      </c>
      <c r="AA217" s="12" t="s">
        <v>2082</v>
      </c>
      <c r="AB217" s="12">
        <v>91073712</v>
      </c>
      <c r="AC217" s="12" t="s">
        <v>4813</v>
      </c>
      <c r="AD217" s="57" t="str">
        <f>_xlfn.XLOOKUP(CONT_SUP[[#This Row],[StaffMemberCode]],StaffMembers!O:O,StaffMembers!R:R)</f>
        <v>Gillian Potts</v>
      </c>
      <c r="AE217" s="12" t="s">
        <v>1180</v>
      </c>
      <c r="AF217" s="57">
        <f>_xlfn.XLOOKUP(CONT_SUP[[#This Row],[SRG]],SRG[StaffRoleGroupCode],SRG[GrossSalaryFinanceCode])</f>
        <v>615100</v>
      </c>
      <c r="AG217" s="57" t="str">
        <f>_xlfn.XLOOKUP(CONT_SUP[[#This Row],[StaffRoleCode]],ROLES[StaffRoleCode],ROLES[StaffRoleGroupCode])</f>
        <v>TA</v>
      </c>
      <c r="AH217" s="57" t="str">
        <f>_xlfn.XLOOKUP(CONT_SUP[[#This Row],[StaffRoleCode]],ROLES[StaffRoleCode],ROLES[PayScaleCode])</f>
        <v>NJC_CHE</v>
      </c>
      <c r="AI217" s="12" t="s">
        <v>3123</v>
      </c>
      <c r="AJ217" s="12">
        <v>11</v>
      </c>
      <c r="AK217" s="12" t="s">
        <v>2497</v>
      </c>
      <c r="AM217" s="68" t="s">
        <v>3132</v>
      </c>
      <c r="AN217" s="12" t="s">
        <v>3135</v>
      </c>
      <c r="AO217" s="21">
        <v>45901</v>
      </c>
      <c r="AQ217" s="12">
        <v>22.5</v>
      </c>
      <c r="AR217" t="b">
        <v>0</v>
      </c>
      <c r="AS217" t="b">
        <v>0</v>
      </c>
      <c r="AT217" s="12" t="s">
        <v>1575</v>
      </c>
    </row>
    <row r="218" spans="1:46" x14ac:dyDescent="0.3">
      <c r="A218" s="57" t="str">
        <f t="shared" si="7"/>
        <v>WVP9107340491073404ETASTA45901</v>
      </c>
      <c r="B218" s="57">
        <f>COUNTIF(CONT_SUP[Unique Contract],CONT_SUP[[#This Row],[Unique Contract]])-1</f>
        <v>0</v>
      </c>
      <c r="C218" s="57">
        <f>IFERROR(IF(FIND(CONT_SUP[[#This Row],[SchoolCode]],_xlfn.XLOOKUP(CONT_SUP[[#This Row],[StaffMemberCode]],MEMBERS[StaffMemberCode],MEMBERS[SchoolCodes]))&gt;0,0,1),1)</f>
        <v>0</v>
      </c>
      <c r="D218" s="57" cm="1">
        <f t="array" ref="D218">IF(_xlfn.XLOOKUP(CONT_SUP[[#This Row],[StaffRoleCode]],ROLES[StaffRoleCode],ROLES[AvailableToAllSchools],1,0,)=TRUE,0,IF(ISERROR(FIND(CONT_SUP[[#This Row],[SchoolCode]],_xlfn.TEXTJOIN(",",TRUE,_xlfn.UNIQUE(IF(ROLES[StaffRoleCode]=CONT_SUP[[#This Row],[StaffRoleCode]],ROLES[SchoolCodes],""))))),1,0))</f>
        <v>0</v>
      </c>
      <c r="E218" s="57" cm="1">
        <f t="array" ref="E21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18" s="57" cm="1">
        <f t="array" ref="F218">IF(_xlfn.XLOOKUP(CONT_SUP[[#This Row],[PayScaleCode]],PAYSCALES[PayScaleCode],PAYSCALES[AvailableToAllSchools],1,0,)=TRUE,0,IF(ISERROR(FIND(CONT_SUP[[#This Row],[SchoolCode]],_xlfn.TEXTJOIN(",",TRUE,_xlfn.UNIQUE(IF(PAYSCALES[PayScaleCode]=CONT_SUP[[#This Row],[PayScaleCode]],PAYSCALES[SchoolCodes],""))))),1,0))</f>
        <v>0</v>
      </c>
      <c r="G218" s="57">
        <f>IF(_xlfn.XLOOKUP(CONT_SUP[[#This Row],[PayScaleGradeCode]],GRADES[PayScaleGradeCode],GRADES[AvailableToAllSchools])=TRUE,0,IFERROR(IF(FIND(CONT_SUP[[#This Row],[SchoolCode]],_xlfn.XLOOKUP(CONT_SUP[[#This Row],[PayScaleGradeCode]],GRADES[PayScaleGradeCode],GRADES[SchoolCodes]))&gt;=1,0,1),1))</f>
        <v>0</v>
      </c>
      <c r="H218" s="57">
        <f>IF(ISERROR(IF((_xlfn.XLOOKUP(CONT_SUP[[#This Row],[PayScaleGradeCode]],GRADES[PayScaleGradeCode],GRADES[PayScaleCode])=CONT_SUP[[#This Row],[PayScaleCode]]),0,1)),1,0)</f>
        <v>0</v>
      </c>
      <c r="I218" s="57" cm="1">
        <f t="array" ref="I218">IF(ISERROR(FIND(CONT_SUP[[#This Row],[PayScalePointCode]],_xlfn.TEXTJOIN(",",TRUE,IF(PSPOINTS[PayScaleCode]=CONT_SUP[[#This Row],[PayScaleCode]],PSPOINTS[PayScalePointCode])))),1,0)</f>
        <v>0</v>
      </c>
      <c r="J218" s="57" cm="1">
        <f t="array" ref="J21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18" s="57">
        <f>IF(_xlfn.XLOOKUP(CONT_SUP[[#This Row],[PayScalePointCode]],PSPOINTS[PayScalePointCode],PSPOINTS[PayScalePointEnabled])=TRUE,0,1)</f>
        <v>0</v>
      </c>
      <c r="L218" s="57" cm="1">
        <f t="array" ref="L218">IF(_xlfn.XLOOKUP(CONT_SUP[[#This Row],[DepartmentCode]],DEPTS[DepartmentCode],DEPTS[AvailableToAllSchools],1,0,)=TRUE,0,IF(ISERROR(FIND(CONT_SUP[[#This Row],[SchoolCode]],_xlfn.TEXTJOIN(",",TRUE,_xlfn.UNIQUE(IF(DEPTS[DepartmentCode]=CONT_SUP[[#This Row],[DepartmentCode]],DEPTS[SchoolCodes],""))))),1,0))</f>
        <v>0</v>
      </c>
      <c r="M218" s="57">
        <f>IFERROR(IF(_xlfn.XLOOKUP(CONT_SUP[[#This Row],[SRG Gross]],FinanceCodesBudget[FinanceCode],FinanceCodesBudget[LedgerCode])=_xlfn.XLOOKUP(CONT_SUP[[#This Row],[DepartmentCode]],DEPTS[DepartmentCode],DEPTS[LedgerCode]),0,1),1)</f>
        <v>1</v>
      </c>
      <c r="N218" s="57" cm="1">
        <f t="array" ref="N218">IF(_xlfn.XLOOKUP(CONT_SUP[[#This Row],[PensionCode]],PENS[PensionCode],PENS[AvailableToAllSchools],1,0,)=TRUE,0,IF(ISERROR(FIND(CONT_SUP[[#This Row],[SchoolCode]],_xlfn.TEXTJOIN(",",TRUE,_xlfn.UNIQUE(IF(PENS[PensionCode]=CONT_SUP[[#This Row],[PensionCode]],PENS[SchoolCodes],""))))),1,0))</f>
        <v>0</v>
      </c>
      <c r="O218" s="57" cm="1">
        <f t="array" ref="O218">IF(_xlfn.XLOOKUP(CONT_SUP[[#This Row],[EquatedWeekPatternCode]],EQW[EquatedWeekPatternCode],EQW[AvailableToAllSchools],1,0,)=TRUE,0,IF(ISERROR(FIND(CONT_SUP[[#This Row],[SchoolCode]],_xlfn.TEXTJOIN(",",TRUE,_xlfn.UNIQUE(IF(EQW[EquatedWeekPatternCode]=CONT_SUP[[#This Row],[EquatedWeekPatternCode]],EQW[SchoolCodes],""))))),1,0))</f>
        <v>0</v>
      </c>
      <c r="P218" s="57">
        <f>1-COUNTIF(ContractTypes[Code],CONT_SUP[[#This Row],[ContractTypeCode]])</f>
        <v>0</v>
      </c>
      <c r="Q218" s="57">
        <f>IF(VLOOKUP(CONT_SUP[[#This Row],[StaffMemberCode]],MEMBERS[[StaffMemberCode]:[ServiceStartDate]],5,0)&gt;CONT_SUP[[#This Row],[DateFrom]],1,0)</f>
        <v>0</v>
      </c>
      <c r="R218" s="57">
        <f>IF(_xlfn.XLOOKUP(CONT_SUP[[#This Row],[StaffMemberCode]],MEMBERS[StaffMemberCode],MEMBERS[ServiceEndDate])="",0,IF(CONT_SUP[[#This Row],[DateTo]]="",1,IF(_xlfn.XLOOKUP(CONT_SUP[[#This Row],[StaffMemberCode]],MEMBERS[StaffMemberCode],MEMBERS[ServiceEndDate])&lt;CONT_SUP[[#This Row],[DateTo]],1,0)))</f>
        <v>0</v>
      </c>
      <c r="S218" s="57">
        <f>IF(ISBLANK(CONT_SUP[[#This Row],[DateTo]]),0,IF(CONT_SUP[[#This Row],[DateFrom]]=CONT_SUP[[#This Row],[DateTo]],0,IF(CONT_SUP[[#This Row],[DateFrom]]&lt;CONT_SUP[[#This Row],[DateTo]],0,1)))</f>
        <v>0</v>
      </c>
      <c r="T218" s="57" cm="1">
        <f t="array" aca="1" ref="T218" ca="1">IF(CELL("format",CONT_SUP[[#This Row],[DateFrom]])="D1",0,1)+IF(CELL("format",CONT_SUP[[#This Row],[DateTo]])="D1",0,1)</f>
        <v>0</v>
      </c>
      <c r="U218" s="57">
        <f>IF(OR(CONT_SUP[[#This Row],[MatEditOnly]]=TRUE,CONT_SUP[[#This Row],[MatEditOnly]]=FALSE),IF(OR(CONT_SUP[[#This Row],[NoIncrement]]=TRUE,CONT_SUP[[#This Row],[NoIncrement]]=FALSE),0,1),1)</f>
        <v>0</v>
      </c>
      <c r="V218" s="57">
        <f>IF(ISBLANK(CONT_SUP[[#This Row],[FundCode]])=TRUE,0,IF(COUNTIF(FUNDS[FundCode],CONT_SUP[[#This Row],[FundCode]])=1,0,1))</f>
        <v>0</v>
      </c>
      <c r="W218" s="57">
        <f>IF(LEN(CONT_SUP[[#This Row],[Notes]])&lt;4000,0,1)</f>
        <v>0</v>
      </c>
      <c r="X218" s="57">
        <f>IF(SUBSTITUTE(TEXT(CONT_SUP[[#This Row],[Reference]],10)," ","")=TEXT(CONT_SUP[[#This Row],[Reference]],10),0,1)</f>
        <v>0</v>
      </c>
      <c r="Y218" s="57">
        <f ca="1">SUM(CONT_SUP[[#This Row],[Duplicate Contract]:[Space in Code]])</f>
        <v>1</v>
      </c>
      <c r="AA218" s="12" t="s">
        <v>2275</v>
      </c>
      <c r="AB218" s="12">
        <v>91073404</v>
      </c>
      <c r="AC218" s="12" t="s">
        <v>4814</v>
      </c>
      <c r="AD218" s="57" t="str">
        <f>_xlfn.XLOOKUP(CONT_SUP[[#This Row],[StaffMemberCode]],StaffMembers!O:O,StaffMembers!R:R)</f>
        <v>Gillian Shearer</v>
      </c>
      <c r="AE218" s="12" t="s">
        <v>1180</v>
      </c>
      <c r="AF218" s="57">
        <f>_xlfn.XLOOKUP(CONT_SUP[[#This Row],[SRG]],SRG[StaffRoleGroupCode],SRG[GrossSalaryFinanceCode])</f>
        <v>615100</v>
      </c>
      <c r="AG218" s="57" t="str">
        <f>_xlfn.XLOOKUP(CONT_SUP[[#This Row],[StaffRoleCode]],ROLES[StaffRoleCode],ROLES[StaffRoleGroupCode])</f>
        <v>TA</v>
      </c>
      <c r="AH218" s="57" t="str">
        <f>_xlfn.XLOOKUP(CONT_SUP[[#This Row],[StaffRoleCode]],ROLES[StaffRoleCode],ROLES[PayScaleCode])</f>
        <v>NJC_CHE</v>
      </c>
      <c r="AI218" s="12" t="s">
        <v>3122</v>
      </c>
      <c r="AJ218" s="12">
        <v>6</v>
      </c>
      <c r="AK218" s="12" t="s">
        <v>2497</v>
      </c>
      <c r="AM218" s="68" t="s">
        <v>3132</v>
      </c>
      <c r="AN218" s="12" t="s">
        <v>3134</v>
      </c>
      <c r="AO218" s="21">
        <v>45901</v>
      </c>
      <c r="AQ218" s="12">
        <v>11</v>
      </c>
      <c r="AR218" t="b">
        <v>0</v>
      </c>
      <c r="AS218" t="b">
        <v>0</v>
      </c>
      <c r="AT218" s="12" t="s">
        <v>1575</v>
      </c>
    </row>
    <row r="219" spans="1:46" x14ac:dyDescent="0.3">
      <c r="A219" s="57" t="str">
        <f t="shared" si="7"/>
        <v>AUD9107366191073661ATASTA45901</v>
      </c>
      <c r="B219" s="57">
        <f>COUNTIF(CONT_SUP[Unique Contract],CONT_SUP[[#This Row],[Unique Contract]])-1</f>
        <v>0</v>
      </c>
      <c r="C219" s="57">
        <f>IFERROR(IF(FIND(CONT_SUP[[#This Row],[SchoolCode]],_xlfn.XLOOKUP(CONT_SUP[[#This Row],[StaffMemberCode]],MEMBERS[StaffMemberCode],MEMBERS[SchoolCodes]))&gt;0,0,1),1)</f>
        <v>0</v>
      </c>
      <c r="D219" s="57" cm="1">
        <f t="array" ref="D219">IF(_xlfn.XLOOKUP(CONT_SUP[[#This Row],[StaffRoleCode]],ROLES[StaffRoleCode],ROLES[AvailableToAllSchools],1,0,)=TRUE,0,IF(ISERROR(FIND(CONT_SUP[[#This Row],[SchoolCode]],_xlfn.TEXTJOIN(",",TRUE,_xlfn.UNIQUE(IF(ROLES[StaffRoleCode]=CONT_SUP[[#This Row],[StaffRoleCode]],ROLES[SchoolCodes],""))))),1,0))</f>
        <v>0</v>
      </c>
      <c r="E219" s="57" cm="1">
        <f t="array" ref="E21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19" s="57" cm="1">
        <f t="array" ref="F219">IF(_xlfn.XLOOKUP(CONT_SUP[[#This Row],[PayScaleCode]],PAYSCALES[PayScaleCode],PAYSCALES[AvailableToAllSchools],1,0,)=TRUE,0,IF(ISERROR(FIND(CONT_SUP[[#This Row],[SchoolCode]],_xlfn.TEXTJOIN(",",TRUE,_xlfn.UNIQUE(IF(PAYSCALES[PayScaleCode]=CONT_SUP[[#This Row],[PayScaleCode]],PAYSCALES[SchoolCodes],""))))),1,0))</f>
        <v>0</v>
      </c>
      <c r="G219" s="57">
        <f>IF(_xlfn.XLOOKUP(CONT_SUP[[#This Row],[PayScaleGradeCode]],GRADES[PayScaleGradeCode],GRADES[AvailableToAllSchools])=TRUE,0,IFERROR(IF(FIND(CONT_SUP[[#This Row],[SchoolCode]],_xlfn.XLOOKUP(CONT_SUP[[#This Row],[PayScaleGradeCode]],GRADES[PayScaleGradeCode],GRADES[SchoolCodes]))&gt;=1,0,1),1))</f>
        <v>0</v>
      </c>
      <c r="H219" s="57">
        <f>IF(ISERROR(IF((_xlfn.XLOOKUP(CONT_SUP[[#This Row],[PayScaleGradeCode]],GRADES[PayScaleGradeCode],GRADES[PayScaleCode])=CONT_SUP[[#This Row],[PayScaleCode]]),0,1)),1,0)</f>
        <v>0</v>
      </c>
      <c r="I219" s="57" cm="1">
        <f t="array" ref="I219">IF(ISERROR(FIND(CONT_SUP[[#This Row],[PayScalePointCode]],_xlfn.TEXTJOIN(",",TRUE,IF(PSPOINTS[PayScaleCode]=CONT_SUP[[#This Row],[PayScaleCode]],PSPOINTS[PayScalePointCode])))),1,0)</f>
        <v>0</v>
      </c>
      <c r="J219" s="57" cm="1">
        <f t="array" ref="J21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19" s="57">
        <f>IF(_xlfn.XLOOKUP(CONT_SUP[[#This Row],[PayScalePointCode]],PSPOINTS[PayScalePointCode],PSPOINTS[PayScalePointEnabled])=TRUE,0,1)</f>
        <v>0</v>
      </c>
      <c r="L219" s="57" cm="1">
        <f t="array" ref="L219">IF(_xlfn.XLOOKUP(CONT_SUP[[#This Row],[DepartmentCode]],DEPTS[DepartmentCode],DEPTS[AvailableToAllSchools],1,0,)=TRUE,0,IF(ISERROR(FIND(CONT_SUP[[#This Row],[SchoolCode]],_xlfn.TEXTJOIN(",",TRUE,_xlfn.UNIQUE(IF(DEPTS[DepartmentCode]=CONT_SUP[[#This Row],[DepartmentCode]],DEPTS[SchoolCodes],""))))),1,0))</f>
        <v>0</v>
      </c>
      <c r="M219" s="57">
        <f>IFERROR(IF(_xlfn.XLOOKUP(CONT_SUP[[#This Row],[SRG Gross]],FinanceCodesBudget[FinanceCode],FinanceCodesBudget[LedgerCode])=_xlfn.XLOOKUP(CONT_SUP[[#This Row],[DepartmentCode]],DEPTS[DepartmentCode],DEPTS[LedgerCode]),0,1),1)</f>
        <v>1</v>
      </c>
      <c r="N219" s="57" cm="1">
        <f t="array" ref="N219">IF(_xlfn.XLOOKUP(CONT_SUP[[#This Row],[PensionCode]],PENS[PensionCode],PENS[AvailableToAllSchools],1,0,)=TRUE,0,IF(ISERROR(FIND(CONT_SUP[[#This Row],[SchoolCode]],_xlfn.TEXTJOIN(",",TRUE,_xlfn.UNIQUE(IF(PENS[PensionCode]=CONT_SUP[[#This Row],[PensionCode]],PENS[SchoolCodes],""))))),1,0))</f>
        <v>0</v>
      </c>
      <c r="O219" s="57" cm="1">
        <f t="array" ref="O219">IF(_xlfn.XLOOKUP(CONT_SUP[[#This Row],[EquatedWeekPatternCode]],EQW[EquatedWeekPatternCode],EQW[AvailableToAllSchools],1,0,)=TRUE,0,IF(ISERROR(FIND(CONT_SUP[[#This Row],[SchoolCode]],_xlfn.TEXTJOIN(",",TRUE,_xlfn.UNIQUE(IF(EQW[EquatedWeekPatternCode]=CONT_SUP[[#This Row],[EquatedWeekPatternCode]],EQW[SchoolCodes],""))))),1,0))</f>
        <v>0</v>
      </c>
      <c r="P219" s="57">
        <f>1-COUNTIF(ContractTypes[Code],CONT_SUP[[#This Row],[ContractTypeCode]])</f>
        <v>0</v>
      </c>
      <c r="Q219" s="57">
        <f>IF(VLOOKUP(CONT_SUP[[#This Row],[StaffMemberCode]],MEMBERS[[StaffMemberCode]:[ServiceStartDate]],5,0)&gt;CONT_SUP[[#This Row],[DateFrom]],1,0)</f>
        <v>0</v>
      </c>
      <c r="R219" s="57">
        <f>IF(_xlfn.XLOOKUP(CONT_SUP[[#This Row],[StaffMemberCode]],MEMBERS[StaffMemberCode],MEMBERS[ServiceEndDate])="",0,IF(CONT_SUP[[#This Row],[DateTo]]="",1,IF(_xlfn.XLOOKUP(CONT_SUP[[#This Row],[StaffMemberCode]],MEMBERS[StaffMemberCode],MEMBERS[ServiceEndDate])&lt;CONT_SUP[[#This Row],[DateTo]],1,0)))</f>
        <v>0</v>
      </c>
      <c r="S219" s="57">
        <f>IF(ISBLANK(CONT_SUP[[#This Row],[DateTo]]),0,IF(CONT_SUP[[#This Row],[DateFrom]]=CONT_SUP[[#This Row],[DateTo]],0,IF(CONT_SUP[[#This Row],[DateFrom]]&lt;CONT_SUP[[#This Row],[DateTo]],0,1)))</f>
        <v>0</v>
      </c>
      <c r="T219" s="57" cm="1">
        <f t="array" aca="1" ref="T219" ca="1">IF(CELL("format",CONT_SUP[[#This Row],[DateFrom]])="D1",0,1)+IF(CELL("format",CONT_SUP[[#This Row],[DateTo]])="D1",0,1)</f>
        <v>0</v>
      </c>
      <c r="U219" s="57">
        <f>IF(OR(CONT_SUP[[#This Row],[MatEditOnly]]=TRUE,CONT_SUP[[#This Row],[MatEditOnly]]=FALSE),IF(OR(CONT_SUP[[#This Row],[NoIncrement]]=TRUE,CONT_SUP[[#This Row],[NoIncrement]]=FALSE),0,1),1)</f>
        <v>0</v>
      </c>
      <c r="V219" s="57">
        <f>IF(ISBLANK(CONT_SUP[[#This Row],[FundCode]])=TRUE,0,IF(COUNTIF(FUNDS[FundCode],CONT_SUP[[#This Row],[FundCode]])=1,0,1))</f>
        <v>0</v>
      </c>
      <c r="W219" s="57">
        <f>IF(LEN(CONT_SUP[[#This Row],[Notes]])&lt;4000,0,1)</f>
        <v>0</v>
      </c>
      <c r="X219" s="57">
        <f>IF(SUBSTITUTE(TEXT(CONT_SUP[[#This Row],[Reference]],10)," ","")=TEXT(CONT_SUP[[#This Row],[Reference]],10),0,1)</f>
        <v>0</v>
      </c>
      <c r="Y219" s="57">
        <f ca="1">SUM(CONT_SUP[[#This Row],[Duplicate Contract]:[Space in Code]])</f>
        <v>1</v>
      </c>
      <c r="AA219" s="12" t="s">
        <v>2089</v>
      </c>
      <c r="AB219" s="12">
        <v>91073661</v>
      </c>
      <c r="AC219" s="12" t="s">
        <v>4815</v>
      </c>
      <c r="AD219" s="57" t="str">
        <f>_xlfn.XLOOKUP(CONT_SUP[[#This Row],[StaffMemberCode]],StaffMembers!O:O,StaffMembers!R:R)</f>
        <v>Grace Latham</v>
      </c>
      <c r="AE219" s="12" t="s">
        <v>1180</v>
      </c>
      <c r="AF219" s="57">
        <f>_xlfn.XLOOKUP(CONT_SUP[[#This Row],[SRG]],SRG[StaffRoleGroupCode],SRG[GrossSalaryFinanceCode])</f>
        <v>615100</v>
      </c>
      <c r="AG219" s="57" t="str">
        <f>_xlfn.XLOOKUP(CONT_SUP[[#This Row],[StaffRoleCode]],ROLES[StaffRoleCode],ROLES[StaffRoleGroupCode])</f>
        <v>TA</v>
      </c>
      <c r="AH219" s="57" t="str">
        <f>_xlfn.XLOOKUP(CONT_SUP[[#This Row],[StaffRoleCode]],ROLES[StaffRoleCode],ROLES[PayScaleCode])</f>
        <v>NJC_CHE</v>
      </c>
      <c r="AI219" s="12" t="s">
        <v>3123</v>
      </c>
      <c r="AJ219" s="12">
        <v>8</v>
      </c>
      <c r="AK219" s="12" t="s">
        <v>2497</v>
      </c>
      <c r="AM219" s="68" t="s">
        <v>3132</v>
      </c>
      <c r="AN219" s="12" t="s">
        <v>3135</v>
      </c>
      <c r="AO219" s="21">
        <v>45901</v>
      </c>
      <c r="AQ219" s="12">
        <v>35</v>
      </c>
      <c r="AR219" t="b">
        <v>0</v>
      </c>
      <c r="AS219" t="b">
        <v>0</v>
      </c>
      <c r="AT219" s="12" t="s">
        <v>1574</v>
      </c>
    </row>
    <row r="220" spans="1:46" x14ac:dyDescent="0.3">
      <c r="A220" s="57" t="str">
        <f t="shared" si="7"/>
        <v>ALS9107385891073858ATASTA45901</v>
      </c>
      <c r="B220" s="57">
        <f>COUNTIF(CONT_SUP[Unique Contract],CONT_SUP[[#This Row],[Unique Contract]])-1</f>
        <v>0</v>
      </c>
      <c r="C220" s="57">
        <f>IFERROR(IF(FIND(CONT_SUP[[#This Row],[SchoolCode]],_xlfn.XLOOKUP(CONT_SUP[[#This Row],[StaffMemberCode]],MEMBERS[StaffMemberCode],MEMBERS[SchoolCodes]))&gt;0,0,1),1)</f>
        <v>0</v>
      </c>
      <c r="D220" s="57" cm="1">
        <f t="array" ref="D220">IF(_xlfn.XLOOKUP(CONT_SUP[[#This Row],[StaffRoleCode]],ROLES[StaffRoleCode],ROLES[AvailableToAllSchools],1,0,)=TRUE,0,IF(ISERROR(FIND(CONT_SUP[[#This Row],[SchoolCode]],_xlfn.TEXTJOIN(",",TRUE,_xlfn.UNIQUE(IF(ROLES[StaffRoleCode]=CONT_SUP[[#This Row],[StaffRoleCode]],ROLES[SchoolCodes],""))))),1,0))</f>
        <v>0</v>
      </c>
      <c r="E220" s="57" cm="1">
        <f t="array" ref="E22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20" s="57" cm="1">
        <f t="array" ref="F220">IF(_xlfn.XLOOKUP(CONT_SUP[[#This Row],[PayScaleCode]],PAYSCALES[PayScaleCode],PAYSCALES[AvailableToAllSchools],1,0,)=TRUE,0,IF(ISERROR(FIND(CONT_SUP[[#This Row],[SchoolCode]],_xlfn.TEXTJOIN(",",TRUE,_xlfn.UNIQUE(IF(PAYSCALES[PayScaleCode]=CONT_SUP[[#This Row],[PayScaleCode]],PAYSCALES[SchoolCodes],""))))),1,0))</f>
        <v>0</v>
      </c>
      <c r="G220" s="57">
        <f>IF(_xlfn.XLOOKUP(CONT_SUP[[#This Row],[PayScaleGradeCode]],GRADES[PayScaleGradeCode],GRADES[AvailableToAllSchools])=TRUE,0,IFERROR(IF(FIND(CONT_SUP[[#This Row],[SchoolCode]],_xlfn.XLOOKUP(CONT_SUP[[#This Row],[PayScaleGradeCode]],GRADES[PayScaleGradeCode],GRADES[SchoolCodes]))&gt;=1,0,1),1))</f>
        <v>0</v>
      </c>
      <c r="H220" s="57">
        <f>IF(ISERROR(IF((_xlfn.XLOOKUP(CONT_SUP[[#This Row],[PayScaleGradeCode]],GRADES[PayScaleGradeCode],GRADES[PayScaleCode])=CONT_SUP[[#This Row],[PayScaleCode]]),0,1)),1,0)</f>
        <v>0</v>
      </c>
      <c r="I220" s="57" cm="1">
        <f t="array" ref="I220">IF(ISERROR(FIND(CONT_SUP[[#This Row],[PayScalePointCode]],_xlfn.TEXTJOIN(",",TRUE,IF(PSPOINTS[PayScaleCode]=CONT_SUP[[#This Row],[PayScaleCode]],PSPOINTS[PayScalePointCode])))),1,0)</f>
        <v>0</v>
      </c>
      <c r="J220" s="57" cm="1">
        <f t="array" ref="J22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20" s="57">
        <f>IF(_xlfn.XLOOKUP(CONT_SUP[[#This Row],[PayScalePointCode]],PSPOINTS[PayScalePointCode],PSPOINTS[PayScalePointEnabled])=TRUE,0,1)</f>
        <v>0</v>
      </c>
      <c r="L220" s="57" cm="1">
        <f t="array" ref="L220">IF(_xlfn.XLOOKUP(CONT_SUP[[#This Row],[DepartmentCode]],DEPTS[DepartmentCode],DEPTS[AvailableToAllSchools],1,0,)=TRUE,0,IF(ISERROR(FIND(CONT_SUP[[#This Row],[SchoolCode]],_xlfn.TEXTJOIN(",",TRUE,_xlfn.UNIQUE(IF(DEPTS[DepartmentCode]=CONT_SUP[[#This Row],[DepartmentCode]],DEPTS[SchoolCodes],""))))),1,0))</f>
        <v>0</v>
      </c>
      <c r="M220" s="57">
        <f>IFERROR(IF(_xlfn.XLOOKUP(CONT_SUP[[#This Row],[SRG Gross]],FinanceCodesBudget[FinanceCode],FinanceCodesBudget[LedgerCode])=_xlfn.XLOOKUP(CONT_SUP[[#This Row],[DepartmentCode]],DEPTS[DepartmentCode],DEPTS[LedgerCode]),0,1),1)</f>
        <v>1</v>
      </c>
      <c r="N220" s="57" cm="1">
        <f t="array" ref="N220">IF(_xlfn.XLOOKUP(CONT_SUP[[#This Row],[PensionCode]],PENS[PensionCode],PENS[AvailableToAllSchools],1,0,)=TRUE,0,IF(ISERROR(FIND(CONT_SUP[[#This Row],[SchoolCode]],_xlfn.TEXTJOIN(",",TRUE,_xlfn.UNIQUE(IF(PENS[PensionCode]=CONT_SUP[[#This Row],[PensionCode]],PENS[SchoolCodes],""))))),1,0))</f>
        <v>0</v>
      </c>
      <c r="O220" s="57" cm="1">
        <f t="array" ref="O220">IF(_xlfn.XLOOKUP(CONT_SUP[[#This Row],[EquatedWeekPatternCode]],EQW[EquatedWeekPatternCode],EQW[AvailableToAllSchools],1,0,)=TRUE,0,IF(ISERROR(FIND(CONT_SUP[[#This Row],[SchoolCode]],_xlfn.TEXTJOIN(",",TRUE,_xlfn.UNIQUE(IF(EQW[EquatedWeekPatternCode]=CONT_SUP[[#This Row],[EquatedWeekPatternCode]],EQW[SchoolCodes],""))))),1,0))</f>
        <v>0</v>
      </c>
      <c r="P220" s="57">
        <f>1-COUNTIF(ContractTypes[Code],CONT_SUP[[#This Row],[ContractTypeCode]])</f>
        <v>0</v>
      </c>
      <c r="Q220" s="57">
        <f>IF(VLOOKUP(CONT_SUP[[#This Row],[StaffMemberCode]],MEMBERS[[StaffMemberCode]:[ServiceStartDate]],5,0)&gt;CONT_SUP[[#This Row],[DateFrom]],1,0)</f>
        <v>0</v>
      </c>
      <c r="R220" s="57">
        <f>IF(_xlfn.XLOOKUP(CONT_SUP[[#This Row],[StaffMemberCode]],MEMBERS[StaffMemberCode],MEMBERS[ServiceEndDate])="",0,IF(CONT_SUP[[#This Row],[DateTo]]="",1,IF(_xlfn.XLOOKUP(CONT_SUP[[#This Row],[StaffMemberCode]],MEMBERS[StaffMemberCode],MEMBERS[ServiceEndDate])&lt;CONT_SUP[[#This Row],[DateTo]],1,0)))</f>
        <v>0</v>
      </c>
      <c r="S220" s="57">
        <f>IF(ISBLANK(CONT_SUP[[#This Row],[DateTo]]),0,IF(CONT_SUP[[#This Row],[DateFrom]]=CONT_SUP[[#This Row],[DateTo]],0,IF(CONT_SUP[[#This Row],[DateFrom]]&lt;CONT_SUP[[#This Row],[DateTo]],0,1)))</f>
        <v>0</v>
      </c>
      <c r="T220" s="57" cm="1">
        <f t="array" aca="1" ref="T220" ca="1">IF(CELL("format",CONT_SUP[[#This Row],[DateFrom]])="D1",0,1)+IF(CELL("format",CONT_SUP[[#This Row],[DateTo]])="D1",0,1)</f>
        <v>0</v>
      </c>
      <c r="U220" s="57">
        <f>IF(OR(CONT_SUP[[#This Row],[MatEditOnly]]=TRUE,CONT_SUP[[#This Row],[MatEditOnly]]=FALSE),IF(OR(CONT_SUP[[#This Row],[NoIncrement]]=TRUE,CONT_SUP[[#This Row],[NoIncrement]]=FALSE),0,1),1)</f>
        <v>0</v>
      </c>
      <c r="V220" s="57">
        <f>IF(ISBLANK(CONT_SUP[[#This Row],[FundCode]])=TRUE,0,IF(COUNTIF(FUNDS[FundCode],CONT_SUP[[#This Row],[FundCode]])=1,0,1))</f>
        <v>0</v>
      </c>
      <c r="W220" s="57">
        <f>IF(LEN(CONT_SUP[[#This Row],[Notes]])&lt;4000,0,1)</f>
        <v>0</v>
      </c>
      <c r="X220" s="57">
        <f>IF(SUBSTITUTE(TEXT(CONT_SUP[[#This Row],[Reference]],10)," ","")=TEXT(CONT_SUP[[#This Row],[Reference]],10),0,1)</f>
        <v>0</v>
      </c>
      <c r="Y220" s="57">
        <f ca="1">SUM(CONT_SUP[[#This Row],[Duplicate Contract]:[Space in Code]])</f>
        <v>1</v>
      </c>
      <c r="AA220" s="12" t="s">
        <v>2082</v>
      </c>
      <c r="AB220" s="12">
        <v>91073858</v>
      </c>
      <c r="AC220" s="12" t="s">
        <v>4816</v>
      </c>
      <c r="AD220" s="57" t="str">
        <f>_xlfn.XLOOKUP(CONT_SUP[[#This Row],[StaffMemberCode]],StaffMembers!O:O,StaffMembers!R:R)</f>
        <v>Hannah Woby</v>
      </c>
      <c r="AE220" s="12" t="s">
        <v>1180</v>
      </c>
      <c r="AF220" s="57">
        <f>_xlfn.XLOOKUP(CONT_SUP[[#This Row],[SRG]],SRG[StaffRoleGroupCode],SRG[GrossSalaryFinanceCode])</f>
        <v>615100</v>
      </c>
      <c r="AG220" s="57" t="str">
        <f>_xlfn.XLOOKUP(CONT_SUP[[#This Row],[StaffRoleCode]],ROLES[StaffRoleCode],ROLES[StaffRoleGroupCode])</f>
        <v>TA</v>
      </c>
      <c r="AH220" s="57" t="str">
        <f>_xlfn.XLOOKUP(CONT_SUP[[#This Row],[StaffRoleCode]],ROLES[StaffRoleCode],ROLES[PayScaleCode])</f>
        <v>NJC_CHE</v>
      </c>
      <c r="AI220" s="12" t="s">
        <v>3124</v>
      </c>
      <c r="AJ220" s="12">
        <v>17</v>
      </c>
      <c r="AK220" s="12" t="s">
        <v>2497</v>
      </c>
      <c r="AM220" s="68" t="s">
        <v>3132</v>
      </c>
      <c r="AN220" s="12" t="s">
        <v>3135</v>
      </c>
      <c r="AO220" s="21">
        <v>45901</v>
      </c>
      <c r="AQ220" s="12">
        <v>37</v>
      </c>
      <c r="AR220" t="b">
        <v>0</v>
      </c>
      <c r="AS220" t="b">
        <v>0</v>
      </c>
      <c r="AT220" s="12" t="s">
        <v>1574</v>
      </c>
    </row>
    <row r="221" spans="1:46" x14ac:dyDescent="0.3">
      <c r="A221" s="57" t="str">
        <f t="shared" si="7"/>
        <v>SBL9107574491075744ATASTA45901</v>
      </c>
      <c r="B221" s="57">
        <f>COUNTIF(CONT_SUP[Unique Contract],CONT_SUP[[#This Row],[Unique Contract]])-1</f>
        <v>0</v>
      </c>
      <c r="C221" s="57">
        <f>IFERROR(IF(FIND(CONT_SUP[[#This Row],[SchoolCode]],_xlfn.XLOOKUP(CONT_SUP[[#This Row],[StaffMemberCode]],MEMBERS[StaffMemberCode],MEMBERS[SchoolCodes]))&gt;0,0,1),1)</f>
        <v>0</v>
      </c>
      <c r="D221" s="57" cm="1">
        <f t="array" ref="D221">IF(_xlfn.XLOOKUP(CONT_SUP[[#This Row],[StaffRoleCode]],ROLES[StaffRoleCode],ROLES[AvailableToAllSchools],1,0,)=TRUE,0,IF(ISERROR(FIND(CONT_SUP[[#This Row],[SchoolCode]],_xlfn.TEXTJOIN(",",TRUE,_xlfn.UNIQUE(IF(ROLES[StaffRoleCode]=CONT_SUP[[#This Row],[StaffRoleCode]],ROLES[SchoolCodes],""))))),1,0))</f>
        <v>0</v>
      </c>
      <c r="E221" s="57" cm="1">
        <f t="array" ref="E22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21" s="57" cm="1">
        <f t="array" ref="F221">IF(_xlfn.XLOOKUP(CONT_SUP[[#This Row],[PayScaleCode]],PAYSCALES[PayScaleCode],PAYSCALES[AvailableToAllSchools],1,0,)=TRUE,0,IF(ISERROR(FIND(CONT_SUP[[#This Row],[SchoolCode]],_xlfn.TEXTJOIN(",",TRUE,_xlfn.UNIQUE(IF(PAYSCALES[PayScaleCode]=CONT_SUP[[#This Row],[PayScaleCode]],PAYSCALES[SchoolCodes],""))))),1,0))</f>
        <v>0</v>
      </c>
      <c r="G221" s="57">
        <f>IF(_xlfn.XLOOKUP(CONT_SUP[[#This Row],[PayScaleGradeCode]],GRADES[PayScaleGradeCode],GRADES[AvailableToAllSchools])=TRUE,0,IFERROR(IF(FIND(CONT_SUP[[#This Row],[SchoolCode]],_xlfn.XLOOKUP(CONT_SUP[[#This Row],[PayScaleGradeCode]],GRADES[PayScaleGradeCode],GRADES[SchoolCodes]))&gt;=1,0,1),1))</f>
        <v>0</v>
      </c>
      <c r="H221" s="57">
        <f>IF(ISERROR(IF((_xlfn.XLOOKUP(CONT_SUP[[#This Row],[PayScaleGradeCode]],GRADES[PayScaleGradeCode],GRADES[PayScaleCode])=CONT_SUP[[#This Row],[PayScaleCode]]),0,1)),1,0)</f>
        <v>0</v>
      </c>
      <c r="I221" s="57" cm="1">
        <f t="array" ref="I221">IF(ISERROR(FIND(CONT_SUP[[#This Row],[PayScalePointCode]],_xlfn.TEXTJOIN(",",TRUE,IF(PSPOINTS[PayScaleCode]=CONT_SUP[[#This Row],[PayScaleCode]],PSPOINTS[PayScalePointCode])))),1,0)</f>
        <v>0</v>
      </c>
      <c r="J221" s="57" cm="1">
        <f t="array" ref="J22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21" s="57">
        <f>IF(_xlfn.XLOOKUP(CONT_SUP[[#This Row],[PayScalePointCode]],PSPOINTS[PayScalePointCode],PSPOINTS[PayScalePointEnabled])=TRUE,0,1)</f>
        <v>0</v>
      </c>
      <c r="L221" s="57" cm="1">
        <f t="array" ref="L221">IF(_xlfn.XLOOKUP(CONT_SUP[[#This Row],[DepartmentCode]],DEPTS[DepartmentCode],DEPTS[AvailableToAllSchools],1,0,)=TRUE,0,IF(ISERROR(FIND(CONT_SUP[[#This Row],[SchoolCode]],_xlfn.TEXTJOIN(",",TRUE,_xlfn.UNIQUE(IF(DEPTS[DepartmentCode]=CONT_SUP[[#This Row],[DepartmentCode]],DEPTS[SchoolCodes],""))))),1,0))</f>
        <v>0</v>
      </c>
      <c r="M221" s="57">
        <f>IFERROR(IF(_xlfn.XLOOKUP(CONT_SUP[[#This Row],[SRG Gross]],FinanceCodesBudget[FinanceCode],FinanceCodesBudget[LedgerCode])=_xlfn.XLOOKUP(CONT_SUP[[#This Row],[DepartmentCode]],DEPTS[DepartmentCode],DEPTS[LedgerCode]),0,1),1)</f>
        <v>1</v>
      </c>
      <c r="N221" s="57" cm="1">
        <f t="array" ref="N221">IF(_xlfn.XLOOKUP(CONT_SUP[[#This Row],[PensionCode]],PENS[PensionCode],PENS[AvailableToAllSchools],1,0,)=TRUE,0,IF(ISERROR(FIND(CONT_SUP[[#This Row],[SchoolCode]],_xlfn.TEXTJOIN(",",TRUE,_xlfn.UNIQUE(IF(PENS[PensionCode]=CONT_SUP[[#This Row],[PensionCode]],PENS[SchoolCodes],""))))),1,0))</f>
        <v>0</v>
      </c>
      <c r="O221" s="57" cm="1">
        <f t="array" ref="O221">IF(_xlfn.XLOOKUP(CONT_SUP[[#This Row],[EquatedWeekPatternCode]],EQW[EquatedWeekPatternCode],EQW[AvailableToAllSchools],1,0,)=TRUE,0,IF(ISERROR(FIND(CONT_SUP[[#This Row],[SchoolCode]],_xlfn.TEXTJOIN(",",TRUE,_xlfn.UNIQUE(IF(EQW[EquatedWeekPatternCode]=CONT_SUP[[#This Row],[EquatedWeekPatternCode]],EQW[SchoolCodes],""))))),1,0))</f>
        <v>0</v>
      </c>
      <c r="P221" s="57">
        <f>1-COUNTIF(ContractTypes[Code],CONT_SUP[[#This Row],[ContractTypeCode]])</f>
        <v>0</v>
      </c>
      <c r="Q221" s="57">
        <f>IF(VLOOKUP(CONT_SUP[[#This Row],[StaffMemberCode]],MEMBERS[[StaffMemberCode]:[ServiceStartDate]],5,0)&gt;CONT_SUP[[#This Row],[DateFrom]],1,0)</f>
        <v>0</v>
      </c>
      <c r="R221" s="57">
        <f>IF(_xlfn.XLOOKUP(CONT_SUP[[#This Row],[StaffMemberCode]],MEMBERS[StaffMemberCode],MEMBERS[ServiceEndDate])="",0,IF(CONT_SUP[[#This Row],[DateTo]]="",1,IF(_xlfn.XLOOKUP(CONT_SUP[[#This Row],[StaffMemberCode]],MEMBERS[StaffMemberCode],MEMBERS[ServiceEndDate])&lt;CONT_SUP[[#This Row],[DateTo]],1,0)))</f>
        <v>0</v>
      </c>
      <c r="S221" s="57">
        <f>IF(ISBLANK(CONT_SUP[[#This Row],[DateTo]]),0,IF(CONT_SUP[[#This Row],[DateFrom]]=CONT_SUP[[#This Row],[DateTo]],0,IF(CONT_SUP[[#This Row],[DateFrom]]&lt;CONT_SUP[[#This Row],[DateTo]],0,1)))</f>
        <v>0</v>
      </c>
      <c r="T221" s="57" cm="1">
        <f t="array" aca="1" ref="T221" ca="1">IF(CELL("format",CONT_SUP[[#This Row],[DateFrom]])="D1",0,1)+IF(CELL("format",CONT_SUP[[#This Row],[DateTo]])="D1",0,1)</f>
        <v>0</v>
      </c>
      <c r="U221" s="57">
        <f>IF(OR(CONT_SUP[[#This Row],[MatEditOnly]]=TRUE,CONT_SUP[[#This Row],[MatEditOnly]]=FALSE),IF(OR(CONT_SUP[[#This Row],[NoIncrement]]=TRUE,CONT_SUP[[#This Row],[NoIncrement]]=FALSE),0,1),1)</f>
        <v>0</v>
      </c>
      <c r="V221" s="57">
        <f>IF(ISBLANK(CONT_SUP[[#This Row],[FundCode]])=TRUE,0,IF(COUNTIF(FUNDS[FundCode],CONT_SUP[[#This Row],[FundCode]])=1,0,1))</f>
        <v>0</v>
      </c>
      <c r="W221" s="57">
        <f>IF(LEN(CONT_SUP[[#This Row],[Notes]])&lt;4000,0,1)</f>
        <v>0</v>
      </c>
      <c r="X221" s="57">
        <f>IF(SUBSTITUTE(TEXT(CONT_SUP[[#This Row],[Reference]],10)," ","")=TEXT(CONT_SUP[[#This Row],[Reference]],10),0,1)</f>
        <v>0</v>
      </c>
      <c r="Y221" s="57">
        <f ca="1">SUM(CONT_SUP[[#This Row],[Duplicate Contract]:[Space in Code]])</f>
        <v>1</v>
      </c>
      <c r="AA221" s="12" t="s">
        <v>2200</v>
      </c>
      <c r="AB221" s="12">
        <v>91075744</v>
      </c>
      <c r="AC221" s="12" t="s">
        <v>4817</v>
      </c>
      <c r="AD221" s="57" t="str">
        <f>_xlfn.XLOOKUP(CONT_SUP[[#This Row],[StaffMemberCode]],StaffMembers!O:O,StaffMembers!R:R)</f>
        <v>Helen Katterloher</v>
      </c>
      <c r="AE221" s="12" t="s">
        <v>1180</v>
      </c>
      <c r="AF221" s="57">
        <f>_xlfn.XLOOKUP(CONT_SUP[[#This Row],[SRG]],SRG[StaffRoleGroupCode],SRG[GrossSalaryFinanceCode])</f>
        <v>615100</v>
      </c>
      <c r="AG221" s="57" t="str">
        <f>_xlfn.XLOOKUP(CONT_SUP[[#This Row],[StaffRoleCode]],ROLES[StaffRoleCode],ROLES[StaffRoleGroupCode])</f>
        <v>TA</v>
      </c>
      <c r="AH221" s="57" t="str">
        <f>_xlfn.XLOOKUP(CONT_SUP[[#This Row],[StaffRoleCode]],ROLES[StaffRoleCode],ROLES[PayScaleCode])</f>
        <v>NJC_CHE</v>
      </c>
      <c r="AI221" s="12" t="s">
        <v>3123</v>
      </c>
      <c r="AJ221" s="12">
        <v>11</v>
      </c>
      <c r="AK221" s="12" t="s">
        <v>2497</v>
      </c>
      <c r="AM221" s="68" t="s">
        <v>3132</v>
      </c>
      <c r="AN221" s="12" t="s">
        <v>3134</v>
      </c>
      <c r="AO221" s="21">
        <v>45901</v>
      </c>
      <c r="AQ221" s="12">
        <v>32.5</v>
      </c>
      <c r="AR221" t="b">
        <v>0</v>
      </c>
      <c r="AS221" t="b">
        <v>0</v>
      </c>
      <c r="AT221" s="12" t="s">
        <v>1574</v>
      </c>
    </row>
    <row r="222" spans="1:46" x14ac:dyDescent="0.3">
      <c r="A222" s="57" t="str">
        <f t="shared" si="7"/>
        <v>WVP9107342591073425ATASTA45901</v>
      </c>
      <c r="B222" s="57">
        <f>COUNTIF(CONT_SUP[Unique Contract],CONT_SUP[[#This Row],[Unique Contract]])-1</f>
        <v>0</v>
      </c>
      <c r="C222" s="57">
        <f>IFERROR(IF(FIND(CONT_SUP[[#This Row],[SchoolCode]],_xlfn.XLOOKUP(CONT_SUP[[#This Row],[StaffMemberCode]],MEMBERS[StaffMemberCode],MEMBERS[SchoolCodes]))&gt;0,0,1),1)</f>
        <v>0</v>
      </c>
      <c r="D222" s="57" cm="1">
        <f t="array" ref="D222">IF(_xlfn.XLOOKUP(CONT_SUP[[#This Row],[StaffRoleCode]],ROLES[StaffRoleCode],ROLES[AvailableToAllSchools],1,0,)=TRUE,0,IF(ISERROR(FIND(CONT_SUP[[#This Row],[SchoolCode]],_xlfn.TEXTJOIN(",",TRUE,_xlfn.UNIQUE(IF(ROLES[StaffRoleCode]=CONT_SUP[[#This Row],[StaffRoleCode]],ROLES[SchoolCodes],""))))),1,0))</f>
        <v>0</v>
      </c>
      <c r="E222" s="57" cm="1">
        <f t="array" ref="E22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22" s="57" cm="1">
        <f t="array" ref="F222">IF(_xlfn.XLOOKUP(CONT_SUP[[#This Row],[PayScaleCode]],PAYSCALES[PayScaleCode],PAYSCALES[AvailableToAllSchools],1,0,)=TRUE,0,IF(ISERROR(FIND(CONT_SUP[[#This Row],[SchoolCode]],_xlfn.TEXTJOIN(",",TRUE,_xlfn.UNIQUE(IF(PAYSCALES[PayScaleCode]=CONT_SUP[[#This Row],[PayScaleCode]],PAYSCALES[SchoolCodes],""))))),1,0))</f>
        <v>0</v>
      </c>
      <c r="G222" s="57">
        <f>IF(_xlfn.XLOOKUP(CONT_SUP[[#This Row],[PayScaleGradeCode]],GRADES[PayScaleGradeCode],GRADES[AvailableToAllSchools])=TRUE,0,IFERROR(IF(FIND(CONT_SUP[[#This Row],[SchoolCode]],_xlfn.XLOOKUP(CONT_SUP[[#This Row],[PayScaleGradeCode]],GRADES[PayScaleGradeCode],GRADES[SchoolCodes]))&gt;=1,0,1),1))</f>
        <v>0</v>
      </c>
      <c r="H222" s="57">
        <f>IF(ISERROR(IF((_xlfn.XLOOKUP(CONT_SUP[[#This Row],[PayScaleGradeCode]],GRADES[PayScaleGradeCode],GRADES[PayScaleCode])=CONT_SUP[[#This Row],[PayScaleCode]]),0,1)),1,0)</f>
        <v>0</v>
      </c>
      <c r="I222" s="57" cm="1">
        <f t="array" ref="I222">IF(ISERROR(FIND(CONT_SUP[[#This Row],[PayScalePointCode]],_xlfn.TEXTJOIN(",",TRUE,IF(PSPOINTS[PayScaleCode]=CONT_SUP[[#This Row],[PayScaleCode]],PSPOINTS[PayScalePointCode])))),1,0)</f>
        <v>0</v>
      </c>
      <c r="J222" s="57" cm="1">
        <f t="array" ref="J22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22" s="57">
        <f>IF(_xlfn.XLOOKUP(CONT_SUP[[#This Row],[PayScalePointCode]],PSPOINTS[PayScalePointCode],PSPOINTS[PayScalePointEnabled])=TRUE,0,1)</f>
        <v>0</v>
      </c>
      <c r="L222" s="57" cm="1">
        <f t="array" ref="L222">IF(_xlfn.XLOOKUP(CONT_SUP[[#This Row],[DepartmentCode]],DEPTS[DepartmentCode],DEPTS[AvailableToAllSchools],1,0,)=TRUE,0,IF(ISERROR(FIND(CONT_SUP[[#This Row],[SchoolCode]],_xlfn.TEXTJOIN(",",TRUE,_xlfn.UNIQUE(IF(DEPTS[DepartmentCode]=CONT_SUP[[#This Row],[DepartmentCode]],DEPTS[SchoolCodes],""))))),1,0))</f>
        <v>0</v>
      </c>
      <c r="M222" s="57">
        <f>IFERROR(IF(_xlfn.XLOOKUP(CONT_SUP[[#This Row],[SRG Gross]],FinanceCodesBudget[FinanceCode],FinanceCodesBudget[LedgerCode])=_xlfn.XLOOKUP(CONT_SUP[[#This Row],[DepartmentCode]],DEPTS[DepartmentCode],DEPTS[LedgerCode]),0,1),1)</f>
        <v>1</v>
      </c>
      <c r="N222" s="57" cm="1">
        <f t="array" ref="N222">IF(_xlfn.XLOOKUP(CONT_SUP[[#This Row],[PensionCode]],PENS[PensionCode],PENS[AvailableToAllSchools],1,0,)=TRUE,0,IF(ISERROR(FIND(CONT_SUP[[#This Row],[SchoolCode]],_xlfn.TEXTJOIN(",",TRUE,_xlfn.UNIQUE(IF(PENS[PensionCode]=CONT_SUP[[#This Row],[PensionCode]],PENS[SchoolCodes],""))))),1,0))</f>
        <v>0</v>
      </c>
      <c r="O222" s="57" cm="1">
        <f t="array" ref="O222">IF(_xlfn.XLOOKUP(CONT_SUP[[#This Row],[EquatedWeekPatternCode]],EQW[EquatedWeekPatternCode],EQW[AvailableToAllSchools],1,0,)=TRUE,0,IF(ISERROR(FIND(CONT_SUP[[#This Row],[SchoolCode]],_xlfn.TEXTJOIN(",",TRUE,_xlfn.UNIQUE(IF(EQW[EquatedWeekPatternCode]=CONT_SUP[[#This Row],[EquatedWeekPatternCode]],EQW[SchoolCodes],""))))),1,0))</f>
        <v>0</v>
      </c>
      <c r="P222" s="57">
        <f>1-COUNTIF(ContractTypes[Code],CONT_SUP[[#This Row],[ContractTypeCode]])</f>
        <v>0</v>
      </c>
      <c r="Q222" s="57">
        <f>IF(VLOOKUP(CONT_SUP[[#This Row],[StaffMemberCode]],MEMBERS[[StaffMemberCode]:[ServiceStartDate]],5,0)&gt;CONT_SUP[[#This Row],[DateFrom]],1,0)</f>
        <v>0</v>
      </c>
      <c r="R222" s="57">
        <f>IF(_xlfn.XLOOKUP(CONT_SUP[[#This Row],[StaffMemberCode]],MEMBERS[StaffMemberCode],MEMBERS[ServiceEndDate])="",0,IF(CONT_SUP[[#This Row],[DateTo]]="",1,IF(_xlfn.XLOOKUP(CONT_SUP[[#This Row],[StaffMemberCode]],MEMBERS[StaffMemberCode],MEMBERS[ServiceEndDate])&lt;CONT_SUP[[#This Row],[DateTo]],1,0)))</f>
        <v>0</v>
      </c>
      <c r="S222" s="57">
        <f>IF(ISBLANK(CONT_SUP[[#This Row],[DateTo]]),0,IF(CONT_SUP[[#This Row],[DateFrom]]=CONT_SUP[[#This Row],[DateTo]],0,IF(CONT_SUP[[#This Row],[DateFrom]]&lt;CONT_SUP[[#This Row],[DateTo]],0,1)))</f>
        <v>0</v>
      </c>
      <c r="T222" s="57" cm="1">
        <f t="array" aca="1" ref="T222" ca="1">IF(CELL("format",CONT_SUP[[#This Row],[DateFrom]])="D1",0,1)+IF(CELL("format",CONT_SUP[[#This Row],[DateTo]])="D1",0,1)</f>
        <v>0</v>
      </c>
      <c r="U222" s="57">
        <f>IF(OR(CONT_SUP[[#This Row],[MatEditOnly]]=TRUE,CONT_SUP[[#This Row],[MatEditOnly]]=FALSE),IF(OR(CONT_SUP[[#This Row],[NoIncrement]]=TRUE,CONT_SUP[[#This Row],[NoIncrement]]=FALSE),0,1),1)</f>
        <v>0</v>
      </c>
      <c r="V222" s="57">
        <f>IF(ISBLANK(CONT_SUP[[#This Row],[FundCode]])=TRUE,0,IF(COUNTIF(FUNDS[FundCode],CONT_SUP[[#This Row],[FundCode]])=1,0,1))</f>
        <v>0</v>
      </c>
      <c r="W222" s="57">
        <f>IF(LEN(CONT_SUP[[#This Row],[Notes]])&lt;4000,0,1)</f>
        <v>0</v>
      </c>
      <c r="X222" s="57">
        <f>IF(SUBSTITUTE(TEXT(CONT_SUP[[#This Row],[Reference]],10)," ","")=TEXT(CONT_SUP[[#This Row],[Reference]],10),0,1)</f>
        <v>0</v>
      </c>
      <c r="Y222" s="57">
        <f ca="1">SUM(CONT_SUP[[#This Row],[Duplicate Contract]:[Space in Code]])</f>
        <v>1</v>
      </c>
      <c r="AA222" s="12" t="s">
        <v>2275</v>
      </c>
      <c r="AB222" s="12">
        <v>91073425</v>
      </c>
      <c r="AC222" s="12" t="s">
        <v>4818</v>
      </c>
      <c r="AD222" s="57" t="str">
        <f>_xlfn.XLOOKUP(CONT_SUP[[#This Row],[StaffMemberCode]],StaffMembers!O:O,StaffMembers!R:R)</f>
        <v>Jacqueline Evans</v>
      </c>
      <c r="AE222" s="12" t="s">
        <v>1180</v>
      </c>
      <c r="AF222" s="57">
        <f>_xlfn.XLOOKUP(CONT_SUP[[#This Row],[SRG]],SRG[StaffRoleGroupCode],SRG[GrossSalaryFinanceCode])</f>
        <v>615100</v>
      </c>
      <c r="AG222" s="57" t="str">
        <f>_xlfn.XLOOKUP(CONT_SUP[[#This Row],[StaffRoleCode]],ROLES[StaffRoleCode],ROLES[StaffRoleGroupCode])</f>
        <v>TA</v>
      </c>
      <c r="AH222" s="57" t="str">
        <f>_xlfn.XLOOKUP(CONT_SUP[[#This Row],[StaffRoleCode]],ROLES[StaffRoleCode],ROLES[PayScaleCode])</f>
        <v>NJC_CHE</v>
      </c>
      <c r="AI222" s="12" t="s">
        <v>3122</v>
      </c>
      <c r="AJ222" s="12">
        <v>6</v>
      </c>
      <c r="AK222" s="12" t="s">
        <v>2497</v>
      </c>
      <c r="AM222" s="68" t="s">
        <v>3132</v>
      </c>
      <c r="AN222" s="12" t="s">
        <v>3134</v>
      </c>
      <c r="AO222" s="21">
        <v>45901</v>
      </c>
      <c r="AQ222" s="12">
        <v>18</v>
      </c>
      <c r="AR222" t="b">
        <v>0</v>
      </c>
      <c r="AS222" t="b">
        <v>0</v>
      </c>
      <c r="AT222" s="12" t="s">
        <v>1574</v>
      </c>
    </row>
    <row r="223" spans="1:46" x14ac:dyDescent="0.3">
      <c r="A223" s="57" t="str">
        <f t="shared" si="7"/>
        <v>WVP9107342791073427ATASTA45901</v>
      </c>
      <c r="B223" s="57">
        <f>COUNTIF(CONT_SUP[Unique Contract],CONT_SUP[[#This Row],[Unique Contract]])-1</f>
        <v>0</v>
      </c>
      <c r="C223" s="57">
        <f>IFERROR(IF(FIND(CONT_SUP[[#This Row],[SchoolCode]],_xlfn.XLOOKUP(CONT_SUP[[#This Row],[StaffMemberCode]],MEMBERS[StaffMemberCode],MEMBERS[SchoolCodes]))&gt;0,0,1),1)</f>
        <v>0</v>
      </c>
      <c r="D223" s="57" cm="1">
        <f t="array" ref="D223">IF(_xlfn.XLOOKUP(CONT_SUP[[#This Row],[StaffRoleCode]],ROLES[StaffRoleCode],ROLES[AvailableToAllSchools],1,0,)=TRUE,0,IF(ISERROR(FIND(CONT_SUP[[#This Row],[SchoolCode]],_xlfn.TEXTJOIN(",",TRUE,_xlfn.UNIQUE(IF(ROLES[StaffRoleCode]=CONT_SUP[[#This Row],[StaffRoleCode]],ROLES[SchoolCodes],""))))),1,0))</f>
        <v>0</v>
      </c>
      <c r="E223" s="57" cm="1">
        <f t="array" ref="E22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23" s="57" cm="1">
        <f t="array" ref="F223">IF(_xlfn.XLOOKUP(CONT_SUP[[#This Row],[PayScaleCode]],PAYSCALES[PayScaleCode],PAYSCALES[AvailableToAllSchools],1,0,)=TRUE,0,IF(ISERROR(FIND(CONT_SUP[[#This Row],[SchoolCode]],_xlfn.TEXTJOIN(",",TRUE,_xlfn.UNIQUE(IF(PAYSCALES[PayScaleCode]=CONT_SUP[[#This Row],[PayScaleCode]],PAYSCALES[SchoolCodes],""))))),1,0))</f>
        <v>0</v>
      </c>
      <c r="G223" s="57">
        <f>IF(_xlfn.XLOOKUP(CONT_SUP[[#This Row],[PayScaleGradeCode]],GRADES[PayScaleGradeCode],GRADES[AvailableToAllSchools])=TRUE,0,IFERROR(IF(FIND(CONT_SUP[[#This Row],[SchoolCode]],_xlfn.XLOOKUP(CONT_SUP[[#This Row],[PayScaleGradeCode]],GRADES[PayScaleGradeCode],GRADES[SchoolCodes]))&gt;=1,0,1),1))</f>
        <v>0</v>
      </c>
      <c r="H223" s="57">
        <f>IF(ISERROR(IF((_xlfn.XLOOKUP(CONT_SUP[[#This Row],[PayScaleGradeCode]],GRADES[PayScaleGradeCode],GRADES[PayScaleCode])=CONT_SUP[[#This Row],[PayScaleCode]]),0,1)),1,0)</f>
        <v>0</v>
      </c>
      <c r="I223" s="57" cm="1">
        <f t="array" ref="I223">IF(ISERROR(FIND(CONT_SUP[[#This Row],[PayScalePointCode]],_xlfn.TEXTJOIN(",",TRUE,IF(PSPOINTS[PayScaleCode]=CONT_SUP[[#This Row],[PayScaleCode]],PSPOINTS[PayScalePointCode])))),1,0)</f>
        <v>0</v>
      </c>
      <c r="J223" s="57" cm="1">
        <f t="array" ref="J22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23" s="57">
        <f>IF(_xlfn.XLOOKUP(CONT_SUP[[#This Row],[PayScalePointCode]],PSPOINTS[PayScalePointCode],PSPOINTS[PayScalePointEnabled])=TRUE,0,1)</f>
        <v>0</v>
      </c>
      <c r="L223" s="57" cm="1">
        <f t="array" ref="L223">IF(_xlfn.XLOOKUP(CONT_SUP[[#This Row],[DepartmentCode]],DEPTS[DepartmentCode],DEPTS[AvailableToAllSchools],1,0,)=TRUE,0,IF(ISERROR(FIND(CONT_SUP[[#This Row],[SchoolCode]],_xlfn.TEXTJOIN(",",TRUE,_xlfn.UNIQUE(IF(DEPTS[DepartmentCode]=CONT_SUP[[#This Row],[DepartmentCode]],DEPTS[SchoolCodes],""))))),1,0))</f>
        <v>0</v>
      </c>
      <c r="M223" s="57">
        <f>IFERROR(IF(_xlfn.XLOOKUP(CONT_SUP[[#This Row],[SRG Gross]],FinanceCodesBudget[FinanceCode],FinanceCodesBudget[LedgerCode])=_xlfn.XLOOKUP(CONT_SUP[[#This Row],[DepartmentCode]],DEPTS[DepartmentCode],DEPTS[LedgerCode]),0,1),1)</f>
        <v>1</v>
      </c>
      <c r="N223" s="57" cm="1">
        <f t="array" ref="N223">IF(_xlfn.XLOOKUP(CONT_SUP[[#This Row],[PensionCode]],PENS[PensionCode],PENS[AvailableToAllSchools],1,0,)=TRUE,0,IF(ISERROR(FIND(CONT_SUP[[#This Row],[SchoolCode]],_xlfn.TEXTJOIN(",",TRUE,_xlfn.UNIQUE(IF(PENS[PensionCode]=CONT_SUP[[#This Row],[PensionCode]],PENS[SchoolCodes],""))))),1,0))</f>
        <v>0</v>
      </c>
      <c r="O223" s="57" cm="1">
        <f t="array" ref="O223">IF(_xlfn.XLOOKUP(CONT_SUP[[#This Row],[EquatedWeekPatternCode]],EQW[EquatedWeekPatternCode],EQW[AvailableToAllSchools],1,0,)=TRUE,0,IF(ISERROR(FIND(CONT_SUP[[#This Row],[SchoolCode]],_xlfn.TEXTJOIN(",",TRUE,_xlfn.UNIQUE(IF(EQW[EquatedWeekPatternCode]=CONT_SUP[[#This Row],[EquatedWeekPatternCode]],EQW[SchoolCodes],""))))),1,0))</f>
        <v>0</v>
      </c>
      <c r="P223" s="57">
        <f>1-COUNTIF(ContractTypes[Code],CONT_SUP[[#This Row],[ContractTypeCode]])</f>
        <v>0</v>
      </c>
      <c r="Q223" s="57">
        <f>IF(VLOOKUP(CONT_SUP[[#This Row],[StaffMemberCode]],MEMBERS[[StaffMemberCode]:[ServiceStartDate]],5,0)&gt;CONT_SUP[[#This Row],[DateFrom]],1,0)</f>
        <v>0</v>
      </c>
      <c r="R223" s="57">
        <f>IF(_xlfn.XLOOKUP(CONT_SUP[[#This Row],[StaffMemberCode]],MEMBERS[StaffMemberCode],MEMBERS[ServiceEndDate])="",0,IF(CONT_SUP[[#This Row],[DateTo]]="",1,IF(_xlfn.XLOOKUP(CONT_SUP[[#This Row],[StaffMemberCode]],MEMBERS[StaffMemberCode],MEMBERS[ServiceEndDate])&lt;CONT_SUP[[#This Row],[DateTo]],1,0)))</f>
        <v>0</v>
      </c>
      <c r="S223" s="57">
        <f>IF(ISBLANK(CONT_SUP[[#This Row],[DateTo]]),0,IF(CONT_SUP[[#This Row],[DateFrom]]=CONT_SUP[[#This Row],[DateTo]],0,IF(CONT_SUP[[#This Row],[DateFrom]]&lt;CONT_SUP[[#This Row],[DateTo]],0,1)))</f>
        <v>0</v>
      </c>
      <c r="T223" s="57" cm="1">
        <f t="array" aca="1" ref="T223" ca="1">IF(CELL("format",CONT_SUP[[#This Row],[DateFrom]])="D1",0,1)+IF(CELL("format",CONT_SUP[[#This Row],[DateTo]])="D1",0,1)</f>
        <v>0</v>
      </c>
      <c r="U223" s="57">
        <f>IF(OR(CONT_SUP[[#This Row],[MatEditOnly]]=TRUE,CONT_SUP[[#This Row],[MatEditOnly]]=FALSE),IF(OR(CONT_SUP[[#This Row],[NoIncrement]]=TRUE,CONT_SUP[[#This Row],[NoIncrement]]=FALSE),0,1),1)</f>
        <v>0</v>
      </c>
      <c r="V223" s="57">
        <f>IF(ISBLANK(CONT_SUP[[#This Row],[FundCode]])=TRUE,0,IF(COUNTIF(FUNDS[FundCode],CONT_SUP[[#This Row],[FundCode]])=1,0,1))</f>
        <v>0</v>
      </c>
      <c r="W223" s="57">
        <f>IF(LEN(CONT_SUP[[#This Row],[Notes]])&lt;4000,0,1)</f>
        <v>0</v>
      </c>
      <c r="X223" s="57">
        <f>IF(SUBSTITUTE(TEXT(CONT_SUP[[#This Row],[Reference]],10)," ","")=TEXT(CONT_SUP[[#This Row],[Reference]],10),0,1)</f>
        <v>0</v>
      </c>
      <c r="Y223" s="57">
        <f ca="1">SUM(CONT_SUP[[#This Row],[Duplicate Contract]:[Space in Code]])</f>
        <v>1</v>
      </c>
      <c r="AA223" s="12" t="s">
        <v>2275</v>
      </c>
      <c r="AB223" s="12">
        <v>91073427</v>
      </c>
      <c r="AC223" s="12" t="s">
        <v>4819</v>
      </c>
      <c r="AD223" s="57" t="str">
        <f>_xlfn.XLOOKUP(CONT_SUP[[#This Row],[StaffMemberCode]],StaffMembers!O:O,StaffMembers!R:R)</f>
        <v>Jenny Cornes</v>
      </c>
      <c r="AE223" s="12" t="s">
        <v>1180</v>
      </c>
      <c r="AF223" s="57">
        <f>_xlfn.XLOOKUP(CONT_SUP[[#This Row],[SRG]],SRG[StaffRoleGroupCode],SRG[GrossSalaryFinanceCode])</f>
        <v>615100</v>
      </c>
      <c r="AG223" s="57" t="str">
        <f>_xlfn.XLOOKUP(CONT_SUP[[#This Row],[StaffRoleCode]],ROLES[StaffRoleCode],ROLES[StaffRoleGroupCode])</f>
        <v>TA</v>
      </c>
      <c r="AH223" s="57" t="str">
        <f>_xlfn.XLOOKUP(CONT_SUP[[#This Row],[StaffRoleCode]],ROLES[StaffRoleCode],ROLES[PayScaleCode])</f>
        <v>NJC_CHE</v>
      </c>
      <c r="AI223" s="12" t="s">
        <v>3122</v>
      </c>
      <c r="AJ223" s="12">
        <v>6</v>
      </c>
      <c r="AK223" s="12" t="s">
        <v>2497</v>
      </c>
      <c r="AM223" s="68" t="s">
        <v>3132</v>
      </c>
      <c r="AN223" s="12" t="s">
        <v>3134</v>
      </c>
      <c r="AO223" s="21">
        <v>45901</v>
      </c>
      <c r="AQ223" s="12">
        <v>19.5</v>
      </c>
      <c r="AR223" t="b">
        <v>0</v>
      </c>
      <c r="AS223" t="b">
        <v>0</v>
      </c>
      <c r="AT223" s="12" t="s">
        <v>1574</v>
      </c>
    </row>
    <row r="224" spans="1:46" x14ac:dyDescent="0.3">
      <c r="A224" s="57" t="str">
        <f t="shared" si="7"/>
        <v>ALS9107382691073826ATASTA45901</v>
      </c>
      <c r="B224" s="57">
        <f>COUNTIF(CONT_SUP[Unique Contract],CONT_SUP[[#This Row],[Unique Contract]])-1</f>
        <v>0</v>
      </c>
      <c r="C224" s="57">
        <f>IFERROR(IF(FIND(CONT_SUP[[#This Row],[SchoolCode]],_xlfn.XLOOKUP(CONT_SUP[[#This Row],[StaffMemberCode]],MEMBERS[StaffMemberCode],MEMBERS[SchoolCodes]))&gt;0,0,1),1)</f>
        <v>0</v>
      </c>
      <c r="D224" s="57" cm="1">
        <f t="array" ref="D224">IF(_xlfn.XLOOKUP(CONT_SUP[[#This Row],[StaffRoleCode]],ROLES[StaffRoleCode],ROLES[AvailableToAllSchools],1,0,)=TRUE,0,IF(ISERROR(FIND(CONT_SUP[[#This Row],[SchoolCode]],_xlfn.TEXTJOIN(",",TRUE,_xlfn.UNIQUE(IF(ROLES[StaffRoleCode]=CONT_SUP[[#This Row],[StaffRoleCode]],ROLES[SchoolCodes],""))))),1,0))</f>
        <v>0</v>
      </c>
      <c r="E224" s="57" cm="1">
        <f t="array" ref="E22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24" s="57" cm="1">
        <f t="array" ref="F224">IF(_xlfn.XLOOKUP(CONT_SUP[[#This Row],[PayScaleCode]],PAYSCALES[PayScaleCode],PAYSCALES[AvailableToAllSchools],1,0,)=TRUE,0,IF(ISERROR(FIND(CONT_SUP[[#This Row],[SchoolCode]],_xlfn.TEXTJOIN(",",TRUE,_xlfn.UNIQUE(IF(PAYSCALES[PayScaleCode]=CONT_SUP[[#This Row],[PayScaleCode]],PAYSCALES[SchoolCodes],""))))),1,0))</f>
        <v>0</v>
      </c>
      <c r="G224" s="57">
        <f>IF(_xlfn.XLOOKUP(CONT_SUP[[#This Row],[PayScaleGradeCode]],GRADES[PayScaleGradeCode],GRADES[AvailableToAllSchools])=TRUE,0,IFERROR(IF(FIND(CONT_SUP[[#This Row],[SchoolCode]],_xlfn.XLOOKUP(CONT_SUP[[#This Row],[PayScaleGradeCode]],GRADES[PayScaleGradeCode],GRADES[SchoolCodes]))&gt;=1,0,1),1))</f>
        <v>0</v>
      </c>
      <c r="H224" s="57">
        <f>IF(ISERROR(IF((_xlfn.XLOOKUP(CONT_SUP[[#This Row],[PayScaleGradeCode]],GRADES[PayScaleGradeCode],GRADES[PayScaleCode])=CONT_SUP[[#This Row],[PayScaleCode]]),0,1)),1,0)</f>
        <v>0</v>
      </c>
      <c r="I224" s="57" cm="1">
        <f t="array" ref="I224">IF(ISERROR(FIND(CONT_SUP[[#This Row],[PayScalePointCode]],_xlfn.TEXTJOIN(",",TRUE,IF(PSPOINTS[PayScaleCode]=CONT_SUP[[#This Row],[PayScaleCode]],PSPOINTS[PayScalePointCode])))),1,0)</f>
        <v>0</v>
      </c>
      <c r="J224" s="57" cm="1">
        <f t="array" ref="J22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24" s="57">
        <f>IF(_xlfn.XLOOKUP(CONT_SUP[[#This Row],[PayScalePointCode]],PSPOINTS[PayScalePointCode],PSPOINTS[PayScalePointEnabled])=TRUE,0,1)</f>
        <v>0</v>
      </c>
      <c r="L224" s="57" cm="1">
        <f t="array" ref="L224">IF(_xlfn.XLOOKUP(CONT_SUP[[#This Row],[DepartmentCode]],DEPTS[DepartmentCode],DEPTS[AvailableToAllSchools],1,0,)=TRUE,0,IF(ISERROR(FIND(CONT_SUP[[#This Row],[SchoolCode]],_xlfn.TEXTJOIN(",",TRUE,_xlfn.UNIQUE(IF(DEPTS[DepartmentCode]=CONT_SUP[[#This Row],[DepartmentCode]],DEPTS[SchoolCodes],""))))),1,0))</f>
        <v>0</v>
      </c>
      <c r="M224" s="57">
        <f>IFERROR(IF(_xlfn.XLOOKUP(CONT_SUP[[#This Row],[SRG Gross]],FinanceCodesBudget[FinanceCode],FinanceCodesBudget[LedgerCode])=_xlfn.XLOOKUP(CONT_SUP[[#This Row],[DepartmentCode]],DEPTS[DepartmentCode],DEPTS[LedgerCode]),0,1),1)</f>
        <v>1</v>
      </c>
      <c r="N224" s="57" cm="1">
        <f t="array" ref="N224">IF(_xlfn.XLOOKUP(CONT_SUP[[#This Row],[PensionCode]],PENS[PensionCode],PENS[AvailableToAllSchools],1,0,)=TRUE,0,IF(ISERROR(FIND(CONT_SUP[[#This Row],[SchoolCode]],_xlfn.TEXTJOIN(",",TRUE,_xlfn.UNIQUE(IF(PENS[PensionCode]=CONT_SUP[[#This Row],[PensionCode]],PENS[SchoolCodes],""))))),1,0))</f>
        <v>0</v>
      </c>
      <c r="O224" s="57" cm="1">
        <f t="array" ref="O224">IF(_xlfn.XLOOKUP(CONT_SUP[[#This Row],[EquatedWeekPatternCode]],EQW[EquatedWeekPatternCode],EQW[AvailableToAllSchools],1,0,)=TRUE,0,IF(ISERROR(FIND(CONT_SUP[[#This Row],[SchoolCode]],_xlfn.TEXTJOIN(",",TRUE,_xlfn.UNIQUE(IF(EQW[EquatedWeekPatternCode]=CONT_SUP[[#This Row],[EquatedWeekPatternCode]],EQW[SchoolCodes],""))))),1,0))</f>
        <v>0</v>
      </c>
      <c r="P224" s="57">
        <f>1-COUNTIF(ContractTypes[Code],CONT_SUP[[#This Row],[ContractTypeCode]])</f>
        <v>0</v>
      </c>
      <c r="Q224" s="57">
        <f>IF(VLOOKUP(CONT_SUP[[#This Row],[StaffMemberCode]],MEMBERS[[StaffMemberCode]:[ServiceStartDate]],5,0)&gt;CONT_SUP[[#This Row],[DateFrom]],1,0)</f>
        <v>0</v>
      </c>
      <c r="R224" s="57">
        <f>IF(_xlfn.XLOOKUP(CONT_SUP[[#This Row],[StaffMemberCode]],MEMBERS[StaffMemberCode],MEMBERS[ServiceEndDate])="",0,IF(CONT_SUP[[#This Row],[DateTo]]="",1,IF(_xlfn.XLOOKUP(CONT_SUP[[#This Row],[StaffMemberCode]],MEMBERS[StaffMemberCode],MEMBERS[ServiceEndDate])&lt;CONT_SUP[[#This Row],[DateTo]],1,0)))</f>
        <v>0</v>
      </c>
      <c r="S224" s="57">
        <f>IF(ISBLANK(CONT_SUP[[#This Row],[DateTo]]),0,IF(CONT_SUP[[#This Row],[DateFrom]]=CONT_SUP[[#This Row],[DateTo]],0,IF(CONT_SUP[[#This Row],[DateFrom]]&lt;CONT_SUP[[#This Row],[DateTo]],0,1)))</f>
        <v>0</v>
      </c>
      <c r="T224" s="57" cm="1">
        <f t="array" aca="1" ref="T224" ca="1">IF(CELL("format",CONT_SUP[[#This Row],[DateFrom]])="D1",0,1)+IF(CELL("format",CONT_SUP[[#This Row],[DateTo]])="D1",0,1)</f>
        <v>0</v>
      </c>
      <c r="U224" s="57">
        <f>IF(OR(CONT_SUP[[#This Row],[MatEditOnly]]=TRUE,CONT_SUP[[#This Row],[MatEditOnly]]=FALSE),IF(OR(CONT_SUP[[#This Row],[NoIncrement]]=TRUE,CONT_SUP[[#This Row],[NoIncrement]]=FALSE),0,1),1)</f>
        <v>0</v>
      </c>
      <c r="V224" s="57">
        <f>IF(ISBLANK(CONT_SUP[[#This Row],[FundCode]])=TRUE,0,IF(COUNTIF(FUNDS[FundCode],CONT_SUP[[#This Row],[FundCode]])=1,0,1))</f>
        <v>0</v>
      </c>
      <c r="W224" s="57">
        <f>IF(LEN(CONT_SUP[[#This Row],[Notes]])&lt;4000,0,1)</f>
        <v>0</v>
      </c>
      <c r="X224" s="57">
        <f>IF(SUBSTITUTE(TEXT(CONT_SUP[[#This Row],[Reference]],10)," ","")=TEXT(CONT_SUP[[#This Row],[Reference]],10),0,1)</f>
        <v>0</v>
      </c>
      <c r="Y224" s="57">
        <f ca="1">SUM(CONT_SUP[[#This Row],[Duplicate Contract]:[Space in Code]])</f>
        <v>1</v>
      </c>
      <c r="AA224" s="12" t="s">
        <v>2082</v>
      </c>
      <c r="AB224" s="12">
        <v>91073826</v>
      </c>
      <c r="AC224" s="12" t="s">
        <v>4820</v>
      </c>
      <c r="AD224" s="57" t="str">
        <f>_xlfn.XLOOKUP(CONT_SUP[[#This Row],[StaffMemberCode]],StaffMembers!O:O,StaffMembers!R:R)</f>
        <v>Joanna Madeley</v>
      </c>
      <c r="AE224" s="12" t="s">
        <v>1180</v>
      </c>
      <c r="AF224" s="57">
        <f>_xlfn.XLOOKUP(CONT_SUP[[#This Row],[SRG]],SRG[StaffRoleGroupCode],SRG[GrossSalaryFinanceCode])</f>
        <v>615100</v>
      </c>
      <c r="AG224" s="57" t="str">
        <f>_xlfn.XLOOKUP(CONT_SUP[[#This Row],[StaffRoleCode]],ROLES[StaffRoleCode],ROLES[StaffRoleGroupCode])</f>
        <v>TA</v>
      </c>
      <c r="AH224" s="57" t="str">
        <f>_xlfn.XLOOKUP(CONT_SUP[[#This Row],[StaffRoleCode]],ROLES[StaffRoleCode],ROLES[PayScaleCode])</f>
        <v>NJC_CHE</v>
      </c>
      <c r="AI224" s="12" t="s">
        <v>3123</v>
      </c>
      <c r="AJ224" s="12">
        <v>9</v>
      </c>
      <c r="AK224" s="12" t="s">
        <v>2497</v>
      </c>
      <c r="AM224" s="68" t="s">
        <v>3132</v>
      </c>
      <c r="AN224" s="12" t="s">
        <v>3135</v>
      </c>
      <c r="AO224" s="21">
        <v>45901</v>
      </c>
      <c r="AQ224" s="12">
        <v>32.75</v>
      </c>
      <c r="AR224" t="b">
        <v>0</v>
      </c>
      <c r="AS224" t="b">
        <v>0</v>
      </c>
      <c r="AT224" s="12" t="s">
        <v>1575</v>
      </c>
    </row>
    <row r="225" spans="1:46" x14ac:dyDescent="0.3">
      <c r="A225" s="57" t="str">
        <f t="shared" si="7"/>
        <v>PTP9107392391073923ATASTA45901</v>
      </c>
      <c r="B225" s="57">
        <f>COUNTIF(CONT_SUP[Unique Contract],CONT_SUP[[#This Row],[Unique Contract]])-1</f>
        <v>0</v>
      </c>
      <c r="C225" s="57">
        <f>IFERROR(IF(FIND(CONT_SUP[[#This Row],[SchoolCode]],_xlfn.XLOOKUP(CONT_SUP[[#This Row],[StaffMemberCode]],MEMBERS[StaffMemberCode],MEMBERS[SchoolCodes]))&gt;0,0,1),1)</f>
        <v>0</v>
      </c>
      <c r="D225" s="57" cm="1">
        <f t="array" ref="D225">IF(_xlfn.XLOOKUP(CONT_SUP[[#This Row],[StaffRoleCode]],ROLES[StaffRoleCode],ROLES[AvailableToAllSchools],1,0,)=TRUE,0,IF(ISERROR(FIND(CONT_SUP[[#This Row],[SchoolCode]],_xlfn.TEXTJOIN(",",TRUE,_xlfn.UNIQUE(IF(ROLES[StaffRoleCode]=CONT_SUP[[#This Row],[StaffRoleCode]],ROLES[SchoolCodes],""))))),1,0))</f>
        <v>0</v>
      </c>
      <c r="E225" s="57" cm="1">
        <f t="array" ref="E22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25" s="57" cm="1">
        <f t="array" ref="F225">IF(_xlfn.XLOOKUP(CONT_SUP[[#This Row],[PayScaleCode]],PAYSCALES[PayScaleCode],PAYSCALES[AvailableToAllSchools],1,0,)=TRUE,0,IF(ISERROR(FIND(CONT_SUP[[#This Row],[SchoolCode]],_xlfn.TEXTJOIN(",",TRUE,_xlfn.UNIQUE(IF(PAYSCALES[PayScaleCode]=CONT_SUP[[#This Row],[PayScaleCode]],PAYSCALES[SchoolCodes],""))))),1,0))</f>
        <v>0</v>
      </c>
      <c r="G225" s="57">
        <f>IF(_xlfn.XLOOKUP(CONT_SUP[[#This Row],[PayScaleGradeCode]],GRADES[PayScaleGradeCode],GRADES[AvailableToAllSchools])=TRUE,0,IFERROR(IF(FIND(CONT_SUP[[#This Row],[SchoolCode]],_xlfn.XLOOKUP(CONT_SUP[[#This Row],[PayScaleGradeCode]],GRADES[PayScaleGradeCode],GRADES[SchoolCodes]))&gt;=1,0,1),1))</f>
        <v>0</v>
      </c>
      <c r="H225" s="57">
        <f>IF(ISERROR(IF((_xlfn.XLOOKUP(CONT_SUP[[#This Row],[PayScaleGradeCode]],GRADES[PayScaleGradeCode],GRADES[PayScaleCode])=CONT_SUP[[#This Row],[PayScaleCode]]),0,1)),1,0)</f>
        <v>0</v>
      </c>
      <c r="I225" s="57" cm="1">
        <f t="array" ref="I225">IF(ISERROR(FIND(CONT_SUP[[#This Row],[PayScalePointCode]],_xlfn.TEXTJOIN(",",TRUE,IF(PSPOINTS[PayScaleCode]=CONT_SUP[[#This Row],[PayScaleCode]],PSPOINTS[PayScalePointCode])))),1,0)</f>
        <v>0</v>
      </c>
      <c r="J225" s="57" cm="1">
        <f t="array" ref="J22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25" s="57">
        <f>IF(_xlfn.XLOOKUP(CONT_SUP[[#This Row],[PayScalePointCode]],PSPOINTS[PayScalePointCode],PSPOINTS[PayScalePointEnabled])=TRUE,0,1)</f>
        <v>0</v>
      </c>
      <c r="L225" s="57" cm="1">
        <f t="array" ref="L225">IF(_xlfn.XLOOKUP(CONT_SUP[[#This Row],[DepartmentCode]],DEPTS[DepartmentCode],DEPTS[AvailableToAllSchools],1,0,)=TRUE,0,IF(ISERROR(FIND(CONT_SUP[[#This Row],[SchoolCode]],_xlfn.TEXTJOIN(",",TRUE,_xlfn.UNIQUE(IF(DEPTS[DepartmentCode]=CONT_SUP[[#This Row],[DepartmentCode]],DEPTS[SchoolCodes],""))))),1,0))</f>
        <v>0</v>
      </c>
      <c r="M225" s="57">
        <f>IFERROR(IF(_xlfn.XLOOKUP(CONT_SUP[[#This Row],[SRG Gross]],FinanceCodesBudget[FinanceCode],FinanceCodesBudget[LedgerCode])=_xlfn.XLOOKUP(CONT_SUP[[#This Row],[DepartmentCode]],DEPTS[DepartmentCode],DEPTS[LedgerCode]),0,1),1)</f>
        <v>1</v>
      </c>
      <c r="N225" s="57" cm="1">
        <f t="array" ref="N225">IF(_xlfn.XLOOKUP(CONT_SUP[[#This Row],[PensionCode]],PENS[PensionCode],PENS[AvailableToAllSchools],1,0,)=TRUE,0,IF(ISERROR(FIND(CONT_SUP[[#This Row],[SchoolCode]],_xlfn.TEXTJOIN(",",TRUE,_xlfn.UNIQUE(IF(PENS[PensionCode]=CONT_SUP[[#This Row],[PensionCode]],PENS[SchoolCodes],""))))),1,0))</f>
        <v>0</v>
      </c>
      <c r="O225" s="57" cm="1">
        <f t="array" ref="O225">IF(_xlfn.XLOOKUP(CONT_SUP[[#This Row],[EquatedWeekPatternCode]],EQW[EquatedWeekPatternCode],EQW[AvailableToAllSchools],1,0,)=TRUE,0,IF(ISERROR(FIND(CONT_SUP[[#This Row],[SchoolCode]],_xlfn.TEXTJOIN(",",TRUE,_xlfn.UNIQUE(IF(EQW[EquatedWeekPatternCode]=CONT_SUP[[#This Row],[EquatedWeekPatternCode]],EQW[SchoolCodes],""))))),1,0))</f>
        <v>0</v>
      </c>
      <c r="P225" s="57">
        <f>1-COUNTIF(ContractTypes[Code],CONT_SUP[[#This Row],[ContractTypeCode]])</f>
        <v>0</v>
      </c>
      <c r="Q225" s="57">
        <f>IF(VLOOKUP(CONT_SUP[[#This Row],[StaffMemberCode]],MEMBERS[[StaffMemberCode]:[ServiceStartDate]],5,0)&gt;CONT_SUP[[#This Row],[DateFrom]],1,0)</f>
        <v>0</v>
      </c>
      <c r="R225" s="57">
        <f>IF(_xlfn.XLOOKUP(CONT_SUP[[#This Row],[StaffMemberCode]],MEMBERS[StaffMemberCode],MEMBERS[ServiceEndDate])="",0,IF(CONT_SUP[[#This Row],[DateTo]]="",1,IF(_xlfn.XLOOKUP(CONT_SUP[[#This Row],[StaffMemberCode]],MEMBERS[StaffMemberCode],MEMBERS[ServiceEndDate])&lt;CONT_SUP[[#This Row],[DateTo]],1,0)))</f>
        <v>0</v>
      </c>
      <c r="S225" s="57">
        <f>IF(ISBLANK(CONT_SUP[[#This Row],[DateTo]]),0,IF(CONT_SUP[[#This Row],[DateFrom]]=CONT_SUP[[#This Row],[DateTo]],0,IF(CONT_SUP[[#This Row],[DateFrom]]&lt;CONT_SUP[[#This Row],[DateTo]],0,1)))</f>
        <v>0</v>
      </c>
      <c r="T225" s="57" cm="1">
        <f t="array" aca="1" ref="T225" ca="1">IF(CELL("format",CONT_SUP[[#This Row],[DateFrom]])="D1",0,1)+IF(CELL("format",CONT_SUP[[#This Row],[DateTo]])="D1",0,1)</f>
        <v>0</v>
      </c>
      <c r="U225" s="57">
        <f>IF(OR(CONT_SUP[[#This Row],[MatEditOnly]]=TRUE,CONT_SUP[[#This Row],[MatEditOnly]]=FALSE),IF(OR(CONT_SUP[[#This Row],[NoIncrement]]=TRUE,CONT_SUP[[#This Row],[NoIncrement]]=FALSE),0,1),1)</f>
        <v>0</v>
      </c>
      <c r="V225" s="57">
        <f>IF(ISBLANK(CONT_SUP[[#This Row],[FundCode]])=TRUE,0,IF(COUNTIF(FUNDS[FundCode],CONT_SUP[[#This Row],[FundCode]])=1,0,1))</f>
        <v>0</v>
      </c>
      <c r="W225" s="57">
        <f>IF(LEN(CONT_SUP[[#This Row],[Notes]])&lt;4000,0,1)</f>
        <v>0</v>
      </c>
      <c r="X225" s="57">
        <f>IF(SUBSTITUTE(TEXT(CONT_SUP[[#This Row],[Reference]],10)," ","")=TEXT(CONT_SUP[[#This Row],[Reference]],10),0,1)</f>
        <v>0</v>
      </c>
      <c r="Y225" s="57">
        <f ca="1">SUM(CONT_SUP[[#This Row],[Duplicate Contract]:[Space in Code]])</f>
        <v>1</v>
      </c>
      <c r="AA225" s="12" t="s">
        <v>2299</v>
      </c>
      <c r="AB225" s="12">
        <v>91073923</v>
      </c>
      <c r="AC225" s="12" t="s">
        <v>4821</v>
      </c>
      <c r="AD225" s="57" t="str">
        <f>_xlfn.XLOOKUP(CONT_SUP[[#This Row],[StaffMemberCode]],StaffMembers!O:O,StaffMembers!R:R)</f>
        <v>Julie Howard</v>
      </c>
      <c r="AE225" s="12" t="s">
        <v>1180</v>
      </c>
      <c r="AF225" s="57">
        <f>_xlfn.XLOOKUP(CONT_SUP[[#This Row],[SRG]],SRG[StaffRoleGroupCode],SRG[GrossSalaryFinanceCode])</f>
        <v>615100</v>
      </c>
      <c r="AG225" s="57" t="str">
        <f>_xlfn.XLOOKUP(CONT_SUP[[#This Row],[StaffRoleCode]],ROLES[StaffRoleCode],ROLES[StaffRoleGroupCode])</f>
        <v>TA</v>
      </c>
      <c r="AH225" s="57" t="str">
        <f>_xlfn.XLOOKUP(CONT_SUP[[#This Row],[StaffRoleCode]],ROLES[StaffRoleCode],ROLES[PayScaleCode])</f>
        <v>NJC_CHE</v>
      </c>
      <c r="AI225" s="12" t="s">
        <v>3123</v>
      </c>
      <c r="AJ225" s="12">
        <v>11</v>
      </c>
      <c r="AK225" s="12" t="s">
        <v>2497</v>
      </c>
      <c r="AM225" s="68" t="s">
        <v>3132</v>
      </c>
      <c r="AN225" s="12" t="s">
        <v>3134</v>
      </c>
      <c r="AO225" s="21">
        <v>45901</v>
      </c>
      <c r="AQ225" s="12">
        <v>26</v>
      </c>
      <c r="AR225" t="b">
        <v>0</v>
      </c>
      <c r="AS225" t="b">
        <v>0</v>
      </c>
      <c r="AT225" s="12" t="s">
        <v>1574</v>
      </c>
    </row>
    <row r="226" spans="1:46" x14ac:dyDescent="0.3">
      <c r="A226" s="57" t="str">
        <f t="shared" si="7"/>
        <v>SBL9107576791075767ATASTA45901</v>
      </c>
      <c r="B226" s="57">
        <f>COUNTIF(CONT_SUP[Unique Contract],CONT_SUP[[#This Row],[Unique Contract]])-1</f>
        <v>0</v>
      </c>
      <c r="C226" s="57">
        <f>IFERROR(IF(FIND(CONT_SUP[[#This Row],[SchoolCode]],_xlfn.XLOOKUP(CONT_SUP[[#This Row],[StaffMemberCode]],MEMBERS[StaffMemberCode],MEMBERS[SchoolCodes]))&gt;0,0,1),1)</f>
        <v>0</v>
      </c>
      <c r="D226" s="57" cm="1">
        <f t="array" ref="D226">IF(_xlfn.XLOOKUP(CONT_SUP[[#This Row],[StaffRoleCode]],ROLES[StaffRoleCode],ROLES[AvailableToAllSchools],1,0,)=TRUE,0,IF(ISERROR(FIND(CONT_SUP[[#This Row],[SchoolCode]],_xlfn.TEXTJOIN(",",TRUE,_xlfn.UNIQUE(IF(ROLES[StaffRoleCode]=CONT_SUP[[#This Row],[StaffRoleCode]],ROLES[SchoolCodes],""))))),1,0))</f>
        <v>0</v>
      </c>
      <c r="E226" s="57" cm="1">
        <f t="array" ref="E22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26" s="57" cm="1">
        <f t="array" ref="F226">IF(_xlfn.XLOOKUP(CONT_SUP[[#This Row],[PayScaleCode]],PAYSCALES[PayScaleCode],PAYSCALES[AvailableToAllSchools],1,0,)=TRUE,0,IF(ISERROR(FIND(CONT_SUP[[#This Row],[SchoolCode]],_xlfn.TEXTJOIN(",",TRUE,_xlfn.UNIQUE(IF(PAYSCALES[PayScaleCode]=CONT_SUP[[#This Row],[PayScaleCode]],PAYSCALES[SchoolCodes],""))))),1,0))</f>
        <v>0</v>
      </c>
      <c r="G226" s="57">
        <f>IF(_xlfn.XLOOKUP(CONT_SUP[[#This Row],[PayScaleGradeCode]],GRADES[PayScaleGradeCode],GRADES[AvailableToAllSchools])=TRUE,0,IFERROR(IF(FIND(CONT_SUP[[#This Row],[SchoolCode]],_xlfn.XLOOKUP(CONT_SUP[[#This Row],[PayScaleGradeCode]],GRADES[PayScaleGradeCode],GRADES[SchoolCodes]))&gt;=1,0,1),1))</f>
        <v>0</v>
      </c>
      <c r="H226" s="57">
        <f>IF(ISERROR(IF((_xlfn.XLOOKUP(CONT_SUP[[#This Row],[PayScaleGradeCode]],GRADES[PayScaleGradeCode],GRADES[PayScaleCode])=CONT_SUP[[#This Row],[PayScaleCode]]),0,1)),1,0)</f>
        <v>0</v>
      </c>
      <c r="I226" s="57" cm="1">
        <f t="array" ref="I226">IF(ISERROR(FIND(CONT_SUP[[#This Row],[PayScalePointCode]],_xlfn.TEXTJOIN(",",TRUE,IF(PSPOINTS[PayScaleCode]=CONT_SUP[[#This Row],[PayScaleCode]],PSPOINTS[PayScalePointCode])))),1,0)</f>
        <v>0</v>
      </c>
      <c r="J226" s="57" cm="1">
        <f t="array" ref="J22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26" s="57">
        <f>IF(_xlfn.XLOOKUP(CONT_SUP[[#This Row],[PayScalePointCode]],PSPOINTS[PayScalePointCode],PSPOINTS[PayScalePointEnabled])=TRUE,0,1)</f>
        <v>0</v>
      </c>
      <c r="L226" s="57" cm="1">
        <f t="array" ref="L226">IF(_xlfn.XLOOKUP(CONT_SUP[[#This Row],[DepartmentCode]],DEPTS[DepartmentCode],DEPTS[AvailableToAllSchools],1,0,)=TRUE,0,IF(ISERROR(FIND(CONT_SUP[[#This Row],[SchoolCode]],_xlfn.TEXTJOIN(",",TRUE,_xlfn.UNIQUE(IF(DEPTS[DepartmentCode]=CONT_SUP[[#This Row],[DepartmentCode]],DEPTS[SchoolCodes],""))))),1,0))</f>
        <v>0</v>
      </c>
      <c r="M226" s="57">
        <f>IFERROR(IF(_xlfn.XLOOKUP(CONT_SUP[[#This Row],[SRG Gross]],FinanceCodesBudget[FinanceCode],FinanceCodesBudget[LedgerCode])=_xlfn.XLOOKUP(CONT_SUP[[#This Row],[DepartmentCode]],DEPTS[DepartmentCode],DEPTS[LedgerCode]),0,1),1)</f>
        <v>1</v>
      </c>
      <c r="N226" s="57" cm="1">
        <f t="array" ref="N226">IF(_xlfn.XLOOKUP(CONT_SUP[[#This Row],[PensionCode]],PENS[PensionCode],PENS[AvailableToAllSchools],1,0,)=TRUE,0,IF(ISERROR(FIND(CONT_SUP[[#This Row],[SchoolCode]],_xlfn.TEXTJOIN(",",TRUE,_xlfn.UNIQUE(IF(PENS[PensionCode]=CONT_SUP[[#This Row],[PensionCode]],PENS[SchoolCodes],""))))),1,0))</f>
        <v>0</v>
      </c>
      <c r="O226" s="57" cm="1">
        <f t="array" ref="O226">IF(_xlfn.XLOOKUP(CONT_SUP[[#This Row],[EquatedWeekPatternCode]],EQW[EquatedWeekPatternCode],EQW[AvailableToAllSchools],1,0,)=TRUE,0,IF(ISERROR(FIND(CONT_SUP[[#This Row],[SchoolCode]],_xlfn.TEXTJOIN(",",TRUE,_xlfn.UNIQUE(IF(EQW[EquatedWeekPatternCode]=CONT_SUP[[#This Row],[EquatedWeekPatternCode]],EQW[SchoolCodes],""))))),1,0))</f>
        <v>0</v>
      </c>
      <c r="P226" s="57">
        <f>1-COUNTIF(ContractTypes[Code],CONT_SUP[[#This Row],[ContractTypeCode]])</f>
        <v>0</v>
      </c>
      <c r="Q226" s="57">
        <f>IF(VLOOKUP(CONT_SUP[[#This Row],[StaffMemberCode]],MEMBERS[[StaffMemberCode]:[ServiceStartDate]],5,0)&gt;CONT_SUP[[#This Row],[DateFrom]],1,0)</f>
        <v>0</v>
      </c>
      <c r="R226" s="57">
        <f>IF(_xlfn.XLOOKUP(CONT_SUP[[#This Row],[StaffMemberCode]],MEMBERS[StaffMemberCode],MEMBERS[ServiceEndDate])="",0,IF(CONT_SUP[[#This Row],[DateTo]]="",1,IF(_xlfn.XLOOKUP(CONT_SUP[[#This Row],[StaffMemberCode]],MEMBERS[StaffMemberCode],MEMBERS[ServiceEndDate])&lt;CONT_SUP[[#This Row],[DateTo]],1,0)))</f>
        <v>0</v>
      </c>
      <c r="S226" s="57">
        <f>IF(ISBLANK(CONT_SUP[[#This Row],[DateTo]]),0,IF(CONT_SUP[[#This Row],[DateFrom]]=CONT_SUP[[#This Row],[DateTo]],0,IF(CONT_SUP[[#This Row],[DateFrom]]&lt;CONT_SUP[[#This Row],[DateTo]],0,1)))</f>
        <v>0</v>
      </c>
      <c r="T226" s="57" cm="1">
        <f t="array" aca="1" ref="T226" ca="1">IF(CELL("format",CONT_SUP[[#This Row],[DateFrom]])="D1",0,1)+IF(CELL("format",CONT_SUP[[#This Row],[DateTo]])="D1",0,1)</f>
        <v>0</v>
      </c>
      <c r="U226" s="57">
        <f>IF(OR(CONT_SUP[[#This Row],[MatEditOnly]]=TRUE,CONT_SUP[[#This Row],[MatEditOnly]]=FALSE),IF(OR(CONT_SUP[[#This Row],[NoIncrement]]=TRUE,CONT_SUP[[#This Row],[NoIncrement]]=FALSE),0,1),1)</f>
        <v>0</v>
      </c>
      <c r="V226" s="57">
        <f>IF(ISBLANK(CONT_SUP[[#This Row],[FundCode]])=TRUE,0,IF(COUNTIF(FUNDS[FundCode],CONT_SUP[[#This Row],[FundCode]])=1,0,1))</f>
        <v>0</v>
      </c>
      <c r="W226" s="57">
        <f>IF(LEN(CONT_SUP[[#This Row],[Notes]])&lt;4000,0,1)</f>
        <v>0</v>
      </c>
      <c r="X226" s="57">
        <f>IF(SUBSTITUTE(TEXT(CONT_SUP[[#This Row],[Reference]],10)," ","")=TEXT(CONT_SUP[[#This Row],[Reference]],10),0,1)</f>
        <v>0</v>
      </c>
      <c r="Y226" s="57">
        <f ca="1">SUM(CONT_SUP[[#This Row],[Duplicate Contract]:[Space in Code]])</f>
        <v>1</v>
      </c>
      <c r="AA226" s="12" t="s">
        <v>2200</v>
      </c>
      <c r="AB226" s="12">
        <v>91075767</v>
      </c>
      <c r="AC226" s="12" t="s">
        <v>4822</v>
      </c>
      <c r="AD226" s="57" t="str">
        <f>_xlfn.XLOOKUP(CONT_SUP[[#This Row],[StaffMemberCode]],StaffMembers!O:O,StaffMembers!R:R)</f>
        <v>Karen Balden</v>
      </c>
      <c r="AE226" s="12" t="s">
        <v>1180</v>
      </c>
      <c r="AF226" s="57">
        <f>_xlfn.XLOOKUP(CONT_SUP[[#This Row],[SRG]],SRG[StaffRoleGroupCode],SRG[GrossSalaryFinanceCode])</f>
        <v>615100</v>
      </c>
      <c r="AG226" s="57" t="str">
        <f>_xlfn.XLOOKUP(CONT_SUP[[#This Row],[StaffRoleCode]],ROLES[StaffRoleCode],ROLES[StaffRoleGroupCode])</f>
        <v>TA</v>
      </c>
      <c r="AH226" s="57" t="str">
        <f>_xlfn.XLOOKUP(CONT_SUP[[#This Row],[StaffRoleCode]],ROLES[StaffRoleCode],ROLES[PayScaleCode])</f>
        <v>NJC_CHE</v>
      </c>
      <c r="AI226" s="12" t="s">
        <v>3123</v>
      </c>
      <c r="AJ226" s="12">
        <v>9</v>
      </c>
      <c r="AK226" s="12" t="s">
        <v>2497</v>
      </c>
      <c r="AM226" s="68" t="s">
        <v>3132</v>
      </c>
      <c r="AN226" s="12" t="s">
        <v>3135</v>
      </c>
      <c r="AO226" s="21">
        <v>45901</v>
      </c>
      <c r="AQ226" s="12">
        <v>18</v>
      </c>
      <c r="AR226" t="b">
        <v>0</v>
      </c>
      <c r="AS226" t="b">
        <v>0</v>
      </c>
      <c r="AT226" s="12" t="s">
        <v>1574</v>
      </c>
    </row>
    <row r="227" spans="1:46" x14ac:dyDescent="0.3">
      <c r="A227" s="57" t="str">
        <f t="shared" si="7"/>
        <v>SBL9107576891075768ATASTA45901</v>
      </c>
      <c r="B227" s="57">
        <f>COUNTIF(CONT_SUP[Unique Contract],CONT_SUP[[#This Row],[Unique Contract]])-1</f>
        <v>0</v>
      </c>
      <c r="C227" s="57">
        <f>IFERROR(IF(FIND(CONT_SUP[[#This Row],[SchoolCode]],_xlfn.XLOOKUP(CONT_SUP[[#This Row],[StaffMemberCode]],MEMBERS[StaffMemberCode],MEMBERS[SchoolCodes]))&gt;0,0,1),1)</f>
        <v>0</v>
      </c>
      <c r="D227" s="57" cm="1">
        <f t="array" ref="D227">IF(_xlfn.XLOOKUP(CONT_SUP[[#This Row],[StaffRoleCode]],ROLES[StaffRoleCode],ROLES[AvailableToAllSchools],1,0,)=TRUE,0,IF(ISERROR(FIND(CONT_SUP[[#This Row],[SchoolCode]],_xlfn.TEXTJOIN(",",TRUE,_xlfn.UNIQUE(IF(ROLES[StaffRoleCode]=CONT_SUP[[#This Row],[StaffRoleCode]],ROLES[SchoolCodes],""))))),1,0))</f>
        <v>0</v>
      </c>
      <c r="E227" s="57" cm="1">
        <f t="array" ref="E22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27" s="57" cm="1">
        <f t="array" ref="F227">IF(_xlfn.XLOOKUP(CONT_SUP[[#This Row],[PayScaleCode]],PAYSCALES[PayScaleCode],PAYSCALES[AvailableToAllSchools],1,0,)=TRUE,0,IF(ISERROR(FIND(CONT_SUP[[#This Row],[SchoolCode]],_xlfn.TEXTJOIN(",",TRUE,_xlfn.UNIQUE(IF(PAYSCALES[PayScaleCode]=CONT_SUP[[#This Row],[PayScaleCode]],PAYSCALES[SchoolCodes],""))))),1,0))</f>
        <v>0</v>
      </c>
      <c r="G227" s="57">
        <f>IF(_xlfn.XLOOKUP(CONT_SUP[[#This Row],[PayScaleGradeCode]],GRADES[PayScaleGradeCode],GRADES[AvailableToAllSchools])=TRUE,0,IFERROR(IF(FIND(CONT_SUP[[#This Row],[SchoolCode]],_xlfn.XLOOKUP(CONT_SUP[[#This Row],[PayScaleGradeCode]],GRADES[PayScaleGradeCode],GRADES[SchoolCodes]))&gt;=1,0,1),1))</f>
        <v>0</v>
      </c>
      <c r="H227" s="57">
        <f>IF(ISERROR(IF((_xlfn.XLOOKUP(CONT_SUP[[#This Row],[PayScaleGradeCode]],GRADES[PayScaleGradeCode],GRADES[PayScaleCode])=CONT_SUP[[#This Row],[PayScaleCode]]),0,1)),1,0)</f>
        <v>0</v>
      </c>
      <c r="I227" s="57" cm="1">
        <f t="array" ref="I227">IF(ISERROR(FIND(CONT_SUP[[#This Row],[PayScalePointCode]],_xlfn.TEXTJOIN(",",TRUE,IF(PSPOINTS[PayScaleCode]=CONT_SUP[[#This Row],[PayScaleCode]],PSPOINTS[PayScalePointCode])))),1,0)</f>
        <v>0</v>
      </c>
      <c r="J227" s="57" cm="1">
        <f t="array" ref="J22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27" s="57">
        <f>IF(_xlfn.XLOOKUP(CONT_SUP[[#This Row],[PayScalePointCode]],PSPOINTS[PayScalePointCode],PSPOINTS[PayScalePointEnabled])=TRUE,0,1)</f>
        <v>0</v>
      </c>
      <c r="L227" s="57" cm="1">
        <f t="array" ref="L227">IF(_xlfn.XLOOKUP(CONT_SUP[[#This Row],[DepartmentCode]],DEPTS[DepartmentCode],DEPTS[AvailableToAllSchools],1,0,)=TRUE,0,IF(ISERROR(FIND(CONT_SUP[[#This Row],[SchoolCode]],_xlfn.TEXTJOIN(",",TRUE,_xlfn.UNIQUE(IF(DEPTS[DepartmentCode]=CONT_SUP[[#This Row],[DepartmentCode]],DEPTS[SchoolCodes],""))))),1,0))</f>
        <v>0</v>
      </c>
      <c r="M227" s="57">
        <f>IFERROR(IF(_xlfn.XLOOKUP(CONT_SUP[[#This Row],[SRG Gross]],FinanceCodesBudget[FinanceCode],FinanceCodesBudget[LedgerCode])=_xlfn.XLOOKUP(CONT_SUP[[#This Row],[DepartmentCode]],DEPTS[DepartmentCode],DEPTS[LedgerCode]),0,1),1)</f>
        <v>1</v>
      </c>
      <c r="N227" s="57" cm="1">
        <f t="array" ref="N227">IF(_xlfn.XLOOKUP(CONT_SUP[[#This Row],[PensionCode]],PENS[PensionCode],PENS[AvailableToAllSchools],1,0,)=TRUE,0,IF(ISERROR(FIND(CONT_SUP[[#This Row],[SchoolCode]],_xlfn.TEXTJOIN(",",TRUE,_xlfn.UNIQUE(IF(PENS[PensionCode]=CONT_SUP[[#This Row],[PensionCode]],PENS[SchoolCodes],""))))),1,0))</f>
        <v>0</v>
      </c>
      <c r="O227" s="57" cm="1">
        <f t="array" ref="O227">IF(_xlfn.XLOOKUP(CONT_SUP[[#This Row],[EquatedWeekPatternCode]],EQW[EquatedWeekPatternCode],EQW[AvailableToAllSchools],1,0,)=TRUE,0,IF(ISERROR(FIND(CONT_SUP[[#This Row],[SchoolCode]],_xlfn.TEXTJOIN(",",TRUE,_xlfn.UNIQUE(IF(EQW[EquatedWeekPatternCode]=CONT_SUP[[#This Row],[EquatedWeekPatternCode]],EQW[SchoolCodes],""))))),1,0))</f>
        <v>0</v>
      </c>
      <c r="P227" s="57">
        <f>1-COUNTIF(ContractTypes[Code],CONT_SUP[[#This Row],[ContractTypeCode]])</f>
        <v>0</v>
      </c>
      <c r="Q227" s="57">
        <f>IF(VLOOKUP(CONT_SUP[[#This Row],[StaffMemberCode]],MEMBERS[[StaffMemberCode]:[ServiceStartDate]],5,0)&gt;CONT_SUP[[#This Row],[DateFrom]],1,0)</f>
        <v>0</v>
      </c>
      <c r="R227" s="57">
        <f>IF(_xlfn.XLOOKUP(CONT_SUP[[#This Row],[StaffMemberCode]],MEMBERS[StaffMemberCode],MEMBERS[ServiceEndDate])="",0,IF(CONT_SUP[[#This Row],[DateTo]]="",1,IF(_xlfn.XLOOKUP(CONT_SUP[[#This Row],[StaffMemberCode]],MEMBERS[StaffMemberCode],MEMBERS[ServiceEndDate])&lt;CONT_SUP[[#This Row],[DateTo]],1,0)))</f>
        <v>0</v>
      </c>
      <c r="S227" s="57">
        <f>IF(ISBLANK(CONT_SUP[[#This Row],[DateTo]]),0,IF(CONT_SUP[[#This Row],[DateFrom]]=CONT_SUP[[#This Row],[DateTo]],0,IF(CONT_SUP[[#This Row],[DateFrom]]&lt;CONT_SUP[[#This Row],[DateTo]],0,1)))</f>
        <v>0</v>
      </c>
      <c r="T227" s="57" cm="1">
        <f t="array" aca="1" ref="T227" ca="1">IF(CELL("format",CONT_SUP[[#This Row],[DateFrom]])="D1",0,1)+IF(CELL("format",CONT_SUP[[#This Row],[DateTo]])="D1",0,1)</f>
        <v>0</v>
      </c>
      <c r="U227" s="57">
        <f>IF(OR(CONT_SUP[[#This Row],[MatEditOnly]]=TRUE,CONT_SUP[[#This Row],[MatEditOnly]]=FALSE),IF(OR(CONT_SUP[[#This Row],[NoIncrement]]=TRUE,CONT_SUP[[#This Row],[NoIncrement]]=FALSE),0,1),1)</f>
        <v>0</v>
      </c>
      <c r="V227" s="57">
        <f>IF(ISBLANK(CONT_SUP[[#This Row],[FundCode]])=TRUE,0,IF(COUNTIF(FUNDS[FundCode],CONT_SUP[[#This Row],[FundCode]])=1,0,1))</f>
        <v>0</v>
      </c>
      <c r="W227" s="57">
        <f>IF(LEN(CONT_SUP[[#This Row],[Notes]])&lt;4000,0,1)</f>
        <v>0</v>
      </c>
      <c r="X227" s="57">
        <f>IF(SUBSTITUTE(TEXT(CONT_SUP[[#This Row],[Reference]],10)," ","")=TEXT(CONT_SUP[[#This Row],[Reference]],10),0,1)</f>
        <v>0</v>
      </c>
      <c r="Y227" s="57">
        <f ca="1">SUM(CONT_SUP[[#This Row],[Duplicate Contract]:[Space in Code]])</f>
        <v>1</v>
      </c>
      <c r="AA227" s="12" t="s">
        <v>2200</v>
      </c>
      <c r="AB227" s="12">
        <v>91075768</v>
      </c>
      <c r="AC227" s="12" t="s">
        <v>4823</v>
      </c>
      <c r="AD227" s="57" t="str">
        <f>_xlfn.XLOOKUP(CONT_SUP[[#This Row],[StaffMemberCode]],StaffMembers!O:O,StaffMembers!R:R)</f>
        <v>Karen Kenny</v>
      </c>
      <c r="AE227" s="12" t="s">
        <v>1180</v>
      </c>
      <c r="AF227" s="57">
        <f>_xlfn.XLOOKUP(CONT_SUP[[#This Row],[SRG]],SRG[StaffRoleGroupCode],SRG[GrossSalaryFinanceCode])</f>
        <v>615100</v>
      </c>
      <c r="AG227" s="57" t="str">
        <f>_xlfn.XLOOKUP(CONT_SUP[[#This Row],[StaffRoleCode]],ROLES[StaffRoleCode],ROLES[StaffRoleGroupCode])</f>
        <v>TA</v>
      </c>
      <c r="AH227" s="57" t="str">
        <f>_xlfn.XLOOKUP(CONT_SUP[[#This Row],[StaffRoleCode]],ROLES[StaffRoleCode],ROLES[PayScaleCode])</f>
        <v>NJC_CHE</v>
      </c>
      <c r="AI227" s="12" t="s">
        <v>3123</v>
      </c>
      <c r="AJ227" s="12">
        <v>9</v>
      </c>
      <c r="AK227" s="12" t="s">
        <v>2497</v>
      </c>
      <c r="AM227" s="68" t="s">
        <v>3132</v>
      </c>
      <c r="AN227" s="12" t="s">
        <v>3135</v>
      </c>
      <c r="AO227" s="21">
        <v>45901</v>
      </c>
      <c r="AQ227" s="12">
        <v>18.25</v>
      </c>
      <c r="AR227" t="b">
        <v>0</v>
      </c>
      <c r="AS227" t="b">
        <v>0</v>
      </c>
      <c r="AT227" s="12" t="s">
        <v>1574</v>
      </c>
    </row>
    <row r="228" spans="1:46" x14ac:dyDescent="0.3">
      <c r="A228" s="57" t="str">
        <f t="shared" si="7"/>
        <v>SBL9107574891075748ATASTA45901</v>
      </c>
      <c r="B228" s="57">
        <f>COUNTIF(CONT_SUP[Unique Contract],CONT_SUP[[#This Row],[Unique Contract]])-1</f>
        <v>0</v>
      </c>
      <c r="C228" s="57">
        <f>IFERROR(IF(FIND(CONT_SUP[[#This Row],[SchoolCode]],_xlfn.XLOOKUP(CONT_SUP[[#This Row],[StaffMemberCode]],MEMBERS[StaffMemberCode],MEMBERS[SchoolCodes]))&gt;0,0,1),1)</f>
        <v>0</v>
      </c>
      <c r="D228" s="57" cm="1">
        <f t="array" ref="D228">IF(_xlfn.XLOOKUP(CONT_SUP[[#This Row],[StaffRoleCode]],ROLES[StaffRoleCode],ROLES[AvailableToAllSchools],1,0,)=TRUE,0,IF(ISERROR(FIND(CONT_SUP[[#This Row],[SchoolCode]],_xlfn.TEXTJOIN(",",TRUE,_xlfn.UNIQUE(IF(ROLES[StaffRoleCode]=CONT_SUP[[#This Row],[StaffRoleCode]],ROLES[SchoolCodes],""))))),1,0))</f>
        <v>0</v>
      </c>
      <c r="E228" s="57" cm="1">
        <f t="array" ref="E22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28" s="57" cm="1">
        <f t="array" ref="F228">IF(_xlfn.XLOOKUP(CONT_SUP[[#This Row],[PayScaleCode]],PAYSCALES[PayScaleCode],PAYSCALES[AvailableToAllSchools],1,0,)=TRUE,0,IF(ISERROR(FIND(CONT_SUP[[#This Row],[SchoolCode]],_xlfn.TEXTJOIN(",",TRUE,_xlfn.UNIQUE(IF(PAYSCALES[PayScaleCode]=CONT_SUP[[#This Row],[PayScaleCode]],PAYSCALES[SchoolCodes],""))))),1,0))</f>
        <v>0</v>
      </c>
      <c r="G228" s="57">
        <f>IF(_xlfn.XLOOKUP(CONT_SUP[[#This Row],[PayScaleGradeCode]],GRADES[PayScaleGradeCode],GRADES[AvailableToAllSchools])=TRUE,0,IFERROR(IF(FIND(CONT_SUP[[#This Row],[SchoolCode]],_xlfn.XLOOKUP(CONT_SUP[[#This Row],[PayScaleGradeCode]],GRADES[PayScaleGradeCode],GRADES[SchoolCodes]))&gt;=1,0,1),1))</f>
        <v>0</v>
      </c>
      <c r="H228" s="57">
        <f>IF(ISERROR(IF((_xlfn.XLOOKUP(CONT_SUP[[#This Row],[PayScaleGradeCode]],GRADES[PayScaleGradeCode],GRADES[PayScaleCode])=CONT_SUP[[#This Row],[PayScaleCode]]),0,1)),1,0)</f>
        <v>0</v>
      </c>
      <c r="I228" s="57" cm="1">
        <f t="array" ref="I228">IF(ISERROR(FIND(CONT_SUP[[#This Row],[PayScalePointCode]],_xlfn.TEXTJOIN(",",TRUE,IF(PSPOINTS[PayScaleCode]=CONT_SUP[[#This Row],[PayScaleCode]],PSPOINTS[PayScalePointCode])))),1,0)</f>
        <v>0</v>
      </c>
      <c r="J228" s="57" cm="1">
        <f t="array" ref="J22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28" s="57">
        <f>IF(_xlfn.XLOOKUP(CONT_SUP[[#This Row],[PayScalePointCode]],PSPOINTS[PayScalePointCode],PSPOINTS[PayScalePointEnabled])=TRUE,0,1)</f>
        <v>0</v>
      </c>
      <c r="L228" s="57" cm="1">
        <f t="array" ref="L228">IF(_xlfn.XLOOKUP(CONT_SUP[[#This Row],[DepartmentCode]],DEPTS[DepartmentCode],DEPTS[AvailableToAllSchools],1,0,)=TRUE,0,IF(ISERROR(FIND(CONT_SUP[[#This Row],[SchoolCode]],_xlfn.TEXTJOIN(",",TRUE,_xlfn.UNIQUE(IF(DEPTS[DepartmentCode]=CONT_SUP[[#This Row],[DepartmentCode]],DEPTS[SchoolCodes],""))))),1,0))</f>
        <v>0</v>
      </c>
      <c r="M228" s="57">
        <f>IFERROR(IF(_xlfn.XLOOKUP(CONT_SUP[[#This Row],[SRG Gross]],FinanceCodesBudget[FinanceCode],FinanceCodesBudget[LedgerCode])=_xlfn.XLOOKUP(CONT_SUP[[#This Row],[DepartmentCode]],DEPTS[DepartmentCode],DEPTS[LedgerCode]),0,1),1)</f>
        <v>1</v>
      </c>
      <c r="N228" s="57" cm="1">
        <f t="array" ref="N228">IF(_xlfn.XLOOKUP(CONT_SUP[[#This Row],[PensionCode]],PENS[PensionCode],PENS[AvailableToAllSchools],1,0,)=TRUE,0,IF(ISERROR(FIND(CONT_SUP[[#This Row],[SchoolCode]],_xlfn.TEXTJOIN(",",TRUE,_xlfn.UNIQUE(IF(PENS[PensionCode]=CONT_SUP[[#This Row],[PensionCode]],PENS[SchoolCodes],""))))),1,0))</f>
        <v>0</v>
      </c>
      <c r="O228" s="57" cm="1">
        <f t="array" ref="O228">IF(_xlfn.XLOOKUP(CONT_SUP[[#This Row],[EquatedWeekPatternCode]],EQW[EquatedWeekPatternCode],EQW[AvailableToAllSchools],1,0,)=TRUE,0,IF(ISERROR(FIND(CONT_SUP[[#This Row],[SchoolCode]],_xlfn.TEXTJOIN(",",TRUE,_xlfn.UNIQUE(IF(EQW[EquatedWeekPatternCode]=CONT_SUP[[#This Row],[EquatedWeekPatternCode]],EQW[SchoolCodes],""))))),1,0))</f>
        <v>0</v>
      </c>
      <c r="P228" s="57">
        <f>1-COUNTIF(ContractTypes[Code],CONT_SUP[[#This Row],[ContractTypeCode]])</f>
        <v>0</v>
      </c>
      <c r="Q228" s="57">
        <f>IF(VLOOKUP(CONT_SUP[[#This Row],[StaffMemberCode]],MEMBERS[[StaffMemberCode]:[ServiceStartDate]],5,0)&gt;CONT_SUP[[#This Row],[DateFrom]],1,0)</f>
        <v>0</v>
      </c>
      <c r="R228" s="57">
        <f>IF(_xlfn.XLOOKUP(CONT_SUP[[#This Row],[StaffMemberCode]],MEMBERS[StaffMemberCode],MEMBERS[ServiceEndDate])="",0,IF(CONT_SUP[[#This Row],[DateTo]]="",1,IF(_xlfn.XLOOKUP(CONT_SUP[[#This Row],[StaffMemberCode]],MEMBERS[StaffMemberCode],MEMBERS[ServiceEndDate])&lt;CONT_SUP[[#This Row],[DateTo]],1,0)))</f>
        <v>0</v>
      </c>
      <c r="S228" s="57">
        <f>IF(ISBLANK(CONT_SUP[[#This Row],[DateTo]]),0,IF(CONT_SUP[[#This Row],[DateFrom]]=CONT_SUP[[#This Row],[DateTo]],0,IF(CONT_SUP[[#This Row],[DateFrom]]&lt;CONT_SUP[[#This Row],[DateTo]],0,1)))</f>
        <v>0</v>
      </c>
      <c r="T228" s="57" cm="1">
        <f t="array" aca="1" ref="T228" ca="1">IF(CELL("format",CONT_SUP[[#This Row],[DateFrom]])="D1",0,1)+IF(CELL("format",CONT_SUP[[#This Row],[DateTo]])="D1",0,1)</f>
        <v>0</v>
      </c>
      <c r="U228" s="57">
        <f>IF(OR(CONT_SUP[[#This Row],[MatEditOnly]]=TRUE,CONT_SUP[[#This Row],[MatEditOnly]]=FALSE),IF(OR(CONT_SUP[[#This Row],[NoIncrement]]=TRUE,CONT_SUP[[#This Row],[NoIncrement]]=FALSE),0,1),1)</f>
        <v>0</v>
      </c>
      <c r="V228" s="57">
        <f>IF(ISBLANK(CONT_SUP[[#This Row],[FundCode]])=TRUE,0,IF(COUNTIF(FUNDS[FundCode],CONT_SUP[[#This Row],[FundCode]])=1,0,1))</f>
        <v>0</v>
      </c>
      <c r="W228" s="57">
        <f>IF(LEN(CONT_SUP[[#This Row],[Notes]])&lt;4000,0,1)</f>
        <v>0</v>
      </c>
      <c r="X228" s="57">
        <f>IF(SUBSTITUTE(TEXT(CONT_SUP[[#This Row],[Reference]],10)," ","")=TEXT(CONT_SUP[[#This Row],[Reference]],10),0,1)</f>
        <v>0</v>
      </c>
      <c r="Y228" s="57">
        <f ca="1">SUM(CONT_SUP[[#This Row],[Duplicate Contract]:[Space in Code]])</f>
        <v>1</v>
      </c>
      <c r="AA228" s="12" t="s">
        <v>2200</v>
      </c>
      <c r="AB228" s="12">
        <v>91075748</v>
      </c>
      <c r="AC228" s="12" t="s">
        <v>4824</v>
      </c>
      <c r="AD228" s="57" t="str">
        <f>_xlfn.XLOOKUP(CONT_SUP[[#This Row],[StaffMemberCode]],StaffMembers!O:O,StaffMembers!R:R)</f>
        <v>Karen Morgan-Wynne</v>
      </c>
      <c r="AE228" s="12" t="s">
        <v>1180</v>
      </c>
      <c r="AF228" s="57">
        <f>_xlfn.XLOOKUP(CONT_SUP[[#This Row],[SRG]],SRG[StaffRoleGroupCode],SRG[GrossSalaryFinanceCode])</f>
        <v>615100</v>
      </c>
      <c r="AG228" s="57" t="str">
        <f>_xlfn.XLOOKUP(CONT_SUP[[#This Row],[StaffRoleCode]],ROLES[StaffRoleCode],ROLES[StaffRoleGroupCode])</f>
        <v>TA</v>
      </c>
      <c r="AH228" s="57" t="str">
        <f>_xlfn.XLOOKUP(CONT_SUP[[#This Row],[StaffRoleCode]],ROLES[StaffRoleCode],ROLES[PayScaleCode])</f>
        <v>NJC_CHE</v>
      </c>
      <c r="AI228" s="12" t="s">
        <v>3123</v>
      </c>
      <c r="AJ228" s="12">
        <v>11</v>
      </c>
      <c r="AK228" s="12" t="s">
        <v>2497</v>
      </c>
      <c r="AM228" s="68" t="s">
        <v>3132</v>
      </c>
      <c r="AN228" s="12" t="s">
        <v>3134</v>
      </c>
      <c r="AO228" s="21">
        <v>45901</v>
      </c>
      <c r="AQ228" s="12">
        <v>22.25</v>
      </c>
      <c r="AR228" t="b">
        <v>0</v>
      </c>
      <c r="AS228" t="b">
        <v>0</v>
      </c>
      <c r="AT228" s="12" t="s">
        <v>1574</v>
      </c>
    </row>
    <row r="229" spans="1:46" x14ac:dyDescent="0.3">
      <c r="A229" s="57" t="str">
        <f t="shared" si="7"/>
        <v>WVP9107339891073398ATASTA45901</v>
      </c>
      <c r="B229" s="57">
        <f>COUNTIF(CONT_SUP[Unique Contract],CONT_SUP[[#This Row],[Unique Contract]])-1</f>
        <v>0</v>
      </c>
      <c r="C229" s="57">
        <f>IFERROR(IF(FIND(CONT_SUP[[#This Row],[SchoolCode]],_xlfn.XLOOKUP(CONT_SUP[[#This Row],[StaffMemberCode]],MEMBERS[StaffMemberCode],MEMBERS[SchoolCodes]))&gt;0,0,1),1)</f>
        <v>0</v>
      </c>
      <c r="D229" s="57" cm="1">
        <f t="array" ref="D229">IF(_xlfn.XLOOKUP(CONT_SUP[[#This Row],[StaffRoleCode]],ROLES[StaffRoleCode],ROLES[AvailableToAllSchools],1,0,)=TRUE,0,IF(ISERROR(FIND(CONT_SUP[[#This Row],[SchoolCode]],_xlfn.TEXTJOIN(",",TRUE,_xlfn.UNIQUE(IF(ROLES[StaffRoleCode]=CONT_SUP[[#This Row],[StaffRoleCode]],ROLES[SchoolCodes],""))))),1,0))</f>
        <v>0</v>
      </c>
      <c r="E229" s="57" cm="1">
        <f t="array" ref="E22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29" s="57" cm="1">
        <f t="array" ref="F229">IF(_xlfn.XLOOKUP(CONT_SUP[[#This Row],[PayScaleCode]],PAYSCALES[PayScaleCode],PAYSCALES[AvailableToAllSchools],1,0,)=TRUE,0,IF(ISERROR(FIND(CONT_SUP[[#This Row],[SchoolCode]],_xlfn.TEXTJOIN(",",TRUE,_xlfn.UNIQUE(IF(PAYSCALES[PayScaleCode]=CONT_SUP[[#This Row],[PayScaleCode]],PAYSCALES[SchoolCodes],""))))),1,0))</f>
        <v>0</v>
      </c>
      <c r="G229" s="57">
        <f>IF(_xlfn.XLOOKUP(CONT_SUP[[#This Row],[PayScaleGradeCode]],GRADES[PayScaleGradeCode],GRADES[AvailableToAllSchools])=TRUE,0,IFERROR(IF(FIND(CONT_SUP[[#This Row],[SchoolCode]],_xlfn.XLOOKUP(CONT_SUP[[#This Row],[PayScaleGradeCode]],GRADES[PayScaleGradeCode],GRADES[SchoolCodes]))&gt;=1,0,1),1))</f>
        <v>0</v>
      </c>
      <c r="H229" s="57">
        <f>IF(ISERROR(IF((_xlfn.XLOOKUP(CONT_SUP[[#This Row],[PayScaleGradeCode]],GRADES[PayScaleGradeCode],GRADES[PayScaleCode])=CONT_SUP[[#This Row],[PayScaleCode]]),0,1)),1,0)</f>
        <v>0</v>
      </c>
      <c r="I229" s="57" cm="1">
        <f t="array" ref="I229">IF(ISERROR(FIND(CONT_SUP[[#This Row],[PayScalePointCode]],_xlfn.TEXTJOIN(",",TRUE,IF(PSPOINTS[PayScaleCode]=CONT_SUP[[#This Row],[PayScaleCode]],PSPOINTS[PayScalePointCode])))),1,0)</f>
        <v>0</v>
      </c>
      <c r="J229" s="57" cm="1">
        <f t="array" ref="J22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29" s="57">
        <f>IF(_xlfn.XLOOKUP(CONT_SUP[[#This Row],[PayScalePointCode]],PSPOINTS[PayScalePointCode],PSPOINTS[PayScalePointEnabled])=TRUE,0,1)</f>
        <v>0</v>
      </c>
      <c r="L229" s="57" cm="1">
        <f t="array" ref="L229">IF(_xlfn.XLOOKUP(CONT_SUP[[#This Row],[DepartmentCode]],DEPTS[DepartmentCode],DEPTS[AvailableToAllSchools],1,0,)=TRUE,0,IF(ISERROR(FIND(CONT_SUP[[#This Row],[SchoolCode]],_xlfn.TEXTJOIN(",",TRUE,_xlfn.UNIQUE(IF(DEPTS[DepartmentCode]=CONT_SUP[[#This Row],[DepartmentCode]],DEPTS[SchoolCodes],""))))),1,0))</f>
        <v>0</v>
      </c>
      <c r="M229" s="57">
        <f>IFERROR(IF(_xlfn.XLOOKUP(CONT_SUP[[#This Row],[SRG Gross]],FinanceCodesBudget[FinanceCode],FinanceCodesBudget[LedgerCode])=_xlfn.XLOOKUP(CONT_SUP[[#This Row],[DepartmentCode]],DEPTS[DepartmentCode],DEPTS[LedgerCode]),0,1),1)</f>
        <v>1</v>
      </c>
      <c r="N229" s="57" cm="1">
        <f t="array" ref="N229">IF(_xlfn.XLOOKUP(CONT_SUP[[#This Row],[PensionCode]],PENS[PensionCode],PENS[AvailableToAllSchools],1,0,)=TRUE,0,IF(ISERROR(FIND(CONT_SUP[[#This Row],[SchoolCode]],_xlfn.TEXTJOIN(",",TRUE,_xlfn.UNIQUE(IF(PENS[PensionCode]=CONT_SUP[[#This Row],[PensionCode]],PENS[SchoolCodes],""))))),1,0))</f>
        <v>0</v>
      </c>
      <c r="O229" s="57" cm="1">
        <f t="array" ref="O229">IF(_xlfn.XLOOKUP(CONT_SUP[[#This Row],[EquatedWeekPatternCode]],EQW[EquatedWeekPatternCode],EQW[AvailableToAllSchools],1,0,)=TRUE,0,IF(ISERROR(FIND(CONT_SUP[[#This Row],[SchoolCode]],_xlfn.TEXTJOIN(",",TRUE,_xlfn.UNIQUE(IF(EQW[EquatedWeekPatternCode]=CONT_SUP[[#This Row],[EquatedWeekPatternCode]],EQW[SchoolCodes],""))))),1,0))</f>
        <v>0</v>
      </c>
      <c r="P229" s="57">
        <f>1-COUNTIF(ContractTypes[Code],CONT_SUP[[#This Row],[ContractTypeCode]])</f>
        <v>0</v>
      </c>
      <c r="Q229" s="57">
        <f>IF(VLOOKUP(CONT_SUP[[#This Row],[StaffMemberCode]],MEMBERS[[StaffMemberCode]:[ServiceStartDate]],5,0)&gt;CONT_SUP[[#This Row],[DateFrom]],1,0)</f>
        <v>0</v>
      </c>
      <c r="R229" s="57">
        <f>IF(_xlfn.XLOOKUP(CONT_SUP[[#This Row],[StaffMemberCode]],MEMBERS[StaffMemberCode],MEMBERS[ServiceEndDate])="",0,IF(CONT_SUP[[#This Row],[DateTo]]="",1,IF(_xlfn.XLOOKUP(CONT_SUP[[#This Row],[StaffMemberCode]],MEMBERS[StaffMemberCode],MEMBERS[ServiceEndDate])&lt;CONT_SUP[[#This Row],[DateTo]],1,0)))</f>
        <v>0</v>
      </c>
      <c r="S229" s="57">
        <f>IF(ISBLANK(CONT_SUP[[#This Row],[DateTo]]),0,IF(CONT_SUP[[#This Row],[DateFrom]]=CONT_SUP[[#This Row],[DateTo]],0,IF(CONT_SUP[[#This Row],[DateFrom]]&lt;CONT_SUP[[#This Row],[DateTo]],0,1)))</f>
        <v>0</v>
      </c>
      <c r="T229" s="57" cm="1">
        <f t="array" aca="1" ref="T229" ca="1">IF(CELL("format",CONT_SUP[[#This Row],[DateFrom]])="D1",0,1)+IF(CELL("format",CONT_SUP[[#This Row],[DateTo]])="D1",0,1)</f>
        <v>0</v>
      </c>
      <c r="U229" s="57">
        <f>IF(OR(CONT_SUP[[#This Row],[MatEditOnly]]=TRUE,CONT_SUP[[#This Row],[MatEditOnly]]=FALSE),IF(OR(CONT_SUP[[#This Row],[NoIncrement]]=TRUE,CONT_SUP[[#This Row],[NoIncrement]]=FALSE),0,1),1)</f>
        <v>0</v>
      </c>
      <c r="V229" s="57">
        <f>IF(ISBLANK(CONT_SUP[[#This Row],[FundCode]])=TRUE,0,IF(COUNTIF(FUNDS[FundCode],CONT_SUP[[#This Row],[FundCode]])=1,0,1))</f>
        <v>0</v>
      </c>
      <c r="W229" s="57">
        <f>IF(LEN(CONT_SUP[[#This Row],[Notes]])&lt;4000,0,1)</f>
        <v>0</v>
      </c>
      <c r="X229" s="57">
        <f>IF(SUBSTITUTE(TEXT(CONT_SUP[[#This Row],[Reference]],10)," ","")=TEXT(CONT_SUP[[#This Row],[Reference]],10),0,1)</f>
        <v>0</v>
      </c>
      <c r="Y229" s="57">
        <f ca="1">SUM(CONT_SUP[[#This Row],[Duplicate Contract]:[Space in Code]])</f>
        <v>1</v>
      </c>
      <c r="AA229" s="12" t="s">
        <v>2275</v>
      </c>
      <c r="AB229" s="12">
        <v>91073398</v>
      </c>
      <c r="AC229" s="12" t="s">
        <v>4825</v>
      </c>
      <c r="AD229" s="57" t="str">
        <f>_xlfn.XLOOKUP(CONT_SUP[[#This Row],[StaffMemberCode]],StaffMembers!O:O,StaffMembers!R:R)</f>
        <v>Kathryn Inskip</v>
      </c>
      <c r="AE229" s="12" t="s">
        <v>1180</v>
      </c>
      <c r="AF229" s="57">
        <f>_xlfn.XLOOKUP(CONT_SUP[[#This Row],[SRG]],SRG[StaffRoleGroupCode],SRG[GrossSalaryFinanceCode])</f>
        <v>615100</v>
      </c>
      <c r="AG229" s="57" t="str">
        <f>_xlfn.XLOOKUP(CONT_SUP[[#This Row],[StaffRoleCode]],ROLES[StaffRoleCode],ROLES[StaffRoleGroupCode])</f>
        <v>TA</v>
      </c>
      <c r="AH229" s="57" t="str">
        <f>_xlfn.XLOOKUP(CONT_SUP[[#This Row],[StaffRoleCode]],ROLES[StaffRoleCode],ROLES[PayScaleCode])</f>
        <v>NJC_CHE</v>
      </c>
      <c r="AI229" s="12" t="s">
        <v>3123</v>
      </c>
      <c r="AJ229" s="12">
        <v>11</v>
      </c>
      <c r="AK229" s="12" t="s">
        <v>2497</v>
      </c>
      <c r="AM229" s="68" t="s">
        <v>3132</v>
      </c>
      <c r="AN229" s="12" t="s">
        <v>3134</v>
      </c>
      <c r="AO229" s="21">
        <v>45901</v>
      </c>
      <c r="AQ229" s="12">
        <v>30</v>
      </c>
      <c r="AR229" t="b">
        <v>0</v>
      </c>
      <c r="AS229" t="b">
        <v>0</v>
      </c>
      <c r="AT229" s="12" t="s">
        <v>1574</v>
      </c>
    </row>
    <row r="230" spans="1:46" x14ac:dyDescent="0.3">
      <c r="A230" s="57" t="str">
        <f t="shared" si="7"/>
        <v>BLS9132440491324404ATASTA45901</v>
      </c>
      <c r="B230" s="57">
        <f>COUNTIF(CONT_SUP[Unique Contract],CONT_SUP[[#This Row],[Unique Contract]])-1</f>
        <v>0</v>
      </c>
      <c r="C230" s="57">
        <f>IFERROR(IF(FIND(CONT_SUP[[#This Row],[SchoolCode]],_xlfn.XLOOKUP(CONT_SUP[[#This Row],[StaffMemberCode]],MEMBERS[StaffMemberCode],MEMBERS[SchoolCodes]))&gt;0,0,1),1)</f>
        <v>0</v>
      </c>
      <c r="D230" s="57" cm="1">
        <f t="array" ref="D230">IF(_xlfn.XLOOKUP(CONT_SUP[[#This Row],[StaffRoleCode]],ROLES[StaffRoleCode],ROLES[AvailableToAllSchools],1,0,)=TRUE,0,IF(ISERROR(FIND(CONT_SUP[[#This Row],[SchoolCode]],_xlfn.TEXTJOIN(",",TRUE,_xlfn.UNIQUE(IF(ROLES[StaffRoleCode]=CONT_SUP[[#This Row],[StaffRoleCode]],ROLES[SchoolCodes],""))))),1,0))</f>
        <v>0</v>
      </c>
      <c r="E230" s="57" cm="1">
        <f t="array" ref="E23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30" s="57" cm="1">
        <f t="array" ref="F230">IF(_xlfn.XLOOKUP(CONT_SUP[[#This Row],[PayScaleCode]],PAYSCALES[PayScaleCode],PAYSCALES[AvailableToAllSchools],1,0,)=TRUE,0,IF(ISERROR(FIND(CONT_SUP[[#This Row],[SchoolCode]],_xlfn.TEXTJOIN(",",TRUE,_xlfn.UNIQUE(IF(PAYSCALES[PayScaleCode]=CONT_SUP[[#This Row],[PayScaleCode]],PAYSCALES[SchoolCodes],""))))),1,0))</f>
        <v>0</v>
      </c>
      <c r="G230" s="57">
        <f>IF(_xlfn.XLOOKUP(CONT_SUP[[#This Row],[PayScaleGradeCode]],GRADES[PayScaleGradeCode],GRADES[AvailableToAllSchools])=TRUE,0,IFERROR(IF(FIND(CONT_SUP[[#This Row],[SchoolCode]],_xlfn.XLOOKUP(CONT_SUP[[#This Row],[PayScaleGradeCode]],GRADES[PayScaleGradeCode],GRADES[SchoolCodes]))&gt;=1,0,1),1))</f>
        <v>0</v>
      </c>
      <c r="H230" s="57">
        <f>IF(ISERROR(IF((_xlfn.XLOOKUP(CONT_SUP[[#This Row],[PayScaleGradeCode]],GRADES[PayScaleGradeCode],GRADES[PayScaleCode])=CONT_SUP[[#This Row],[PayScaleCode]]),0,1)),1,0)</f>
        <v>0</v>
      </c>
      <c r="I230" s="57" cm="1">
        <f t="array" ref="I230">IF(ISERROR(FIND(CONT_SUP[[#This Row],[PayScalePointCode]],_xlfn.TEXTJOIN(",",TRUE,IF(PSPOINTS[PayScaleCode]=CONT_SUP[[#This Row],[PayScaleCode]],PSPOINTS[PayScalePointCode])))),1,0)</f>
        <v>0</v>
      </c>
      <c r="J230" s="57" cm="1">
        <f t="array" ref="J23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30" s="57">
        <f>IF(_xlfn.XLOOKUP(CONT_SUP[[#This Row],[PayScalePointCode]],PSPOINTS[PayScalePointCode],PSPOINTS[PayScalePointEnabled])=TRUE,0,1)</f>
        <v>0</v>
      </c>
      <c r="L230" s="57" cm="1">
        <f t="array" ref="L230">IF(_xlfn.XLOOKUP(CONT_SUP[[#This Row],[DepartmentCode]],DEPTS[DepartmentCode],DEPTS[AvailableToAllSchools],1,0,)=TRUE,0,IF(ISERROR(FIND(CONT_SUP[[#This Row],[SchoolCode]],_xlfn.TEXTJOIN(",",TRUE,_xlfn.UNIQUE(IF(DEPTS[DepartmentCode]=CONT_SUP[[#This Row],[DepartmentCode]],DEPTS[SchoolCodes],""))))),1,0))</f>
        <v>0</v>
      </c>
      <c r="M230" s="57">
        <f>IFERROR(IF(_xlfn.XLOOKUP(CONT_SUP[[#This Row],[SRG Gross]],FinanceCodesBudget[FinanceCode],FinanceCodesBudget[LedgerCode])=_xlfn.XLOOKUP(CONT_SUP[[#This Row],[DepartmentCode]],DEPTS[DepartmentCode],DEPTS[LedgerCode]),0,1),1)</f>
        <v>1</v>
      </c>
      <c r="N230" s="57" cm="1">
        <f t="array" ref="N230">IF(_xlfn.XLOOKUP(CONT_SUP[[#This Row],[PensionCode]],PENS[PensionCode],PENS[AvailableToAllSchools],1,0,)=TRUE,0,IF(ISERROR(FIND(CONT_SUP[[#This Row],[SchoolCode]],_xlfn.TEXTJOIN(",",TRUE,_xlfn.UNIQUE(IF(PENS[PensionCode]=CONT_SUP[[#This Row],[PensionCode]],PENS[SchoolCodes],""))))),1,0))</f>
        <v>0</v>
      </c>
      <c r="O230" s="57" cm="1">
        <f t="array" ref="O230">IF(_xlfn.XLOOKUP(CONT_SUP[[#This Row],[EquatedWeekPatternCode]],EQW[EquatedWeekPatternCode],EQW[AvailableToAllSchools],1,0,)=TRUE,0,IF(ISERROR(FIND(CONT_SUP[[#This Row],[SchoolCode]],_xlfn.TEXTJOIN(",",TRUE,_xlfn.UNIQUE(IF(EQW[EquatedWeekPatternCode]=CONT_SUP[[#This Row],[EquatedWeekPatternCode]],EQW[SchoolCodes],""))))),1,0))</f>
        <v>0</v>
      </c>
      <c r="P230" s="57">
        <f>1-COUNTIF(ContractTypes[Code],CONT_SUP[[#This Row],[ContractTypeCode]])</f>
        <v>0</v>
      </c>
      <c r="Q230" s="57">
        <f>IF(VLOOKUP(CONT_SUP[[#This Row],[StaffMemberCode]],MEMBERS[[StaffMemberCode]:[ServiceStartDate]],5,0)&gt;CONT_SUP[[#This Row],[DateFrom]],1,0)</f>
        <v>0</v>
      </c>
      <c r="R230" s="57">
        <f>IF(_xlfn.XLOOKUP(CONT_SUP[[#This Row],[StaffMemberCode]],MEMBERS[StaffMemberCode],MEMBERS[ServiceEndDate])="",0,IF(CONT_SUP[[#This Row],[DateTo]]="",1,IF(_xlfn.XLOOKUP(CONT_SUP[[#This Row],[StaffMemberCode]],MEMBERS[StaffMemberCode],MEMBERS[ServiceEndDate])&lt;CONT_SUP[[#This Row],[DateTo]],1,0)))</f>
        <v>0</v>
      </c>
      <c r="S230" s="57">
        <f>IF(ISBLANK(CONT_SUP[[#This Row],[DateTo]]),0,IF(CONT_SUP[[#This Row],[DateFrom]]=CONT_SUP[[#This Row],[DateTo]],0,IF(CONT_SUP[[#This Row],[DateFrom]]&lt;CONT_SUP[[#This Row],[DateTo]],0,1)))</f>
        <v>0</v>
      </c>
      <c r="T230" s="57" cm="1">
        <f t="array" aca="1" ref="T230" ca="1">IF(CELL("format",CONT_SUP[[#This Row],[DateFrom]])="D1",0,1)+IF(CELL("format",CONT_SUP[[#This Row],[DateTo]])="D1",0,1)</f>
        <v>0</v>
      </c>
      <c r="U230" s="57">
        <f>IF(OR(CONT_SUP[[#This Row],[MatEditOnly]]=TRUE,CONT_SUP[[#This Row],[MatEditOnly]]=FALSE),IF(OR(CONT_SUP[[#This Row],[NoIncrement]]=TRUE,CONT_SUP[[#This Row],[NoIncrement]]=FALSE),0,1),1)</f>
        <v>0</v>
      </c>
      <c r="V230" s="57">
        <f>IF(ISBLANK(CONT_SUP[[#This Row],[FundCode]])=TRUE,0,IF(COUNTIF(FUNDS[FundCode],CONT_SUP[[#This Row],[FundCode]])=1,0,1))</f>
        <v>0</v>
      </c>
      <c r="W230" s="57">
        <f>IF(LEN(CONT_SUP[[#This Row],[Notes]])&lt;4000,0,1)</f>
        <v>0</v>
      </c>
      <c r="X230" s="57">
        <f>IF(SUBSTITUTE(TEXT(CONT_SUP[[#This Row],[Reference]],10)," ","")=TEXT(CONT_SUP[[#This Row],[Reference]],10),0,1)</f>
        <v>0</v>
      </c>
      <c r="Y230" s="57">
        <f ca="1">SUM(CONT_SUP[[#This Row],[Duplicate Contract]:[Space in Code]])</f>
        <v>1</v>
      </c>
      <c r="AA230" s="12" t="s">
        <v>2094</v>
      </c>
      <c r="AB230" s="12">
        <v>91324404</v>
      </c>
      <c r="AC230" s="12" t="s">
        <v>4826</v>
      </c>
      <c r="AD230" s="57" t="str">
        <f>_xlfn.XLOOKUP(CONT_SUP[[#This Row],[StaffMemberCode]],StaffMembers!O:O,StaffMembers!R:R)</f>
        <v>Kayleigh Birchall</v>
      </c>
      <c r="AE230" s="12" t="s">
        <v>1180</v>
      </c>
      <c r="AF230" s="57">
        <f>_xlfn.XLOOKUP(CONT_SUP[[#This Row],[SRG]],SRG[StaffRoleGroupCode],SRG[GrossSalaryFinanceCode])</f>
        <v>615100</v>
      </c>
      <c r="AG230" s="57" t="str">
        <f>_xlfn.XLOOKUP(CONT_SUP[[#This Row],[StaffRoleCode]],ROLES[StaffRoleCode],ROLES[StaffRoleGroupCode])</f>
        <v>TA</v>
      </c>
      <c r="AH230" s="57" t="str">
        <f>_xlfn.XLOOKUP(CONT_SUP[[#This Row],[StaffRoleCode]],ROLES[StaffRoleCode],ROLES[PayScaleCode])</f>
        <v>NJC_CHE</v>
      </c>
      <c r="AI230" s="12" t="s">
        <v>3122</v>
      </c>
      <c r="AJ230" s="12">
        <v>6</v>
      </c>
      <c r="AK230" s="12" t="s">
        <v>2497</v>
      </c>
      <c r="AM230" s="68" t="s">
        <v>3132</v>
      </c>
      <c r="AN230" s="12" t="s">
        <v>3134</v>
      </c>
      <c r="AO230" s="21">
        <v>45901</v>
      </c>
      <c r="AQ230" s="12">
        <v>31.25</v>
      </c>
      <c r="AR230" t="b">
        <v>0</v>
      </c>
      <c r="AS230" t="b">
        <v>0</v>
      </c>
      <c r="AT230" s="12" t="s">
        <v>1574</v>
      </c>
    </row>
    <row r="231" spans="1:46" x14ac:dyDescent="0.3">
      <c r="A231" s="57" t="str">
        <f t="shared" si="7"/>
        <v>PTP9107394591073945ATASTA45901</v>
      </c>
      <c r="B231" s="57">
        <f>COUNTIF(CONT_SUP[Unique Contract],CONT_SUP[[#This Row],[Unique Contract]])-1</f>
        <v>0</v>
      </c>
      <c r="C231" s="57">
        <f>IFERROR(IF(FIND(CONT_SUP[[#This Row],[SchoolCode]],_xlfn.XLOOKUP(CONT_SUP[[#This Row],[StaffMemberCode]],MEMBERS[StaffMemberCode],MEMBERS[SchoolCodes]))&gt;0,0,1),1)</f>
        <v>0</v>
      </c>
      <c r="D231" s="57" cm="1">
        <f t="array" ref="D231">IF(_xlfn.XLOOKUP(CONT_SUP[[#This Row],[StaffRoleCode]],ROLES[StaffRoleCode],ROLES[AvailableToAllSchools],1,0,)=TRUE,0,IF(ISERROR(FIND(CONT_SUP[[#This Row],[SchoolCode]],_xlfn.TEXTJOIN(",",TRUE,_xlfn.UNIQUE(IF(ROLES[StaffRoleCode]=CONT_SUP[[#This Row],[StaffRoleCode]],ROLES[SchoolCodes],""))))),1,0))</f>
        <v>0</v>
      </c>
      <c r="E231" s="57" cm="1">
        <f t="array" ref="E23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31" s="57" cm="1">
        <f t="array" ref="F231">IF(_xlfn.XLOOKUP(CONT_SUP[[#This Row],[PayScaleCode]],PAYSCALES[PayScaleCode],PAYSCALES[AvailableToAllSchools],1,0,)=TRUE,0,IF(ISERROR(FIND(CONT_SUP[[#This Row],[SchoolCode]],_xlfn.TEXTJOIN(",",TRUE,_xlfn.UNIQUE(IF(PAYSCALES[PayScaleCode]=CONT_SUP[[#This Row],[PayScaleCode]],PAYSCALES[SchoolCodes],""))))),1,0))</f>
        <v>0</v>
      </c>
      <c r="G231" s="57">
        <f>IF(_xlfn.XLOOKUP(CONT_SUP[[#This Row],[PayScaleGradeCode]],GRADES[PayScaleGradeCode],GRADES[AvailableToAllSchools])=TRUE,0,IFERROR(IF(FIND(CONT_SUP[[#This Row],[SchoolCode]],_xlfn.XLOOKUP(CONT_SUP[[#This Row],[PayScaleGradeCode]],GRADES[PayScaleGradeCode],GRADES[SchoolCodes]))&gt;=1,0,1),1))</f>
        <v>0</v>
      </c>
      <c r="H231" s="57">
        <f>IF(ISERROR(IF((_xlfn.XLOOKUP(CONT_SUP[[#This Row],[PayScaleGradeCode]],GRADES[PayScaleGradeCode],GRADES[PayScaleCode])=CONT_SUP[[#This Row],[PayScaleCode]]),0,1)),1,0)</f>
        <v>0</v>
      </c>
      <c r="I231" s="57" cm="1">
        <f t="array" ref="I231">IF(ISERROR(FIND(CONT_SUP[[#This Row],[PayScalePointCode]],_xlfn.TEXTJOIN(",",TRUE,IF(PSPOINTS[PayScaleCode]=CONT_SUP[[#This Row],[PayScaleCode]],PSPOINTS[PayScalePointCode])))),1,0)</f>
        <v>0</v>
      </c>
      <c r="J231" s="57" cm="1">
        <f t="array" ref="J23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31" s="57">
        <f>IF(_xlfn.XLOOKUP(CONT_SUP[[#This Row],[PayScalePointCode]],PSPOINTS[PayScalePointCode],PSPOINTS[PayScalePointEnabled])=TRUE,0,1)</f>
        <v>0</v>
      </c>
      <c r="L231" s="57" cm="1">
        <f t="array" ref="L231">IF(_xlfn.XLOOKUP(CONT_SUP[[#This Row],[DepartmentCode]],DEPTS[DepartmentCode],DEPTS[AvailableToAllSchools],1,0,)=TRUE,0,IF(ISERROR(FIND(CONT_SUP[[#This Row],[SchoolCode]],_xlfn.TEXTJOIN(",",TRUE,_xlfn.UNIQUE(IF(DEPTS[DepartmentCode]=CONT_SUP[[#This Row],[DepartmentCode]],DEPTS[SchoolCodes],""))))),1,0))</f>
        <v>0</v>
      </c>
      <c r="M231" s="57">
        <f>IFERROR(IF(_xlfn.XLOOKUP(CONT_SUP[[#This Row],[SRG Gross]],FinanceCodesBudget[FinanceCode],FinanceCodesBudget[LedgerCode])=_xlfn.XLOOKUP(CONT_SUP[[#This Row],[DepartmentCode]],DEPTS[DepartmentCode],DEPTS[LedgerCode]),0,1),1)</f>
        <v>1</v>
      </c>
      <c r="N231" s="57" cm="1">
        <f t="array" ref="N231">IF(_xlfn.XLOOKUP(CONT_SUP[[#This Row],[PensionCode]],PENS[PensionCode],PENS[AvailableToAllSchools],1,0,)=TRUE,0,IF(ISERROR(FIND(CONT_SUP[[#This Row],[SchoolCode]],_xlfn.TEXTJOIN(",",TRUE,_xlfn.UNIQUE(IF(PENS[PensionCode]=CONT_SUP[[#This Row],[PensionCode]],PENS[SchoolCodes],""))))),1,0))</f>
        <v>0</v>
      </c>
      <c r="O231" s="57" cm="1">
        <f t="array" ref="O231">IF(_xlfn.XLOOKUP(CONT_SUP[[#This Row],[EquatedWeekPatternCode]],EQW[EquatedWeekPatternCode],EQW[AvailableToAllSchools],1,0,)=TRUE,0,IF(ISERROR(FIND(CONT_SUP[[#This Row],[SchoolCode]],_xlfn.TEXTJOIN(",",TRUE,_xlfn.UNIQUE(IF(EQW[EquatedWeekPatternCode]=CONT_SUP[[#This Row],[EquatedWeekPatternCode]],EQW[SchoolCodes],""))))),1,0))</f>
        <v>0</v>
      </c>
      <c r="P231" s="57">
        <f>1-COUNTIF(ContractTypes[Code],CONT_SUP[[#This Row],[ContractTypeCode]])</f>
        <v>0</v>
      </c>
      <c r="Q231" s="57">
        <f>IF(VLOOKUP(CONT_SUP[[#This Row],[StaffMemberCode]],MEMBERS[[StaffMemberCode]:[ServiceStartDate]],5,0)&gt;CONT_SUP[[#This Row],[DateFrom]],1,0)</f>
        <v>0</v>
      </c>
      <c r="R231" s="57">
        <f>IF(_xlfn.XLOOKUP(CONT_SUP[[#This Row],[StaffMemberCode]],MEMBERS[StaffMemberCode],MEMBERS[ServiceEndDate])="",0,IF(CONT_SUP[[#This Row],[DateTo]]="",1,IF(_xlfn.XLOOKUP(CONT_SUP[[#This Row],[StaffMemberCode]],MEMBERS[StaffMemberCode],MEMBERS[ServiceEndDate])&lt;CONT_SUP[[#This Row],[DateTo]],1,0)))</f>
        <v>0</v>
      </c>
      <c r="S231" s="57">
        <f>IF(ISBLANK(CONT_SUP[[#This Row],[DateTo]]),0,IF(CONT_SUP[[#This Row],[DateFrom]]=CONT_SUP[[#This Row],[DateTo]],0,IF(CONT_SUP[[#This Row],[DateFrom]]&lt;CONT_SUP[[#This Row],[DateTo]],0,1)))</f>
        <v>0</v>
      </c>
      <c r="T231" s="57" cm="1">
        <f t="array" aca="1" ref="T231" ca="1">IF(CELL("format",CONT_SUP[[#This Row],[DateFrom]])="D1",0,1)+IF(CELL("format",CONT_SUP[[#This Row],[DateTo]])="D1",0,1)</f>
        <v>0</v>
      </c>
      <c r="U231" s="57">
        <f>IF(OR(CONT_SUP[[#This Row],[MatEditOnly]]=TRUE,CONT_SUP[[#This Row],[MatEditOnly]]=FALSE),IF(OR(CONT_SUP[[#This Row],[NoIncrement]]=TRUE,CONT_SUP[[#This Row],[NoIncrement]]=FALSE),0,1),1)</f>
        <v>0</v>
      </c>
      <c r="V231" s="57">
        <f>IF(ISBLANK(CONT_SUP[[#This Row],[FundCode]])=TRUE,0,IF(COUNTIF(FUNDS[FundCode],CONT_SUP[[#This Row],[FundCode]])=1,0,1))</f>
        <v>0</v>
      </c>
      <c r="W231" s="57">
        <f>IF(LEN(CONT_SUP[[#This Row],[Notes]])&lt;4000,0,1)</f>
        <v>0</v>
      </c>
      <c r="X231" s="57">
        <f>IF(SUBSTITUTE(TEXT(CONT_SUP[[#This Row],[Reference]],10)," ","")=TEXT(CONT_SUP[[#This Row],[Reference]],10),0,1)</f>
        <v>0</v>
      </c>
      <c r="Y231" s="57">
        <f ca="1">SUM(CONT_SUP[[#This Row],[Duplicate Contract]:[Space in Code]])</f>
        <v>1</v>
      </c>
      <c r="AA231" s="12" t="s">
        <v>2299</v>
      </c>
      <c r="AB231" s="12">
        <v>91073945</v>
      </c>
      <c r="AC231" s="12" t="s">
        <v>4827</v>
      </c>
      <c r="AD231" s="57" t="str">
        <f>_xlfn.XLOOKUP(CONT_SUP[[#This Row],[StaffMemberCode]],StaffMembers!O:O,StaffMembers!R:R)</f>
        <v>Kelly Barker</v>
      </c>
      <c r="AE231" s="12" t="s">
        <v>1180</v>
      </c>
      <c r="AF231" s="57">
        <f>_xlfn.XLOOKUP(CONT_SUP[[#This Row],[SRG]],SRG[StaffRoleGroupCode],SRG[GrossSalaryFinanceCode])</f>
        <v>615100</v>
      </c>
      <c r="AG231" s="57" t="str">
        <f>_xlfn.XLOOKUP(CONT_SUP[[#This Row],[StaffRoleCode]],ROLES[StaffRoleCode],ROLES[StaffRoleGroupCode])</f>
        <v>TA</v>
      </c>
      <c r="AH231" s="57" t="str">
        <f>_xlfn.XLOOKUP(CONT_SUP[[#This Row],[StaffRoleCode]],ROLES[StaffRoleCode],ROLES[PayScaleCode])</f>
        <v>NJC_CHE</v>
      </c>
      <c r="AI231" s="12" t="s">
        <v>3122</v>
      </c>
      <c r="AJ231" s="12">
        <v>6</v>
      </c>
      <c r="AK231" s="12" t="s">
        <v>2497</v>
      </c>
      <c r="AM231" s="68" t="s">
        <v>3132</v>
      </c>
      <c r="AN231" s="12" t="s">
        <v>3134</v>
      </c>
      <c r="AO231" s="21">
        <v>45901</v>
      </c>
      <c r="AQ231" s="12">
        <v>32</v>
      </c>
      <c r="AR231" t="b">
        <v>0</v>
      </c>
      <c r="AS231" t="b">
        <v>0</v>
      </c>
      <c r="AT231" s="12" t="s">
        <v>1574</v>
      </c>
    </row>
    <row r="232" spans="1:46" x14ac:dyDescent="0.3">
      <c r="A232" s="57" t="str">
        <f t="shared" si="7"/>
        <v>ALS9132840691328406ATASTA45901</v>
      </c>
      <c r="B232" s="57">
        <f>COUNTIF(CONT_SUP[Unique Contract],CONT_SUP[[#This Row],[Unique Contract]])-1</f>
        <v>0</v>
      </c>
      <c r="C232" s="57">
        <f>IFERROR(IF(FIND(CONT_SUP[[#This Row],[SchoolCode]],_xlfn.XLOOKUP(CONT_SUP[[#This Row],[StaffMemberCode]],MEMBERS[StaffMemberCode],MEMBERS[SchoolCodes]))&gt;0,0,1),1)</f>
        <v>0</v>
      </c>
      <c r="D232" s="57" cm="1">
        <f t="array" ref="D232">IF(_xlfn.XLOOKUP(CONT_SUP[[#This Row],[StaffRoleCode]],ROLES[StaffRoleCode],ROLES[AvailableToAllSchools],1,0,)=TRUE,0,IF(ISERROR(FIND(CONT_SUP[[#This Row],[SchoolCode]],_xlfn.TEXTJOIN(",",TRUE,_xlfn.UNIQUE(IF(ROLES[StaffRoleCode]=CONT_SUP[[#This Row],[StaffRoleCode]],ROLES[SchoolCodes],""))))),1,0))</f>
        <v>0</v>
      </c>
      <c r="E232" s="57" cm="1">
        <f t="array" ref="E23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32" s="57" cm="1">
        <f t="array" ref="F232">IF(_xlfn.XLOOKUP(CONT_SUP[[#This Row],[PayScaleCode]],PAYSCALES[PayScaleCode],PAYSCALES[AvailableToAllSchools],1,0,)=TRUE,0,IF(ISERROR(FIND(CONT_SUP[[#This Row],[SchoolCode]],_xlfn.TEXTJOIN(",",TRUE,_xlfn.UNIQUE(IF(PAYSCALES[PayScaleCode]=CONT_SUP[[#This Row],[PayScaleCode]],PAYSCALES[SchoolCodes],""))))),1,0))</f>
        <v>0</v>
      </c>
      <c r="G232" s="57">
        <f>IF(_xlfn.XLOOKUP(CONT_SUP[[#This Row],[PayScaleGradeCode]],GRADES[PayScaleGradeCode],GRADES[AvailableToAllSchools])=TRUE,0,IFERROR(IF(FIND(CONT_SUP[[#This Row],[SchoolCode]],_xlfn.XLOOKUP(CONT_SUP[[#This Row],[PayScaleGradeCode]],GRADES[PayScaleGradeCode],GRADES[SchoolCodes]))&gt;=1,0,1),1))</f>
        <v>0</v>
      </c>
      <c r="H232" s="57">
        <f>IF(ISERROR(IF((_xlfn.XLOOKUP(CONT_SUP[[#This Row],[PayScaleGradeCode]],GRADES[PayScaleGradeCode],GRADES[PayScaleCode])=CONT_SUP[[#This Row],[PayScaleCode]]),0,1)),1,0)</f>
        <v>0</v>
      </c>
      <c r="I232" s="57" cm="1">
        <f t="array" ref="I232">IF(ISERROR(FIND(CONT_SUP[[#This Row],[PayScalePointCode]],_xlfn.TEXTJOIN(",",TRUE,IF(PSPOINTS[PayScaleCode]=CONT_SUP[[#This Row],[PayScaleCode]],PSPOINTS[PayScalePointCode])))),1,0)</f>
        <v>0</v>
      </c>
      <c r="J232" s="57" cm="1">
        <f t="array" ref="J23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32" s="57">
        <f>IF(_xlfn.XLOOKUP(CONT_SUP[[#This Row],[PayScalePointCode]],PSPOINTS[PayScalePointCode],PSPOINTS[PayScalePointEnabled])=TRUE,0,1)</f>
        <v>0</v>
      </c>
      <c r="L232" s="57" cm="1">
        <f t="array" ref="L232">IF(_xlfn.XLOOKUP(CONT_SUP[[#This Row],[DepartmentCode]],DEPTS[DepartmentCode],DEPTS[AvailableToAllSchools],1,0,)=TRUE,0,IF(ISERROR(FIND(CONT_SUP[[#This Row],[SchoolCode]],_xlfn.TEXTJOIN(",",TRUE,_xlfn.UNIQUE(IF(DEPTS[DepartmentCode]=CONT_SUP[[#This Row],[DepartmentCode]],DEPTS[SchoolCodes],""))))),1,0))</f>
        <v>0</v>
      </c>
      <c r="M232" s="57">
        <f>IFERROR(IF(_xlfn.XLOOKUP(CONT_SUP[[#This Row],[SRG Gross]],FinanceCodesBudget[FinanceCode],FinanceCodesBudget[LedgerCode])=_xlfn.XLOOKUP(CONT_SUP[[#This Row],[DepartmentCode]],DEPTS[DepartmentCode],DEPTS[LedgerCode]),0,1),1)</f>
        <v>1</v>
      </c>
      <c r="N232" s="57" cm="1">
        <f t="array" ref="N232">IF(_xlfn.XLOOKUP(CONT_SUP[[#This Row],[PensionCode]],PENS[PensionCode],PENS[AvailableToAllSchools],1,0,)=TRUE,0,IF(ISERROR(FIND(CONT_SUP[[#This Row],[SchoolCode]],_xlfn.TEXTJOIN(",",TRUE,_xlfn.UNIQUE(IF(PENS[PensionCode]=CONT_SUP[[#This Row],[PensionCode]],PENS[SchoolCodes],""))))),1,0))</f>
        <v>0</v>
      </c>
      <c r="O232" s="57" cm="1">
        <f t="array" ref="O232">IF(_xlfn.XLOOKUP(CONT_SUP[[#This Row],[EquatedWeekPatternCode]],EQW[EquatedWeekPatternCode],EQW[AvailableToAllSchools],1,0,)=TRUE,0,IF(ISERROR(FIND(CONT_SUP[[#This Row],[SchoolCode]],_xlfn.TEXTJOIN(",",TRUE,_xlfn.UNIQUE(IF(EQW[EquatedWeekPatternCode]=CONT_SUP[[#This Row],[EquatedWeekPatternCode]],EQW[SchoolCodes],""))))),1,0))</f>
        <v>0</v>
      </c>
      <c r="P232" s="57">
        <f>1-COUNTIF(ContractTypes[Code],CONT_SUP[[#This Row],[ContractTypeCode]])</f>
        <v>0</v>
      </c>
      <c r="Q232" s="57">
        <f>IF(VLOOKUP(CONT_SUP[[#This Row],[StaffMemberCode]],MEMBERS[[StaffMemberCode]:[ServiceStartDate]],5,0)&gt;CONT_SUP[[#This Row],[DateFrom]],1,0)</f>
        <v>0</v>
      </c>
      <c r="R232" s="57">
        <f>IF(_xlfn.XLOOKUP(CONT_SUP[[#This Row],[StaffMemberCode]],MEMBERS[StaffMemberCode],MEMBERS[ServiceEndDate])="",0,IF(CONT_SUP[[#This Row],[DateTo]]="",1,IF(_xlfn.XLOOKUP(CONT_SUP[[#This Row],[StaffMemberCode]],MEMBERS[StaffMemberCode],MEMBERS[ServiceEndDate])&lt;CONT_SUP[[#This Row],[DateTo]],1,0)))</f>
        <v>0</v>
      </c>
      <c r="S232" s="57">
        <f>IF(ISBLANK(CONT_SUP[[#This Row],[DateTo]]),0,IF(CONT_SUP[[#This Row],[DateFrom]]=CONT_SUP[[#This Row],[DateTo]],0,IF(CONT_SUP[[#This Row],[DateFrom]]&lt;CONT_SUP[[#This Row],[DateTo]],0,1)))</f>
        <v>0</v>
      </c>
      <c r="T232" s="57" cm="1">
        <f t="array" aca="1" ref="T232" ca="1">IF(CELL("format",CONT_SUP[[#This Row],[DateFrom]])="D1",0,1)+IF(CELL("format",CONT_SUP[[#This Row],[DateTo]])="D1",0,1)</f>
        <v>0</v>
      </c>
      <c r="U232" s="57">
        <f>IF(OR(CONT_SUP[[#This Row],[MatEditOnly]]=TRUE,CONT_SUP[[#This Row],[MatEditOnly]]=FALSE),IF(OR(CONT_SUP[[#This Row],[NoIncrement]]=TRUE,CONT_SUP[[#This Row],[NoIncrement]]=FALSE),0,1),1)</f>
        <v>0</v>
      </c>
      <c r="V232" s="57">
        <f>IF(ISBLANK(CONT_SUP[[#This Row],[FundCode]])=TRUE,0,IF(COUNTIF(FUNDS[FundCode],CONT_SUP[[#This Row],[FundCode]])=1,0,1))</f>
        <v>0</v>
      </c>
      <c r="W232" s="57">
        <f>IF(LEN(CONT_SUP[[#This Row],[Notes]])&lt;4000,0,1)</f>
        <v>0</v>
      </c>
      <c r="X232" s="57">
        <f>IF(SUBSTITUTE(TEXT(CONT_SUP[[#This Row],[Reference]],10)," ","")=TEXT(CONT_SUP[[#This Row],[Reference]],10),0,1)</f>
        <v>0</v>
      </c>
      <c r="Y232" s="57">
        <f ca="1">SUM(CONT_SUP[[#This Row],[Duplicate Contract]:[Space in Code]])</f>
        <v>1</v>
      </c>
      <c r="AA232" s="12" t="s">
        <v>2082</v>
      </c>
      <c r="AB232" s="12">
        <v>91328406</v>
      </c>
      <c r="AC232" s="12" t="s">
        <v>4828</v>
      </c>
      <c r="AD232" s="57" t="str">
        <f>_xlfn.XLOOKUP(CONT_SUP[[#This Row],[StaffMemberCode]],StaffMembers!O:O,StaffMembers!R:R)</f>
        <v>Kelly Golding</v>
      </c>
      <c r="AE232" s="12" t="s">
        <v>1180</v>
      </c>
      <c r="AF232" s="57">
        <f>_xlfn.XLOOKUP(CONT_SUP[[#This Row],[SRG]],SRG[StaffRoleGroupCode],SRG[GrossSalaryFinanceCode])</f>
        <v>615100</v>
      </c>
      <c r="AG232" s="57" t="str">
        <f>_xlfn.XLOOKUP(CONT_SUP[[#This Row],[StaffRoleCode]],ROLES[StaffRoleCode],ROLES[StaffRoleGroupCode])</f>
        <v>TA</v>
      </c>
      <c r="AH232" s="57" t="str">
        <f>_xlfn.XLOOKUP(CONT_SUP[[#This Row],[StaffRoleCode]],ROLES[StaffRoleCode],ROLES[PayScaleCode])</f>
        <v>NJC_CHE</v>
      </c>
      <c r="AI232" s="12" t="s">
        <v>3123</v>
      </c>
      <c r="AJ232" s="12">
        <v>10</v>
      </c>
      <c r="AK232" s="12" t="s">
        <v>2497</v>
      </c>
      <c r="AM232" s="68" t="s">
        <v>3132</v>
      </c>
      <c r="AN232" s="12" t="s">
        <v>3135</v>
      </c>
      <c r="AO232" s="21">
        <v>45901</v>
      </c>
      <c r="AQ232" s="12">
        <v>25</v>
      </c>
      <c r="AR232" t="b">
        <v>0</v>
      </c>
      <c r="AS232" t="b">
        <v>0</v>
      </c>
      <c r="AT232" s="12" t="s">
        <v>1575</v>
      </c>
    </row>
    <row r="233" spans="1:46" x14ac:dyDescent="0.3">
      <c r="A233" s="57" t="str">
        <f t="shared" si="7"/>
        <v>SBL9107574591075745BTASTA45901</v>
      </c>
      <c r="B233" s="57">
        <f>COUNTIF(CONT_SUP[Unique Contract],CONT_SUP[[#This Row],[Unique Contract]])-1</f>
        <v>0</v>
      </c>
      <c r="C233" s="57">
        <f>IFERROR(IF(FIND(CONT_SUP[[#This Row],[SchoolCode]],_xlfn.XLOOKUP(CONT_SUP[[#This Row],[StaffMemberCode]],MEMBERS[StaffMemberCode],MEMBERS[SchoolCodes]))&gt;0,0,1),1)</f>
        <v>0</v>
      </c>
      <c r="D233" s="57" cm="1">
        <f t="array" ref="D233">IF(_xlfn.XLOOKUP(CONT_SUP[[#This Row],[StaffRoleCode]],ROLES[StaffRoleCode],ROLES[AvailableToAllSchools],1,0,)=TRUE,0,IF(ISERROR(FIND(CONT_SUP[[#This Row],[SchoolCode]],_xlfn.TEXTJOIN(",",TRUE,_xlfn.UNIQUE(IF(ROLES[StaffRoleCode]=CONT_SUP[[#This Row],[StaffRoleCode]],ROLES[SchoolCodes],""))))),1,0))</f>
        <v>0</v>
      </c>
      <c r="E233" s="57" cm="1">
        <f t="array" ref="E23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33" s="57" cm="1">
        <f t="array" ref="F233">IF(_xlfn.XLOOKUP(CONT_SUP[[#This Row],[PayScaleCode]],PAYSCALES[PayScaleCode],PAYSCALES[AvailableToAllSchools],1,0,)=TRUE,0,IF(ISERROR(FIND(CONT_SUP[[#This Row],[SchoolCode]],_xlfn.TEXTJOIN(",",TRUE,_xlfn.UNIQUE(IF(PAYSCALES[PayScaleCode]=CONT_SUP[[#This Row],[PayScaleCode]],PAYSCALES[SchoolCodes],""))))),1,0))</f>
        <v>0</v>
      </c>
      <c r="G233" s="57">
        <f>IF(_xlfn.XLOOKUP(CONT_SUP[[#This Row],[PayScaleGradeCode]],GRADES[PayScaleGradeCode],GRADES[AvailableToAllSchools])=TRUE,0,IFERROR(IF(FIND(CONT_SUP[[#This Row],[SchoolCode]],_xlfn.XLOOKUP(CONT_SUP[[#This Row],[PayScaleGradeCode]],GRADES[PayScaleGradeCode],GRADES[SchoolCodes]))&gt;=1,0,1),1))</f>
        <v>0</v>
      </c>
      <c r="H233" s="57">
        <f>IF(ISERROR(IF((_xlfn.XLOOKUP(CONT_SUP[[#This Row],[PayScaleGradeCode]],GRADES[PayScaleGradeCode],GRADES[PayScaleCode])=CONT_SUP[[#This Row],[PayScaleCode]]),0,1)),1,0)</f>
        <v>0</v>
      </c>
      <c r="I233" s="57" cm="1">
        <f t="array" ref="I233">IF(ISERROR(FIND(CONT_SUP[[#This Row],[PayScalePointCode]],_xlfn.TEXTJOIN(",",TRUE,IF(PSPOINTS[PayScaleCode]=CONT_SUP[[#This Row],[PayScaleCode]],PSPOINTS[PayScalePointCode])))),1,0)</f>
        <v>0</v>
      </c>
      <c r="J233" s="57" cm="1">
        <f t="array" ref="J23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33" s="57">
        <f>IF(_xlfn.XLOOKUP(CONT_SUP[[#This Row],[PayScalePointCode]],PSPOINTS[PayScalePointCode],PSPOINTS[PayScalePointEnabled])=TRUE,0,1)</f>
        <v>0</v>
      </c>
      <c r="L233" s="57" cm="1">
        <f t="array" ref="L233">IF(_xlfn.XLOOKUP(CONT_SUP[[#This Row],[DepartmentCode]],DEPTS[DepartmentCode],DEPTS[AvailableToAllSchools],1,0,)=TRUE,0,IF(ISERROR(FIND(CONT_SUP[[#This Row],[SchoolCode]],_xlfn.TEXTJOIN(",",TRUE,_xlfn.UNIQUE(IF(DEPTS[DepartmentCode]=CONT_SUP[[#This Row],[DepartmentCode]],DEPTS[SchoolCodes],""))))),1,0))</f>
        <v>0</v>
      </c>
      <c r="M233" s="57">
        <f>IFERROR(IF(_xlfn.XLOOKUP(CONT_SUP[[#This Row],[SRG Gross]],FinanceCodesBudget[FinanceCode],FinanceCodesBudget[LedgerCode])=_xlfn.XLOOKUP(CONT_SUP[[#This Row],[DepartmentCode]],DEPTS[DepartmentCode],DEPTS[LedgerCode]),0,1),1)</f>
        <v>1</v>
      </c>
      <c r="N233" s="57" cm="1">
        <f t="array" ref="N233">IF(_xlfn.XLOOKUP(CONT_SUP[[#This Row],[PensionCode]],PENS[PensionCode],PENS[AvailableToAllSchools],1,0,)=TRUE,0,IF(ISERROR(FIND(CONT_SUP[[#This Row],[SchoolCode]],_xlfn.TEXTJOIN(",",TRUE,_xlfn.UNIQUE(IF(PENS[PensionCode]=CONT_SUP[[#This Row],[PensionCode]],PENS[SchoolCodes],""))))),1,0))</f>
        <v>0</v>
      </c>
      <c r="O233" s="57" cm="1">
        <f t="array" ref="O233">IF(_xlfn.XLOOKUP(CONT_SUP[[#This Row],[EquatedWeekPatternCode]],EQW[EquatedWeekPatternCode],EQW[AvailableToAllSchools],1,0,)=TRUE,0,IF(ISERROR(FIND(CONT_SUP[[#This Row],[SchoolCode]],_xlfn.TEXTJOIN(",",TRUE,_xlfn.UNIQUE(IF(EQW[EquatedWeekPatternCode]=CONT_SUP[[#This Row],[EquatedWeekPatternCode]],EQW[SchoolCodes],""))))),1,0))</f>
        <v>0</v>
      </c>
      <c r="P233" s="57">
        <f>1-COUNTIF(ContractTypes[Code],CONT_SUP[[#This Row],[ContractTypeCode]])</f>
        <v>0</v>
      </c>
      <c r="Q233" s="57">
        <f>IF(VLOOKUP(CONT_SUP[[#This Row],[StaffMemberCode]],MEMBERS[[StaffMemberCode]:[ServiceStartDate]],5,0)&gt;CONT_SUP[[#This Row],[DateFrom]],1,0)</f>
        <v>0</v>
      </c>
      <c r="R233" s="57">
        <f>IF(_xlfn.XLOOKUP(CONT_SUP[[#This Row],[StaffMemberCode]],MEMBERS[StaffMemberCode],MEMBERS[ServiceEndDate])="",0,IF(CONT_SUP[[#This Row],[DateTo]]="",1,IF(_xlfn.XLOOKUP(CONT_SUP[[#This Row],[StaffMemberCode]],MEMBERS[StaffMemberCode],MEMBERS[ServiceEndDate])&lt;CONT_SUP[[#This Row],[DateTo]],1,0)))</f>
        <v>0</v>
      </c>
      <c r="S233" s="57">
        <f>IF(ISBLANK(CONT_SUP[[#This Row],[DateTo]]),0,IF(CONT_SUP[[#This Row],[DateFrom]]=CONT_SUP[[#This Row],[DateTo]],0,IF(CONT_SUP[[#This Row],[DateFrom]]&lt;CONT_SUP[[#This Row],[DateTo]],0,1)))</f>
        <v>0</v>
      </c>
      <c r="T233" s="57" cm="1">
        <f t="array" aca="1" ref="T233" ca="1">IF(CELL("format",CONT_SUP[[#This Row],[DateFrom]])="D1",0,1)+IF(CELL("format",CONT_SUP[[#This Row],[DateTo]])="D1",0,1)</f>
        <v>0</v>
      </c>
      <c r="U233" s="57">
        <f>IF(OR(CONT_SUP[[#This Row],[MatEditOnly]]=TRUE,CONT_SUP[[#This Row],[MatEditOnly]]=FALSE),IF(OR(CONT_SUP[[#This Row],[NoIncrement]]=TRUE,CONT_SUP[[#This Row],[NoIncrement]]=FALSE),0,1),1)</f>
        <v>0</v>
      </c>
      <c r="V233" s="57">
        <f>IF(ISBLANK(CONT_SUP[[#This Row],[FundCode]])=TRUE,0,IF(COUNTIF(FUNDS[FundCode],CONT_SUP[[#This Row],[FundCode]])=1,0,1))</f>
        <v>0</v>
      </c>
      <c r="W233" s="57">
        <f>IF(LEN(CONT_SUP[[#This Row],[Notes]])&lt;4000,0,1)</f>
        <v>0</v>
      </c>
      <c r="X233" s="57">
        <f>IF(SUBSTITUTE(TEXT(CONT_SUP[[#This Row],[Reference]],10)," ","")=TEXT(CONT_SUP[[#This Row],[Reference]],10),0,1)</f>
        <v>0</v>
      </c>
      <c r="Y233" s="57">
        <f ca="1">SUM(CONT_SUP[[#This Row],[Duplicate Contract]:[Space in Code]])</f>
        <v>1</v>
      </c>
      <c r="AA233" s="12" t="s">
        <v>2200</v>
      </c>
      <c r="AB233" s="12">
        <v>91075745</v>
      </c>
      <c r="AC233" s="12" t="s">
        <v>4829</v>
      </c>
      <c r="AD233" s="57" t="str">
        <f>_xlfn.XLOOKUP(CONT_SUP[[#This Row],[StaffMemberCode]],StaffMembers!O:O,StaffMembers!R:R)</f>
        <v>Kelly Lomas</v>
      </c>
      <c r="AE233" s="12" t="s">
        <v>1180</v>
      </c>
      <c r="AF233" s="57">
        <f>_xlfn.XLOOKUP(CONT_SUP[[#This Row],[SRG]],SRG[StaffRoleGroupCode],SRG[GrossSalaryFinanceCode])</f>
        <v>615100</v>
      </c>
      <c r="AG233" s="57" t="str">
        <f>_xlfn.XLOOKUP(CONT_SUP[[#This Row],[StaffRoleCode]],ROLES[StaffRoleCode],ROLES[StaffRoleGroupCode])</f>
        <v>TA</v>
      </c>
      <c r="AH233" s="57" t="str">
        <f>_xlfn.XLOOKUP(CONT_SUP[[#This Row],[StaffRoleCode]],ROLES[StaffRoleCode],ROLES[PayScaleCode])</f>
        <v>NJC_CHE</v>
      </c>
      <c r="AI233" s="12" t="s">
        <v>3123</v>
      </c>
      <c r="AJ233" s="12">
        <v>11</v>
      </c>
      <c r="AK233" s="12" t="s">
        <v>2497</v>
      </c>
      <c r="AM233" s="68" t="s">
        <v>3132</v>
      </c>
      <c r="AN233" s="12" t="s">
        <v>3134</v>
      </c>
      <c r="AO233" s="21">
        <v>45901</v>
      </c>
      <c r="AQ233" s="12">
        <v>11.25</v>
      </c>
      <c r="AR233" t="b">
        <v>0</v>
      </c>
      <c r="AS233" t="b">
        <v>0</v>
      </c>
      <c r="AT233" s="12" t="s">
        <v>1574</v>
      </c>
    </row>
    <row r="234" spans="1:46" x14ac:dyDescent="0.3">
      <c r="A234" s="57" t="str">
        <f t="shared" si="7"/>
        <v>SBL9107574591075745CTASTA45901</v>
      </c>
      <c r="B234" s="57">
        <f>COUNTIF(CONT_SUP[Unique Contract],CONT_SUP[[#This Row],[Unique Contract]])-1</f>
        <v>0</v>
      </c>
      <c r="C234" s="57">
        <f>IFERROR(IF(FIND(CONT_SUP[[#This Row],[SchoolCode]],_xlfn.XLOOKUP(CONT_SUP[[#This Row],[StaffMemberCode]],MEMBERS[StaffMemberCode],MEMBERS[SchoolCodes]))&gt;0,0,1),1)</f>
        <v>0</v>
      </c>
      <c r="D234" s="57" cm="1">
        <f t="array" ref="D234">IF(_xlfn.XLOOKUP(CONT_SUP[[#This Row],[StaffRoleCode]],ROLES[StaffRoleCode],ROLES[AvailableToAllSchools],1,0,)=TRUE,0,IF(ISERROR(FIND(CONT_SUP[[#This Row],[SchoolCode]],_xlfn.TEXTJOIN(",",TRUE,_xlfn.UNIQUE(IF(ROLES[StaffRoleCode]=CONT_SUP[[#This Row],[StaffRoleCode]],ROLES[SchoolCodes],""))))),1,0))</f>
        <v>0</v>
      </c>
      <c r="E234" s="57" cm="1">
        <f t="array" ref="E23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34" s="57" cm="1">
        <f t="array" ref="F234">IF(_xlfn.XLOOKUP(CONT_SUP[[#This Row],[PayScaleCode]],PAYSCALES[PayScaleCode],PAYSCALES[AvailableToAllSchools],1,0,)=TRUE,0,IF(ISERROR(FIND(CONT_SUP[[#This Row],[SchoolCode]],_xlfn.TEXTJOIN(",",TRUE,_xlfn.UNIQUE(IF(PAYSCALES[PayScaleCode]=CONT_SUP[[#This Row],[PayScaleCode]],PAYSCALES[SchoolCodes],""))))),1,0))</f>
        <v>0</v>
      </c>
      <c r="G234" s="57">
        <f>IF(_xlfn.XLOOKUP(CONT_SUP[[#This Row],[PayScaleGradeCode]],GRADES[PayScaleGradeCode],GRADES[AvailableToAllSchools])=TRUE,0,IFERROR(IF(FIND(CONT_SUP[[#This Row],[SchoolCode]],_xlfn.XLOOKUP(CONT_SUP[[#This Row],[PayScaleGradeCode]],GRADES[PayScaleGradeCode],GRADES[SchoolCodes]))&gt;=1,0,1),1))</f>
        <v>0</v>
      </c>
      <c r="H234" s="57">
        <f>IF(ISERROR(IF((_xlfn.XLOOKUP(CONT_SUP[[#This Row],[PayScaleGradeCode]],GRADES[PayScaleGradeCode],GRADES[PayScaleCode])=CONT_SUP[[#This Row],[PayScaleCode]]),0,1)),1,0)</f>
        <v>0</v>
      </c>
      <c r="I234" s="57" cm="1">
        <f t="array" ref="I234">IF(ISERROR(FIND(CONT_SUP[[#This Row],[PayScalePointCode]],_xlfn.TEXTJOIN(",",TRUE,IF(PSPOINTS[PayScaleCode]=CONT_SUP[[#This Row],[PayScaleCode]],PSPOINTS[PayScalePointCode])))),1,0)</f>
        <v>0</v>
      </c>
      <c r="J234" s="57" cm="1">
        <f t="array" ref="J23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34" s="57">
        <f>IF(_xlfn.XLOOKUP(CONT_SUP[[#This Row],[PayScalePointCode]],PSPOINTS[PayScalePointCode],PSPOINTS[PayScalePointEnabled])=TRUE,0,1)</f>
        <v>0</v>
      </c>
      <c r="L234" s="57" cm="1">
        <f t="array" ref="L234">IF(_xlfn.XLOOKUP(CONT_SUP[[#This Row],[DepartmentCode]],DEPTS[DepartmentCode],DEPTS[AvailableToAllSchools],1,0,)=TRUE,0,IF(ISERROR(FIND(CONT_SUP[[#This Row],[SchoolCode]],_xlfn.TEXTJOIN(",",TRUE,_xlfn.UNIQUE(IF(DEPTS[DepartmentCode]=CONT_SUP[[#This Row],[DepartmentCode]],DEPTS[SchoolCodes],""))))),1,0))</f>
        <v>0</v>
      </c>
      <c r="M234" s="57">
        <f>IFERROR(IF(_xlfn.XLOOKUP(CONT_SUP[[#This Row],[SRG Gross]],FinanceCodesBudget[FinanceCode],FinanceCodesBudget[LedgerCode])=_xlfn.XLOOKUP(CONT_SUP[[#This Row],[DepartmentCode]],DEPTS[DepartmentCode],DEPTS[LedgerCode]),0,1),1)</f>
        <v>1</v>
      </c>
      <c r="N234" s="57" cm="1">
        <f t="array" ref="N234">IF(_xlfn.XLOOKUP(CONT_SUP[[#This Row],[PensionCode]],PENS[PensionCode],PENS[AvailableToAllSchools],1,0,)=TRUE,0,IF(ISERROR(FIND(CONT_SUP[[#This Row],[SchoolCode]],_xlfn.TEXTJOIN(",",TRUE,_xlfn.UNIQUE(IF(PENS[PensionCode]=CONT_SUP[[#This Row],[PensionCode]],PENS[SchoolCodes],""))))),1,0))</f>
        <v>0</v>
      </c>
      <c r="O234" s="57" cm="1">
        <f t="array" ref="O234">IF(_xlfn.XLOOKUP(CONT_SUP[[#This Row],[EquatedWeekPatternCode]],EQW[EquatedWeekPatternCode],EQW[AvailableToAllSchools],1,0,)=TRUE,0,IF(ISERROR(FIND(CONT_SUP[[#This Row],[SchoolCode]],_xlfn.TEXTJOIN(",",TRUE,_xlfn.UNIQUE(IF(EQW[EquatedWeekPatternCode]=CONT_SUP[[#This Row],[EquatedWeekPatternCode]],EQW[SchoolCodes],""))))),1,0))</f>
        <v>0</v>
      </c>
      <c r="P234" s="57">
        <f>1-COUNTIF(ContractTypes[Code],CONT_SUP[[#This Row],[ContractTypeCode]])</f>
        <v>0</v>
      </c>
      <c r="Q234" s="57">
        <f>IF(VLOOKUP(CONT_SUP[[#This Row],[StaffMemberCode]],MEMBERS[[StaffMemberCode]:[ServiceStartDate]],5,0)&gt;CONT_SUP[[#This Row],[DateFrom]],1,0)</f>
        <v>0</v>
      </c>
      <c r="R234" s="57">
        <f>IF(_xlfn.XLOOKUP(CONT_SUP[[#This Row],[StaffMemberCode]],MEMBERS[StaffMemberCode],MEMBERS[ServiceEndDate])="",0,IF(CONT_SUP[[#This Row],[DateTo]]="",1,IF(_xlfn.XLOOKUP(CONT_SUP[[#This Row],[StaffMemberCode]],MEMBERS[StaffMemberCode],MEMBERS[ServiceEndDate])&lt;CONT_SUP[[#This Row],[DateTo]],1,0)))</f>
        <v>0</v>
      </c>
      <c r="S234" s="57">
        <f>IF(ISBLANK(CONT_SUP[[#This Row],[DateTo]]),0,IF(CONT_SUP[[#This Row],[DateFrom]]=CONT_SUP[[#This Row],[DateTo]],0,IF(CONT_SUP[[#This Row],[DateFrom]]&lt;CONT_SUP[[#This Row],[DateTo]],0,1)))</f>
        <v>0</v>
      </c>
      <c r="T234" s="57" cm="1">
        <f t="array" aca="1" ref="T234" ca="1">IF(CELL("format",CONT_SUP[[#This Row],[DateFrom]])="D1",0,1)+IF(CELL("format",CONT_SUP[[#This Row],[DateTo]])="D1",0,1)</f>
        <v>0</v>
      </c>
      <c r="U234" s="57">
        <f>IF(OR(CONT_SUP[[#This Row],[MatEditOnly]]=TRUE,CONT_SUP[[#This Row],[MatEditOnly]]=FALSE),IF(OR(CONT_SUP[[#This Row],[NoIncrement]]=TRUE,CONT_SUP[[#This Row],[NoIncrement]]=FALSE),0,1),1)</f>
        <v>0</v>
      </c>
      <c r="V234" s="57">
        <f>IF(ISBLANK(CONT_SUP[[#This Row],[FundCode]])=TRUE,0,IF(COUNTIF(FUNDS[FundCode],CONT_SUP[[#This Row],[FundCode]])=1,0,1))</f>
        <v>0</v>
      </c>
      <c r="W234" s="57">
        <f>IF(LEN(CONT_SUP[[#This Row],[Notes]])&lt;4000,0,1)</f>
        <v>0</v>
      </c>
      <c r="X234" s="57">
        <f>IF(SUBSTITUTE(TEXT(CONT_SUP[[#This Row],[Reference]],10)," ","")=TEXT(CONT_SUP[[#This Row],[Reference]],10),0,1)</f>
        <v>0</v>
      </c>
      <c r="Y234" s="57">
        <f ca="1">SUM(CONT_SUP[[#This Row],[Duplicate Contract]:[Space in Code]])</f>
        <v>1</v>
      </c>
      <c r="AA234" s="12" t="s">
        <v>2200</v>
      </c>
      <c r="AB234" s="12">
        <v>91075745</v>
      </c>
      <c r="AC234" s="12" t="s">
        <v>4830</v>
      </c>
      <c r="AD234" s="57" t="str">
        <f>_xlfn.XLOOKUP(CONT_SUP[[#This Row],[StaffMemberCode]],StaffMembers!O:O,StaffMembers!R:R)</f>
        <v>Kelly Lomas</v>
      </c>
      <c r="AE234" s="12" t="s">
        <v>1180</v>
      </c>
      <c r="AF234" s="57">
        <f>_xlfn.XLOOKUP(CONT_SUP[[#This Row],[SRG]],SRG[StaffRoleGroupCode],SRG[GrossSalaryFinanceCode])</f>
        <v>615100</v>
      </c>
      <c r="AG234" s="57" t="str">
        <f>_xlfn.XLOOKUP(CONT_SUP[[#This Row],[StaffRoleCode]],ROLES[StaffRoleCode],ROLES[StaffRoleGroupCode])</f>
        <v>TA</v>
      </c>
      <c r="AH234" s="57" t="str">
        <f>_xlfn.XLOOKUP(CONT_SUP[[#This Row],[StaffRoleCode]],ROLES[StaffRoleCode],ROLES[PayScaleCode])</f>
        <v>NJC_CHE</v>
      </c>
      <c r="AI234" s="12" t="s">
        <v>3123</v>
      </c>
      <c r="AJ234" s="12">
        <v>11</v>
      </c>
      <c r="AK234" s="12" t="s">
        <v>2497</v>
      </c>
      <c r="AM234" s="68" t="s">
        <v>3132</v>
      </c>
      <c r="AN234" s="12" t="s">
        <v>3134</v>
      </c>
      <c r="AO234" s="21">
        <v>45901</v>
      </c>
      <c r="AQ234" s="12">
        <v>6.5</v>
      </c>
      <c r="AR234" t="b">
        <v>0</v>
      </c>
      <c r="AS234" t="b">
        <v>0</v>
      </c>
      <c r="AT234" s="12" t="s">
        <v>1574</v>
      </c>
    </row>
    <row r="235" spans="1:46" x14ac:dyDescent="0.3">
      <c r="A235" s="57" t="str">
        <f t="shared" si="7"/>
        <v>ALS9107372491073724ATASTA45901</v>
      </c>
      <c r="B235" s="57">
        <f>COUNTIF(CONT_SUP[Unique Contract],CONT_SUP[[#This Row],[Unique Contract]])-1</f>
        <v>0</v>
      </c>
      <c r="C235" s="57">
        <f>IFERROR(IF(FIND(CONT_SUP[[#This Row],[SchoolCode]],_xlfn.XLOOKUP(CONT_SUP[[#This Row],[StaffMemberCode]],MEMBERS[StaffMemberCode],MEMBERS[SchoolCodes]))&gt;0,0,1),1)</f>
        <v>0</v>
      </c>
      <c r="D235" s="57" cm="1">
        <f t="array" ref="D235">IF(_xlfn.XLOOKUP(CONT_SUP[[#This Row],[StaffRoleCode]],ROLES[StaffRoleCode],ROLES[AvailableToAllSchools],1,0,)=TRUE,0,IF(ISERROR(FIND(CONT_SUP[[#This Row],[SchoolCode]],_xlfn.TEXTJOIN(",",TRUE,_xlfn.UNIQUE(IF(ROLES[StaffRoleCode]=CONT_SUP[[#This Row],[StaffRoleCode]],ROLES[SchoolCodes],""))))),1,0))</f>
        <v>0</v>
      </c>
      <c r="E235" s="57" cm="1">
        <f t="array" ref="E23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35" s="57" cm="1">
        <f t="array" ref="F235">IF(_xlfn.XLOOKUP(CONT_SUP[[#This Row],[PayScaleCode]],PAYSCALES[PayScaleCode],PAYSCALES[AvailableToAllSchools],1,0,)=TRUE,0,IF(ISERROR(FIND(CONT_SUP[[#This Row],[SchoolCode]],_xlfn.TEXTJOIN(",",TRUE,_xlfn.UNIQUE(IF(PAYSCALES[PayScaleCode]=CONT_SUP[[#This Row],[PayScaleCode]],PAYSCALES[SchoolCodes],""))))),1,0))</f>
        <v>0</v>
      </c>
      <c r="G235" s="57">
        <f>IF(_xlfn.XLOOKUP(CONT_SUP[[#This Row],[PayScaleGradeCode]],GRADES[PayScaleGradeCode],GRADES[AvailableToAllSchools])=TRUE,0,IFERROR(IF(FIND(CONT_SUP[[#This Row],[SchoolCode]],_xlfn.XLOOKUP(CONT_SUP[[#This Row],[PayScaleGradeCode]],GRADES[PayScaleGradeCode],GRADES[SchoolCodes]))&gt;=1,0,1),1))</f>
        <v>0</v>
      </c>
      <c r="H235" s="57">
        <f>IF(ISERROR(IF((_xlfn.XLOOKUP(CONT_SUP[[#This Row],[PayScaleGradeCode]],GRADES[PayScaleGradeCode],GRADES[PayScaleCode])=CONT_SUP[[#This Row],[PayScaleCode]]),0,1)),1,0)</f>
        <v>0</v>
      </c>
      <c r="I235" s="57" cm="1">
        <f t="array" ref="I235">IF(ISERROR(FIND(CONT_SUP[[#This Row],[PayScalePointCode]],_xlfn.TEXTJOIN(",",TRUE,IF(PSPOINTS[PayScaleCode]=CONT_SUP[[#This Row],[PayScaleCode]],PSPOINTS[PayScalePointCode])))),1,0)</f>
        <v>0</v>
      </c>
      <c r="J235" s="57" cm="1">
        <f t="array" ref="J23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35" s="57">
        <f>IF(_xlfn.XLOOKUP(CONT_SUP[[#This Row],[PayScalePointCode]],PSPOINTS[PayScalePointCode],PSPOINTS[PayScalePointEnabled])=TRUE,0,1)</f>
        <v>0</v>
      </c>
      <c r="L235" s="57" cm="1">
        <f t="array" ref="L235">IF(_xlfn.XLOOKUP(CONT_SUP[[#This Row],[DepartmentCode]],DEPTS[DepartmentCode],DEPTS[AvailableToAllSchools],1,0,)=TRUE,0,IF(ISERROR(FIND(CONT_SUP[[#This Row],[SchoolCode]],_xlfn.TEXTJOIN(",",TRUE,_xlfn.UNIQUE(IF(DEPTS[DepartmentCode]=CONT_SUP[[#This Row],[DepartmentCode]],DEPTS[SchoolCodes],""))))),1,0))</f>
        <v>0</v>
      </c>
      <c r="M235" s="57">
        <f>IFERROR(IF(_xlfn.XLOOKUP(CONT_SUP[[#This Row],[SRG Gross]],FinanceCodesBudget[FinanceCode],FinanceCodesBudget[LedgerCode])=_xlfn.XLOOKUP(CONT_SUP[[#This Row],[DepartmentCode]],DEPTS[DepartmentCode],DEPTS[LedgerCode]),0,1),1)</f>
        <v>1</v>
      </c>
      <c r="N235" s="57" cm="1">
        <f t="array" ref="N235">IF(_xlfn.XLOOKUP(CONT_SUP[[#This Row],[PensionCode]],PENS[PensionCode],PENS[AvailableToAllSchools],1,0,)=TRUE,0,IF(ISERROR(FIND(CONT_SUP[[#This Row],[SchoolCode]],_xlfn.TEXTJOIN(",",TRUE,_xlfn.UNIQUE(IF(PENS[PensionCode]=CONT_SUP[[#This Row],[PensionCode]],PENS[SchoolCodes],""))))),1,0))</f>
        <v>0</v>
      </c>
      <c r="O235" s="57" cm="1">
        <f t="array" ref="O235">IF(_xlfn.XLOOKUP(CONT_SUP[[#This Row],[EquatedWeekPatternCode]],EQW[EquatedWeekPatternCode],EQW[AvailableToAllSchools],1,0,)=TRUE,0,IF(ISERROR(FIND(CONT_SUP[[#This Row],[SchoolCode]],_xlfn.TEXTJOIN(",",TRUE,_xlfn.UNIQUE(IF(EQW[EquatedWeekPatternCode]=CONT_SUP[[#This Row],[EquatedWeekPatternCode]],EQW[SchoolCodes],""))))),1,0))</f>
        <v>0</v>
      </c>
      <c r="P235" s="57">
        <f>1-COUNTIF(ContractTypes[Code],CONT_SUP[[#This Row],[ContractTypeCode]])</f>
        <v>0</v>
      </c>
      <c r="Q235" s="57">
        <f>IF(VLOOKUP(CONT_SUP[[#This Row],[StaffMemberCode]],MEMBERS[[StaffMemberCode]:[ServiceStartDate]],5,0)&gt;CONT_SUP[[#This Row],[DateFrom]],1,0)</f>
        <v>0</v>
      </c>
      <c r="R235" s="57">
        <f>IF(_xlfn.XLOOKUP(CONT_SUP[[#This Row],[StaffMemberCode]],MEMBERS[StaffMemberCode],MEMBERS[ServiceEndDate])="",0,IF(CONT_SUP[[#This Row],[DateTo]]="",1,IF(_xlfn.XLOOKUP(CONT_SUP[[#This Row],[StaffMemberCode]],MEMBERS[StaffMemberCode],MEMBERS[ServiceEndDate])&lt;CONT_SUP[[#This Row],[DateTo]],1,0)))</f>
        <v>0</v>
      </c>
      <c r="S235" s="57">
        <f>IF(ISBLANK(CONT_SUP[[#This Row],[DateTo]]),0,IF(CONT_SUP[[#This Row],[DateFrom]]=CONT_SUP[[#This Row],[DateTo]],0,IF(CONT_SUP[[#This Row],[DateFrom]]&lt;CONT_SUP[[#This Row],[DateTo]],0,1)))</f>
        <v>0</v>
      </c>
      <c r="T235" s="57" cm="1">
        <f t="array" aca="1" ref="T235" ca="1">IF(CELL("format",CONT_SUP[[#This Row],[DateFrom]])="D1",0,1)+IF(CELL("format",CONT_SUP[[#This Row],[DateTo]])="D1",0,1)</f>
        <v>0</v>
      </c>
      <c r="U235" s="57">
        <f>IF(OR(CONT_SUP[[#This Row],[MatEditOnly]]=TRUE,CONT_SUP[[#This Row],[MatEditOnly]]=FALSE),IF(OR(CONT_SUP[[#This Row],[NoIncrement]]=TRUE,CONT_SUP[[#This Row],[NoIncrement]]=FALSE),0,1),1)</f>
        <v>0</v>
      </c>
      <c r="V235" s="57">
        <f>IF(ISBLANK(CONT_SUP[[#This Row],[FundCode]])=TRUE,0,IF(COUNTIF(FUNDS[FundCode],CONT_SUP[[#This Row],[FundCode]])=1,0,1))</f>
        <v>0</v>
      </c>
      <c r="W235" s="57">
        <f>IF(LEN(CONT_SUP[[#This Row],[Notes]])&lt;4000,0,1)</f>
        <v>0</v>
      </c>
      <c r="X235" s="57">
        <f>IF(SUBSTITUTE(TEXT(CONT_SUP[[#This Row],[Reference]],10)," ","")=TEXT(CONT_SUP[[#This Row],[Reference]],10),0,1)</f>
        <v>0</v>
      </c>
      <c r="Y235" s="57">
        <f ca="1">SUM(CONT_SUP[[#This Row],[Duplicate Contract]:[Space in Code]])</f>
        <v>1</v>
      </c>
      <c r="AA235" s="12" t="s">
        <v>2082</v>
      </c>
      <c r="AB235" s="12">
        <v>91073724</v>
      </c>
      <c r="AC235" s="12" t="s">
        <v>4831</v>
      </c>
      <c r="AD235" s="57" t="str">
        <f>_xlfn.XLOOKUP(CONT_SUP[[#This Row],[StaffMemberCode]],StaffMembers!O:O,StaffMembers!R:R)</f>
        <v>Kelly Stubbs</v>
      </c>
      <c r="AE235" s="12" t="s">
        <v>1180</v>
      </c>
      <c r="AF235" s="57">
        <f>_xlfn.XLOOKUP(CONT_SUP[[#This Row],[SRG]],SRG[StaffRoleGroupCode],SRG[GrossSalaryFinanceCode])</f>
        <v>615100</v>
      </c>
      <c r="AG235" s="57" t="str">
        <f>_xlfn.XLOOKUP(CONT_SUP[[#This Row],[StaffRoleCode]],ROLES[StaffRoleCode],ROLES[StaffRoleGroupCode])</f>
        <v>TA</v>
      </c>
      <c r="AH235" s="57" t="str">
        <f>_xlfn.XLOOKUP(CONT_SUP[[#This Row],[StaffRoleCode]],ROLES[StaffRoleCode],ROLES[PayScaleCode])</f>
        <v>NJC_CHE</v>
      </c>
      <c r="AI235" s="12" t="s">
        <v>3123</v>
      </c>
      <c r="AJ235" s="12">
        <v>11</v>
      </c>
      <c r="AK235" s="12" t="s">
        <v>2497</v>
      </c>
      <c r="AM235" s="68" t="s">
        <v>3132</v>
      </c>
      <c r="AN235" s="12" t="s">
        <v>3135</v>
      </c>
      <c r="AO235" s="21">
        <v>45901</v>
      </c>
      <c r="AQ235" s="12">
        <v>33.75</v>
      </c>
      <c r="AR235" t="b">
        <v>0</v>
      </c>
      <c r="AS235" t="b">
        <v>0</v>
      </c>
      <c r="AT235" s="12" t="s">
        <v>1574</v>
      </c>
    </row>
    <row r="236" spans="1:46" x14ac:dyDescent="0.3">
      <c r="A236" s="57" t="str">
        <f t="shared" si="7"/>
        <v>BLS9107349691073496ATASTA45901</v>
      </c>
      <c r="B236" s="57">
        <f>COUNTIF(CONT_SUP[Unique Contract],CONT_SUP[[#This Row],[Unique Contract]])-1</f>
        <v>0</v>
      </c>
      <c r="C236" s="57">
        <f>IFERROR(IF(FIND(CONT_SUP[[#This Row],[SchoolCode]],_xlfn.XLOOKUP(CONT_SUP[[#This Row],[StaffMemberCode]],MEMBERS[StaffMemberCode],MEMBERS[SchoolCodes]))&gt;0,0,1),1)</f>
        <v>0</v>
      </c>
      <c r="D236" s="57" cm="1">
        <f t="array" ref="D236">IF(_xlfn.XLOOKUP(CONT_SUP[[#This Row],[StaffRoleCode]],ROLES[StaffRoleCode],ROLES[AvailableToAllSchools],1,0,)=TRUE,0,IF(ISERROR(FIND(CONT_SUP[[#This Row],[SchoolCode]],_xlfn.TEXTJOIN(",",TRUE,_xlfn.UNIQUE(IF(ROLES[StaffRoleCode]=CONT_SUP[[#This Row],[StaffRoleCode]],ROLES[SchoolCodes],""))))),1,0))</f>
        <v>0</v>
      </c>
      <c r="E236" s="57" cm="1">
        <f t="array" ref="E23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36" s="57" cm="1">
        <f t="array" ref="F236">IF(_xlfn.XLOOKUP(CONT_SUP[[#This Row],[PayScaleCode]],PAYSCALES[PayScaleCode],PAYSCALES[AvailableToAllSchools],1,0,)=TRUE,0,IF(ISERROR(FIND(CONT_SUP[[#This Row],[SchoolCode]],_xlfn.TEXTJOIN(",",TRUE,_xlfn.UNIQUE(IF(PAYSCALES[PayScaleCode]=CONT_SUP[[#This Row],[PayScaleCode]],PAYSCALES[SchoolCodes],""))))),1,0))</f>
        <v>0</v>
      </c>
      <c r="G236" s="57">
        <f>IF(_xlfn.XLOOKUP(CONT_SUP[[#This Row],[PayScaleGradeCode]],GRADES[PayScaleGradeCode],GRADES[AvailableToAllSchools])=TRUE,0,IFERROR(IF(FIND(CONT_SUP[[#This Row],[SchoolCode]],_xlfn.XLOOKUP(CONT_SUP[[#This Row],[PayScaleGradeCode]],GRADES[PayScaleGradeCode],GRADES[SchoolCodes]))&gt;=1,0,1),1))</f>
        <v>0</v>
      </c>
      <c r="H236" s="57">
        <f>IF(ISERROR(IF((_xlfn.XLOOKUP(CONT_SUP[[#This Row],[PayScaleGradeCode]],GRADES[PayScaleGradeCode],GRADES[PayScaleCode])=CONT_SUP[[#This Row],[PayScaleCode]]),0,1)),1,0)</f>
        <v>0</v>
      </c>
      <c r="I236" s="57" cm="1">
        <f t="array" ref="I236">IF(ISERROR(FIND(CONT_SUP[[#This Row],[PayScalePointCode]],_xlfn.TEXTJOIN(",",TRUE,IF(PSPOINTS[PayScaleCode]=CONT_SUP[[#This Row],[PayScaleCode]],PSPOINTS[PayScalePointCode])))),1,0)</f>
        <v>0</v>
      </c>
      <c r="J236" s="57" cm="1">
        <f t="array" ref="J23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36" s="57">
        <f>IF(_xlfn.XLOOKUP(CONT_SUP[[#This Row],[PayScalePointCode]],PSPOINTS[PayScalePointCode],PSPOINTS[PayScalePointEnabled])=TRUE,0,1)</f>
        <v>0</v>
      </c>
      <c r="L236" s="57" cm="1">
        <f t="array" ref="L236">IF(_xlfn.XLOOKUP(CONT_SUP[[#This Row],[DepartmentCode]],DEPTS[DepartmentCode],DEPTS[AvailableToAllSchools],1,0,)=TRUE,0,IF(ISERROR(FIND(CONT_SUP[[#This Row],[SchoolCode]],_xlfn.TEXTJOIN(",",TRUE,_xlfn.UNIQUE(IF(DEPTS[DepartmentCode]=CONT_SUP[[#This Row],[DepartmentCode]],DEPTS[SchoolCodes],""))))),1,0))</f>
        <v>0</v>
      </c>
      <c r="M236" s="57">
        <f>IFERROR(IF(_xlfn.XLOOKUP(CONT_SUP[[#This Row],[SRG Gross]],FinanceCodesBudget[FinanceCode],FinanceCodesBudget[LedgerCode])=_xlfn.XLOOKUP(CONT_SUP[[#This Row],[DepartmentCode]],DEPTS[DepartmentCode],DEPTS[LedgerCode]),0,1),1)</f>
        <v>1</v>
      </c>
      <c r="N236" s="57" cm="1">
        <f t="array" ref="N236">IF(_xlfn.XLOOKUP(CONT_SUP[[#This Row],[PensionCode]],PENS[PensionCode],PENS[AvailableToAllSchools],1,0,)=TRUE,0,IF(ISERROR(FIND(CONT_SUP[[#This Row],[SchoolCode]],_xlfn.TEXTJOIN(",",TRUE,_xlfn.UNIQUE(IF(PENS[PensionCode]=CONT_SUP[[#This Row],[PensionCode]],PENS[SchoolCodes],""))))),1,0))</f>
        <v>0</v>
      </c>
      <c r="O236" s="57" cm="1">
        <f t="array" ref="O236">IF(_xlfn.XLOOKUP(CONT_SUP[[#This Row],[EquatedWeekPatternCode]],EQW[EquatedWeekPatternCode],EQW[AvailableToAllSchools],1,0,)=TRUE,0,IF(ISERROR(FIND(CONT_SUP[[#This Row],[SchoolCode]],_xlfn.TEXTJOIN(",",TRUE,_xlfn.UNIQUE(IF(EQW[EquatedWeekPatternCode]=CONT_SUP[[#This Row],[EquatedWeekPatternCode]],EQW[SchoolCodes],""))))),1,0))</f>
        <v>0</v>
      </c>
      <c r="P236" s="57">
        <f>1-COUNTIF(ContractTypes[Code],CONT_SUP[[#This Row],[ContractTypeCode]])</f>
        <v>0</v>
      </c>
      <c r="Q236" s="57">
        <f>IF(VLOOKUP(CONT_SUP[[#This Row],[StaffMemberCode]],MEMBERS[[StaffMemberCode]:[ServiceStartDate]],5,0)&gt;CONT_SUP[[#This Row],[DateFrom]],1,0)</f>
        <v>0</v>
      </c>
      <c r="R236" s="57">
        <f>IF(_xlfn.XLOOKUP(CONT_SUP[[#This Row],[StaffMemberCode]],MEMBERS[StaffMemberCode],MEMBERS[ServiceEndDate])="",0,IF(CONT_SUP[[#This Row],[DateTo]]="",1,IF(_xlfn.XLOOKUP(CONT_SUP[[#This Row],[StaffMemberCode]],MEMBERS[StaffMemberCode],MEMBERS[ServiceEndDate])&lt;CONT_SUP[[#This Row],[DateTo]],1,0)))</f>
        <v>0</v>
      </c>
      <c r="S236" s="57">
        <f>IF(ISBLANK(CONT_SUP[[#This Row],[DateTo]]),0,IF(CONT_SUP[[#This Row],[DateFrom]]=CONT_SUP[[#This Row],[DateTo]],0,IF(CONT_SUP[[#This Row],[DateFrom]]&lt;CONT_SUP[[#This Row],[DateTo]],0,1)))</f>
        <v>0</v>
      </c>
      <c r="T236" s="57" cm="1">
        <f t="array" aca="1" ref="T236" ca="1">IF(CELL("format",CONT_SUP[[#This Row],[DateFrom]])="D1",0,1)+IF(CELL("format",CONT_SUP[[#This Row],[DateTo]])="D1",0,1)</f>
        <v>0</v>
      </c>
      <c r="U236" s="57">
        <f>IF(OR(CONT_SUP[[#This Row],[MatEditOnly]]=TRUE,CONT_SUP[[#This Row],[MatEditOnly]]=FALSE),IF(OR(CONT_SUP[[#This Row],[NoIncrement]]=TRUE,CONT_SUP[[#This Row],[NoIncrement]]=FALSE),0,1),1)</f>
        <v>0</v>
      </c>
      <c r="V236" s="57">
        <f>IF(ISBLANK(CONT_SUP[[#This Row],[FundCode]])=TRUE,0,IF(COUNTIF(FUNDS[FundCode],CONT_SUP[[#This Row],[FundCode]])=1,0,1))</f>
        <v>0</v>
      </c>
      <c r="W236" s="57">
        <f>IF(LEN(CONT_SUP[[#This Row],[Notes]])&lt;4000,0,1)</f>
        <v>0</v>
      </c>
      <c r="X236" s="57">
        <f>IF(SUBSTITUTE(TEXT(CONT_SUP[[#This Row],[Reference]],10)," ","")=TEXT(CONT_SUP[[#This Row],[Reference]],10),0,1)</f>
        <v>0</v>
      </c>
      <c r="Y236" s="57">
        <f ca="1">SUM(CONT_SUP[[#This Row],[Duplicate Contract]:[Space in Code]])</f>
        <v>1</v>
      </c>
      <c r="AA236" s="12" t="s">
        <v>2094</v>
      </c>
      <c r="AB236" s="12">
        <v>91073496</v>
      </c>
      <c r="AC236" s="12" t="s">
        <v>4832</v>
      </c>
      <c r="AD236" s="57" t="str">
        <f>_xlfn.XLOOKUP(CONT_SUP[[#This Row],[StaffMemberCode]],StaffMembers!O:O,StaffMembers!R:R)</f>
        <v>Kelly Williams</v>
      </c>
      <c r="AE236" s="12" t="s">
        <v>1180</v>
      </c>
      <c r="AF236" s="57">
        <f>_xlfn.XLOOKUP(CONT_SUP[[#This Row],[SRG]],SRG[StaffRoleGroupCode],SRG[GrossSalaryFinanceCode])</f>
        <v>615100</v>
      </c>
      <c r="AG236" s="57" t="str">
        <f>_xlfn.XLOOKUP(CONT_SUP[[#This Row],[StaffRoleCode]],ROLES[StaffRoleCode],ROLES[StaffRoleGroupCode])</f>
        <v>TA</v>
      </c>
      <c r="AH236" s="57" t="str">
        <f>_xlfn.XLOOKUP(CONT_SUP[[#This Row],[StaffRoleCode]],ROLES[StaffRoleCode],ROLES[PayScaleCode])</f>
        <v>NJC_CHE</v>
      </c>
      <c r="AI236" s="12" t="s">
        <v>3122</v>
      </c>
      <c r="AJ236" s="12">
        <v>6</v>
      </c>
      <c r="AK236" s="12" t="s">
        <v>2497</v>
      </c>
      <c r="AM236" s="68" t="s">
        <v>3132</v>
      </c>
      <c r="AN236" s="12" t="s">
        <v>3134</v>
      </c>
      <c r="AO236" s="21">
        <v>45901</v>
      </c>
      <c r="AQ236" s="12">
        <v>31.25</v>
      </c>
      <c r="AR236" t="b">
        <v>0</v>
      </c>
      <c r="AS236" t="b">
        <v>0</v>
      </c>
      <c r="AT236" s="12" t="s">
        <v>1574</v>
      </c>
    </row>
    <row r="237" spans="1:46" x14ac:dyDescent="0.3">
      <c r="A237" s="57" t="str">
        <f t="shared" si="7"/>
        <v>PTP9107394891073948ATASTA45901</v>
      </c>
      <c r="B237" s="57">
        <f>COUNTIF(CONT_SUP[Unique Contract],CONT_SUP[[#This Row],[Unique Contract]])-1</f>
        <v>0</v>
      </c>
      <c r="C237" s="57">
        <f>IFERROR(IF(FIND(CONT_SUP[[#This Row],[SchoolCode]],_xlfn.XLOOKUP(CONT_SUP[[#This Row],[StaffMemberCode]],MEMBERS[StaffMemberCode],MEMBERS[SchoolCodes]))&gt;0,0,1),1)</f>
        <v>0</v>
      </c>
      <c r="D237" s="57" cm="1">
        <f t="array" ref="D237">IF(_xlfn.XLOOKUP(CONT_SUP[[#This Row],[StaffRoleCode]],ROLES[StaffRoleCode],ROLES[AvailableToAllSchools],1,0,)=TRUE,0,IF(ISERROR(FIND(CONT_SUP[[#This Row],[SchoolCode]],_xlfn.TEXTJOIN(",",TRUE,_xlfn.UNIQUE(IF(ROLES[StaffRoleCode]=CONT_SUP[[#This Row],[StaffRoleCode]],ROLES[SchoolCodes],""))))),1,0))</f>
        <v>0</v>
      </c>
      <c r="E237" s="57" cm="1">
        <f t="array" ref="E23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37" s="57" cm="1">
        <f t="array" ref="F237">IF(_xlfn.XLOOKUP(CONT_SUP[[#This Row],[PayScaleCode]],PAYSCALES[PayScaleCode],PAYSCALES[AvailableToAllSchools],1,0,)=TRUE,0,IF(ISERROR(FIND(CONT_SUP[[#This Row],[SchoolCode]],_xlfn.TEXTJOIN(",",TRUE,_xlfn.UNIQUE(IF(PAYSCALES[PayScaleCode]=CONT_SUP[[#This Row],[PayScaleCode]],PAYSCALES[SchoolCodes],""))))),1,0))</f>
        <v>0</v>
      </c>
      <c r="G237" s="57">
        <f>IF(_xlfn.XLOOKUP(CONT_SUP[[#This Row],[PayScaleGradeCode]],GRADES[PayScaleGradeCode],GRADES[AvailableToAllSchools])=TRUE,0,IFERROR(IF(FIND(CONT_SUP[[#This Row],[SchoolCode]],_xlfn.XLOOKUP(CONT_SUP[[#This Row],[PayScaleGradeCode]],GRADES[PayScaleGradeCode],GRADES[SchoolCodes]))&gt;=1,0,1),1))</f>
        <v>0</v>
      </c>
      <c r="H237" s="57">
        <f>IF(ISERROR(IF((_xlfn.XLOOKUP(CONT_SUP[[#This Row],[PayScaleGradeCode]],GRADES[PayScaleGradeCode],GRADES[PayScaleCode])=CONT_SUP[[#This Row],[PayScaleCode]]),0,1)),1,0)</f>
        <v>0</v>
      </c>
      <c r="I237" s="57" cm="1">
        <f t="array" ref="I237">IF(ISERROR(FIND(CONT_SUP[[#This Row],[PayScalePointCode]],_xlfn.TEXTJOIN(",",TRUE,IF(PSPOINTS[PayScaleCode]=CONT_SUP[[#This Row],[PayScaleCode]],PSPOINTS[PayScalePointCode])))),1,0)</f>
        <v>0</v>
      </c>
      <c r="J237" s="57" cm="1">
        <f t="array" ref="J23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37" s="57">
        <f>IF(_xlfn.XLOOKUP(CONT_SUP[[#This Row],[PayScalePointCode]],PSPOINTS[PayScalePointCode],PSPOINTS[PayScalePointEnabled])=TRUE,0,1)</f>
        <v>0</v>
      </c>
      <c r="L237" s="57" cm="1">
        <f t="array" ref="L237">IF(_xlfn.XLOOKUP(CONT_SUP[[#This Row],[DepartmentCode]],DEPTS[DepartmentCode],DEPTS[AvailableToAllSchools],1,0,)=TRUE,0,IF(ISERROR(FIND(CONT_SUP[[#This Row],[SchoolCode]],_xlfn.TEXTJOIN(",",TRUE,_xlfn.UNIQUE(IF(DEPTS[DepartmentCode]=CONT_SUP[[#This Row],[DepartmentCode]],DEPTS[SchoolCodes],""))))),1,0))</f>
        <v>0</v>
      </c>
      <c r="M237" s="57">
        <f>IFERROR(IF(_xlfn.XLOOKUP(CONT_SUP[[#This Row],[SRG Gross]],FinanceCodesBudget[FinanceCode],FinanceCodesBudget[LedgerCode])=_xlfn.XLOOKUP(CONT_SUP[[#This Row],[DepartmentCode]],DEPTS[DepartmentCode],DEPTS[LedgerCode]),0,1),1)</f>
        <v>1</v>
      </c>
      <c r="N237" s="57" cm="1">
        <f t="array" ref="N237">IF(_xlfn.XLOOKUP(CONT_SUP[[#This Row],[PensionCode]],PENS[PensionCode],PENS[AvailableToAllSchools],1,0,)=TRUE,0,IF(ISERROR(FIND(CONT_SUP[[#This Row],[SchoolCode]],_xlfn.TEXTJOIN(",",TRUE,_xlfn.UNIQUE(IF(PENS[PensionCode]=CONT_SUP[[#This Row],[PensionCode]],PENS[SchoolCodes],""))))),1,0))</f>
        <v>0</v>
      </c>
      <c r="O237" s="57" cm="1">
        <f t="array" ref="O237">IF(_xlfn.XLOOKUP(CONT_SUP[[#This Row],[EquatedWeekPatternCode]],EQW[EquatedWeekPatternCode],EQW[AvailableToAllSchools],1,0,)=TRUE,0,IF(ISERROR(FIND(CONT_SUP[[#This Row],[SchoolCode]],_xlfn.TEXTJOIN(",",TRUE,_xlfn.UNIQUE(IF(EQW[EquatedWeekPatternCode]=CONT_SUP[[#This Row],[EquatedWeekPatternCode]],EQW[SchoolCodes],""))))),1,0))</f>
        <v>0</v>
      </c>
      <c r="P237" s="57">
        <f>1-COUNTIF(ContractTypes[Code],CONT_SUP[[#This Row],[ContractTypeCode]])</f>
        <v>0</v>
      </c>
      <c r="Q237" s="57">
        <f>IF(VLOOKUP(CONT_SUP[[#This Row],[StaffMemberCode]],MEMBERS[[StaffMemberCode]:[ServiceStartDate]],5,0)&gt;CONT_SUP[[#This Row],[DateFrom]],1,0)</f>
        <v>0</v>
      </c>
      <c r="R237" s="57">
        <f>IF(_xlfn.XLOOKUP(CONT_SUP[[#This Row],[StaffMemberCode]],MEMBERS[StaffMemberCode],MEMBERS[ServiceEndDate])="",0,IF(CONT_SUP[[#This Row],[DateTo]]="",1,IF(_xlfn.XLOOKUP(CONT_SUP[[#This Row],[StaffMemberCode]],MEMBERS[StaffMemberCode],MEMBERS[ServiceEndDate])&lt;CONT_SUP[[#This Row],[DateTo]],1,0)))</f>
        <v>0</v>
      </c>
      <c r="S237" s="57">
        <f>IF(ISBLANK(CONT_SUP[[#This Row],[DateTo]]),0,IF(CONT_SUP[[#This Row],[DateFrom]]=CONT_SUP[[#This Row],[DateTo]],0,IF(CONT_SUP[[#This Row],[DateFrom]]&lt;CONT_SUP[[#This Row],[DateTo]],0,1)))</f>
        <v>0</v>
      </c>
      <c r="T237" s="57" cm="1">
        <f t="array" aca="1" ref="T237" ca="1">IF(CELL("format",CONT_SUP[[#This Row],[DateFrom]])="D1",0,1)+IF(CELL("format",CONT_SUP[[#This Row],[DateTo]])="D1",0,1)</f>
        <v>0</v>
      </c>
      <c r="U237" s="57">
        <f>IF(OR(CONT_SUP[[#This Row],[MatEditOnly]]=TRUE,CONT_SUP[[#This Row],[MatEditOnly]]=FALSE),IF(OR(CONT_SUP[[#This Row],[NoIncrement]]=TRUE,CONT_SUP[[#This Row],[NoIncrement]]=FALSE),0,1),1)</f>
        <v>0</v>
      </c>
      <c r="V237" s="57">
        <f>IF(ISBLANK(CONT_SUP[[#This Row],[FundCode]])=TRUE,0,IF(COUNTIF(FUNDS[FundCode],CONT_SUP[[#This Row],[FundCode]])=1,0,1))</f>
        <v>0</v>
      </c>
      <c r="W237" s="57">
        <f>IF(LEN(CONT_SUP[[#This Row],[Notes]])&lt;4000,0,1)</f>
        <v>0</v>
      </c>
      <c r="X237" s="57">
        <f>IF(SUBSTITUTE(TEXT(CONT_SUP[[#This Row],[Reference]],10)," ","")=TEXT(CONT_SUP[[#This Row],[Reference]],10),0,1)</f>
        <v>0</v>
      </c>
      <c r="Y237" s="57">
        <f ca="1">SUM(CONT_SUP[[#This Row],[Duplicate Contract]:[Space in Code]])</f>
        <v>1</v>
      </c>
      <c r="AA237" s="12" t="s">
        <v>2299</v>
      </c>
      <c r="AB237" s="12">
        <v>91073948</v>
      </c>
      <c r="AC237" s="12" t="s">
        <v>4833</v>
      </c>
      <c r="AD237" s="57" t="str">
        <f>_xlfn.XLOOKUP(CONT_SUP[[#This Row],[StaffMemberCode]],StaffMembers!O:O,StaffMembers!R:R)</f>
        <v>Kirsty Beeston</v>
      </c>
      <c r="AE237" s="12" t="s">
        <v>1180</v>
      </c>
      <c r="AF237" s="57">
        <f>_xlfn.XLOOKUP(CONT_SUP[[#This Row],[SRG]],SRG[StaffRoleGroupCode],SRG[GrossSalaryFinanceCode])</f>
        <v>615100</v>
      </c>
      <c r="AG237" s="57" t="str">
        <f>_xlfn.XLOOKUP(CONT_SUP[[#This Row],[StaffRoleCode]],ROLES[StaffRoleCode],ROLES[StaffRoleGroupCode])</f>
        <v>TA</v>
      </c>
      <c r="AH237" s="57" t="str">
        <f>_xlfn.XLOOKUP(CONT_SUP[[#This Row],[StaffRoleCode]],ROLES[StaffRoleCode],ROLES[PayScaleCode])</f>
        <v>NJC_CHE</v>
      </c>
      <c r="AI237" s="12" t="s">
        <v>3122</v>
      </c>
      <c r="AJ237" s="12">
        <v>6</v>
      </c>
      <c r="AK237" s="12" t="s">
        <v>2497</v>
      </c>
      <c r="AM237" s="68" t="s">
        <v>3132</v>
      </c>
      <c r="AN237" s="12" t="s">
        <v>3134</v>
      </c>
      <c r="AO237" s="21">
        <v>45901</v>
      </c>
      <c r="AQ237" s="12">
        <v>25</v>
      </c>
      <c r="AR237" t="b">
        <v>0</v>
      </c>
      <c r="AS237" t="b">
        <v>0</v>
      </c>
      <c r="AT237" s="12" t="s">
        <v>1574</v>
      </c>
    </row>
    <row r="238" spans="1:46" x14ac:dyDescent="0.3">
      <c r="A238" s="57" t="str">
        <f t="shared" si="7"/>
        <v>ALS9185002991850029ATASTA45901</v>
      </c>
      <c r="B238" s="57">
        <f>COUNTIF(CONT_SUP[Unique Contract],CONT_SUP[[#This Row],[Unique Contract]])-1</f>
        <v>0</v>
      </c>
      <c r="C238" s="57">
        <f>IFERROR(IF(FIND(CONT_SUP[[#This Row],[SchoolCode]],_xlfn.XLOOKUP(CONT_SUP[[#This Row],[StaffMemberCode]],MEMBERS[StaffMemberCode],MEMBERS[SchoolCodes]))&gt;0,0,1),1)</f>
        <v>0</v>
      </c>
      <c r="D238" s="57" cm="1">
        <f t="array" ref="D238">IF(_xlfn.XLOOKUP(CONT_SUP[[#This Row],[StaffRoleCode]],ROLES[StaffRoleCode],ROLES[AvailableToAllSchools],1,0,)=TRUE,0,IF(ISERROR(FIND(CONT_SUP[[#This Row],[SchoolCode]],_xlfn.TEXTJOIN(",",TRUE,_xlfn.UNIQUE(IF(ROLES[StaffRoleCode]=CONT_SUP[[#This Row],[StaffRoleCode]],ROLES[SchoolCodes],""))))),1,0))</f>
        <v>0</v>
      </c>
      <c r="E238" s="57" cm="1">
        <f t="array" ref="E23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38" s="57" cm="1">
        <f t="array" ref="F238">IF(_xlfn.XLOOKUP(CONT_SUP[[#This Row],[PayScaleCode]],PAYSCALES[PayScaleCode],PAYSCALES[AvailableToAllSchools],1,0,)=TRUE,0,IF(ISERROR(FIND(CONT_SUP[[#This Row],[SchoolCode]],_xlfn.TEXTJOIN(",",TRUE,_xlfn.UNIQUE(IF(PAYSCALES[PayScaleCode]=CONT_SUP[[#This Row],[PayScaleCode]],PAYSCALES[SchoolCodes],""))))),1,0))</f>
        <v>0</v>
      </c>
      <c r="G238" s="57">
        <f>IF(_xlfn.XLOOKUP(CONT_SUP[[#This Row],[PayScaleGradeCode]],GRADES[PayScaleGradeCode],GRADES[AvailableToAllSchools])=TRUE,0,IFERROR(IF(FIND(CONT_SUP[[#This Row],[SchoolCode]],_xlfn.XLOOKUP(CONT_SUP[[#This Row],[PayScaleGradeCode]],GRADES[PayScaleGradeCode],GRADES[SchoolCodes]))&gt;=1,0,1),1))</f>
        <v>0</v>
      </c>
      <c r="H238" s="57">
        <f>IF(ISERROR(IF((_xlfn.XLOOKUP(CONT_SUP[[#This Row],[PayScaleGradeCode]],GRADES[PayScaleGradeCode],GRADES[PayScaleCode])=CONT_SUP[[#This Row],[PayScaleCode]]),0,1)),1,0)</f>
        <v>0</v>
      </c>
      <c r="I238" s="57" cm="1">
        <f t="array" ref="I238">IF(ISERROR(FIND(CONT_SUP[[#This Row],[PayScalePointCode]],_xlfn.TEXTJOIN(",",TRUE,IF(PSPOINTS[PayScaleCode]=CONT_SUP[[#This Row],[PayScaleCode]],PSPOINTS[PayScalePointCode])))),1,0)</f>
        <v>0</v>
      </c>
      <c r="J238" s="57" cm="1">
        <f t="array" ref="J23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38" s="57">
        <f>IF(_xlfn.XLOOKUP(CONT_SUP[[#This Row],[PayScalePointCode]],PSPOINTS[PayScalePointCode],PSPOINTS[PayScalePointEnabled])=TRUE,0,1)</f>
        <v>0</v>
      </c>
      <c r="L238" s="57" cm="1">
        <f t="array" ref="L238">IF(_xlfn.XLOOKUP(CONT_SUP[[#This Row],[DepartmentCode]],DEPTS[DepartmentCode],DEPTS[AvailableToAllSchools],1,0,)=TRUE,0,IF(ISERROR(FIND(CONT_SUP[[#This Row],[SchoolCode]],_xlfn.TEXTJOIN(",",TRUE,_xlfn.UNIQUE(IF(DEPTS[DepartmentCode]=CONT_SUP[[#This Row],[DepartmentCode]],DEPTS[SchoolCodes],""))))),1,0))</f>
        <v>0</v>
      </c>
      <c r="M238" s="57">
        <f>IFERROR(IF(_xlfn.XLOOKUP(CONT_SUP[[#This Row],[SRG Gross]],FinanceCodesBudget[FinanceCode],FinanceCodesBudget[LedgerCode])=_xlfn.XLOOKUP(CONT_SUP[[#This Row],[DepartmentCode]],DEPTS[DepartmentCode],DEPTS[LedgerCode]),0,1),1)</f>
        <v>1</v>
      </c>
      <c r="N238" s="57" cm="1">
        <f t="array" ref="N238">IF(_xlfn.XLOOKUP(CONT_SUP[[#This Row],[PensionCode]],PENS[PensionCode],PENS[AvailableToAllSchools],1,0,)=TRUE,0,IF(ISERROR(FIND(CONT_SUP[[#This Row],[SchoolCode]],_xlfn.TEXTJOIN(",",TRUE,_xlfn.UNIQUE(IF(PENS[PensionCode]=CONT_SUP[[#This Row],[PensionCode]],PENS[SchoolCodes],""))))),1,0))</f>
        <v>0</v>
      </c>
      <c r="O238" s="57" cm="1">
        <f t="array" ref="O238">IF(_xlfn.XLOOKUP(CONT_SUP[[#This Row],[EquatedWeekPatternCode]],EQW[EquatedWeekPatternCode],EQW[AvailableToAllSchools],1,0,)=TRUE,0,IF(ISERROR(FIND(CONT_SUP[[#This Row],[SchoolCode]],_xlfn.TEXTJOIN(",",TRUE,_xlfn.UNIQUE(IF(EQW[EquatedWeekPatternCode]=CONT_SUP[[#This Row],[EquatedWeekPatternCode]],EQW[SchoolCodes],""))))),1,0))</f>
        <v>0</v>
      </c>
      <c r="P238" s="57">
        <f>1-COUNTIF(ContractTypes[Code],CONT_SUP[[#This Row],[ContractTypeCode]])</f>
        <v>0</v>
      </c>
      <c r="Q238" s="57">
        <f>IF(VLOOKUP(CONT_SUP[[#This Row],[StaffMemberCode]],MEMBERS[[StaffMemberCode]:[ServiceStartDate]],5,0)&gt;CONT_SUP[[#This Row],[DateFrom]],1,0)</f>
        <v>0</v>
      </c>
      <c r="R238" s="57">
        <f>IF(_xlfn.XLOOKUP(CONT_SUP[[#This Row],[StaffMemberCode]],MEMBERS[StaffMemberCode],MEMBERS[ServiceEndDate])="",0,IF(CONT_SUP[[#This Row],[DateTo]]="",1,IF(_xlfn.XLOOKUP(CONT_SUP[[#This Row],[StaffMemberCode]],MEMBERS[StaffMemberCode],MEMBERS[ServiceEndDate])&lt;CONT_SUP[[#This Row],[DateTo]],1,0)))</f>
        <v>0</v>
      </c>
      <c r="S238" s="57">
        <f>IF(ISBLANK(CONT_SUP[[#This Row],[DateTo]]),0,IF(CONT_SUP[[#This Row],[DateFrom]]=CONT_SUP[[#This Row],[DateTo]],0,IF(CONT_SUP[[#This Row],[DateFrom]]&lt;CONT_SUP[[#This Row],[DateTo]],0,1)))</f>
        <v>0</v>
      </c>
      <c r="T238" s="57" cm="1">
        <f t="array" aca="1" ref="T238" ca="1">IF(CELL("format",CONT_SUP[[#This Row],[DateFrom]])="D1",0,1)+IF(CELL("format",CONT_SUP[[#This Row],[DateTo]])="D1",0,1)</f>
        <v>0</v>
      </c>
      <c r="U238" s="57">
        <f>IF(OR(CONT_SUP[[#This Row],[MatEditOnly]]=TRUE,CONT_SUP[[#This Row],[MatEditOnly]]=FALSE),IF(OR(CONT_SUP[[#This Row],[NoIncrement]]=TRUE,CONT_SUP[[#This Row],[NoIncrement]]=FALSE),0,1),1)</f>
        <v>0</v>
      </c>
      <c r="V238" s="57">
        <f>IF(ISBLANK(CONT_SUP[[#This Row],[FundCode]])=TRUE,0,IF(COUNTIF(FUNDS[FundCode],CONT_SUP[[#This Row],[FundCode]])=1,0,1))</f>
        <v>0</v>
      </c>
      <c r="W238" s="57">
        <f>IF(LEN(CONT_SUP[[#This Row],[Notes]])&lt;4000,0,1)</f>
        <v>0</v>
      </c>
      <c r="X238" s="57">
        <f>IF(SUBSTITUTE(TEXT(CONT_SUP[[#This Row],[Reference]],10)," ","")=TEXT(CONT_SUP[[#This Row],[Reference]],10),0,1)</f>
        <v>0</v>
      </c>
      <c r="Y238" s="57">
        <f ca="1">SUM(CONT_SUP[[#This Row],[Duplicate Contract]:[Space in Code]])</f>
        <v>1</v>
      </c>
      <c r="AA238" s="12" t="s">
        <v>2082</v>
      </c>
      <c r="AB238" s="12">
        <v>91850029</v>
      </c>
      <c r="AC238" s="12" t="s">
        <v>4834</v>
      </c>
      <c r="AD238" s="57" t="str">
        <f>_xlfn.XLOOKUP(CONT_SUP[[#This Row],[StaffMemberCode]],StaffMembers!O:O,StaffMembers!R:R)</f>
        <v>Kirsty Hickman</v>
      </c>
      <c r="AE238" s="12" t="s">
        <v>1180</v>
      </c>
      <c r="AF238" s="57">
        <f>_xlfn.XLOOKUP(CONT_SUP[[#This Row],[SRG]],SRG[StaffRoleGroupCode],SRG[GrossSalaryFinanceCode])</f>
        <v>615100</v>
      </c>
      <c r="AG238" s="57" t="str">
        <f>_xlfn.XLOOKUP(CONT_SUP[[#This Row],[StaffRoleCode]],ROLES[StaffRoleCode],ROLES[StaffRoleGroupCode])</f>
        <v>TA</v>
      </c>
      <c r="AH238" s="57" t="str">
        <f>_xlfn.XLOOKUP(CONT_SUP[[#This Row],[StaffRoleCode]],ROLES[StaffRoleCode],ROLES[PayScaleCode])</f>
        <v>NJC_CHE</v>
      </c>
      <c r="AI238" s="12" t="s">
        <v>3123</v>
      </c>
      <c r="AJ238" s="12">
        <v>11</v>
      </c>
      <c r="AK238" s="12" t="s">
        <v>2497</v>
      </c>
      <c r="AM238" s="68" t="s">
        <v>3132</v>
      </c>
      <c r="AN238" s="12" t="s">
        <v>3135</v>
      </c>
      <c r="AO238" s="21">
        <v>45901</v>
      </c>
      <c r="AQ238" s="12">
        <v>32.5</v>
      </c>
      <c r="AR238" t="b">
        <v>0</v>
      </c>
      <c r="AS238" t="b">
        <v>0</v>
      </c>
      <c r="AT238" s="12" t="s">
        <v>1574</v>
      </c>
    </row>
    <row r="239" spans="1:46" x14ac:dyDescent="0.3">
      <c r="A239" s="57" t="str">
        <f t="shared" si="7"/>
        <v>WVP9107340091073400ATASTA45901</v>
      </c>
      <c r="B239" s="57">
        <f>COUNTIF(CONT_SUP[Unique Contract],CONT_SUP[[#This Row],[Unique Contract]])-1</f>
        <v>0</v>
      </c>
      <c r="C239" s="57">
        <f>IFERROR(IF(FIND(CONT_SUP[[#This Row],[SchoolCode]],_xlfn.XLOOKUP(CONT_SUP[[#This Row],[StaffMemberCode]],MEMBERS[StaffMemberCode],MEMBERS[SchoolCodes]))&gt;0,0,1),1)</f>
        <v>0</v>
      </c>
      <c r="D239" s="57" cm="1">
        <f t="array" ref="D239">IF(_xlfn.XLOOKUP(CONT_SUP[[#This Row],[StaffRoleCode]],ROLES[StaffRoleCode],ROLES[AvailableToAllSchools],1,0,)=TRUE,0,IF(ISERROR(FIND(CONT_SUP[[#This Row],[SchoolCode]],_xlfn.TEXTJOIN(",",TRUE,_xlfn.UNIQUE(IF(ROLES[StaffRoleCode]=CONT_SUP[[#This Row],[StaffRoleCode]],ROLES[SchoolCodes],""))))),1,0))</f>
        <v>0</v>
      </c>
      <c r="E239" s="57" cm="1">
        <f t="array" ref="E23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39" s="57" cm="1">
        <f t="array" ref="F239">IF(_xlfn.XLOOKUP(CONT_SUP[[#This Row],[PayScaleCode]],PAYSCALES[PayScaleCode],PAYSCALES[AvailableToAllSchools],1,0,)=TRUE,0,IF(ISERROR(FIND(CONT_SUP[[#This Row],[SchoolCode]],_xlfn.TEXTJOIN(",",TRUE,_xlfn.UNIQUE(IF(PAYSCALES[PayScaleCode]=CONT_SUP[[#This Row],[PayScaleCode]],PAYSCALES[SchoolCodes],""))))),1,0))</f>
        <v>0</v>
      </c>
      <c r="G239" s="57">
        <f>IF(_xlfn.XLOOKUP(CONT_SUP[[#This Row],[PayScaleGradeCode]],GRADES[PayScaleGradeCode],GRADES[AvailableToAllSchools])=TRUE,0,IFERROR(IF(FIND(CONT_SUP[[#This Row],[SchoolCode]],_xlfn.XLOOKUP(CONT_SUP[[#This Row],[PayScaleGradeCode]],GRADES[PayScaleGradeCode],GRADES[SchoolCodes]))&gt;=1,0,1),1))</f>
        <v>0</v>
      </c>
      <c r="H239" s="57">
        <f>IF(ISERROR(IF((_xlfn.XLOOKUP(CONT_SUP[[#This Row],[PayScaleGradeCode]],GRADES[PayScaleGradeCode],GRADES[PayScaleCode])=CONT_SUP[[#This Row],[PayScaleCode]]),0,1)),1,0)</f>
        <v>0</v>
      </c>
      <c r="I239" s="57" cm="1">
        <f t="array" ref="I239">IF(ISERROR(FIND(CONT_SUP[[#This Row],[PayScalePointCode]],_xlfn.TEXTJOIN(",",TRUE,IF(PSPOINTS[PayScaleCode]=CONT_SUP[[#This Row],[PayScaleCode]],PSPOINTS[PayScalePointCode])))),1,0)</f>
        <v>0</v>
      </c>
      <c r="J239" s="57" cm="1">
        <f t="array" ref="J23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39" s="57">
        <f>IF(_xlfn.XLOOKUP(CONT_SUP[[#This Row],[PayScalePointCode]],PSPOINTS[PayScalePointCode],PSPOINTS[PayScalePointEnabled])=TRUE,0,1)</f>
        <v>0</v>
      </c>
      <c r="L239" s="57" cm="1">
        <f t="array" ref="L239">IF(_xlfn.XLOOKUP(CONT_SUP[[#This Row],[DepartmentCode]],DEPTS[DepartmentCode],DEPTS[AvailableToAllSchools],1,0,)=TRUE,0,IF(ISERROR(FIND(CONT_SUP[[#This Row],[SchoolCode]],_xlfn.TEXTJOIN(",",TRUE,_xlfn.UNIQUE(IF(DEPTS[DepartmentCode]=CONT_SUP[[#This Row],[DepartmentCode]],DEPTS[SchoolCodes],""))))),1,0))</f>
        <v>0</v>
      </c>
      <c r="M239" s="57">
        <f>IFERROR(IF(_xlfn.XLOOKUP(CONT_SUP[[#This Row],[SRG Gross]],FinanceCodesBudget[FinanceCode],FinanceCodesBudget[LedgerCode])=_xlfn.XLOOKUP(CONT_SUP[[#This Row],[DepartmentCode]],DEPTS[DepartmentCode],DEPTS[LedgerCode]),0,1),1)</f>
        <v>1</v>
      </c>
      <c r="N239" s="57" cm="1">
        <f t="array" ref="N239">IF(_xlfn.XLOOKUP(CONT_SUP[[#This Row],[PensionCode]],PENS[PensionCode],PENS[AvailableToAllSchools],1,0,)=TRUE,0,IF(ISERROR(FIND(CONT_SUP[[#This Row],[SchoolCode]],_xlfn.TEXTJOIN(",",TRUE,_xlfn.UNIQUE(IF(PENS[PensionCode]=CONT_SUP[[#This Row],[PensionCode]],PENS[SchoolCodes],""))))),1,0))</f>
        <v>0</v>
      </c>
      <c r="O239" s="57" cm="1">
        <f t="array" ref="O239">IF(_xlfn.XLOOKUP(CONT_SUP[[#This Row],[EquatedWeekPatternCode]],EQW[EquatedWeekPatternCode],EQW[AvailableToAllSchools],1,0,)=TRUE,0,IF(ISERROR(FIND(CONT_SUP[[#This Row],[SchoolCode]],_xlfn.TEXTJOIN(",",TRUE,_xlfn.UNIQUE(IF(EQW[EquatedWeekPatternCode]=CONT_SUP[[#This Row],[EquatedWeekPatternCode]],EQW[SchoolCodes],""))))),1,0))</f>
        <v>0</v>
      </c>
      <c r="P239" s="57">
        <f>1-COUNTIF(ContractTypes[Code],CONT_SUP[[#This Row],[ContractTypeCode]])</f>
        <v>0</v>
      </c>
      <c r="Q239" s="57">
        <f>IF(VLOOKUP(CONT_SUP[[#This Row],[StaffMemberCode]],MEMBERS[[StaffMemberCode]:[ServiceStartDate]],5,0)&gt;CONT_SUP[[#This Row],[DateFrom]],1,0)</f>
        <v>0</v>
      </c>
      <c r="R239" s="57">
        <f>IF(_xlfn.XLOOKUP(CONT_SUP[[#This Row],[StaffMemberCode]],MEMBERS[StaffMemberCode],MEMBERS[ServiceEndDate])="",0,IF(CONT_SUP[[#This Row],[DateTo]]="",1,IF(_xlfn.XLOOKUP(CONT_SUP[[#This Row],[StaffMemberCode]],MEMBERS[StaffMemberCode],MEMBERS[ServiceEndDate])&lt;CONT_SUP[[#This Row],[DateTo]],1,0)))</f>
        <v>0</v>
      </c>
      <c r="S239" s="57">
        <f>IF(ISBLANK(CONT_SUP[[#This Row],[DateTo]]),0,IF(CONT_SUP[[#This Row],[DateFrom]]=CONT_SUP[[#This Row],[DateTo]],0,IF(CONT_SUP[[#This Row],[DateFrom]]&lt;CONT_SUP[[#This Row],[DateTo]],0,1)))</f>
        <v>0</v>
      </c>
      <c r="T239" s="57" cm="1">
        <f t="array" aca="1" ref="T239" ca="1">IF(CELL("format",CONT_SUP[[#This Row],[DateFrom]])="D1",0,1)+IF(CELL("format",CONT_SUP[[#This Row],[DateTo]])="D1",0,1)</f>
        <v>0</v>
      </c>
      <c r="U239" s="57">
        <f>IF(OR(CONT_SUP[[#This Row],[MatEditOnly]]=TRUE,CONT_SUP[[#This Row],[MatEditOnly]]=FALSE),IF(OR(CONT_SUP[[#This Row],[NoIncrement]]=TRUE,CONT_SUP[[#This Row],[NoIncrement]]=FALSE),0,1),1)</f>
        <v>0</v>
      </c>
      <c r="V239" s="57">
        <f>IF(ISBLANK(CONT_SUP[[#This Row],[FundCode]])=TRUE,0,IF(COUNTIF(FUNDS[FundCode],CONT_SUP[[#This Row],[FundCode]])=1,0,1))</f>
        <v>0</v>
      </c>
      <c r="W239" s="57">
        <f>IF(LEN(CONT_SUP[[#This Row],[Notes]])&lt;4000,0,1)</f>
        <v>0</v>
      </c>
      <c r="X239" s="57">
        <f>IF(SUBSTITUTE(TEXT(CONT_SUP[[#This Row],[Reference]],10)," ","")=TEXT(CONT_SUP[[#This Row],[Reference]],10),0,1)</f>
        <v>0</v>
      </c>
      <c r="Y239" s="57">
        <f ca="1">SUM(CONT_SUP[[#This Row],[Duplicate Contract]:[Space in Code]])</f>
        <v>1</v>
      </c>
      <c r="AA239" s="12" t="s">
        <v>2275</v>
      </c>
      <c r="AB239" s="12">
        <v>91073400</v>
      </c>
      <c r="AC239" s="12" t="s">
        <v>4835</v>
      </c>
      <c r="AD239" s="57" t="str">
        <f>_xlfn.XLOOKUP(CONT_SUP[[#This Row],[StaffMemberCode]],StaffMembers!O:O,StaffMembers!R:R)</f>
        <v>Kirsty Lister</v>
      </c>
      <c r="AE239" s="12" t="s">
        <v>1180</v>
      </c>
      <c r="AF239" s="57">
        <f>_xlfn.XLOOKUP(CONT_SUP[[#This Row],[SRG]],SRG[StaffRoleGroupCode],SRG[GrossSalaryFinanceCode])</f>
        <v>615100</v>
      </c>
      <c r="AG239" s="57" t="str">
        <f>_xlfn.XLOOKUP(CONT_SUP[[#This Row],[StaffRoleCode]],ROLES[StaffRoleCode],ROLES[StaffRoleGroupCode])</f>
        <v>TA</v>
      </c>
      <c r="AH239" s="57" t="str">
        <f>_xlfn.XLOOKUP(CONT_SUP[[#This Row],[StaffRoleCode]],ROLES[StaffRoleCode],ROLES[PayScaleCode])</f>
        <v>NJC_CHE</v>
      </c>
      <c r="AI239" s="12" t="s">
        <v>3123</v>
      </c>
      <c r="AJ239" s="12">
        <v>11</v>
      </c>
      <c r="AK239" s="12" t="s">
        <v>2497</v>
      </c>
      <c r="AM239" s="68" t="s">
        <v>3132</v>
      </c>
      <c r="AN239" s="12" t="s">
        <v>3134</v>
      </c>
      <c r="AO239" s="21">
        <v>45901</v>
      </c>
      <c r="AQ239" s="12">
        <v>8.5</v>
      </c>
      <c r="AR239" t="b">
        <v>0</v>
      </c>
      <c r="AS239" t="b">
        <v>0</v>
      </c>
      <c r="AT239" s="12" t="s">
        <v>1574</v>
      </c>
    </row>
    <row r="240" spans="1:46" x14ac:dyDescent="0.3">
      <c r="A240" s="57" t="str">
        <f t="shared" si="7"/>
        <v>BLS9107356791073567ATASTA45901</v>
      </c>
      <c r="B240" s="57">
        <f>COUNTIF(CONT_SUP[Unique Contract],CONT_SUP[[#This Row],[Unique Contract]])-1</f>
        <v>0</v>
      </c>
      <c r="C240" s="57">
        <f>IFERROR(IF(FIND(CONT_SUP[[#This Row],[SchoolCode]],_xlfn.XLOOKUP(CONT_SUP[[#This Row],[StaffMemberCode]],MEMBERS[StaffMemberCode],MEMBERS[SchoolCodes]))&gt;0,0,1),1)</f>
        <v>0</v>
      </c>
      <c r="D240" s="57" cm="1">
        <f t="array" ref="D240">IF(_xlfn.XLOOKUP(CONT_SUP[[#This Row],[StaffRoleCode]],ROLES[StaffRoleCode],ROLES[AvailableToAllSchools],1,0,)=TRUE,0,IF(ISERROR(FIND(CONT_SUP[[#This Row],[SchoolCode]],_xlfn.TEXTJOIN(",",TRUE,_xlfn.UNIQUE(IF(ROLES[StaffRoleCode]=CONT_SUP[[#This Row],[StaffRoleCode]],ROLES[SchoolCodes],""))))),1,0))</f>
        <v>0</v>
      </c>
      <c r="E240" s="57" cm="1">
        <f t="array" ref="E24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40" s="57" cm="1">
        <f t="array" ref="F240">IF(_xlfn.XLOOKUP(CONT_SUP[[#This Row],[PayScaleCode]],PAYSCALES[PayScaleCode],PAYSCALES[AvailableToAllSchools],1,0,)=TRUE,0,IF(ISERROR(FIND(CONT_SUP[[#This Row],[SchoolCode]],_xlfn.TEXTJOIN(",",TRUE,_xlfn.UNIQUE(IF(PAYSCALES[PayScaleCode]=CONT_SUP[[#This Row],[PayScaleCode]],PAYSCALES[SchoolCodes],""))))),1,0))</f>
        <v>0</v>
      </c>
      <c r="G240" s="57">
        <f>IF(_xlfn.XLOOKUP(CONT_SUP[[#This Row],[PayScaleGradeCode]],GRADES[PayScaleGradeCode],GRADES[AvailableToAllSchools])=TRUE,0,IFERROR(IF(FIND(CONT_SUP[[#This Row],[SchoolCode]],_xlfn.XLOOKUP(CONT_SUP[[#This Row],[PayScaleGradeCode]],GRADES[PayScaleGradeCode],GRADES[SchoolCodes]))&gt;=1,0,1),1))</f>
        <v>0</v>
      </c>
      <c r="H240" s="57">
        <f>IF(ISERROR(IF((_xlfn.XLOOKUP(CONT_SUP[[#This Row],[PayScaleGradeCode]],GRADES[PayScaleGradeCode],GRADES[PayScaleCode])=CONT_SUP[[#This Row],[PayScaleCode]]),0,1)),1,0)</f>
        <v>0</v>
      </c>
      <c r="I240" s="57" cm="1">
        <f t="array" ref="I240">IF(ISERROR(FIND(CONT_SUP[[#This Row],[PayScalePointCode]],_xlfn.TEXTJOIN(",",TRUE,IF(PSPOINTS[PayScaleCode]=CONT_SUP[[#This Row],[PayScaleCode]],PSPOINTS[PayScalePointCode])))),1,0)</f>
        <v>0</v>
      </c>
      <c r="J240" s="57" cm="1">
        <f t="array" ref="J24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40" s="57">
        <f>IF(_xlfn.XLOOKUP(CONT_SUP[[#This Row],[PayScalePointCode]],PSPOINTS[PayScalePointCode],PSPOINTS[PayScalePointEnabled])=TRUE,0,1)</f>
        <v>0</v>
      </c>
      <c r="L240" s="57" cm="1">
        <f t="array" ref="L240">IF(_xlfn.XLOOKUP(CONT_SUP[[#This Row],[DepartmentCode]],DEPTS[DepartmentCode],DEPTS[AvailableToAllSchools],1,0,)=TRUE,0,IF(ISERROR(FIND(CONT_SUP[[#This Row],[SchoolCode]],_xlfn.TEXTJOIN(",",TRUE,_xlfn.UNIQUE(IF(DEPTS[DepartmentCode]=CONT_SUP[[#This Row],[DepartmentCode]],DEPTS[SchoolCodes],""))))),1,0))</f>
        <v>0</v>
      </c>
      <c r="M240" s="57">
        <f>IFERROR(IF(_xlfn.XLOOKUP(CONT_SUP[[#This Row],[SRG Gross]],FinanceCodesBudget[FinanceCode],FinanceCodesBudget[LedgerCode])=_xlfn.XLOOKUP(CONT_SUP[[#This Row],[DepartmentCode]],DEPTS[DepartmentCode],DEPTS[LedgerCode]),0,1),1)</f>
        <v>1</v>
      </c>
      <c r="N240" s="57" cm="1">
        <f t="array" ref="N240">IF(_xlfn.XLOOKUP(CONT_SUP[[#This Row],[PensionCode]],PENS[PensionCode],PENS[AvailableToAllSchools],1,0,)=TRUE,0,IF(ISERROR(FIND(CONT_SUP[[#This Row],[SchoolCode]],_xlfn.TEXTJOIN(",",TRUE,_xlfn.UNIQUE(IF(PENS[PensionCode]=CONT_SUP[[#This Row],[PensionCode]],PENS[SchoolCodes],""))))),1,0))</f>
        <v>0</v>
      </c>
      <c r="O240" s="57" cm="1">
        <f t="array" ref="O240">IF(_xlfn.XLOOKUP(CONT_SUP[[#This Row],[EquatedWeekPatternCode]],EQW[EquatedWeekPatternCode],EQW[AvailableToAllSchools],1,0,)=TRUE,0,IF(ISERROR(FIND(CONT_SUP[[#This Row],[SchoolCode]],_xlfn.TEXTJOIN(",",TRUE,_xlfn.UNIQUE(IF(EQW[EquatedWeekPatternCode]=CONT_SUP[[#This Row],[EquatedWeekPatternCode]],EQW[SchoolCodes],""))))),1,0))</f>
        <v>0</v>
      </c>
      <c r="P240" s="57">
        <f>1-COUNTIF(ContractTypes[Code],CONT_SUP[[#This Row],[ContractTypeCode]])</f>
        <v>0</v>
      </c>
      <c r="Q240" s="57">
        <f>IF(VLOOKUP(CONT_SUP[[#This Row],[StaffMemberCode]],MEMBERS[[StaffMemberCode]:[ServiceStartDate]],5,0)&gt;CONT_SUP[[#This Row],[DateFrom]],1,0)</f>
        <v>0</v>
      </c>
      <c r="R240" s="57">
        <f>IF(_xlfn.XLOOKUP(CONT_SUP[[#This Row],[StaffMemberCode]],MEMBERS[StaffMemberCode],MEMBERS[ServiceEndDate])="",0,IF(CONT_SUP[[#This Row],[DateTo]]="",1,IF(_xlfn.XLOOKUP(CONT_SUP[[#This Row],[StaffMemberCode]],MEMBERS[StaffMemberCode],MEMBERS[ServiceEndDate])&lt;CONT_SUP[[#This Row],[DateTo]],1,0)))</f>
        <v>0</v>
      </c>
      <c r="S240" s="57">
        <f>IF(ISBLANK(CONT_SUP[[#This Row],[DateTo]]),0,IF(CONT_SUP[[#This Row],[DateFrom]]=CONT_SUP[[#This Row],[DateTo]],0,IF(CONT_SUP[[#This Row],[DateFrom]]&lt;CONT_SUP[[#This Row],[DateTo]],0,1)))</f>
        <v>0</v>
      </c>
      <c r="T240" s="57" cm="1">
        <f t="array" aca="1" ref="T240" ca="1">IF(CELL("format",CONT_SUP[[#This Row],[DateFrom]])="D1",0,1)+IF(CELL("format",CONT_SUP[[#This Row],[DateTo]])="D1",0,1)</f>
        <v>0</v>
      </c>
      <c r="U240" s="57">
        <f>IF(OR(CONT_SUP[[#This Row],[MatEditOnly]]=TRUE,CONT_SUP[[#This Row],[MatEditOnly]]=FALSE),IF(OR(CONT_SUP[[#This Row],[NoIncrement]]=TRUE,CONT_SUP[[#This Row],[NoIncrement]]=FALSE),0,1),1)</f>
        <v>0</v>
      </c>
      <c r="V240" s="57">
        <f>IF(ISBLANK(CONT_SUP[[#This Row],[FundCode]])=TRUE,0,IF(COUNTIF(FUNDS[FundCode],CONT_SUP[[#This Row],[FundCode]])=1,0,1))</f>
        <v>0</v>
      </c>
      <c r="W240" s="57">
        <f>IF(LEN(CONT_SUP[[#This Row],[Notes]])&lt;4000,0,1)</f>
        <v>0</v>
      </c>
      <c r="X240" s="57">
        <f>IF(SUBSTITUTE(TEXT(CONT_SUP[[#This Row],[Reference]],10)," ","")=TEXT(CONT_SUP[[#This Row],[Reference]],10),0,1)</f>
        <v>0</v>
      </c>
      <c r="Y240" s="57">
        <f ca="1">SUM(CONT_SUP[[#This Row],[Duplicate Contract]:[Space in Code]])</f>
        <v>1</v>
      </c>
      <c r="AA240" s="12" t="s">
        <v>2094</v>
      </c>
      <c r="AB240" s="12">
        <v>91073567</v>
      </c>
      <c r="AC240" s="12" t="s">
        <v>4836</v>
      </c>
      <c r="AD240" s="57" t="str">
        <f>_xlfn.XLOOKUP(CONT_SUP[[#This Row],[StaffMemberCode]],StaffMembers!O:O,StaffMembers!R:R)</f>
        <v>Laura Maddocks</v>
      </c>
      <c r="AE240" s="12" t="s">
        <v>1180</v>
      </c>
      <c r="AF240" s="57">
        <f>_xlfn.XLOOKUP(CONT_SUP[[#This Row],[SRG]],SRG[StaffRoleGroupCode],SRG[GrossSalaryFinanceCode])</f>
        <v>615100</v>
      </c>
      <c r="AG240" s="57" t="str">
        <f>_xlfn.XLOOKUP(CONT_SUP[[#This Row],[StaffRoleCode]],ROLES[StaffRoleCode],ROLES[StaffRoleGroupCode])</f>
        <v>TA</v>
      </c>
      <c r="AH240" s="57" t="str">
        <f>_xlfn.XLOOKUP(CONT_SUP[[#This Row],[StaffRoleCode]],ROLES[StaffRoleCode],ROLES[PayScaleCode])</f>
        <v>NJC_CHE</v>
      </c>
      <c r="AI240" s="12" t="s">
        <v>3122</v>
      </c>
      <c r="AJ240" s="12">
        <v>6</v>
      </c>
      <c r="AK240" s="12" t="s">
        <v>2497</v>
      </c>
      <c r="AM240" s="68" t="s">
        <v>3132</v>
      </c>
      <c r="AN240" s="12" t="s">
        <v>3135</v>
      </c>
      <c r="AO240" s="21">
        <v>45901</v>
      </c>
      <c r="AQ240" s="12">
        <v>28.75</v>
      </c>
      <c r="AR240" t="b">
        <v>0</v>
      </c>
      <c r="AS240" t="b">
        <v>0</v>
      </c>
      <c r="AT240" s="12" t="s">
        <v>1574</v>
      </c>
    </row>
    <row r="241" spans="1:46" x14ac:dyDescent="0.3">
      <c r="A241" s="57" t="str">
        <f t="shared" si="7"/>
        <v>SBL9107575491075754ATASTA45901</v>
      </c>
      <c r="B241" s="57">
        <f>COUNTIF(CONT_SUP[Unique Contract],CONT_SUP[[#This Row],[Unique Contract]])-1</f>
        <v>0</v>
      </c>
      <c r="C241" s="57">
        <f>IFERROR(IF(FIND(CONT_SUP[[#This Row],[SchoolCode]],_xlfn.XLOOKUP(CONT_SUP[[#This Row],[StaffMemberCode]],MEMBERS[StaffMemberCode],MEMBERS[SchoolCodes]))&gt;0,0,1),1)</f>
        <v>0</v>
      </c>
      <c r="D241" s="57" cm="1">
        <f t="array" ref="D241">IF(_xlfn.XLOOKUP(CONT_SUP[[#This Row],[StaffRoleCode]],ROLES[StaffRoleCode],ROLES[AvailableToAllSchools],1,0,)=TRUE,0,IF(ISERROR(FIND(CONT_SUP[[#This Row],[SchoolCode]],_xlfn.TEXTJOIN(",",TRUE,_xlfn.UNIQUE(IF(ROLES[StaffRoleCode]=CONT_SUP[[#This Row],[StaffRoleCode]],ROLES[SchoolCodes],""))))),1,0))</f>
        <v>0</v>
      </c>
      <c r="E241" s="57" cm="1">
        <f t="array" ref="E24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41" s="57" cm="1">
        <f t="array" ref="F241">IF(_xlfn.XLOOKUP(CONT_SUP[[#This Row],[PayScaleCode]],PAYSCALES[PayScaleCode],PAYSCALES[AvailableToAllSchools],1,0,)=TRUE,0,IF(ISERROR(FIND(CONT_SUP[[#This Row],[SchoolCode]],_xlfn.TEXTJOIN(",",TRUE,_xlfn.UNIQUE(IF(PAYSCALES[PayScaleCode]=CONT_SUP[[#This Row],[PayScaleCode]],PAYSCALES[SchoolCodes],""))))),1,0))</f>
        <v>0</v>
      </c>
      <c r="G241" s="57">
        <f>IF(_xlfn.XLOOKUP(CONT_SUP[[#This Row],[PayScaleGradeCode]],GRADES[PayScaleGradeCode],GRADES[AvailableToAllSchools])=TRUE,0,IFERROR(IF(FIND(CONT_SUP[[#This Row],[SchoolCode]],_xlfn.XLOOKUP(CONT_SUP[[#This Row],[PayScaleGradeCode]],GRADES[PayScaleGradeCode],GRADES[SchoolCodes]))&gt;=1,0,1),1))</f>
        <v>0</v>
      </c>
      <c r="H241" s="57">
        <f>IF(ISERROR(IF((_xlfn.XLOOKUP(CONT_SUP[[#This Row],[PayScaleGradeCode]],GRADES[PayScaleGradeCode],GRADES[PayScaleCode])=CONT_SUP[[#This Row],[PayScaleCode]]),0,1)),1,0)</f>
        <v>0</v>
      </c>
      <c r="I241" s="57" cm="1">
        <f t="array" ref="I241">IF(ISERROR(FIND(CONT_SUP[[#This Row],[PayScalePointCode]],_xlfn.TEXTJOIN(",",TRUE,IF(PSPOINTS[PayScaleCode]=CONT_SUP[[#This Row],[PayScaleCode]],PSPOINTS[PayScalePointCode])))),1,0)</f>
        <v>0</v>
      </c>
      <c r="J241" s="57" cm="1">
        <f t="array" ref="J24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41" s="57">
        <f>IF(_xlfn.XLOOKUP(CONT_SUP[[#This Row],[PayScalePointCode]],PSPOINTS[PayScalePointCode],PSPOINTS[PayScalePointEnabled])=TRUE,0,1)</f>
        <v>0</v>
      </c>
      <c r="L241" s="57" cm="1">
        <f t="array" ref="L241">IF(_xlfn.XLOOKUP(CONT_SUP[[#This Row],[DepartmentCode]],DEPTS[DepartmentCode],DEPTS[AvailableToAllSchools],1,0,)=TRUE,0,IF(ISERROR(FIND(CONT_SUP[[#This Row],[SchoolCode]],_xlfn.TEXTJOIN(",",TRUE,_xlfn.UNIQUE(IF(DEPTS[DepartmentCode]=CONT_SUP[[#This Row],[DepartmentCode]],DEPTS[SchoolCodes],""))))),1,0))</f>
        <v>0</v>
      </c>
      <c r="M241" s="57">
        <f>IFERROR(IF(_xlfn.XLOOKUP(CONT_SUP[[#This Row],[SRG Gross]],FinanceCodesBudget[FinanceCode],FinanceCodesBudget[LedgerCode])=_xlfn.XLOOKUP(CONT_SUP[[#This Row],[DepartmentCode]],DEPTS[DepartmentCode],DEPTS[LedgerCode]),0,1),1)</f>
        <v>1</v>
      </c>
      <c r="N241" s="57" cm="1">
        <f t="array" ref="N241">IF(_xlfn.XLOOKUP(CONT_SUP[[#This Row],[PensionCode]],PENS[PensionCode],PENS[AvailableToAllSchools],1,0,)=TRUE,0,IF(ISERROR(FIND(CONT_SUP[[#This Row],[SchoolCode]],_xlfn.TEXTJOIN(",",TRUE,_xlfn.UNIQUE(IF(PENS[PensionCode]=CONT_SUP[[#This Row],[PensionCode]],PENS[SchoolCodes],""))))),1,0))</f>
        <v>0</v>
      </c>
      <c r="O241" s="57" cm="1">
        <f t="array" ref="O241">IF(_xlfn.XLOOKUP(CONT_SUP[[#This Row],[EquatedWeekPatternCode]],EQW[EquatedWeekPatternCode],EQW[AvailableToAllSchools],1,0,)=TRUE,0,IF(ISERROR(FIND(CONT_SUP[[#This Row],[SchoolCode]],_xlfn.TEXTJOIN(",",TRUE,_xlfn.UNIQUE(IF(EQW[EquatedWeekPatternCode]=CONT_SUP[[#This Row],[EquatedWeekPatternCode]],EQW[SchoolCodes],""))))),1,0))</f>
        <v>0</v>
      </c>
      <c r="P241" s="57">
        <f>1-COUNTIF(ContractTypes[Code],CONT_SUP[[#This Row],[ContractTypeCode]])</f>
        <v>0</v>
      </c>
      <c r="Q241" s="57">
        <f>IF(VLOOKUP(CONT_SUP[[#This Row],[StaffMemberCode]],MEMBERS[[StaffMemberCode]:[ServiceStartDate]],5,0)&gt;CONT_SUP[[#This Row],[DateFrom]],1,0)</f>
        <v>0</v>
      </c>
      <c r="R241" s="57">
        <f>IF(_xlfn.XLOOKUP(CONT_SUP[[#This Row],[StaffMemberCode]],MEMBERS[StaffMemberCode],MEMBERS[ServiceEndDate])="",0,IF(CONT_SUP[[#This Row],[DateTo]]="",1,IF(_xlfn.XLOOKUP(CONT_SUP[[#This Row],[StaffMemberCode]],MEMBERS[StaffMemberCode],MEMBERS[ServiceEndDate])&lt;CONT_SUP[[#This Row],[DateTo]],1,0)))</f>
        <v>0</v>
      </c>
      <c r="S241" s="57">
        <f>IF(ISBLANK(CONT_SUP[[#This Row],[DateTo]]),0,IF(CONT_SUP[[#This Row],[DateFrom]]=CONT_SUP[[#This Row],[DateTo]],0,IF(CONT_SUP[[#This Row],[DateFrom]]&lt;CONT_SUP[[#This Row],[DateTo]],0,1)))</f>
        <v>0</v>
      </c>
      <c r="T241" s="57" cm="1">
        <f t="array" aca="1" ref="T241" ca="1">IF(CELL("format",CONT_SUP[[#This Row],[DateFrom]])="D1",0,1)+IF(CELL("format",CONT_SUP[[#This Row],[DateTo]])="D1",0,1)</f>
        <v>0</v>
      </c>
      <c r="U241" s="57">
        <f>IF(OR(CONT_SUP[[#This Row],[MatEditOnly]]=TRUE,CONT_SUP[[#This Row],[MatEditOnly]]=FALSE),IF(OR(CONT_SUP[[#This Row],[NoIncrement]]=TRUE,CONT_SUP[[#This Row],[NoIncrement]]=FALSE),0,1),1)</f>
        <v>0</v>
      </c>
      <c r="V241" s="57">
        <f>IF(ISBLANK(CONT_SUP[[#This Row],[FundCode]])=TRUE,0,IF(COUNTIF(FUNDS[FundCode],CONT_SUP[[#This Row],[FundCode]])=1,0,1))</f>
        <v>0</v>
      </c>
      <c r="W241" s="57">
        <f>IF(LEN(CONT_SUP[[#This Row],[Notes]])&lt;4000,0,1)</f>
        <v>0</v>
      </c>
      <c r="X241" s="57">
        <f>IF(SUBSTITUTE(TEXT(CONT_SUP[[#This Row],[Reference]],10)," ","")=TEXT(CONT_SUP[[#This Row],[Reference]],10),0,1)</f>
        <v>0</v>
      </c>
      <c r="Y241" s="57">
        <f ca="1">SUM(CONT_SUP[[#This Row],[Duplicate Contract]:[Space in Code]])</f>
        <v>1</v>
      </c>
      <c r="AA241" s="12" t="s">
        <v>2200</v>
      </c>
      <c r="AB241" s="12">
        <v>91075754</v>
      </c>
      <c r="AC241" s="12" t="s">
        <v>4837</v>
      </c>
      <c r="AD241" s="57" t="str">
        <f>_xlfn.XLOOKUP(CONT_SUP[[#This Row],[StaffMemberCode]],StaffMembers!O:O,StaffMembers!R:R)</f>
        <v>Leanne Herbert-Jackson</v>
      </c>
      <c r="AE241" s="12" t="s">
        <v>1180</v>
      </c>
      <c r="AF241" s="57">
        <f>_xlfn.XLOOKUP(CONT_SUP[[#This Row],[SRG]],SRG[StaffRoleGroupCode],SRG[GrossSalaryFinanceCode])</f>
        <v>615100</v>
      </c>
      <c r="AG241" s="57" t="str">
        <f>_xlfn.XLOOKUP(CONT_SUP[[#This Row],[StaffRoleCode]],ROLES[StaffRoleCode],ROLES[StaffRoleGroupCode])</f>
        <v>TA</v>
      </c>
      <c r="AH241" s="57" t="str">
        <f>_xlfn.XLOOKUP(CONT_SUP[[#This Row],[StaffRoleCode]],ROLES[StaffRoleCode],ROLES[PayScaleCode])</f>
        <v>NJC_CHE</v>
      </c>
      <c r="AI241" s="12" t="s">
        <v>3123</v>
      </c>
      <c r="AJ241" s="12">
        <v>11</v>
      </c>
      <c r="AK241" s="12" t="s">
        <v>2497</v>
      </c>
      <c r="AM241" s="68" t="s">
        <v>3132</v>
      </c>
      <c r="AN241" s="12" t="s">
        <v>3134</v>
      </c>
      <c r="AO241" s="21">
        <v>45901</v>
      </c>
      <c r="AQ241" s="12">
        <v>16.5</v>
      </c>
      <c r="AR241" t="b">
        <v>0</v>
      </c>
      <c r="AS241" t="b">
        <v>0</v>
      </c>
      <c r="AT241" s="12" t="s">
        <v>1574</v>
      </c>
    </row>
    <row r="242" spans="1:46" x14ac:dyDescent="0.3">
      <c r="A242" s="57" t="str">
        <f t="shared" si="7"/>
        <v>WVP9185004191850041ATASTA45901</v>
      </c>
      <c r="B242" s="57">
        <f>COUNTIF(CONT_SUP[Unique Contract],CONT_SUP[[#This Row],[Unique Contract]])-1</f>
        <v>0</v>
      </c>
      <c r="C242" s="57">
        <f>IFERROR(IF(FIND(CONT_SUP[[#This Row],[SchoolCode]],_xlfn.XLOOKUP(CONT_SUP[[#This Row],[StaffMemberCode]],MEMBERS[StaffMemberCode],MEMBERS[SchoolCodes]))&gt;0,0,1),1)</f>
        <v>0</v>
      </c>
      <c r="D242" s="57" cm="1">
        <f t="array" ref="D242">IF(_xlfn.XLOOKUP(CONT_SUP[[#This Row],[StaffRoleCode]],ROLES[StaffRoleCode],ROLES[AvailableToAllSchools],1,0,)=TRUE,0,IF(ISERROR(FIND(CONT_SUP[[#This Row],[SchoolCode]],_xlfn.TEXTJOIN(",",TRUE,_xlfn.UNIQUE(IF(ROLES[StaffRoleCode]=CONT_SUP[[#This Row],[StaffRoleCode]],ROLES[SchoolCodes],""))))),1,0))</f>
        <v>0</v>
      </c>
      <c r="E242" s="57" cm="1">
        <f t="array" ref="E24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42" s="57" cm="1">
        <f t="array" ref="F242">IF(_xlfn.XLOOKUP(CONT_SUP[[#This Row],[PayScaleCode]],PAYSCALES[PayScaleCode],PAYSCALES[AvailableToAllSchools],1,0,)=TRUE,0,IF(ISERROR(FIND(CONT_SUP[[#This Row],[SchoolCode]],_xlfn.TEXTJOIN(",",TRUE,_xlfn.UNIQUE(IF(PAYSCALES[PayScaleCode]=CONT_SUP[[#This Row],[PayScaleCode]],PAYSCALES[SchoolCodes],""))))),1,0))</f>
        <v>0</v>
      </c>
      <c r="G242" s="57">
        <f>IF(_xlfn.XLOOKUP(CONT_SUP[[#This Row],[PayScaleGradeCode]],GRADES[PayScaleGradeCode],GRADES[AvailableToAllSchools])=TRUE,0,IFERROR(IF(FIND(CONT_SUP[[#This Row],[SchoolCode]],_xlfn.XLOOKUP(CONT_SUP[[#This Row],[PayScaleGradeCode]],GRADES[PayScaleGradeCode],GRADES[SchoolCodes]))&gt;=1,0,1),1))</f>
        <v>0</v>
      </c>
      <c r="H242" s="57">
        <f>IF(ISERROR(IF((_xlfn.XLOOKUP(CONT_SUP[[#This Row],[PayScaleGradeCode]],GRADES[PayScaleGradeCode],GRADES[PayScaleCode])=CONT_SUP[[#This Row],[PayScaleCode]]),0,1)),1,0)</f>
        <v>0</v>
      </c>
      <c r="I242" s="57" cm="1">
        <f t="array" ref="I242">IF(ISERROR(FIND(CONT_SUP[[#This Row],[PayScalePointCode]],_xlfn.TEXTJOIN(",",TRUE,IF(PSPOINTS[PayScaleCode]=CONT_SUP[[#This Row],[PayScaleCode]],PSPOINTS[PayScalePointCode])))),1,0)</f>
        <v>0</v>
      </c>
      <c r="J242" s="57" cm="1">
        <f t="array" ref="J24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42" s="57">
        <f>IF(_xlfn.XLOOKUP(CONT_SUP[[#This Row],[PayScalePointCode]],PSPOINTS[PayScalePointCode],PSPOINTS[PayScalePointEnabled])=TRUE,0,1)</f>
        <v>0</v>
      </c>
      <c r="L242" s="57" cm="1">
        <f t="array" ref="L242">IF(_xlfn.XLOOKUP(CONT_SUP[[#This Row],[DepartmentCode]],DEPTS[DepartmentCode],DEPTS[AvailableToAllSchools],1,0,)=TRUE,0,IF(ISERROR(FIND(CONT_SUP[[#This Row],[SchoolCode]],_xlfn.TEXTJOIN(",",TRUE,_xlfn.UNIQUE(IF(DEPTS[DepartmentCode]=CONT_SUP[[#This Row],[DepartmentCode]],DEPTS[SchoolCodes],""))))),1,0))</f>
        <v>0</v>
      </c>
      <c r="M242" s="57">
        <f>IFERROR(IF(_xlfn.XLOOKUP(CONT_SUP[[#This Row],[SRG Gross]],FinanceCodesBudget[FinanceCode],FinanceCodesBudget[LedgerCode])=_xlfn.XLOOKUP(CONT_SUP[[#This Row],[DepartmentCode]],DEPTS[DepartmentCode],DEPTS[LedgerCode]),0,1),1)</f>
        <v>1</v>
      </c>
      <c r="N242" s="57" cm="1">
        <f t="array" ref="N242">IF(_xlfn.XLOOKUP(CONT_SUP[[#This Row],[PensionCode]],PENS[PensionCode],PENS[AvailableToAllSchools],1,0,)=TRUE,0,IF(ISERROR(FIND(CONT_SUP[[#This Row],[SchoolCode]],_xlfn.TEXTJOIN(",",TRUE,_xlfn.UNIQUE(IF(PENS[PensionCode]=CONT_SUP[[#This Row],[PensionCode]],PENS[SchoolCodes],""))))),1,0))</f>
        <v>0</v>
      </c>
      <c r="O242" s="57" cm="1">
        <f t="array" ref="O242">IF(_xlfn.XLOOKUP(CONT_SUP[[#This Row],[EquatedWeekPatternCode]],EQW[EquatedWeekPatternCode],EQW[AvailableToAllSchools],1,0,)=TRUE,0,IF(ISERROR(FIND(CONT_SUP[[#This Row],[SchoolCode]],_xlfn.TEXTJOIN(",",TRUE,_xlfn.UNIQUE(IF(EQW[EquatedWeekPatternCode]=CONT_SUP[[#This Row],[EquatedWeekPatternCode]],EQW[SchoolCodes],""))))),1,0))</f>
        <v>0</v>
      </c>
      <c r="P242" s="57">
        <f>1-COUNTIF(ContractTypes[Code],CONT_SUP[[#This Row],[ContractTypeCode]])</f>
        <v>0</v>
      </c>
      <c r="Q242" s="57">
        <f>IF(VLOOKUP(CONT_SUP[[#This Row],[StaffMemberCode]],MEMBERS[[StaffMemberCode]:[ServiceStartDate]],5,0)&gt;CONT_SUP[[#This Row],[DateFrom]],1,0)</f>
        <v>0</v>
      </c>
      <c r="R242" s="57">
        <f>IF(_xlfn.XLOOKUP(CONT_SUP[[#This Row],[StaffMemberCode]],MEMBERS[StaffMemberCode],MEMBERS[ServiceEndDate])="",0,IF(CONT_SUP[[#This Row],[DateTo]]="",1,IF(_xlfn.XLOOKUP(CONT_SUP[[#This Row],[StaffMemberCode]],MEMBERS[StaffMemberCode],MEMBERS[ServiceEndDate])&lt;CONT_SUP[[#This Row],[DateTo]],1,0)))</f>
        <v>0</v>
      </c>
      <c r="S242" s="57">
        <f>IF(ISBLANK(CONT_SUP[[#This Row],[DateTo]]),0,IF(CONT_SUP[[#This Row],[DateFrom]]=CONT_SUP[[#This Row],[DateTo]],0,IF(CONT_SUP[[#This Row],[DateFrom]]&lt;CONT_SUP[[#This Row],[DateTo]],0,1)))</f>
        <v>0</v>
      </c>
      <c r="T242" s="57" cm="1">
        <f t="array" aca="1" ref="T242" ca="1">IF(CELL("format",CONT_SUP[[#This Row],[DateFrom]])="D1",0,1)+IF(CELL("format",CONT_SUP[[#This Row],[DateTo]])="D1",0,1)</f>
        <v>0</v>
      </c>
      <c r="U242" s="57">
        <f>IF(OR(CONT_SUP[[#This Row],[MatEditOnly]]=TRUE,CONT_SUP[[#This Row],[MatEditOnly]]=FALSE),IF(OR(CONT_SUP[[#This Row],[NoIncrement]]=TRUE,CONT_SUP[[#This Row],[NoIncrement]]=FALSE),0,1),1)</f>
        <v>0</v>
      </c>
      <c r="V242" s="57">
        <f>IF(ISBLANK(CONT_SUP[[#This Row],[FundCode]])=TRUE,0,IF(COUNTIF(FUNDS[FundCode],CONT_SUP[[#This Row],[FundCode]])=1,0,1))</f>
        <v>0</v>
      </c>
      <c r="W242" s="57">
        <f>IF(LEN(CONT_SUP[[#This Row],[Notes]])&lt;4000,0,1)</f>
        <v>0</v>
      </c>
      <c r="X242" s="57">
        <f>IF(SUBSTITUTE(TEXT(CONT_SUP[[#This Row],[Reference]],10)," ","")=TEXT(CONT_SUP[[#This Row],[Reference]],10),0,1)</f>
        <v>0</v>
      </c>
      <c r="Y242" s="57">
        <f ca="1">SUM(CONT_SUP[[#This Row],[Duplicate Contract]:[Space in Code]])</f>
        <v>1</v>
      </c>
      <c r="AA242" s="12" t="s">
        <v>2275</v>
      </c>
      <c r="AB242" s="12">
        <v>91850041</v>
      </c>
      <c r="AC242" s="12" t="s">
        <v>4838</v>
      </c>
      <c r="AD242" s="57" t="str">
        <f>_xlfn.XLOOKUP(CONT_SUP[[#This Row],[StaffMemberCode]],StaffMembers!O:O,StaffMembers!R:R)</f>
        <v>Liana Becking</v>
      </c>
      <c r="AE242" s="12" t="s">
        <v>1180</v>
      </c>
      <c r="AF242" s="57">
        <f>_xlfn.XLOOKUP(CONT_SUP[[#This Row],[SRG]],SRG[StaffRoleGroupCode],SRG[GrossSalaryFinanceCode])</f>
        <v>615100</v>
      </c>
      <c r="AG242" s="57" t="str">
        <f>_xlfn.XLOOKUP(CONT_SUP[[#This Row],[StaffRoleCode]],ROLES[StaffRoleCode],ROLES[StaffRoleGroupCode])</f>
        <v>TA</v>
      </c>
      <c r="AH242" s="57" t="str">
        <f>_xlfn.XLOOKUP(CONT_SUP[[#This Row],[StaffRoleCode]],ROLES[StaffRoleCode],ROLES[PayScaleCode])</f>
        <v>NJC_CHE</v>
      </c>
      <c r="AI242" s="12" t="s">
        <v>3122</v>
      </c>
      <c r="AJ242" s="12">
        <v>5</v>
      </c>
      <c r="AK242" s="12" t="s">
        <v>2497</v>
      </c>
      <c r="AM242" s="68" t="s">
        <v>3132</v>
      </c>
      <c r="AN242" s="12" t="s">
        <v>3134</v>
      </c>
      <c r="AO242" s="21">
        <v>45901</v>
      </c>
      <c r="AQ242" s="12">
        <v>32.5</v>
      </c>
      <c r="AR242" t="b">
        <v>0</v>
      </c>
      <c r="AS242" t="b">
        <v>0</v>
      </c>
      <c r="AT242" s="12" t="s">
        <v>1575</v>
      </c>
    </row>
    <row r="243" spans="1:46" x14ac:dyDescent="0.3">
      <c r="A243" s="57" t="str">
        <f t="shared" si="7"/>
        <v>BLS9107356091073560ATASTA45901</v>
      </c>
      <c r="B243" s="57">
        <f>COUNTIF(CONT_SUP[Unique Contract],CONT_SUP[[#This Row],[Unique Contract]])-1</f>
        <v>0</v>
      </c>
      <c r="C243" s="57">
        <f>IFERROR(IF(FIND(CONT_SUP[[#This Row],[SchoolCode]],_xlfn.XLOOKUP(CONT_SUP[[#This Row],[StaffMemberCode]],MEMBERS[StaffMemberCode],MEMBERS[SchoolCodes]))&gt;0,0,1),1)</f>
        <v>0</v>
      </c>
      <c r="D243" s="57" cm="1">
        <f t="array" ref="D243">IF(_xlfn.XLOOKUP(CONT_SUP[[#This Row],[StaffRoleCode]],ROLES[StaffRoleCode],ROLES[AvailableToAllSchools],1,0,)=TRUE,0,IF(ISERROR(FIND(CONT_SUP[[#This Row],[SchoolCode]],_xlfn.TEXTJOIN(",",TRUE,_xlfn.UNIQUE(IF(ROLES[StaffRoleCode]=CONT_SUP[[#This Row],[StaffRoleCode]],ROLES[SchoolCodes],""))))),1,0))</f>
        <v>0</v>
      </c>
      <c r="E243" s="57" cm="1">
        <f t="array" ref="E24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43" s="57" cm="1">
        <f t="array" ref="F243">IF(_xlfn.XLOOKUP(CONT_SUP[[#This Row],[PayScaleCode]],PAYSCALES[PayScaleCode],PAYSCALES[AvailableToAllSchools],1,0,)=TRUE,0,IF(ISERROR(FIND(CONT_SUP[[#This Row],[SchoolCode]],_xlfn.TEXTJOIN(",",TRUE,_xlfn.UNIQUE(IF(PAYSCALES[PayScaleCode]=CONT_SUP[[#This Row],[PayScaleCode]],PAYSCALES[SchoolCodes],""))))),1,0))</f>
        <v>0</v>
      </c>
      <c r="G243" s="57">
        <f>IF(_xlfn.XLOOKUP(CONT_SUP[[#This Row],[PayScaleGradeCode]],GRADES[PayScaleGradeCode],GRADES[AvailableToAllSchools])=TRUE,0,IFERROR(IF(FIND(CONT_SUP[[#This Row],[SchoolCode]],_xlfn.XLOOKUP(CONT_SUP[[#This Row],[PayScaleGradeCode]],GRADES[PayScaleGradeCode],GRADES[SchoolCodes]))&gt;=1,0,1),1))</f>
        <v>0</v>
      </c>
      <c r="H243" s="57">
        <f>IF(ISERROR(IF((_xlfn.XLOOKUP(CONT_SUP[[#This Row],[PayScaleGradeCode]],GRADES[PayScaleGradeCode],GRADES[PayScaleCode])=CONT_SUP[[#This Row],[PayScaleCode]]),0,1)),1,0)</f>
        <v>0</v>
      </c>
      <c r="I243" s="57" cm="1">
        <f t="array" ref="I243">IF(ISERROR(FIND(CONT_SUP[[#This Row],[PayScalePointCode]],_xlfn.TEXTJOIN(",",TRUE,IF(PSPOINTS[PayScaleCode]=CONT_SUP[[#This Row],[PayScaleCode]],PSPOINTS[PayScalePointCode])))),1,0)</f>
        <v>0</v>
      </c>
      <c r="J243" s="57" cm="1">
        <f t="array" ref="J24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43" s="57">
        <f>IF(_xlfn.XLOOKUP(CONT_SUP[[#This Row],[PayScalePointCode]],PSPOINTS[PayScalePointCode],PSPOINTS[PayScalePointEnabled])=TRUE,0,1)</f>
        <v>0</v>
      </c>
      <c r="L243" s="57" cm="1">
        <f t="array" ref="L243">IF(_xlfn.XLOOKUP(CONT_SUP[[#This Row],[DepartmentCode]],DEPTS[DepartmentCode],DEPTS[AvailableToAllSchools],1,0,)=TRUE,0,IF(ISERROR(FIND(CONT_SUP[[#This Row],[SchoolCode]],_xlfn.TEXTJOIN(",",TRUE,_xlfn.UNIQUE(IF(DEPTS[DepartmentCode]=CONT_SUP[[#This Row],[DepartmentCode]],DEPTS[SchoolCodes],""))))),1,0))</f>
        <v>0</v>
      </c>
      <c r="M243" s="57">
        <f>IFERROR(IF(_xlfn.XLOOKUP(CONT_SUP[[#This Row],[SRG Gross]],FinanceCodesBudget[FinanceCode],FinanceCodesBudget[LedgerCode])=_xlfn.XLOOKUP(CONT_SUP[[#This Row],[DepartmentCode]],DEPTS[DepartmentCode],DEPTS[LedgerCode]),0,1),1)</f>
        <v>1</v>
      </c>
      <c r="N243" s="57" cm="1">
        <f t="array" ref="N243">IF(_xlfn.XLOOKUP(CONT_SUP[[#This Row],[PensionCode]],PENS[PensionCode],PENS[AvailableToAllSchools],1,0,)=TRUE,0,IF(ISERROR(FIND(CONT_SUP[[#This Row],[SchoolCode]],_xlfn.TEXTJOIN(",",TRUE,_xlfn.UNIQUE(IF(PENS[PensionCode]=CONT_SUP[[#This Row],[PensionCode]],PENS[SchoolCodes],""))))),1,0))</f>
        <v>0</v>
      </c>
      <c r="O243" s="57" cm="1">
        <f t="array" ref="O243">IF(_xlfn.XLOOKUP(CONT_SUP[[#This Row],[EquatedWeekPatternCode]],EQW[EquatedWeekPatternCode],EQW[AvailableToAllSchools],1,0,)=TRUE,0,IF(ISERROR(FIND(CONT_SUP[[#This Row],[SchoolCode]],_xlfn.TEXTJOIN(",",TRUE,_xlfn.UNIQUE(IF(EQW[EquatedWeekPatternCode]=CONT_SUP[[#This Row],[EquatedWeekPatternCode]],EQW[SchoolCodes],""))))),1,0))</f>
        <v>0</v>
      </c>
      <c r="P243" s="57">
        <f>1-COUNTIF(ContractTypes[Code],CONT_SUP[[#This Row],[ContractTypeCode]])</f>
        <v>0</v>
      </c>
      <c r="Q243" s="57">
        <f>IF(VLOOKUP(CONT_SUP[[#This Row],[StaffMemberCode]],MEMBERS[[StaffMemberCode]:[ServiceStartDate]],5,0)&gt;CONT_SUP[[#This Row],[DateFrom]],1,0)</f>
        <v>0</v>
      </c>
      <c r="R243" s="57">
        <f>IF(_xlfn.XLOOKUP(CONT_SUP[[#This Row],[StaffMemberCode]],MEMBERS[StaffMemberCode],MEMBERS[ServiceEndDate])="",0,IF(CONT_SUP[[#This Row],[DateTo]]="",1,IF(_xlfn.XLOOKUP(CONT_SUP[[#This Row],[StaffMemberCode]],MEMBERS[StaffMemberCode],MEMBERS[ServiceEndDate])&lt;CONT_SUP[[#This Row],[DateTo]],1,0)))</f>
        <v>0</v>
      </c>
      <c r="S243" s="57">
        <f>IF(ISBLANK(CONT_SUP[[#This Row],[DateTo]]),0,IF(CONT_SUP[[#This Row],[DateFrom]]=CONT_SUP[[#This Row],[DateTo]],0,IF(CONT_SUP[[#This Row],[DateFrom]]&lt;CONT_SUP[[#This Row],[DateTo]],0,1)))</f>
        <v>0</v>
      </c>
      <c r="T243" s="57" cm="1">
        <f t="array" aca="1" ref="T243" ca="1">IF(CELL("format",CONT_SUP[[#This Row],[DateFrom]])="D1",0,1)+IF(CELL("format",CONT_SUP[[#This Row],[DateTo]])="D1",0,1)</f>
        <v>0</v>
      </c>
      <c r="U243" s="57">
        <f>IF(OR(CONT_SUP[[#This Row],[MatEditOnly]]=TRUE,CONT_SUP[[#This Row],[MatEditOnly]]=FALSE),IF(OR(CONT_SUP[[#This Row],[NoIncrement]]=TRUE,CONT_SUP[[#This Row],[NoIncrement]]=FALSE),0,1),1)</f>
        <v>0</v>
      </c>
      <c r="V243" s="57">
        <f>IF(ISBLANK(CONT_SUP[[#This Row],[FundCode]])=TRUE,0,IF(COUNTIF(FUNDS[FundCode],CONT_SUP[[#This Row],[FundCode]])=1,0,1))</f>
        <v>0</v>
      </c>
      <c r="W243" s="57">
        <f>IF(LEN(CONT_SUP[[#This Row],[Notes]])&lt;4000,0,1)</f>
        <v>0</v>
      </c>
      <c r="X243" s="57">
        <f>IF(SUBSTITUTE(TEXT(CONT_SUP[[#This Row],[Reference]],10)," ","")=TEXT(CONT_SUP[[#This Row],[Reference]],10),0,1)</f>
        <v>0</v>
      </c>
      <c r="Y243" s="57">
        <f ca="1">SUM(CONT_SUP[[#This Row],[Duplicate Contract]:[Space in Code]])</f>
        <v>1</v>
      </c>
      <c r="AA243" s="12" t="s">
        <v>2094</v>
      </c>
      <c r="AB243" s="12">
        <v>91073560</v>
      </c>
      <c r="AC243" s="12" t="s">
        <v>4839</v>
      </c>
      <c r="AD243" s="57" t="str">
        <f>_xlfn.XLOOKUP(CONT_SUP[[#This Row],[StaffMemberCode]],StaffMembers!O:O,StaffMembers!R:R)</f>
        <v>Linda Barwick</v>
      </c>
      <c r="AE243" s="12" t="s">
        <v>1180</v>
      </c>
      <c r="AF243" s="57">
        <f>_xlfn.XLOOKUP(CONT_SUP[[#This Row],[SRG]],SRG[StaffRoleGroupCode],SRG[GrossSalaryFinanceCode])</f>
        <v>615100</v>
      </c>
      <c r="AG243" s="57" t="str">
        <f>_xlfn.XLOOKUP(CONT_SUP[[#This Row],[StaffRoleCode]],ROLES[StaffRoleCode],ROLES[StaffRoleGroupCode])</f>
        <v>TA</v>
      </c>
      <c r="AH243" s="57" t="str">
        <f>_xlfn.XLOOKUP(CONT_SUP[[#This Row],[StaffRoleCode]],ROLES[StaffRoleCode],ROLES[PayScaleCode])</f>
        <v>NJC_CHE</v>
      </c>
      <c r="AI243" s="12" t="s">
        <v>3123</v>
      </c>
      <c r="AJ243" s="12">
        <v>11</v>
      </c>
      <c r="AK243" s="12" t="s">
        <v>2497</v>
      </c>
      <c r="AM243" s="68" t="s">
        <v>3132</v>
      </c>
      <c r="AN243" s="12" t="s">
        <v>3135</v>
      </c>
      <c r="AO243" s="21">
        <v>45901</v>
      </c>
      <c r="AQ243" s="12">
        <v>26</v>
      </c>
      <c r="AR243" t="b">
        <v>0</v>
      </c>
      <c r="AS243" t="b">
        <v>0</v>
      </c>
      <c r="AT243" s="12" t="s">
        <v>1574</v>
      </c>
    </row>
    <row r="244" spans="1:46" x14ac:dyDescent="0.3">
      <c r="A244" s="57" t="str">
        <f t="shared" si="7"/>
        <v>PTP9107392891073928ATASTA45901</v>
      </c>
      <c r="B244" s="57">
        <f>COUNTIF(CONT_SUP[Unique Contract],CONT_SUP[[#This Row],[Unique Contract]])-1</f>
        <v>0</v>
      </c>
      <c r="C244" s="57">
        <f>IFERROR(IF(FIND(CONT_SUP[[#This Row],[SchoolCode]],_xlfn.XLOOKUP(CONT_SUP[[#This Row],[StaffMemberCode]],MEMBERS[StaffMemberCode],MEMBERS[SchoolCodes]))&gt;0,0,1),1)</f>
        <v>0</v>
      </c>
      <c r="D244" s="57" cm="1">
        <f t="array" ref="D244">IF(_xlfn.XLOOKUP(CONT_SUP[[#This Row],[StaffRoleCode]],ROLES[StaffRoleCode],ROLES[AvailableToAllSchools],1,0,)=TRUE,0,IF(ISERROR(FIND(CONT_SUP[[#This Row],[SchoolCode]],_xlfn.TEXTJOIN(",",TRUE,_xlfn.UNIQUE(IF(ROLES[StaffRoleCode]=CONT_SUP[[#This Row],[StaffRoleCode]],ROLES[SchoolCodes],""))))),1,0))</f>
        <v>0</v>
      </c>
      <c r="E244" s="57" cm="1">
        <f t="array" ref="E24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44" s="57" cm="1">
        <f t="array" ref="F244">IF(_xlfn.XLOOKUP(CONT_SUP[[#This Row],[PayScaleCode]],PAYSCALES[PayScaleCode],PAYSCALES[AvailableToAllSchools],1,0,)=TRUE,0,IF(ISERROR(FIND(CONT_SUP[[#This Row],[SchoolCode]],_xlfn.TEXTJOIN(",",TRUE,_xlfn.UNIQUE(IF(PAYSCALES[PayScaleCode]=CONT_SUP[[#This Row],[PayScaleCode]],PAYSCALES[SchoolCodes],""))))),1,0))</f>
        <v>0</v>
      </c>
      <c r="G244" s="57">
        <f>IF(_xlfn.XLOOKUP(CONT_SUP[[#This Row],[PayScaleGradeCode]],GRADES[PayScaleGradeCode],GRADES[AvailableToAllSchools])=TRUE,0,IFERROR(IF(FIND(CONT_SUP[[#This Row],[SchoolCode]],_xlfn.XLOOKUP(CONT_SUP[[#This Row],[PayScaleGradeCode]],GRADES[PayScaleGradeCode],GRADES[SchoolCodes]))&gt;=1,0,1),1))</f>
        <v>0</v>
      </c>
      <c r="H244" s="57">
        <f>IF(ISERROR(IF((_xlfn.XLOOKUP(CONT_SUP[[#This Row],[PayScaleGradeCode]],GRADES[PayScaleGradeCode],GRADES[PayScaleCode])=CONT_SUP[[#This Row],[PayScaleCode]]),0,1)),1,0)</f>
        <v>0</v>
      </c>
      <c r="I244" s="57" cm="1">
        <f t="array" ref="I244">IF(ISERROR(FIND(CONT_SUP[[#This Row],[PayScalePointCode]],_xlfn.TEXTJOIN(",",TRUE,IF(PSPOINTS[PayScaleCode]=CONT_SUP[[#This Row],[PayScaleCode]],PSPOINTS[PayScalePointCode])))),1,0)</f>
        <v>0</v>
      </c>
      <c r="J244" s="57" cm="1">
        <f t="array" ref="J24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44" s="57">
        <f>IF(_xlfn.XLOOKUP(CONT_SUP[[#This Row],[PayScalePointCode]],PSPOINTS[PayScalePointCode],PSPOINTS[PayScalePointEnabled])=TRUE,0,1)</f>
        <v>0</v>
      </c>
      <c r="L244" s="57" cm="1">
        <f t="array" ref="L244">IF(_xlfn.XLOOKUP(CONT_SUP[[#This Row],[DepartmentCode]],DEPTS[DepartmentCode],DEPTS[AvailableToAllSchools],1,0,)=TRUE,0,IF(ISERROR(FIND(CONT_SUP[[#This Row],[SchoolCode]],_xlfn.TEXTJOIN(",",TRUE,_xlfn.UNIQUE(IF(DEPTS[DepartmentCode]=CONT_SUP[[#This Row],[DepartmentCode]],DEPTS[SchoolCodes],""))))),1,0))</f>
        <v>0</v>
      </c>
      <c r="M244" s="57">
        <f>IFERROR(IF(_xlfn.XLOOKUP(CONT_SUP[[#This Row],[SRG Gross]],FinanceCodesBudget[FinanceCode],FinanceCodesBudget[LedgerCode])=_xlfn.XLOOKUP(CONT_SUP[[#This Row],[DepartmentCode]],DEPTS[DepartmentCode],DEPTS[LedgerCode]),0,1),1)</f>
        <v>1</v>
      </c>
      <c r="N244" s="57" cm="1">
        <f t="array" ref="N244">IF(_xlfn.XLOOKUP(CONT_SUP[[#This Row],[PensionCode]],PENS[PensionCode],PENS[AvailableToAllSchools],1,0,)=TRUE,0,IF(ISERROR(FIND(CONT_SUP[[#This Row],[SchoolCode]],_xlfn.TEXTJOIN(",",TRUE,_xlfn.UNIQUE(IF(PENS[PensionCode]=CONT_SUP[[#This Row],[PensionCode]],PENS[SchoolCodes],""))))),1,0))</f>
        <v>0</v>
      </c>
      <c r="O244" s="57" cm="1">
        <f t="array" ref="O244">IF(_xlfn.XLOOKUP(CONT_SUP[[#This Row],[EquatedWeekPatternCode]],EQW[EquatedWeekPatternCode],EQW[AvailableToAllSchools],1,0,)=TRUE,0,IF(ISERROR(FIND(CONT_SUP[[#This Row],[SchoolCode]],_xlfn.TEXTJOIN(",",TRUE,_xlfn.UNIQUE(IF(EQW[EquatedWeekPatternCode]=CONT_SUP[[#This Row],[EquatedWeekPatternCode]],EQW[SchoolCodes],""))))),1,0))</f>
        <v>0</v>
      </c>
      <c r="P244" s="57">
        <f>1-COUNTIF(ContractTypes[Code],CONT_SUP[[#This Row],[ContractTypeCode]])</f>
        <v>0</v>
      </c>
      <c r="Q244" s="57">
        <f>IF(VLOOKUP(CONT_SUP[[#This Row],[StaffMemberCode]],MEMBERS[[StaffMemberCode]:[ServiceStartDate]],5,0)&gt;CONT_SUP[[#This Row],[DateFrom]],1,0)</f>
        <v>0</v>
      </c>
      <c r="R244" s="57">
        <f>IF(_xlfn.XLOOKUP(CONT_SUP[[#This Row],[StaffMemberCode]],MEMBERS[StaffMemberCode],MEMBERS[ServiceEndDate])="",0,IF(CONT_SUP[[#This Row],[DateTo]]="",1,IF(_xlfn.XLOOKUP(CONT_SUP[[#This Row],[StaffMemberCode]],MEMBERS[StaffMemberCode],MEMBERS[ServiceEndDate])&lt;CONT_SUP[[#This Row],[DateTo]],1,0)))</f>
        <v>0</v>
      </c>
      <c r="S244" s="57">
        <f>IF(ISBLANK(CONT_SUP[[#This Row],[DateTo]]),0,IF(CONT_SUP[[#This Row],[DateFrom]]=CONT_SUP[[#This Row],[DateTo]],0,IF(CONT_SUP[[#This Row],[DateFrom]]&lt;CONT_SUP[[#This Row],[DateTo]],0,1)))</f>
        <v>0</v>
      </c>
      <c r="T244" s="57" cm="1">
        <f t="array" aca="1" ref="T244" ca="1">IF(CELL("format",CONT_SUP[[#This Row],[DateFrom]])="D1",0,1)+IF(CELL("format",CONT_SUP[[#This Row],[DateTo]])="D1",0,1)</f>
        <v>0</v>
      </c>
      <c r="U244" s="57">
        <f>IF(OR(CONT_SUP[[#This Row],[MatEditOnly]]=TRUE,CONT_SUP[[#This Row],[MatEditOnly]]=FALSE),IF(OR(CONT_SUP[[#This Row],[NoIncrement]]=TRUE,CONT_SUP[[#This Row],[NoIncrement]]=FALSE),0,1),1)</f>
        <v>0</v>
      </c>
      <c r="V244" s="57">
        <f>IF(ISBLANK(CONT_SUP[[#This Row],[FundCode]])=TRUE,0,IF(COUNTIF(FUNDS[FundCode],CONT_SUP[[#This Row],[FundCode]])=1,0,1))</f>
        <v>0</v>
      </c>
      <c r="W244" s="57">
        <f>IF(LEN(CONT_SUP[[#This Row],[Notes]])&lt;4000,0,1)</f>
        <v>0</v>
      </c>
      <c r="X244" s="57">
        <f>IF(SUBSTITUTE(TEXT(CONT_SUP[[#This Row],[Reference]],10)," ","")=TEXT(CONT_SUP[[#This Row],[Reference]],10),0,1)</f>
        <v>0</v>
      </c>
      <c r="Y244" s="57">
        <f ca="1">SUM(CONT_SUP[[#This Row],[Duplicate Contract]:[Space in Code]])</f>
        <v>1</v>
      </c>
      <c r="AA244" s="12" t="s">
        <v>2299</v>
      </c>
      <c r="AB244" s="12">
        <v>91073928</v>
      </c>
      <c r="AC244" s="12" t="s">
        <v>4840</v>
      </c>
      <c r="AD244" s="57" t="str">
        <f>_xlfn.XLOOKUP(CONT_SUP[[#This Row],[StaffMemberCode]],StaffMembers!O:O,StaffMembers!R:R)</f>
        <v>Lisa Cliff</v>
      </c>
      <c r="AE244" s="12" t="s">
        <v>1180</v>
      </c>
      <c r="AF244" s="57">
        <f>_xlfn.XLOOKUP(CONT_SUP[[#This Row],[SRG]],SRG[StaffRoleGroupCode],SRG[GrossSalaryFinanceCode])</f>
        <v>615100</v>
      </c>
      <c r="AG244" s="57" t="str">
        <f>_xlfn.XLOOKUP(CONT_SUP[[#This Row],[StaffRoleCode]],ROLES[StaffRoleCode],ROLES[StaffRoleGroupCode])</f>
        <v>TA</v>
      </c>
      <c r="AH244" s="57" t="str">
        <f>_xlfn.XLOOKUP(CONT_SUP[[#This Row],[StaffRoleCode]],ROLES[StaffRoleCode],ROLES[PayScaleCode])</f>
        <v>NJC_CHE</v>
      </c>
      <c r="AI244" s="12" t="s">
        <v>3123</v>
      </c>
      <c r="AJ244" s="12">
        <v>8</v>
      </c>
      <c r="AK244" s="12" t="s">
        <v>2497</v>
      </c>
      <c r="AM244" s="68" t="s">
        <v>3132</v>
      </c>
      <c r="AN244" s="12" t="s">
        <v>3134</v>
      </c>
      <c r="AO244" s="21">
        <v>45901</v>
      </c>
      <c r="AQ244" s="12">
        <v>30</v>
      </c>
      <c r="AR244" t="b">
        <v>0</v>
      </c>
      <c r="AS244" t="b">
        <v>0</v>
      </c>
      <c r="AT244" s="12" t="s">
        <v>1574</v>
      </c>
    </row>
    <row r="245" spans="1:46" x14ac:dyDescent="0.3">
      <c r="A245" s="57" t="str">
        <f t="shared" si="7"/>
        <v>HIG9185006591850065ATASTA45943</v>
      </c>
      <c r="B245" s="57">
        <f>COUNTIF(CONT_SUP[Unique Contract],CONT_SUP[[#This Row],[Unique Contract]])-1</f>
        <v>0</v>
      </c>
      <c r="C245" s="57">
        <f>IFERROR(IF(FIND(CONT_SUP[[#This Row],[SchoolCode]],_xlfn.XLOOKUP(CONT_SUP[[#This Row],[StaffMemberCode]],MEMBERS[StaffMemberCode],MEMBERS[SchoolCodes]))&gt;0,0,1),1)</f>
        <v>0</v>
      </c>
      <c r="D245" s="57" cm="1">
        <f t="array" ref="D245">IF(_xlfn.XLOOKUP(CONT_SUP[[#This Row],[StaffRoleCode]],ROLES[StaffRoleCode],ROLES[AvailableToAllSchools],1,0,)=TRUE,0,IF(ISERROR(FIND(CONT_SUP[[#This Row],[SchoolCode]],_xlfn.TEXTJOIN(",",TRUE,_xlfn.UNIQUE(IF(ROLES[StaffRoleCode]=CONT_SUP[[#This Row],[StaffRoleCode]],ROLES[SchoolCodes],""))))),1,0))</f>
        <v>0</v>
      </c>
      <c r="E245" s="57" cm="1">
        <f t="array" ref="E24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45" s="57" cm="1">
        <f t="array" ref="F245">IF(_xlfn.XLOOKUP(CONT_SUP[[#This Row],[PayScaleCode]],PAYSCALES[PayScaleCode],PAYSCALES[AvailableToAllSchools],1,0,)=TRUE,0,IF(ISERROR(FIND(CONT_SUP[[#This Row],[SchoolCode]],_xlfn.TEXTJOIN(",",TRUE,_xlfn.UNIQUE(IF(PAYSCALES[PayScaleCode]=CONT_SUP[[#This Row],[PayScaleCode]],PAYSCALES[SchoolCodes],""))))),1,0))</f>
        <v>0</v>
      </c>
      <c r="G245" s="57">
        <f>IF(_xlfn.XLOOKUP(CONT_SUP[[#This Row],[PayScaleGradeCode]],GRADES[PayScaleGradeCode],GRADES[AvailableToAllSchools])=TRUE,0,IFERROR(IF(FIND(CONT_SUP[[#This Row],[SchoolCode]],_xlfn.XLOOKUP(CONT_SUP[[#This Row],[PayScaleGradeCode]],GRADES[PayScaleGradeCode],GRADES[SchoolCodes]))&gt;=1,0,1),1))</f>
        <v>0</v>
      </c>
      <c r="H245" s="57">
        <f>IF(ISERROR(IF((_xlfn.XLOOKUP(CONT_SUP[[#This Row],[PayScaleGradeCode]],GRADES[PayScaleGradeCode],GRADES[PayScaleCode])=CONT_SUP[[#This Row],[PayScaleCode]]),0,1)),1,0)</f>
        <v>0</v>
      </c>
      <c r="I245" s="57" cm="1">
        <f t="array" ref="I245">IF(ISERROR(FIND(CONT_SUP[[#This Row],[PayScalePointCode]],_xlfn.TEXTJOIN(",",TRUE,IF(PSPOINTS[PayScaleCode]=CONT_SUP[[#This Row],[PayScaleCode]],PSPOINTS[PayScalePointCode])))),1,0)</f>
        <v>0</v>
      </c>
      <c r="J245" s="57" cm="1">
        <f t="array" ref="J24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45" s="57">
        <f>IF(_xlfn.XLOOKUP(CONT_SUP[[#This Row],[PayScalePointCode]],PSPOINTS[PayScalePointCode],PSPOINTS[PayScalePointEnabled])=TRUE,0,1)</f>
        <v>0</v>
      </c>
      <c r="L245" s="57" cm="1">
        <f t="array" ref="L245">IF(_xlfn.XLOOKUP(CONT_SUP[[#This Row],[DepartmentCode]],DEPTS[DepartmentCode],DEPTS[AvailableToAllSchools],1,0,)=TRUE,0,IF(ISERROR(FIND(CONT_SUP[[#This Row],[SchoolCode]],_xlfn.TEXTJOIN(",",TRUE,_xlfn.UNIQUE(IF(DEPTS[DepartmentCode]=CONT_SUP[[#This Row],[DepartmentCode]],DEPTS[SchoolCodes],""))))),1,0))</f>
        <v>0</v>
      </c>
      <c r="M245" s="57">
        <f>IFERROR(IF(_xlfn.XLOOKUP(CONT_SUP[[#This Row],[SRG Gross]],FinanceCodesBudget[FinanceCode],FinanceCodesBudget[LedgerCode])=_xlfn.XLOOKUP(CONT_SUP[[#This Row],[DepartmentCode]],DEPTS[DepartmentCode],DEPTS[LedgerCode]),0,1),1)</f>
        <v>1</v>
      </c>
      <c r="N245" s="57" cm="1">
        <f t="array" ref="N245">IF(_xlfn.XLOOKUP(CONT_SUP[[#This Row],[PensionCode]],PENS[PensionCode],PENS[AvailableToAllSchools],1,0,)=TRUE,0,IF(ISERROR(FIND(CONT_SUP[[#This Row],[SchoolCode]],_xlfn.TEXTJOIN(",",TRUE,_xlfn.UNIQUE(IF(PENS[PensionCode]=CONT_SUP[[#This Row],[PensionCode]],PENS[SchoolCodes],""))))),1,0))</f>
        <v>0</v>
      </c>
      <c r="O245" s="57" cm="1">
        <f t="array" ref="O245">IF(_xlfn.XLOOKUP(CONT_SUP[[#This Row],[EquatedWeekPatternCode]],EQW[EquatedWeekPatternCode],EQW[AvailableToAllSchools],1,0,)=TRUE,0,IF(ISERROR(FIND(CONT_SUP[[#This Row],[SchoolCode]],_xlfn.TEXTJOIN(",",TRUE,_xlfn.UNIQUE(IF(EQW[EquatedWeekPatternCode]=CONT_SUP[[#This Row],[EquatedWeekPatternCode]],EQW[SchoolCodes],""))))),1,0))</f>
        <v>0</v>
      </c>
      <c r="P245" s="57">
        <f>1-COUNTIF(ContractTypes[Code],CONT_SUP[[#This Row],[ContractTypeCode]])</f>
        <v>0</v>
      </c>
      <c r="Q245" s="57">
        <f>IF(VLOOKUP(CONT_SUP[[#This Row],[StaffMemberCode]],MEMBERS[[StaffMemberCode]:[ServiceStartDate]],5,0)&gt;CONT_SUP[[#This Row],[DateFrom]],1,0)</f>
        <v>0</v>
      </c>
      <c r="R245" s="57">
        <f>IF(_xlfn.XLOOKUP(CONT_SUP[[#This Row],[StaffMemberCode]],MEMBERS[StaffMemberCode],MEMBERS[ServiceEndDate])="",0,IF(CONT_SUP[[#This Row],[DateTo]]="",1,IF(_xlfn.XLOOKUP(CONT_SUP[[#This Row],[StaffMemberCode]],MEMBERS[StaffMemberCode],MEMBERS[ServiceEndDate])&lt;CONT_SUP[[#This Row],[DateTo]],1,0)))</f>
        <v>0</v>
      </c>
      <c r="S245" s="57">
        <f>IF(ISBLANK(CONT_SUP[[#This Row],[DateTo]]),0,IF(CONT_SUP[[#This Row],[DateFrom]]=CONT_SUP[[#This Row],[DateTo]],0,IF(CONT_SUP[[#This Row],[DateFrom]]&lt;CONT_SUP[[#This Row],[DateTo]],0,1)))</f>
        <v>0</v>
      </c>
      <c r="T245" s="57" cm="1">
        <f t="array" aca="1" ref="T245" ca="1">IF(CELL("format",CONT_SUP[[#This Row],[DateFrom]])="D1",0,1)+IF(CELL("format",CONT_SUP[[#This Row],[DateTo]])="D1",0,1)</f>
        <v>0</v>
      </c>
      <c r="U245" s="57">
        <f>IF(OR(CONT_SUP[[#This Row],[MatEditOnly]]=TRUE,CONT_SUP[[#This Row],[MatEditOnly]]=FALSE),IF(OR(CONT_SUP[[#This Row],[NoIncrement]]=TRUE,CONT_SUP[[#This Row],[NoIncrement]]=FALSE),0,1),1)</f>
        <v>0</v>
      </c>
      <c r="V245" s="57">
        <f>IF(ISBLANK(CONT_SUP[[#This Row],[FundCode]])=TRUE,0,IF(COUNTIF(FUNDS[FundCode],CONT_SUP[[#This Row],[FundCode]])=1,0,1))</f>
        <v>0</v>
      </c>
      <c r="W245" s="57">
        <f>IF(LEN(CONT_SUP[[#This Row],[Notes]])&lt;4000,0,1)</f>
        <v>0</v>
      </c>
      <c r="X245" s="57">
        <f>IF(SUBSTITUTE(TEXT(CONT_SUP[[#This Row],[Reference]],10)," ","")=TEXT(CONT_SUP[[#This Row],[Reference]],10),0,1)</f>
        <v>0</v>
      </c>
      <c r="Y245" s="57">
        <f ca="1">SUM(CONT_SUP[[#This Row],[Duplicate Contract]:[Space in Code]])</f>
        <v>1</v>
      </c>
      <c r="AA245" s="12" t="s">
        <v>2266</v>
      </c>
      <c r="AB245" s="12">
        <v>91850065</v>
      </c>
      <c r="AC245" s="12" t="s">
        <v>4841</v>
      </c>
      <c r="AD245" s="57" t="str">
        <f>_xlfn.XLOOKUP(CONT_SUP[[#This Row],[StaffMemberCode]],StaffMembers!O:O,StaffMembers!R:R)</f>
        <v>Liza Ryde</v>
      </c>
      <c r="AE245" s="12" t="s">
        <v>1180</v>
      </c>
      <c r="AF245" s="57">
        <f>_xlfn.XLOOKUP(CONT_SUP[[#This Row],[SRG]],SRG[StaffRoleGroupCode],SRG[GrossSalaryFinanceCode])</f>
        <v>615100</v>
      </c>
      <c r="AG245" s="57" t="str">
        <f>_xlfn.XLOOKUP(CONT_SUP[[#This Row],[StaffRoleCode]],ROLES[StaffRoleCode],ROLES[StaffRoleGroupCode])</f>
        <v>TA</v>
      </c>
      <c r="AH245" s="57" t="str">
        <f>_xlfn.XLOOKUP(CONT_SUP[[#This Row],[StaffRoleCode]],ROLES[StaffRoleCode],ROLES[PayScaleCode])</f>
        <v>NJC_CHE</v>
      </c>
      <c r="AI245" s="12" t="s">
        <v>3123</v>
      </c>
      <c r="AJ245" s="12">
        <v>7</v>
      </c>
      <c r="AK245" s="12" t="s">
        <v>2497</v>
      </c>
      <c r="AM245" s="68" t="s">
        <v>3132</v>
      </c>
      <c r="AN245" s="12" t="s">
        <v>3135</v>
      </c>
      <c r="AO245" s="21">
        <v>45943</v>
      </c>
      <c r="AQ245" s="12">
        <v>20</v>
      </c>
      <c r="AR245" t="b">
        <v>0</v>
      </c>
      <c r="AS245" t="b">
        <v>0</v>
      </c>
      <c r="AT245" s="12" t="s">
        <v>1574</v>
      </c>
    </row>
    <row r="246" spans="1:46" x14ac:dyDescent="0.3">
      <c r="A246" s="57" t="str">
        <f t="shared" ref="A246:A275" si="8">AA246&amp;AB246&amp;AC246&amp;AE246&amp;AK246&amp;AO246</f>
        <v>HIG9185006591850065BTASTA45943</v>
      </c>
      <c r="B246" s="57">
        <f>COUNTIF(CONT_SUP[Unique Contract],CONT_SUP[[#This Row],[Unique Contract]])-1</f>
        <v>0</v>
      </c>
      <c r="C246" s="57">
        <f>IFERROR(IF(FIND(CONT_SUP[[#This Row],[SchoolCode]],_xlfn.XLOOKUP(CONT_SUP[[#This Row],[StaffMemberCode]],MEMBERS[StaffMemberCode],MEMBERS[SchoolCodes]))&gt;0,0,1),1)</f>
        <v>0</v>
      </c>
      <c r="D246" s="57" cm="1">
        <f t="array" ref="D246">IF(_xlfn.XLOOKUP(CONT_SUP[[#This Row],[StaffRoleCode]],ROLES[StaffRoleCode],ROLES[AvailableToAllSchools],1,0,)=TRUE,0,IF(ISERROR(FIND(CONT_SUP[[#This Row],[SchoolCode]],_xlfn.TEXTJOIN(",",TRUE,_xlfn.UNIQUE(IF(ROLES[StaffRoleCode]=CONT_SUP[[#This Row],[StaffRoleCode]],ROLES[SchoolCodes],""))))),1,0))</f>
        <v>0</v>
      </c>
      <c r="E246" s="57" cm="1">
        <f t="array" ref="E24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46" s="57" cm="1">
        <f t="array" ref="F246">IF(_xlfn.XLOOKUP(CONT_SUP[[#This Row],[PayScaleCode]],PAYSCALES[PayScaleCode],PAYSCALES[AvailableToAllSchools],1,0,)=TRUE,0,IF(ISERROR(FIND(CONT_SUP[[#This Row],[SchoolCode]],_xlfn.TEXTJOIN(",",TRUE,_xlfn.UNIQUE(IF(PAYSCALES[PayScaleCode]=CONT_SUP[[#This Row],[PayScaleCode]],PAYSCALES[SchoolCodes],""))))),1,0))</f>
        <v>0</v>
      </c>
      <c r="G246" s="57">
        <f>IF(_xlfn.XLOOKUP(CONT_SUP[[#This Row],[PayScaleGradeCode]],GRADES[PayScaleGradeCode],GRADES[AvailableToAllSchools])=TRUE,0,IFERROR(IF(FIND(CONT_SUP[[#This Row],[SchoolCode]],_xlfn.XLOOKUP(CONT_SUP[[#This Row],[PayScaleGradeCode]],GRADES[PayScaleGradeCode],GRADES[SchoolCodes]))&gt;=1,0,1),1))</f>
        <v>0</v>
      </c>
      <c r="H246" s="57">
        <f>IF(ISERROR(IF((_xlfn.XLOOKUP(CONT_SUP[[#This Row],[PayScaleGradeCode]],GRADES[PayScaleGradeCode],GRADES[PayScaleCode])=CONT_SUP[[#This Row],[PayScaleCode]]),0,1)),1,0)</f>
        <v>0</v>
      </c>
      <c r="I246" s="57" cm="1">
        <f t="array" ref="I246">IF(ISERROR(FIND(CONT_SUP[[#This Row],[PayScalePointCode]],_xlfn.TEXTJOIN(",",TRUE,IF(PSPOINTS[PayScaleCode]=CONT_SUP[[#This Row],[PayScaleCode]],PSPOINTS[PayScalePointCode])))),1,0)</f>
        <v>0</v>
      </c>
      <c r="J246" s="57" cm="1">
        <f t="array" ref="J24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46" s="57">
        <f>IF(_xlfn.XLOOKUP(CONT_SUP[[#This Row],[PayScalePointCode]],PSPOINTS[PayScalePointCode],PSPOINTS[PayScalePointEnabled])=TRUE,0,1)</f>
        <v>0</v>
      </c>
      <c r="L246" s="57" cm="1">
        <f t="array" ref="L246">IF(_xlfn.XLOOKUP(CONT_SUP[[#This Row],[DepartmentCode]],DEPTS[DepartmentCode],DEPTS[AvailableToAllSchools],1,0,)=TRUE,0,IF(ISERROR(FIND(CONT_SUP[[#This Row],[SchoolCode]],_xlfn.TEXTJOIN(",",TRUE,_xlfn.UNIQUE(IF(DEPTS[DepartmentCode]=CONT_SUP[[#This Row],[DepartmentCode]],DEPTS[SchoolCodes],""))))),1,0))</f>
        <v>0</v>
      </c>
      <c r="M246" s="57">
        <f>IFERROR(IF(_xlfn.XLOOKUP(CONT_SUP[[#This Row],[SRG Gross]],FinanceCodesBudget[FinanceCode],FinanceCodesBudget[LedgerCode])=_xlfn.XLOOKUP(CONT_SUP[[#This Row],[DepartmentCode]],DEPTS[DepartmentCode],DEPTS[LedgerCode]),0,1),1)</f>
        <v>1</v>
      </c>
      <c r="N246" s="57" cm="1">
        <f t="array" ref="N246">IF(_xlfn.XLOOKUP(CONT_SUP[[#This Row],[PensionCode]],PENS[PensionCode],PENS[AvailableToAllSchools],1,0,)=TRUE,0,IF(ISERROR(FIND(CONT_SUP[[#This Row],[SchoolCode]],_xlfn.TEXTJOIN(",",TRUE,_xlfn.UNIQUE(IF(PENS[PensionCode]=CONT_SUP[[#This Row],[PensionCode]],PENS[SchoolCodes],""))))),1,0))</f>
        <v>0</v>
      </c>
      <c r="O246" s="57" cm="1">
        <f t="array" ref="O246">IF(_xlfn.XLOOKUP(CONT_SUP[[#This Row],[EquatedWeekPatternCode]],EQW[EquatedWeekPatternCode],EQW[AvailableToAllSchools],1,0,)=TRUE,0,IF(ISERROR(FIND(CONT_SUP[[#This Row],[SchoolCode]],_xlfn.TEXTJOIN(",",TRUE,_xlfn.UNIQUE(IF(EQW[EquatedWeekPatternCode]=CONT_SUP[[#This Row],[EquatedWeekPatternCode]],EQW[SchoolCodes],""))))),1,0))</f>
        <v>0</v>
      </c>
      <c r="P246" s="57">
        <f>1-COUNTIF(ContractTypes[Code],CONT_SUP[[#This Row],[ContractTypeCode]])</f>
        <v>0</v>
      </c>
      <c r="Q246" s="57">
        <f>IF(VLOOKUP(CONT_SUP[[#This Row],[StaffMemberCode]],MEMBERS[[StaffMemberCode]:[ServiceStartDate]],5,0)&gt;CONT_SUP[[#This Row],[DateFrom]],1,0)</f>
        <v>0</v>
      </c>
      <c r="R246" s="57">
        <f>IF(_xlfn.XLOOKUP(CONT_SUP[[#This Row],[StaffMemberCode]],MEMBERS[StaffMemberCode],MEMBERS[ServiceEndDate])="",0,IF(CONT_SUP[[#This Row],[DateTo]]="",1,IF(_xlfn.XLOOKUP(CONT_SUP[[#This Row],[StaffMemberCode]],MEMBERS[StaffMemberCode],MEMBERS[ServiceEndDate])&lt;CONT_SUP[[#This Row],[DateTo]],1,0)))</f>
        <v>0</v>
      </c>
      <c r="S246" s="57">
        <f>IF(ISBLANK(CONT_SUP[[#This Row],[DateTo]]),0,IF(CONT_SUP[[#This Row],[DateFrom]]=CONT_SUP[[#This Row],[DateTo]],0,IF(CONT_SUP[[#This Row],[DateFrom]]&lt;CONT_SUP[[#This Row],[DateTo]],0,1)))</f>
        <v>0</v>
      </c>
      <c r="T246" s="57" cm="1">
        <f t="array" aca="1" ref="T246" ca="1">IF(CELL("format",CONT_SUP[[#This Row],[DateFrom]])="D1",0,1)+IF(CELL("format",CONT_SUP[[#This Row],[DateTo]])="D1",0,1)</f>
        <v>0</v>
      </c>
      <c r="U246" s="57">
        <f>IF(OR(CONT_SUP[[#This Row],[MatEditOnly]]=TRUE,CONT_SUP[[#This Row],[MatEditOnly]]=FALSE),IF(OR(CONT_SUP[[#This Row],[NoIncrement]]=TRUE,CONT_SUP[[#This Row],[NoIncrement]]=FALSE),0,1),1)</f>
        <v>0</v>
      </c>
      <c r="V246" s="57">
        <f>IF(ISBLANK(CONT_SUP[[#This Row],[FundCode]])=TRUE,0,IF(COUNTIF(FUNDS[FundCode],CONT_SUP[[#This Row],[FundCode]])=1,0,1))</f>
        <v>0</v>
      </c>
      <c r="W246" s="57">
        <f>IF(LEN(CONT_SUP[[#This Row],[Notes]])&lt;4000,0,1)</f>
        <v>0</v>
      </c>
      <c r="X246" s="57">
        <f>IF(SUBSTITUTE(TEXT(CONT_SUP[[#This Row],[Reference]],10)," ","")=TEXT(CONT_SUP[[#This Row],[Reference]],10),0,1)</f>
        <v>0</v>
      </c>
      <c r="Y246" s="57">
        <f ca="1">SUM(CONT_SUP[[#This Row],[Duplicate Contract]:[Space in Code]])</f>
        <v>1</v>
      </c>
      <c r="AA246" s="12" t="s">
        <v>2266</v>
      </c>
      <c r="AB246" s="12">
        <v>91850065</v>
      </c>
      <c r="AC246" s="12" t="s">
        <v>4842</v>
      </c>
      <c r="AD246" s="57" t="str">
        <f>_xlfn.XLOOKUP(CONT_SUP[[#This Row],[StaffMemberCode]],StaffMembers!O:O,StaffMembers!R:R)</f>
        <v>Liza Ryde</v>
      </c>
      <c r="AE246" s="12" t="s">
        <v>1180</v>
      </c>
      <c r="AF246" s="57">
        <f>_xlfn.XLOOKUP(CONT_SUP[[#This Row],[SRG]],SRG[StaffRoleGroupCode],SRG[GrossSalaryFinanceCode])</f>
        <v>615100</v>
      </c>
      <c r="AG246" s="57" t="str">
        <f>_xlfn.XLOOKUP(CONT_SUP[[#This Row],[StaffRoleCode]],ROLES[StaffRoleCode],ROLES[StaffRoleGroupCode])</f>
        <v>TA</v>
      </c>
      <c r="AH246" s="57" t="str">
        <f>_xlfn.XLOOKUP(CONT_SUP[[#This Row],[StaffRoleCode]],ROLES[StaffRoleCode],ROLES[PayScaleCode])</f>
        <v>NJC_CHE</v>
      </c>
      <c r="AI246" s="12" t="s">
        <v>3122</v>
      </c>
      <c r="AJ246" s="12">
        <v>6</v>
      </c>
      <c r="AK246" s="12" t="s">
        <v>2497</v>
      </c>
      <c r="AM246" s="68" t="s">
        <v>3132</v>
      </c>
      <c r="AN246" s="12" t="s">
        <v>3135</v>
      </c>
      <c r="AO246" s="21">
        <v>45943</v>
      </c>
      <c r="AQ246" s="12">
        <v>12.5</v>
      </c>
      <c r="AR246" t="b">
        <v>0</v>
      </c>
      <c r="AS246" t="b">
        <v>0</v>
      </c>
      <c r="AT246" s="12" t="s">
        <v>1574</v>
      </c>
    </row>
    <row r="247" spans="1:46" x14ac:dyDescent="0.3">
      <c r="A247" s="57" t="str">
        <f t="shared" si="8"/>
        <v>ALS9107386091073860ATASTA45901</v>
      </c>
      <c r="B247" s="57">
        <f>COUNTIF(CONT_SUP[Unique Contract],CONT_SUP[[#This Row],[Unique Contract]])-1</f>
        <v>0</v>
      </c>
      <c r="C247" s="57">
        <f>IFERROR(IF(FIND(CONT_SUP[[#This Row],[SchoolCode]],_xlfn.XLOOKUP(CONT_SUP[[#This Row],[StaffMemberCode]],MEMBERS[StaffMemberCode],MEMBERS[SchoolCodes]))&gt;0,0,1),1)</f>
        <v>0</v>
      </c>
      <c r="D247" s="57" cm="1">
        <f t="array" ref="D247">IF(_xlfn.XLOOKUP(CONT_SUP[[#This Row],[StaffRoleCode]],ROLES[StaffRoleCode],ROLES[AvailableToAllSchools],1,0,)=TRUE,0,IF(ISERROR(FIND(CONT_SUP[[#This Row],[SchoolCode]],_xlfn.TEXTJOIN(",",TRUE,_xlfn.UNIQUE(IF(ROLES[StaffRoleCode]=CONT_SUP[[#This Row],[StaffRoleCode]],ROLES[SchoolCodes],""))))),1,0))</f>
        <v>0</v>
      </c>
      <c r="E247" s="57" cm="1">
        <f t="array" ref="E24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47" s="57" cm="1">
        <f t="array" ref="F247">IF(_xlfn.XLOOKUP(CONT_SUP[[#This Row],[PayScaleCode]],PAYSCALES[PayScaleCode],PAYSCALES[AvailableToAllSchools],1,0,)=TRUE,0,IF(ISERROR(FIND(CONT_SUP[[#This Row],[SchoolCode]],_xlfn.TEXTJOIN(",",TRUE,_xlfn.UNIQUE(IF(PAYSCALES[PayScaleCode]=CONT_SUP[[#This Row],[PayScaleCode]],PAYSCALES[SchoolCodes],""))))),1,0))</f>
        <v>0</v>
      </c>
      <c r="G247" s="57">
        <f>IF(_xlfn.XLOOKUP(CONT_SUP[[#This Row],[PayScaleGradeCode]],GRADES[PayScaleGradeCode],GRADES[AvailableToAllSchools])=TRUE,0,IFERROR(IF(FIND(CONT_SUP[[#This Row],[SchoolCode]],_xlfn.XLOOKUP(CONT_SUP[[#This Row],[PayScaleGradeCode]],GRADES[PayScaleGradeCode],GRADES[SchoolCodes]))&gt;=1,0,1),1))</f>
        <v>0</v>
      </c>
      <c r="H247" s="57">
        <f>IF(ISERROR(IF((_xlfn.XLOOKUP(CONT_SUP[[#This Row],[PayScaleGradeCode]],GRADES[PayScaleGradeCode],GRADES[PayScaleCode])=CONT_SUP[[#This Row],[PayScaleCode]]),0,1)),1,0)</f>
        <v>0</v>
      </c>
      <c r="I247" s="57" cm="1">
        <f t="array" ref="I247">IF(ISERROR(FIND(CONT_SUP[[#This Row],[PayScalePointCode]],_xlfn.TEXTJOIN(",",TRUE,IF(PSPOINTS[PayScaleCode]=CONT_SUP[[#This Row],[PayScaleCode]],PSPOINTS[PayScalePointCode])))),1,0)</f>
        <v>0</v>
      </c>
      <c r="J247" s="57" cm="1">
        <f t="array" ref="J24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47" s="57">
        <f>IF(_xlfn.XLOOKUP(CONT_SUP[[#This Row],[PayScalePointCode]],PSPOINTS[PayScalePointCode],PSPOINTS[PayScalePointEnabled])=TRUE,0,1)</f>
        <v>0</v>
      </c>
      <c r="L247" s="57" cm="1">
        <f t="array" ref="L247">IF(_xlfn.XLOOKUP(CONT_SUP[[#This Row],[DepartmentCode]],DEPTS[DepartmentCode],DEPTS[AvailableToAllSchools],1,0,)=TRUE,0,IF(ISERROR(FIND(CONT_SUP[[#This Row],[SchoolCode]],_xlfn.TEXTJOIN(",",TRUE,_xlfn.UNIQUE(IF(DEPTS[DepartmentCode]=CONT_SUP[[#This Row],[DepartmentCode]],DEPTS[SchoolCodes],""))))),1,0))</f>
        <v>0</v>
      </c>
      <c r="M247" s="57">
        <f>IFERROR(IF(_xlfn.XLOOKUP(CONT_SUP[[#This Row],[SRG Gross]],FinanceCodesBudget[FinanceCode],FinanceCodesBudget[LedgerCode])=_xlfn.XLOOKUP(CONT_SUP[[#This Row],[DepartmentCode]],DEPTS[DepartmentCode],DEPTS[LedgerCode]),0,1),1)</f>
        <v>1</v>
      </c>
      <c r="N247" s="57" cm="1">
        <f t="array" ref="N247">IF(_xlfn.XLOOKUP(CONT_SUP[[#This Row],[PensionCode]],PENS[PensionCode],PENS[AvailableToAllSchools],1,0,)=TRUE,0,IF(ISERROR(FIND(CONT_SUP[[#This Row],[SchoolCode]],_xlfn.TEXTJOIN(",",TRUE,_xlfn.UNIQUE(IF(PENS[PensionCode]=CONT_SUP[[#This Row],[PensionCode]],PENS[SchoolCodes],""))))),1,0))</f>
        <v>0</v>
      </c>
      <c r="O247" s="57" cm="1">
        <f t="array" ref="O247">IF(_xlfn.XLOOKUP(CONT_SUP[[#This Row],[EquatedWeekPatternCode]],EQW[EquatedWeekPatternCode],EQW[AvailableToAllSchools],1,0,)=TRUE,0,IF(ISERROR(FIND(CONT_SUP[[#This Row],[SchoolCode]],_xlfn.TEXTJOIN(",",TRUE,_xlfn.UNIQUE(IF(EQW[EquatedWeekPatternCode]=CONT_SUP[[#This Row],[EquatedWeekPatternCode]],EQW[SchoolCodes],""))))),1,0))</f>
        <v>0</v>
      </c>
      <c r="P247" s="57">
        <f>1-COUNTIF(ContractTypes[Code],CONT_SUP[[#This Row],[ContractTypeCode]])</f>
        <v>0</v>
      </c>
      <c r="Q247" s="57">
        <f>IF(VLOOKUP(CONT_SUP[[#This Row],[StaffMemberCode]],MEMBERS[[StaffMemberCode]:[ServiceStartDate]],5,0)&gt;CONT_SUP[[#This Row],[DateFrom]],1,0)</f>
        <v>0</v>
      </c>
      <c r="R247" s="57">
        <f>IF(_xlfn.XLOOKUP(CONT_SUP[[#This Row],[StaffMemberCode]],MEMBERS[StaffMemberCode],MEMBERS[ServiceEndDate])="",0,IF(CONT_SUP[[#This Row],[DateTo]]="",1,IF(_xlfn.XLOOKUP(CONT_SUP[[#This Row],[StaffMemberCode]],MEMBERS[StaffMemberCode],MEMBERS[ServiceEndDate])&lt;CONT_SUP[[#This Row],[DateTo]],1,0)))</f>
        <v>0</v>
      </c>
      <c r="S247" s="57">
        <f>IF(ISBLANK(CONT_SUP[[#This Row],[DateTo]]),0,IF(CONT_SUP[[#This Row],[DateFrom]]=CONT_SUP[[#This Row],[DateTo]],0,IF(CONT_SUP[[#This Row],[DateFrom]]&lt;CONT_SUP[[#This Row],[DateTo]],0,1)))</f>
        <v>0</v>
      </c>
      <c r="T247" s="57" cm="1">
        <f t="array" aca="1" ref="T247" ca="1">IF(CELL("format",CONT_SUP[[#This Row],[DateFrom]])="D1",0,1)+IF(CELL("format",CONT_SUP[[#This Row],[DateTo]])="D1",0,1)</f>
        <v>0</v>
      </c>
      <c r="U247" s="57">
        <f>IF(OR(CONT_SUP[[#This Row],[MatEditOnly]]=TRUE,CONT_SUP[[#This Row],[MatEditOnly]]=FALSE),IF(OR(CONT_SUP[[#This Row],[NoIncrement]]=TRUE,CONT_SUP[[#This Row],[NoIncrement]]=FALSE),0,1),1)</f>
        <v>0</v>
      </c>
      <c r="V247" s="57">
        <f>IF(ISBLANK(CONT_SUP[[#This Row],[FundCode]])=TRUE,0,IF(COUNTIF(FUNDS[FundCode],CONT_SUP[[#This Row],[FundCode]])=1,0,1))</f>
        <v>0</v>
      </c>
      <c r="W247" s="57">
        <f>IF(LEN(CONT_SUP[[#This Row],[Notes]])&lt;4000,0,1)</f>
        <v>0</v>
      </c>
      <c r="X247" s="57">
        <f>IF(SUBSTITUTE(TEXT(CONT_SUP[[#This Row],[Reference]],10)," ","")=TEXT(CONT_SUP[[#This Row],[Reference]],10),0,1)</f>
        <v>0</v>
      </c>
      <c r="Y247" s="57">
        <f ca="1">SUM(CONT_SUP[[#This Row],[Duplicate Contract]:[Space in Code]])</f>
        <v>1</v>
      </c>
      <c r="AA247" s="12" t="s">
        <v>2082</v>
      </c>
      <c r="AB247" s="12">
        <v>91073860</v>
      </c>
      <c r="AC247" s="12" t="s">
        <v>4843</v>
      </c>
      <c r="AD247" s="57" t="str">
        <f>_xlfn.XLOOKUP(CONT_SUP[[#This Row],[StaffMemberCode]],StaffMembers!O:O,StaffMembers!R:R)</f>
        <v>Luke Preston</v>
      </c>
      <c r="AE247" s="12" t="s">
        <v>1180</v>
      </c>
      <c r="AF247" s="57">
        <f>_xlfn.XLOOKUP(CONT_SUP[[#This Row],[SRG]],SRG[StaffRoleGroupCode],SRG[GrossSalaryFinanceCode])</f>
        <v>615100</v>
      </c>
      <c r="AG247" s="57" t="str">
        <f>_xlfn.XLOOKUP(CONT_SUP[[#This Row],[StaffRoleCode]],ROLES[StaffRoleCode],ROLES[StaffRoleGroupCode])</f>
        <v>TA</v>
      </c>
      <c r="AH247" s="57" t="str">
        <f>_xlfn.XLOOKUP(CONT_SUP[[#This Row],[StaffRoleCode]],ROLES[StaffRoleCode],ROLES[PayScaleCode])</f>
        <v>NJC_CHE</v>
      </c>
      <c r="AI247" s="12" t="s">
        <v>3123</v>
      </c>
      <c r="AJ247" s="12">
        <v>9</v>
      </c>
      <c r="AK247" s="12" t="s">
        <v>2497</v>
      </c>
      <c r="AM247" s="68" t="s">
        <v>3132</v>
      </c>
      <c r="AN247" s="12" t="s">
        <v>3135</v>
      </c>
      <c r="AO247" s="21">
        <v>45901</v>
      </c>
      <c r="AQ247" s="12">
        <v>32.5</v>
      </c>
      <c r="AR247" t="b">
        <v>0</v>
      </c>
      <c r="AS247" t="b">
        <v>0</v>
      </c>
      <c r="AT247" s="12" t="s">
        <v>1575</v>
      </c>
    </row>
    <row r="248" spans="1:46" x14ac:dyDescent="0.3">
      <c r="A248" s="57" t="str">
        <f t="shared" si="8"/>
        <v>BLS9185007091850070ATASTA45950</v>
      </c>
      <c r="B248" s="57">
        <f>COUNTIF(CONT_SUP[Unique Contract],CONT_SUP[[#This Row],[Unique Contract]])-1</f>
        <v>0</v>
      </c>
      <c r="C248" s="57">
        <f>IFERROR(IF(FIND(CONT_SUP[[#This Row],[SchoolCode]],_xlfn.XLOOKUP(CONT_SUP[[#This Row],[StaffMemberCode]],MEMBERS[StaffMemberCode],MEMBERS[SchoolCodes]))&gt;0,0,1),1)</f>
        <v>0</v>
      </c>
      <c r="D248" s="57" cm="1">
        <f t="array" ref="D248">IF(_xlfn.XLOOKUP(CONT_SUP[[#This Row],[StaffRoleCode]],ROLES[StaffRoleCode],ROLES[AvailableToAllSchools],1,0,)=TRUE,0,IF(ISERROR(FIND(CONT_SUP[[#This Row],[SchoolCode]],_xlfn.TEXTJOIN(",",TRUE,_xlfn.UNIQUE(IF(ROLES[StaffRoleCode]=CONT_SUP[[#This Row],[StaffRoleCode]],ROLES[SchoolCodes],""))))),1,0))</f>
        <v>0</v>
      </c>
      <c r="E248" s="57" cm="1">
        <f t="array" ref="E24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48" s="57" cm="1">
        <f t="array" ref="F248">IF(_xlfn.XLOOKUP(CONT_SUP[[#This Row],[PayScaleCode]],PAYSCALES[PayScaleCode],PAYSCALES[AvailableToAllSchools],1,0,)=TRUE,0,IF(ISERROR(FIND(CONT_SUP[[#This Row],[SchoolCode]],_xlfn.TEXTJOIN(",",TRUE,_xlfn.UNIQUE(IF(PAYSCALES[PayScaleCode]=CONT_SUP[[#This Row],[PayScaleCode]],PAYSCALES[SchoolCodes],""))))),1,0))</f>
        <v>0</v>
      </c>
      <c r="G248" s="57">
        <f>IF(_xlfn.XLOOKUP(CONT_SUP[[#This Row],[PayScaleGradeCode]],GRADES[PayScaleGradeCode],GRADES[AvailableToAllSchools])=TRUE,0,IFERROR(IF(FIND(CONT_SUP[[#This Row],[SchoolCode]],_xlfn.XLOOKUP(CONT_SUP[[#This Row],[PayScaleGradeCode]],GRADES[PayScaleGradeCode],GRADES[SchoolCodes]))&gt;=1,0,1),1))</f>
        <v>0</v>
      </c>
      <c r="H248" s="57">
        <f>IF(ISERROR(IF((_xlfn.XLOOKUP(CONT_SUP[[#This Row],[PayScaleGradeCode]],GRADES[PayScaleGradeCode],GRADES[PayScaleCode])=CONT_SUP[[#This Row],[PayScaleCode]]),0,1)),1,0)</f>
        <v>0</v>
      </c>
      <c r="I248" s="57" cm="1">
        <f t="array" ref="I248">IF(ISERROR(FIND(CONT_SUP[[#This Row],[PayScalePointCode]],_xlfn.TEXTJOIN(",",TRUE,IF(PSPOINTS[PayScaleCode]=CONT_SUP[[#This Row],[PayScaleCode]],PSPOINTS[PayScalePointCode])))),1,0)</f>
        <v>0</v>
      </c>
      <c r="J248" s="57" cm="1">
        <f t="array" ref="J24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48" s="57">
        <f>IF(_xlfn.XLOOKUP(CONT_SUP[[#This Row],[PayScalePointCode]],PSPOINTS[PayScalePointCode],PSPOINTS[PayScalePointEnabled])=TRUE,0,1)</f>
        <v>0</v>
      </c>
      <c r="L248" s="57" cm="1">
        <f t="array" ref="L248">IF(_xlfn.XLOOKUP(CONT_SUP[[#This Row],[DepartmentCode]],DEPTS[DepartmentCode],DEPTS[AvailableToAllSchools],1,0,)=TRUE,0,IF(ISERROR(FIND(CONT_SUP[[#This Row],[SchoolCode]],_xlfn.TEXTJOIN(",",TRUE,_xlfn.UNIQUE(IF(DEPTS[DepartmentCode]=CONT_SUP[[#This Row],[DepartmentCode]],DEPTS[SchoolCodes],""))))),1,0))</f>
        <v>0</v>
      </c>
      <c r="M248" s="57">
        <f>IFERROR(IF(_xlfn.XLOOKUP(CONT_SUP[[#This Row],[SRG Gross]],FinanceCodesBudget[FinanceCode],FinanceCodesBudget[LedgerCode])=_xlfn.XLOOKUP(CONT_SUP[[#This Row],[DepartmentCode]],DEPTS[DepartmentCode],DEPTS[LedgerCode]),0,1),1)</f>
        <v>1</v>
      </c>
      <c r="N248" s="57" cm="1">
        <f t="array" ref="N248">IF(_xlfn.XLOOKUP(CONT_SUP[[#This Row],[PensionCode]],PENS[PensionCode],PENS[AvailableToAllSchools],1,0,)=TRUE,0,IF(ISERROR(FIND(CONT_SUP[[#This Row],[SchoolCode]],_xlfn.TEXTJOIN(",",TRUE,_xlfn.UNIQUE(IF(PENS[PensionCode]=CONT_SUP[[#This Row],[PensionCode]],PENS[SchoolCodes],""))))),1,0))</f>
        <v>0</v>
      </c>
      <c r="O248" s="57" cm="1">
        <f t="array" ref="O248">IF(_xlfn.XLOOKUP(CONT_SUP[[#This Row],[EquatedWeekPatternCode]],EQW[EquatedWeekPatternCode],EQW[AvailableToAllSchools],1,0,)=TRUE,0,IF(ISERROR(FIND(CONT_SUP[[#This Row],[SchoolCode]],_xlfn.TEXTJOIN(",",TRUE,_xlfn.UNIQUE(IF(EQW[EquatedWeekPatternCode]=CONT_SUP[[#This Row],[EquatedWeekPatternCode]],EQW[SchoolCodes],""))))),1,0))</f>
        <v>0</v>
      </c>
      <c r="P248" s="57">
        <f>1-COUNTIF(ContractTypes[Code],CONT_SUP[[#This Row],[ContractTypeCode]])</f>
        <v>0</v>
      </c>
      <c r="Q248" s="57">
        <f>IF(VLOOKUP(CONT_SUP[[#This Row],[StaffMemberCode]],MEMBERS[[StaffMemberCode]:[ServiceStartDate]],5,0)&gt;CONT_SUP[[#This Row],[DateFrom]],1,0)</f>
        <v>0</v>
      </c>
      <c r="R248" s="57">
        <f>IF(_xlfn.XLOOKUP(CONT_SUP[[#This Row],[StaffMemberCode]],MEMBERS[StaffMemberCode],MEMBERS[ServiceEndDate])="",0,IF(CONT_SUP[[#This Row],[DateTo]]="",1,IF(_xlfn.XLOOKUP(CONT_SUP[[#This Row],[StaffMemberCode]],MEMBERS[StaffMemberCode],MEMBERS[ServiceEndDate])&lt;CONT_SUP[[#This Row],[DateTo]],1,0)))</f>
        <v>0</v>
      </c>
      <c r="S248" s="57">
        <f>IF(ISBLANK(CONT_SUP[[#This Row],[DateTo]]),0,IF(CONT_SUP[[#This Row],[DateFrom]]=CONT_SUP[[#This Row],[DateTo]],0,IF(CONT_SUP[[#This Row],[DateFrom]]&lt;CONT_SUP[[#This Row],[DateTo]],0,1)))</f>
        <v>0</v>
      </c>
      <c r="T248" s="57" cm="1">
        <f t="array" aca="1" ref="T248" ca="1">IF(CELL("format",CONT_SUP[[#This Row],[DateFrom]])="D1",0,1)+IF(CELL("format",CONT_SUP[[#This Row],[DateTo]])="D1",0,1)</f>
        <v>0</v>
      </c>
      <c r="U248" s="57">
        <f>IF(OR(CONT_SUP[[#This Row],[MatEditOnly]]=TRUE,CONT_SUP[[#This Row],[MatEditOnly]]=FALSE),IF(OR(CONT_SUP[[#This Row],[NoIncrement]]=TRUE,CONT_SUP[[#This Row],[NoIncrement]]=FALSE),0,1),1)</f>
        <v>0</v>
      </c>
      <c r="V248" s="57">
        <f>IF(ISBLANK(CONT_SUP[[#This Row],[FundCode]])=TRUE,0,IF(COUNTIF(FUNDS[FundCode],CONT_SUP[[#This Row],[FundCode]])=1,0,1))</f>
        <v>0</v>
      </c>
      <c r="W248" s="57">
        <f>IF(LEN(CONT_SUP[[#This Row],[Notes]])&lt;4000,0,1)</f>
        <v>0</v>
      </c>
      <c r="X248" s="57">
        <f>IF(SUBSTITUTE(TEXT(CONT_SUP[[#This Row],[Reference]],10)," ","")=TEXT(CONT_SUP[[#This Row],[Reference]],10),0,1)</f>
        <v>0</v>
      </c>
      <c r="Y248" s="57">
        <f ca="1">SUM(CONT_SUP[[#This Row],[Duplicate Contract]:[Space in Code]])</f>
        <v>1</v>
      </c>
      <c r="AA248" s="12" t="s">
        <v>2094</v>
      </c>
      <c r="AB248" s="12">
        <v>91850070</v>
      </c>
      <c r="AC248" s="12" t="s">
        <v>4844</v>
      </c>
      <c r="AD248" s="57" t="str">
        <f>_xlfn.XLOOKUP(CONT_SUP[[#This Row],[StaffMemberCode]],StaffMembers!O:O,StaffMembers!R:R)</f>
        <v>Madeleine Neaum</v>
      </c>
      <c r="AE248" s="12" t="s">
        <v>1180</v>
      </c>
      <c r="AF248" s="57">
        <f>_xlfn.XLOOKUP(CONT_SUP[[#This Row],[SRG]],SRG[StaffRoleGroupCode],SRG[GrossSalaryFinanceCode])</f>
        <v>615100</v>
      </c>
      <c r="AG248" s="57" t="str">
        <f>_xlfn.XLOOKUP(CONT_SUP[[#This Row],[StaffRoleCode]],ROLES[StaffRoleCode],ROLES[StaffRoleGroupCode])</f>
        <v>TA</v>
      </c>
      <c r="AH248" s="57" t="str">
        <f>_xlfn.XLOOKUP(CONT_SUP[[#This Row],[StaffRoleCode]],ROLES[StaffRoleCode],ROLES[PayScaleCode])</f>
        <v>NJC_CHE</v>
      </c>
      <c r="AI248" s="12" t="s">
        <v>3122</v>
      </c>
      <c r="AJ248" s="12">
        <v>5</v>
      </c>
      <c r="AK248" s="12" t="s">
        <v>2497</v>
      </c>
      <c r="AM248" s="68" t="s">
        <v>3132</v>
      </c>
      <c r="AN248" s="12" t="s">
        <v>3134</v>
      </c>
      <c r="AO248" s="21">
        <v>45950</v>
      </c>
      <c r="AQ248" s="12">
        <v>31.25</v>
      </c>
      <c r="AR248" t="b">
        <v>0</v>
      </c>
      <c r="AS248" t="b">
        <v>0</v>
      </c>
      <c r="AT248" s="12" t="s">
        <v>1574</v>
      </c>
    </row>
    <row r="249" spans="1:46" x14ac:dyDescent="0.3">
      <c r="A249" s="57" t="str">
        <f t="shared" si="8"/>
        <v>HIG9107388191073881ATASTA45901</v>
      </c>
      <c r="B249" s="57">
        <f>COUNTIF(CONT_SUP[Unique Contract],CONT_SUP[[#This Row],[Unique Contract]])-1</f>
        <v>0</v>
      </c>
      <c r="C249" s="57">
        <f>IFERROR(IF(FIND(CONT_SUP[[#This Row],[SchoolCode]],_xlfn.XLOOKUP(CONT_SUP[[#This Row],[StaffMemberCode]],MEMBERS[StaffMemberCode],MEMBERS[SchoolCodes]))&gt;0,0,1),1)</f>
        <v>0</v>
      </c>
      <c r="D249" s="57" cm="1">
        <f t="array" ref="D249">IF(_xlfn.XLOOKUP(CONT_SUP[[#This Row],[StaffRoleCode]],ROLES[StaffRoleCode],ROLES[AvailableToAllSchools],1,0,)=TRUE,0,IF(ISERROR(FIND(CONT_SUP[[#This Row],[SchoolCode]],_xlfn.TEXTJOIN(",",TRUE,_xlfn.UNIQUE(IF(ROLES[StaffRoleCode]=CONT_SUP[[#This Row],[StaffRoleCode]],ROLES[SchoolCodes],""))))),1,0))</f>
        <v>0</v>
      </c>
      <c r="E249" s="57" cm="1">
        <f t="array" ref="E24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49" s="57" cm="1">
        <f t="array" ref="F249">IF(_xlfn.XLOOKUP(CONT_SUP[[#This Row],[PayScaleCode]],PAYSCALES[PayScaleCode],PAYSCALES[AvailableToAllSchools],1,0,)=TRUE,0,IF(ISERROR(FIND(CONT_SUP[[#This Row],[SchoolCode]],_xlfn.TEXTJOIN(",",TRUE,_xlfn.UNIQUE(IF(PAYSCALES[PayScaleCode]=CONT_SUP[[#This Row],[PayScaleCode]],PAYSCALES[SchoolCodes],""))))),1,0))</f>
        <v>0</v>
      </c>
      <c r="G249" s="57">
        <f>IF(_xlfn.XLOOKUP(CONT_SUP[[#This Row],[PayScaleGradeCode]],GRADES[PayScaleGradeCode],GRADES[AvailableToAllSchools])=TRUE,0,IFERROR(IF(FIND(CONT_SUP[[#This Row],[SchoolCode]],_xlfn.XLOOKUP(CONT_SUP[[#This Row],[PayScaleGradeCode]],GRADES[PayScaleGradeCode],GRADES[SchoolCodes]))&gt;=1,0,1),1))</f>
        <v>0</v>
      </c>
      <c r="H249" s="57">
        <f>IF(ISERROR(IF((_xlfn.XLOOKUP(CONT_SUP[[#This Row],[PayScaleGradeCode]],GRADES[PayScaleGradeCode],GRADES[PayScaleCode])=CONT_SUP[[#This Row],[PayScaleCode]]),0,1)),1,0)</f>
        <v>0</v>
      </c>
      <c r="I249" s="57" cm="1">
        <f t="array" ref="I249">IF(ISERROR(FIND(CONT_SUP[[#This Row],[PayScalePointCode]],_xlfn.TEXTJOIN(",",TRUE,IF(PSPOINTS[PayScaleCode]=CONT_SUP[[#This Row],[PayScaleCode]],PSPOINTS[PayScalePointCode])))),1,0)</f>
        <v>0</v>
      </c>
      <c r="J249" s="57" cm="1">
        <f t="array" ref="J24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49" s="57">
        <f>IF(_xlfn.XLOOKUP(CONT_SUP[[#This Row],[PayScalePointCode]],PSPOINTS[PayScalePointCode],PSPOINTS[PayScalePointEnabled])=TRUE,0,1)</f>
        <v>0</v>
      </c>
      <c r="L249" s="57" cm="1">
        <f t="array" ref="L249">IF(_xlfn.XLOOKUP(CONT_SUP[[#This Row],[DepartmentCode]],DEPTS[DepartmentCode],DEPTS[AvailableToAllSchools],1,0,)=TRUE,0,IF(ISERROR(FIND(CONT_SUP[[#This Row],[SchoolCode]],_xlfn.TEXTJOIN(",",TRUE,_xlfn.UNIQUE(IF(DEPTS[DepartmentCode]=CONT_SUP[[#This Row],[DepartmentCode]],DEPTS[SchoolCodes],""))))),1,0))</f>
        <v>0</v>
      </c>
      <c r="M249" s="57">
        <f>IFERROR(IF(_xlfn.XLOOKUP(CONT_SUP[[#This Row],[SRG Gross]],FinanceCodesBudget[FinanceCode],FinanceCodesBudget[LedgerCode])=_xlfn.XLOOKUP(CONT_SUP[[#This Row],[DepartmentCode]],DEPTS[DepartmentCode],DEPTS[LedgerCode]),0,1),1)</f>
        <v>1</v>
      </c>
      <c r="N249" s="57" cm="1">
        <f t="array" ref="N249">IF(_xlfn.XLOOKUP(CONT_SUP[[#This Row],[PensionCode]],PENS[PensionCode],PENS[AvailableToAllSchools],1,0,)=TRUE,0,IF(ISERROR(FIND(CONT_SUP[[#This Row],[SchoolCode]],_xlfn.TEXTJOIN(",",TRUE,_xlfn.UNIQUE(IF(PENS[PensionCode]=CONT_SUP[[#This Row],[PensionCode]],PENS[SchoolCodes],""))))),1,0))</f>
        <v>0</v>
      </c>
      <c r="O249" s="57" cm="1">
        <f t="array" ref="O249">IF(_xlfn.XLOOKUP(CONT_SUP[[#This Row],[EquatedWeekPatternCode]],EQW[EquatedWeekPatternCode],EQW[AvailableToAllSchools],1,0,)=TRUE,0,IF(ISERROR(FIND(CONT_SUP[[#This Row],[SchoolCode]],_xlfn.TEXTJOIN(",",TRUE,_xlfn.UNIQUE(IF(EQW[EquatedWeekPatternCode]=CONT_SUP[[#This Row],[EquatedWeekPatternCode]],EQW[SchoolCodes],""))))),1,0))</f>
        <v>0</v>
      </c>
      <c r="P249" s="57">
        <f>1-COUNTIF(ContractTypes[Code],CONT_SUP[[#This Row],[ContractTypeCode]])</f>
        <v>0</v>
      </c>
      <c r="Q249" s="57">
        <f>IF(VLOOKUP(CONT_SUP[[#This Row],[StaffMemberCode]],MEMBERS[[StaffMemberCode]:[ServiceStartDate]],5,0)&gt;CONT_SUP[[#This Row],[DateFrom]],1,0)</f>
        <v>0</v>
      </c>
      <c r="R249" s="57">
        <f>IF(_xlfn.XLOOKUP(CONT_SUP[[#This Row],[StaffMemberCode]],MEMBERS[StaffMemberCode],MEMBERS[ServiceEndDate])="",0,IF(CONT_SUP[[#This Row],[DateTo]]="",1,IF(_xlfn.XLOOKUP(CONT_SUP[[#This Row],[StaffMemberCode]],MEMBERS[StaffMemberCode],MEMBERS[ServiceEndDate])&lt;CONT_SUP[[#This Row],[DateTo]],1,0)))</f>
        <v>0</v>
      </c>
      <c r="S249" s="57">
        <f>IF(ISBLANK(CONT_SUP[[#This Row],[DateTo]]),0,IF(CONT_SUP[[#This Row],[DateFrom]]=CONT_SUP[[#This Row],[DateTo]],0,IF(CONT_SUP[[#This Row],[DateFrom]]&lt;CONT_SUP[[#This Row],[DateTo]],0,1)))</f>
        <v>0</v>
      </c>
      <c r="T249" s="57" cm="1">
        <f t="array" aca="1" ref="T249" ca="1">IF(CELL("format",CONT_SUP[[#This Row],[DateFrom]])="D1",0,1)+IF(CELL("format",CONT_SUP[[#This Row],[DateTo]])="D1",0,1)</f>
        <v>0</v>
      </c>
      <c r="U249" s="57">
        <f>IF(OR(CONT_SUP[[#This Row],[MatEditOnly]]=TRUE,CONT_SUP[[#This Row],[MatEditOnly]]=FALSE),IF(OR(CONT_SUP[[#This Row],[NoIncrement]]=TRUE,CONT_SUP[[#This Row],[NoIncrement]]=FALSE),0,1),1)</f>
        <v>0</v>
      </c>
      <c r="V249" s="57">
        <f>IF(ISBLANK(CONT_SUP[[#This Row],[FundCode]])=TRUE,0,IF(COUNTIF(FUNDS[FundCode],CONT_SUP[[#This Row],[FundCode]])=1,0,1))</f>
        <v>0</v>
      </c>
      <c r="W249" s="57">
        <f>IF(LEN(CONT_SUP[[#This Row],[Notes]])&lt;4000,0,1)</f>
        <v>0</v>
      </c>
      <c r="X249" s="57">
        <f>IF(SUBSTITUTE(TEXT(CONT_SUP[[#This Row],[Reference]],10)," ","")=TEXT(CONT_SUP[[#This Row],[Reference]],10),0,1)</f>
        <v>0</v>
      </c>
      <c r="Y249" s="57">
        <f ca="1">SUM(CONT_SUP[[#This Row],[Duplicate Contract]:[Space in Code]])</f>
        <v>1</v>
      </c>
      <c r="AA249" s="12" t="s">
        <v>2266</v>
      </c>
      <c r="AB249" s="12">
        <v>91073881</v>
      </c>
      <c r="AC249" s="12" t="s">
        <v>4845</v>
      </c>
      <c r="AD249" s="57" t="str">
        <f>_xlfn.XLOOKUP(CONT_SUP[[#This Row],[StaffMemberCode]],StaffMembers!O:O,StaffMembers!R:R)</f>
        <v>Mark Bundy</v>
      </c>
      <c r="AE249" s="12" t="s">
        <v>1180</v>
      </c>
      <c r="AF249" s="57">
        <f>_xlfn.XLOOKUP(CONT_SUP[[#This Row],[SRG]],SRG[StaffRoleGroupCode],SRG[GrossSalaryFinanceCode])</f>
        <v>615100</v>
      </c>
      <c r="AG249" s="57" t="str">
        <f>_xlfn.XLOOKUP(CONT_SUP[[#This Row],[StaffRoleCode]],ROLES[StaffRoleCode],ROLES[StaffRoleGroupCode])</f>
        <v>TA</v>
      </c>
      <c r="AH249" s="57" t="str">
        <f>_xlfn.XLOOKUP(CONT_SUP[[#This Row],[StaffRoleCode]],ROLES[StaffRoleCode],ROLES[PayScaleCode])</f>
        <v>NJC_CHE</v>
      </c>
      <c r="AI249" s="12" t="s">
        <v>3123</v>
      </c>
      <c r="AJ249" s="12">
        <v>11</v>
      </c>
      <c r="AK249" s="12" t="s">
        <v>2497</v>
      </c>
      <c r="AM249" s="68" t="s">
        <v>3132</v>
      </c>
      <c r="AN249" s="12" t="s">
        <v>3135</v>
      </c>
      <c r="AO249" s="21">
        <v>45901</v>
      </c>
      <c r="AQ249" s="12">
        <v>32.5</v>
      </c>
      <c r="AR249" t="b">
        <v>0</v>
      </c>
      <c r="AS249" t="b">
        <v>0</v>
      </c>
      <c r="AT249" s="12" t="s">
        <v>1574</v>
      </c>
    </row>
    <row r="250" spans="1:46" x14ac:dyDescent="0.3">
      <c r="A250" s="57" t="str">
        <f t="shared" si="8"/>
        <v>BLS9107353991073539ATASTA45901</v>
      </c>
      <c r="B250" s="57">
        <f>COUNTIF(CONT_SUP[Unique Contract],CONT_SUP[[#This Row],[Unique Contract]])-1</f>
        <v>0</v>
      </c>
      <c r="C250" s="57">
        <f>IFERROR(IF(FIND(CONT_SUP[[#This Row],[SchoolCode]],_xlfn.XLOOKUP(CONT_SUP[[#This Row],[StaffMemberCode]],MEMBERS[StaffMemberCode],MEMBERS[SchoolCodes]))&gt;0,0,1),1)</f>
        <v>0</v>
      </c>
      <c r="D250" s="57" cm="1">
        <f t="array" ref="D250">IF(_xlfn.XLOOKUP(CONT_SUP[[#This Row],[StaffRoleCode]],ROLES[StaffRoleCode],ROLES[AvailableToAllSchools],1,0,)=TRUE,0,IF(ISERROR(FIND(CONT_SUP[[#This Row],[SchoolCode]],_xlfn.TEXTJOIN(",",TRUE,_xlfn.UNIQUE(IF(ROLES[StaffRoleCode]=CONT_SUP[[#This Row],[StaffRoleCode]],ROLES[SchoolCodes],""))))),1,0))</f>
        <v>0</v>
      </c>
      <c r="E250" s="57" cm="1">
        <f t="array" ref="E25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50" s="57" cm="1">
        <f t="array" ref="F250">IF(_xlfn.XLOOKUP(CONT_SUP[[#This Row],[PayScaleCode]],PAYSCALES[PayScaleCode],PAYSCALES[AvailableToAllSchools],1,0,)=TRUE,0,IF(ISERROR(FIND(CONT_SUP[[#This Row],[SchoolCode]],_xlfn.TEXTJOIN(",",TRUE,_xlfn.UNIQUE(IF(PAYSCALES[PayScaleCode]=CONT_SUP[[#This Row],[PayScaleCode]],PAYSCALES[SchoolCodes],""))))),1,0))</f>
        <v>0</v>
      </c>
      <c r="G250" s="57">
        <f>IF(_xlfn.XLOOKUP(CONT_SUP[[#This Row],[PayScaleGradeCode]],GRADES[PayScaleGradeCode],GRADES[AvailableToAllSchools])=TRUE,0,IFERROR(IF(FIND(CONT_SUP[[#This Row],[SchoolCode]],_xlfn.XLOOKUP(CONT_SUP[[#This Row],[PayScaleGradeCode]],GRADES[PayScaleGradeCode],GRADES[SchoolCodes]))&gt;=1,0,1),1))</f>
        <v>0</v>
      </c>
      <c r="H250" s="57">
        <f>IF(ISERROR(IF((_xlfn.XLOOKUP(CONT_SUP[[#This Row],[PayScaleGradeCode]],GRADES[PayScaleGradeCode],GRADES[PayScaleCode])=CONT_SUP[[#This Row],[PayScaleCode]]),0,1)),1,0)</f>
        <v>0</v>
      </c>
      <c r="I250" s="57" cm="1">
        <f t="array" ref="I250">IF(ISERROR(FIND(CONT_SUP[[#This Row],[PayScalePointCode]],_xlfn.TEXTJOIN(",",TRUE,IF(PSPOINTS[PayScaleCode]=CONT_SUP[[#This Row],[PayScaleCode]],PSPOINTS[PayScalePointCode])))),1,0)</f>
        <v>0</v>
      </c>
      <c r="J250" s="57" cm="1">
        <f t="array" ref="J25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50" s="57">
        <f>IF(_xlfn.XLOOKUP(CONT_SUP[[#This Row],[PayScalePointCode]],PSPOINTS[PayScalePointCode],PSPOINTS[PayScalePointEnabled])=TRUE,0,1)</f>
        <v>0</v>
      </c>
      <c r="L250" s="57" cm="1">
        <f t="array" ref="L250">IF(_xlfn.XLOOKUP(CONT_SUP[[#This Row],[DepartmentCode]],DEPTS[DepartmentCode],DEPTS[AvailableToAllSchools],1,0,)=TRUE,0,IF(ISERROR(FIND(CONT_SUP[[#This Row],[SchoolCode]],_xlfn.TEXTJOIN(",",TRUE,_xlfn.UNIQUE(IF(DEPTS[DepartmentCode]=CONT_SUP[[#This Row],[DepartmentCode]],DEPTS[SchoolCodes],""))))),1,0))</f>
        <v>0</v>
      </c>
      <c r="M250" s="57">
        <f>IFERROR(IF(_xlfn.XLOOKUP(CONT_SUP[[#This Row],[SRG Gross]],FinanceCodesBudget[FinanceCode],FinanceCodesBudget[LedgerCode])=_xlfn.XLOOKUP(CONT_SUP[[#This Row],[DepartmentCode]],DEPTS[DepartmentCode],DEPTS[LedgerCode]),0,1),1)</f>
        <v>1</v>
      </c>
      <c r="N250" s="57" cm="1">
        <f t="array" ref="N250">IF(_xlfn.XLOOKUP(CONT_SUP[[#This Row],[PensionCode]],PENS[PensionCode],PENS[AvailableToAllSchools],1,0,)=TRUE,0,IF(ISERROR(FIND(CONT_SUP[[#This Row],[SchoolCode]],_xlfn.TEXTJOIN(",",TRUE,_xlfn.UNIQUE(IF(PENS[PensionCode]=CONT_SUP[[#This Row],[PensionCode]],PENS[SchoolCodes],""))))),1,0))</f>
        <v>0</v>
      </c>
      <c r="O250" s="57" cm="1">
        <f t="array" ref="O250">IF(_xlfn.XLOOKUP(CONT_SUP[[#This Row],[EquatedWeekPatternCode]],EQW[EquatedWeekPatternCode],EQW[AvailableToAllSchools],1,0,)=TRUE,0,IF(ISERROR(FIND(CONT_SUP[[#This Row],[SchoolCode]],_xlfn.TEXTJOIN(",",TRUE,_xlfn.UNIQUE(IF(EQW[EquatedWeekPatternCode]=CONT_SUP[[#This Row],[EquatedWeekPatternCode]],EQW[SchoolCodes],""))))),1,0))</f>
        <v>0</v>
      </c>
      <c r="P250" s="57">
        <f>1-COUNTIF(ContractTypes[Code],CONT_SUP[[#This Row],[ContractTypeCode]])</f>
        <v>0</v>
      </c>
      <c r="Q250" s="57">
        <f>IF(VLOOKUP(CONT_SUP[[#This Row],[StaffMemberCode]],MEMBERS[[StaffMemberCode]:[ServiceStartDate]],5,0)&gt;CONT_SUP[[#This Row],[DateFrom]],1,0)</f>
        <v>0</v>
      </c>
      <c r="R250" s="57">
        <f>IF(_xlfn.XLOOKUP(CONT_SUP[[#This Row],[StaffMemberCode]],MEMBERS[StaffMemberCode],MEMBERS[ServiceEndDate])="",0,IF(CONT_SUP[[#This Row],[DateTo]]="",1,IF(_xlfn.XLOOKUP(CONT_SUP[[#This Row],[StaffMemberCode]],MEMBERS[StaffMemberCode],MEMBERS[ServiceEndDate])&lt;CONT_SUP[[#This Row],[DateTo]],1,0)))</f>
        <v>0</v>
      </c>
      <c r="S250" s="57">
        <f>IF(ISBLANK(CONT_SUP[[#This Row],[DateTo]]),0,IF(CONT_SUP[[#This Row],[DateFrom]]=CONT_SUP[[#This Row],[DateTo]],0,IF(CONT_SUP[[#This Row],[DateFrom]]&lt;CONT_SUP[[#This Row],[DateTo]],0,1)))</f>
        <v>0</v>
      </c>
      <c r="T250" s="57" cm="1">
        <f t="array" aca="1" ref="T250" ca="1">IF(CELL("format",CONT_SUP[[#This Row],[DateFrom]])="D1",0,1)+IF(CELL("format",CONT_SUP[[#This Row],[DateTo]])="D1",0,1)</f>
        <v>0</v>
      </c>
      <c r="U250" s="57">
        <f>IF(OR(CONT_SUP[[#This Row],[MatEditOnly]]=TRUE,CONT_SUP[[#This Row],[MatEditOnly]]=FALSE),IF(OR(CONT_SUP[[#This Row],[NoIncrement]]=TRUE,CONT_SUP[[#This Row],[NoIncrement]]=FALSE),0,1),1)</f>
        <v>0</v>
      </c>
      <c r="V250" s="57">
        <f>IF(ISBLANK(CONT_SUP[[#This Row],[FundCode]])=TRUE,0,IF(COUNTIF(FUNDS[FundCode],CONT_SUP[[#This Row],[FundCode]])=1,0,1))</f>
        <v>0</v>
      </c>
      <c r="W250" s="57">
        <f>IF(LEN(CONT_SUP[[#This Row],[Notes]])&lt;4000,0,1)</f>
        <v>0</v>
      </c>
      <c r="X250" s="57">
        <f>IF(SUBSTITUTE(TEXT(CONT_SUP[[#This Row],[Reference]],10)," ","")=TEXT(CONT_SUP[[#This Row],[Reference]],10),0,1)</f>
        <v>0</v>
      </c>
      <c r="Y250" s="57">
        <f ca="1">SUM(CONT_SUP[[#This Row],[Duplicate Contract]:[Space in Code]])</f>
        <v>1</v>
      </c>
      <c r="AA250" s="12" t="s">
        <v>2094</v>
      </c>
      <c r="AB250" s="12">
        <v>91073539</v>
      </c>
      <c r="AC250" s="12" t="s">
        <v>4846</v>
      </c>
      <c r="AD250" s="57" t="str">
        <f>_xlfn.XLOOKUP(CONT_SUP[[#This Row],[StaffMemberCode]],StaffMembers!O:O,StaffMembers!R:R)</f>
        <v>Megan Clark</v>
      </c>
      <c r="AE250" s="12" t="s">
        <v>1180</v>
      </c>
      <c r="AF250" s="57">
        <f>_xlfn.XLOOKUP(CONT_SUP[[#This Row],[SRG]],SRG[StaffRoleGroupCode],SRG[GrossSalaryFinanceCode])</f>
        <v>615100</v>
      </c>
      <c r="AG250" s="57" t="str">
        <f>_xlfn.XLOOKUP(CONT_SUP[[#This Row],[StaffRoleCode]],ROLES[StaffRoleCode],ROLES[StaffRoleGroupCode])</f>
        <v>TA</v>
      </c>
      <c r="AH250" s="57" t="str">
        <f>_xlfn.XLOOKUP(CONT_SUP[[#This Row],[StaffRoleCode]],ROLES[StaffRoleCode],ROLES[PayScaleCode])</f>
        <v>NJC_CHE</v>
      </c>
      <c r="AI250" s="12" t="s">
        <v>3123</v>
      </c>
      <c r="AJ250" s="12">
        <v>10</v>
      </c>
      <c r="AK250" s="12" t="s">
        <v>2497</v>
      </c>
      <c r="AM250" s="68" t="s">
        <v>3132</v>
      </c>
      <c r="AN250" s="12" t="s">
        <v>3134</v>
      </c>
      <c r="AO250" s="21">
        <v>45901</v>
      </c>
      <c r="AQ250" s="12">
        <v>31.25</v>
      </c>
      <c r="AR250" t="b">
        <v>0</v>
      </c>
      <c r="AS250" t="b">
        <v>0</v>
      </c>
      <c r="AT250" s="12" t="s">
        <v>1574</v>
      </c>
    </row>
    <row r="251" spans="1:46" x14ac:dyDescent="0.3">
      <c r="A251" s="57" t="str">
        <f t="shared" si="8"/>
        <v>PTP9107394391073943ATASTA45901</v>
      </c>
      <c r="B251" s="57">
        <f>COUNTIF(CONT_SUP[Unique Contract],CONT_SUP[[#This Row],[Unique Contract]])-1</f>
        <v>0</v>
      </c>
      <c r="C251" s="57">
        <f>IFERROR(IF(FIND(CONT_SUP[[#This Row],[SchoolCode]],_xlfn.XLOOKUP(CONT_SUP[[#This Row],[StaffMemberCode]],MEMBERS[StaffMemberCode],MEMBERS[SchoolCodes]))&gt;0,0,1),1)</f>
        <v>0</v>
      </c>
      <c r="D251" s="57" cm="1">
        <f t="array" ref="D251">IF(_xlfn.XLOOKUP(CONT_SUP[[#This Row],[StaffRoleCode]],ROLES[StaffRoleCode],ROLES[AvailableToAllSchools],1,0,)=TRUE,0,IF(ISERROR(FIND(CONT_SUP[[#This Row],[SchoolCode]],_xlfn.TEXTJOIN(",",TRUE,_xlfn.UNIQUE(IF(ROLES[StaffRoleCode]=CONT_SUP[[#This Row],[StaffRoleCode]],ROLES[SchoolCodes],""))))),1,0))</f>
        <v>0</v>
      </c>
      <c r="E251" s="57" cm="1">
        <f t="array" ref="E25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51" s="57" cm="1">
        <f t="array" ref="F251">IF(_xlfn.XLOOKUP(CONT_SUP[[#This Row],[PayScaleCode]],PAYSCALES[PayScaleCode],PAYSCALES[AvailableToAllSchools],1,0,)=TRUE,0,IF(ISERROR(FIND(CONT_SUP[[#This Row],[SchoolCode]],_xlfn.TEXTJOIN(",",TRUE,_xlfn.UNIQUE(IF(PAYSCALES[PayScaleCode]=CONT_SUP[[#This Row],[PayScaleCode]],PAYSCALES[SchoolCodes],""))))),1,0))</f>
        <v>0</v>
      </c>
      <c r="G251" s="57">
        <f>IF(_xlfn.XLOOKUP(CONT_SUP[[#This Row],[PayScaleGradeCode]],GRADES[PayScaleGradeCode],GRADES[AvailableToAllSchools])=TRUE,0,IFERROR(IF(FIND(CONT_SUP[[#This Row],[SchoolCode]],_xlfn.XLOOKUP(CONT_SUP[[#This Row],[PayScaleGradeCode]],GRADES[PayScaleGradeCode],GRADES[SchoolCodes]))&gt;=1,0,1),1))</f>
        <v>0</v>
      </c>
      <c r="H251" s="57">
        <f>IF(ISERROR(IF((_xlfn.XLOOKUP(CONT_SUP[[#This Row],[PayScaleGradeCode]],GRADES[PayScaleGradeCode],GRADES[PayScaleCode])=CONT_SUP[[#This Row],[PayScaleCode]]),0,1)),1,0)</f>
        <v>0</v>
      </c>
      <c r="I251" s="57" cm="1">
        <f t="array" ref="I251">IF(ISERROR(FIND(CONT_SUP[[#This Row],[PayScalePointCode]],_xlfn.TEXTJOIN(",",TRUE,IF(PSPOINTS[PayScaleCode]=CONT_SUP[[#This Row],[PayScaleCode]],PSPOINTS[PayScalePointCode])))),1,0)</f>
        <v>0</v>
      </c>
      <c r="J251" s="57" cm="1">
        <f t="array" ref="J25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51" s="57">
        <f>IF(_xlfn.XLOOKUP(CONT_SUP[[#This Row],[PayScalePointCode]],PSPOINTS[PayScalePointCode],PSPOINTS[PayScalePointEnabled])=TRUE,0,1)</f>
        <v>0</v>
      </c>
      <c r="L251" s="57" cm="1">
        <f t="array" ref="L251">IF(_xlfn.XLOOKUP(CONT_SUP[[#This Row],[DepartmentCode]],DEPTS[DepartmentCode],DEPTS[AvailableToAllSchools],1,0,)=TRUE,0,IF(ISERROR(FIND(CONT_SUP[[#This Row],[SchoolCode]],_xlfn.TEXTJOIN(",",TRUE,_xlfn.UNIQUE(IF(DEPTS[DepartmentCode]=CONT_SUP[[#This Row],[DepartmentCode]],DEPTS[SchoolCodes],""))))),1,0))</f>
        <v>0</v>
      </c>
      <c r="M251" s="57">
        <f>IFERROR(IF(_xlfn.XLOOKUP(CONT_SUP[[#This Row],[SRG Gross]],FinanceCodesBudget[FinanceCode],FinanceCodesBudget[LedgerCode])=_xlfn.XLOOKUP(CONT_SUP[[#This Row],[DepartmentCode]],DEPTS[DepartmentCode],DEPTS[LedgerCode]),0,1),1)</f>
        <v>1</v>
      </c>
      <c r="N251" s="57" cm="1">
        <f t="array" ref="N251">IF(_xlfn.XLOOKUP(CONT_SUP[[#This Row],[PensionCode]],PENS[PensionCode],PENS[AvailableToAllSchools],1,0,)=TRUE,0,IF(ISERROR(FIND(CONT_SUP[[#This Row],[SchoolCode]],_xlfn.TEXTJOIN(",",TRUE,_xlfn.UNIQUE(IF(PENS[PensionCode]=CONT_SUP[[#This Row],[PensionCode]],PENS[SchoolCodes],""))))),1,0))</f>
        <v>0</v>
      </c>
      <c r="O251" s="57" cm="1">
        <f t="array" ref="O251">IF(_xlfn.XLOOKUP(CONT_SUP[[#This Row],[EquatedWeekPatternCode]],EQW[EquatedWeekPatternCode],EQW[AvailableToAllSchools],1,0,)=TRUE,0,IF(ISERROR(FIND(CONT_SUP[[#This Row],[SchoolCode]],_xlfn.TEXTJOIN(",",TRUE,_xlfn.UNIQUE(IF(EQW[EquatedWeekPatternCode]=CONT_SUP[[#This Row],[EquatedWeekPatternCode]],EQW[SchoolCodes],""))))),1,0))</f>
        <v>0</v>
      </c>
      <c r="P251" s="57">
        <f>1-COUNTIF(ContractTypes[Code],CONT_SUP[[#This Row],[ContractTypeCode]])</f>
        <v>0</v>
      </c>
      <c r="Q251" s="57">
        <f>IF(VLOOKUP(CONT_SUP[[#This Row],[StaffMemberCode]],MEMBERS[[StaffMemberCode]:[ServiceStartDate]],5,0)&gt;CONT_SUP[[#This Row],[DateFrom]],1,0)</f>
        <v>0</v>
      </c>
      <c r="R251" s="57">
        <f>IF(_xlfn.XLOOKUP(CONT_SUP[[#This Row],[StaffMemberCode]],MEMBERS[StaffMemberCode],MEMBERS[ServiceEndDate])="",0,IF(CONT_SUP[[#This Row],[DateTo]]="",1,IF(_xlfn.XLOOKUP(CONT_SUP[[#This Row],[StaffMemberCode]],MEMBERS[StaffMemberCode],MEMBERS[ServiceEndDate])&lt;CONT_SUP[[#This Row],[DateTo]],1,0)))</f>
        <v>0</v>
      </c>
      <c r="S251" s="57">
        <f>IF(ISBLANK(CONT_SUP[[#This Row],[DateTo]]),0,IF(CONT_SUP[[#This Row],[DateFrom]]=CONT_SUP[[#This Row],[DateTo]],0,IF(CONT_SUP[[#This Row],[DateFrom]]&lt;CONT_SUP[[#This Row],[DateTo]],0,1)))</f>
        <v>0</v>
      </c>
      <c r="T251" s="57" cm="1">
        <f t="array" aca="1" ref="T251" ca="1">IF(CELL("format",CONT_SUP[[#This Row],[DateFrom]])="D1",0,1)+IF(CELL("format",CONT_SUP[[#This Row],[DateTo]])="D1",0,1)</f>
        <v>0</v>
      </c>
      <c r="U251" s="57">
        <f>IF(OR(CONT_SUP[[#This Row],[MatEditOnly]]=TRUE,CONT_SUP[[#This Row],[MatEditOnly]]=FALSE),IF(OR(CONT_SUP[[#This Row],[NoIncrement]]=TRUE,CONT_SUP[[#This Row],[NoIncrement]]=FALSE),0,1),1)</f>
        <v>0</v>
      </c>
      <c r="V251" s="57">
        <f>IF(ISBLANK(CONT_SUP[[#This Row],[FundCode]])=TRUE,0,IF(COUNTIF(FUNDS[FundCode],CONT_SUP[[#This Row],[FundCode]])=1,0,1))</f>
        <v>0</v>
      </c>
      <c r="W251" s="57">
        <f>IF(LEN(CONT_SUP[[#This Row],[Notes]])&lt;4000,0,1)</f>
        <v>0</v>
      </c>
      <c r="X251" s="57">
        <f>IF(SUBSTITUTE(TEXT(CONT_SUP[[#This Row],[Reference]],10)," ","")=TEXT(CONT_SUP[[#This Row],[Reference]],10),0,1)</f>
        <v>0</v>
      </c>
      <c r="Y251" s="57">
        <f ca="1">SUM(CONT_SUP[[#This Row],[Duplicate Contract]:[Space in Code]])</f>
        <v>1</v>
      </c>
      <c r="AA251" s="12" t="s">
        <v>2299</v>
      </c>
      <c r="AB251" s="12">
        <v>91073943</v>
      </c>
      <c r="AC251" s="12" t="s">
        <v>4847</v>
      </c>
      <c r="AD251" s="57" t="str">
        <f>_xlfn.XLOOKUP(CONT_SUP[[#This Row],[StaffMemberCode]],StaffMembers!O:O,StaffMembers!R:R)</f>
        <v>Melanie Butler</v>
      </c>
      <c r="AE251" s="12" t="s">
        <v>1180</v>
      </c>
      <c r="AF251" s="57">
        <f>_xlfn.XLOOKUP(CONT_SUP[[#This Row],[SRG]],SRG[StaffRoleGroupCode],SRG[GrossSalaryFinanceCode])</f>
        <v>615100</v>
      </c>
      <c r="AG251" s="57" t="str">
        <f>_xlfn.XLOOKUP(CONT_SUP[[#This Row],[StaffRoleCode]],ROLES[StaffRoleCode],ROLES[StaffRoleGroupCode])</f>
        <v>TA</v>
      </c>
      <c r="AH251" s="57" t="str">
        <f>_xlfn.XLOOKUP(CONT_SUP[[#This Row],[StaffRoleCode]],ROLES[StaffRoleCode],ROLES[PayScaleCode])</f>
        <v>NJC_CHE</v>
      </c>
      <c r="AI251" s="12" t="s">
        <v>3122</v>
      </c>
      <c r="AJ251" s="12">
        <v>6</v>
      </c>
      <c r="AK251" s="12" t="s">
        <v>2497</v>
      </c>
      <c r="AM251" s="68" t="s">
        <v>3132</v>
      </c>
      <c r="AN251" s="12" t="s">
        <v>3134</v>
      </c>
      <c r="AO251" s="21">
        <v>45901</v>
      </c>
      <c r="AQ251" s="12">
        <v>30.5</v>
      </c>
      <c r="AR251" t="b">
        <v>0</v>
      </c>
      <c r="AS251" t="b">
        <v>0</v>
      </c>
      <c r="AT251" s="12" t="s">
        <v>1574</v>
      </c>
    </row>
    <row r="252" spans="1:46" x14ac:dyDescent="0.3">
      <c r="A252" s="57" t="str">
        <f t="shared" si="8"/>
        <v>BLS9132500691325006ATASTA45901</v>
      </c>
      <c r="B252" s="57">
        <f>COUNTIF(CONT_SUP[Unique Contract],CONT_SUP[[#This Row],[Unique Contract]])-1</f>
        <v>0</v>
      </c>
      <c r="C252" s="57">
        <f>IFERROR(IF(FIND(CONT_SUP[[#This Row],[SchoolCode]],_xlfn.XLOOKUP(CONT_SUP[[#This Row],[StaffMemberCode]],MEMBERS[StaffMemberCode],MEMBERS[SchoolCodes]))&gt;0,0,1),1)</f>
        <v>0</v>
      </c>
      <c r="D252" s="57" cm="1">
        <f t="array" ref="D252">IF(_xlfn.XLOOKUP(CONT_SUP[[#This Row],[StaffRoleCode]],ROLES[StaffRoleCode],ROLES[AvailableToAllSchools],1,0,)=TRUE,0,IF(ISERROR(FIND(CONT_SUP[[#This Row],[SchoolCode]],_xlfn.TEXTJOIN(",",TRUE,_xlfn.UNIQUE(IF(ROLES[StaffRoleCode]=CONT_SUP[[#This Row],[StaffRoleCode]],ROLES[SchoolCodes],""))))),1,0))</f>
        <v>0</v>
      </c>
      <c r="E252" s="57" cm="1">
        <f t="array" ref="E25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52" s="57" cm="1">
        <f t="array" ref="F252">IF(_xlfn.XLOOKUP(CONT_SUP[[#This Row],[PayScaleCode]],PAYSCALES[PayScaleCode],PAYSCALES[AvailableToAllSchools],1,0,)=TRUE,0,IF(ISERROR(FIND(CONT_SUP[[#This Row],[SchoolCode]],_xlfn.TEXTJOIN(",",TRUE,_xlfn.UNIQUE(IF(PAYSCALES[PayScaleCode]=CONT_SUP[[#This Row],[PayScaleCode]],PAYSCALES[SchoolCodes],""))))),1,0))</f>
        <v>0</v>
      </c>
      <c r="G252" s="57">
        <f>IF(_xlfn.XLOOKUP(CONT_SUP[[#This Row],[PayScaleGradeCode]],GRADES[PayScaleGradeCode],GRADES[AvailableToAllSchools])=TRUE,0,IFERROR(IF(FIND(CONT_SUP[[#This Row],[SchoolCode]],_xlfn.XLOOKUP(CONT_SUP[[#This Row],[PayScaleGradeCode]],GRADES[PayScaleGradeCode],GRADES[SchoolCodes]))&gt;=1,0,1),1))</f>
        <v>0</v>
      </c>
      <c r="H252" s="57">
        <f>IF(ISERROR(IF((_xlfn.XLOOKUP(CONT_SUP[[#This Row],[PayScaleGradeCode]],GRADES[PayScaleGradeCode],GRADES[PayScaleCode])=CONT_SUP[[#This Row],[PayScaleCode]]),0,1)),1,0)</f>
        <v>0</v>
      </c>
      <c r="I252" s="57" cm="1">
        <f t="array" ref="I252">IF(ISERROR(FIND(CONT_SUP[[#This Row],[PayScalePointCode]],_xlfn.TEXTJOIN(",",TRUE,IF(PSPOINTS[PayScaleCode]=CONT_SUP[[#This Row],[PayScaleCode]],PSPOINTS[PayScalePointCode])))),1,0)</f>
        <v>0</v>
      </c>
      <c r="J252" s="57" cm="1">
        <f t="array" ref="J25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52" s="57">
        <f>IF(_xlfn.XLOOKUP(CONT_SUP[[#This Row],[PayScalePointCode]],PSPOINTS[PayScalePointCode],PSPOINTS[PayScalePointEnabled])=TRUE,0,1)</f>
        <v>0</v>
      </c>
      <c r="L252" s="57" cm="1">
        <f t="array" ref="L252">IF(_xlfn.XLOOKUP(CONT_SUP[[#This Row],[DepartmentCode]],DEPTS[DepartmentCode],DEPTS[AvailableToAllSchools],1,0,)=TRUE,0,IF(ISERROR(FIND(CONT_SUP[[#This Row],[SchoolCode]],_xlfn.TEXTJOIN(",",TRUE,_xlfn.UNIQUE(IF(DEPTS[DepartmentCode]=CONT_SUP[[#This Row],[DepartmentCode]],DEPTS[SchoolCodes],""))))),1,0))</f>
        <v>0</v>
      </c>
      <c r="M252" s="57">
        <f>IFERROR(IF(_xlfn.XLOOKUP(CONT_SUP[[#This Row],[SRG Gross]],FinanceCodesBudget[FinanceCode],FinanceCodesBudget[LedgerCode])=_xlfn.XLOOKUP(CONT_SUP[[#This Row],[DepartmentCode]],DEPTS[DepartmentCode],DEPTS[LedgerCode]),0,1),1)</f>
        <v>1</v>
      </c>
      <c r="N252" s="57" cm="1">
        <f t="array" ref="N252">IF(_xlfn.XLOOKUP(CONT_SUP[[#This Row],[PensionCode]],PENS[PensionCode],PENS[AvailableToAllSchools],1,0,)=TRUE,0,IF(ISERROR(FIND(CONT_SUP[[#This Row],[SchoolCode]],_xlfn.TEXTJOIN(",",TRUE,_xlfn.UNIQUE(IF(PENS[PensionCode]=CONT_SUP[[#This Row],[PensionCode]],PENS[SchoolCodes],""))))),1,0))</f>
        <v>0</v>
      </c>
      <c r="O252" s="57" cm="1">
        <f t="array" ref="O252">IF(_xlfn.XLOOKUP(CONT_SUP[[#This Row],[EquatedWeekPatternCode]],EQW[EquatedWeekPatternCode],EQW[AvailableToAllSchools],1,0,)=TRUE,0,IF(ISERROR(FIND(CONT_SUP[[#This Row],[SchoolCode]],_xlfn.TEXTJOIN(",",TRUE,_xlfn.UNIQUE(IF(EQW[EquatedWeekPatternCode]=CONT_SUP[[#This Row],[EquatedWeekPatternCode]],EQW[SchoolCodes],""))))),1,0))</f>
        <v>0</v>
      </c>
      <c r="P252" s="57">
        <f>1-COUNTIF(ContractTypes[Code],CONT_SUP[[#This Row],[ContractTypeCode]])</f>
        <v>0</v>
      </c>
      <c r="Q252" s="57">
        <f>IF(VLOOKUP(CONT_SUP[[#This Row],[StaffMemberCode]],MEMBERS[[StaffMemberCode]:[ServiceStartDate]],5,0)&gt;CONT_SUP[[#This Row],[DateFrom]],1,0)</f>
        <v>0</v>
      </c>
      <c r="R252" s="57">
        <f>IF(_xlfn.XLOOKUP(CONT_SUP[[#This Row],[StaffMemberCode]],MEMBERS[StaffMemberCode],MEMBERS[ServiceEndDate])="",0,IF(CONT_SUP[[#This Row],[DateTo]]="",1,IF(_xlfn.XLOOKUP(CONT_SUP[[#This Row],[StaffMemberCode]],MEMBERS[StaffMemberCode],MEMBERS[ServiceEndDate])&lt;CONT_SUP[[#This Row],[DateTo]],1,0)))</f>
        <v>0</v>
      </c>
      <c r="S252" s="57">
        <f>IF(ISBLANK(CONT_SUP[[#This Row],[DateTo]]),0,IF(CONT_SUP[[#This Row],[DateFrom]]=CONT_SUP[[#This Row],[DateTo]],0,IF(CONT_SUP[[#This Row],[DateFrom]]&lt;CONT_SUP[[#This Row],[DateTo]],0,1)))</f>
        <v>0</v>
      </c>
      <c r="T252" s="57" cm="1">
        <f t="array" aca="1" ref="T252" ca="1">IF(CELL("format",CONT_SUP[[#This Row],[DateFrom]])="D1",0,1)+IF(CELL("format",CONT_SUP[[#This Row],[DateTo]])="D1",0,1)</f>
        <v>0</v>
      </c>
      <c r="U252" s="57">
        <f>IF(OR(CONT_SUP[[#This Row],[MatEditOnly]]=TRUE,CONT_SUP[[#This Row],[MatEditOnly]]=FALSE),IF(OR(CONT_SUP[[#This Row],[NoIncrement]]=TRUE,CONT_SUP[[#This Row],[NoIncrement]]=FALSE),0,1),1)</f>
        <v>0</v>
      </c>
      <c r="V252" s="57">
        <f>IF(ISBLANK(CONT_SUP[[#This Row],[FundCode]])=TRUE,0,IF(COUNTIF(FUNDS[FundCode],CONT_SUP[[#This Row],[FundCode]])=1,0,1))</f>
        <v>0</v>
      </c>
      <c r="W252" s="57">
        <f>IF(LEN(CONT_SUP[[#This Row],[Notes]])&lt;4000,0,1)</f>
        <v>0</v>
      </c>
      <c r="X252" s="57">
        <f>IF(SUBSTITUTE(TEXT(CONT_SUP[[#This Row],[Reference]],10)," ","")=TEXT(CONT_SUP[[#This Row],[Reference]],10),0,1)</f>
        <v>0</v>
      </c>
      <c r="Y252" s="57">
        <f ca="1">SUM(CONT_SUP[[#This Row],[Duplicate Contract]:[Space in Code]])</f>
        <v>1</v>
      </c>
      <c r="AA252" s="12" t="s">
        <v>2094</v>
      </c>
      <c r="AB252" s="12">
        <v>91325006</v>
      </c>
      <c r="AC252" s="12" t="s">
        <v>4848</v>
      </c>
      <c r="AD252" s="57" t="str">
        <f>_xlfn.XLOOKUP(CONT_SUP[[#This Row],[StaffMemberCode]],StaffMembers!O:O,StaffMembers!R:R)</f>
        <v>Melissa Meyler</v>
      </c>
      <c r="AE252" s="12" t="s">
        <v>1180</v>
      </c>
      <c r="AF252" s="57">
        <f>_xlfn.XLOOKUP(CONT_SUP[[#This Row],[SRG]],SRG[StaffRoleGroupCode],SRG[GrossSalaryFinanceCode])</f>
        <v>615100</v>
      </c>
      <c r="AG252" s="57" t="str">
        <f>_xlfn.XLOOKUP(CONT_SUP[[#This Row],[StaffRoleCode]],ROLES[StaffRoleCode],ROLES[StaffRoleGroupCode])</f>
        <v>TA</v>
      </c>
      <c r="AH252" s="57" t="str">
        <f>_xlfn.XLOOKUP(CONT_SUP[[#This Row],[StaffRoleCode]],ROLES[StaffRoleCode],ROLES[PayScaleCode])</f>
        <v>NJC_CHE</v>
      </c>
      <c r="AI252" s="12" t="s">
        <v>3122</v>
      </c>
      <c r="AJ252" s="12">
        <v>6</v>
      </c>
      <c r="AK252" s="12" t="s">
        <v>2497</v>
      </c>
      <c r="AM252" s="68" t="s">
        <v>3132</v>
      </c>
      <c r="AN252" s="12" t="s">
        <v>3135</v>
      </c>
      <c r="AO252" s="21">
        <v>45901</v>
      </c>
      <c r="AQ252" s="12">
        <v>31.25</v>
      </c>
      <c r="AR252" t="b">
        <v>0</v>
      </c>
      <c r="AS252" t="b">
        <v>0</v>
      </c>
      <c r="AT252" s="12" t="s">
        <v>1574</v>
      </c>
    </row>
    <row r="253" spans="1:46" x14ac:dyDescent="0.3">
      <c r="A253" s="57" t="str">
        <f t="shared" si="8"/>
        <v>ALS9185000591850005ATASTA45901</v>
      </c>
      <c r="B253" s="57">
        <f>COUNTIF(CONT_SUP[Unique Contract],CONT_SUP[[#This Row],[Unique Contract]])-1</f>
        <v>0</v>
      </c>
      <c r="C253" s="57">
        <f>IFERROR(IF(FIND(CONT_SUP[[#This Row],[SchoolCode]],_xlfn.XLOOKUP(CONT_SUP[[#This Row],[StaffMemberCode]],MEMBERS[StaffMemberCode],MEMBERS[SchoolCodes]))&gt;0,0,1),1)</f>
        <v>0</v>
      </c>
      <c r="D253" s="57" cm="1">
        <f t="array" ref="D253">IF(_xlfn.XLOOKUP(CONT_SUP[[#This Row],[StaffRoleCode]],ROLES[StaffRoleCode],ROLES[AvailableToAllSchools],1,0,)=TRUE,0,IF(ISERROR(FIND(CONT_SUP[[#This Row],[SchoolCode]],_xlfn.TEXTJOIN(",",TRUE,_xlfn.UNIQUE(IF(ROLES[StaffRoleCode]=CONT_SUP[[#This Row],[StaffRoleCode]],ROLES[SchoolCodes],""))))),1,0))</f>
        <v>0</v>
      </c>
      <c r="E253" s="57" cm="1">
        <f t="array" ref="E25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53" s="57" cm="1">
        <f t="array" ref="F253">IF(_xlfn.XLOOKUP(CONT_SUP[[#This Row],[PayScaleCode]],PAYSCALES[PayScaleCode],PAYSCALES[AvailableToAllSchools],1,0,)=TRUE,0,IF(ISERROR(FIND(CONT_SUP[[#This Row],[SchoolCode]],_xlfn.TEXTJOIN(",",TRUE,_xlfn.UNIQUE(IF(PAYSCALES[PayScaleCode]=CONT_SUP[[#This Row],[PayScaleCode]],PAYSCALES[SchoolCodes],""))))),1,0))</f>
        <v>0</v>
      </c>
      <c r="G253" s="57">
        <f>IF(_xlfn.XLOOKUP(CONT_SUP[[#This Row],[PayScaleGradeCode]],GRADES[PayScaleGradeCode],GRADES[AvailableToAllSchools])=TRUE,0,IFERROR(IF(FIND(CONT_SUP[[#This Row],[SchoolCode]],_xlfn.XLOOKUP(CONT_SUP[[#This Row],[PayScaleGradeCode]],GRADES[PayScaleGradeCode],GRADES[SchoolCodes]))&gt;=1,0,1),1))</f>
        <v>0</v>
      </c>
      <c r="H253" s="57">
        <f>IF(ISERROR(IF((_xlfn.XLOOKUP(CONT_SUP[[#This Row],[PayScaleGradeCode]],GRADES[PayScaleGradeCode],GRADES[PayScaleCode])=CONT_SUP[[#This Row],[PayScaleCode]]),0,1)),1,0)</f>
        <v>0</v>
      </c>
      <c r="I253" s="57" cm="1">
        <f t="array" ref="I253">IF(ISERROR(FIND(CONT_SUP[[#This Row],[PayScalePointCode]],_xlfn.TEXTJOIN(",",TRUE,IF(PSPOINTS[PayScaleCode]=CONT_SUP[[#This Row],[PayScaleCode]],PSPOINTS[PayScalePointCode])))),1,0)</f>
        <v>0</v>
      </c>
      <c r="J253" s="57" cm="1">
        <f t="array" ref="J25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53" s="57">
        <f>IF(_xlfn.XLOOKUP(CONT_SUP[[#This Row],[PayScalePointCode]],PSPOINTS[PayScalePointCode],PSPOINTS[PayScalePointEnabled])=TRUE,0,1)</f>
        <v>0</v>
      </c>
      <c r="L253" s="57" cm="1">
        <f t="array" ref="L253">IF(_xlfn.XLOOKUP(CONT_SUP[[#This Row],[DepartmentCode]],DEPTS[DepartmentCode],DEPTS[AvailableToAllSchools],1,0,)=TRUE,0,IF(ISERROR(FIND(CONT_SUP[[#This Row],[SchoolCode]],_xlfn.TEXTJOIN(",",TRUE,_xlfn.UNIQUE(IF(DEPTS[DepartmentCode]=CONT_SUP[[#This Row],[DepartmentCode]],DEPTS[SchoolCodes],""))))),1,0))</f>
        <v>0</v>
      </c>
      <c r="M253" s="57">
        <f>IFERROR(IF(_xlfn.XLOOKUP(CONT_SUP[[#This Row],[SRG Gross]],FinanceCodesBudget[FinanceCode],FinanceCodesBudget[LedgerCode])=_xlfn.XLOOKUP(CONT_SUP[[#This Row],[DepartmentCode]],DEPTS[DepartmentCode],DEPTS[LedgerCode]),0,1),1)</f>
        <v>1</v>
      </c>
      <c r="N253" s="57" cm="1">
        <f t="array" ref="N253">IF(_xlfn.XLOOKUP(CONT_SUP[[#This Row],[PensionCode]],PENS[PensionCode],PENS[AvailableToAllSchools],1,0,)=TRUE,0,IF(ISERROR(FIND(CONT_SUP[[#This Row],[SchoolCode]],_xlfn.TEXTJOIN(",",TRUE,_xlfn.UNIQUE(IF(PENS[PensionCode]=CONT_SUP[[#This Row],[PensionCode]],PENS[SchoolCodes],""))))),1,0))</f>
        <v>0</v>
      </c>
      <c r="O253" s="57" cm="1">
        <f t="array" ref="O253">IF(_xlfn.XLOOKUP(CONT_SUP[[#This Row],[EquatedWeekPatternCode]],EQW[EquatedWeekPatternCode],EQW[AvailableToAllSchools],1,0,)=TRUE,0,IF(ISERROR(FIND(CONT_SUP[[#This Row],[SchoolCode]],_xlfn.TEXTJOIN(",",TRUE,_xlfn.UNIQUE(IF(EQW[EquatedWeekPatternCode]=CONT_SUP[[#This Row],[EquatedWeekPatternCode]],EQW[SchoolCodes],""))))),1,0))</f>
        <v>0</v>
      </c>
      <c r="P253" s="57">
        <f>1-COUNTIF(ContractTypes[Code],CONT_SUP[[#This Row],[ContractTypeCode]])</f>
        <v>0</v>
      </c>
      <c r="Q253" s="57">
        <f>IF(VLOOKUP(CONT_SUP[[#This Row],[StaffMemberCode]],MEMBERS[[StaffMemberCode]:[ServiceStartDate]],5,0)&gt;CONT_SUP[[#This Row],[DateFrom]],1,0)</f>
        <v>0</v>
      </c>
      <c r="R253" s="57">
        <f>IF(_xlfn.XLOOKUP(CONT_SUP[[#This Row],[StaffMemberCode]],MEMBERS[StaffMemberCode],MEMBERS[ServiceEndDate])="",0,IF(CONT_SUP[[#This Row],[DateTo]]="",1,IF(_xlfn.XLOOKUP(CONT_SUP[[#This Row],[StaffMemberCode]],MEMBERS[StaffMemberCode],MEMBERS[ServiceEndDate])&lt;CONT_SUP[[#This Row],[DateTo]],1,0)))</f>
        <v>0</v>
      </c>
      <c r="S253" s="57">
        <f>IF(ISBLANK(CONT_SUP[[#This Row],[DateTo]]),0,IF(CONT_SUP[[#This Row],[DateFrom]]=CONT_SUP[[#This Row],[DateTo]],0,IF(CONT_SUP[[#This Row],[DateFrom]]&lt;CONT_SUP[[#This Row],[DateTo]],0,1)))</f>
        <v>0</v>
      </c>
      <c r="T253" s="57" cm="1">
        <f t="array" aca="1" ref="T253" ca="1">IF(CELL("format",CONT_SUP[[#This Row],[DateFrom]])="D1",0,1)+IF(CELL("format",CONT_SUP[[#This Row],[DateTo]])="D1",0,1)</f>
        <v>0</v>
      </c>
      <c r="U253" s="57">
        <f>IF(OR(CONT_SUP[[#This Row],[MatEditOnly]]=TRUE,CONT_SUP[[#This Row],[MatEditOnly]]=FALSE),IF(OR(CONT_SUP[[#This Row],[NoIncrement]]=TRUE,CONT_SUP[[#This Row],[NoIncrement]]=FALSE),0,1),1)</f>
        <v>0</v>
      </c>
      <c r="V253" s="57">
        <f>IF(ISBLANK(CONT_SUP[[#This Row],[FundCode]])=TRUE,0,IF(COUNTIF(FUNDS[FundCode],CONT_SUP[[#This Row],[FundCode]])=1,0,1))</f>
        <v>0</v>
      </c>
      <c r="W253" s="57">
        <f>IF(LEN(CONT_SUP[[#This Row],[Notes]])&lt;4000,0,1)</f>
        <v>0</v>
      </c>
      <c r="X253" s="57">
        <f>IF(SUBSTITUTE(TEXT(CONT_SUP[[#This Row],[Reference]],10)," ","")=TEXT(CONT_SUP[[#This Row],[Reference]],10),0,1)</f>
        <v>0</v>
      </c>
      <c r="Y253" s="57">
        <f ca="1">SUM(CONT_SUP[[#This Row],[Duplicate Contract]:[Space in Code]])</f>
        <v>1</v>
      </c>
      <c r="AA253" s="12" t="s">
        <v>2082</v>
      </c>
      <c r="AB253" s="12">
        <v>91850005</v>
      </c>
      <c r="AC253" s="12" t="s">
        <v>4849</v>
      </c>
      <c r="AD253" s="57" t="str">
        <f>_xlfn.XLOOKUP(CONT_SUP[[#This Row],[StaffMemberCode]],StaffMembers!O:O,StaffMembers!R:R)</f>
        <v>Mia Donathy</v>
      </c>
      <c r="AE253" s="12" t="s">
        <v>1180</v>
      </c>
      <c r="AF253" s="57">
        <f>_xlfn.XLOOKUP(CONT_SUP[[#This Row],[SRG]],SRG[StaffRoleGroupCode],SRG[GrossSalaryFinanceCode])</f>
        <v>615100</v>
      </c>
      <c r="AG253" s="57" t="str">
        <f>_xlfn.XLOOKUP(CONT_SUP[[#This Row],[StaffRoleCode]],ROLES[StaffRoleCode],ROLES[StaffRoleGroupCode])</f>
        <v>TA</v>
      </c>
      <c r="AH253" s="57" t="str">
        <f>_xlfn.XLOOKUP(CONT_SUP[[#This Row],[StaffRoleCode]],ROLES[StaffRoleCode],ROLES[PayScaleCode])</f>
        <v>NJC_CHE</v>
      </c>
      <c r="AI253" s="12" t="s">
        <v>3122</v>
      </c>
      <c r="AJ253" s="12">
        <v>5</v>
      </c>
      <c r="AK253" s="12" t="s">
        <v>2497</v>
      </c>
      <c r="AM253" s="68" t="s">
        <v>1149</v>
      </c>
      <c r="AN253" s="12" t="s">
        <v>3135</v>
      </c>
      <c r="AO253" s="21">
        <v>45901</v>
      </c>
      <c r="AQ253" s="12">
        <v>31.25</v>
      </c>
      <c r="AR253" t="b">
        <v>0</v>
      </c>
      <c r="AS253" t="b">
        <v>0</v>
      </c>
      <c r="AT253" s="12" t="s">
        <v>1575</v>
      </c>
    </row>
    <row r="254" spans="1:46" x14ac:dyDescent="0.3">
      <c r="A254" s="57" t="str">
        <f t="shared" si="8"/>
        <v>WVP9107343191073431ATASTA45901</v>
      </c>
      <c r="B254" s="57">
        <f>COUNTIF(CONT_SUP[Unique Contract],CONT_SUP[[#This Row],[Unique Contract]])-1</f>
        <v>0</v>
      </c>
      <c r="C254" s="57">
        <f>IFERROR(IF(FIND(CONT_SUP[[#This Row],[SchoolCode]],_xlfn.XLOOKUP(CONT_SUP[[#This Row],[StaffMemberCode]],MEMBERS[StaffMemberCode],MEMBERS[SchoolCodes]))&gt;0,0,1),1)</f>
        <v>0</v>
      </c>
      <c r="D254" s="57" cm="1">
        <f t="array" ref="D254">IF(_xlfn.XLOOKUP(CONT_SUP[[#This Row],[StaffRoleCode]],ROLES[StaffRoleCode],ROLES[AvailableToAllSchools],1,0,)=TRUE,0,IF(ISERROR(FIND(CONT_SUP[[#This Row],[SchoolCode]],_xlfn.TEXTJOIN(",",TRUE,_xlfn.UNIQUE(IF(ROLES[StaffRoleCode]=CONT_SUP[[#This Row],[StaffRoleCode]],ROLES[SchoolCodes],""))))),1,0))</f>
        <v>0</v>
      </c>
      <c r="E254" s="57" cm="1">
        <f t="array" ref="E25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54" s="57" cm="1">
        <f t="array" ref="F254">IF(_xlfn.XLOOKUP(CONT_SUP[[#This Row],[PayScaleCode]],PAYSCALES[PayScaleCode],PAYSCALES[AvailableToAllSchools],1,0,)=TRUE,0,IF(ISERROR(FIND(CONT_SUP[[#This Row],[SchoolCode]],_xlfn.TEXTJOIN(",",TRUE,_xlfn.UNIQUE(IF(PAYSCALES[PayScaleCode]=CONT_SUP[[#This Row],[PayScaleCode]],PAYSCALES[SchoolCodes],""))))),1,0))</f>
        <v>0</v>
      </c>
      <c r="G254" s="57">
        <f>IF(_xlfn.XLOOKUP(CONT_SUP[[#This Row],[PayScaleGradeCode]],GRADES[PayScaleGradeCode],GRADES[AvailableToAllSchools])=TRUE,0,IFERROR(IF(FIND(CONT_SUP[[#This Row],[SchoolCode]],_xlfn.XLOOKUP(CONT_SUP[[#This Row],[PayScaleGradeCode]],GRADES[PayScaleGradeCode],GRADES[SchoolCodes]))&gt;=1,0,1),1))</f>
        <v>0</v>
      </c>
      <c r="H254" s="57">
        <f>IF(ISERROR(IF((_xlfn.XLOOKUP(CONT_SUP[[#This Row],[PayScaleGradeCode]],GRADES[PayScaleGradeCode],GRADES[PayScaleCode])=CONT_SUP[[#This Row],[PayScaleCode]]),0,1)),1,0)</f>
        <v>0</v>
      </c>
      <c r="I254" s="57" cm="1">
        <f t="array" ref="I254">IF(ISERROR(FIND(CONT_SUP[[#This Row],[PayScalePointCode]],_xlfn.TEXTJOIN(",",TRUE,IF(PSPOINTS[PayScaleCode]=CONT_SUP[[#This Row],[PayScaleCode]],PSPOINTS[PayScalePointCode])))),1,0)</f>
        <v>0</v>
      </c>
      <c r="J254" s="57" cm="1">
        <f t="array" ref="J25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54" s="57">
        <f>IF(_xlfn.XLOOKUP(CONT_SUP[[#This Row],[PayScalePointCode]],PSPOINTS[PayScalePointCode],PSPOINTS[PayScalePointEnabled])=TRUE,0,1)</f>
        <v>0</v>
      </c>
      <c r="L254" s="57" cm="1">
        <f t="array" ref="L254">IF(_xlfn.XLOOKUP(CONT_SUP[[#This Row],[DepartmentCode]],DEPTS[DepartmentCode],DEPTS[AvailableToAllSchools],1,0,)=TRUE,0,IF(ISERROR(FIND(CONT_SUP[[#This Row],[SchoolCode]],_xlfn.TEXTJOIN(",",TRUE,_xlfn.UNIQUE(IF(DEPTS[DepartmentCode]=CONT_SUP[[#This Row],[DepartmentCode]],DEPTS[SchoolCodes],""))))),1,0))</f>
        <v>0</v>
      </c>
      <c r="M254" s="57">
        <f>IFERROR(IF(_xlfn.XLOOKUP(CONT_SUP[[#This Row],[SRG Gross]],FinanceCodesBudget[FinanceCode],FinanceCodesBudget[LedgerCode])=_xlfn.XLOOKUP(CONT_SUP[[#This Row],[DepartmentCode]],DEPTS[DepartmentCode],DEPTS[LedgerCode]),0,1),1)</f>
        <v>1</v>
      </c>
      <c r="N254" s="57" cm="1">
        <f t="array" ref="N254">IF(_xlfn.XLOOKUP(CONT_SUP[[#This Row],[PensionCode]],PENS[PensionCode],PENS[AvailableToAllSchools],1,0,)=TRUE,0,IF(ISERROR(FIND(CONT_SUP[[#This Row],[SchoolCode]],_xlfn.TEXTJOIN(",",TRUE,_xlfn.UNIQUE(IF(PENS[PensionCode]=CONT_SUP[[#This Row],[PensionCode]],PENS[SchoolCodes],""))))),1,0))</f>
        <v>0</v>
      </c>
      <c r="O254" s="57" cm="1">
        <f t="array" ref="O254">IF(_xlfn.XLOOKUP(CONT_SUP[[#This Row],[EquatedWeekPatternCode]],EQW[EquatedWeekPatternCode],EQW[AvailableToAllSchools],1,0,)=TRUE,0,IF(ISERROR(FIND(CONT_SUP[[#This Row],[SchoolCode]],_xlfn.TEXTJOIN(",",TRUE,_xlfn.UNIQUE(IF(EQW[EquatedWeekPatternCode]=CONT_SUP[[#This Row],[EquatedWeekPatternCode]],EQW[SchoolCodes],""))))),1,0))</f>
        <v>0</v>
      </c>
      <c r="P254" s="57">
        <f>1-COUNTIF(ContractTypes[Code],CONT_SUP[[#This Row],[ContractTypeCode]])</f>
        <v>0</v>
      </c>
      <c r="Q254" s="57">
        <f>IF(VLOOKUP(CONT_SUP[[#This Row],[StaffMemberCode]],MEMBERS[[StaffMemberCode]:[ServiceStartDate]],5,0)&gt;CONT_SUP[[#This Row],[DateFrom]],1,0)</f>
        <v>0</v>
      </c>
      <c r="R254" s="57">
        <f>IF(_xlfn.XLOOKUP(CONT_SUP[[#This Row],[StaffMemberCode]],MEMBERS[StaffMemberCode],MEMBERS[ServiceEndDate])="",0,IF(CONT_SUP[[#This Row],[DateTo]]="",1,IF(_xlfn.XLOOKUP(CONT_SUP[[#This Row],[StaffMemberCode]],MEMBERS[StaffMemberCode],MEMBERS[ServiceEndDate])&lt;CONT_SUP[[#This Row],[DateTo]],1,0)))</f>
        <v>0</v>
      </c>
      <c r="S254" s="57">
        <f>IF(ISBLANK(CONT_SUP[[#This Row],[DateTo]]),0,IF(CONT_SUP[[#This Row],[DateFrom]]=CONT_SUP[[#This Row],[DateTo]],0,IF(CONT_SUP[[#This Row],[DateFrom]]&lt;CONT_SUP[[#This Row],[DateTo]],0,1)))</f>
        <v>0</v>
      </c>
      <c r="T254" s="57" cm="1">
        <f t="array" aca="1" ref="T254" ca="1">IF(CELL("format",CONT_SUP[[#This Row],[DateFrom]])="D1",0,1)+IF(CELL("format",CONT_SUP[[#This Row],[DateTo]])="D1",0,1)</f>
        <v>0</v>
      </c>
      <c r="U254" s="57">
        <f>IF(OR(CONT_SUP[[#This Row],[MatEditOnly]]=TRUE,CONT_SUP[[#This Row],[MatEditOnly]]=FALSE),IF(OR(CONT_SUP[[#This Row],[NoIncrement]]=TRUE,CONT_SUP[[#This Row],[NoIncrement]]=FALSE),0,1),1)</f>
        <v>0</v>
      </c>
      <c r="V254" s="57">
        <f>IF(ISBLANK(CONT_SUP[[#This Row],[FundCode]])=TRUE,0,IF(COUNTIF(FUNDS[FundCode],CONT_SUP[[#This Row],[FundCode]])=1,0,1))</f>
        <v>0</v>
      </c>
      <c r="W254" s="57">
        <f>IF(LEN(CONT_SUP[[#This Row],[Notes]])&lt;4000,0,1)</f>
        <v>0</v>
      </c>
      <c r="X254" s="57">
        <f>IF(SUBSTITUTE(TEXT(CONT_SUP[[#This Row],[Reference]],10)," ","")=TEXT(CONT_SUP[[#This Row],[Reference]],10),0,1)</f>
        <v>0</v>
      </c>
      <c r="Y254" s="57">
        <f ca="1">SUM(CONT_SUP[[#This Row],[Duplicate Contract]:[Space in Code]])</f>
        <v>1</v>
      </c>
      <c r="AA254" s="12" t="s">
        <v>2275</v>
      </c>
      <c r="AB254" s="12">
        <v>91073431</v>
      </c>
      <c r="AC254" s="12" t="s">
        <v>4850</v>
      </c>
      <c r="AD254" s="57" t="str">
        <f>_xlfn.XLOOKUP(CONT_SUP[[#This Row],[StaffMemberCode]],StaffMembers!O:O,StaffMembers!R:R)</f>
        <v>Mollie Addis</v>
      </c>
      <c r="AE254" s="12" t="s">
        <v>1180</v>
      </c>
      <c r="AF254" s="57">
        <f>_xlfn.XLOOKUP(CONT_SUP[[#This Row],[SRG]],SRG[StaffRoleGroupCode],SRG[GrossSalaryFinanceCode])</f>
        <v>615100</v>
      </c>
      <c r="AG254" s="57" t="str">
        <f>_xlfn.XLOOKUP(CONT_SUP[[#This Row],[StaffRoleCode]],ROLES[StaffRoleCode],ROLES[StaffRoleGroupCode])</f>
        <v>TA</v>
      </c>
      <c r="AH254" s="57" t="str">
        <f>_xlfn.XLOOKUP(CONT_SUP[[#This Row],[StaffRoleCode]],ROLES[StaffRoleCode],ROLES[PayScaleCode])</f>
        <v>NJC_CHE</v>
      </c>
      <c r="AI254" s="12" t="s">
        <v>3122</v>
      </c>
      <c r="AJ254" s="12">
        <v>6</v>
      </c>
      <c r="AK254" s="12" t="s">
        <v>2497</v>
      </c>
      <c r="AM254" s="68" t="s">
        <v>3132</v>
      </c>
      <c r="AN254" s="12" t="s">
        <v>3134</v>
      </c>
      <c r="AO254" s="21">
        <v>45901</v>
      </c>
      <c r="AQ254" s="12">
        <v>31.5</v>
      </c>
      <c r="AR254" t="b">
        <v>0</v>
      </c>
      <c r="AS254" t="b">
        <v>0</v>
      </c>
      <c r="AT254" s="12" t="s">
        <v>1574</v>
      </c>
    </row>
    <row r="255" spans="1:46" x14ac:dyDescent="0.3">
      <c r="A255" s="57" t="str">
        <f t="shared" si="8"/>
        <v>HIG9107390291073902ATASTA45901</v>
      </c>
      <c r="B255" s="57">
        <f>COUNTIF(CONT_SUP[Unique Contract],CONT_SUP[[#This Row],[Unique Contract]])-1</f>
        <v>0</v>
      </c>
      <c r="C255" s="57">
        <f>IFERROR(IF(FIND(CONT_SUP[[#This Row],[SchoolCode]],_xlfn.XLOOKUP(CONT_SUP[[#This Row],[StaffMemberCode]],MEMBERS[StaffMemberCode],MEMBERS[SchoolCodes]))&gt;0,0,1),1)</f>
        <v>0</v>
      </c>
      <c r="D255" s="57" cm="1">
        <f t="array" ref="D255">IF(_xlfn.XLOOKUP(CONT_SUP[[#This Row],[StaffRoleCode]],ROLES[StaffRoleCode],ROLES[AvailableToAllSchools],1,0,)=TRUE,0,IF(ISERROR(FIND(CONT_SUP[[#This Row],[SchoolCode]],_xlfn.TEXTJOIN(",",TRUE,_xlfn.UNIQUE(IF(ROLES[StaffRoleCode]=CONT_SUP[[#This Row],[StaffRoleCode]],ROLES[SchoolCodes],""))))),1,0))</f>
        <v>0</v>
      </c>
      <c r="E255" s="57" cm="1">
        <f t="array" ref="E25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55" s="57" cm="1">
        <f t="array" ref="F255">IF(_xlfn.XLOOKUP(CONT_SUP[[#This Row],[PayScaleCode]],PAYSCALES[PayScaleCode],PAYSCALES[AvailableToAllSchools],1,0,)=TRUE,0,IF(ISERROR(FIND(CONT_SUP[[#This Row],[SchoolCode]],_xlfn.TEXTJOIN(",",TRUE,_xlfn.UNIQUE(IF(PAYSCALES[PayScaleCode]=CONT_SUP[[#This Row],[PayScaleCode]],PAYSCALES[SchoolCodes],""))))),1,0))</f>
        <v>0</v>
      </c>
      <c r="G255" s="57">
        <f>IF(_xlfn.XLOOKUP(CONT_SUP[[#This Row],[PayScaleGradeCode]],GRADES[PayScaleGradeCode],GRADES[AvailableToAllSchools])=TRUE,0,IFERROR(IF(FIND(CONT_SUP[[#This Row],[SchoolCode]],_xlfn.XLOOKUP(CONT_SUP[[#This Row],[PayScaleGradeCode]],GRADES[PayScaleGradeCode],GRADES[SchoolCodes]))&gt;=1,0,1),1))</f>
        <v>0</v>
      </c>
      <c r="H255" s="57">
        <f>IF(ISERROR(IF((_xlfn.XLOOKUP(CONT_SUP[[#This Row],[PayScaleGradeCode]],GRADES[PayScaleGradeCode],GRADES[PayScaleCode])=CONT_SUP[[#This Row],[PayScaleCode]]),0,1)),1,0)</f>
        <v>0</v>
      </c>
      <c r="I255" s="57" cm="1">
        <f t="array" ref="I255">IF(ISERROR(FIND(CONT_SUP[[#This Row],[PayScalePointCode]],_xlfn.TEXTJOIN(",",TRUE,IF(PSPOINTS[PayScaleCode]=CONT_SUP[[#This Row],[PayScaleCode]],PSPOINTS[PayScalePointCode])))),1,0)</f>
        <v>0</v>
      </c>
      <c r="J255" s="57" cm="1">
        <f t="array" ref="J25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55" s="57">
        <f>IF(_xlfn.XLOOKUP(CONT_SUP[[#This Row],[PayScalePointCode]],PSPOINTS[PayScalePointCode],PSPOINTS[PayScalePointEnabled])=TRUE,0,1)</f>
        <v>0</v>
      </c>
      <c r="L255" s="57" cm="1">
        <f t="array" ref="L255">IF(_xlfn.XLOOKUP(CONT_SUP[[#This Row],[DepartmentCode]],DEPTS[DepartmentCode],DEPTS[AvailableToAllSchools],1,0,)=TRUE,0,IF(ISERROR(FIND(CONT_SUP[[#This Row],[SchoolCode]],_xlfn.TEXTJOIN(",",TRUE,_xlfn.UNIQUE(IF(DEPTS[DepartmentCode]=CONT_SUP[[#This Row],[DepartmentCode]],DEPTS[SchoolCodes],""))))),1,0))</f>
        <v>0</v>
      </c>
      <c r="M255" s="57">
        <f>IFERROR(IF(_xlfn.XLOOKUP(CONT_SUP[[#This Row],[SRG Gross]],FinanceCodesBudget[FinanceCode],FinanceCodesBudget[LedgerCode])=_xlfn.XLOOKUP(CONT_SUP[[#This Row],[DepartmentCode]],DEPTS[DepartmentCode],DEPTS[LedgerCode]),0,1),1)</f>
        <v>1</v>
      </c>
      <c r="N255" s="57" cm="1">
        <f t="array" ref="N255">IF(_xlfn.XLOOKUP(CONT_SUP[[#This Row],[PensionCode]],PENS[PensionCode],PENS[AvailableToAllSchools],1,0,)=TRUE,0,IF(ISERROR(FIND(CONT_SUP[[#This Row],[SchoolCode]],_xlfn.TEXTJOIN(",",TRUE,_xlfn.UNIQUE(IF(PENS[PensionCode]=CONT_SUP[[#This Row],[PensionCode]],PENS[SchoolCodes],""))))),1,0))</f>
        <v>0</v>
      </c>
      <c r="O255" s="57" cm="1">
        <f t="array" ref="O255">IF(_xlfn.XLOOKUP(CONT_SUP[[#This Row],[EquatedWeekPatternCode]],EQW[EquatedWeekPatternCode],EQW[AvailableToAllSchools],1,0,)=TRUE,0,IF(ISERROR(FIND(CONT_SUP[[#This Row],[SchoolCode]],_xlfn.TEXTJOIN(",",TRUE,_xlfn.UNIQUE(IF(EQW[EquatedWeekPatternCode]=CONT_SUP[[#This Row],[EquatedWeekPatternCode]],EQW[SchoolCodes],""))))),1,0))</f>
        <v>0</v>
      </c>
      <c r="P255" s="57">
        <f>1-COUNTIF(ContractTypes[Code],CONT_SUP[[#This Row],[ContractTypeCode]])</f>
        <v>0</v>
      </c>
      <c r="Q255" s="57">
        <f>IF(VLOOKUP(CONT_SUP[[#This Row],[StaffMemberCode]],MEMBERS[[StaffMemberCode]:[ServiceStartDate]],5,0)&gt;CONT_SUP[[#This Row],[DateFrom]],1,0)</f>
        <v>0</v>
      </c>
      <c r="R255" s="57">
        <f>IF(_xlfn.XLOOKUP(CONT_SUP[[#This Row],[StaffMemberCode]],MEMBERS[StaffMemberCode],MEMBERS[ServiceEndDate])="",0,IF(CONT_SUP[[#This Row],[DateTo]]="",1,IF(_xlfn.XLOOKUP(CONT_SUP[[#This Row],[StaffMemberCode]],MEMBERS[StaffMemberCode],MEMBERS[ServiceEndDate])&lt;CONT_SUP[[#This Row],[DateTo]],1,0)))</f>
        <v>0</v>
      </c>
      <c r="S255" s="57">
        <f>IF(ISBLANK(CONT_SUP[[#This Row],[DateTo]]),0,IF(CONT_SUP[[#This Row],[DateFrom]]=CONT_SUP[[#This Row],[DateTo]],0,IF(CONT_SUP[[#This Row],[DateFrom]]&lt;CONT_SUP[[#This Row],[DateTo]],0,1)))</f>
        <v>0</v>
      </c>
      <c r="T255" s="57" cm="1">
        <f t="array" aca="1" ref="T255" ca="1">IF(CELL("format",CONT_SUP[[#This Row],[DateFrom]])="D1",0,1)+IF(CELL("format",CONT_SUP[[#This Row],[DateTo]])="D1",0,1)</f>
        <v>0</v>
      </c>
      <c r="U255" s="57">
        <f>IF(OR(CONT_SUP[[#This Row],[MatEditOnly]]=TRUE,CONT_SUP[[#This Row],[MatEditOnly]]=FALSE),IF(OR(CONT_SUP[[#This Row],[NoIncrement]]=TRUE,CONT_SUP[[#This Row],[NoIncrement]]=FALSE),0,1),1)</f>
        <v>0</v>
      </c>
      <c r="V255" s="57">
        <f>IF(ISBLANK(CONT_SUP[[#This Row],[FundCode]])=TRUE,0,IF(COUNTIF(FUNDS[FundCode],CONT_SUP[[#This Row],[FundCode]])=1,0,1))</f>
        <v>0</v>
      </c>
      <c r="W255" s="57">
        <f>IF(LEN(CONT_SUP[[#This Row],[Notes]])&lt;4000,0,1)</f>
        <v>0</v>
      </c>
      <c r="X255" s="57">
        <f>IF(SUBSTITUTE(TEXT(CONT_SUP[[#This Row],[Reference]],10)," ","")=TEXT(CONT_SUP[[#This Row],[Reference]],10),0,1)</f>
        <v>0</v>
      </c>
      <c r="Y255" s="57">
        <f ca="1">SUM(CONT_SUP[[#This Row],[Duplicate Contract]:[Space in Code]])</f>
        <v>1</v>
      </c>
      <c r="AA255" s="12" t="s">
        <v>2266</v>
      </c>
      <c r="AB255" s="12">
        <v>91073902</v>
      </c>
      <c r="AC255" s="12" t="s">
        <v>4851</v>
      </c>
      <c r="AD255" s="57" t="str">
        <f>_xlfn.XLOOKUP(CONT_SUP[[#This Row],[StaffMemberCode]],StaffMembers!O:O,StaffMembers!R:R)</f>
        <v>Myles Hocknell</v>
      </c>
      <c r="AE255" s="12" t="s">
        <v>1180</v>
      </c>
      <c r="AF255" s="57">
        <f>_xlfn.XLOOKUP(CONT_SUP[[#This Row],[SRG]],SRG[StaffRoleGroupCode],SRG[GrossSalaryFinanceCode])</f>
        <v>615100</v>
      </c>
      <c r="AG255" s="57" t="str">
        <f>_xlfn.XLOOKUP(CONT_SUP[[#This Row],[StaffRoleCode]],ROLES[StaffRoleCode],ROLES[StaffRoleGroupCode])</f>
        <v>TA</v>
      </c>
      <c r="AH255" s="57" t="str">
        <f>_xlfn.XLOOKUP(CONT_SUP[[#This Row],[StaffRoleCode]],ROLES[StaffRoleCode],ROLES[PayScaleCode])</f>
        <v>NJC_CHE</v>
      </c>
      <c r="AI255" s="12" t="s">
        <v>3122</v>
      </c>
      <c r="AJ255" s="12">
        <v>6</v>
      </c>
      <c r="AK255" s="12" t="s">
        <v>2497</v>
      </c>
      <c r="AM255" s="68" t="s">
        <v>3132</v>
      </c>
      <c r="AN255" s="12" t="s">
        <v>3135</v>
      </c>
      <c r="AO255" s="21">
        <v>45901</v>
      </c>
      <c r="AQ255" s="12">
        <v>20</v>
      </c>
      <c r="AR255" t="b">
        <v>0</v>
      </c>
      <c r="AS255" t="b">
        <v>0</v>
      </c>
      <c r="AT255" s="12" t="s">
        <v>1575</v>
      </c>
    </row>
    <row r="256" spans="1:46" x14ac:dyDescent="0.3">
      <c r="A256" s="57" t="str">
        <f t="shared" si="8"/>
        <v>BLS9107345891073458ATASTA45901</v>
      </c>
      <c r="B256" s="57">
        <f>COUNTIF(CONT_SUP[Unique Contract],CONT_SUP[[#This Row],[Unique Contract]])-1</f>
        <v>0</v>
      </c>
      <c r="C256" s="57">
        <f>IFERROR(IF(FIND(CONT_SUP[[#This Row],[SchoolCode]],_xlfn.XLOOKUP(CONT_SUP[[#This Row],[StaffMemberCode]],MEMBERS[StaffMemberCode],MEMBERS[SchoolCodes]))&gt;0,0,1),1)</f>
        <v>0</v>
      </c>
      <c r="D256" s="57" cm="1">
        <f t="array" ref="D256">IF(_xlfn.XLOOKUP(CONT_SUP[[#This Row],[StaffRoleCode]],ROLES[StaffRoleCode],ROLES[AvailableToAllSchools],1,0,)=TRUE,0,IF(ISERROR(FIND(CONT_SUP[[#This Row],[SchoolCode]],_xlfn.TEXTJOIN(",",TRUE,_xlfn.UNIQUE(IF(ROLES[StaffRoleCode]=CONT_SUP[[#This Row],[StaffRoleCode]],ROLES[SchoolCodes],""))))),1,0))</f>
        <v>0</v>
      </c>
      <c r="E256" s="57" cm="1">
        <f t="array" ref="E25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56" s="57" cm="1">
        <f t="array" ref="F256">IF(_xlfn.XLOOKUP(CONT_SUP[[#This Row],[PayScaleCode]],PAYSCALES[PayScaleCode],PAYSCALES[AvailableToAllSchools],1,0,)=TRUE,0,IF(ISERROR(FIND(CONT_SUP[[#This Row],[SchoolCode]],_xlfn.TEXTJOIN(",",TRUE,_xlfn.UNIQUE(IF(PAYSCALES[PayScaleCode]=CONT_SUP[[#This Row],[PayScaleCode]],PAYSCALES[SchoolCodes],""))))),1,0))</f>
        <v>0</v>
      </c>
      <c r="G256" s="57">
        <f>IF(_xlfn.XLOOKUP(CONT_SUP[[#This Row],[PayScaleGradeCode]],GRADES[PayScaleGradeCode],GRADES[AvailableToAllSchools])=TRUE,0,IFERROR(IF(FIND(CONT_SUP[[#This Row],[SchoolCode]],_xlfn.XLOOKUP(CONT_SUP[[#This Row],[PayScaleGradeCode]],GRADES[PayScaleGradeCode],GRADES[SchoolCodes]))&gt;=1,0,1),1))</f>
        <v>0</v>
      </c>
      <c r="H256" s="57">
        <f>IF(ISERROR(IF((_xlfn.XLOOKUP(CONT_SUP[[#This Row],[PayScaleGradeCode]],GRADES[PayScaleGradeCode],GRADES[PayScaleCode])=CONT_SUP[[#This Row],[PayScaleCode]]),0,1)),1,0)</f>
        <v>0</v>
      </c>
      <c r="I256" s="57" cm="1">
        <f t="array" ref="I256">IF(ISERROR(FIND(CONT_SUP[[#This Row],[PayScalePointCode]],_xlfn.TEXTJOIN(",",TRUE,IF(PSPOINTS[PayScaleCode]=CONT_SUP[[#This Row],[PayScaleCode]],PSPOINTS[PayScalePointCode])))),1,0)</f>
        <v>0</v>
      </c>
      <c r="J256" s="57" cm="1">
        <f t="array" ref="J25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56" s="57">
        <f>IF(_xlfn.XLOOKUP(CONT_SUP[[#This Row],[PayScalePointCode]],PSPOINTS[PayScalePointCode],PSPOINTS[PayScalePointEnabled])=TRUE,0,1)</f>
        <v>0</v>
      </c>
      <c r="L256" s="57" cm="1">
        <f t="array" ref="L256">IF(_xlfn.XLOOKUP(CONT_SUP[[#This Row],[DepartmentCode]],DEPTS[DepartmentCode],DEPTS[AvailableToAllSchools],1,0,)=TRUE,0,IF(ISERROR(FIND(CONT_SUP[[#This Row],[SchoolCode]],_xlfn.TEXTJOIN(",",TRUE,_xlfn.UNIQUE(IF(DEPTS[DepartmentCode]=CONT_SUP[[#This Row],[DepartmentCode]],DEPTS[SchoolCodes],""))))),1,0))</f>
        <v>0</v>
      </c>
      <c r="M256" s="57">
        <f>IFERROR(IF(_xlfn.XLOOKUP(CONT_SUP[[#This Row],[SRG Gross]],FinanceCodesBudget[FinanceCode],FinanceCodesBudget[LedgerCode])=_xlfn.XLOOKUP(CONT_SUP[[#This Row],[DepartmentCode]],DEPTS[DepartmentCode],DEPTS[LedgerCode]),0,1),1)</f>
        <v>1</v>
      </c>
      <c r="N256" s="57" cm="1">
        <f t="array" ref="N256">IF(_xlfn.XLOOKUP(CONT_SUP[[#This Row],[PensionCode]],PENS[PensionCode],PENS[AvailableToAllSchools],1,0,)=TRUE,0,IF(ISERROR(FIND(CONT_SUP[[#This Row],[SchoolCode]],_xlfn.TEXTJOIN(",",TRUE,_xlfn.UNIQUE(IF(PENS[PensionCode]=CONT_SUP[[#This Row],[PensionCode]],PENS[SchoolCodes],""))))),1,0))</f>
        <v>0</v>
      </c>
      <c r="O256" s="57" cm="1">
        <f t="array" ref="O256">IF(_xlfn.XLOOKUP(CONT_SUP[[#This Row],[EquatedWeekPatternCode]],EQW[EquatedWeekPatternCode],EQW[AvailableToAllSchools],1,0,)=TRUE,0,IF(ISERROR(FIND(CONT_SUP[[#This Row],[SchoolCode]],_xlfn.TEXTJOIN(",",TRUE,_xlfn.UNIQUE(IF(EQW[EquatedWeekPatternCode]=CONT_SUP[[#This Row],[EquatedWeekPatternCode]],EQW[SchoolCodes],""))))),1,0))</f>
        <v>0</v>
      </c>
      <c r="P256" s="57">
        <f>1-COUNTIF(ContractTypes[Code],CONT_SUP[[#This Row],[ContractTypeCode]])</f>
        <v>0</v>
      </c>
      <c r="Q256" s="57">
        <f>IF(VLOOKUP(CONT_SUP[[#This Row],[StaffMemberCode]],MEMBERS[[StaffMemberCode]:[ServiceStartDate]],5,0)&gt;CONT_SUP[[#This Row],[DateFrom]],1,0)</f>
        <v>0</v>
      </c>
      <c r="R256" s="57">
        <f>IF(_xlfn.XLOOKUP(CONT_SUP[[#This Row],[StaffMemberCode]],MEMBERS[StaffMemberCode],MEMBERS[ServiceEndDate])="",0,IF(CONT_SUP[[#This Row],[DateTo]]="",1,IF(_xlfn.XLOOKUP(CONT_SUP[[#This Row],[StaffMemberCode]],MEMBERS[StaffMemberCode],MEMBERS[ServiceEndDate])&lt;CONT_SUP[[#This Row],[DateTo]],1,0)))</f>
        <v>0</v>
      </c>
      <c r="S256" s="57">
        <f>IF(ISBLANK(CONT_SUP[[#This Row],[DateTo]]),0,IF(CONT_SUP[[#This Row],[DateFrom]]=CONT_SUP[[#This Row],[DateTo]],0,IF(CONT_SUP[[#This Row],[DateFrom]]&lt;CONT_SUP[[#This Row],[DateTo]],0,1)))</f>
        <v>0</v>
      </c>
      <c r="T256" s="57" cm="1">
        <f t="array" aca="1" ref="T256" ca="1">IF(CELL("format",CONT_SUP[[#This Row],[DateFrom]])="D1",0,1)+IF(CELL("format",CONT_SUP[[#This Row],[DateTo]])="D1",0,1)</f>
        <v>0</v>
      </c>
      <c r="U256" s="57">
        <f>IF(OR(CONT_SUP[[#This Row],[MatEditOnly]]=TRUE,CONT_SUP[[#This Row],[MatEditOnly]]=FALSE),IF(OR(CONT_SUP[[#This Row],[NoIncrement]]=TRUE,CONT_SUP[[#This Row],[NoIncrement]]=FALSE),0,1),1)</f>
        <v>0</v>
      </c>
      <c r="V256" s="57">
        <f>IF(ISBLANK(CONT_SUP[[#This Row],[FundCode]])=TRUE,0,IF(COUNTIF(FUNDS[FundCode],CONT_SUP[[#This Row],[FundCode]])=1,0,1))</f>
        <v>0</v>
      </c>
      <c r="W256" s="57">
        <f>IF(LEN(CONT_SUP[[#This Row],[Notes]])&lt;4000,0,1)</f>
        <v>0</v>
      </c>
      <c r="X256" s="57">
        <f>IF(SUBSTITUTE(TEXT(CONT_SUP[[#This Row],[Reference]],10)," ","")=TEXT(CONT_SUP[[#This Row],[Reference]],10),0,1)</f>
        <v>0</v>
      </c>
      <c r="Y256" s="57">
        <f ca="1">SUM(CONT_SUP[[#This Row],[Duplicate Contract]:[Space in Code]])</f>
        <v>1</v>
      </c>
      <c r="AA256" s="12" t="s">
        <v>2094</v>
      </c>
      <c r="AB256" s="12">
        <v>91073458</v>
      </c>
      <c r="AC256" s="12" t="s">
        <v>4852</v>
      </c>
      <c r="AD256" s="57" t="str">
        <f>_xlfn.XLOOKUP(CONT_SUP[[#This Row],[StaffMemberCode]],StaffMembers!O:O,StaffMembers!R:R)</f>
        <v>Nicola Brookfield</v>
      </c>
      <c r="AE256" s="12" t="s">
        <v>1180</v>
      </c>
      <c r="AF256" s="57">
        <f>_xlfn.XLOOKUP(CONT_SUP[[#This Row],[SRG]],SRG[StaffRoleGroupCode],SRG[GrossSalaryFinanceCode])</f>
        <v>615100</v>
      </c>
      <c r="AG256" s="57" t="str">
        <f>_xlfn.XLOOKUP(CONT_SUP[[#This Row],[StaffRoleCode]],ROLES[StaffRoleCode],ROLES[StaffRoleGroupCode])</f>
        <v>TA</v>
      </c>
      <c r="AH256" s="57" t="str">
        <f>_xlfn.XLOOKUP(CONT_SUP[[#This Row],[StaffRoleCode]],ROLES[StaffRoleCode],ROLES[PayScaleCode])</f>
        <v>NJC_CHE</v>
      </c>
      <c r="AI256" s="12" t="s">
        <v>3123</v>
      </c>
      <c r="AJ256" s="12">
        <v>11</v>
      </c>
      <c r="AK256" s="12" t="s">
        <v>2497</v>
      </c>
      <c r="AM256" s="68" t="s">
        <v>3132</v>
      </c>
      <c r="AN256" s="12" t="s">
        <v>3134</v>
      </c>
      <c r="AO256" s="21">
        <v>45901</v>
      </c>
      <c r="AQ256" s="12">
        <v>31.25</v>
      </c>
      <c r="AR256" t="b">
        <v>0</v>
      </c>
      <c r="AS256" t="b">
        <v>0</v>
      </c>
      <c r="AT256" s="12" t="s">
        <v>1574</v>
      </c>
    </row>
    <row r="257" spans="1:46" x14ac:dyDescent="0.3">
      <c r="A257" s="57" t="str">
        <f t="shared" si="8"/>
        <v>BLS9107348991073489ATASTA45901</v>
      </c>
      <c r="B257" s="57">
        <f>COUNTIF(CONT_SUP[Unique Contract],CONT_SUP[[#This Row],[Unique Contract]])-1</f>
        <v>0</v>
      </c>
      <c r="C257" s="57">
        <f>IFERROR(IF(FIND(CONT_SUP[[#This Row],[SchoolCode]],_xlfn.XLOOKUP(CONT_SUP[[#This Row],[StaffMemberCode]],MEMBERS[StaffMemberCode],MEMBERS[SchoolCodes]))&gt;0,0,1),1)</f>
        <v>0</v>
      </c>
      <c r="D257" s="57" cm="1">
        <f t="array" ref="D257">IF(_xlfn.XLOOKUP(CONT_SUP[[#This Row],[StaffRoleCode]],ROLES[StaffRoleCode],ROLES[AvailableToAllSchools],1,0,)=TRUE,0,IF(ISERROR(FIND(CONT_SUP[[#This Row],[SchoolCode]],_xlfn.TEXTJOIN(",",TRUE,_xlfn.UNIQUE(IF(ROLES[StaffRoleCode]=CONT_SUP[[#This Row],[StaffRoleCode]],ROLES[SchoolCodes],""))))),1,0))</f>
        <v>0</v>
      </c>
      <c r="E257" s="57" cm="1">
        <f t="array" ref="E25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57" s="57" cm="1">
        <f t="array" ref="F257">IF(_xlfn.XLOOKUP(CONT_SUP[[#This Row],[PayScaleCode]],PAYSCALES[PayScaleCode],PAYSCALES[AvailableToAllSchools],1,0,)=TRUE,0,IF(ISERROR(FIND(CONT_SUP[[#This Row],[SchoolCode]],_xlfn.TEXTJOIN(",",TRUE,_xlfn.UNIQUE(IF(PAYSCALES[PayScaleCode]=CONT_SUP[[#This Row],[PayScaleCode]],PAYSCALES[SchoolCodes],""))))),1,0))</f>
        <v>0</v>
      </c>
      <c r="G257" s="57">
        <f>IF(_xlfn.XLOOKUP(CONT_SUP[[#This Row],[PayScaleGradeCode]],GRADES[PayScaleGradeCode],GRADES[AvailableToAllSchools])=TRUE,0,IFERROR(IF(FIND(CONT_SUP[[#This Row],[SchoolCode]],_xlfn.XLOOKUP(CONT_SUP[[#This Row],[PayScaleGradeCode]],GRADES[PayScaleGradeCode],GRADES[SchoolCodes]))&gt;=1,0,1),1))</f>
        <v>0</v>
      </c>
      <c r="H257" s="57">
        <f>IF(ISERROR(IF((_xlfn.XLOOKUP(CONT_SUP[[#This Row],[PayScaleGradeCode]],GRADES[PayScaleGradeCode],GRADES[PayScaleCode])=CONT_SUP[[#This Row],[PayScaleCode]]),0,1)),1,0)</f>
        <v>0</v>
      </c>
      <c r="I257" s="57" cm="1">
        <f t="array" ref="I257">IF(ISERROR(FIND(CONT_SUP[[#This Row],[PayScalePointCode]],_xlfn.TEXTJOIN(",",TRUE,IF(PSPOINTS[PayScaleCode]=CONT_SUP[[#This Row],[PayScaleCode]],PSPOINTS[PayScalePointCode])))),1,0)</f>
        <v>0</v>
      </c>
      <c r="J257" s="57" cm="1">
        <f t="array" ref="J25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57" s="57">
        <f>IF(_xlfn.XLOOKUP(CONT_SUP[[#This Row],[PayScalePointCode]],PSPOINTS[PayScalePointCode],PSPOINTS[PayScalePointEnabled])=TRUE,0,1)</f>
        <v>0</v>
      </c>
      <c r="L257" s="57" cm="1">
        <f t="array" ref="L257">IF(_xlfn.XLOOKUP(CONT_SUP[[#This Row],[DepartmentCode]],DEPTS[DepartmentCode],DEPTS[AvailableToAllSchools],1,0,)=TRUE,0,IF(ISERROR(FIND(CONT_SUP[[#This Row],[SchoolCode]],_xlfn.TEXTJOIN(",",TRUE,_xlfn.UNIQUE(IF(DEPTS[DepartmentCode]=CONT_SUP[[#This Row],[DepartmentCode]],DEPTS[SchoolCodes],""))))),1,0))</f>
        <v>0</v>
      </c>
      <c r="M257" s="57">
        <f>IFERROR(IF(_xlfn.XLOOKUP(CONT_SUP[[#This Row],[SRG Gross]],FinanceCodesBudget[FinanceCode],FinanceCodesBudget[LedgerCode])=_xlfn.XLOOKUP(CONT_SUP[[#This Row],[DepartmentCode]],DEPTS[DepartmentCode],DEPTS[LedgerCode]),0,1),1)</f>
        <v>1</v>
      </c>
      <c r="N257" s="57" cm="1">
        <f t="array" ref="N257">IF(_xlfn.XLOOKUP(CONT_SUP[[#This Row],[PensionCode]],PENS[PensionCode],PENS[AvailableToAllSchools],1,0,)=TRUE,0,IF(ISERROR(FIND(CONT_SUP[[#This Row],[SchoolCode]],_xlfn.TEXTJOIN(",",TRUE,_xlfn.UNIQUE(IF(PENS[PensionCode]=CONT_SUP[[#This Row],[PensionCode]],PENS[SchoolCodes],""))))),1,0))</f>
        <v>0</v>
      </c>
      <c r="O257" s="57" cm="1">
        <f t="array" ref="O257">IF(_xlfn.XLOOKUP(CONT_SUP[[#This Row],[EquatedWeekPatternCode]],EQW[EquatedWeekPatternCode],EQW[AvailableToAllSchools],1,0,)=TRUE,0,IF(ISERROR(FIND(CONT_SUP[[#This Row],[SchoolCode]],_xlfn.TEXTJOIN(",",TRUE,_xlfn.UNIQUE(IF(EQW[EquatedWeekPatternCode]=CONT_SUP[[#This Row],[EquatedWeekPatternCode]],EQW[SchoolCodes],""))))),1,0))</f>
        <v>0</v>
      </c>
      <c r="P257" s="57">
        <f>1-COUNTIF(ContractTypes[Code],CONT_SUP[[#This Row],[ContractTypeCode]])</f>
        <v>0</v>
      </c>
      <c r="Q257" s="57">
        <f>IF(VLOOKUP(CONT_SUP[[#This Row],[StaffMemberCode]],MEMBERS[[StaffMemberCode]:[ServiceStartDate]],5,0)&gt;CONT_SUP[[#This Row],[DateFrom]],1,0)</f>
        <v>0</v>
      </c>
      <c r="R257" s="57">
        <f>IF(_xlfn.XLOOKUP(CONT_SUP[[#This Row],[StaffMemberCode]],MEMBERS[StaffMemberCode],MEMBERS[ServiceEndDate])="",0,IF(CONT_SUP[[#This Row],[DateTo]]="",1,IF(_xlfn.XLOOKUP(CONT_SUP[[#This Row],[StaffMemberCode]],MEMBERS[StaffMemberCode],MEMBERS[ServiceEndDate])&lt;CONT_SUP[[#This Row],[DateTo]],1,0)))</f>
        <v>0</v>
      </c>
      <c r="S257" s="57">
        <f>IF(ISBLANK(CONT_SUP[[#This Row],[DateTo]]),0,IF(CONT_SUP[[#This Row],[DateFrom]]=CONT_SUP[[#This Row],[DateTo]],0,IF(CONT_SUP[[#This Row],[DateFrom]]&lt;CONT_SUP[[#This Row],[DateTo]],0,1)))</f>
        <v>0</v>
      </c>
      <c r="T257" s="57" cm="1">
        <f t="array" aca="1" ref="T257" ca="1">IF(CELL("format",CONT_SUP[[#This Row],[DateFrom]])="D1",0,1)+IF(CELL("format",CONT_SUP[[#This Row],[DateTo]])="D1",0,1)</f>
        <v>0</v>
      </c>
      <c r="U257" s="57">
        <f>IF(OR(CONT_SUP[[#This Row],[MatEditOnly]]=TRUE,CONT_SUP[[#This Row],[MatEditOnly]]=FALSE),IF(OR(CONT_SUP[[#This Row],[NoIncrement]]=TRUE,CONT_SUP[[#This Row],[NoIncrement]]=FALSE),0,1),1)</f>
        <v>0</v>
      </c>
      <c r="V257" s="57">
        <f>IF(ISBLANK(CONT_SUP[[#This Row],[FundCode]])=TRUE,0,IF(COUNTIF(FUNDS[FundCode],CONT_SUP[[#This Row],[FundCode]])=1,0,1))</f>
        <v>0</v>
      </c>
      <c r="W257" s="57">
        <f>IF(LEN(CONT_SUP[[#This Row],[Notes]])&lt;4000,0,1)</f>
        <v>0</v>
      </c>
      <c r="X257" s="57">
        <f>IF(SUBSTITUTE(TEXT(CONT_SUP[[#This Row],[Reference]],10)," ","")=TEXT(CONT_SUP[[#This Row],[Reference]],10),0,1)</f>
        <v>0</v>
      </c>
      <c r="Y257" s="57">
        <f ca="1">SUM(CONT_SUP[[#This Row],[Duplicate Contract]:[Space in Code]])</f>
        <v>1</v>
      </c>
      <c r="AA257" s="12" t="s">
        <v>2094</v>
      </c>
      <c r="AB257" s="12">
        <v>91073489</v>
      </c>
      <c r="AC257" s="12" t="s">
        <v>4853</v>
      </c>
      <c r="AD257" s="57" t="str">
        <f>_xlfn.XLOOKUP(CONT_SUP[[#This Row],[StaffMemberCode]],StaffMembers!O:O,StaffMembers!R:R)</f>
        <v>Nicola Ford</v>
      </c>
      <c r="AE257" s="12" t="s">
        <v>1180</v>
      </c>
      <c r="AF257" s="57">
        <f>_xlfn.XLOOKUP(CONT_SUP[[#This Row],[SRG]],SRG[StaffRoleGroupCode],SRG[GrossSalaryFinanceCode])</f>
        <v>615100</v>
      </c>
      <c r="AG257" s="57" t="str">
        <f>_xlfn.XLOOKUP(CONT_SUP[[#This Row],[StaffRoleCode]],ROLES[StaffRoleCode],ROLES[StaffRoleGroupCode])</f>
        <v>TA</v>
      </c>
      <c r="AH257" s="57" t="str">
        <f>_xlfn.XLOOKUP(CONT_SUP[[#This Row],[StaffRoleCode]],ROLES[StaffRoleCode],ROLES[PayScaleCode])</f>
        <v>NJC_CHE</v>
      </c>
      <c r="AI257" s="12" t="s">
        <v>3123</v>
      </c>
      <c r="AJ257" s="12">
        <v>7</v>
      </c>
      <c r="AK257" s="12" t="s">
        <v>2497</v>
      </c>
      <c r="AM257" s="68" t="s">
        <v>3132</v>
      </c>
      <c r="AN257" s="12" t="s">
        <v>3134</v>
      </c>
      <c r="AO257" s="21">
        <v>45901</v>
      </c>
      <c r="AQ257" s="12">
        <v>31.25</v>
      </c>
      <c r="AR257" t="b">
        <v>0</v>
      </c>
      <c r="AS257" t="b">
        <v>0</v>
      </c>
      <c r="AT257" s="12" t="s">
        <v>1574</v>
      </c>
    </row>
    <row r="258" spans="1:46" x14ac:dyDescent="0.3">
      <c r="A258" s="57" t="str">
        <f t="shared" si="8"/>
        <v>SBL9107575691075756ATASTA45901</v>
      </c>
      <c r="B258" s="57">
        <f>COUNTIF(CONT_SUP[Unique Contract],CONT_SUP[[#This Row],[Unique Contract]])-1</f>
        <v>0</v>
      </c>
      <c r="C258" s="57">
        <f>IFERROR(IF(FIND(CONT_SUP[[#This Row],[SchoolCode]],_xlfn.XLOOKUP(CONT_SUP[[#This Row],[StaffMemberCode]],MEMBERS[StaffMemberCode],MEMBERS[SchoolCodes]))&gt;0,0,1),1)</f>
        <v>0</v>
      </c>
      <c r="D258" s="57" cm="1">
        <f t="array" ref="D258">IF(_xlfn.XLOOKUP(CONT_SUP[[#This Row],[StaffRoleCode]],ROLES[StaffRoleCode],ROLES[AvailableToAllSchools],1,0,)=TRUE,0,IF(ISERROR(FIND(CONT_SUP[[#This Row],[SchoolCode]],_xlfn.TEXTJOIN(",",TRUE,_xlfn.UNIQUE(IF(ROLES[StaffRoleCode]=CONT_SUP[[#This Row],[StaffRoleCode]],ROLES[SchoolCodes],""))))),1,0))</f>
        <v>0</v>
      </c>
      <c r="E258" s="57" cm="1">
        <f t="array" ref="E25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58" s="57" cm="1">
        <f t="array" ref="F258">IF(_xlfn.XLOOKUP(CONT_SUP[[#This Row],[PayScaleCode]],PAYSCALES[PayScaleCode],PAYSCALES[AvailableToAllSchools],1,0,)=TRUE,0,IF(ISERROR(FIND(CONT_SUP[[#This Row],[SchoolCode]],_xlfn.TEXTJOIN(",",TRUE,_xlfn.UNIQUE(IF(PAYSCALES[PayScaleCode]=CONT_SUP[[#This Row],[PayScaleCode]],PAYSCALES[SchoolCodes],""))))),1,0))</f>
        <v>0</v>
      </c>
      <c r="G258" s="57">
        <f>IF(_xlfn.XLOOKUP(CONT_SUP[[#This Row],[PayScaleGradeCode]],GRADES[PayScaleGradeCode],GRADES[AvailableToAllSchools])=TRUE,0,IFERROR(IF(FIND(CONT_SUP[[#This Row],[SchoolCode]],_xlfn.XLOOKUP(CONT_SUP[[#This Row],[PayScaleGradeCode]],GRADES[PayScaleGradeCode],GRADES[SchoolCodes]))&gt;=1,0,1),1))</f>
        <v>0</v>
      </c>
      <c r="H258" s="57">
        <f>IF(ISERROR(IF((_xlfn.XLOOKUP(CONT_SUP[[#This Row],[PayScaleGradeCode]],GRADES[PayScaleGradeCode],GRADES[PayScaleCode])=CONT_SUP[[#This Row],[PayScaleCode]]),0,1)),1,0)</f>
        <v>0</v>
      </c>
      <c r="I258" s="57" cm="1">
        <f t="array" ref="I258">IF(ISERROR(FIND(CONT_SUP[[#This Row],[PayScalePointCode]],_xlfn.TEXTJOIN(",",TRUE,IF(PSPOINTS[PayScaleCode]=CONT_SUP[[#This Row],[PayScaleCode]],PSPOINTS[PayScalePointCode])))),1,0)</f>
        <v>0</v>
      </c>
      <c r="J258" s="57" cm="1">
        <f t="array" ref="J25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58" s="57">
        <f>IF(_xlfn.XLOOKUP(CONT_SUP[[#This Row],[PayScalePointCode]],PSPOINTS[PayScalePointCode],PSPOINTS[PayScalePointEnabled])=TRUE,0,1)</f>
        <v>0</v>
      </c>
      <c r="L258" s="57" cm="1">
        <f t="array" ref="L258">IF(_xlfn.XLOOKUP(CONT_SUP[[#This Row],[DepartmentCode]],DEPTS[DepartmentCode],DEPTS[AvailableToAllSchools],1,0,)=TRUE,0,IF(ISERROR(FIND(CONT_SUP[[#This Row],[SchoolCode]],_xlfn.TEXTJOIN(",",TRUE,_xlfn.UNIQUE(IF(DEPTS[DepartmentCode]=CONT_SUP[[#This Row],[DepartmentCode]],DEPTS[SchoolCodes],""))))),1,0))</f>
        <v>0</v>
      </c>
      <c r="M258" s="57">
        <f>IFERROR(IF(_xlfn.XLOOKUP(CONT_SUP[[#This Row],[SRG Gross]],FinanceCodesBudget[FinanceCode],FinanceCodesBudget[LedgerCode])=_xlfn.XLOOKUP(CONT_SUP[[#This Row],[DepartmentCode]],DEPTS[DepartmentCode],DEPTS[LedgerCode]),0,1),1)</f>
        <v>1</v>
      </c>
      <c r="N258" s="57" cm="1">
        <f t="array" ref="N258">IF(_xlfn.XLOOKUP(CONT_SUP[[#This Row],[PensionCode]],PENS[PensionCode],PENS[AvailableToAllSchools],1,0,)=TRUE,0,IF(ISERROR(FIND(CONT_SUP[[#This Row],[SchoolCode]],_xlfn.TEXTJOIN(",",TRUE,_xlfn.UNIQUE(IF(PENS[PensionCode]=CONT_SUP[[#This Row],[PensionCode]],PENS[SchoolCodes],""))))),1,0))</f>
        <v>0</v>
      </c>
      <c r="O258" s="57" cm="1">
        <f t="array" ref="O258">IF(_xlfn.XLOOKUP(CONT_SUP[[#This Row],[EquatedWeekPatternCode]],EQW[EquatedWeekPatternCode],EQW[AvailableToAllSchools],1,0,)=TRUE,0,IF(ISERROR(FIND(CONT_SUP[[#This Row],[SchoolCode]],_xlfn.TEXTJOIN(",",TRUE,_xlfn.UNIQUE(IF(EQW[EquatedWeekPatternCode]=CONT_SUP[[#This Row],[EquatedWeekPatternCode]],EQW[SchoolCodes],""))))),1,0))</f>
        <v>0</v>
      </c>
      <c r="P258" s="57">
        <f>1-COUNTIF(ContractTypes[Code],CONT_SUP[[#This Row],[ContractTypeCode]])</f>
        <v>0</v>
      </c>
      <c r="Q258" s="57">
        <f>IF(VLOOKUP(CONT_SUP[[#This Row],[StaffMemberCode]],MEMBERS[[StaffMemberCode]:[ServiceStartDate]],5,0)&gt;CONT_SUP[[#This Row],[DateFrom]],1,0)</f>
        <v>0</v>
      </c>
      <c r="R258" s="57">
        <f>IF(_xlfn.XLOOKUP(CONT_SUP[[#This Row],[StaffMemberCode]],MEMBERS[StaffMemberCode],MEMBERS[ServiceEndDate])="",0,IF(CONT_SUP[[#This Row],[DateTo]]="",1,IF(_xlfn.XLOOKUP(CONT_SUP[[#This Row],[StaffMemberCode]],MEMBERS[StaffMemberCode],MEMBERS[ServiceEndDate])&lt;CONT_SUP[[#This Row],[DateTo]],1,0)))</f>
        <v>0</v>
      </c>
      <c r="S258" s="57">
        <f>IF(ISBLANK(CONT_SUP[[#This Row],[DateTo]]),0,IF(CONT_SUP[[#This Row],[DateFrom]]=CONT_SUP[[#This Row],[DateTo]],0,IF(CONT_SUP[[#This Row],[DateFrom]]&lt;CONT_SUP[[#This Row],[DateTo]],0,1)))</f>
        <v>0</v>
      </c>
      <c r="T258" s="57" cm="1">
        <f t="array" aca="1" ref="T258" ca="1">IF(CELL("format",CONT_SUP[[#This Row],[DateFrom]])="D1",0,1)+IF(CELL("format",CONT_SUP[[#This Row],[DateTo]])="D1",0,1)</f>
        <v>0</v>
      </c>
      <c r="U258" s="57">
        <f>IF(OR(CONT_SUP[[#This Row],[MatEditOnly]]=TRUE,CONT_SUP[[#This Row],[MatEditOnly]]=FALSE),IF(OR(CONT_SUP[[#This Row],[NoIncrement]]=TRUE,CONT_SUP[[#This Row],[NoIncrement]]=FALSE),0,1),1)</f>
        <v>0</v>
      </c>
      <c r="V258" s="57">
        <f>IF(ISBLANK(CONT_SUP[[#This Row],[FundCode]])=TRUE,0,IF(COUNTIF(FUNDS[FundCode],CONT_SUP[[#This Row],[FundCode]])=1,0,1))</f>
        <v>0</v>
      </c>
      <c r="W258" s="57">
        <f>IF(LEN(CONT_SUP[[#This Row],[Notes]])&lt;4000,0,1)</f>
        <v>0</v>
      </c>
      <c r="X258" s="57">
        <f>IF(SUBSTITUTE(TEXT(CONT_SUP[[#This Row],[Reference]],10)," ","")=TEXT(CONT_SUP[[#This Row],[Reference]],10),0,1)</f>
        <v>0</v>
      </c>
      <c r="Y258" s="57">
        <f ca="1">SUM(CONT_SUP[[#This Row],[Duplicate Contract]:[Space in Code]])</f>
        <v>1</v>
      </c>
      <c r="AA258" s="12" t="s">
        <v>2200</v>
      </c>
      <c r="AB258" s="12">
        <v>91075756</v>
      </c>
      <c r="AC258" s="12" t="s">
        <v>4854</v>
      </c>
      <c r="AD258" s="57" t="str">
        <f>_xlfn.XLOOKUP(CONT_SUP[[#This Row],[StaffMemberCode]],StaffMembers!O:O,StaffMembers!R:R)</f>
        <v>Paula Maginess</v>
      </c>
      <c r="AE258" s="12" t="s">
        <v>1180</v>
      </c>
      <c r="AF258" s="57">
        <f>_xlfn.XLOOKUP(CONT_SUP[[#This Row],[SRG]],SRG[StaffRoleGroupCode],SRG[GrossSalaryFinanceCode])</f>
        <v>615100</v>
      </c>
      <c r="AG258" s="57" t="str">
        <f>_xlfn.XLOOKUP(CONT_SUP[[#This Row],[StaffRoleCode]],ROLES[StaffRoleCode],ROLES[StaffRoleGroupCode])</f>
        <v>TA</v>
      </c>
      <c r="AH258" s="57" t="str">
        <f>_xlfn.XLOOKUP(CONT_SUP[[#This Row],[StaffRoleCode]],ROLES[StaffRoleCode],ROLES[PayScaleCode])</f>
        <v>NJC_CHE</v>
      </c>
      <c r="AI258" s="12" t="s">
        <v>3123</v>
      </c>
      <c r="AJ258" s="12">
        <v>11</v>
      </c>
      <c r="AK258" s="12" t="s">
        <v>2497</v>
      </c>
      <c r="AM258" s="68" t="s">
        <v>3132</v>
      </c>
      <c r="AN258" s="12" t="s">
        <v>3135</v>
      </c>
      <c r="AO258" s="21">
        <v>45901</v>
      </c>
      <c r="AQ258" s="12">
        <v>25.5</v>
      </c>
      <c r="AR258" t="b">
        <v>0</v>
      </c>
      <c r="AS258" t="b">
        <v>0</v>
      </c>
      <c r="AT258" s="12" t="s">
        <v>1574</v>
      </c>
    </row>
    <row r="259" spans="1:46" x14ac:dyDescent="0.3">
      <c r="A259" s="57" t="str">
        <f t="shared" si="8"/>
        <v>BLS9132368191323681ATASTA45901</v>
      </c>
      <c r="B259" s="57">
        <f>COUNTIF(CONT_SUP[Unique Contract],CONT_SUP[[#This Row],[Unique Contract]])-1</f>
        <v>0</v>
      </c>
      <c r="C259" s="57">
        <f>IFERROR(IF(FIND(CONT_SUP[[#This Row],[SchoolCode]],_xlfn.XLOOKUP(CONT_SUP[[#This Row],[StaffMemberCode]],MEMBERS[StaffMemberCode],MEMBERS[SchoolCodes]))&gt;0,0,1),1)</f>
        <v>0</v>
      </c>
      <c r="D259" s="57" cm="1">
        <f t="array" ref="D259">IF(_xlfn.XLOOKUP(CONT_SUP[[#This Row],[StaffRoleCode]],ROLES[StaffRoleCode],ROLES[AvailableToAllSchools],1,0,)=TRUE,0,IF(ISERROR(FIND(CONT_SUP[[#This Row],[SchoolCode]],_xlfn.TEXTJOIN(",",TRUE,_xlfn.UNIQUE(IF(ROLES[StaffRoleCode]=CONT_SUP[[#This Row],[StaffRoleCode]],ROLES[SchoolCodes],""))))),1,0))</f>
        <v>0</v>
      </c>
      <c r="E259" s="57" cm="1">
        <f t="array" ref="E25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59" s="57" cm="1">
        <f t="array" ref="F259">IF(_xlfn.XLOOKUP(CONT_SUP[[#This Row],[PayScaleCode]],PAYSCALES[PayScaleCode],PAYSCALES[AvailableToAllSchools],1,0,)=TRUE,0,IF(ISERROR(FIND(CONT_SUP[[#This Row],[SchoolCode]],_xlfn.TEXTJOIN(",",TRUE,_xlfn.UNIQUE(IF(PAYSCALES[PayScaleCode]=CONT_SUP[[#This Row],[PayScaleCode]],PAYSCALES[SchoolCodes],""))))),1,0))</f>
        <v>0</v>
      </c>
      <c r="G259" s="57">
        <f>IF(_xlfn.XLOOKUP(CONT_SUP[[#This Row],[PayScaleGradeCode]],GRADES[PayScaleGradeCode],GRADES[AvailableToAllSchools])=TRUE,0,IFERROR(IF(FIND(CONT_SUP[[#This Row],[SchoolCode]],_xlfn.XLOOKUP(CONT_SUP[[#This Row],[PayScaleGradeCode]],GRADES[PayScaleGradeCode],GRADES[SchoolCodes]))&gt;=1,0,1),1))</f>
        <v>0</v>
      </c>
      <c r="H259" s="57">
        <f>IF(ISERROR(IF((_xlfn.XLOOKUP(CONT_SUP[[#This Row],[PayScaleGradeCode]],GRADES[PayScaleGradeCode],GRADES[PayScaleCode])=CONT_SUP[[#This Row],[PayScaleCode]]),0,1)),1,0)</f>
        <v>0</v>
      </c>
      <c r="I259" s="57" cm="1">
        <f t="array" ref="I259">IF(ISERROR(FIND(CONT_SUP[[#This Row],[PayScalePointCode]],_xlfn.TEXTJOIN(",",TRUE,IF(PSPOINTS[PayScaleCode]=CONT_SUP[[#This Row],[PayScaleCode]],PSPOINTS[PayScalePointCode])))),1,0)</f>
        <v>0</v>
      </c>
      <c r="J259" s="57" cm="1">
        <f t="array" ref="J25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59" s="57">
        <f>IF(_xlfn.XLOOKUP(CONT_SUP[[#This Row],[PayScalePointCode]],PSPOINTS[PayScalePointCode],PSPOINTS[PayScalePointEnabled])=TRUE,0,1)</f>
        <v>0</v>
      </c>
      <c r="L259" s="57" cm="1">
        <f t="array" ref="L259">IF(_xlfn.XLOOKUP(CONT_SUP[[#This Row],[DepartmentCode]],DEPTS[DepartmentCode],DEPTS[AvailableToAllSchools],1,0,)=TRUE,0,IF(ISERROR(FIND(CONT_SUP[[#This Row],[SchoolCode]],_xlfn.TEXTJOIN(",",TRUE,_xlfn.UNIQUE(IF(DEPTS[DepartmentCode]=CONT_SUP[[#This Row],[DepartmentCode]],DEPTS[SchoolCodes],""))))),1,0))</f>
        <v>0</v>
      </c>
      <c r="M259" s="57">
        <f>IFERROR(IF(_xlfn.XLOOKUP(CONT_SUP[[#This Row],[SRG Gross]],FinanceCodesBudget[FinanceCode],FinanceCodesBudget[LedgerCode])=_xlfn.XLOOKUP(CONT_SUP[[#This Row],[DepartmentCode]],DEPTS[DepartmentCode],DEPTS[LedgerCode]),0,1),1)</f>
        <v>1</v>
      </c>
      <c r="N259" s="57" cm="1">
        <f t="array" ref="N259">IF(_xlfn.XLOOKUP(CONT_SUP[[#This Row],[PensionCode]],PENS[PensionCode],PENS[AvailableToAllSchools],1,0,)=TRUE,0,IF(ISERROR(FIND(CONT_SUP[[#This Row],[SchoolCode]],_xlfn.TEXTJOIN(",",TRUE,_xlfn.UNIQUE(IF(PENS[PensionCode]=CONT_SUP[[#This Row],[PensionCode]],PENS[SchoolCodes],""))))),1,0))</f>
        <v>0</v>
      </c>
      <c r="O259" s="57" cm="1">
        <f t="array" ref="O259">IF(_xlfn.XLOOKUP(CONT_SUP[[#This Row],[EquatedWeekPatternCode]],EQW[EquatedWeekPatternCode],EQW[AvailableToAllSchools],1,0,)=TRUE,0,IF(ISERROR(FIND(CONT_SUP[[#This Row],[SchoolCode]],_xlfn.TEXTJOIN(",",TRUE,_xlfn.UNIQUE(IF(EQW[EquatedWeekPatternCode]=CONT_SUP[[#This Row],[EquatedWeekPatternCode]],EQW[SchoolCodes],""))))),1,0))</f>
        <v>0</v>
      </c>
      <c r="P259" s="57">
        <f>1-COUNTIF(ContractTypes[Code],CONT_SUP[[#This Row],[ContractTypeCode]])</f>
        <v>0</v>
      </c>
      <c r="Q259" s="57">
        <f>IF(VLOOKUP(CONT_SUP[[#This Row],[StaffMemberCode]],MEMBERS[[StaffMemberCode]:[ServiceStartDate]],5,0)&gt;CONT_SUP[[#This Row],[DateFrom]],1,0)</f>
        <v>0</v>
      </c>
      <c r="R259" s="57">
        <f>IF(_xlfn.XLOOKUP(CONT_SUP[[#This Row],[StaffMemberCode]],MEMBERS[StaffMemberCode],MEMBERS[ServiceEndDate])="",0,IF(CONT_SUP[[#This Row],[DateTo]]="",1,IF(_xlfn.XLOOKUP(CONT_SUP[[#This Row],[StaffMemberCode]],MEMBERS[StaffMemberCode],MEMBERS[ServiceEndDate])&lt;CONT_SUP[[#This Row],[DateTo]],1,0)))</f>
        <v>0</v>
      </c>
      <c r="S259" s="57">
        <f>IF(ISBLANK(CONT_SUP[[#This Row],[DateTo]]),0,IF(CONT_SUP[[#This Row],[DateFrom]]=CONT_SUP[[#This Row],[DateTo]],0,IF(CONT_SUP[[#This Row],[DateFrom]]&lt;CONT_SUP[[#This Row],[DateTo]],0,1)))</f>
        <v>0</v>
      </c>
      <c r="T259" s="57" cm="1">
        <f t="array" aca="1" ref="T259" ca="1">IF(CELL("format",CONT_SUP[[#This Row],[DateFrom]])="D1",0,1)+IF(CELL("format",CONT_SUP[[#This Row],[DateTo]])="D1",0,1)</f>
        <v>0</v>
      </c>
      <c r="U259" s="57">
        <f>IF(OR(CONT_SUP[[#This Row],[MatEditOnly]]=TRUE,CONT_SUP[[#This Row],[MatEditOnly]]=FALSE),IF(OR(CONT_SUP[[#This Row],[NoIncrement]]=TRUE,CONT_SUP[[#This Row],[NoIncrement]]=FALSE),0,1),1)</f>
        <v>0</v>
      </c>
      <c r="V259" s="57">
        <f>IF(ISBLANK(CONT_SUP[[#This Row],[FundCode]])=TRUE,0,IF(COUNTIF(FUNDS[FundCode],CONT_SUP[[#This Row],[FundCode]])=1,0,1))</f>
        <v>0</v>
      </c>
      <c r="W259" s="57">
        <f>IF(LEN(CONT_SUP[[#This Row],[Notes]])&lt;4000,0,1)</f>
        <v>0</v>
      </c>
      <c r="X259" s="57">
        <f>IF(SUBSTITUTE(TEXT(CONT_SUP[[#This Row],[Reference]],10)," ","")=TEXT(CONT_SUP[[#This Row],[Reference]],10),0,1)</f>
        <v>0</v>
      </c>
      <c r="Y259" s="57">
        <f ca="1">SUM(CONT_SUP[[#This Row],[Duplicate Contract]:[Space in Code]])</f>
        <v>1</v>
      </c>
      <c r="AA259" s="12" t="s">
        <v>2094</v>
      </c>
      <c r="AB259" s="12">
        <v>91323681</v>
      </c>
      <c r="AC259" s="12" t="s">
        <v>4855</v>
      </c>
      <c r="AD259" s="57" t="str">
        <f>_xlfn.XLOOKUP(CONT_SUP[[#This Row],[StaffMemberCode]],StaffMembers!O:O,StaffMembers!R:R)</f>
        <v>Paula Wilkinson</v>
      </c>
      <c r="AE259" s="12" t="s">
        <v>1180</v>
      </c>
      <c r="AF259" s="57">
        <f>_xlfn.XLOOKUP(CONT_SUP[[#This Row],[SRG]],SRG[StaffRoleGroupCode],SRG[GrossSalaryFinanceCode])</f>
        <v>615100</v>
      </c>
      <c r="AG259" s="57" t="str">
        <f>_xlfn.XLOOKUP(CONT_SUP[[#This Row],[StaffRoleCode]],ROLES[StaffRoleCode],ROLES[StaffRoleGroupCode])</f>
        <v>TA</v>
      </c>
      <c r="AH259" s="57" t="str">
        <f>_xlfn.XLOOKUP(CONT_SUP[[#This Row],[StaffRoleCode]],ROLES[StaffRoleCode],ROLES[PayScaleCode])</f>
        <v>NJC_CHE</v>
      </c>
      <c r="AI259" s="12" t="s">
        <v>3122</v>
      </c>
      <c r="AJ259" s="12">
        <v>6</v>
      </c>
      <c r="AK259" s="12" t="s">
        <v>2497</v>
      </c>
      <c r="AM259" s="68" t="s">
        <v>3132</v>
      </c>
      <c r="AN259" s="12" t="s">
        <v>3134</v>
      </c>
      <c r="AO259" s="21">
        <v>45901</v>
      </c>
      <c r="AQ259" s="12">
        <v>31.25</v>
      </c>
      <c r="AR259" t="b">
        <v>0</v>
      </c>
      <c r="AS259" t="b">
        <v>0</v>
      </c>
      <c r="AT259" s="12" t="s">
        <v>1574</v>
      </c>
    </row>
    <row r="260" spans="1:46" x14ac:dyDescent="0.3">
      <c r="A260" s="57" t="str">
        <f t="shared" si="8"/>
        <v>BLS9107346391073463ATASTA45901</v>
      </c>
      <c r="B260" s="57">
        <f>COUNTIF(CONT_SUP[Unique Contract],CONT_SUP[[#This Row],[Unique Contract]])-1</f>
        <v>0</v>
      </c>
      <c r="C260" s="57">
        <f>IFERROR(IF(FIND(CONT_SUP[[#This Row],[SchoolCode]],_xlfn.XLOOKUP(CONT_SUP[[#This Row],[StaffMemberCode]],MEMBERS[StaffMemberCode],MEMBERS[SchoolCodes]))&gt;0,0,1),1)</f>
        <v>0</v>
      </c>
      <c r="D260" s="57" cm="1">
        <f t="array" ref="D260">IF(_xlfn.XLOOKUP(CONT_SUP[[#This Row],[StaffRoleCode]],ROLES[StaffRoleCode],ROLES[AvailableToAllSchools],1,0,)=TRUE,0,IF(ISERROR(FIND(CONT_SUP[[#This Row],[SchoolCode]],_xlfn.TEXTJOIN(",",TRUE,_xlfn.UNIQUE(IF(ROLES[StaffRoleCode]=CONT_SUP[[#This Row],[StaffRoleCode]],ROLES[SchoolCodes],""))))),1,0))</f>
        <v>0</v>
      </c>
      <c r="E260" s="57" cm="1">
        <f t="array" ref="E26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60" s="57" cm="1">
        <f t="array" ref="F260">IF(_xlfn.XLOOKUP(CONT_SUP[[#This Row],[PayScaleCode]],PAYSCALES[PayScaleCode],PAYSCALES[AvailableToAllSchools],1,0,)=TRUE,0,IF(ISERROR(FIND(CONT_SUP[[#This Row],[SchoolCode]],_xlfn.TEXTJOIN(",",TRUE,_xlfn.UNIQUE(IF(PAYSCALES[PayScaleCode]=CONT_SUP[[#This Row],[PayScaleCode]],PAYSCALES[SchoolCodes],""))))),1,0))</f>
        <v>0</v>
      </c>
      <c r="G260" s="57">
        <f>IF(_xlfn.XLOOKUP(CONT_SUP[[#This Row],[PayScaleGradeCode]],GRADES[PayScaleGradeCode],GRADES[AvailableToAllSchools])=TRUE,0,IFERROR(IF(FIND(CONT_SUP[[#This Row],[SchoolCode]],_xlfn.XLOOKUP(CONT_SUP[[#This Row],[PayScaleGradeCode]],GRADES[PayScaleGradeCode],GRADES[SchoolCodes]))&gt;=1,0,1),1))</f>
        <v>0</v>
      </c>
      <c r="H260" s="57">
        <f>IF(ISERROR(IF((_xlfn.XLOOKUP(CONT_SUP[[#This Row],[PayScaleGradeCode]],GRADES[PayScaleGradeCode],GRADES[PayScaleCode])=CONT_SUP[[#This Row],[PayScaleCode]]),0,1)),1,0)</f>
        <v>0</v>
      </c>
      <c r="I260" s="57" cm="1">
        <f t="array" ref="I260">IF(ISERROR(FIND(CONT_SUP[[#This Row],[PayScalePointCode]],_xlfn.TEXTJOIN(",",TRUE,IF(PSPOINTS[PayScaleCode]=CONT_SUP[[#This Row],[PayScaleCode]],PSPOINTS[PayScalePointCode])))),1,0)</f>
        <v>0</v>
      </c>
      <c r="J260" s="57" cm="1">
        <f t="array" ref="J26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60" s="57">
        <f>IF(_xlfn.XLOOKUP(CONT_SUP[[#This Row],[PayScalePointCode]],PSPOINTS[PayScalePointCode],PSPOINTS[PayScalePointEnabled])=TRUE,0,1)</f>
        <v>0</v>
      </c>
      <c r="L260" s="57" cm="1">
        <f t="array" ref="L260">IF(_xlfn.XLOOKUP(CONT_SUP[[#This Row],[DepartmentCode]],DEPTS[DepartmentCode],DEPTS[AvailableToAllSchools],1,0,)=TRUE,0,IF(ISERROR(FIND(CONT_SUP[[#This Row],[SchoolCode]],_xlfn.TEXTJOIN(",",TRUE,_xlfn.UNIQUE(IF(DEPTS[DepartmentCode]=CONT_SUP[[#This Row],[DepartmentCode]],DEPTS[SchoolCodes],""))))),1,0))</f>
        <v>0</v>
      </c>
      <c r="M260" s="57">
        <f>IFERROR(IF(_xlfn.XLOOKUP(CONT_SUP[[#This Row],[SRG Gross]],FinanceCodesBudget[FinanceCode],FinanceCodesBudget[LedgerCode])=_xlfn.XLOOKUP(CONT_SUP[[#This Row],[DepartmentCode]],DEPTS[DepartmentCode],DEPTS[LedgerCode]),0,1),1)</f>
        <v>1</v>
      </c>
      <c r="N260" s="57" cm="1">
        <f t="array" ref="N260">IF(_xlfn.XLOOKUP(CONT_SUP[[#This Row],[PensionCode]],PENS[PensionCode],PENS[AvailableToAllSchools],1,0,)=TRUE,0,IF(ISERROR(FIND(CONT_SUP[[#This Row],[SchoolCode]],_xlfn.TEXTJOIN(",",TRUE,_xlfn.UNIQUE(IF(PENS[PensionCode]=CONT_SUP[[#This Row],[PensionCode]],PENS[SchoolCodes],""))))),1,0))</f>
        <v>0</v>
      </c>
      <c r="O260" s="57" cm="1">
        <f t="array" ref="O260">IF(_xlfn.XLOOKUP(CONT_SUP[[#This Row],[EquatedWeekPatternCode]],EQW[EquatedWeekPatternCode],EQW[AvailableToAllSchools],1,0,)=TRUE,0,IF(ISERROR(FIND(CONT_SUP[[#This Row],[SchoolCode]],_xlfn.TEXTJOIN(",",TRUE,_xlfn.UNIQUE(IF(EQW[EquatedWeekPatternCode]=CONT_SUP[[#This Row],[EquatedWeekPatternCode]],EQW[SchoolCodes],""))))),1,0))</f>
        <v>0</v>
      </c>
      <c r="P260" s="57">
        <f>1-COUNTIF(ContractTypes[Code],CONT_SUP[[#This Row],[ContractTypeCode]])</f>
        <v>0</v>
      </c>
      <c r="Q260" s="57">
        <f>IF(VLOOKUP(CONT_SUP[[#This Row],[StaffMemberCode]],MEMBERS[[StaffMemberCode]:[ServiceStartDate]],5,0)&gt;CONT_SUP[[#This Row],[DateFrom]],1,0)</f>
        <v>0</v>
      </c>
      <c r="R260" s="57">
        <f>IF(_xlfn.XLOOKUP(CONT_SUP[[#This Row],[StaffMemberCode]],MEMBERS[StaffMemberCode],MEMBERS[ServiceEndDate])="",0,IF(CONT_SUP[[#This Row],[DateTo]]="",1,IF(_xlfn.XLOOKUP(CONT_SUP[[#This Row],[StaffMemberCode]],MEMBERS[StaffMemberCode],MEMBERS[ServiceEndDate])&lt;CONT_SUP[[#This Row],[DateTo]],1,0)))</f>
        <v>0</v>
      </c>
      <c r="S260" s="57">
        <f>IF(ISBLANK(CONT_SUP[[#This Row],[DateTo]]),0,IF(CONT_SUP[[#This Row],[DateFrom]]=CONT_SUP[[#This Row],[DateTo]],0,IF(CONT_SUP[[#This Row],[DateFrom]]&lt;CONT_SUP[[#This Row],[DateTo]],0,1)))</f>
        <v>0</v>
      </c>
      <c r="T260" s="57" cm="1">
        <f t="array" aca="1" ref="T260" ca="1">IF(CELL("format",CONT_SUP[[#This Row],[DateFrom]])="D1",0,1)+IF(CELL("format",CONT_SUP[[#This Row],[DateTo]])="D1",0,1)</f>
        <v>0</v>
      </c>
      <c r="U260" s="57">
        <f>IF(OR(CONT_SUP[[#This Row],[MatEditOnly]]=TRUE,CONT_SUP[[#This Row],[MatEditOnly]]=FALSE),IF(OR(CONT_SUP[[#This Row],[NoIncrement]]=TRUE,CONT_SUP[[#This Row],[NoIncrement]]=FALSE),0,1),1)</f>
        <v>0</v>
      </c>
      <c r="V260" s="57">
        <f>IF(ISBLANK(CONT_SUP[[#This Row],[FundCode]])=TRUE,0,IF(COUNTIF(FUNDS[FundCode],CONT_SUP[[#This Row],[FundCode]])=1,0,1))</f>
        <v>0</v>
      </c>
      <c r="W260" s="57">
        <f>IF(LEN(CONT_SUP[[#This Row],[Notes]])&lt;4000,0,1)</f>
        <v>0</v>
      </c>
      <c r="X260" s="57">
        <f>IF(SUBSTITUTE(TEXT(CONT_SUP[[#This Row],[Reference]],10)," ","")=TEXT(CONT_SUP[[#This Row],[Reference]],10),0,1)</f>
        <v>0</v>
      </c>
      <c r="Y260" s="57">
        <f ca="1">SUM(CONT_SUP[[#This Row],[Duplicate Contract]:[Space in Code]])</f>
        <v>1</v>
      </c>
      <c r="AA260" s="12" t="s">
        <v>2094</v>
      </c>
      <c r="AB260" s="12">
        <v>91073463</v>
      </c>
      <c r="AC260" s="12" t="s">
        <v>4856</v>
      </c>
      <c r="AD260" s="57" t="str">
        <f>_xlfn.XLOOKUP(CONT_SUP[[#This Row],[StaffMemberCode]],StaffMembers!O:O,StaffMembers!R:R)</f>
        <v>Pauline Spencer</v>
      </c>
      <c r="AE260" s="12" t="s">
        <v>1180</v>
      </c>
      <c r="AF260" s="57">
        <f>_xlfn.XLOOKUP(CONT_SUP[[#This Row],[SRG]],SRG[StaffRoleGroupCode],SRG[GrossSalaryFinanceCode])</f>
        <v>615100</v>
      </c>
      <c r="AG260" s="57" t="str">
        <f>_xlfn.XLOOKUP(CONT_SUP[[#This Row],[StaffRoleCode]],ROLES[StaffRoleCode],ROLES[StaffRoleGroupCode])</f>
        <v>TA</v>
      </c>
      <c r="AH260" s="57" t="str">
        <f>_xlfn.XLOOKUP(CONT_SUP[[#This Row],[StaffRoleCode]],ROLES[StaffRoleCode],ROLES[PayScaleCode])</f>
        <v>NJC_CHE</v>
      </c>
      <c r="AI260" s="12" t="s">
        <v>3123</v>
      </c>
      <c r="AJ260" s="12">
        <v>10</v>
      </c>
      <c r="AK260" s="12" t="s">
        <v>2497</v>
      </c>
      <c r="AM260" s="68" t="s">
        <v>3132</v>
      </c>
      <c r="AN260" s="12" t="s">
        <v>3135</v>
      </c>
      <c r="AO260" s="21">
        <v>45901</v>
      </c>
      <c r="AQ260" s="12">
        <v>32.5</v>
      </c>
      <c r="AR260" t="b">
        <v>0</v>
      </c>
      <c r="AS260" t="b">
        <v>0</v>
      </c>
      <c r="AT260" s="12" t="s">
        <v>1574</v>
      </c>
    </row>
    <row r="261" spans="1:46" x14ac:dyDescent="0.3">
      <c r="A261" s="57" t="str">
        <f t="shared" si="8"/>
        <v>BLS9107358991073589ATASTA45901</v>
      </c>
      <c r="B261" s="57">
        <f>COUNTIF(CONT_SUP[Unique Contract],CONT_SUP[[#This Row],[Unique Contract]])-1</f>
        <v>0</v>
      </c>
      <c r="C261" s="57">
        <f>IFERROR(IF(FIND(CONT_SUP[[#This Row],[SchoolCode]],_xlfn.XLOOKUP(CONT_SUP[[#This Row],[StaffMemberCode]],MEMBERS[StaffMemberCode],MEMBERS[SchoolCodes]))&gt;0,0,1),1)</f>
        <v>0</v>
      </c>
      <c r="D261" s="57" cm="1">
        <f t="array" ref="D261">IF(_xlfn.XLOOKUP(CONT_SUP[[#This Row],[StaffRoleCode]],ROLES[StaffRoleCode],ROLES[AvailableToAllSchools],1,0,)=TRUE,0,IF(ISERROR(FIND(CONT_SUP[[#This Row],[SchoolCode]],_xlfn.TEXTJOIN(",",TRUE,_xlfn.UNIQUE(IF(ROLES[StaffRoleCode]=CONT_SUP[[#This Row],[StaffRoleCode]],ROLES[SchoolCodes],""))))),1,0))</f>
        <v>0</v>
      </c>
      <c r="E261" s="57" cm="1">
        <f t="array" ref="E26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61" s="57" cm="1">
        <f t="array" ref="F261">IF(_xlfn.XLOOKUP(CONT_SUP[[#This Row],[PayScaleCode]],PAYSCALES[PayScaleCode],PAYSCALES[AvailableToAllSchools],1,0,)=TRUE,0,IF(ISERROR(FIND(CONT_SUP[[#This Row],[SchoolCode]],_xlfn.TEXTJOIN(",",TRUE,_xlfn.UNIQUE(IF(PAYSCALES[PayScaleCode]=CONT_SUP[[#This Row],[PayScaleCode]],PAYSCALES[SchoolCodes],""))))),1,0))</f>
        <v>0</v>
      </c>
      <c r="G261" s="57">
        <f>IF(_xlfn.XLOOKUP(CONT_SUP[[#This Row],[PayScaleGradeCode]],GRADES[PayScaleGradeCode],GRADES[AvailableToAllSchools])=TRUE,0,IFERROR(IF(FIND(CONT_SUP[[#This Row],[SchoolCode]],_xlfn.XLOOKUP(CONT_SUP[[#This Row],[PayScaleGradeCode]],GRADES[PayScaleGradeCode],GRADES[SchoolCodes]))&gt;=1,0,1),1))</f>
        <v>0</v>
      </c>
      <c r="H261" s="57">
        <f>IF(ISERROR(IF((_xlfn.XLOOKUP(CONT_SUP[[#This Row],[PayScaleGradeCode]],GRADES[PayScaleGradeCode],GRADES[PayScaleCode])=CONT_SUP[[#This Row],[PayScaleCode]]),0,1)),1,0)</f>
        <v>0</v>
      </c>
      <c r="I261" s="57" cm="1">
        <f t="array" ref="I261">IF(ISERROR(FIND(CONT_SUP[[#This Row],[PayScalePointCode]],_xlfn.TEXTJOIN(",",TRUE,IF(PSPOINTS[PayScaleCode]=CONT_SUP[[#This Row],[PayScaleCode]],PSPOINTS[PayScalePointCode])))),1,0)</f>
        <v>0</v>
      </c>
      <c r="J261" s="57" cm="1">
        <f t="array" ref="J26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61" s="57">
        <f>IF(_xlfn.XLOOKUP(CONT_SUP[[#This Row],[PayScalePointCode]],PSPOINTS[PayScalePointCode],PSPOINTS[PayScalePointEnabled])=TRUE,0,1)</f>
        <v>0</v>
      </c>
      <c r="L261" s="57" cm="1">
        <f t="array" ref="L261">IF(_xlfn.XLOOKUP(CONT_SUP[[#This Row],[DepartmentCode]],DEPTS[DepartmentCode],DEPTS[AvailableToAllSchools],1,0,)=TRUE,0,IF(ISERROR(FIND(CONT_SUP[[#This Row],[SchoolCode]],_xlfn.TEXTJOIN(",",TRUE,_xlfn.UNIQUE(IF(DEPTS[DepartmentCode]=CONT_SUP[[#This Row],[DepartmentCode]],DEPTS[SchoolCodes],""))))),1,0))</f>
        <v>0</v>
      </c>
      <c r="M261" s="57">
        <f>IFERROR(IF(_xlfn.XLOOKUP(CONT_SUP[[#This Row],[SRG Gross]],FinanceCodesBudget[FinanceCode],FinanceCodesBudget[LedgerCode])=_xlfn.XLOOKUP(CONT_SUP[[#This Row],[DepartmentCode]],DEPTS[DepartmentCode],DEPTS[LedgerCode]),0,1),1)</f>
        <v>1</v>
      </c>
      <c r="N261" s="57" cm="1">
        <f t="array" ref="N261">IF(_xlfn.XLOOKUP(CONT_SUP[[#This Row],[PensionCode]],PENS[PensionCode],PENS[AvailableToAllSchools],1,0,)=TRUE,0,IF(ISERROR(FIND(CONT_SUP[[#This Row],[SchoolCode]],_xlfn.TEXTJOIN(",",TRUE,_xlfn.UNIQUE(IF(PENS[PensionCode]=CONT_SUP[[#This Row],[PensionCode]],PENS[SchoolCodes],""))))),1,0))</f>
        <v>0</v>
      </c>
      <c r="O261" s="57" cm="1">
        <f t="array" ref="O261">IF(_xlfn.XLOOKUP(CONT_SUP[[#This Row],[EquatedWeekPatternCode]],EQW[EquatedWeekPatternCode],EQW[AvailableToAllSchools],1,0,)=TRUE,0,IF(ISERROR(FIND(CONT_SUP[[#This Row],[SchoolCode]],_xlfn.TEXTJOIN(",",TRUE,_xlfn.UNIQUE(IF(EQW[EquatedWeekPatternCode]=CONT_SUP[[#This Row],[EquatedWeekPatternCode]],EQW[SchoolCodes],""))))),1,0))</f>
        <v>0</v>
      </c>
      <c r="P261" s="57">
        <f>1-COUNTIF(ContractTypes[Code],CONT_SUP[[#This Row],[ContractTypeCode]])</f>
        <v>0</v>
      </c>
      <c r="Q261" s="57">
        <f>IF(VLOOKUP(CONT_SUP[[#This Row],[StaffMemberCode]],MEMBERS[[StaffMemberCode]:[ServiceStartDate]],5,0)&gt;CONT_SUP[[#This Row],[DateFrom]],1,0)</f>
        <v>0</v>
      </c>
      <c r="R261" s="57">
        <f>IF(_xlfn.XLOOKUP(CONT_SUP[[#This Row],[StaffMemberCode]],MEMBERS[StaffMemberCode],MEMBERS[ServiceEndDate])="",0,IF(CONT_SUP[[#This Row],[DateTo]]="",1,IF(_xlfn.XLOOKUP(CONT_SUP[[#This Row],[StaffMemberCode]],MEMBERS[StaffMemberCode],MEMBERS[ServiceEndDate])&lt;CONT_SUP[[#This Row],[DateTo]],1,0)))</f>
        <v>0</v>
      </c>
      <c r="S261" s="57">
        <f>IF(ISBLANK(CONT_SUP[[#This Row],[DateTo]]),0,IF(CONT_SUP[[#This Row],[DateFrom]]=CONT_SUP[[#This Row],[DateTo]],0,IF(CONT_SUP[[#This Row],[DateFrom]]&lt;CONT_SUP[[#This Row],[DateTo]],0,1)))</f>
        <v>0</v>
      </c>
      <c r="T261" s="57" cm="1">
        <f t="array" aca="1" ref="T261" ca="1">IF(CELL("format",CONT_SUP[[#This Row],[DateFrom]])="D1",0,1)+IF(CELL("format",CONT_SUP[[#This Row],[DateTo]])="D1",0,1)</f>
        <v>0</v>
      </c>
      <c r="U261" s="57">
        <f>IF(OR(CONT_SUP[[#This Row],[MatEditOnly]]=TRUE,CONT_SUP[[#This Row],[MatEditOnly]]=FALSE),IF(OR(CONT_SUP[[#This Row],[NoIncrement]]=TRUE,CONT_SUP[[#This Row],[NoIncrement]]=FALSE),0,1),1)</f>
        <v>0</v>
      </c>
      <c r="V261" s="57">
        <f>IF(ISBLANK(CONT_SUP[[#This Row],[FundCode]])=TRUE,0,IF(COUNTIF(FUNDS[FundCode],CONT_SUP[[#This Row],[FundCode]])=1,0,1))</f>
        <v>0</v>
      </c>
      <c r="W261" s="57">
        <f>IF(LEN(CONT_SUP[[#This Row],[Notes]])&lt;4000,0,1)</f>
        <v>0</v>
      </c>
      <c r="X261" s="57">
        <f>IF(SUBSTITUTE(TEXT(CONT_SUP[[#This Row],[Reference]],10)," ","")=TEXT(CONT_SUP[[#This Row],[Reference]],10),0,1)</f>
        <v>0</v>
      </c>
      <c r="Y261" s="57">
        <f ca="1">SUM(CONT_SUP[[#This Row],[Duplicate Contract]:[Space in Code]])</f>
        <v>1</v>
      </c>
      <c r="AA261" s="12" t="s">
        <v>2094</v>
      </c>
      <c r="AB261" s="12">
        <v>91073589</v>
      </c>
      <c r="AC261" s="12" t="s">
        <v>4857</v>
      </c>
      <c r="AD261" s="57" t="str">
        <f>_xlfn.XLOOKUP(CONT_SUP[[#This Row],[StaffMemberCode]],StaffMembers!O:O,StaffMembers!R:R)</f>
        <v>Rachel Gibbs</v>
      </c>
      <c r="AE261" s="12" t="s">
        <v>1180</v>
      </c>
      <c r="AF261" s="57">
        <f>_xlfn.XLOOKUP(CONT_SUP[[#This Row],[SRG]],SRG[StaffRoleGroupCode],SRG[GrossSalaryFinanceCode])</f>
        <v>615100</v>
      </c>
      <c r="AG261" s="57" t="str">
        <f>_xlfn.XLOOKUP(CONT_SUP[[#This Row],[StaffRoleCode]],ROLES[StaffRoleCode],ROLES[StaffRoleGroupCode])</f>
        <v>TA</v>
      </c>
      <c r="AH261" s="57" t="str">
        <f>_xlfn.XLOOKUP(CONT_SUP[[#This Row],[StaffRoleCode]],ROLES[StaffRoleCode],ROLES[PayScaleCode])</f>
        <v>NJC_CHE</v>
      </c>
      <c r="AI261" s="12" t="s">
        <v>3124</v>
      </c>
      <c r="AJ261" s="12">
        <v>17</v>
      </c>
      <c r="AK261" s="12" t="s">
        <v>2497</v>
      </c>
      <c r="AM261" s="68" t="s">
        <v>3132</v>
      </c>
      <c r="AN261" s="12" t="s">
        <v>3135</v>
      </c>
      <c r="AO261" s="21">
        <v>45901</v>
      </c>
      <c r="AQ261" s="12">
        <v>35</v>
      </c>
      <c r="AR261" t="b">
        <v>0</v>
      </c>
      <c r="AS261" t="b">
        <v>0</v>
      </c>
      <c r="AT261" s="12" t="s">
        <v>1574</v>
      </c>
    </row>
    <row r="262" spans="1:46" x14ac:dyDescent="0.3">
      <c r="A262" s="57" t="str">
        <f t="shared" si="8"/>
        <v>BLS9107363291073632ATASTA45901</v>
      </c>
      <c r="B262" s="57">
        <f>COUNTIF(CONT_SUP[Unique Contract],CONT_SUP[[#This Row],[Unique Contract]])-1</f>
        <v>0</v>
      </c>
      <c r="C262" s="57">
        <f>IFERROR(IF(FIND(CONT_SUP[[#This Row],[SchoolCode]],_xlfn.XLOOKUP(CONT_SUP[[#This Row],[StaffMemberCode]],MEMBERS[StaffMemberCode],MEMBERS[SchoolCodes]))&gt;0,0,1),1)</f>
        <v>0</v>
      </c>
      <c r="D262" s="57" cm="1">
        <f t="array" ref="D262">IF(_xlfn.XLOOKUP(CONT_SUP[[#This Row],[StaffRoleCode]],ROLES[StaffRoleCode],ROLES[AvailableToAllSchools],1,0,)=TRUE,0,IF(ISERROR(FIND(CONT_SUP[[#This Row],[SchoolCode]],_xlfn.TEXTJOIN(",",TRUE,_xlfn.UNIQUE(IF(ROLES[StaffRoleCode]=CONT_SUP[[#This Row],[StaffRoleCode]],ROLES[SchoolCodes],""))))),1,0))</f>
        <v>0</v>
      </c>
      <c r="E262" s="57" cm="1">
        <f t="array" ref="E26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62" s="57" cm="1">
        <f t="array" ref="F262">IF(_xlfn.XLOOKUP(CONT_SUP[[#This Row],[PayScaleCode]],PAYSCALES[PayScaleCode],PAYSCALES[AvailableToAllSchools],1,0,)=TRUE,0,IF(ISERROR(FIND(CONT_SUP[[#This Row],[SchoolCode]],_xlfn.TEXTJOIN(",",TRUE,_xlfn.UNIQUE(IF(PAYSCALES[PayScaleCode]=CONT_SUP[[#This Row],[PayScaleCode]],PAYSCALES[SchoolCodes],""))))),1,0))</f>
        <v>0</v>
      </c>
      <c r="G262" s="57">
        <f>IF(_xlfn.XLOOKUP(CONT_SUP[[#This Row],[PayScaleGradeCode]],GRADES[PayScaleGradeCode],GRADES[AvailableToAllSchools])=TRUE,0,IFERROR(IF(FIND(CONT_SUP[[#This Row],[SchoolCode]],_xlfn.XLOOKUP(CONT_SUP[[#This Row],[PayScaleGradeCode]],GRADES[PayScaleGradeCode],GRADES[SchoolCodes]))&gt;=1,0,1),1))</f>
        <v>0</v>
      </c>
      <c r="H262" s="57">
        <f>IF(ISERROR(IF((_xlfn.XLOOKUP(CONT_SUP[[#This Row],[PayScaleGradeCode]],GRADES[PayScaleGradeCode],GRADES[PayScaleCode])=CONT_SUP[[#This Row],[PayScaleCode]]),0,1)),1,0)</f>
        <v>0</v>
      </c>
      <c r="I262" s="57" cm="1">
        <f t="array" ref="I262">IF(ISERROR(FIND(CONT_SUP[[#This Row],[PayScalePointCode]],_xlfn.TEXTJOIN(",",TRUE,IF(PSPOINTS[PayScaleCode]=CONT_SUP[[#This Row],[PayScaleCode]],PSPOINTS[PayScalePointCode])))),1,0)</f>
        <v>0</v>
      </c>
      <c r="J262" s="57" cm="1">
        <f t="array" ref="J26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62" s="57">
        <f>IF(_xlfn.XLOOKUP(CONT_SUP[[#This Row],[PayScalePointCode]],PSPOINTS[PayScalePointCode],PSPOINTS[PayScalePointEnabled])=TRUE,0,1)</f>
        <v>0</v>
      </c>
      <c r="L262" s="57" cm="1">
        <f t="array" ref="L262">IF(_xlfn.XLOOKUP(CONT_SUP[[#This Row],[DepartmentCode]],DEPTS[DepartmentCode],DEPTS[AvailableToAllSchools],1,0,)=TRUE,0,IF(ISERROR(FIND(CONT_SUP[[#This Row],[SchoolCode]],_xlfn.TEXTJOIN(",",TRUE,_xlfn.UNIQUE(IF(DEPTS[DepartmentCode]=CONT_SUP[[#This Row],[DepartmentCode]],DEPTS[SchoolCodes],""))))),1,0))</f>
        <v>0</v>
      </c>
      <c r="M262" s="57">
        <f>IFERROR(IF(_xlfn.XLOOKUP(CONT_SUP[[#This Row],[SRG Gross]],FinanceCodesBudget[FinanceCode],FinanceCodesBudget[LedgerCode])=_xlfn.XLOOKUP(CONT_SUP[[#This Row],[DepartmentCode]],DEPTS[DepartmentCode],DEPTS[LedgerCode]),0,1),1)</f>
        <v>1</v>
      </c>
      <c r="N262" s="57" cm="1">
        <f t="array" ref="N262">IF(_xlfn.XLOOKUP(CONT_SUP[[#This Row],[PensionCode]],PENS[PensionCode],PENS[AvailableToAllSchools],1,0,)=TRUE,0,IF(ISERROR(FIND(CONT_SUP[[#This Row],[SchoolCode]],_xlfn.TEXTJOIN(",",TRUE,_xlfn.UNIQUE(IF(PENS[PensionCode]=CONT_SUP[[#This Row],[PensionCode]],PENS[SchoolCodes],""))))),1,0))</f>
        <v>0</v>
      </c>
      <c r="O262" s="57" cm="1">
        <f t="array" ref="O262">IF(_xlfn.XLOOKUP(CONT_SUP[[#This Row],[EquatedWeekPatternCode]],EQW[EquatedWeekPatternCode],EQW[AvailableToAllSchools],1,0,)=TRUE,0,IF(ISERROR(FIND(CONT_SUP[[#This Row],[SchoolCode]],_xlfn.TEXTJOIN(",",TRUE,_xlfn.UNIQUE(IF(EQW[EquatedWeekPatternCode]=CONT_SUP[[#This Row],[EquatedWeekPatternCode]],EQW[SchoolCodes],""))))),1,0))</f>
        <v>0</v>
      </c>
      <c r="P262" s="57">
        <f>1-COUNTIF(ContractTypes[Code],CONT_SUP[[#This Row],[ContractTypeCode]])</f>
        <v>0</v>
      </c>
      <c r="Q262" s="57">
        <f>IF(VLOOKUP(CONT_SUP[[#This Row],[StaffMemberCode]],MEMBERS[[StaffMemberCode]:[ServiceStartDate]],5,0)&gt;CONT_SUP[[#This Row],[DateFrom]],1,0)</f>
        <v>0</v>
      </c>
      <c r="R262" s="57">
        <f>IF(_xlfn.XLOOKUP(CONT_SUP[[#This Row],[StaffMemberCode]],MEMBERS[StaffMemberCode],MEMBERS[ServiceEndDate])="",0,IF(CONT_SUP[[#This Row],[DateTo]]="",1,IF(_xlfn.XLOOKUP(CONT_SUP[[#This Row],[StaffMemberCode]],MEMBERS[StaffMemberCode],MEMBERS[ServiceEndDate])&lt;CONT_SUP[[#This Row],[DateTo]],1,0)))</f>
        <v>0</v>
      </c>
      <c r="S262" s="57">
        <f>IF(ISBLANK(CONT_SUP[[#This Row],[DateTo]]),0,IF(CONT_SUP[[#This Row],[DateFrom]]=CONT_SUP[[#This Row],[DateTo]],0,IF(CONT_SUP[[#This Row],[DateFrom]]&lt;CONT_SUP[[#This Row],[DateTo]],0,1)))</f>
        <v>0</v>
      </c>
      <c r="T262" s="57" cm="1">
        <f t="array" aca="1" ref="T262" ca="1">IF(CELL("format",CONT_SUP[[#This Row],[DateFrom]])="D1",0,1)+IF(CELL("format",CONT_SUP[[#This Row],[DateTo]])="D1",0,1)</f>
        <v>0</v>
      </c>
      <c r="U262" s="57">
        <f>IF(OR(CONT_SUP[[#This Row],[MatEditOnly]]=TRUE,CONT_SUP[[#This Row],[MatEditOnly]]=FALSE),IF(OR(CONT_SUP[[#This Row],[NoIncrement]]=TRUE,CONT_SUP[[#This Row],[NoIncrement]]=FALSE),0,1),1)</f>
        <v>0</v>
      </c>
      <c r="V262" s="57">
        <f>IF(ISBLANK(CONT_SUP[[#This Row],[FundCode]])=TRUE,0,IF(COUNTIF(FUNDS[FundCode],CONT_SUP[[#This Row],[FundCode]])=1,0,1))</f>
        <v>0</v>
      </c>
      <c r="W262" s="57">
        <f>IF(LEN(CONT_SUP[[#This Row],[Notes]])&lt;4000,0,1)</f>
        <v>0</v>
      </c>
      <c r="X262" s="57">
        <f>IF(SUBSTITUTE(TEXT(CONT_SUP[[#This Row],[Reference]],10)," ","")=TEXT(CONT_SUP[[#This Row],[Reference]],10),0,1)</f>
        <v>0</v>
      </c>
      <c r="Y262" s="57">
        <f ca="1">SUM(CONT_SUP[[#This Row],[Duplicate Contract]:[Space in Code]])</f>
        <v>1</v>
      </c>
      <c r="AA262" s="12" t="s">
        <v>2094</v>
      </c>
      <c r="AB262" s="12">
        <v>91073632</v>
      </c>
      <c r="AC262" s="12" t="s">
        <v>4858</v>
      </c>
      <c r="AD262" s="57" t="str">
        <f>_xlfn.XLOOKUP(CONT_SUP[[#This Row],[StaffMemberCode]],StaffMembers!O:O,StaffMembers!R:R)</f>
        <v>Raina Muggeridge</v>
      </c>
      <c r="AE262" s="12" t="s">
        <v>1180</v>
      </c>
      <c r="AF262" s="57">
        <f>_xlfn.XLOOKUP(CONT_SUP[[#This Row],[SRG]],SRG[StaffRoleGroupCode],SRG[GrossSalaryFinanceCode])</f>
        <v>615100</v>
      </c>
      <c r="AG262" s="57" t="str">
        <f>_xlfn.XLOOKUP(CONT_SUP[[#This Row],[StaffRoleCode]],ROLES[StaffRoleCode],ROLES[StaffRoleGroupCode])</f>
        <v>TA</v>
      </c>
      <c r="AH262" s="57" t="str">
        <f>_xlfn.XLOOKUP(CONT_SUP[[#This Row],[StaffRoleCode]],ROLES[StaffRoleCode],ROLES[PayScaleCode])</f>
        <v>NJC_CHE</v>
      </c>
      <c r="AI262" s="12" t="s">
        <v>3122</v>
      </c>
      <c r="AJ262" s="12">
        <v>6</v>
      </c>
      <c r="AK262" s="12" t="s">
        <v>2497</v>
      </c>
      <c r="AM262" s="68" t="s">
        <v>3132</v>
      </c>
      <c r="AN262" s="12" t="s">
        <v>3135</v>
      </c>
      <c r="AO262" s="21">
        <v>45901</v>
      </c>
      <c r="AQ262" s="12">
        <v>35</v>
      </c>
      <c r="AR262" t="b">
        <v>0</v>
      </c>
      <c r="AS262" t="b">
        <v>0</v>
      </c>
      <c r="AT262" s="12" t="s">
        <v>1574</v>
      </c>
    </row>
    <row r="263" spans="1:46" x14ac:dyDescent="0.3">
      <c r="A263" s="57" t="str">
        <f t="shared" si="8"/>
        <v>AUD9107365591073655ATASTA45901</v>
      </c>
      <c r="B263" s="57">
        <f>COUNTIF(CONT_SUP[Unique Contract],CONT_SUP[[#This Row],[Unique Contract]])-1</f>
        <v>0</v>
      </c>
      <c r="C263" s="57">
        <f>IFERROR(IF(FIND(CONT_SUP[[#This Row],[SchoolCode]],_xlfn.XLOOKUP(CONT_SUP[[#This Row],[StaffMemberCode]],MEMBERS[StaffMemberCode],MEMBERS[SchoolCodes]))&gt;0,0,1),1)</f>
        <v>0</v>
      </c>
      <c r="D263" s="57" cm="1">
        <f t="array" ref="D263">IF(_xlfn.XLOOKUP(CONT_SUP[[#This Row],[StaffRoleCode]],ROLES[StaffRoleCode],ROLES[AvailableToAllSchools],1,0,)=TRUE,0,IF(ISERROR(FIND(CONT_SUP[[#This Row],[SchoolCode]],_xlfn.TEXTJOIN(",",TRUE,_xlfn.UNIQUE(IF(ROLES[StaffRoleCode]=CONT_SUP[[#This Row],[StaffRoleCode]],ROLES[SchoolCodes],""))))),1,0))</f>
        <v>0</v>
      </c>
      <c r="E263" s="57" cm="1">
        <f t="array" ref="E26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63" s="57" cm="1">
        <f t="array" ref="F263">IF(_xlfn.XLOOKUP(CONT_SUP[[#This Row],[PayScaleCode]],PAYSCALES[PayScaleCode],PAYSCALES[AvailableToAllSchools],1,0,)=TRUE,0,IF(ISERROR(FIND(CONT_SUP[[#This Row],[SchoolCode]],_xlfn.TEXTJOIN(",",TRUE,_xlfn.UNIQUE(IF(PAYSCALES[PayScaleCode]=CONT_SUP[[#This Row],[PayScaleCode]],PAYSCALES[SchoolCodes],""))))),1,0))</f>
        <v>0</v>
      </c>
      <c r="G263" s="57">
        <f>IF(_xlfn.XLOOKUP(CONT_SUP[[#This Row],[PayScaleGradeCode]],GRADES[PayScaleGradeCode],GRADES[AvailableToAllSchools])=TRUE,0,IFERROR(IF(FIND(CONT_SUP[[#This Row],[SchoolCode]],_xlfn.XLOOKUP(CONT_SUP[[#This Row],[PayScaleGradeCode]],GRADES[PayScaleGradeCode],GRADES[SchoolCodes]))&gt;=1,0,1),1))</f>
        <v>0</v>
      </c>
      <c r="H263" s="57">
        <f>IF(ISERROR(IF((_xlfn.XLOOKUP(CONT_SUP[[#This Row],[PayScaleGradeCode]],GRADES[PayScaleGradeCode],GRADES[PayScaleCode])=CONT_SUP[[#This Row],[PayScaleCode]]),0,1)),1,0)</f>
        <v>0</v>
      </c>
      <c r="I263" s="57" cm="1">
        <f t="array" ref="I263">IF(ISERROR(FIND(CONT_SUP[[#This Row],[PayScalePointCode]],_xlfn.TEXTJOIN(",",TRUE,IF(PSPOINTS[PayScaleCode]=CONT_SUP[[#This Row],[PayScaleCode]],PSPOINTS[PayScalePointCode])))),1,0)</f>
        <v>0</v>
      </c>
      <c r="J263" s="57" cm="1">
        <f t="array" ref="J26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63" s="57">
        <f>IF(_xlfn.XLOOKUP(CONT_SUP[[#This Row],[PayScalePointCode]],PSPOINTS[PayScalePointCode],PSPOINTS[PayScalePointEnabled])=TRUE,0,1)</f>
        <v>0</v>
      </c>
      <c r="L263" s="57" cm="1">
        <f t="array" ref="L263">IF(_xlfn.XLOOKUP(CONT_SUP[[#This Row],[DepartmentCode]],DEPTS[DepartmentCode],DEPTS[AvailableToAllSchools],1,0,)=TRUE,0,IF(ISERROR(FIND(CONT_SUP[[#This Row],[SchoolCode]],_xlfn.TEXTJOIN(",",TRUE,_xlfn.UNIQUE(IF(DEPTS[DepartmentCode]=CONT_SUP[[#This Row],[DepartmentCode]],DEPTS[SchoolCodes],""))))),1,0))</f>
        <v>0</v>
      </c>
      <c r="M263" s="57">
        <f>IFERROR(IF(_xlfn.XLOOKUP(CONT_SUP[[#This Row],[SRG Gross]],FinanceCodesBudget[FinanceCode],FinanceCodesBudget[LedgerCode])=_xlfn.XLOOKUP(CONT_SUP[[#This Row],[DepartmentCode]],DEPTS[DepartmentCode],DEPTS[LedgerCode]),0,1),1)</f>
        <v>1</v>
      </c>
      <c r="N263" s="57" cm="1">
        <f t="array" ref="N263">IF(_xlfn.XLOOKUP(CONT_SUP[[#This Row],[PensionCode]],PENS[PensionCode],PENS[AvailableToAllSchools],1,0,)=TRUE,0,IF(ISERROR(FIND(CONT_SUP[[#This Row],[SchoolCode]],_xlfn.TEXTJOIN(",",TRUE,_xlfn.UNIQUE(IF(PENS[PensionCode]=CONT_SUP[[#This Row],[PensionCode]],PENS[SchoolCodes],""))))),1,0))</f>
        <v>0</v>
      </c>
      <c r="O263" s="57" cm="1">
        <f t="array" ref="O263">IF(_xlfn.XLOOKUP(CONT_SUP[[#This Row],[EquatedWeekPatternCode]],EQW[EquatedWeekPatternCode],EQW[AvailableToAllSchools],1,0,)=TRUE,0,IF(ISERROR(FIND(CONT_SUP[[#This Row],[SchoolCode]],_xlfn.TEXTJOIN(",",TRUE,_xlfn.UNIQUE(IF(EQW[EquatedWeekPatternCode]=CONT_SUP[[#This Row],[EquatedWeekPatternCode]],EQW[SchoolCodes],""))))),1,0))</f>
        <v>0</v>
      </c>
      <c r="P263" s="57">
        <f>1-COUNTIF(ContractTypes[Code],CONT_SUP[[#This Row],[ContractTypeCode]])</f>
        <v>0</v>
      </c>
      <c r="Q263" s="57">
        <f>IF(VLOOKUP(CONT_SUP[[#This Row],[StaffMemberCode]],MEMBERS[[StaffMemberCode]:[ServiceStartDate]],5,0)&gt;CONT_SUP[[#This Row],[DateFrom]],1,0)</f>
        <v>0</v>
      </c>
      <c r="R263" s="57">
        <f>IF(_xlfn.XLOOKUP(CONT_SUP[[#This Row],[StaffMemberCode]],MEMBERS[StaffMemberCode],MEMBERS[ServiceEndDate])="",0,IF(CONT_SUP[[#This Row],[DateTo]]="",1,IF(_xlfn.XLOOKUP(CONT_SUP[[#This Row],[StaffMemberCode]],MEMBERS[StaffMemberCode],MEMBERS[ServiceEndDate])&lt;CONT_SUP[[#This Row],[DateTo]],1,0)))</f>
        <v>0</v>
      </c>
      <c r="S263" s="57">
        <f>IF(ISBLANK(CONT_SUP[[#This Row],[DateTo]]),0,IF(CONT_SUP[[#This Row],[DateFrom]]=CONT_SUP[[#This Row],[DateTo]],0,IF(CONT_SUP[[#This Row],[DateFrom]]&lt;CONT_SUP[[#This Row],[DateTo]],0,1)))</f>
        <v>0</v>
      </c>
      <c r="T263" s="57" cm="1">
        <f t="array" aca="1" ref="T263" ca="1">IF(CELL("format",CONT_SUP[[#This Row],[DateFrom]])="D1",0,1)+IF(CELL("format",CONT_SUP[[#This Row],[DateTo]])="D1",0,1)</f>
        <v>0</v>
      </c>
      <c r="U263" s="57">
        <f>IF(OR(CONT_SUP[[#This Row],[MatEditOnly]]=TRUE,CONT_SUP[[#This Row],[MatEditOnly]]=FALSE),IF(OR(CONT_SUP[[#This Row],[NoIncrement]]=TRUE,CONT_SUP[[#This Row],[NoIncrement]]=FALSE),0,1),1)</f>
        <v>0</v>
      </c>
      <c r="V263" s="57">
        <f>IF(ISBLANK(CONT_SUP[[#This Row],[FundCode]])=TRUE,0,IF(COUNTIF(FUNDS[FundCode],CONT_SUP[[#This Row],[FundCode]])=1,0,1))</f>
        <v>0</v>
      </c>
      <c r="W263" s="57">
        <f>IF(LEN(CONT_SUP[[#This Row],[Notes]])&lt;4000,0,1)</f>
        <v>0</v>
      </c>
      <c r="X263" s="57">
        <f>IF(SUBSTITUTE(TEXT(CONT_SUP[[#This Row],[Reference]],10)," ","")=TEXT(CONT_SUP[[#This Row],[Reference]],10),0,1)</f>
        <v>0</v>
      </c>
      <c r="Y263" s="57">
        <f ca="1">SUM(CONT_SUP[[#This Row],[Duplicate Contract]:[Space in Code]])</f>
        <v>1</v>
      </c>
      <c r="AA263" s="12" t="s">
        <v>2089</v>
      </c>
      <c r="AB263" s="12">
        <v>91073655</v>
      </c>
      <c r="AC263" s="12" t="s">
        <v>4859</v>
      </c>
      <c r="AD263" s="57" t="str">
        <f>_xlfn.XLOOKUP(CONT_SUP[[#This Row],[StaffMemberCode]],StaffMembers!O:O,StaffMembers!R:R)</f>
        <v>Ruth Bugeja</v>
      </c>
      <c r="AE263" s="12" t="s">
        <v>1180</v>
      </c>
      <c r="AF263" s="57">
        <f>_xlfn.XLOOKUP(CONT_SUP[[#This Row],[SRG]],SRG[StaffRoleGroupCode],SRG[GrossSalaryFinanceCode])</f>
        <v>615100</v>
      </c>
      <c r="AG263" s="57" t="str">
        <f>_xlfn.XLOOKUP(CONT_SUP[[#This Row],[StaffRoleCode]],ROLES[StaffRoleCode],ROLES[StaffRoleGroupCode])</f>
        <v>TA</v>
      </c>
      <c r="AH263" s="57" t="str">
        <f>_xlfn.XLOOKUP(CONT_SUP[[#This Row],[StaffRoleCode]],ROLES[StaffRoleCode],ROLES[PayScaleCode])</f>
        <v>NJC_CHE</v>
      </c>
      <c r="AI263" s="12" t="s">
        <v>3123</v>
      </c>
      <c r="AJ263" s="12">
        <v>11</v>
      </c>
      <c r="AK263" s="12" t="s">
        <v>2497</v>
      </c>
      <c r="AM263" s="68" t="s">
        <v>3132</v>
      </c>
      <c r="AN263" s="12" t="s">
        <v>3135</v>
      </c>
      <c r="AO263" s="21">
        <v>45901</v>
      </c>
      <c r="AQ263" s="12">
        <v>35</v>
      </c>
      <c r="AR263" t="b">
        <v>0</v>
      </c>
      <c r="AS263" t="b">
        <v>0</v>
      </c>
      <c r="AT263" s="12" t="s">
        <v>1574</v>
      </c>
    </row>
    <row r="264" spans="1:46" x14ac:dyDescent="0.3">
      <c r="A264" s="57" t="str">
        <f t="shared" si="8"/>
        <v>AUD9107364891073648ATASTA45901</v>
      </c>
      <c r="B264" s="57">
        <f>COUNTIF(CONT_SUP[Unique Contract],CONT_SUP[[#This Row],[Unique Contract]])-1</f>
        <v>0</v>
      </c>
      <c r="C264" s="57">
        <f>IFERROR(IF(FIND(CONT_SUP[[#This Row],[SchoolCode]],_xlfn.XLOOKUP(CONT_SUP[[#This Row],[StaffMemberCode]],MEMBERS[StaffMemberCode],MEMBERS[SchoolCodes]))&gt;0,0,1),1)</f>
        <v>0</v>
      </c>
      <c r="D264" s="57" cm="1">
        <f t="array" ref="D264">IF(_xlfn.XLOOKUP(CONT_SUP[[#This Row],[StaffRoleCode]],ROLES[StaffRoleCode],ROLES[AvailableToAllSchools],1,0,)=TRUE,0,IF(ISERROR(FIND(CONT_SUP[[#This Row],[SchoolCode]],_xlfn.TEXTJOIN(",",TRUE,_xlfn.UNIQUE(IF(ROLES[StaffRoleCode]=CONT_SUP[[#This Row],[StaffRoleCode]],ROLES[SchoolCodes],""))))),1,0))</f>
        <v>0</v>
      </c>
      <c r="E264" s="57" cm="1">
        <f t="array" ref="E26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64" s="57" cm="1">
        <f t="array" ref="F264">IF(_xlfn.XLOOKUP(CONT_SUP[[#This Row],[PayScaleCode]],PAYSCALES[PayScaleCode],PAYSCALES[AvailableToAllSchools],1,0,)=TRUE,0,IF(ISERROR(FIND(CONT_SUP[[#This Row],[SchoolCode]],_xlfn.TEXTJOIN(",",TRUE,_xlfn.UNIQUE(IF(PAYSCALES[PayScaleCode]=CONT_SUP[[#This Row],[PayScaleCode]],PAYSCALES[SchoolCodes],""))))),1,0))</f>
        <v>0</v>
      </c>
      <c r="G264" s="57">
        <f>IF(_xlfn.XLOOKUP(CONT_SUP[[#This Row],[PayScaleGradeCode]],GRADES[PayScaleGradeCode],GRADES[AvailableToAllSchools])=TRUE,0,IFERROR(IF(FIND(CONT_SUP[[#This Row],[SchoolCode]],_xlfn.XLOOKUP(CONT_SUP[[#This Row],[PayScaleGradeCode]],GRADES[PayScaleGradeCode],GRADES[SchoolCodes]))&gt;=1,0,1),1))</f>
        <v>0</v>
      </c>
      <c r="H264" s="57">
        <f>IF(ISERROR(IF((_xlfn.XLOOKUP(CONT_SUP[[#This Row],[PayScaleGradeCode]],GRADES[PayScaleGradeCode],GRADES[PayScaleCode])=CONT_SUP[[#This Row],[PayScaleCode]]),0,1)),1,0)</f>
        <v>0</v>
      </c>
      <c r="I264" s="57" cm="1">
        <f t="array" ref="I264">IF(ISERROR(FIND(CONT_SUP[[#This Row],[PayScalePointCode]],_xlfn.TEXTJOIN(",",TRUE,IF(PSPOINTS[PayScaleCode]=CONT_SUP[[#This Row],[PayScaleCode]],PSPOINTS[PayScalePointCode])))),1,0)</f>
        <v>0</v>
      </c>
      <c r="J264" s="57" cm="1">
        <f t="array" ref="J26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64" s="57">
        <f>IF(_xlfn.XLOOKUP(CONT_SUP[[#This Row],[PayScalePointCode]],PSPOINTS[PayScalePointCode],PSPOINTS[PayScalePointEnabled])=TRUE,0,1)</f>
        <v>0</v>
      </c>
      <c r="L264" s="57" cm="1">
        <f t="array" ref="L264">IF(_xlfn.XLOOKUP(CONT_SUP[[#This Row],[DepartmentCode]],DEPTS[DepartmentCode],DEPTS[AvailableToAllSchools],1,0,)=TRUE,0,IF(ISERROR(FIND(CONT_SUP[[#This Row],[SchoolCode]],_xlfn.TEXTJOIN(",",TRUE,_xlfn.UNIQUE(IF(DEPTS[DepartmentCode]=CONT_SUP[[#This Row],[DepartmentCode]],DEPTS[SchoolCodes],""))))),1,0))</f>
        <v>0</v>
      </c>
      <c r="M264" s="57">
        <f>IFERROR(IF(_xlfn.XLOOKUP(CONT_SUP[[#This Row],[SRG Gross]],FinanceCodesBudget[FinanceCode],FinanceCodesBudget[LedgerCode])=_xlfn.XLOOKUP(CONT_SUP[[#This Row],[DepartmentCode]],DEPTS[DepartmentCode],DEPTS[LedgerCode]),0,1),1)</f>
        <v>1</v>
      </c>
      <c r="N264" s="57" cm="1">
        <f t="array" ref="N264">IF(_xlfn.XLOOKUP(CONT_SUP[[#This Row],[PensionCode]],PENS[PensionCode],PENS[AvailableToAllSchools],1,0,)=TRUE,0,IF(ISERROR(FIND(CONT_SUP[[#This Row],[SchoolCode]],_xlfn.TEXTJOIN(",",TRUE,_xlfn.UNIQUE(IF(PENS[PensionCode]=CONT_SUP[[#This Row],[PensionCode]],PENS[SchoolCodes],""))))),1,0))</f>
        <v>0</v>
      </c>
      <c r="O264" s="57" cm="1">
        <f t="array" ref="O264">IF(_xlfn.XLOOKUP(CONT_SUP[[#This Row],[EquatedWeekPatternCode]],EQW[EquatedWeekPatternCode],EQW[AvailableToAllSchools],1,0,)=TRUE,0,IF(ISERROR(FIND(CONT_SUP[[#This Row],[SchoolCode]],_xlfn.TEXTJOIN(",",TRUE,_xlfn.UNIQUE(IF(EQW[EquatedWeekPatternCode]=CONT_SUP[[#This Row],[EquatedWeekPatternCode]],EQW[SchoolCodes],""))))),1,0))</f>
        <v>0</v>
      </c>
      <c r="P264" s="57">
        <f>1-COUNTIF(ContractTypes[Code],CONT_SUP[[#This Row],[ContractTypeCode]])</f>
        <v>0</v>
      </c>
      <c r="Q264" s="57">
        <f>IF(VLOOKUP(CONT_SUP[[#This Row],[StaffMemberCode]],MEMBERS[[StaffMemberCode]:[ServiceStartDate]],5,0)&gt;CONT_SUP[[#This Row],[DateFrom]],1,0)</f>
        <v>0</v>
      </c>
      <c r="R264" s="57">
        <f>IF(_xlfn.XLOOKUP(CONT_SUP[[#This Row],[StaffMemberCode]],MEMBERS[StaffMemberCode],MEMBERS[ServiceEndDate])="",0,IF(CONT_SUP[[#This Row],[DateTo]]="",1,IF(_xlfn.XLOOKUP(CONT_SUP[[#This Row],[StaffMemberCode]],MEMBERS[StaffMemberCode],MEMBERS[ServiceEndDate])&lt;CONT_SUP[[#This Row],[DateTo]],1,0)))</f>
        <v>0</v>
      </c>
      <c r="S264" s="57">
        <f>IF(ISBLANK(CONT_SUP[[#This Row],[DateTo]]),0,IF(CONT_SUP[[#This Row],[DateFrom]]=CONT_SUP[[#This Row],[DateTo]],0,IF(CONT_SUP[[#This Row],[DateFrom]]&lt;CONT_SUP[[#This Row],[DateTo]],0,1)))</f>
        <v>0</v>
      </c>
      <c r="T264" s="57" cm="1">
        <f t="array" aca="1" ref="T264" ca="1">IF(CELL("format",CONT_SUP[[#This Row],[DateFrom]])="D1",0,1)+IF(CELL("format",CONT_SUP[[#This Row],[DateTo]])="D1",0,1)</f>
        <v>0</v>
      </c>
      <c r="U264" s="57">
        <f>IF(OR(CONT_SUP[[#This Row],[MatEditOnly]]=TRUE,CONT_SUP[[#This Row],[MatEditOnly]]=FALSE),IF(OR(CONT_SUP[[#This Row],[NoIncrement]]=TRUE,CONT_SUP[[#This Row],[NoIncrement]]=FALSE),0,1),1)</f>
        <v>0</v>
      </c>
      <c r="V264" s="57">
        <f>IF(ISBLANK(CONT_SUP[[#This Row],[FundCode]])=TRUE,0,IF(COUNTIF(FUNDS[FundCode],CONT_SUP[[#This Row],[FundCode]])=1,0,1))</f>
        <v>0</v>
      </c>
      <c r="W264" s="57">
        <f>IF(LEN(CONT_SUP[[#This Row],[Notes]])&lt;4000,0,1)</f>
        <v>0</v>
      </c>
      <c r="X264" s="57">
        <f>IF(SUBSTITUTE(TEXT(CONT_SUP[[#This Row],[Reference]],10)," ","")=TEXT(CONT_SUP[[#This Row],[Reference]],10),0,1)</f>
        <v>0</v>
      </c>
      <c r="Y264" s="57">
        <f ca="1">SUM(CONT_SUP[[#This Row],[Duplicate Contract]:[Space in Code]])</f>
        <v>1</v>
      </c>
      <c r="AA264" s="12" t="s">
        <v>2089</v>
      </c>
      <c r="AB264" s="12">
        <v>91073648</v>
      </c>
      <c r="AC264" s="12" t="s">
        <v>4860</v>
      </c>
      <c r="AD264" s="57" t="str">
        <f>_xlfn.XLOOKUP(CONT_SUP[[#This Row],[StaffMemberCode]],StaffMembers!O:O,StaffMembers!R:R)</f>
        <v>Sally-Ann Spooner</v>
      </c>
      <c r="AE264" s="12" t="s">
        <v>1180</v>
      </c>
      <c r="AF264" s="57">
        <f>_xlfn.XLOOKUP(CONT_SUP[[#This Row],[SRG]],SRG[StaffRoleGroupCode],SRG[GrossSalaryFinanceCode])</f>
        <v>615100</v>
      </c>
      <c r="AG264" s="57" t="str">
        <f>_xlfn.XLOOKUP(CONT_SUP[[#This Row],[StaffRoleCode]],ROLES[StaffRoleCode],ROLES[StaffRoleGroupCode])</f>
        <v>TA</v>
      </c>
      <c r="AH264" s="57" t="str">
        <f>_xlfn.XLOOKUP(CONT_SUP[[#This Row],[StaffRoleCode]],ROLES[StaffRoleCode],ROLES[PayScaleCode])</f>
        <v>NJC_CHE</v>
      </c>
      <c r="AI264" s="12" t="s">
        <v>3123</v>
      </c>
      <c r="AJ264" s="12">
        <v>11</v>
      </c>
      <c r="AK264" s="12" t="s">
        <v>2497</v>
      </c>
      <c r="AM264" s="68" t="s">
        <v>3132</v>
      </c>
      <c r="AN264" s="12" t="s">
        <v>3135</v>
      </c>
      <c r="AO264" s="21">
        <v>45901</v>
      </c>
      <c r="AQ264" s="12">
        <v>26</v>
      </c>
      <c r="AR264" t="b">
        <v>0</v>
      </c>
      <c r="AS264" t="b">
        <v>0</v>
      </c>
      <c r="AT264" s="12" t="s">
        <v>1574</v>
      </c>
    </row>
    <row r="265" spans="1:46" x14ac:dyDescent="0.3">
      <c r="A265" s="57" t="str">
        <f t="shared" si="8"/>
        <v>BLS9107351291073512ATASTA45901</v>
      </c>
      <c r="B265" s="57">
        <f>COUNTIF(CONT_SUP[Unique Contract],CONT_SUP[[#This Row],[Unique Contract]])-1</f>
        <v>0</v>
      </c>
      <c r="C265" s="57">
        <f>IFERROR(IF(FIND(CONT_SUP[[#This Row],[SchoolCode]],_xlfn.XLOOKUP(CONT_SUP[[#This Row],[StaffMemberCode]],MEMBERS[StaffMemberCode],MEMBERS[SchoolCodes]))&gt;0,0,1),1)</f>
        <v>0</v>
      </c>
      <c r="D265" s="57" cm="1">
        <f t="array" ref="D265">IF(_xlfn.XLOOKUP(CONT_SUP[[#This Row],[StaffRoleCode]],ROLES[StaffRoleCode],ROLES[AvailableToAllSchools],1,0,)=TRUE,0,IF(ISERROR(FIND(CONT_SUP[[#This Row],[SchoolCode]],_xlfn.TEXTJOIN(",",TRUE,_xlfn.UNIQUE(IF(ROLES[StaffRoleCode]=CONT_SUP[[#This Row],[StaffRoleCode]],ROLES[SchoolCodes],""))))),1,0))</f>
        <v>0</v>
      </c>
      <c r="E265" s="57" cm="1">
        <f t="array" ref="E26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65" s="57" cm="1">
        <f t="array" ref="F265">IF(_xlfn.XLOOKUP(CONT_SUP[[#This Row],[PayScaleCode]],PAYSCALES[PayScaleCode],PAYSCALES[AvailableToAllSchools],1,0,)=TRUE,0,IF(ISERROR(FIND(CONT_SUP[[#This Row],[SchoolCode]],_xlfn.TEXTJOIN(",",TRUE,_xlfn.UNIQUE(IF(PAYSCALES[PayScaleCode]=CONT_SUP[[#This Row],[PayScaleCode]],PAYSCALES[SchoolCodes],""))))),1,0))</f>
        <v>0</v>
      </c>
      <c r="G265" s="57">
        <f>IF(_xlfn.XLOOKUP(CONT_SUP[[#This Row],[PayScaleGradeCode]],GRADES[PayScaleGradeCode],GRADES[AvailableToAllSchools])=TRUE,0,IFERROR(IF(FIND(CONT_SUP[[#This Row],[SchoolCode]],_xlfn.XLOOKUP(CONT_SUP[[#This Row],[PayScaleGradeCode]],GRADES[PayScaleGradeCode],GRADES[SchoolCodes]))&gt;=1,0,1),1))</f>
        <v>0</v>
      </c>
      <c r="H265" s="57">
        <f>IF(ISERROR(IF((_xlfn.XLOOKUP(CONT_SUP[[#This Row],[PayScaleGradeCode]],GRADES[PayScaleGradeCode],GRADES[PayScaleCode])=CONT_SUP[[#This Row],[PayScaleCode]]),0,1)),1,0)</f>
        <v>0</v>
      </c>
      <c r="I265" s="57" cm="1">
        <f t="array" ref="I265">IF(ISERROR(FIND(CONT_SUP[[#This Row],[PayScalePointCode]],_xlfn.TEXTJOIN(",",TRUE,IF(PSPOINTS[PayScaleCode]=CONT_SUP[[#This Row],[PayScaleCode]],PSPOINTS[PayScalePointCode])))),1,0)</f>
        <v>0</v>
      </c>
      <c r="J265" s="57" cm="1">
        <f t="array" ref="J26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65" s="57">
        <f>IF(_xlfn.XLOOKUP(CONT_SUP[[#This Row],[PayScalePointCode]],PSPOINTS[PayScalePointCode],PSPOINTS[PayScalePointEnabled])=TRUE,0,1)</f>
        <v>0</v>
      </c>
      <c r="L265" s="57" cm="1">
        <f t="array" ref="L265">IF(_xlfn.XLOOKUP(CONT_SUP[[#This Row],[DepartmentCode]],DEPTS[DepartmentCode],DEPTS[AvailableToAllSchools],1,0,)=TRUE,0,IF(ISERROR(FIND(CONT_SUP[[#This Row],[SchoolCode]],_xlfn.TEXTJOIN(",",TRUE,_xlfn.UNIQUE(IF(DEPTS[DepartmentCode]=CONT_SUP[[#This Row],[DepartmentCode]],DEPTS[SchoolCodes],""))))),1,0))</f>
        <v>0</v>
      </c>
      <c r="M265" s="57">
        <f>IFERROR(IF(_xlfn.XLOOKUP(CONT_SUP[[#This Row],[SRG Gross]],FinanceCodesBudget[FinanceCode],FinanceCodesBudget[LedgerCode])=_xlfn.XLOOKUP(CONT_SUP[[#This Row],[DepartmentCode]],DEPTS[DepartmentCode],DEPTS[LedgerCode]),0,1),1)</f>
        <v>1</v>
      </c>
      <c r="N265" s="57" cm="1">
        <f t="array" ref="N265">IF(_xlfn.XLOOKUP(CONT_SUP[[#This Row],[PensionCode]],PENS[PensionCode],PENS[AvailableToAllSchools],1,0,)=TRUE,0,IF(ISERROR(FIND(CONT_SUP[[#This Row],[SchoolCode]],_xlfn.TEXTJOIN(",",TRUE,_xlfn.UNIQUE(IF(PENS[PensionCode]=CONT_SUP[[#This Row],[PensionCode]],PENS[SchoolCodes],""))))),1,0))</f>
        <v>0</v>
      </c>
      <c r="O265" s="57" cm="1">
        <f t="array" ref="O265">IF(_xlfn.XLOOKUP(CONT_SUP[[#This Row],[EquatedWeekPatternCode]],EQW[EquatedWeekPatternCode],EQW[AvailableToAllSchools],1,0,)=TRUE,0,IF(ISERROR(FIND(CONT_SUP[[#This Row],[SchoolCode]],_xlfn.TEXTJOIN(",",TRUE,_xlfn.UNIQUE(IF(EQW[EquatedWeekPatternCode]=CONT_SUP[[#This Row],[EquatedWeekPatternCode]],EQW[SchoolCodes],""))))),1,0))</f>
        <v>0</v>
      </c>
      <c r="P265" s="57">
        <f>1-COUNTIF(ContractTypes[Code],CONT_SUP[[#This Row],[ContractTypeCode]])</f>
        <v>0</v>
      </c>
      <c r="Q265" s="57">
        <f>IF(VLOOKUP(CONT_SUP[[#This Row],[StaffMemberCode]],MEMBERS[[StaffMemberCode]:[ServiceStartDate]],5,0)&gt;CONT_SUP[[#This Row],[DateFrom]],1,0)</f>
        <v>0</v>
      </c>
      <c r="R265" s="57">
        <f>IF(_xlfn.XLOOKUP(CONT_SUP[[#This Row],[StaffMemberCode]],MEMBERS[StaffMemberCode],MEMBERS[ServiceEndDate])="",0,IF(CONT_SUP[[#This Row],[DateTo]]="",1,IF(_xlfn.XLOOKUP(CONT_SUP[[#This Row],[StaffMemberCode]],MEMBERS[StaffMemberCode],MEMBERS[ServiceEndDate])&lt;CONT_SUP[[#This Row],[DateTo]],1,0)))</f>
        <v>0</v>
      </c>
      <c r="S265" s="57">
        <f>IF(ISBLANK(CONT_SUP[[#This Row],[DateTo]]),0,IF(CONT_SUP[[#This Row],[DateFrom]]=CONT_SUP[[#This Row],[DateTo]],0,IF(CONT_SUP[[#This Row],[DateFrom]]&lt;CONT_SUP[[#This Row],[DateTo]],0,1)))</f>
        <v>0</v>
      </c>
      <c r="T265" s="57" cm="1">
        <f t="array" aca="1" ref="T265" ca="1">IF(CELL("format",CONT_SUP[[#This Row],[DateFrom]])="D1",0,1)+IF(CELL("format",CONT_SUP[[#This Row],[DateTo]])="D1",0,1)</f>
        <v>0</v>
      </c>
      <c r="U265" s="57">
        <f>IF(OR(CONT_SUP[[#This Row],[MatEditOnly]]=TRUE,CONT_SUP[[#This Row],[MatEditOnly]]=FALSE),IF(OR(CONT_SUP[[#This Row],[NoIncrement]]=TRUE,CONT_SUP[[#This Row],[NoIncrement]]=FALSE),0,1),1)</f>
        <v>0</v>
      </c>
      <c r="V265" s="57">
        <f>IF(ISBLANK(CONT_SUP[[#This Row],[FundCode]])=TRUE,0,IF(COUNTIF(FUNDS[FundCode],CONT_SUP[[#This Row],[FundCode]])=1,0,1))</f>
        <v>0</v>
      </c>
      <c r="W265" s="57">
        <f>IF(LEN(CONT_SUP[[#This Row],[Notes]])&lt;4000,0,1)</f>
        <v>0</v>
      </c>
      <c r="X265" s="57">
        <f>IF(SUBSTITUTE(TEXT(CONT_SUP[[#This Row],[Reference]],10)," ","")=TEXT(CONT_SUP[[#This Row],[Reference]],10),0,1)</f>
        <v>0</v>
      </c>
      <c r="Y265" s="57">
        <f ca="1">SUM(CONT_SUP[[#This Row],[Duplicate Contract]:[Space in Code]])</f>
        <v>1</v>
      </c>
      <c r="AA265" s="12" t="s">
        <v>2094</v>
      </c>
      <c r="AB265" s="12">
        <v>91073512</v>
      </c>
      <c r="AC265" s="12" t="s">
        <v>4861</v>
      </c>
      <c r="AD265" s="57" t="str">
        <f>_xlfn.XLOOKUP(CONT_SUP[[#This Row],[StaffMemberCode]],StaffMembers!O:O,StaffMembers!R:R)</f>
        <v>Samantha Heaton</v>
      </c>
      <c r="AE265" s="12" t="s">
        <v>1180</v>
      </c>
      <c r="AF265" s="57">
        <f>_xlfn.XLOOKUP(CONT_SUP[[#This Row],[SRG]],SRG[StaffRoleGroupCode],SRG[GrossSalaryFinanceCode])</f>
        <v>615100</v>
      </c>
      <c r="AG265" s="57" t="str">
        <f>_xlfn.XLOOKUP(CONT_SUP[[#This Row],[StaffRoleCode]],ROLES[StaffRoleCode],ROLES[StaffRoleGroupCode])</f>
        <v>TA</v>
      </c>
      <c r="AH265" s="57" t="str">
        <f>_xlfn.XLOOKUP(CONT_SUP[[#This Row],[StaffRoleCode]],ROLES[StaffRoleCode],ROLES[PayScaleCode])</f>
        <v>NJC_CHE</v>
      </c>
      <c r="AI265" s="12" t="s">
        <v>3123</v>
      </c>
      <c r="AJ265" s="12">
        <v>8</v>
      </c>
      <c r="AK265" s="12" t="s">
        <v>2497</v>
      </c>
      <c r="AM265" s="68" t="s">
        <v>3132</v>
      </c>
      <c r="AN265" s="12" t="s">
        <v>3135</v>
      </c>
      <c r="AO265" s="21">
        <v>45901</v>
      </c>
      <c r="AQ265" s="12">
        <v>31.25</v>
      </c>
      <c r="AR265" t="b">
        <v>0</v>
      </c>
      <c r="AS265" t="b">
        <v>0</v>
      </c>
      <c r="AT265" s="12" t="s">
        <v>1574</v>
      </c>
    </row>
    <row r="266" spans="1:46" x14ac:dyDescent="0.3">
      <c r="A266" s="57" t="str">
        <f t="shared" si="8"/>
        <v>PTP9107392591073925ATASTA45901</v>
      </c>
      <c r="B266" s="57">
        <f>COUNTIF(CONT_SUP[Unique Contract],CONT_SUP[[#This Row],[Unique Contract]])-1</f>
        <v>0</v>
      </c>
      <c r="C266" s="57">
        <f>IFERROR(IF(FIND(CONT_SUP[[#This Row],[SchoolCode]],_xlfn.XLOOKUP(CONT_SUP[[#This Row],[StaffMemberCode]],MEMBERS[StaffMemberCode],MEMBERS[SchoolCodes]))&gt;0,0,1),1)</f>
        <v>0</v>
      </c>
      <c r="D266" s="57" cm="1">
        <f t="array" ref="D266">IF(_xlfn.XLOOKUP(CONT_SUP[[#This Row],[StaffRoleCode]],ROLES[StaffRoleCode],ROLES[AvailableToAllSchools],1,0,)=TRUE,0,IF(ISERROR(FIND(CONT_SUP[[#This Row],[SchoolCode]],_xlfn.TEXTJOIN(",",TRUE,_xlfn.UNIQUE(IF(ROLES[StaffRoleCode]=CONT_SUP[[#This Row],[StaffRoleCode]],ROLES[SchoolCodes],""))))),1,0))</f>
        <v>0</v>
      </c>
      <c r="E266" s="57" cm="1">
        <f t="array" ref="E26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66" s="57" cm="1">
        <f t="array" ref="F266">IF(_xlfn.XLOOKUP(CONT_SUP[[#This Row],[PayScaleCode]],PAYSCALES[PayScaleCode],PAYSCALES[AvailableToAllSchools],1,0,)=TRUE,0,IF(ISERROR(FIND(CONT_SUP[[#This Row],[SchoolCode]],_xlfn.TEXTJOIN(",",TRUE,_xlfn.UNIQUE(IF(PAYSCALES[PayScaleCode]=CONT_SUP[[#This Row],[PayScaleCode]],PAYSCALES[SchoolCodes],""))))),1,0))</f>
        <v>0</v>
      </c>
      <c r="G266" s="57">
        <f>IF(_xlfn.XLOOKUP(CONT_SUP[[#This Row],[PayScaleGradeCode]],GRADES[PayScaleGradeCode],GRADES[AvailableToAllSchools])=TRUE,0,IFERROR(IF(FIND(CONT_SUP[[#This Row],[SchoolCode]],_xlfn.XLOOKUP(CONT_SUP[[#This Row],[PayScaleGradeCode]],GRADES[PayScaleGradeCode],GRADES[SchoolCodes]))&gt;=1,0,1),1))</f>
        <v>0</v>
      </c>
      <c r="H266" s="57">
        <f>IF(ISERROR(IF((_xlfn.XLOOKUP(CONT_SUP[[#This Row],[PayScaleGradeCode]],GRADES[PayScaleGradeCode],GRADES[PayScaleCode])=CONT_SUP[[#This Row],[PayScaleCode]]),0,1)),1,0)</f>
        <v>0</v>
      </c>
      <c r="I266" s="57" cm="1">
        <f t="array" ref="I266">IF(ISERROR(FIND(CONT_SUP[[#This Row],[PayScalePointCode]],_xlfn.TEXTJOIN(",",TRUE,IF(PSPOINTS[PayScaleCode]=CONT_SUP[[#This Row],[PayScaleCode]],PSPOINTS[PayScalePointCode])))),1,0)</f>
        <v>0</v>
      </c>
      <c r="J266" s="57" cm="1">
        <f t="array" ref="J26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66" s="57">
        <f>IF(_xlfn.XLOOKUP(CONT_SUP[[#This Row],[PayScalePointCode]],PSPOINTS[PayScalePointCode],PSPOINTS[PayScalePointEnabled])=TRUE,0,1)</f>
        <v>0</v>
      </c>
      <c r="L266" s="57" cm="1">
        <f t="array" ref="L266">IF(_xlfn.XLOOKUP(CONT_SUP[[#This Row],[DepartmentCode]],DEPTS[DepartmentCode],DEPTS[AvailableToAllSchools],1,0,)=TRUE,0,IF(ISERROR(FIND(CONT_SUP[[#This Row],[SchoolCode]],_xlfn.TEXTJOIN(",",TRUE,_xlfn.UNIQUE(IF(DEPTS[DepartmentCode]=CONT_SUP[[#This Row],[DepartmentCode]],DEPTS[SchoolCodes],""))))),1,0))</f>
        <v>0</v>
      </c>
      <c r="M266" s="57">
        <f>IFERROR(IF(_xlfn.XLOOKUP(CONT_SUP[[#This Row],[SRG Gross]],FinanceCodesBudget[FinanceCode],FinanceCodesBudget[LedgerCode])=_xlfn.XLOOKUP(CONT_SUP[[#This Row],[DepartmentCode]],DEPTS[DepartmentCode],DEPTS[LedgerCode]),0,1),1)</f>
        <v>1</v>
      </c>
      <c r="N266" s="57" cm="1">
        <f t="array" ref="N266">IF(_xlfn.XLOOKUP(CONT_SUP[[#This Row],[PensionCode]],PENS[PensionCode],PENS[AvailableToAllSchools],1,0,)=TRUE,0,IF(ISERROR(FIND(CONT_SUP[[#This Row],[SchoolCode]],_xlfn.TEXTJOIN(",",TRUE,_xlfn.UNIQUE(IF(PENS[PensionCode]=CONT_SUP[[#This Row],[PensionCode]],PENS[SchoolCodes],""))))),1,0))</f>
        <v>0</v>
      </c>
      <c r="O266" s="57" cm="1">
        <f t="array" ref="O266">IF(_xlfn.XLOOKUP(CONT_SUP[[#This Row],[EquatedWeekPatternCode]],EQW[EquatedWeekPatternCode],EQW[AvailableToAllSchools],1,0,)=TRUE,0,IF(ISERROR(FIND(CONT_SUP[[#This Row],[SchoolCode]],_xlfn.TEXTJOIN(",",TRUE,_xlfn.UNIQUE(IF(EQW[EquatedWeekPatternCode]=CONT_SUP[[#This Row],[EquatedWeekPatternCode]],EQW[SchoolCodes],""))))),1,0))</f>
        <v>0</v>
      </c>
      <c r="P266" s="57">
        <f>1-COUNTIF(ContractTypes[Code],CONT_SUP[[#This Row],[ContractTypeCode]])</f>
        <v>0</v>
      </c>
      <c r="Q266" s="57">
        <f>IF(VLOOKUP(CONT_SUP[[#This Row],[StaffMemberCode]],MEMBERS[[StaffMemberCode]:[ServiceStartDate]],5,0)&gt;CONT_SUP[[#This Row],[DateFrom]],1,0)</f>
        <v>0</v>
      </c>
      <c r="R266" s="57">
        <f>IF(_xlfn.XLOOKUP(CONT_SUP[[#This Row],[StaffMemberCode]],MEMBERS[StaffMemberCode],MEMBERS[ServiceEndDate])="",0,IF(CONT_SUP[[#This Row],[DateTo]]="",1,IF(_xlfn.XLOOKUP(CONT_SUP[[#This Row],[StaffMemberCode]],MEMBERS[StaffMemberCode],MEMBERS[ServiceEndDate])&lt;CONT_SUP[[#This Row],[DateTo]],1,0)))</f>
        <v>0</v>
      </c>
      <c r="S266" s="57">
        <f>IF(ISBLANK(CONT_SUP[[#This Row],[DateTo]]),0,IF(CONT_SUP[[#This Row],[DateFrom]]=CONT_SUP[[#This Row],[DateTo]],0,IF(CONT_SUP[[#This Row],[DateFrom]]&lt;CONT_SUP[[#This Row],[DateTo]],0,1)))</f>
        <v>0</v>
      </c>
      <c r="T266" s="57" cm="1">
        <f t="array" aca="1" ref="T266" ca="1">IF(CELL("format",CONT_SUP[[#This Row],[DateFrom]])="D1",0,1)+IF(CELL("format",CONT_SUP[[#This Row],[DateTo]])="D1",0,1)</f>
        <v>0</v>
      </c>
      <c r="U266" s="57">
        <f>IF(OR(CONT_SUP[[#This Row],[MatEditOnly]]=TRUE,CONT_SUP[[#This Row],[MatEditOnly]]=FALSE),IF(OR(CONT_SUP[[#This Row],[NoIncrement]]=TRUE,CONT_SUP[[#This Row],[NoIncrement]]=FALSE),0,1),1)</f>
        <v>0</v>
      </c>
      <c r="V266" s="57">
        <f>IF(ISBLANK(CONT_SUP[[#This Row],[FundCode]])=TRUE,0,IF(COUNTIF(FUNDS[FundCode],CONT_SUP[[#This Row],[FundCode]])=1,0,1))</f>
        <v>0</v>
      </c>
      <c r="W266" s="57">
        <f>IF(LEN(CONT_SUP[[#This Row],[Notes]])&lt;4000,0,1)</f>
        <v>0</v>
      </c>
      <c r="X266" s="57">
        <f>IF(SUBSTITUTE(TEXT(CONT_SUP[[#This Row],[Reference]],10)," ","")=TEXT(CONT_SUP[[#This Row],[Reference]],10),0,1)</f>
        <v>0</v>
      </c>
      <c r="Y266" s="57">
        <f ca="1">SUM(CONT_SUP[[#This Row],[Duplicate Contract]:[Space in Code]])</f>
        <v>1</v>
      </c>
      <c r="AA266" s="12" t="s">
        <v>2299</v>
      </c>
      <c r="AB266" s="12">
        <v>91073925</v>
      </c>
      <c r="AC266" s="12" t="s">
        <v>4862</v>
      </c>
      <c r="AD266" s="57" t="str">
        <f>_xlfn.XLOOKUP(CONT_SUP[[#This Row],[StaffMemberCode]],StaffMembers!O:O,StaffMembers!R:R)</f>
        <v>Samantha Ryles</v>
      </c>
      <c r="AE266" s="12" t="s">
        <v>1180</v>
      </c>
      <c r="AF266" s="57">
        <f>_xlfn.XLOOKUP(CONT_SUP[[#This Row],[SRG]],SRG[StaffRoleGroupCode],SRG[GrossSalaryFinanceCode])</f>
        <v>615100</v>
      </c>
      <c r="AG266" s="57" t="str">
        <f>_xlfn.XLOOKUP(CONT_SUP[[#This Row],[StaffRoleCode]],ROLES[StaffRoleCode],ROLES[StaffRoleGroupCode])</f>
        <v>TA</v>
      </c>
      <c r="AH266" s="57" t="str">
        <f>_xlfn.XLOOKUP(CONT_SUP[[#This Row],[StaffRoleCode]],ROLES[StaffRoleCode],ROLES[PayScaleCode])</f>
        <v>NJC_CHE</v>
      </c>
      <c r="AI266" s="12" t="s">
        <v>3123</v>
      </c>
      <c r="AJ266" s="12">
        <v>11</v>
      </c>
      <c r="AK266" s="12" t="s">
        <v>2497</v>
      </c>
      <c r="AM266" s="68" t="s">
        <v>3132</v>
      </c>
      <c r="AN266" s="12" t="s">
        <v>3134</v>
      </c>
      <c r="AO266" s="21">
        <v>45901</v>
      </c>
      <c r="AQ266" s="12">
        <v>32.5</v>
      </c>
      <c r="AR266" t="b">
        <v>0</v>
      </c>
      <c r="AS266" t="b">
        <v>0</v>
      </c>
      <c r="AT266" s="12" t="s">
        <v>1574</v>
      </c>
    </row>
    <row r="267" spans="1:46" x14ac:dyDescent="0.3">
      <c r="A267" s="57" t="str">
        <f t="shared" si="8"/>
        <v>PTP9107392691073926ATASTA45901</v>
      </c>
      <c r="B267" s="57">
        <f>COUNTIF(CONT_SUP[Unique Contract],CONT_SUP[[#This Row],[Unique Contract]])-1</f>
        <v>0</v>
      </c>
      <c r="C267" s="57">
        <f>IFERROR(IF(FIND(CONT_SUP[[#This Row],[SchoolCode]],_xlfn.XLOOKUP(CONT_SUP[[#This Row],[StaffMemberCode]],MEMBERS[StaffMemberCode],MEMBERS[SchoolCodes]))&gt;0,0,1),1)</f>
        <v>0</v>
      </c>
      <c r="D267" s="57" cm="1">
        <f t="array" ref="D267">IF(_xlfn.XLOOKUP(CONT_SUP[[#This Row],[StaffRoleCode]],ROLES[StaffRoleCode],ROLES[AvailableToAllSchools],1,0,)=TRUE,0,IF(ISERROR(FIND(CONT_SUP[[#This Row],[SchoolCode]],_xlfn.TEXTJOIN(",",TRUE,_xlfn.UNIQUE(IF(ROLES[StaffRoleCode]=CONT_SUP[[#This Row],[StaffRoleCode]],ROLES[SchoolCodes],""))))),1,0))</f>
        <v>0</v>
      </c>
      <c r="E267" s="57" cm="1">
        <f t="array" ref="E26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67" s="57" cm="1">
        <f t="array" ref="F267">IF(_xlfn.XLOOKUP(CONT_SUP[[#This Row],[PayScaleCode]],PAYSCALES[PayScaleCode],PAYSCALES[AvailableToAllSchools],1,0,)=TRUE,0,IF(ISERROR(FIND(CONT_SUP[[#This Row],[SchoolCode]],_xlfn.TEXTJOIN(",",TRUE,_xlfn.UNIQUE(IF(PAYSCALES[PayScaleCode]=CONT_SUP[[#This Row],[PayScaleCode]],PAYSCALES[SchoolCodes],""))))),1,0))</f>
        <v>0</v>
      </c>
      <c r="G267" s="57">
        <f>IF(_xlfn.XLOOKUP(CONT_SUP[[#This Row],[PayScaleGradeCode]],GRADES[PayScaleGradeCode],GRADES[AvailableToAllSchools])=TRUE,0,IFERROR(IF(FIND(CONT_SUP[[#This Row],[SchoolCode]],_xlfn.XLOOKUP(CONT_SUP[[#This Row],[PayScaleGradeCode]],GRADES[PayScaleGradeCode],GRADES[SchoolCodes]))&gt;=1,0,1),1))</f>
        <v>0</v>
      </c>
      <c r="H267" s="57">
        <f>IF(ISERROR(IF((_xlfn.XLOOKUP(CONT_SUP[[#This Row],[PayScaleGradeCode]],GRADES[PayScaleGradeCode],GRADES[PayScaleCode])=CONT_SUP[[#This Row],[PayScaleCode]]),0,1)),1,0)</f>
        <v>0</v>
      </c>
      <c r="I267" s="57" cm="1">
        <f t="array" ref="I267">IF(ISERROR(FIND(CONT_SUP[[#This Row],[PayScalePointCode]],_xlfn.TEXTJOIN(",",TRUE,IF(PSPOINTS[PayScaleCode]=CONT_SUP[[#This Row],[PayScaleCode]],PSPOINTS[PayScalePointCode])))),1,0)</f>
        <v>0</v>
      </c>
      <c r="J267" s="57" cm="1">
        <f t="array" ref="J26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67" s="57">
        <f>IF(_xlfn.XLOOKUP(CONT_SUP[[#This Row],[PayScalePointCode]],PSPOINTS[PayScalePointCode],PSPOINTS[PayScalePointEnabled])=TRUE,0,1)</f>
        <v>0</v>
      </c>
      <c r="L267" s="57" cm="1">
        <f t="array" ref="L267">IF(_xlfn.XLOOKUP(CONT_SUP[[#This Row],[DepartmentCode]],DEPTS[DepartmentCode],DEPTS[AvailableToAllSchools],1,0,)=TRUE,0,IF(ISERROR(FIND(CONT_SUP[[#This Row],[SchoolCode]],_xlfn.TEXTJOIN(",",TRUE,_xlfn.UNIQUE(IF(DEPTS[DepartmentCode]=CONT_SUP[[#This Row],[DepartmentCode]],DEPTS[SchoolCodes],""))))),1,0))</f>
        <v>0</v>
      </c>
      <c r="M267" s="57">
        <f>IFERROR(IF(_xlfn.XLOOKUP(CONT_SUP[[#This Row],[SRG Gross]],FinanceCodesBudget[FinanceCode],FinanceCodesBudget[LedgerCode])=_xlfn.XLOOKUP(CONT_SUP[[#This Row],[DepartmentCode]],DEPTS[DepartmentCode],DEPTS[LedgerCode]),0,1),1)</f>
        <v>1</v>
      </c>
      <c r="N267" s="57" cm="1">
        <f t="array" ref="N267">IF(_xlfn.XLOOKUP(CONT_SUP[[#This Row],[PensionCode]],PENS[PensionCode],PENS[AvailableToAllSchools],1,0,)=TRUE,0,IF(ISERROR(FIND(CONT_SUP[[#This Row],[SchoolCode]],_xlfn.TEXTJOIN(",",TRUE,_xlfn.UNIQUE(IF(PENS[PensionCode]=CONT_SUP[[#This Row],[PensionCode]],PENS[SchoolCodes],""))))),1,0))</f>
        <v>0</v>
      </c>
      <c r="O267" s="57" cm="1">
        <f t="array" ref="O267">IF(_xlfn.XLOOKUP(CONT_SUP[[#This Row],[EquatedWeekPatternCode]],EQW[EquatedWeekPatternCode],EQW[AvailableToAllSchools],1,0,)=TRUE,0,IF(ISERROR(FIND(CONT_SUP[[#This Row],[SchoolCode]],_xlfn.TEXTJOIN(",",TRUE,_xlfn.UNIQUE(IF(EQW[EquatedWeekPatternCode]=CONT_SUP[[#This Row],[EquatedWeekPatternCode]],EQW[SchoolCodes],""))))),1,0))</f>
        <v>0</v>
      </c>
      <c r="P267" s="57">
        <f>1-COUNTIF(ContractTypes[Code],CONT_SUP[[#This Row],[ContractTypeCode]])</f>
        <v>0</v>
      </c>
      <c r="Q267" s="57">
        <f>IF(VLOOKUP(CONT_SUP[[#This Row],[StaffMemberCode]],MEMBERS[[StaffMemberCode]:[ServiceStartDate]],5,0)&gt;CONT_SUP[[#This Row],[DateFrom]],1,0)</f>
        <v>0</v>
      </c>
      <c r="R267" s="57">
        <f>IF(_xlfn.XLOOKUP(CONT_SUP[[#This Row],[StaffMemberCode]],MEMBERS[StaffMemberCode],MEMBERS[ServiceEndDate])="",0,IF(CONT_SUP[[#This Row],[DateTo]]="",1,IF(_xlfn.XLOOKUP(CONT_SUP[[#This Row],[StaffMemberCode]],MEMBERS[StaffMemberCode],MEMBERS[ServiceEndDate])&lt;CONT_SUP[[#This Row],[DateTo]],1,0)))</f>
        <v>0</v>
      </c>
      <c r="S267" s="57">
        <f>IF(ISBLANK(CONT_SUP[[#This Row],[DateTo]]),0,IF(CONT_SUP[[#This Row],[DateFrom]]=CONT_SUP[[#This Row],[DateTo]],0,IF(CONT_SUP[[#This Row],[DateFrom]]&lt;CONT_SUP[[#This Row],[DateTo]],0,1)))</f>
        <v>0</v>
      </c>
      <c r="T267" s="57" cm="1">
        <f t="array" aca="1" ref="T267" ca="1">IF(CELL("format",CONT_SUP[[#This Row],[DateFrom]])="D1",0,1)+IF(CELL("format",CONT_SUP[[#This Row],[DateTo]])="D1",0,1)</f>
        <v>0</v>
      </c>
      <c r="U267" s="57">
        <f>IF(OR(CONT_SUP[[#This Row],[MatEditOnly]]=TRUE,CONT_SUP[[#This Row],[MatEditOnly]]=FALSE),IF(OR(CONT_SUP[[#This Row],[NoIncrement]]=TRUE,CONT_SUP[[#This Row],[NoIncrement]]=FALSE),0,1),1)</f>
        <v>0</v>
      </c>
      <c r="V267" s="57">
        <f>IF(ISBLANK(CONT_SUP[[#This Row],[FundCode]])=TRUE,0,IF(COUNTIF(FUNDS[FundCode],CONT_SUP[[#This Row],[FundCode]])=1,0,1))</f>
        <v>0</v>
      </c>
      <c r="W267" s="57">
        <f>IF(LEN(CONT_SUP[[#This Row],[Notes]])&lt;4000,0,1)</f>
        <v>0</v>
      </c>
      <c r="X267" s="57">
        <f>IF(SUBSTITUTE(TEXT(CONT_SUP[[#This Row],[Reference]],10)," ","")=TEXT(CONT_SUP[[#This Row],[Reference]],10),0,1)</f>
        <v>0</v>
      </c>
      <c r="Y267" s="57">
        <f ca="1">SUM(CONT_SUP[[#This Row],[Duplicate Contract]:[Space in Code]])</f>
        <v>1</v>
      </c>
      <c r="AA267" s="12" t="s">
        <v>2299</v>
      </c>
      <c r="AB267" s="12">
        <v>91073926</v>
      </c>
      <c r="AC267" s="12" t="s">
        <v>4863</v>
      </c>
      <c r="AD267" s="57" t="str">
        <f>_xlfn.XLOOKUP(CONT_SUP[[#This Row],[StaffMemberCode]],StaffMembers!O:O,StaffMembers!R:R)</f>
        <v>Samudrika Costa</v>
      </c>
      <c r="AE267" s="12" t="s">
        <v>1180</v>
      </c>
      <c r="AF267" s="57">
        <f>_xlfn.XLOOKUP(CONT_SUP[[#This Row],[SRG]],SRG[StaffRoleGroupCode],SRG[GrossSalaryFinanceCode])</f>
        <v>615100</v>
      </c>
      <c r="AG267" s="57" t="str">
        <f>_xlfn.XLOOKUP(CONT_SUP[[#This Row],[StaffRoleCode]],ROLES[StaffRoleCode],ROLES[StaffRoleGroupCode])</f>
        <v>TA</v>
      </c>
      <c r="AH267" s="57" t="str">
        <f>_xlfn.XLOOKUP(CONT_SUP[[#This Row],[StaffRoleCode]],ROLES[StaffRoleCode],ROLES[PayScaleCode])</f>
        <v>NJC_CHE</v>
      </c>
      <c r="AI267" s="12" t="s">
        <v>3123</v>
      </c>
      <c r="AJ267" s="12">
        <v>8</v>
      </c>
      <c r="AK267" s="12" t="s">
        <v>2497</v>
      </c>
      <c r="AM267" s="68" t="s">
        <v>3132</v>
      </c>
      <c r="AN267" s="12" t="s">
        <v>3134</v>
      </c>
      <c r="AO267" s="21">
        <v>45901</v>
      </c>
      <c r="AQ267" s="12">
        <v>28.5</v>
      </c>
      <c r="AR267" t="b">
        <v>0</v>
      </c>
      <c r="AS267" t="b">
        <v>0</v>
      </c>
      <c r="AT267" s="12" t="s">
        <v>1574</v>
      </c>
    </row>
    <row r="268" spans="1:46" x14ac:dyDescent="0.3">
      <c r="A268" s="57" t="str">
        <f t="shared" si="8"/>
        <v>AUD9107365891073658ATASTA45901</v>
      </c>
      <c r="B268" s="57">
        <f>COUNTIF(CONT_SUP[Unique Contract],CONT_SUP[[#This Row],[Unique Contract]])-1</f>
        <v>0</v>
      </c>
      <c r="C268" s="57">
        <f>IFERROR(IF(FIND(CONT_SUP[[#This Row],[SchoolCode]],_xlfn.XLOOKUP(CONT_SUP[[#This Row],[StaffMemberCode]],MEMBERS[StaffMemberCode],MEMBERS[SchoolCodes]))&gt;0,0,1),1)</f>
        <v>0</v>
      </c>
      <c r="D268" s="57" cm="1">
        <f t="array" ref="D268">IF(_xlfn.XLOOKUP(CONT_SUP[[#This Row],[StaffRoleCode]],ROLES[StaffRoleCode],ROLES[AvailableToAllSchools],1,0,)=TRUE,0,IF(ISERROR(FIND(CONT_SUP[[#This Row],[SchoolCode]],_xlfn.TEXTJOIN(",",TRUE,_xlfn.UNIQUE(IF(ROLES[StaffRoleCode]=CONT_SUP[[#This Row],[StaffRoleCode]],ROLES[SchoolCodes],""))))),1,0))</f>
        <v>0</v>
      </c>
      <c r="E268" s="57" cm="1">
        <f t="array" ref="E26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68" s="57" cm="1">
        <f t="array" ref="F268">IF(_xlfn.XLOOKUP(CONT_SUP[[#This Row],[PayScaleCode]],PAYSCALES[PayScaleCode],PAYSCALES[AvailableToAllSchools],1,0,)=TRUE,0,IF(ISERROR(FIND(CONT_SUP[[#This Row],[SchoolCode]],_xlfn.TEXTJOIN(",",TRUE,_xlfn.UNIQUE(IF(PAYSCALES[PayScaleCode]=CONT_SUP[[#This Row],[PayScaleCode]],PAYSCALES[SchoolCodes],""))))),1,0))</f>
        <v>0</v>
      </c>
      <c r="G268" s="57">
        <f>IF(_xlfn.XLOOKUP(CONT_SUP[[#This Row],[PayScaleGradeCode]],GRADES[PayScaleGradeCode],GRADES[AvailableToAllSchools])=TRUE,0,IFERROR(IF(FIND(CONT_SUP[[#This Row],[SchoolCode]],_xlfn.XLOOKUP(CONT_SUP[[#This Row],[PayScaleGradeCode]],GRADES[PayScaleGradeCode],GRADES[SchoolCodes]))&gt;=1,0,1),1))</f>
        <v>0</v>
      </c>
      <c r="H268" s="57">
        <f>IF(ISERROR(IF((_xlfn.XLOOKUP(CONT_SUP[[#This Row],[PayScaleGradeCode]],GRADES[PayScaleGradeCode],GRADES[PayScaleCode])=CONT_SUP[[#This Row],[PayScaleCode]]),0,1)),1,0)</f>
        <v>0</v>
      </c>
      <c r="I268" s="57" cm="1">
        <f t="array" ref="I268">IF(ISERROR(FIND(CONT_SUP[[#This Row],[PayScalePointCode]],_xlfn.TEXTJOIN(",",TRUE,IF(PSPOINTS[PayScaleCode]=CONT_SUP[[#This Row],[PayScaleCode]],PSPOINTS[PayScalePointCode])))),1,0)</f>
        <v>0</v>
      </c>
      <c r="J268" s="57" cm="1">
        <f t="array" ref="J26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68" s="57">
        <f>IF(_xlfn.XLOOKUP(CONT_SUP[[#This Row],[PayScalePointCode]],PSPOINTS[PayScalePointCode],PSPOINTS[PayScalePointEnabled])=TRUE,0,1)</f>
        <v>0</v>
      </c>
      <c r="L268" s="57" cm="1">
        <f t="array" ref="L268">IF(_xlfn.XLOOKUP(CONT_SUP[[#This Row],[DepartmentCode]],DEPTS[DepartmentCode],DEPTS[AvailableToAllSchools],1,0,)=TRUE,0,IF(ISERROR(FIND(CONT_SUP[[#This Row],[SchoolCode]],_xlfn.TEXTJOIN(",",TRUE,_xlfn.UNIQUE(IF(DEPTS[DepartmentCode]=CONT_SUP[[#This Row],[DepartmentCode]],DEPTS[SchoolCodes],""))))),1,0))</f>
        <v>0</v>
      </c>
      <c r="M268" s="57">
        <f>IFERROR(IF(_xlfn.XLOOKUP(CONT_SUP[[#This Row],[SRG Gross]],FinanceCodesBudget[FinanceCode],FinanceCodesBudget[LedgerCode])=_xlfn.XLOOKUP(CONT_SUP[[#This Row],[DepartmentCode]],DEPTS[DepartmentCode],DEPTS[LedgerCode]),0,1),1)</f>
        <v>1</v>
      </c>
      <c r="N268" s="57" cm="1">
        <f t="array" ref="N268">IF(_xlfn.XLOOKUP(CONT_SUP[[#This Row],[PensionCode]],PENS[PensionCode],PENS[AvailableToAllSchools],1,0,)=TRUE,0,IF(ISERROR(FIND(CONT_SUP[[#This Row],[SchoolCode]],_xlfn.TEXTJOIN(",",TRUE,_xlfn.UNIQUE(IF(PENS[PensionCode]=CONT_SUP[[#This Row],[PensionCode]],PENS[SchoolCodes],""))))),1,0))</f>
        <v>0</v>
      </c>
      <c r="O268" s="57" cm="1">
        <f t="array" ref="O268">IF(_xlfn.XLOOKUP(CONT_SUP[[#This Row],[EquatedWeekPatternCode]],EQW[EquatedWeekPatternCode],EQW[AvailableToAllSchools],1,0,)=TRUE,0,IF(ISERROR(FIND(CONT_SUP[[#This Row],[SchoolCode]],_xlfn.TEXTJOIN(",",TRUE,_xlfn.UNIQUE(IF(EQW[EquatedWeekPatternCode]=CONT_SUP[[#This Row],[EquatedWeekPatternCode]],EQW[SchoolCodes],""))))),1,0))</f>
        <v>0</v>
      </c>
      <c r="P268" s="57">
        <f>1-COUNTIF(ContractTypes[Code],CONT_SUP[[#This Row],[ContractTypeCode]])</f>
        <v>0</v>
      </c>
      <c r="Q268" s="57">
        <f>IF(VLOOKUP(CONT_SUP[[#This Row],[StaffMemberCode]],MEMBERS[[StaffMemberCode]:[ServiceStartDate]],5,0)&gt;CONT_SUP[[#This Row],[DateFrom]],1,0)</f>
        <v>0</v>
      </c>
      <c r="R268" s="57">
        <f>IF(_xlfn.XLOOKUP(CONT_SUP[[#This Row],[StaffMemberCode]],MEMBERS[StaffMemberCode],MEMBERS[ServiceEndDate])="",0,IF(CONT_SUP[[#This Row],[DateTo]]="",1,IF(_xlfn.XLOOKUP(CONT_SUP[[#This Row],[StaffMemberCode]],MEMBERS[StaffMemberCode],MEMBERS[ServiceEndDate])&lt;CONT_SUP[[#This Row],[DateTo]],1,0)))</f>
        <v>0</v>
      </c>
      <c r="S268" s="57">
        <f>IF(ISBLANK(CONT_SUP[[#This Row],[DateTo]]),0,IF(CONT_SUP[[#This Row],[DateFrom]]=CONT_SUP[[#This Row],[DateTo]],0,IF(CONT_SUP[[#This Row],[DateFrom]]&lt;CONT_SUP[[#This Row],[DateTo]],0,1)))</f>
        <v>0</v>
      </c>
      <c r="T268" s="57" cm="1">
        <f t="array" aca="1" ref="T268" ca="1">IF(CELL("format",CONT_SUP[[#This Row],[DateFrom]])="D1",0,1)+IF(CELL("format",CONT_SUP[[#This Row],[DateTo]])="D1",0,1)</f>
        <v>0</v>
      </c>
      <c r="U268" s="57">
        <f>IF(OR(CONT_SUP[[#This Row],[MatEditOnly]]=TRUE,CONT_SUP[[#This Row],[MatEditOnly]]=FALSE),IF(OR(CONT_SUP[[#This Row],[NoIncrement]]=TRUE,CONT_SUP[[#This Row],[NoIncrement]]=FALSE),0,1),1)</f>
        <v>0</v>
      </c>
      <c r="V268" s="57">
        <f>IF(ISBLANK(CONT_SUP[[#This Row],[FundCode]])=TRUE,0,IF(COUNTIF(FUNDS[FundCode],CONT_SUP[[#This Row],[FundCode]])=1,0,1))</f>
        <v>0</v>
      </c>
      <c r="W268" s="57">
        <f>IF(LEN(CONT_SUP[[#This Row],[Notes]])&lt;4000,0,1)</f>
        <v>0</v>
      </c>
      <c r="X268" s="57">
        <f>IF(SUBSTITUTE(TEXT(CONT_SUP[[#This Row],[Reference]],10)," ","")=TEXT(CONT_SUP[[#This Row],[Reference]],10),0,1)</f>
        <v>0</v>
      </c>
      <c r="Y268" s="57">
        <f ca="1">SUM(CONT_SUP[[#This Row],[Duplicate Contract]:[Space in Code]])</f>
        <v>1</v>
      </c>
      <c r="AA268" s="12" t="s">
        <v>2089</v>
      </c>
      <c r="AB268" s="12">
        <v>91073658</v>
      </c>
      <c r="AC268" s="12" t="s">
        <v>4864</v>
      </c>
      <c r="AD268" s="57" t="str">
        <f>_xlfn.XLOOKUP(CONT_SUP[[#This Row],[StaffMemberCode]],StaffMembers!O:O,StaffMembers!R:R)</f>
        <v>Sarah Jane Ayers</v>
      </c>
      <c r="AE268" s="12" t="s">
        <v>1180</v>
      </c>
      <c r="AF268" s="57">
        <f>_xlfn.XLOOKUP(CONT_SUP[[#This Row],[SRG]],SRG[StaffRoleGroupCode],SRG[GrossSalaryFinanceCode])</f>
        <v>615100</v>
      </c>
      <c r="AG268" s="57" t="str">
        <f>_xlfn.XLOOKUP(CONT_SUP[[#This Row],[StaffRoleCode]],ROLES[StaffRoleCode],ROLES[StaffRoleGroupCode])</f>
        <v>TA</v>
      </c>
      <c r="AH268" s="57" t="str">
        <f>_xlfn.XLOOKUP(CONT_SUP[[#This Row],[StaffRoleCode]],ROLES[StaffRoleCode],ROLES[PayScaleCode])</f>
        <v>NJC_CHE</v>
      </c>
      <c r="AI268" s="12" t="s">
        <v>3123</v>
      </c>
      <c r="AJ268" s="12">
        <v>9</v>
      </c>
      <c r="AK268" s="12" t="s">
        <v>2497</v>
      </c>
      <c r="AM268" s="68" t="s">
        <v>3132</v>
      </c>
      <c r="AN268" s="12" t="s">
        <v>3135</v>
      </c>
      <c r="AO268" s="21">
        <v>45901</v>
      </c>
      <c r="AQ268" s="12">
        <v>35</v>
      </c>
      <c r="AR268" t="b">
        <v>0</v>
      </c>
      <c r="AS268" t="b">
        <v>0</v>
      </c>
      <c r="AT268" s="12" t="s">
        <v>1574</v>
      </c>
    </row>
    <row r="269" spans="1:46" x14ac:dyDescent="0.3">
      <c r="A269" s="57" t="str">
        <f t="shared" si="8"/>
        <v>AUD9107366391073663ATASTA45901</v>
      </c>
      <c r="B269" s="57">
        <f>COUNTIF(CONT_SUP[Unique Contract],CONT_SUP[[#This Row],[Unique Contract]])-1</f>
        <v>0</v>
      </c>
      <c r="C269" s="57">
        <f>IFERROR(IF(FIND(CONT_SUP[[#This Row],[SchoolCode]],_xlfn.XLOOKUP(CONT_SUP[[#This Row],[StaffMemberCode]],MEMBERS[StaffMemberCode],MEMBERS[SchoolCodes]))&gt;0,0,1),1)</f>
        <v>0</v>
      </c>
      <c r="D269" s="57" cm="1">
        <f t="array" ref="D269">IF(_xlfn.XLOOKUP(CONT_SUP[[#This Row],[StaffRoleCode]],ROLES[StaffRoleCode],ROLES[AvailableToAllSchools],1,0,)=TRUE,0,IF(ISERROR(FIND(CONT_SUP[[#This Row],[SchoolCode]],_xlfn.TEXTJOIN(",",TRUE,_xlfn.UNIQUE(IF(ROLES[StaffRoleCode]=CONT_SUP[[#This Row],[StaffRoleCode]],ROLES[SchoolCodes],""))))),1,0))</f>
        <v>0</v>
      </c>
      <c r="E269" s="57" cm="1">
        <f t="array" ref="E26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69" s="57" cm="1">
        <f t="array" ref="F269">IF(_xlfn.XLOOKUP(CONT_SUP[[#This Row],[PayScaleCode]],PAYSCALES[PayScaleCode],PAYSCALES[AvailableToAllSchools],1,0,)=TRUE,0,IF(ISERROR(FIND(CONT_SUP[[#This Row],[SchoolCode]],_xlfn.TEXTJOIN(",",TRUE,_xlfn.UNIQUE(IF(PAYSCALES[PayScaleCode]=CONT_SUP[[#This Row],[PayScaleCode]],PAYSCALES[SchoolCodes],""))))),1,0))</f>
        <v>0</v>
      </c>
      <c r="G269" s="57">
        <f>IF(_xlfn.XLOOKUP(CONT_SUP[[#This Row],[PayScaleGradeCode]],GRADES[PayScaleGradeCode],GRADES[AvailableToAllSchools])=TRUE,0,IFERROR(IF(FIND(CONT_SUP[[#This Row],[SchoolCode]],_xlfn.XLOOKUP(CONT_SUP[[#This Row],[PayScaleGradeCode]],GRADES[PayScaleGradeCode],GRADES[SchoolCodes]))&gt;=1,0,1),1))</f>
        <v>0</v>
      </c>
      <c r="H269" s="57">
        <f>IF(ISERROR(IF((_xlfn.XLOOKUP(CONT_SUP[[#This Row],[PayScaleGradeCode]],GRADES[PayScaleGradeCode],GRADES[PayScaleCode])=CONT_SUP[[#This Row],[PayScaleCode]]),0,1)),1,0)</f>
        <v>0</v>
      </c>
      <c r="I269" s="57" cm="1">
        <f t="array" ref="I269">IF(ISERROR(FIND(CONT_SUP[[#This Row],[PayScalePointCode]],_xlfn.TEXTJOIN(",",TRUE,IF(PSPOINTS[PayScaleCode]=CONT_SUP[[#This Row],[PayScaleCode]],PSPOINTS[PayScalePointCode])))),1,0)</f>
        <v>0</v>
      </c>
      <c r="J269" s="57" cm="1">
        <f t="array" ref="J26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69" s="57">
        <f>IF(_xlfn.XLOOKUP(CONT_SUP[[#This Row],[PayScalePointCode]],PSPOINTS[PayScalePointCode],PSPOINTS[PayScalePointEnabled])=TRUE,0,1)</f>
        <v>0</v>
      </c>
      <c r="L269" s="57" cm="1">
        <f t="array" ref="L269">IF(_xlfn.XLOOKUP(CONT_SUP[[#This Row],[DepartmentCode]],DEPTS[DepartmentCode],DEPTS[AvailableToAllSchools],1,0,)=TRUE,0,IF(ISERROR(FIND(CONT_SUP[[#This Row],[SchoolCode]],_xlfn.TEXTJOIN(",",TRUE,_xlfn.UNIQUE(IF(DEPTS[DepartmentCode]=CONT_SUP[[#This Row],[DepartmentCode]],DEPTS[SchoolCodes],""))))),1,0))</f>
        <v>0</v>
      </c>
      <c r="M269" s="57">
        <f>IFERROR(IF(_xlfn.XLOOKUP(CONT_SUP[[#This Row],[SRG Gross]],FinanceCodesBudget[FinanceCode],FinanceCodesBudget[LedgerCode])=_xlfn.XLOOKUP(CONT_SUP[[#This Row],[DepartmentCode]],DEPTS[DepartmentCode],DEPTS[LedgerCode]),0,1),1)</f>
        <v>1</v>
      </c>
      <c r="N269" s="57" cm="1">
        <f t="array" ref="N269">IF(_xlfn.XLOOKUP(CONT_SUP[[#This Row],[PensionCode]],PENS[PensionCode],PENS[AvailableToAllSchools],1,0,)=TRUE,0,IF(ISERROR(FIND(CONT_SUP[[#This Row],[SchoolCode]],_xlfn.TEXTJOIN(",",TRUE,_xlfn.UNIQUE(IF(PENS[PensionCode]=CONT_SUP[[#This Row],[PensionCode]],PENS[SchoolCodes],""))))),1,0))</f>
        <v>0</v>
      </c>
      <c r="O269" s="57" cm="1">
        <f t="array" ref="O269">IF(_xlfn.XLOOKUP(CONT_SUP[[#This Row],[EquatedWeekPatternCode]],EQW[EquatedWeekPatternCode],EQW[AvailableToAllSchools],1,0,)=TRUE,0,IF(ISERROR(FIND(CONT_SUP[[#This Row],[SchoolCode]],_xlfn.TEXTJOIN(",",TRUE,_xlfn.UNIQUE(IF(EQW[EquatedWeekPatternCode]=CONT_SUP[[#This Row],[EquatedWeekPatternCode]],EQW[SchoolCodes],""))))),1,0))</f>
        <v>0</v>
      </c>
      <c r="P269" s="57">
        <f>1-COUNTIF(ContractTypes[Code],CONT_SUP[[#This Row],[ContractTypeCode]])</f>
        <v>0</v>
      </c>
      <c r="Q269" s="57">
        <f>IF(VLOOKUP(CONT_SUP[[#This Row],[StaffMemberCode]],MEMBERS[[StaffMemberCode]:[ServiceStartDate]],5,0)&gt;CONT_SUP[[#This Row],[DateFrom]],1,0)</f>
        <v>0</v>
      </c>
      <c r="R269" s="57">
        <f>IF(_xlfn.XLOOKUP(CONT_SUP[[#This Row],[StaffMemberCode]],MEMBERS[StaffMemberCode],MEMBERS[ServiceEndDate])="",0,IF(CONT_SUP[[#This Row],[DateTo]]="",1,IF(_xlfn.XLOOKUP(CONT_SUP[[#This Row],[StaffMemberCode]],MEMBERS[StaffMemberCode],MEMBERS[ServiceEndDate])&lt;CONT_SUP[[#This Row],[DateTo]],1,0)))</f>
        <v>0</v>
      </c>
      <c r="S269" s="57">
        <f>IF(ISBLANK(CONT_SUP[[#This Row],[DateTo]]),0,IF(CONT_SUP[[#This Row],[DateFrom]]=CONT_SUP[[#This Row],[DateTo]],0,IF(CONT_SUP[[#This Row],[DateFrom]]&lt;CONT_SUP[[#This Row],[DateTo]],0,1)))</f>
        <v>0</v>
      </c>
      <c r="T269" s="57" cm="1">
        <f t="array" aca="1" ref="T269" ca="1">IF(CELL("format",CONT_SUP[[#This Row],[DateFrom]])="D1",0,1)+IF(CELL("format",CONT_SUP[[#This Row],[DateTo]])="D1",0,1)</f>
        <v>0</v>
      </c>
      <c r="U269" s="57">
        <f>IF(OR(CONT_SUP[[#This Row],[MatEditOnly]]=TRUE,CONT_SUP[[#This Row],[MatEditOnly]]=FALSE),IF(OR(CONT_SUP[[#This Row],[NoIncrement]]=TRUE,CONT_SUP[[#This Row],[NoIncrement]]=FALSE),0,1),1)</f>
        <v>0</v>
      </c>
      <c r="V269" s="57">
        <f>IF(ISBLANK(CONT_SUP[[#This Row],[FundCode]])=TRUE,0,IF(COUNTIF(FUNDS[FundCode],CONT_SUP[[#This Row],[FundCode]])=1,0,1))</f>
        <v>0</v>
      </c>
      <c r="W269" s="57">
        <f>IF(LEN(CONT_SUP[[#This Row],[Notes]])&lt;4000,0,1)</f>
        <v>0</v>
      </c>
      <c r="X269" s="57">
        <f>IF(SUBSTITUTE(TEXT(CONT_SUP[[#This Row],[Reference]],10)," ","")=TEXT(CONT_SUP[[#This Row],[Reference]],10),0,1)</f>
        <v>0</v>
      </c>
      <c r="Y269" s="57">
        <f ca="1">SUM(CONT_SUP[[#This Row],[Duplicate Contract]:[Space in Code]])</f>
        <v>1</v>
      </c>
      <c r="AA269" s="12" t="s">
        <v>2089</v>
      </c>
      <c r="AB269" s="12">
        <v>91073663</v>
      </c>
      <c r="AC269" s="12" t="s">
        <v>4865</v>
      </c>
      <c r="AD269" s="57" t="str">
        <f>_xlfn.XLOOKUP(CONT_SUP[[#This Row],[StaffMemberCode]],StaffMembers!O:O,StaffMembers!R:R)</f>
        <v>Sara-Jayne Nixon</v>
      </c>
      <c r="AE269" s="12" t="s">
        <v>1180</v>
      </c>
      <c r="AF269" s="57">
        <f>_xlfn.XLOOKUP(CONT_SUP[[#This Row],[SRG]],SRG[StaffRoleGroupCode],SRG[GrossSalaryFinanceCode])</f>
        <v>615100</v>
      </c>
      <c r="AG269" s="57" t="str">
        <f>_xlfn.XLOOKUP(CONT_SUP[[#This Row],[StaffRoleCode]],ROLES[StaffRoleCode],ROLES[StaffRoleGroupCode])</f>
        <v>TA</v>
      </c>
      <c r="AH269" s="57" t="str">
        <f>_xlfn.XLOOKUP(CONT_SUP[[#This Row],[StaffRoleCode]],ROLES[StaffRoleCode],ROLES[PayScaleCode])</f>
        <v>NJC_CHE</v>
      </c>
      <c r="AI269" s="12" t="s">
        <v>3123</v>
      </c>
      <c r="AJ269" s="12">
        <v>7</v>
      </c>
      <c r="AK269" s="12" t="s">
        <v>2497</v>
      </c>
      <c r="AM269" s="68" t="s">
        <v>3132</v>
      </c>
      <c r="AN269" s="12" t="s">
        <v>3135</v>
      </c>
      <c r="AO269" s="21">
        <v>45901</v>
      </c>
      <c r="AQ269" s="12">
        <v>32.5</v>
      </c>
      <c r="AR269" t="b">
        <v>0</v>
      </c>
      <c r="AS269" t="b">
        <v>0</v>
      </c>
      <c r="AT269" s="12" t="s">
        <v>1574</v>
      </c>
    </row>
    <row r="270" spans="1:46" x14ac:dyDescent="0.3">
      <c r="A270" s="57" t="str">
        <f t="shared" si="8"/>
        <v>BLS9107343591073435ATASTA45901</v>
      </c>
      <c r="B270" s="57">
        <f>COUNTIF(CONT_SUP[Unique Contract],CONT_SUP[[#This Row],[Unique Contract]])-1</f>
        <v>0</v>
      </c>
      <c r="C270" s="57">
        <f>IFERROR(IF(FIND(CONT_SUP[[#This Row],[SchoolCode]],_xlfn.XLOOKUP(CONT_SUP[[#This Row],[StaffMemberCode]],MEMBERS[StaffMemberCode],MEMBERS[SchoolCodes]))&gt;0,0,1),1)</f>
        <v>0</v>
      </c>
      <c r="D270" s="57" cm="1">
        <f t="array" ref="D270">IF(_xlfn.XLOOKUP(CONT_SUP[[#This Row],[StaffRoleCode]],ROLES[StaffRoleCode],ROLES[AvailableToAllSchools],1,0,)=TRUE,0,IF(ISERROR(FIND(CONT_SUP[[#This Row],[SchoolCode]],_xlfn.TEXTJOIN(",",TRUE,_xlfn.UNIQUE(IF(ROLES[StaffRoleCode]=CONT_SUP[[#This Row],[StaffRoleCode]],ROLES[SchoolCodes],""))))),1,0))</f>
        <v>0</v>
      </c>
      <c r="E270" s="57" cm="1">
        <f t="array" ref="E27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70" s="57" cm="1">
        <f t="array" ref="F270">IF(_xlfn.XLOOKUP(CONT_SUP[[#This Row],[PayScaleCode]],PAYSCALES[PayScaleCode],PAYSCALES[AvailableToAllSchools],1,0,)=TRUE,0,IF(ISERROR(FIND(CONT_SUP[[#This Row],[SchoolCode]],_xlfn.TEXTJOIN(",",TRUE,_xlfn.UNIQUE(IF(PAYSCALES[PayScaleCode]=CONT_SUP[[#This Row],[PayScaleCode]],PAYSCALES[SchoolCodes],""))))),1,0))</f>
        <v>0</v>
      </c>
      <c r="G270" s="57">
        <f>IF(_xlfn.XLOOKUP(CONT_SUP[[#This Row],[PayScaleGradeCode]],GRADES[PayScaleGradeCode],GRADES[AvailableToAllSchools])=TRUE,0,IFERROR(IF(FIND(CONT_SUP[[#This Row],[SchoolCode]],_xlfn.XLOOKUP(CONT_SUP[[#This Row],[PayScaleGradeCode]],GRADES[PayScaleGradeCode],GRADES[SchoolCodes]))&gt;=1,0,1),1))</f>
        <v>0</v>
      </c>
      <c r="H270" s="57">
        <f>IF(ISERROR(IF((_xlfn.XLOOKUP(CONT_SUP[[#This Row],[PayScaleGradeCode]],GRADES[PayScaleGradeCode],GRADES[PayScaleCode])=CONT_SUP[[#This Row],[PayScaleCode]]),0,1)),1,0)</f>
        <v>0</v>
      </c>
      <c r="I270" s="57" cm="1">
        <f t="array" ref="I270">IF(ISERROR(FIND(CONT_SUP[[#This Row],[PayScalePointCode]],_xlfn.TEXTJOIN(",",TRUE,IF(PSPOINTS[PayScaleCode]=CONT_SUP[[#This Row],[PayScaleCode]],PSPOINTS[PayScalePointCode])))),1,0)</f>
        <v>0</v>
      </c>
      <c r="J270" s="57" cm="1">
        <f t="array" ref="J27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70" s="57">
        <f>IF(_xlfn.XLOOKUP(CONT_SUP[[#This Row],[PayScalePointCode]],PSPOINTS[PayScalePointCode],PSPOINTS[PayScalePointEnabled])=TRUE,0,1)</f>
        <v>0</v>
      </c>
      <c r="L270" s="57" cm="1">
        <f t="array" ref="L270">IF(_xlfn.XLOOKUP(CONT_SUP[[#This Row],[DepartmentCode]],DEPTS[DepartmentCode],DEPTS[AvailableToAllSchools],1,0,)=TRUE,0,IF(ISERROR(FIND(CONT_SUP[[#This Row],[SchoolCode]],_xlfn.TEXTJOIN(",",TRUE,_xlfn.UNIQUE(IF(DEPTS[DepartmentCode]=CONT_SUP[[#This Row],[DepartmentCode]],DEPTS[SchoolCodes],""))))),1,0))</f>
        <v>0</v>
      </c>
      <c r="M270" s="57">
        <f>IFERROR(IF(_xlfn.XLOOKUP(CONT_SUP[[#This Row],[SRG Gross]],FinanceCodesBudget[FinanceCode],FinanceCodesBudget[LedgerCode])=_xlfn.XLOOKUP(CONT_SUP[[#This Row],[DepartmentCode]],DEPTS[DepartmentCode],DEPTS[LedgerCode]),0,1),1)</f>
        <v>1</v>
      </c>
      <c r="N270" s="57" cm="1">
        <f t="array" ref="N270">IF(_xlfn.XLOOKUP(CONT_SUP[[#This Row],[PensionCode]],PENS[PensionCode],PENS[AvailableToAllSchools],1,0,)=TRUE,0,IF(ISERROR(FIND(CONT_SUP[[#This Row],[SchoolCode]],_xlfn.TEXTJOIN(",",TRUE,_xlfn.UNIQUE(IF(PENS[PensionCode]=CONT_SUP[[#This Row],[PensionCode]],PENS[SchoolCodes],""))))),1,0))</f>
        <v>0</v>
      </c>
      <c r="O270" s="57" cm="1">
        <f t="array" ref="O270">IF(_xlfn.XLOOKUP(CONT_SUP[[#This Row],[EquatedWeekPatternCode]],EQW[EquatedWeekPatternCode],EQW[AvailableToAllSchools],1,0,)=TRUE,0,IF(ISERROR(FIND(CONT_SUP[[#This Row],[SchoolCode]],_xlfn.TEXTJOIN(",",TRUE,_xlfn.UNIQUE(IF(EQW[EquatedWeekPatternCode]=CONT_SUP[[#This Row],[EquatedWeekPatternCode]],EQW[SchoolCodes],""))))),1,0))</f>
        <v>0</v>
      </c>
      <c r="P270" s="57">
        <f>1-COUNTIF(ContractTypes[Code],CONT_SUP[[#This Row],[ContractTypeCode]])</f>
        <v>0</v>
      </c>
      <c r="Q270" s="57">
        <f>IF(VLOOKUP(CONT_SUP[[#This Row],[StaffMemberCode]],MEMBERS[[StaffMemberCode]:[ServiceStartDate]],5,0)&gt;CONT_SUP[[#This Row],[DateFrom]],1,0)</f>
        <v>0</v>
      </c>
      <c r="R270" s="57">
        <f>IF(_xlfn.XLOOKUP(CONT_SUP[[#This Row],[StaffMemberCode]],MEMBERS[StaffMemberCode],MEMBERS[ServiceEndDate])="",0,IF(CONT_SUP[[#This Row],[DateTo]]="",1,IF(_xlfn.XLOOKUP(CONT_SUP[[#This Row],[StaffMemberCode]],MEMBERS[StaffMemberCode],MEMBERS[ServiceEndDate])&lt;CONT_SUP[[#This Row],[DateTo]],1,0)))</f>
        <v>0</v>
      </c>
      <c r="S270" s="57">
        <f>IF(ISBLANK(CONT_SUP[[#This Row],[DateTo]]),0,IF(CONT_SUP[[#This Row],[DateFrom]]=CONT_SUP[[#This Row],[DateTo]],0,IF(CONT_SUP[[#This Row],[DateFrom]]&lt;CONT_SUP[[#This Row],[DateTo]],0,1)))</f>
        <v>0</v>
      </c>
      <c r="T270" s="57" cm="1">
        <f t="array" aca="1" ref="T270" ca="1">IF(CELL("format",CONT_SUP[[#This Row],[DateFrom]])="D1",0,1)+IF(CELL("format",CONT_SUP[[#This Row],[DateTo]])="D1",0,1)</f>
        <v>0</v>
      </c>
      <c r="U270" s="57">
        <f>IF(OR(CONT_SUP[[#This Row],[MatEditOnly]]=TRUE,CONT_SUP[[#This Row],[MatEditOnly]]=FALSE),IF(OR(CONT_SUP[[#This Row],[NoIncrement]]=TRUE,CONT_SUP[[#This Row],[NoIncrement]]=FALSE),0,1),1)</f>
        <v>0</v>
      </c>
      <c r="V270" s="57">
        <f>IF(ISBLANK(CONT_SUP[[#This Row],[FundCode]])=TRUE,0,IF(COUNTIF(FUNDS[FundCode],CONT_SUP[[#This Row],[FundCode]])=1,0,1))</f>
        <v>0</v>
      </c>
      <c r="W270" s="57">
        <f>IF(LEN(CONT_SUP[[#This Row],[Notes]])&lt;4000,0,1)</f>
        <v>0</v>
      </c>
      <c r="X270" s="57">
        <f>IF(SUBSTITUTE(TEXT(CONT_SUP[[#This Row],[Reference]],10)," ","")=TEXT(CONT_SUP[[#This Row],[Reference]],10),0,1)</f>
        <v>0</v>
      </c>
      <c r="Y270" s="57">
        <f ca="1">SUM(CONT_SUP[[#This Row],[Duplicate Contract]:[Space in Code]])</f>
        <v>1</v>
      </c>
      <c r="AA270" s="12" t="s">
        <v>2094</v>
      </c>
      <c r="AB270" s="12">
        <v>91073435</v>
      </c>
      <c r="AC270" s="12" t="s">
        <v>4866</v>
      </c>
      <c r="AD270" s="57" t="str">
        <f>_xlfn.XLOOKUP(CONT_SUP[[#This Row],[StaffMemberCode]],StaffMembers!O:O,StaffMembers!R:R)</f>
        <v>Sophie Willis</v>
      </c>
      <c r="AE270" s="12" t="s">
        <v>1180</v>
      </c>
      <c r="AF270" s="57">
        <f>_xlfn.XLOOKUP(CONT_SUP[[#This Row],[SRG]],SRG[StaffRoleGroupCode],SRG[GrossSalaryFinanceCode])</f>
        <v>615100</v>
      </c>
      <c r="AG270" s="57" t="str">
        <f>_xlfn.XLOOKUP(CONT_SUP[[#This Row],[StaffRoleCode]],ROLES[StaffRoleCode],ROLES[StaffRoleGroupCode])</f>
        <v>TA</v>
      </c>
      <c r="AH270" s="57" t="str">
        <f>_xlfn.XLOOKUP(CONT_SUP[[#This Row],[StaffRoleCode]],ROLES[StaffRoleCode],ROLES[PayScaleCode])</f>
        <v>NJC_CHE</v>
      </c>
      <c r="AI270" s="12" t="s">
        <v>3123</v>
      </c>
      <c r="AJ270" s="12">
        <v>8</v>
      </c>
      <c r="AK270" s="12" t="s">
        <v>2497</v>
      </c>
      <c r="AM270" s="68" t="s">
        <v>3132</v>
      </c>
      <c r="AN270" s="12" t="s">
        <v>3134</v>
      </c>
      <c r="AO270" s="21">
        <v>45901</v>
      </c>
      <c r="AQ270" s="12">
        <v>31.25</v>
      </c>
      <c r="AR270" t="b">
        <v>0</v>
      </c>
      <c r="AS270" t="b">
        <v>0</v>
      </c>
      <c r="AT270" s="12" t="s">
        <v>1574</v>
      </c>
    </row>
    <row r="271" spans="1:46" x14ac:dyDescent="0.3">
      <c r="A271" s="57" t="str">
        <f t="shared" si="8"/>
        <v>SBL9107575591075755CTASTA45901</v>
      </c>
      <c r="B271" s="57">
        <f>COUNTIF(CONT_SUP[Unique Contract],CONT_SUP[[#This Row],[Unique Contract]])-1</f>
        <v>0</v>
      </c>
      <c r="C271" s="57">
        <f>IFERROR(IF(FIND(CONT_SUP[[#This Row],[SchoolCode]],_xlfn.XLOOKUP(CONT_SUP[[#This Row],[StaffMemberCode]],MEMBERS[StaffMemberCode],MEMBERS[SchoolCodes]))&gt;0,0,1),1)</f>
        <v>0</v>
      </c>
      <c r="D271" s="57" cm="1">
        <f t="array" ref="D271">IF(_xlfn.XLOOKUP(CONT_SUP[[#This Row],[StaffRoleCode]],ROLES[StaffRoleCode],ROLES[AvailableToAllSchools],1,0,)=TRUE,0,IF(ISERROR(FIND(CONT_SUP[[#This Row],[SchoolCode]],_xlfn.TEXTJOIN(",",TRUE,_xlfn.UNIQUE(IF(ROLES[StaffRoleCode]=CONT_SUP[[#This Row],[StaffRoleCode]],ROLES[SchoolCodes],""))))),1,0))</f>
        <v>0</v>
      </c>
      <c r="E271" s="57" cm="1">
        <f t="array" ref="E27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71" s="57" cm="1">
        <f t="array" ref="F271">IF(_xlfn.XLOOKUP(CONT_SUP[[#This Row],[PayScaleCode]],PAYSCALES[PayScaleCode],PAYSCALES[AvailableToAllSchools],1,0,)=TRUE,0,IF(ISERROR(FIND(CONT_SUP[[#This Row],[SchoolCode]],_xlfn.TEXTJOIN(",",TRUE,_xlfn.UNIQUE(IF(PAYSCALES[PayScaleCode]=CONT_SUP[[#This Row],[PayScaleCode]],PAYSCALES[SchoolCodes],""))))),1,0))</f>
        <v>0</v>
      </c>
      <c r="G271" s="57">
        <f>IF(_xlfn.XLOOKUP(CONT_SUP[[#This Row],[PayScaleGradeCode]],GRADES[PayScaleGradeCode],GRADES[AvailableToAllSchools])=TRUE,0,IFERROR(IF(FIND(CONT_SUP[[#This Row],[SchoolCode]],_xlfn.XLOOKUP(CONT_SUP[[#This Row],[PayScaleGradeCode]],GRADES[PayScaleGradeCode],GRADES[SchoolCodes]))&gt;=1,0,1),1))</f>
        <v>0</v>
      </c>
      <c r="H271" s="57">
        <f>IF(ISERROR(IF((_xlfn.XLOOKUP(CONT_SUP[[#This Row],[PayScaleGradeCode]],GRADES[PayScaleGradeCode],GRADES[PayScaleCode])=CONT_SUP[[#This Row],[PayScaleCode]]),0,1)),1,0)</f>
        <v>0</v>
      </c>
      <c r="I271" s="57" cm="1">
        <f t="array" ref="I271">IF(ISERROR(FIND(CONT_SUP[[#This Row],[PayScalePointCode]],_xlfn.TEXTJOIN(",",TRUE,IF(PSPOINTS[PayScaleCode]=CONT_SUP[[#This Row],[PayScaleCode]],PSPOINTS[PayScalePointCode])))),1,0)</f>
        <v>0</v>
      </c>
      <c r="J271" s="57" cm="1">
        <f t="array" ref="J27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71" s="57">
        <f>IF(_xlfn.XLOOKUP(CONT_SUP[[#This Row],[PayScalePointCode]],PSPOINTS[PayScalePointCode],PSPOINTS[PayScalePointEnabled])=TRUE,0,1)</f>
        <v>0</v>
      </c>
      <c r="L271" s="57" cm="1">
        <f t="array" ref="L271">IF(_xlfn.XLOOKUP(CONT_SUP[[#This Row],[DepartmentCode]],DEPTS[DepartmentCode],DEPTS[AvailableToAllSchools],1,0,)=TRUE,0,IF(ISERROR(FIND(CONT_SUP[[#This Row],[SchoolCode]],_xlfn.TEXTJOIN(",",TRUE,_xlfn.UNIQUE(IF(DEPTS[DepartmentCode]=CONT_SUP[[#This Row],[DepartmentCode]],DEPTS[SchoolCodes],""))))),1,0))</f>
        <v>0</v>
      </c>
      <c r="M271" s="57">
        <f>IFERROR(IF(_xlfn.XLOOKUP(CONT_SUP[[#This Row],[SRG Gross]],FinanceCodesBudget[FinanceCode],FinanceCodesBudget[LedgerCode])=_xlfn.XLOOKUP(CONT_SUP[[#This Row],[DepartmentCode]],DEPTS[DepartmentCode],DEPTS[LedgerCode]),0,1),1)</f>
        <v>1</v>
      </c>
      <c r="N271" s="57" cm="1">
        <f t="array" ref="N271">IF(_xlfn.XLOOKUP(CONT_SUP[[#This Row],[PensionCode]],PENS[PensionCode],PENS[AvailableToAllSchools],1,0,)=TRUE,0,IF(ISERROR(FIND(CONT_SUP[[#This Row],[SchoolCode]],_xlfn.TEXTJOIN(",",TRUE,_xlfn.UNIQUE(IF(PENS[PensionCode]=CONT_SUP[[#This Row],[PensionCode]],PENS[SchoolCodes],""))))),1,0))</f>
        <v>0</v>
      </c>
      <c r="O271" s="57" cm="1">
        <f t="array" ref="O271">IF(_xlfn.XLOOKUP(CONT_SUP[[#This Row],[EquatedWeekPatternCode]],EQW[EquatedWeekPatternCode],EQW[AvailableToAllSchools],1,0,)=TRUE,0,IF(ISERROR(FIND(CONT_SUP[[#This Row],[SchoolCode]],_xlfn.TEXTJOIN(",",TRUE,_xlfn.UNIQUE(IF(EQW[EquatedWeekPatternCode]=CONT_SUP[[#This Row],[EquatedWeekPatternCode]],EQW[SchoolCodes],""))))),1,0))</f>
        <v>0</v>
      </c>
      <c r="P271" s="57">
        <f>1-COUNTIF(ContractTypes[Code],CONT_SUP[[#This Row],[ContractTypeCode]])</f>
        <v>0</v>
      </c>
      <c r="Q271" s="57">
        <f>IF(VLOOKUP(CONT_SUP[[#This Row],[StaffMemberCode]],MEMBERS[[StaffMemberCode]:[ServiceStartDate]],5,0)&gt;CONT_SUP[[#This Row],[DateFrom]],1,0)</f>
        <v>0</v>
      </c>
      <c r="R271" s="57">
        <f>IF(_xlfn.XLOOKUP(CONT_SUP[[#This Row],[StaffMemberCode]],MEMBERS[StaffMemberCode],MEMBERS[ServiceEndDate])="",0,IF(CONT_SUP[[#This Row],[DateTo]]="",1,IF(_xlfn.XLOOKUP(CONT_SUP[[#This Row],[StaffMemberCode]],MEMBERS[StaffMemberCode],MEMBERS[ServiceEndDate])&lt;CONT_SUP[[#This Row],[DateTo]],1,0)))</f>
        <v>0</v>
      </c>
      <c r="S271" s="57">
        <f>IF(ISBLANK(CONT_SUP[[#This Row],[DateTo]]),0,IF(CONT_SUP[[#This Row],[DateFrom]]=CONT_SUP[[#This Row],[DateTo]],0,IF(CONT_SUP[[#This Row],[DateFrom]]&lt;CONT_SUP[[#This Row],[DateTo]],0,1)))</f>
        <v>0</v>
      </c>
      <c r="T271" s="57" cm="1">
        <f t="array" aca="1" ref="T271" ca="1">IF(CELL("format",CONT_SUP[[#This Row],[DateFrom]])="D1",0,1)+IF(CELL("format",CONT_SUP[[#This Row],[DateTo]])="D1",0,1)</f>
        <v>0</v>
      </c>
      <c r="U271" s="57">
        <f>IF(OR(CONT_SUP[[#This Row],[MatEditOnly]]=TRUE,CONT_SUP[[#This Row],[MatEditOnly]]=FALSE),IF(OR(CONT_SUP[[#This Row],[NoIncrement]]=TRUE,CONT_SUP[[#This Row],[NoIncrement]]=FALSE),0,1),1)</f>
        <v>0</v>
      </c>
      <c r="V271" s="57">
        <f>IF(ISBLANK(CONT_SUP[[#This Row],[FundCode]])=TRUE,0,IF(COUNTIF(FUNDS[FundCode],CONT_SUP[[#This Row],[FundCode]])=1,0,1))</f>
        <v>0</v>
      </c>
      <c r="W271" s="57">
        <f>IF(LEN(CONT_SUP[[#This Row],[Notes]])&lt;4000,0,1)</f>
        <v>0</v>
      </c>
      <c r="X271" s="57">
        <f>IF(SUBSTITUTE(TEXT(CONT_SUP[[#This Row],[Reference]],10)," ","")=TEXT(CONT_SUP[[#This Row],[Reference]],10),0,1)</f>
        <v>0</v>
      </c>
      <c r="Y271" s="57">
        <f ca="1">SUM(CONT_SUP[[#This Row],[Duplicate Contract]:[Space in Code]])</f>
        <v>1</v>
      </c>
      <c r="AA271" s="12" t="s">
        <v>2200</v>
      </c>
      <c r="AB271" s="12">
        <v>91075755</v>
      </c>
      <c r="AC271" s="12" t="s">
        <v>4867</v>
      </c>
      <c r="AD271" s="57" t="str">
        <f>_xlfn.XLOOKUP(CONT_SUP[[#This Row],[StaffMemberCode]],StaffMembers!O:O,StaffMembers!R:R)</f>
        <v>Stephanie Davidson</v>
      </c>
      <c r="AE271" s="12" t="s">
        <v>1180</v>
      </c>
      <c r="AF271" s="57">
        <f>_xlfn.XLOOKUP(CONT_SUP[[#This Row],[SRG]],SRG[StaffRoleGroupCode],SRG[GrossSalaryFinanceCode])</f>
        <v>615100</v>
      </c>
      <c r="AG271" s="57" t="str">
        <f>_xlfn.XLOOKUP(CONT_SUP[[#This Row],[StaffRoleCode]],ROLES[StaffRoleCode],ROLES[StaffRoleGroupCode])</f>
        <v>TA</v>
      </c>
      <c r="AH271" s="57" t="str">
        <f>_xlfn.XLOOKUP(CONT_SUP[[#This Row],[StaffRoleCode]],ROLES[StaffRoleCode],ROLES[PayScaleCode])</f>
        <v>NJC_CHE</v>
      </c>
      <c r="AI271" s="12" t="s">
        <v>3122</v>
      </c>
      <c r="AJ271" s="12">
        <v>6</v>
      </c>
      <c r="AK271" s="12" t="s">
        <v>2497</v>
      </c>
      <c r="AM271" s="68" t="s">
        <v>3132</v>
      </c>
      <c r="AN271" s="12" t="s">
        <v>3134</v>
      </c>
      <c r="AO271" s="21">
        <v>45901</v>
      </c>
      <c r="AQ271" s="12">
        <v>16.5</v>
      </c>
      <c r="AR271" t="b">
        <v>0</v>
      </c>
      <c r="AS271" t="b">
        <v>0</v>
      </c>
      <c r="AT271" s="12" t="s">
        <v>1574</v>
      </c>
    </row>
    <row r="272" spans="1:46" x14ac:dyDescent="0.3">
      <c r="A272" s="57" t="str">
        <f t="shared" si="8"/>
        <v>PTP9107392791073927ATASTA45901</v>
      </c>
      <c r="B272" s="57">
        <f>COUNTIF(CONT_SUP[Unique Contract],CONT_SUP[[#This Row],[Unique Contract]])-1</f>
        <v>0</v>
      </c>
      <c r="C272" s="57">
        <f>IFERROR(IF(FIND(CONT_SUP[[#This Row],[SchoolCode]],_xlfn.XLOOKUP(CONT_SUP[[#This Row],[StaffMemberCode]],MEMBERS[StaffMemberCode],MEMBERS[SchoolCodes]))&gt;0,0,1),1)</f>
        <v>0</v>
      </c>
      <c r="D272" s="57" cm="1">
        <f t="array" ref="D272">IF(_xlfn.XLOOKUP(CONT_SUP[[#This Row],[StaffRoleCode]],ROLES[StaffRoleCode],ROLES[AvailableToAllSchools],1,0,)=TRUE,0,IF(ISERROR(FIND(CONT_SUP[[#This Row],[SchoolCode]],_xlfn.TEXTJOIN(",",TRUE,_xlfn.UNIQUE(IF(ROLES[StaffRoleCode]=CONT_SUP[[#This Row],[StaffRoleCode]],ROLES[SchoolCodes],""))))),1,0))</f>
        <v>0</v>
      </c>
      <c r="E272" s="57" cm="1">
        <f t="array" ref="E27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72" s="57" cm="1">
        <f t="array" ref="F272">IF(_xlfn.XLOOKUP(CONT_SUP[[#This Row],[PayScaleCode]],PAYSCALES[PayScaleCode],PAYSCALES[AvailableToAllSchools],1,0,)=TRUE,0,IF(ISERROR(FIND(CONT_SUP[[#This Row],[SchoolCode]],_xlfn.TEXTJOIN(",",TRUE,_xlfn.UNIQUE(IF(PAYSCALES[PayScaleCode]=CONT_SUP[[#This Row],[PayScaleCode]],PAYSCALES[SchoolCodes],""))))),1,0))</f>
        <v>0</v>
      </c>
      <c r="G272" s="57">
        <f>IF(_xlfn.XLOOKUP(CONT_SUP[[#This Row],[PayScaleGradeCode]],GRADES[PayScaleGradeCode],GRADES[AvailableToAllSchools])=TRUE,0,IFERROR(IF(FIND(CONT_SUP[[#This Row],[SchoolCode]],_xlfn.XLOOKUP(CONT_SUP[[#This Row],[PayScaleGradeCode]],GRADES[PayScaleGradeCode],GRADES[SchoolCodes]))&gt;=1,0,1),1))</f>
        <v>0</v>
      </c>
      <c r="H272" s="57">
        <f>IF(ISERROR(IF((_xlfn.XLOOKUP(CONT_SUP[[#This Row],[PayScaleGradeCode]],GRADES[PayScaleGradeCode],GRADES[PayScaleCode])=CONT_SUP[[#This Row],[PayScaleCode]]),0,1)),1,0)</f>
        <v>0</v>
      </c>
      <c r="I272" s="57" cm="1">
        <f t="array" ref="I272">IF(ISERROR(FIND(CONT_SUP[[#This Row],[PayScalePointCode]],_xlfn.TEXTJOIN(",",TRUE,IF(PSPOINTS[PayScaleCode]=CONT_SUP[[#This Row],[PayScaleCode]],PSPOINTS[PayScalePointCode])))),1,0)</f>
        <v>0</v>
      </c>
      <c r="J272" s="57" cm="1">
        <f t="array" ref="J27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72" s="57">
        <f>IF(_xlfn.XLOOKUP(CONT_SUP[[#This Row],[PayScalePointCode]],PSPOINTS[PayScalePointCode],PSPOINTS[PayScalePointEnabled])=TRUE,0,1)</f>
        <v>0</v>
      </c>
      <c r="L272" s="57" cm="1">
        <f t="array" ref="L272">IF(_xlfn.XLOOKUP(CONT_SUP[[#This Row],[DepartmentCode]],DEPTS[DepartmentCode],DEPTS[AvailableToAllSchools],1,0,)=TRUE,0,IF(ISERROR(FIND(CONT_SUP[[#This Row],[SchoolCode]],_xlfn.TEXTJOIN(",",TRUE,_xlfn.UNIQUE(IF(DEPTS[DepartmentCode]=CONT_SUP[[#This Row],[DepartmentCode]],DEPTS[SchoolCodes],""))))),1,0))</f>
        <v>0</v>
      </c>
      <c r="M272" s="57">
        <f>IFERROR(IF(_xlfn.XLOOKUP(CONT_SUP[[#This Row],[SRG Gross]],FinanceCodesBudget[FinanceCode],FinanceCodesBudget[LedgerCode])=_xlfn.XLOOKUP(CONT_SUP[[#This Row],[DepartmentCode]],DEPTS[DepartmentCode],DEPTS[LedgerCode]),0,1),1)</f>
        <v>1</v>
      </c>
      <c r="N272" s="57" cm="1">
        <f t="array" ref="N272">IF(_xlfn.XLOOKUP(CONT_SUP[[#This Row],[PensionCode]],PENS[PensionCode],PENS[AvailableToAllSchools],1,0,)=TRUE,0,IF(ISERROR(FIND(CONT_SUP[[#This Row],[SchoolCode]],_xlfn.TEXTJOIN(",",TRUE,_xlfn.UNIQUE(IF(PENS[PensionCode]=CONT_SUP[[#This Row],[PensionCode]],PENS[SchoolCodes],""))))),1,0))</f>
        <v>0</v>
      </c>
      <c r="O272" s="57" cm="1">
        <f t="array" ref="O272">IF(_xlfn.XLOOKUP(CONT_SUP[[#This Row],[EquatedWeekPatternCode]],EQW[EquatedWeekPatternCode],EQW[AvailableToAllSchools],1,0,)=TRUE,0,IF(ISERROR(FIND(CONT_SUP[[#This Row],[SchoolCode]],_xlfn.TEXTJOIN(",",TRUE,_xlfn.UNIQUE(IF(EQW[EquatedWeekPatternCode]=CONT_SUP[[#This Row],[EquatedWeekPatternCode]],EQW[SchoolCodes],""))))),1,0))</f>
        <v>0</v>
      </c>
      <c r="P272" s="57">
        <f>1-COUNTIF(ContractTypes[Code],CONT_SUP[[#This Row],[ContractTypeCode]])</f>
        <v>0</v>
      </c>
      <c r="Q272" s="57">
        <f>IF(VLOOKUP(CONT_SUP[[#This Row],[StaffMemberCode]],MEMBERS[[StaffMemberCode]:[ServiceStartDate]],5,0)&gt;CONT_SUP[[#This Row],[DateFrom]],1,0)</f>
        <v>0</v>
      </c>
      <c r="R272" s="57">
        <f>IF(_xlfn.XLOOKUP(CONT_SUP[[#This Row],[StaffMemberCode]],MEMBERS[StaffMemberCode],MEMBERS[ServiceEndDate])="",0,IF(CONT_SUP[[#This Row],[DateTo]]="",1,IF(_xlfn.XLOOKUP(CONT_SUP[[#This Row],[StaffMemberCode]],MEMBERS[StaffMemberCode],MEMBERS[ServiceEndDate])&lt;CONT_SUP[[#This Row],[DateTo]],1,0)))</f>
        <v>0</v>
      </c>
      <c r="S272" s="57">
        <f>IF(ISBLANK(CONT_SUP[[#This Row],[DateTo]]),0,IF(CONT_SUP[[#This Row],[DateFrom]]=CONT_SUP[[#This Row],[DateTo]],0,IF(CONT_SUP[[#This Row],[DateFrom]]&lt;CONT_SUP[[#This Row],[DateTo]],0,1)))</f>
        <v>0</v>
      </c>
      <c r="T272" s="57" cm="1">
        <f t="array" aca="1" ref="T272" ca="1">IF(CELL("format",CONT_SUP[[#This Row],[DateFrom]])="D1",0,1)+IF(CELL("format",CONT_SUP[[#This Row],[DateTo]])="D1",0,1)</f>
        <v>0</v>
      </c>
      <c r="U272" s="57">
        <f>IF(OR(CONT_SUP[[#This Row],[MatEditOnly]]=TRUE,CONT_SUP[[#This Row],[MatEditOnly]]=FALSE),IF(OR(CONT_SUP[[#This Row],[NoIncrement]]=TRUE,CONT_SUP[[#This Row],[NoIncrement]]=FALSE),0,1),1)</f>
        <v>0</v>
      </c>
      <c r="V272" s="57">
        <f>IF(ISBLANK(CONT_SUP[[#This Row],[FundCode]])=TRUE,0,IF(COUNTIF(FUNDS[FundCode],CONT_SUP[[#This Row],[FundCode]])=1,0,1))</f>
        <v>0</v>
      </c>
      <c r="W272" s="57">
        <f>IF(LEN(CONT_SUP[[#This Row],[Notes]])&lt;4000,0,1)</f>
        <v>0</v>
      </c>
      <c r="X272" s="57">
        <f>IF(SUBSTITUTE(TEXT(CONT_SUP[[#This Row],[Reference]],10)," ","")=TEXT(CONT_SUP[[#This Row],[Reference]],10),0,1)</f>
        <v>0</v>
      </c>
      <c r="Y272" s="57">
        <f ca="1">SUM(CONT_SUP[[#This Row],[Duplicate Contract]:[Space in Code]])</f>
        <v>1</v>
      </c>
      <c r="AA272" s="12" t="s">
        <v>2299</v>
      </c>
      <c r="AB272" s="12">
        <v>91073927</v>
      </c>
      <c r="AC272" s="12" t="s">
        <v>4868</v>
      </c>
      <c r="AD272" s="57" t="str">
        <f>_xlfn.XLOOKUP(CONT_SUP[[#This Row],[StaffMemberCode]],StaffMembers!O:O,StaffMembers!R:R)</f>
        <v>Suzanne Boughey</v>
      </c>
      <c r="AE272" s="12" t="s">
        <v>1180</v>
      </c>
      <c r="AF272" s="57">
        <f>_xlfn.XLOOKUP(CONT_SUP[[#This Row],[SRG]],SRG[StaffRoleGroupCode],SRG[GrossSalaryFinanceCode])</f>
        <v>615100</v>
      </c>
      <c r="AG272" s="57" t="str">
        <f>_xlfn.XLOOKUP(CONT_SUP[[#This Row],[StaffRoleCode]],ROLES[StaffRoleCode],ROLES[StaffRoleGroupCode])</f>
        <v>TA</v>
      </c>
      <c r="AH272" s="57" t="str">
        <f>_xlfn.XLOOKUP(CONT_SUP[[#This Row],[StaffRoleCode]],ROLES[StaffRoleCode],ROLES[PayScaleCode])</f>
        <v>NJC_CHE</v>
      </c>
      <c r="AI272" s="12" t="s">
        <v>3123</v>
      </c>
      <c r="AJ272" s="12">
        <v>11</v>
      </c>
      <c r="AK272" s="12" t="s">
        <v>2497</v>
      </c>
      <c r="AM272" s="68" t="s">
        <v>3132</v>
      </c>
      <c r="AN272" s="12" t="s">
        <v>3134</v>
      </c>
      <c r="AO272" s="21">
        <v>45901</v>
      </c>
      <c r="AQ272" s="12">
        <v>25</v>
      </c>
      <c r="AR272" t="b">
        <v>0</v>
      </c>
      <c r="AS272" t="b">
        <v>0</v>
      </c>
      <c r="AT272" s="12" t="s">
        <v>1574</v>
      </c>
    </row>
    <row r="273" spans="1:46" x14ac:dyDescent="0.3">
      <c r="A273" s="57" t="str">
        <f t="shared" si="8"/>
        <v>PTP9107392991073929ATASTA45901</v>
      </c>
      <c r="B273" s="57">
        <f>COUNTIF(CONT_SUP[Unique Contract],CONT_SUP[[#This Row],[Unique Contract]])-1</f>
        <v>0</v>
      </c>
      <c r="C273" s="57">
        <f>IFERROR(IF(FIND(CONT_SUP[[#This Row],[SchoolCode]],_xlfn.XLOOKUP(CONT_SUP[[#This Row],[StaffMemberCode]],MEMBERS[StaffMemberCode],MEMBERS[SchoolCodes]))&gt;0,0,1),1)</f>
        <v>0</v>
      </c>
      <c r="D273" s="57" cm="1">
        <f t="array" ref="D273">IF(_xlfn.XLOOKUP(CONT_SUP[[#This Row],[StaffRoleCode]],ROLES[StaffRoleCode],ROLES[AvailableToAllSchools],1,0,)=TRUE,0,IF(ISERROR(FIND(CONT_SUP[[#This Row],[SchoolCode]],_xlfn.TEXTJOIN(",",TRUE,_xlfn.UNIQUE(IF(ROLES[StaffRoleCode]=CONT_SUP[[#This Row],[StaffRoleCode]],ROLES[SchoolCodes],""))))),1,0))</f>
        <v>0</v>
      </c>
      <c r="E273" s="57" cm="1">
        <f t="array" ref="E27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73" s="57" cm="1">
        <f t="array" ref="F273">IF(_xlfn.XLOOKUP(CONT_SUP[[#This Row],[PayScaleCode]],PAYSCALES[PayScaleCode],PAYSCALES[AvailableToAllSchools],1,0,)=TRUE,0,IF(ISERROR(FIND(CONT_SUP[[#This Row],[SchoolCode]],_xlfn.TEXTJOIN(",",TRUE,_xlfn.UNIQUE(IF(PAYSCALES[PayScaleCode]=CONT_SUP[[#This Row],[PayScaleCode]],PAYSCALES[SchoolCodes],""))))),1,0))</f>
        <v>0</v>
      </c>
      <c r="G273" s="57">
        <f>IF(_xlfn.XLOOKUP(CONT_SUP[[#This Row],[PayScaleGradeCode]],GRADES[PayScaleGradeCode],GRADES[AvailableToAllSchools])=TRUE,0,IFERROR(IF(FIND(CONT_SUP[[#This Row],[SchoolCode]],_xlfn.XLOOKUP(CONT_SUP[[#This Row],[PayScaleGradeCode]],GRADES[PayScaleGradeCode],GRADES[SchoolCodes]))&gt;=1,0,1),1))</f>
        <v>0</v>
      </c>
      <c r="H273" s="57">
        <f>IF(ISERROR(IF((_xlfn.XLOOKUP(CONT_SUP[[#This Row],[PayScaleGradeCode]],GRADES[PayScaleGradeCode],GRADES[PayScaleCode])=CONT_SUP[[#This Row],[PayScaleCode]]),0,1)),1,0)</f>
        <v>0</v>
      </c>
      <c r="I273" s="57" cm="1">
        <f t="array" ref="I273">IF(ISERROR(FIND(CONT_SUP[[#This Row],[PayScalePointCode]],_xlfn.TEXTJOIN(",",TRUE,IF(PSPOINTS[PayScaleCode]=CONT_SUP[[#This Row],[PayScaleCode]],PSPOINTS[PayScalePointCode])))),1,0)</f>
        <v>0</v>
      </c>
      <c r="J273" s="57" cm="1">
        <f t="array" ref="J27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73" s="57">
        <f>IF(_xlfn.XLOOKUP(CONT_SUP[[#This Row],[PayScalePointCode]],PSPOINTS[PayScalePointCode],PSPOINTS[PayScalePointEnabled])=TRUE,0,1)</f>
        <v>0</v>
      </c>
      <c r="L273" s="57" cm="1">
        <f t="array" ref="L273">IF(_xlfn.XLOOKUP(CONT_SUP[[#This Row],[DepartmentCode]],DEPTS[DepartmentCode],DEPTS[AvailableToAllSchools],1,0,)=TRUE,0,IF(ISERROR(FIND(CONT_SUP[[#This Row],[SchoolCode]],_xlfn.TEXTJOIN(",",TRUE,_xlfn.UNIQUE(IF(DEPTS[DepartmentCode]=CONT_SUP[[#This Row],[DepartmentCode]],DEPTS[SchoolCodes],""))))),1,0))</f>
        <v>0</v>
      </c>
      <c r="M273" s="57">
        <f>IFERROR(IF(_xlfn.XLOOKUP(CONT_SUP[[#This Row],[SRG Gross]],FinanceCodesBudget[FinanceCode],FinanceCodesBudget[LedgerCode])=_xlfn.XLOOKUP(CONT_SUP[[#This Row],[DepartmentCode]],DEPTS[DepartmentCode],DEPTS[LedgerCode]),0,1),1)</f>
        <v>1</v>
      </c>
      <c r="N273" s="57" cm="1">
        <f t="array" ref="N273">IF(_xlfn.XLOOKUP(CONT_SUP[[#This Row],[PensionCode]],PENS[PensionCode],PENS[AvailableToAllSchools],1,0,)=TRUE,0,IF(ISERROR(FIND(CONT_SUP[[#This Row],[SchoolCode]],_xlfn.TEXTJOIN(",",TRUE,_xlfn.UNIQUE(IF(PENS[PensionCode]=CONT_SUP[[#This Row],[PensionCode]],PENS[SchoolCodes],""))))),1,0))</f>
        <v>0</v>
      </c>
      <c r="O273" s="57" cm="1">
        <f t="array" ref="O273">IF(_xlfn.XLOOKUP(CONT_SUP[[#This Row],[EquatedWeekPatternCode]],EQW[EquatedWeekPatternCode],EQW[AvailableToAllSchools],1,0,)=TRUE,0,IF(ISERROR(FIND(CONT_SUP[[#This Row],[SchoolCode]],_xlfn.TEXTJOIN(",",TRUE,_xlfn.UNIQUE(IF(EQW[EquatedWeekPatternCode]=CONT_SUP[[#This Row],[EquatedWeekPatternCode]],EQW[SchoolCodes],""))))),1,0))</f>
        <v>0</v>
      </c>
      <c r="P273" s="57">
        <f>1-COUNTIF(ContractTypes[Code],CONT_SUP[[#This Row],[ContractTypeCode]])</f>
        <v>0</v>
      </c>
      <c r="Q273" s="57">
        <f>IF(VLOOKUP(CONT_SUP[[#This Row],[StaffMemberCode]],MEMBERS[[StaffMemberCode]:[ServiceStartDate]],5,0)&gt;CONT_SUP[[#This Row],[DateFrom]],1,0)</f>
        <v>0</v>
      </c>
      <c r="R273" s="57">
        <f>IF(_xlfn.XLOOKUP(CONT_SUP[[#This Row],[StaffMemberCode]],MEMBERS[StaffMemberCode],MEMBERS[ServiceEndDate])="",0,IF(CONT_SUP[[#This Row],[DateTo]]="",1,IF(_xlfn.XLOOKUP(CONT_SUP[[#This Row],[StaffMemberCode]],MEMBERS[StaffMemberCode],MEMBERS[ServiceEndDate])&lt;CONT_SUP[[#This Row],[DateTo]],1,0)))</f>
        <v>0</v>
      </c>
      <c r="S273" s="57">
        <f>IF(ISBLANK(CONT_SUP[[#This Row],[DateTo]]),0,IF(CONT_SUP[[#This Row],[DateFrom]]=CONT_SUP[[#This Row],[DateTo]],0,IF(CONT_SUP[[#This Row],[DateFrom]]&lt;CONT_SUP[[#This Row],[DateTo]],0,1)))</f>
        <v>0</v>
      </c>
      <c r="T273" s="57" cm="1">
        <f t="array" aca="1" ref="T273" ca="1">IF(CELL("format",CONT_SUP[[#This Row],[DateFrom]])="D1",0,1)+IF(CELL("format",CONT_SUP[[#This Row],[DateTo]])="D1",0,1)</f>
        <v>0</v>
      </c>
      <c r="U273" s="57">
        <f>IF(OR(CONT_SUP[[#This Row],[MatEditOnly]]=TRUE,CONT_SUP[[#This Row],[MatEditOnly]]=FALSE),IF(OR(CONT_SUP[[#This Row],[NoIncrement]]=TRUE,CONT_SUP[[#This Row],[NoIncrement]]=FALSE),0,1),1)</f>
        <v>0</v>
      </c>
      <c r="V273" s="57">
        <f>IF(ISBLANK(CONT_SUP[[#This Row],[FundCode]])=TRUE,0,IF(COUNTIF(FUNDS[FundCode],CONT_SUP[[#This Row],[FundCode]])=1,0,1))</f>
        <v>0</v>
      </c>
      <c r="W273" s="57">
        <f>IF(LEN(CONT_SUP[[#This Row],[Notes]])&lt;4000,0,1)</f>
        <v>0</v>
      </c>
      <c r="X273" s="57">
        <f>IF(SUBSTITUTE(TEXT(CONT_SUP[[#This Row],[Reference]],10)," ","")=TEXT(CONT_SUP[[#This Row],[Reference]],10),0,1)</f>
        <v>0</v>
      </c>
      <c r="Y273" s="57">
        <f ca="1">SUM(CONT_SUP[[#This Row],[Duplicate Contract]:[Space in Code]])</f>
        <v>1</v>
      </c>
      <c r="AA273" s="12" t="s">
        <v>2299</v>
      </c>
      <c r="AB273" s="12">
        <v>91073929</v>
      </c>
      <c r="AC273" s="12" t="s">
        <v>4869</v>
      </c>
      <c r="AD273" s="57" t="str">
        <f>_xlfn.XLOOKUP(CONT_SUP[[#This Row],[StaffMemberCode]],StaffMembers!O:O,StaffMembers!R:R)</f>
        <v>Tracey Sketchley</v>
      </c>
      <c r="AE273" s="12" t="s">
        <v>1180</v>
      </c>
      <c r="AF273" s="57">
        <f>_xlfn.XLOOKUP(CONT_SUP[[#This Row],[SRG]],SRG[StaffRoleGroupCode],SRG[GrossSalaryFinanceCode])</f>
        <v>615100</v>
      </c>
      <c r="AG273" s="57" t="str">
        <f>_xlfn.XLOOKUP(CONT_SUP[[#This Row],[StaffRoleCode]],ROLES[StaffRoleCode],ROLES[StaffRoleGroupCode])</f>
        <v>TA</v>
      </c>
      <c r="AH273" s="57" t="str">
        <f>_xlfn.XLOOKUP(CONT_SUP[[#This Row],[StaffRoleCode]],ROLES[StaffRoleCode],ROLES[PayScaleCode])</f>
        <v>NJC_CHE</v>
      </c>
      <c r="AI273" s="12" t="s">
        <v>3123</v>
      </c>
      <c r="AJ273" s="12">
        <v>11</v>
      </c>
      <c r="AK273" s="12" t="s">
        <v>2497</v>
      </c>
      <c r="AM273" s="68" t="s">
        <v>3132</v>
      </c>
      <c r="AN273" s="12" t="s">
        <v>3134</v>
      </c>
      <c r="AO273" s="21">
        <v>45901</v>
      </c>
      <c r="AQ273" s="12">
        <v>32</v>
      </c>
      <c r="AR273" t="b">
        <v>0</v>
      </c>
      <c r="AS273" t="b">
        <v>0</v>
      </c>
      <c r="AT273" s="12" t="s">
        <v>1574</v>
      </c>
    </row>
    <row r="274" spans="1:46" x14ac:dyDescent="0.3">
      <c r="A274" s="57" t="str">
        <f t="shared" si="8"/>
        <v>BLS9107361991073619CTASTA45901</v>
      </c>
      <c r="B274" s="57">
        <f>COUNTIF(CONT_SUP[Unique Contract],CONT_SUP[[#This Row],[Unique Contract]])-1</f>
        <v>0</v>
      </c>
      <c r="C274" s="57">
        <f>IFERROR(IF(FIND(CONT_SUP[[#This Row],[SchoolCode]],_xlfn.XLOOKUP(CONT_SUP[[#This Row],[StaffMemberCode]],MEMBERS[StaffMemberCode],MEMBERS[SchoolCodes]))&gt;0,0,1),1)</f>
        <v>0</v>
      </c>
      <c r="D274" s="57" cm="1">
        <f t="array" ref="D274">IF(_xlfn.XLOOKUP(CONT_SUP[[#This Row],[StaffRoleCode]],ROLES[StaffRoleCode],ROLES[AvailableToAllSchools],1,0,)=TRUE,0,IF(ISERROR(FIND(CONT_SUP[[#This Row],[SchoolCode]],_xlfn.TEXTJOIN(",",TRUE,_xlfn.UNIQUE(IF(ROLES[StaffRoleCode]=CONT_SUP[[#This Row],[StaffRoleCode]],ROLES[SchoolCodes],""))))),1,0))</f>
        <v>0</v>
      </c>
      <c r="E274" s="57" cm="1">
        <f t="array" ref="E27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74" s="57" cm="1">
        <f t="array" ref="F274">IF(_xlfn.XLOOKUP(CONT_SUP[[#This Row],[PayScaleCode]],PAYSCALES[PayScaleCode],PAYSCALES[AvailableToAllSchools],1,0,)=TRUE,0,IF(ISERROR(FIND(CONT_SUP[[#This Row],[SchoolCode]],_xlfn.TEXTJOIN(",",TRUE,_xlfn.UNIQUE(IF(PAYSCALES[PayScaleCode]=CONT_SUP[[#This Row],[PayScaleCode]],PAYSCALES[SchoolCodes],""))))),1,0))</f>
        <v>0</v>
      </c>
      <c r="G274" s="57">
        <f>IF(_xlfn.XLOOKUP(CONT_SUP[[#This Row],[PayScaleGradeCode]],GRADES[PayScaleGradeCode],GRADES[AvailableToAllSchools])=TRUE,0,IFERROR(IF(FIND(CONT_SUP[[#This Row],[SchoolCode]],_xlfn.XLOOKUP(CONT_SUP[[#This Row],[PayScaleGradeCode]],GRADES[PayScaleGradeCode],GRADES[SchoolCodes]))&gt;=1,0,1),1))</f>
        <v>0</v>
      </c>
      <c r="H274" s="57">
        <f>IF(ISERROR(IF((_xlfn.XLOOKUP(CONT_SUP[[#This Row],[PayScaleGradeCode]],GRADES[PayScaleGradeCode],GRADES[PayScaleCode])=CONT_SUP[[#This Row],[PayScaleCode]]),0,1)),1,0)</f>
        <v>0</v>
      </c>
      <c r="I274" s="57" cm="1">
        <f t="array" ref="I274">IF(ISERROR(FIND(CONT_SUP[[#This Row],[PayScalePointCode]],_xlfn.TEXTJOIN(",",TRUE,IF(PSPOINTS[PayScaleCode]=CONT_SUP[[#This Row],[PayScaleCode]],PSPOINTS[PayScalePointCode])))),1,0)</f>
        <v>0</v>
      </c>
      <c r="J274" s="57" cm="1">
        <f t="array" ref="J27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74" s="57">
        <f>IF(_xlfn.XLOOKUP(CONT_SUP[[#This Row],[PayScalePointCode]],PSPOINTS[PayScalePointCode],PSPOINTS[PayScalePointEnabled])=TRUE,0,1)</f>
        <v>0</v>
      </c>
      <c r="L274" s="57" cm="1">
        <f t="array" ref="L274">IF(_xlfn.XLOOKUP(CONT_SUP[[#This Row],[DepartmentCode]],DEPTS[DepartmentCode],DEPTS[AvailableToAllSchools],1,0,)=TRUE,0,IF(ISERROR(FIND(CONT_SUP[[#This Row],[SchoolCode]],_xlfn.TEXTJOIN(",",TRUE,_xlfn.UNIQUE(IF(DEPTS[DepartmentCode]=CONT_SUP[[#This Row],[DepartmentCode]],DEPTS[SchoolCodes],""))))),1,0))</f>
        <v>0</v>
      </c>
      <c r="M274" s="57">
        <f>IFERROR(IF(_xlfn.XLOOKUP(CONT_SUP[[#This Row],[SRG Gross]],FinanceCodesBudget[FinanceCode],FinanceCodesBudget[LedgerCode])=_xlfn.XLOOKUP(CONT_SUP[[#This Row],[DepartmentCode]],DEPTS[DepartmentCode],DEPTS[LedgerCode]),0,1),1)</f>
        <v>1</v>
      </c>
      <c r="N274" s="57" cm="1">
        <f t="array" ref="N274">IF(_xlfn.XLOOKUP(CONT_SUP[[#This Row],[PensionCode]],PENS[PensionCode],PENS[AvailableToAllSchools],1,0,)=TRUE,0,IF(ISERROR(FIND(CONT_SUP[[#This Row],[SchoolCode]],_xlfn.TEXTJOIN(",",TRUE,_xlfn.UNIQUE(IF(PENS[PensionCode]=CONT_SUP[[#This Row],[PensionCode]],PENS[SchoolCodes],""))))),1,0))</f>
        <v>0</v>
      </c>
      <c r="O274" s="57" cm="1">
        <f t="array" ref="O274">IF(_xlfn.XLOOKUP(CONT_SUP[[#This Row],[EquatedWeekPatternCode]],EQW[EquatedWeekPatternCode],EQW[AvailableToAllSchools],1,0,)=TRUE,0,IF(ISERROR(FIND(CONT_SUP[[#This Row],[SchoolCode]],_xlfn.TEXTJOIN(",",TRUE,_xlfn.UNIQUE(IF(EQW[EquatedWeekPatternCode]=CONT_SUP[[#This Row],[EquatedWeekPatternCode]],EQW[SchoolCodes],""))))),1,0))</f>
        <v>0</v>
      </c>
      <c r="P274" s="57">
        <f>1-COUNTIF(ContractTypes[Code],CONT_SUP[[#This Row],[ContractTypeCode]])</f>
        <v>0</v>
      </c>
      <c r="Q274" s="57">
        <f>IF(VLOOKUP(CONT_SUP[[#This Row],[StaffMemberCode]],MEMBERS[[StaffMemberCode]:[ServiceStartDate]],5,0)&gt;CONT_SUP[[#This Row],[DateFrom]],1,0)</f>
        <v>0</v>
      </c>
      <c r="R274" s="57">
        <f>IF(_xlfn.XLOOKUP(CONT_SUP[[#This Row],[StaffMemberCode]],MEMBERS[StaffMemberCode],MEMBERS[ServiceEndDate])="",0,IF(CONT_SUP[[#This Row],[DateTo]]="",1,IF(_xlfn.XLOOKUP(CONT_SUP[[#This Row],[StaffMemberCode]],MEMBERS[StaffMemberCode],MEMBERS[ServiceEndDate])&lt;CONT_SUP[[#This Row],[DateTo]],1,0)))</f>
        <v>0</v>
      </c>
      <c r="S274" s="57">
        <f>IF(ISBLANK(CONT_SUP[[#This Row],[DateTo]]),0,IF(CONT_SUP[[#This Row],[DateFrom]]=CONT_SUP[[#This Row],[DateTo]],0,IF(CONT_SUP[[#This Row],[DateFrom]]&lt;CONT_SUP[[#This Row],[DateTo]],0,1)))</f>
        <v>0</v>
      </c>
      <c r="T274" s="57" cm="1">
        <f t="array" aca="1" ref="T274" ca="1">IF(CELL("format",CONT_SUP[[#This Row],[DateFrom]])="D1",0,1)+IF(CELL("format",CONT_SUP[[#This Row],[DateTo]])="D1",0,1)</f>
        <v>0</v>
      </c>
      <c r="U274" s="57">
        <f>IF(OR(CONT_SUP[[#This Row],[MatEditOnly]]=TRUE,CONT_SUP[[#This Row],[MatEditOnly]]=FALSE),IF(OR(CONT_SUP[[#This Row],[NoIncrement]]=TRUE,CONT_SUP[[#This Row],[NoIncrement]]=FALSE),0,1),1)</f>
        <v>0</v>
      </c>
      <c r="V274" s="57">
        <f>IF(ISBLANK(CONT_SUP[[#This Row],[FundCode]])=TRUE,0,IF(COUNTIF(FUNDS[FundCode],CONT_SUP[[#This Row],[FundCode]])=1,0,1))</f>
        <v>0</v>
      </c>
      <c r="W274" s="57">
        <f>IF(LEN(CONT_SUP[[#This Row],[Notes]])&lt;4000,0,1)</f>
        <v>0</v>
      </c>
      <c r="X274" s="57">
        <f>IF(SUBSTITUTE(TEXT(CONT_SUP[[#This Row],[Reference]],10)," ","")=TEXT(CONT_SUP[[#This Row],[Reference]],10),0,1)</f>
        <v>0</v>
      </c>
      <c r="Y274" s="57">
        <f ca="1">SUM(CONT_SUP[[#This Row],[Duplicate Contract]:[Space in Code]])</f>
        <v>1</v>
      </c>
      <c r="AA274" s="12" t="s">
        <v>2094</v>
      </c>
      <c r="AB274" s="12">
        <v>91073619</v>
      </c>
      <c r="AC274" s="12" t="s">
        <v>4870</v>
      </c>
      <c r="AD274" s="57" t="str">
        <f>_xlfn.XLOOKUP(CONT_SUP[[#This Row],[StaffMemberCode]],StaffMembers!O:O,StaffMembers!R:R)</f>
        <v>Valerie Evans</v>
      </c>
      <c r="AE274" s="12" t="s">
        <v>1180</v>
      </c>
      <c r="AF274" s="57">
        <f>_xlfn.XLOOKUP(CONT_SUP[[#This Row],[SRG]],SRG[StaffRoleGroupCode],SRG[GrossSalaryFinanceCode])</f>
        <v>615100</v>
      </c>
      <c r="AG274" s="57" t="str">
        <f>_xlfn.XLOOKUP(CONT_SUP[[#This Row],[StaffRoleCode]],ROLES[StaffRoleCode],ROLES[StaffRoleGroupCode])</f>
        <v>TA</v>
      </c>
      <c r="AH274" s="57" t="str">
        <f>_xlfn.XLOOKUP(CONT_SUP[[#This Row],[StaffRoleCode]],ROLES[StaffRoleCode],ROLES[PayScaleCode])</f>
        <v>NJC_CHE</v>
      </c>
      <c r="AI274" s="12" t="s">
        <v>3123</v>
      </c>
      <c r="AJ274" s="12">
        <v>8</v>
      </c>
      <c r="AK274" s="12" t="s">
        <v>2497</v>
      </c>
      <c r="AM274" s="68" t="s">
        <v>1149</v>
      </c>
      <c r="AN274" s="12" t="s">
        <v>3134</v>
      </c>
      <c r="AO274" s="21">
        <v>45901</v>
      </c>
      <c r="AQ274" s="12">
        <v>18.75</v>
      </c>
      <c r="AR274" t="b">
        <v>0</v>
      </c>
      <c r="AS274" t="b">
        <v>0</v>
      </c>
      <c r="AT274" s="12" t="s">
        <v>1574</v>
      </c>
    </row>
    <row r="275" spans="1:46" x14ac:dyDescent="0.3">
      <c r="A275" s="57" t="str">
        <f t="shared" si="8"/>
        <v>HIG9185004391850043ATASTA45901</v>
      </c>
      <c r="B275" s="57">
        <f>COUNTIF(CONT_SUP[Unique Contract],CONT_SUP[[#This Row],[Unique Contract]])-1</f>
        <v>0</v>
      </c>
      <c r="C275" s="57">
        <f>IFERROR(IF(FIND(CONT_SUP[[#This Row],[SchoolCode]],_xlfn.XLOOKUP(CONT_SUP[[#This Row],[StaffMemberCode]],MEMBERS[StaffMemberCode],MEMBERS[SchoolCodes]))&gt;0,0,1),1)</f>
        <v>0</v>
      </c>
      <c r="D275" s="57" cm="1">
        <f t="array" ref="D275">IF(_xlfn.XLOOKUP(CONT_SUP[[#This Row],[StaffRoleCode]],ROLES[StaffRoleCode],ROLES[AvailableToAllSchools],1,0,)=TRUE,0,IF(ISERROR(FIND(CONT_SUP[[#This Row],[SchoolCode]],_xlfn.TEXTJOIN(",",TRUE,_xlfn.UNIQUE(IF(ROLES[StaffRoleCode]=CONT_SUP[[#This Row],[StaffRoleCode]],ROLES[SchoolCodes],""))))),1,0))</f>
        <v>0</v>
      </c>
      <c r="E275" s="57" cm="1">
        <f t="array" ref="E27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75" s="57" cm="1">
        <f t="array" ref="F275">IF(_xlfn.XLOOKUP(CONT_SUP[[#This Row],[PayScaleCode]],PAYSCALES[PayScaleCode],PAYSCALES[AvailableToAllSchools],1,0,)=TRUE,0,IF(ISERROR(FIND(CONT_SUP[[#This Row],[SchoolCode]],_xlfn.TEXTJOIN(",",TRUE,_xlfn.UNIQUE(IF(PAYSCALES[PayScaleCode]=CONT_SUP[[#This Row],[PayScaleCode]],PAYSCALES[SchoolCodes],""))))),1,0))</f>
        <v>0</v>
      </c>
      <c r="G275" s="57">
        <f>IF(_xlfn.XLOOKUP(CONT_SUP[[#This Row],[PayScaleGradeCode]],GRADES[PayScaleGradeCode],GRADES[AvailableToAllSchools])=TRUE,0,IFERROR(IF(FIND(CONT_SUP[[#This Row],[SchoolCode]],_xlfn.XLOOKUP(CONT_SUP[[#This Row],[PayScaleGradeCode]],GRADES[PayScaleGradeCode],GRADES[SchoolCodes]))&gt;=1,0,1),1))</f>
        <v>0</v>
      </c>
      <c r="H275" s="57">
        <f>IF(ISERROR(IF((_xlfn.XLOOKUP(CONT_SUP[[#This Row],[PayScaleGradeCode]],GRADES[PayScaleGradeCode],GRADES[PayScaleCode])=CONT_SUP[[#This Row],[PayScaleCode]]),0,1)),1,0)</f>
        <v>0</v>
      </c>
      <c r="I275" s="57" cm="1">
        <f t="array" ref="I275">IF(ISERROR(FIND(CONT_SUP[[#This Row],[PayScalePointCode]],_xlfn.TEXTJOIN(",",TRUE,IF(PSPOINTS[PayScaleCode]=CONT_SUP[[#This Row],[PayScaleCode]],PSPOINTS[PayScalePointCode])))),1,0)</f>
        <v>0</v>
      </c>
      <c r="J275" s="57" cm="1">
        <f t="array" ref="J27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75" s="57">
        <f>IF(_xlfn.XLOOKUP(CONT_SUP[[#This Row],[PayScalePointCode]],PSPOINTS[PayScalePointCode],PSPOINTS[PayScalePointEnabled])=TRUE,0,1)</f>
        <v>0</v>
      </c>
      <c r="L275" s="57" cm="1">
        <f t="array" ref="L275">IF(_xlfn.XLOOKUP(CONT_SUP[[#This Row],[DepartmentCode]],DEPTS[DepartmentCode],DEPTS[AvailableToAllSchools],1,0,)=TRUE,0,IF(ISERROR(FIND(CONT_SUP[[#This Row],[SchoolCode]],_xlfn.TEXTJOIN(",",TRUE,_xlfn.UNIQUE(IF(DEPTS[DepartmentCode]=CONT_SUP[[#This Row],[DepartmentCode]],DEPTS[SchoolCodes],""))))),1,0))</f>
        <v>0</v>
      </c>
      <c r="M275" s="57">
        <f>IFERROR(IF(_xlfn.XLOOKUP(CONT_SUP[[#This Row],[SRG Gross]],FinanceCodesBudget[FinanceCode],FinanceCodesBudget[LedgerCode])=_xlfn.XLOOKUP(CONT_SUP[[#This Row],[DepartmentCode]],DEPTS[DepartmentCode],DEPTS[LedgerCode]),0,1),1)</f>
        <v>1</v>
      </c>
      <c r="N275" s="57" cm="1">
        <f t="array" ref="N275">IF(_xlfn.XLOOKUP(CONT_SUP[[#This Row],[PensionCode]],PENS[PensionCode],PENS[AvailableToAllSchools],1,0,)=TRUE,0,IF(ISERROR(FIND(CONT_SUP[[#This Row],[SchoolCode]],_xlfn.TEXTJOIN(",",TRUE,_xlfn.UNIQUE(IF(PENS[PensionCode]=CONT_SUP[[#This Row],[PensionCode]],PENS[SchoolCodes],""))))),1,0))</f>
        <v>0</v>
      </c>
      <c r="O275" s="57" cm="1">
        <f t="array" ref="O275">IF(_xlfn.XLOOKUP(CONT_SUP[[#This Row],[EquatedWeekPatternCode]],EQW[EquatedWeekPatternCode],EQW[AvailableToAllSchools],1,0,)=TRUE,0,IF(ISERROR(FIND(CONT_SUP[[#This Row],[SchoolCode]],_xlfn.TEXTJOIN(",",TRUE,_xlfn.UNIQUE(IF(EQW[EquatedWeekPatternCode]=CONT_SUP[[#This Row],[EquatedWeekPatternCode]],EQW[SchoolCodes],""))))),1,0))</f>
        <v>0</v>
      </c>
      <c r="P275" s="57">
        <f>1-COUNTIF(ContractTypes[Code],CONT_SUP[[#This Row],[ContractTypeCode]])</f>
        <v>0</v>
      </c>
      <c r="Q275" s="57">
        <f>IF(VLOOKUP(CONT_SUP[[#This Row],[StaffMemberCode]],MEMBERS[[StaffMemberCode]:[ServiceStartDate]],5,0)&gt;CONT_SUP[[#This Row],[DateFrom]],1,0)</f>
        <v>0</v>
      </c>
      <c r="R275" s="57">
        <f>IF(_xlfn.XLOOKUP(CONT_SUP[[#This Row],[StaffMemberCode]],MEMBERS[StaffMemberCode],MEMBERS[ServiceEndDate])="",0,IF(CONT_SUP[[#This Row],[DateTo]]="",1,IF(_xlfn.XLOOKUP(CONT_SUP[[#This Row],[StaffMemberCode]],MEMBERS[StaffMemberCode],MEMBERS[ServiceEndDate])&lt;CONT_SUP[[#This Row],[DateTo]],1,0)))</f>
        <v>0</v>
      </c>
      <c r="S275" s="57">
        <f>IF(ISBLANK(CONT_SUP[[#This Row],[DateTo]]),0,IF(CONT_SUP[[#This Row],[DateFrom]]=CONT_SUP[[#This Row],[DateTo]],0,IF(CONT_SUP[[#This Row],[DateFrom]]&lt;CONT_SUP[[#This Row],[DateTo]],0,1)))</f>
        <v>0</v>
      </c>
      <c r="T275" s="57" cm="1">
        <f t="array" aca="1" ref="T275" ca="1">IF(CELL("format",CONT_SUP[[#This Row],[DateFrom]])="D1",0,1)+IF(CELL("format",CONT_SUP[[#This Row],[DateTo]])="D1",0,1)</f>
        <v>0</v>
      </c>
      <c r="U275" s="57">
        <f>IF(OR(CONT_SUP[[#This Row],[MatEditOnly]]=TRUE,CONT_SUP[[#This Row],[MatEditOnly]]=FALSE),IF(OR(CONT_SUP[[#This Row],[NoIncrement]]=TRUE,CONT_SUP[[#This Row],[NoIncrement]]=FALSE),0,1),1)</f>
        <v>0</v>
      </c>
      <c r="V275" s="57">
        <f>IF(ISBLANK(CONT_SUP[[#This Row],[FundCode]])=TRUE,0,IF(COUNTIF(FUNDS[FundCode],CONT_SUP[[#This Row],[FundCode]])=1,0,1))</f>
        <v>0</v>
      </c>
      <c r="W275" s="57">
        <f>IF(LEN(CONT_SUP[[#This Row],[Notes]])&lt;4000,0,1)</f>
        <v>0</v>
      </c>
      <c r="X275" s="57">
        <f>IF(SUBSTITUTE(TEXT(CONT_SUP[[#This Row],[Reference]],10)," ","")=TEXT(CONT_SUP[[#This Row],[Reference]],10),0,1)</f>
        <v>0</v>
      </c>
      <c r="Y275" s="57">
        <f ca="1">SUM(CONT_SUP[[#This Row],[Duplicate Contract]:[Space in Code]])</f>
        <v>1</v>
      </c>
      <c r="AA275" s="12" t="s">
        <v>2266</v>
      </c>
      <c r="AB275" s="12">
        <v>91850043</v>
      </c>
      <c r="AC275" s="12" t="s">
        <v>4871</v>
      </c>
      <c r="AD275" s="57" t="str">
        <f>_xlfn.XLOOKUP(CONT_SUP[[#This Row],[StaffMemberCode]],StaffMembers!O:O,StaffMembers!R:R)</f>
        <v>Victoria Edmondson</v>
      </c>
      <c r="AE275" s="12" t="s">
        <v>1180</v>
      </c>
      <c r="AF275" s="57">
        <f>_xlfn.XLOOKUP(CONT_SUP[[#This Row],[SRG]],SRG[StaffRoleGroupCode],SRG[GrossSalaryFinanceCode])</f>
        <v>615100</v>
      </c>
      <c r="AG275" s="57" t="str">
        <f>_xlfn.XLOOKUP(CONT_SUP[[#This Row],[StaffRoleCode]],ROLES[StaffRoleCode],ROLES[StaffRoleGroupCode])</f>
        <v>TA</v>
      </c>
      <c r="AH275" s="57" t="str">
        <f>_xlfn.XLOOKUP(CONT_SUP[[#This Row],[StaffRoleCode]],ROLES[StaffRoleCode],ROLES[PayScaleCode])</f>
        <v>NJC_CHE</v>
      </c>
      <c r="AI275" s="12" t="s">
        <v>3122</v>
      </c>
      <c r="AJ275" s="12">
        <v>5</v>
      </c>
      <c r="AK275" s="12" t="s">
        <v>2497</v>
      </c>
      <c r="AM275" s="68" t="s">
        <v>3132</v>
      </c>
      <c r="AN275" s="12" t="s">
        <v>3135</v>
      </c>
      <c r="AO275" s="21">
        <v>45901</v>
      </c>
      <c r="AQ275" s="12">
        <v>13</v>
      </c>
      <c r="AR275" t="b">
        <v>0</v>
      </c>
      <c r="AS275" t="b">
        <v>0</v>
      </c>
      <c r="AT275" s="12" t="s">
        <v>1575</v>
      </c>
    </row>
    <row r="276" spans="1:46" x14ac:dyDescent="0.3">
      <c r="A276" s="57" t="str">
        <f t="shared" ref="A276:A298" si="9">AA276&amp;AB276&amp;AC276&amp;AE276&amp;AK276&amp;AO276</f>
        <v>BLS9185005691850056ATEC_SNRSTECH45946</v>
      </c>
      <c r="B276" s="57">
        <f>COUNTIF(CONT_SUP[Unique Contract],CONT_SUP[[#This Row],[Unique Contract]])-1</f>
        <v>0</v>
      </c>
      <c r="C276" s="57">
        <f>IFERROR(IF(FIND(CONT_SUP[[#This Row],[SchoolCode]],_xlfn.XLOOKUP(CONT_SUP[[#This Row],[StaffMemberCode]],MEMBERS[StaffMemberCode],MEMBERS[SchoolCodes]))&gt;0,0,1),1)</f>
        <v>0</v>
      </c>
      <c r="D276" s="57" cm="1">
        <f t="array" ref="D276">IF(_xlfn.XLOOKUP(CONT_SUP[[#This Row],[StaffRoleCode]],ROLES[StaffRoleCode],ROLES[AvailableToAllSchools],1,0,)=TRUE,0,IF(ISERROR(FIND(CONT_SUP[[#This Row],[SchoolCode]],_xlfn.TEXTJOIN(",",TRUE,_xlfn.UNIQUE(IF(ROLES[StaffRoleCode]=CONT_SUP[[#This Row],[StaffRoleCode]],ROLES[SchoolCodes],""))))),1,0))</f>
        <v>0</v>
      </c>
      <c r="E276" s="57" cm="1">
        <f t="array" ref="E27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76" s="57" cm="1">
        <f t="array" ref="F276">IF(_xlfn.XLOOKUP(CONT_SUP[[#This Row],[PayScaleCode]],PAYSCALES[PayScaleCode],PAYSCALES[AvailableToAllSchools],1,0,)=TRUE,0,IF(ISERROR(FIND(CONT_SUP[[#This Row],[SchoolCode]],_xlfn.TEXTJOIN(",",TRUE,_xlfn.UNIQUE(IF(PAYSCALES[PayScaleCode]=CONT_SUP[[#This Row],[PayScaleCode]],PAYSCALES[SchoolCodes],""))))),1,0))</f>
        <v>0</v>
      </c>
      <c r="G276" s="57">
        <f>IF(_xlfn.XLOOKUP(CONT_SUP[[#This Row],[PayScaleGradeCode]],GRADES[PayScaleGradeCode],GRADES[AvailableToAllSchools])=TRUE,0,IFERROR(IF(FIND(CONT_SUP[[#This Row],[SchoolCode]],_xlfn.XLOOKUP(CONT_SUP[[#This Row],[PayScaleGradeCode]],GRADES[PayScaleGradeCode],GRADES[SchoolCodes]))&gt;=1,0,1),1))</f>
        <v>0</v>
      </c>
      <c r="H276" s="57">
        <f>IF(ISERROR(IF((_xlfn.XLOOKUP(CONT_SUP[[#This Row],[PayScaleGradeCode]],GRADES[PayScaleGradeCode],GRADES[PayScaleCode])=CONT_SUP[[#This Row],[PayScaleCode]]),0,1)),1,0)</f>
        <v>0</v>
      </c>
      <c r="I276" s="57" cm="1">
        <f t="array" ref="I276">IF(ISERROR(FIND(CONT_SUP[[#This Row],[PayScalePointCode]],_xlfn.TEXTJOIN(",",TRUE,IF(PSPOINTS[PayScaleCode]=CONT_SUP[[#This Row],[PayScaleCode]],PSPOINTS[PayScalePointCode])))),1,0)</f>
        <v>0</v>
      </c>
      <c r="J276" s="57" cm="1">
        <f t="array" ref="J27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76" s="57">
        <f>IF(_xlfn.XLOOKUP(CONT_SUP[[#This Row],[PayScalePointCode]],PSPOINTS[PayScalePointCode],PSPOINTS[PayScalePointEnabled])=TRUE,0,1)</f>
        <v>0</v>
      </c>
      <c r="L276" s="57" cm="1">
        <f t="array" ref="L276">IF(_xlfn.XLOOKUP(CONT_SUP[[#This Row],[DepartmentCode]],DEPTS[DepartmentCode],DEPTS[AvailableToAllSchools],1,0,)=TRUE,0,IF(ISERROR(FIND(CONT_SUP[[#This Row],[SchoolCode]],_xlfn.TEXTJOIN(",",TRUE,_xlfn.UNIQUE(IF(DEPTS[DepartmentCode]=CONT_SUP[[#This Row],[DepartmentCode]],DEPTS[SchoolCodes],""))))),1,0))</f>
        <v>0</v>
      </c>
      <c r="M276" s="57">
        <f>IFERROR(IF(_xlfn.XLOOKUP(CONT_SUP[[#This Row],[SRG Gross]],FinanceCodesBudget[FinanceCode],FinanceCodesBudget[LedgerCode])=_xlfn.XLOOKUP(CONT_SUP[[#This Row],[DepartmentCode]],DEPTS[DepartmentCode],DEPTS[LedgerCode]),0,1),1)</f>
        <v>1</v>
      </c>
      <c r="N276" s="57" cm="1">
        <f t="array" ref="N276">IF(_xlfn.XLOOKUP(CONT_SUP[[#This Row],[PensionCode]],PENS[PensionCode],PENS[AvailableToAllSchools],1,0,)=TRUE,0,IF(ISERROR(FIND(CONT_SUP[[#This Row],[SchoolCode]],_xlfn.TEXTJOIN(",",TRUE,_xlfn.UNIQUE(IF(PENS[PensionCode]=CONT_SUP[[#This Row],[PensionCode]],PENS[SchoolCodes],""))))),1,0))</f>
        <v>0</v>
      </c>
      <c r="O276" s="57" cm="1">
        <f t="array" ref="O276">IF(_xlfn.XLOOKUP(CONT_SUP[[#This Row],[EquatedWeekPatternCode]],EQW[EquatedWeekPatternCode],EQW[AvailableToAllSchools],1,0,)=TRUE,0,IF(ISERROR(FIND(CONT_SUP[[#This Row],[SchoolCode]],_xlfn.TEXTJOIN(",",TRUE,_xlfn.UNIQUE(IF(EQW[EquatedWeekPatternCode]=CONT_SUP[[#This Row],[EquatedWeekPatternCode]],EQW[SchoolCodes],""))))),1,0))</f>
        <v>0</v>
      </c>
      <c r="P276" s="57">
        <f>1-COUNTIF(ContractTypes[Code],CONT_SUP[[#This Row],[ContractTypeCode]])</f>
        <v>0</v>
      </c>
      <c r="Q276" s="57">
        <f>IF(VLOOKUP(CONT_SUP[[#This Row],[StaffMemberCode]],MEMBERS[[StaffMemberCode]:[ServiceStartDate]],5,0)&gt;CONT_SUP[[#This Row],[DateFrom]],1,0)</f>
        <v>0</v>
      </c>
      <c r="R276" s="57">
        <f>IF(_xlfn.XLOOKUP(CONT_SUP[[#This Row],[StaffMemberCode]],MEMBERS[StaffMemberCode],MEMBERS[ServiceEndDate])="",0,IF(CONT_SUP[[#This Row],[DateTo]]="",1,IF(_xlfn.XLOOKUP(CONT_SUP[[#This Row],[StaffMemberCode]],MEMBERS[StaffMemberCode],MEMBERS[ServiceEndDate])&lt;CONT_SUP[[#This Row],[DateTo]],1,0)))</f>
        <v>0</v>
      </c>
      <c r="S276" s="57">
        <f>IF(ISBLANK(CONT_SUP[[#This Row],[DateTo]]),0,IF(CONT_SUP[[#This Row],[DateFrom]]=CONT_SUP[[#This Row],[DateTo]],0,IF(CONT_SUP[[#This Row],[DateFrom]]&lt;CONT_SUP[[#This Row],[DateTo]],0,1)))</f>
        <v>0</v>
      </c>
      <c r="T276" s="57" cm="1">
        <f t="array" aca="1" ref="T276" ca="1">IF(CELL("format",CONT_SUP[[#This Row],[DateFrom]])="D1",0,1)+IF(CELL("format",CONT_SUP[[#This Row],[DateTo]])="D1",0,1)</f>
        <v>0</v>
      </c>
      <c r="U276" s="57">
        <f>IF(OR(CONT_SUP[[#This Row],[MatEditOnly]]=TRUE,CONT_SUP[[#This Row],[MatEditOnly]]=FALSE),IF(OR(CONT_SUP[[#This Row],[NoIncrement]]=TRUE,CONT_SUP[[#This Row],[NoIncrement]]=FALSE),0,1),1)</f>
        <v>0</v>
      </c>
      <c r="V276" s="57">
        <f>IF(ISBLANK(CONT_SUP[[#This Row],[FundCode]])=TRUE,0,IF(COUNTIF(FUNDS[FundCode],CONT_SUP[[#This Row],[FundCode]])=1,0,1))</f>
        <v>0</v>
      </c>
      <c r="W276" s="57">
        <f>IF(LEN(CONT_SUP[[#This Row],[Notes]])&lt;4000,0,1)</f>
        <v>0</v>
      </c>
      <c r="X276" s="57">
        <f>IF(SUBSTITUTE(TEXT(CONT_SUP[[#This Row],[Reference]],10)," ","")=TEXT(CONT_SUP[[#This Row],[Reference]],10),0,1)</f>
        <v>0</v>
      </c>
      <c r="Y276" s="57">
        <f ca="1">SUM(CONT_SUP[[#This Row],[Duplicate Contract]:[Space in Code]])</f>
        <v>1</v>
      </c>
      <c r="AA276" s="12" t="s">
        <v>2094</v>
      </c>
      <c r="AB276" s="12">
        <v>91850056</v>
      </c>
      <c r="AC276" s="12" t="s">
        <v>4872</v>
      </c>
      <c r="AD276" s="57" t="str">
        <f>_xlfn.XLOOKUP(CONT_SUP[[#This Row],[StaffMemberCode]],StaffMembers!O:O,StaffMembers!R:R)</f>
        <v>Cesar Cepeda Medianero</v>
      </c>
      <c r="AE276" s="12" t="s">
        <v>4287</v>
      </c>
      <c r="AF276" s="57">
        <f>_xlfn.XLOOKUP(CONT_SUP[[#This Row],[SRG]],SRG[StaffRoleGroupCode],SRG[GrossSalaryFinanceCode])</f>
        <v>622100</v>
      </c>
      <c r="AG276" s="57" t="str">
        <f>_xlfn.XLOOKUP(CONT_SUP[[#This Row],[StaffRoleCode]],ROLES[StaffRoleCode],ROLES[StaffRoleGroupCode])</f>
        <v>TEC</v>
      </c>
      <c r="AH276" s="57" t="str">
        <f>_xlfn.XLOOKUP(CONT_SUP[[#This Row],[StaffRoleCode]],ROLES[StaffRoleCode],ROLES[PayScaleCode])</f>
        <v>NJC_CHE</v>
      </c>
      <c r="AI276" s="12" t="s">
        <v>3125</v>
      </c>
      <c r="AJ276" s="12">
        <v>20</v>
      </c>
      <c r="AK276" s="12" t="s">
        <v>2501</v>
      </c>
      <c r="AM276" s="68" t="s">
        <v>3132</v>
      </c>
      <c r="AN276" s="12" t="s">
        <v>1702</v>
      </c>
      <c r="AO276" s="21">
        <v>45946</v>
      </c>
      <c r="AQ276" s="12">
        <v>37</v>
      </c>
      <c r="AR276" t="b">
        <v>0</v>
      </c>
      <c r="AS276" t="b">
        <v>0</v>
      </c>
      <c r="AT276" s="12" t="s">
        <v>65</v>
      </c>
    </row>
    <row r="277" spans="1:46" x14ac:dyDescent="0.3">
      <c r="A277" s="57" t="str">
        <f t="shared" si="9"/>
        <v>ALS9107368191073681ATEC_SNRSTECH45901</v>
      </c>
      <c r="B277" s="57">
        <f>COUNTIF(CONT_SUP[Unique Contract],CONT_SUP[[#This Row],[Unique Contract]])-1</f>
        <v>0</v>
      </c>
      <c r="C277" s="57">
        <f>IFERROR(IF(FIND(CONT_SUP[[#This Row],[SchoolCode]],_xlfn.XLOOKUP(CONT_SUP[[#This Row],[StaffMemberCode]],MEMBERS[StaffMemberCode],MEMBERS[SchoolCodes]))&gt;0,0,1),1)</f>
        <v>0</v>
      </c>
      <c r="D277" s="57" cm="1">
        <f t="array" ref="D277">IF(_xlfn.XLOOKUP(CONT_SUP[[#This Row],[StaffRoleCode]],ROLES[StaffRoleCode],ROLES[AvailableToAllSchools],1,0,)=TRUE,0,IF(ISERROR(FIND(CONT_SUP[[#This Row],[SchoolCode]],_xlfn.TEXTJOIN(",",TRUE,_xlfn.UNIQUE(IF(ROLES[StaffRoleCode]=CONT_SUP[[#This Row],[StaffRoleCode]],ROLES[SchoolCodes],""))))),1,0))</f>
        <v>0</v>
      </c>
      <c r="E277" s="57" cm="1">
        <f t="array" ref="E27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77" s="57" cm="1">
        <f t="array" ref="F277">IF(_xlfn.XLOOKUP(CONT_SUP[[#This Row],[PayScaleCode]],PAYSCALES[PayScaleCode],PAYSCALES[AvailableToAllSchools],1,0,)=TRUE,0,IF(ISERROR(FIND(CONT_SUP[[#This Row],[SchoolCode]],_xlfn.TEXTJOIN(",",TRUE,_xlfn.UNIQUE(IF(PAYSCALES[PayScaleCode]=CONT_SUP[[#This Row],[PayScaleCode]],PAYSCALES[SchoolCodes],""))))),1,0))</f>
        <v>0</v>
      </c>
      <c r="G277" s="57">
        <f>IF(_xlfn.XLOOKUP(CONT_SUP[[#This Row],[PayScaleGradeCode]],GRADES[PayScaleGradeCode],GRADES[AvailableToAllSchools])=TRUE,0,IFERROR(IF(FIND(CONT_SUP[[#This Row],[SchoolCode]],_xlfn.XLOOKUP(CONT_SUP[[#This Row],[PayScaleGradeCode]],GRADES[PayScaleGradeCode],GRADES[SchoolCodes]))&gt;=1,0,1),1))</f>
        <v>0</v>
      </c>
      <c r="H277" s="57">
        <f>IF(ISERROR(IF((_xlfn.XLOOKUP(CONT_SUP[[#This Row],[PayScaleGradeCode]],GRADES[PayScaleGradeCode],GRADES[PayScaleCode])=CONT_SUP[[#This Row],[PayScaleCode]]),0,1)),1,0)</f>
        <v>0</v>
      </c>
      <c r="I277" s="57" cm="1">
        <f t="array" ref="I277">IF(ISERROR(FIND(CONT_SUP[[#This Row],[PayScalePointCode]],_xlfn.TEXTJOIN(",",TRUE,IF(PSPOINTS[PayScaleCode]=CONT_SUP[[#This Row],[PayScaleCode]],PSPOINTS[PayScalePointCode])))),1,0)</f>
        <v>0</v>
      </c>
      <c r="J277" s="57" cm="1">
        <f t="array" ref="J27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77" s="57">
        <f>IF(_xlfn.XLOOKUP(CONT_SUP[[#This Row],[PayScalePointCode]],PSPOINTS[PayScalePointCode],PSPOINTS[PayScalePointEnabled])=TRUE,0,1)</f>
        <v>0</v>
      </c>
      <c r="L277" s="57" cm="1">
        <f t="array" ref="L277">IF(_xlfn.XLOOKUP(CONT_SUP[[#This Row],[DepartmentCode]],DEPTS[DepartmentCode],DEPTS[AvailableToAllSchools],1,0,)=TRUE,0,IF(ISERROR(FIND(CONT_SUP[[#This Row],[SchoolCode]],_xlfn.TEXTJOIN(",",TRUE,_xlfn.UNIQUE(IF(DEPTS[DepartmentCode]=CONT_SUP[[#This Row],[DepartmentCode]],DEPTS[SchoolCodes],""))))),1,0))</f>
        <v>0</v>
      </c>
      <c r="M277" s="57">
        <f>IFERROR(IF(_xlfn.XLOOKUP(CONT_SUP[[#This Row],[SRG Gross]],FinanceCodesBudget[FinanceCode],FinanceCodesBudget[LedgerCode])=_xlfn.XLOOKUP(CONT_SUP[[#This Row],[DepartmentCode]],DEPTS[DepartmentCode],DEPTS[LedgerCode]),0,1),1)</f>
        <v>1</v>
      </c>
      <c r="N277" s="57" cm="1">
        <f t="array" ref="N277">IF(_xlfn.XLOOKUP(CONT_SUP[[#This Row],[PensionCode]],PENS[PensionCode],PENS[AvailableToAllSchools],1,0,)=TRUE,0,IF(ISERROR(FIND(CONT_SUP[[#This Row],[SchoolCode]],_xlfn.TEXTJOIN(",",TRUE,_xlfn.UNIQUE(IF(PENS[PensionCode]=CONT_SUP[[#This Row],[PensionCode]],PENS[SchoolCodes],""))))),1,0))</f>
        <v>0</v>
      </c>
      <c r="O277" s="57" cm="1">
        <f t="array" ref="O277">IF(_xlfn.XLOOKUP(CONT_SUP[[#This Row],[EquatedWeekPatternCode]],EQW[EquatedWeekPatternCode],EQW[AvailableToAllSchools],1,0,)=TRUE,0,IF(ISERROR(FIND(CONT_SUP[[#This Row],[SchoolCode]],_xlfn.TEXTJOIN(",",TRUE,_xlfn.UNIQUE(IF(EQW[EquatedWeekPatternCode]=CONT_SUP[[#This Row],[EquatedWeekPatternCode]],EQW[SchoolCodes],""))))),1,0))</f>
        <v>0</v>
      </c>
      <c r="P277" s="57">
        <f>1-COUNTIF(ContractTypes[Code],CONT_SUP[[#This Row],[ContractTypeCode]])</f>
        <v>0</v>
      </c>
      <c r="Q277" s="57">
        <f>IF(VLOOKUP(CONT_SUP[[#This Row],[StaffMemberCode]],MEMBERS[[StaffMemberCode]:[ServiceStartDate]],5,0)&gt;CONT_SUP[[#This Row],[DateFrom]],1,0)</f>
        <v>0</v>
      </c>
      <c r="R277" s="57">
        <f>IF(_xlfn.XLOOKUP(CONT_SUP[[#This Row],[StaffMemberCode]],MEMBERS[StaffMemberCode],MEMBERS[ServiceEndDate])="",0,IF(CONT_SUP[[#This Row],[DateTo]]="",1,IF(_xlfn.XLOOKUP(CONT_SUP[[#This Row],[StaffMemberCode]],MEMBERS[StaffMemberCode],MEMBERS[ServiceEndDate])&lt;CONT_SUP[[#This Row],[DateTo]],1,0)))</f>
        <v>0</v>
      </c>
      <c r="S277" s="57">
        <f>IF(ISBLANK(CONT_SUP[[#This Row],[DateTo]]),0,IF(CONT_SUP[[#This Row],[DateFrom]]=CONT_SUP[[#This Row],[DateTo]],0,IF(CONT_SUP[[#This Row],[DateFrom]]&lt;CONT_SUP[[#This Row],[DateTo]],0,1)))</f>
        <v>0</v>
      </c>
      <c r="T277" s="57" cm="1">
        <f t="array" aca="1" ref="T277" ca="1">IF(CELL("format",CONT_SUP[[#This Row],[DateFrom]])="D1",0,1)+IF(CELL("format",CONT_SUP[[#This Row],[DateTo]])="D1",0,1)</f>
        <v>0</v>
      </c>
      <c r="U277" s="57">
        <f>IF(OR(CONT_SUP[[#This Row],[MatEditOnly]]=TRUE,CONT_SUP[[#This Row],[MatEditOnly]]=FALSE),IF(OR(CONT_SUP[[#This Row],[NoIncrement]]=TRUE,CONT_SUP[[#This Row],[NoIncrement]]=FALSE),0,1),1)</f>
        <v>0</v>
      </c>
      <c r="V277" s="57">
        <f>IF(ISBLANK(CONT_SUP[[#This Row],[FundCode]])=TRUE,0,IF(COUNTIF(FUNDS[FundCode],CONT_SUP[[#This Row],[FundCode]])=1,0,1))</f>
        <v>0</v>
      </c>
      <c r="W277" s="57">
        <f>IF(LEN(CONT_SUP[[#This Row],[Notes]])&lt;4000,0,1)</f>
        <v>0</v>
      </c>
      <c r="X277" s="57">
        <f>IF(SUBSTITUTE(TEXT(CONT_SUP[[#This Row],[Reference]],10)," ","")=TEXT(CONT_SUP[[#This Row],[Reference]],10),0,1)</f>
        <v>0</v>
      </c>
      <c r="Y277" s="57">
        <f ca="1">SUM(CONT_SUP[[#This Row],[Duplicate Contract]:[Space in Code]])</f>
        <v>1</v>
      </c>
      <c r="AA277" s="12" t="s">
        <v>2082</v>
      </c>
      <c r="AB277" s="12">
        <v>91073681</v>
      </c>
      <c r="AC277" s="12" t="s">
        <v>4873</v>
      </c>
      <c r="AD277" s="57" t="str">
        <f>_xlfn.XLOOKUP(CONT_SUP[[#This Row],[StaffMemberCode]],StaffMembers!O:O,StaffMembers!R:R)</f>
        <v>David Olivant</v>
      </c>
      <c r="AE277" s="12" t="s">
        <v>4287</v>
      </c>
      <c r="AF277" s="57">
        <f>_xlfn.XLOOKUP(CONT_SUP[[#This Row],[SRG]],SRG[StaffRoleGroupCode],SRG[GrossSalaryFinanceCode])</f>
        <v>622100</v>
      </c>
      <c r="AG277" s="57" t="str">
        <f>_xlfn.XLOOKUP(CONT_SUP[[#This Row],[StaffRoleCode]],ROLES[StaffRoleCode],ROLES[StaffRoleGroupCode])</f>
        <v>TEC</v>
      </c>
      <c r="AH277" s="57" t="str">
        <f>_xlfn.XLOOKUP(CONT_SUP[[#This Row],[StaffRoleCode]],ROLES[StaffRoleCode],ROLES[PayScaleCode])</f>
        <v>NJC_CHE</v>
      </c>
      <c r="AI277" s="12" t="s">
        <v>3124</v>
      </c>
      <c r="AJ277" s="12">
        <v>15</v>
      </c>
      <c r="AK277" s="12" t="s">
        <v>2501</v>
      </c>
      <c r="AM277" s="68" t="s">
        <v>3132</v>
      </c>
      <c r="AN277" s="12" t="s">
        <v>3141</v>
      </c>
      <c r="AO277" s="21">
        <v>45901</v>
      </c>
      <c r="AQ277" s="12">
        <v>30</v>
      </c>
      <c r="AR277" t="b">
        <v>0</v>
      </c>
      <c r="AS277" t="b">
        <v>0</v>
      </c>
      <c r="AT277" s="12" t="s">
        <v>1574</v>
      </c>
    </row>
    <row r="278" spans="1:46" x14ac:dyDescent="0.3">
      <c r="A278" s="57" t="str">
        <f t="shared" si="9"/>
        <v>BLS9107346091073460ATEC_SNRSTECH45901</v>
      </c>
      <c r="B278" s="57">
        <f>COUNTIF(CONT_SUP[Unique Contract],CONT_SUP[[#This Row],[Unique Contract]])-1</f>
        <v>0</v>
      </c>
      <c r="C278" s="57">
        <f>IFERROR(IF(FIND(CONT_SUP[[#This Row],[SchoolCode]],_xlfn.XLOOKUP(CONT_SUP[[#This Row],[StaffMemberCode]],MEMBERS[StaffMemberCode],MEMBERS[SchoolCodes]))&gt;0,0,1),1)</f>
        <v>0</v>
      </c>
      <c r="D278" s="57" cm="1">
        <f t="array" ref="D278">IF(_xlfn.XLOOKUP(CONT_SUP[[#This Row],[StaffRoleCode]],ROLES[StaffRoleCode],ROLES[AvailableToAllSchools],1,0,)=TRUE,0,IF(ISERROR(FIND(CONT_SUP[[#This Row],[SchoolCode]],_xlfn.TEXTJOIN(",",TRUE,_xlfn.UNIQUE(IF(ROLES[StaffRoleCode]=CONT_SUP[[#This Row],[StaffRoleCode]],ROLES[SchoolCodes],""))))),1,0))</f>
        <v>0</v>
      </c>
      <c r="E278" s="57" cm="1">
        <f t="array" ref="E27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78" s="57" cm="1">
        <f t="array" ref="F278">IF(_xlfn.XLOOKUP(CONT_SUP[[#This Row],[PayScaleCode]],PAYSCALES[PayScaleCode],PAYSCALES[AvailableToAllSchools],1,0,)=TRUE,0,IF(ISERROR(FIND(CONT_SUP[[#This Row],[SchoolCode]],_xlfn.TEXTJOIN(",",TRUE,_xlfn.UNIQUE(IF(PAYSCALES[PayScaleCode]=CONT_SUP[[#This Row],[PayScaleCode]],PAYSCALES[SchoolCodes],""))))),1,0))</f>
        <v>0</v>
      </c>
      <c r="G278" s="57">
        <f>IF(_xlfn.XLOOKUP(CONT_SUP[[#This Row],[PayScaleGradeCode]],GRADES[PayScaleGradeCode],GRADES[AvailableToAllSchools])=TRUE,0,IFERROR(IF(FIND(CONT_SUP[[#This Row],[SchoolCode]],_xlfn.XLOOKUP(CONT_SUP[[#This Row],[PayScaleGradeCode]],GRADES[PayScaleGradeCode],GRADES[SchoolCodes]))&gt;=1,0,1),1))</f>
        <v>0</v>
      </c>
      <c r="H278" s="57">
        <f>IF(ISERROR(IF((_xlfn.XLOOKUP(CONT_SUP[[#This Row],[PayScaleGradeCode]],GRADES[PayScaleGradeCode],GRADES[PayScaleCode])=CONT_SUP[[#This Row],[PayScaleCode]]),0,1)),1,0)</f>
        <v>0</v>
      </c>
      <c r="I278" s="57" cm="1">
        <f t="array" ref="I278">IF(ISERROR(FIND(CONT_SUP[[#This Row],[PayScalePointCode]],_xlfn.TEXTJOIN(",",TRUE,IF(PSPOINTS[PayScaleCode]=CONT_SUP[[#This Row],[PayScaleCode]],PSPOINTS[PayScalePointCode])))),1,0)</f>
        <v>0</v>
      </c>
      <c r="J278" s="57" cm="1">
        <f t="array" ref="J27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78" s="57">
        <f>IF(_xlfn.XLOOKUP(CONT_SUP[[#This Row],[PayScalePointCode]],PSPOINTS[PayScalePointCode],PSPOINTS[PayScalePointEnabled])=TRUE,0,1)</f>
        <v>0</v>
      </c>
      <c r="L278" s="57" cm="1">
        <f t="array" ref="L278">IF(_xlfn.XLOOKUP(CONT_SUP[[#This Row],[DepartmentCode]],DEPTS[DepartmentCode],DEPTS[AvailableToAllSchools],1,0,)=TRUE,0,IF(ISERROR(FIND(CONT_SUP[[#This Row],[SchoolCode]],_xlfn.TEXTJOIN(",",TRUE,_xlfn.UNIQUE(IF(DEPTS[DepartmentCode]=CONT_SUP[[#This Row],[DepartmentCode]],DEPTS[SchoolCodes],""))))),1,0))</f>
        <v>0</v>
      </c>
      <c r="M278" s="57">
        <f>IFERROR(IF(_xlfn.XLOOKUP(CONT_SUP[[#This Row],[SRG Gross]],FinanceCodesBudget[FinanceCode],FinanceCodesBudget[LedgerCode])=_xlfn.XLOOKUP(CONT_SUP[[#This Row],[DepartmentCode]],DEPTS[DepartmentCode],DEPTS[LedgerCode]),0,1),1)</f>
        <v>1</v>
      </c>
      <c r="N278" s="57" cm="1">
        <f t="array" ref="N278">IF(_xlfn.XLOOKUP(CONT_SUP[[#This Row],[PensionCode]],PENS[PensionCode],PENS[AvailableToAllSchools],1,0,)=TRUE,0,IF(ISERROR(FIND(CONT_SUP[[#This Row],[SchoolCode]],_xlfn.TEXTJOIN(",",TRUE,_xlfn.UNIQUE(IF(PENS[PensionCode]=CONT_SUP[[#This Row],[PensionCode]],PENS[SchoolCodes],""))))),1,0))</f>
        <v>0</v>
      </c>
      <c r="O278" s="57" cm="1">
        <f t="array" ref="O278">IF(_xlfn.XLOOKUP(CONT_SUP[[#This Row],[EquatedWeekPatternCode]],EQW[EquatedWeekPatternCode],EQW[AvailableToAllSchools],1,0,)=TRUE,0,IF(ISERROR(FIND(CONT_SUP[[#This Row],[SchoolCode]],_xlfn.TEXTJOIN(",",TRUE,_xlfn.UNIQUE(IF(EQW[EquatedWeekPatternCode]=CONT_SUP[[#This Row],[EquatedWeekPatternCode]],EQW[SchoolCodes],""))))),1,0))</f>
        <v>0</v>
      </c>
      <c r="P278" s="57">
        <f>1-COUNTIF(ContractTypes[Code],CONT_SUP[[#This Row],[ContractTypeCode]])</f>
        <v>0</v>
      </c>
      <c r="Q278" s="57">
        <f>IF(VLOOKUP(CONT_SUP[[#This Row],[StaffMemberCode]],MEMBERS[[StaffMemberCode]:[ServiceStartDate]],5,0)&gt;CONT_SUP[[#This Row],[DateFrom]],1,0)</f>
        <v>0</v>
      </c>
      <c r="R278" s="57">
        <f>IF(_xlfn.XLOOKUP(CONT_SUP[[#This Row],[StaffMemberCode]],MEMBERS[StaffMemberCode],MEMBERS[ServiceEndDate])="",0,IF(CONT_SUP[[#This Row],[DateTo]]="",1,IF(_xlfn.XLOOKUP(CONT_SUP[[#This Row],[StaffMemberCode]],MEMBERS[StaffMemberCode],MEMBERS[ServiceEndDate])&lt;CONT_SUP[[#This Row],[DateTo]],1,0)))</f>
        <v>0</v>
      </c>
      <c r="S278" s="57">
        <f>IF(ISBLANK(CONT_SUP[[#This Row],[DateTo]]),0,IF(CONT_SUP[[#This Row],[DateFrom]]=CONT_SUP[[#This Row],[DateTo]],0,IF(CONT_SUP[[#This Row],[DateFrom]]&lt;CONT_SUP[[#This Row],[DateTo]],0,1)))</f>
        <v>0</v>
      </c>
      <c r="T278" s="57" cm="1">
        <f t="array" aca="1" ref="T278" ca="1">IF(CELL("format",CONT_SUP[[#This Row],[DateFrom]])="D1",0,1)+IF(CELL("format",CONT_SUP[[#This Row],[DateTo]])="D1",0,1)</f>
        <v>0</v>
      </c>
      <c r="U278" s="57">
        <f>IF(OR(CONT_SUP[[#This Row],[MatEditOnly]]=TRUE,CONT_SUP[[#This Row],[MatEditOnly]]=FALSE),IF(OR(CONT_SUP[[#This Row],[NoIncrement]]=TRUE,CONT_SUP[[#This Row],[NoIncrement]]=FALSE),0,1),1)</f>
        <v>0</v>
      </c>
      <c r="V278" s="57">
        <f>IF(ISBLANK(CONT_SUP[[#This Row],[FundCode]])=TRUE,0,IF(COUNTIF(FUNDS[FundCode],CONT_SUP[[#This Row],[FundCode]])=1,0,1))</f>
        <v>0</v>
      </c>
      <c r="W278" s="57">
        <f>IF(LEN(CONT_SUP[[#This Row],[Notes]])&lt;4000,0,1)</f>
        <v>0</v>
      </c>
      <c r="X278" s="57">
        <f>IF(SUBSTITUTE(TEXT(CONT_SUP[[#This Row],[Reference]],10)," ","")=TEXT(CONT_SUP[[#This Row],[Reference]],10),0,1)</f>
        <v>0</v>
      </c>
      <c r="Y278" s="57">
        <f ca="1">SUM(CONT_SUP[[#This Row],[Duplicate Contract]:[Space in Code]])</f>
        <v>1</v>
      </c>
      <c r="AA278" s="12" t="s">
        <v>2094</v>
      </c>
      <c r="AB278" s="12">
        <v>91073460</v>
      </c>
      <c r="AC278" s="12" t="s">
        <v>4874</v>
      </c>
      <c r="AD278" s="57" t="str">
        <f>_xlfn.XLOOKUP(CONT_SUP[[#This Row],[StaffMemberCode]],StaffMembers!O:O,StaffMembers!R:R)</f>
        <v>Jonathan Minshull</v>
      </c>
      <c r="AE278" s="12" t="s">
        <v>4287</v>
      </c>
      <c r="AF278" s="57">
        <f>_xlfn.XLOOKUP(CONT_SUP[[#This Row],[SRG]],SRG[StaffRoleGroupCode],SRG[GrossSalaryFinanceCode])</f>
        <v>622100</v>
      </c>
      <c r="AG278" s="57" t="str">
        <f>_xlfn.XLOOKUP(CONT_SUP[[#This Row],[StaffRoleCode]],ROLES[StaffRoleCode],ROLES[StaffRoleGroupCode])</f>
        <v>TEC</v>
      </c>
      <c r="AH278" s="57" t="str">
        <f>_xlfn.XLOOKUP(CONT_SUP[[#This Row],[StaffRoleCode]],ROLES[StaffRoleCode],ROLES[PayScaleCode])</f>
        <v>NJC_CHE</v>
      </c>
      <c r="AI278" s="12" t="s">
        <v>3124</v>
      </c>
      <c r="AJ278" s="12">
        <v>17</v>
      </c>
      <c r="AK278" s="12" t="s">
        <v>2501</v>
      </c>
      <c r="AM278" s="68" t="s">
        <v>3132</v>
      </c>
      <c r="AN278" s="12" t="s">
        <v>3134</v>
      </c>
      <c r="AO278" s="21">
        <v>45901</v>
      </c>
      <c r="AQ278" s="12">
        <v>22.5</v>
      </c>
      <c r="AR278" t="b">
        <v>0</v>
      </c>
      <c r="AS278" t="b">
        <v>0</v>
      </c>
      <c r="AT278" s="12" t="s">
        <v>1574</v>
      </c>
    </row>
    <row r="279" spans="1:46" x14ac:dyDescent="0.3">
      <c r="A279" s="57" t="str">
        <f t="shared" si="9"/>
        <v>ALS9107371591073715ATEC_SNRSTECH45901</v>
      </c>
      <c r="B279" s="57">
        <f>COUNTIF(CONT_SUP[Unique Contract],CONT_SUP[[#This Row],[Unique Contract]])-1</f>
        <v>0</v>
      </c>
      <c r="C279" s="57">
        <f>IFERROR(IF(FIND(CONT_SUP[[#This Row],[SchoolCode]],_xlfn.XLOOKUP(CONT_SUP[[#This Row],[StaffMemberCode]],MEMBERS[StaffMemberCode],MEMBERS[SchoolCodes]))&gt;0,0,1),1)</f>
        <v>0</v>
      </c>
      <c r="D279" s="57" cm="1">
        <f t="array" ref="D279">IF(_xlfn.XLOOKUP(CONT_SUP[[#This Row],[StaffRoleCode]],ROLES[StaffRoleCode],ROLES[AvailableToAllSchools],1,0,)=TRUE,0,IF(ISERROR(FIND(CONT_SUP[[#This Row],[SchoolCode]],_xlfn.TEXTJOIN(",",TRUE,_xlfn.UNIQUE(IF(ROLES[StaffRoleCode]=CONT_SUP[[#This Row],[StaffRoleCode]],ROLES[SchoolCodes],""))))),1,0))</f>
        <v>0</v>
      </c>
      <c r="E279" s="57" cm="1">
        <f t="array" ref="E27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79" s="57" cm="1">
        <f t="array" ref="F279">IF(_xlfn.XLOOKUP(CONT_SUP[[#This Row],[PayScaleCode]],PAYSCALES[PayScaleCode],PAYSCALES[AvailableToAllSchools],1,0,)=TRUE,0,IF(ISERROR(FIND(CONT_SUP[[#This Row],[SchoolCode]],_xlfn.TEXTJOIN(",",TRUE,_xlfn.UNIQUE(IF(PAYSCALES[PayScaleCode]=CONT_SUP[[#This Row],[PayScaleCode]],PAYSCALES[SchoolCodes],""))))),1,0))</f>
        <v>0</v>
      </c>
      <c r="G279" s="57">
        <f>IF(_xlfn.XLOOKUP(CONT_SUP[[#This Row],[PayScaleGradeCode]],GRADES[PayScaleGradeCode],GRADES[AvailableToAllSchools])=TRUE,0,IFERROR(IF(FIND(CONT_SUP[[#This Row],[SchoolCode]],_xlfn.XLOOKUP(CONT_SUP[[#This Row],[PayScaleGradeCode]],GRADES[PayScaleGradeCode],GRADES[SchoolCodes]))&gt;=1,0,1),1))</f>
        <v>0</v>
      </c>
      <c r="H279" s="57">
        <f>IF(ISERROR(IF((_xlfn.XLOOKUP(CONT_SUP[[#This Row],[PayScaleGradeCode]],GRADES[PayScaleGradeCode],GRADES[PayScaleCode])=CONT_SUP[[#This Row],[PayScaleCode]]),0,1)),1,0)</f>
        <v>0</v>
      </c>
      <c r="I279" s="57" cm="1">
        <f t="array" ref="I279">IF(ISERROR(FIND(CONT_SUP[[#This Row],[PayScalePointCode]],_xlfn.TEXTJOIN(",",TRUE,IF(PSPOINTS[PayScaleCode]=CONT_SUP[[#This Row],[PayScaleCode]],PSPOINTS[PayScalePointCode])))),1,0)</f>
        <v>0</v>
      </c>
      <c r="J279" s="57" cm="1">
        <f t="array" ref="J27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79" s="57">
        <f>IF(_xlfn.XLOOKUP(CONT_SUP[[#This Row],[PayScalePointCode]],PSPOINTS[PayScalePointCode],PSPOINTS[PayScalePointEnabled])=TRUE,0,1)</f>
        <v>0</v>
      </c>
      <c r="L279" s="57" cm="1">
        <f t="array" ref="L279">IF(_xlfn.XLOOKUP(CONT_SUP[[#This Row],[DepartmentCode]],DEPTS[DepartmentCode],DEPTS[AvailableToAllSchools],1,0,)=TRUE,0,IF(ISERROR(FIND(CONT_SUP[[#This Row],[SchoolCode]],_xlfn.TEXTJOIN(",",TRUE,_xlfn.UNIQUE(IF(DEPTS[DepartmentCode]=CONT_SUP[[#This Row],[DepartmentCode]],DEPTS[SchoolCodes],""))))),1,0))</f>
        <v>0</v>
      </c>
      <c r="M279" s="57">
        <f>IFERROR(IF(_xlfn.XLOOKUP(CONT_SUP[[#This Row],[SRG Gross]],FinanceCodesBudget[FinanceCode],FinanceCodesBudget[LedgerCode])=_xlfn.XLOOKUP(CONT_SUP[[#This Row],[DepartmentCode]],DEPTS[DepartmentCode],DEPTS[LedgerCode]),0,1),1)</f>
        <v>1</v>
      </c>
      <c r="N279" s="57" cm="1">
        <f t="array" ref="N279">IF(_xlfn.XLOOKUP(CONT_SUP[[#This Row],[PensionCode]],PENS[PensionCode],PENS[AvailableToAllSchools],1,0,)=TRUE,0,IF(ISERROR(FIND(CONT_SUP[[#This Row],[SchoolCode]],_xlfn.TEXTJOIN(",",TRUE,_xlfn.UNIQUE(IF(PENS[PensionCode]=CONT_SUP[[#This Row],[PensionCode]],PENS[SchoolCodes],""))))),1,0))</f>
        <v>0</v>
      </c>
      <c r="O279" s="57" cm="1">
        <f t="array" ref="O279">IF(_xlfn.XLOOKUP(CONT_SUP[[#This Row],[EquatedWeekPatternCode]],EQW[EquatedWeekPatternCode],EQW[AvailableToAllSchools],1,0,)=TRUE,0,IF(ISERROR(FIND(CONT_SUP[[#This Row],[SchoolCode]],_xlfn.TEXTJOIN(",",TRUE,_xlfn.UNIQUE(IF(EQW[EquatedWeekPatternCode]=CONT_SUP[[#This Row],[EquatedWeekPatternCode]],EQW[SchoolCodes],""))))),1,0))</f>
        <v>0</v>
      </c>
      <c r="P279" s="57">
        <f>1-COUNTIF(ContractTypes[Code],CONT_SUP[[#This Row],[ContractTypeCode]])</f>
        <v>0</v>
      </c>
      <c r="Q279" s="57">
        <f>IF(VLOOKUP(CONT_SUP[[#This Row],[StaffMemberCode]],MEMBERS[[StaffMemberCode]:[ServiceStartDate]],5,0)&gt;CONT_SUP[[#This Row],[DateFrom]],1,0)</f>
        <v>0</v>
      </c>
      <c r="R279" s="57">
        <f>IF(_xlfn.XLOOKUP(CONT_SUP[[#This Row],[StaffMemberCode]],MEMBERS[StaffMemberCode],MEMBERS[ServiceEndDate])="",0,IF(CONT_SUP[[#This Row],[DateTo]]="",1,IF(_xlfn.XLOOKUP(CONT_SUP[[#This Row],[StaffMemberCode]],MEMBERS[StaffMemberCode],MEMBERS[ServiceEndDate])&lt;CONT_SUP[[#This Row],[DateTo]],1,0)))</f>
        <v>0</v>
      </c>
      <c r="S279" s="57">
        <f>IF(ISBLANK(CONT_SUP[[#This Row],[DateTo]]),0,IF(CONT_SUP[[#This Row],[DateFrom]]=CONT_SUP[[#This Row],[DateTo]],0,IF(CONT_SUP[[#This Row],[DateFrom]]&lt;CONT_SUP[[#This Row],[DateTo]],0,1)))</f>
        <v>0</v>
      </c>
      <c r="T279" s="57" cm="1">
        <f t="array" aca="1" ref="T279" ca="1">IF(CELL("format",CONT_SUP[[#This Row],[DateFrom]])="D1",0,1)+IF(CELL("format",CONT_SUP[[#This Row],[DateTo]])="D1",0,1)</f>
        <v>0</v>
      </c>
      <c r="U279" s="57">
        <f>IF(OR(CONT_SUP[[#This Row],[MatEditOnly]]=TRUE,CONT_SUP[[#This Row],[MatEditOnly]]=FALSE),IF(OR(CONT_SUP[[#This Row],[NoIncrement]]=TRUE,CONT_SUP[[#This Row],[NoIncrement]]=FALSE),0,1),1)</f>
        <v>0</v>
      </c>
      <c r="V279" s="57">
        <f>IF(ISBLANK(CONT_SUP[[#This Row],[FundCode]])=TRUE,0,IF(COUNTIF(FUNDS[FundCode],CONT_SUP[[#This Row],[FundCode]])=1,0,1))</f>
        <v>0</v>
      </c>
      <c r="W279" s="57">
        <f>IF(LEN(CONT_SUP[[#This Row],[Notes]])&lt;4000,0,1)</f>
        <v>0</v>
      </c>
      <c r="X279" s="57">
        <f>IF(SUBSTITUTE(TEXT(CONT_SUP[[#This Row],[Reference]],10)," ","")=TEXT(CONT_SUP[[#This Row],[Reference]],10),0,1)</f>
        <v>0</v>
      </c>
      <c r="Y279" s="57">
        <f ca="1">SUM(CONT_SUP[[#This Row],[Duplicate Contract]:[Space in Code]])</f>
        <v>1</v>
      </c>
      <c r="AA279" s="12" t="s">
        <v>2082</v>
      </c>
      <c r="AB279" s="12">
        <v>91073715</v>
      </c>
      <c r="AC279" s="12" t="s">
        <v>4875</v>
      </c>
      <c r="AD279" s="57" t="str">
        <f>_xlfn.XLOOKUP(CONT_SUP[[#This Row],[StaffMemberCode]],StaffMembers!O:O,StaffMembers!R:R)</f>
        <v>Nicholas Cover</v>
      </c>
      <c r="AE279" s="12" t="s">
        <v>4287</v>
      </c>
      <c r="AF279" s="57">
        <f>_xlfn.XLOOKUP(CONT_SUP[[#This Row],[SRG]],SRG[StaffRoleGroupCode],SRG[GrossSalaryFinanceCode])</f>
        <v>622100</v>
      </c>
      <c r="AG279" s="57" t="str">
        <f>_xlfn.XLOOKUP(CONT_SUP[[#This Row],[StaffRoleCode]],ROLES[StaffRoleCode],ROLES[StaffRoleGroupCode])</f>
        <v>TEC</v>
      </c>
      <c r="AH279" s="57" t="str">
        <f>_xlfn.XLOOKUP(CONT_SUP[[#This Row],[StaffRoleCode]],ROLES[StaffRoleCode],ROLES[PayScaleCode])</f>
        <v>NJC_CHE</v>
      </c>
      <c r="AI279" s="12" t="s">
        <v>3124</v>
      </c>
      <c r="AJ279" s="12">
        <v>14</v>
      </c>
      <c r="AK279" s="12" t="s">
        <v>2501</v>
      </c>
      <c r="AM279" s="68" t="s">
        <v>3132</v>
      </c>
      <c r="AN279" s="12" t="s">
        <v>1702</v>
      </c>
      <c r="AO279" s="21">
        <v>45901</v>
      </c>
      <c r="AQ279" s="12">
        <v>37</v>
      </c>
      <c r="AR279" t="b">
        <v>0</v>
      </c>
      <c r="AS279" t="b">
        <v>0</v>
      </c>
      <c r="AT279" s="12" t="s">
        <v>1574</v>
      </c>
    </row>
    <row r="280" spans="1:46" x14ac:dyDescent="0.3">
      <c r="A280" s="57" t="str">
        <f t="shared" si="9"/>
        <v>BLS9107352791073527ATEC_SNRSTECH45901</v>
      </c>
      <c r="B280" s="57">
        <f>COUNTIF(CONT_SUP[Unique Contract],CONT_SUP[[#This Row],[Unique Contract]])-1</f>
        <v>0</v>
      </c>
      <c r="C280" s="57">
        <f>IFERROR(IF(FIND(CONT_SUP[[#This Row],[SchoolCode]],_xlfn.XLOOKUP(CONT_SUP[[#This Row],[StaffMemberCode]],MEMBERS[StaffMemberCode],MEMBERS[SchoolCodes]))&gt;0,0,1),1)</f>
        <v>0</v>
      </c>
      <c r="D280" s="57" cm="1">
        <f t="array" ref="D280">IF(_xlfn.XLOOKUP(CONT_SUP[[#This Row],[StaffRoleCode]],ROLES[StaffRoleCode],ROLES[AvailableToAllSchools],1,0,)=TRUE,0,IF(ISERROR(FIND(CONT_SUP[[#This Row],[SchoolCode]],_xlfn.TEXTJOIN(",",TRUE,_xlfn.UNIQUE(IF(ROLES[StaffRoleCode]=CONT_SUP[[#This Row],[StaffRoleCode]],ROLES[SchoolCodes],""))))),1,0))</f>
        <v>0</v>
      </c>
      <c r="E280" s="57" cm="1">
        <f t="array" ref="E28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80" s="57" cm="1">
        <f t="array" ref="F280">IF(_xlfn.XLOOKUP(CONT_SUP[[#This Row],[PayScaleCode]],PAYSCALES[PayScaleCode],PAYSCALES[AvailableToAllSchools],1,0,)=TRUE,0,IF(ISERROR(FIND(CONT_SUP[[#This Row],[SchoolCode]],_xlfn.TEXTJOIN(",",TRUE,_xlfn.UNIQUE(IF(PAYSCALES[PayScaleCode]=CONT_SUP[[#This Row],[PayScaleCode]],PAYSCALES[SchoolCodes],""))))),1,0))</f>
        <v>0</v>
      </c>
      <c r="G280" s="57">
        <f>IF(_xlfn.XLOOKUP(CONT_SUP[[#This Row],[PayScaleGradeCode]],GRADES[PayScaleGradeCode],GRADES[AvailableToAllSchools])=TRUE,0,IFERROR(IF(FIND(CONT_SUP[[#This Row],[SchoolCode]],_xlfn.XLOOKUP(CONT_SUP[[#This Row],[PayScaleGradeCode]],GRADES[PayScaleGradeCode],GRADES[SchoolCodes]))&gt;=1,0,1),1))</f>
        <v>0</v>
      </c>
      <c r="H280" s="57">
        <f>IF(ISERROR(IF((_xlfn.XLOOKUP(CONT_SUP[[#This Row],[PayScaleGradeCode]],GRADES[PayScaleGradeCode],GRADES[PayScaleCode])=CONT_SUP[[#This Row],[PayScaleCode]]),0,1)),1,0)</f>
        <v>0</v>
      </c>
      <c r="I280" s="57" cm="1">
        <f t="array" ref="I280">IF(ISERROR(FIND(CONT_SUP[[#This Row],[PayScalePointCode]],_xlfn.TEXTJOIN(",",TRUE,IF(PSPOINTS[PayScaleCode]=CONT_SUP[[#This Row],[PayScaleCode]],PSPOINTS[PayScalePointCode])))),1,0)</f>
        <v>0</v>
      </c>
      <c r="J280" s="57" cm="1">
        <f t="array" ref="J28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80" s="57">
        <f>IF(_xlfn.XLOOKUP(CONT_SUP[[#This Row],[PayScalePointCode]],PSPOINTS[PayScalePointCode],PSPOINTS[PayScalePointEnabled])=TRUE,0,1)</f>
        <v>0</v>
      </c>
      <c r="L280" s="57" cm="1">
        <f t="array" ref="L280">IF(_xlfn.XLOOKUP(CONT_SUP[[#This Row],[DepartmentCode]],DEPTS[DepartmentCode],DEPTS[AvailableToAllSchools],1,0,)=TRUE,0,IF(ISERROR(FIND(CONT_SUP[[#This Row],[SchoolCode]],_xlfn.TEXTJOIN(",",TRUE,_xlfn.UNIQUE(IF(DEPTS[DepartmentCode]=CONT_SUP[[#This Row],[DepartmentCode]],DEPTS[SchoolCodes],""))))),1,0))</f>
        <v>0</v>
      </c>
      <c r="M280" s="57">
        <f>IFERROR(IF(_xlfn.XLOOKUP(CONT_SUP[[#This Row],[SRG Gross]],FinanceCodesBudget[FinanceCode],FinanceCodesBudget[LedgerCode])=_xlfn.XLOOKUP(CONT_SUP[[#This Row],[DepartmentCode]],DEPTS[DepartmentCode],DEPTS[LedgerCode]),0,1),1)</f>
        <v>1</v>
      </c>
      <c r="N280" s="57" cm="1">
        <f t="array" ref="N280">IF(_xlfn.XLOOKUP(CONT_SUP[[#This Row],[PensionCode]],PENS[PensionCode],PENS[AvailableToAllSchools],1,0,)=TRUE,0,IF(ISERROR(FIND(CONT_SUP[[#This Row],[SchoolCode]],_xlfn.TEXTJOIN(",",TRUE,_xlfn.UNIQUE(IF(PENS[PensionCode]=CONT_SUP[[#This Row],[PensionCode]],PENS[SchoolCodes],""))))),1,0))</f>
        <v>0</v>
      </c>
      <c r="O280" s="57" cm="1">
        <f t="array" ref="O280">IF(_xlfn.XLOOKUP(CONT_SUP[[#This Row],[EquatedWeekPatternCode]],EQW[EquatedWeekPatternCode],EQW[AvailableToAllSchools],1,0,)=TRUE,0,IF(ISERROR(FIND(CONT_SUP[[#This Row],[SchoolCode]],_xlfn.TEXTJOIN(",",TRUE,_xlfn.UNIQUE(IF(EQW[EquatedWeekPatternCode]=CONT_SUP[[#This Row],[EquatedWeekPatternCode]],EQW[SchoolCodes],""))))),1,0))</f>
        <v>0</v>
      </c>
      <c r="P280" s="57">
        <f>1-COUNTIF(ContractTypes[Code],CONT_SUP[[#This Row],[ContractTypeCode]])</f>
        <v>0</v>
      </c>
      <c r="Q280" s="57">
        <f>IF(VLOOKUP(CONT_SUP[[#This Row],[StaffMemberCode]],MEMBERS[[StaffMemberCode]:[ServiceStartDate]],5,0)&gt;CONT_SUP[[#This Row],[DateFrom]],1,0)</f>
        <v>0</v>
      </c>
      <c r="R280" s="57">
        <f>IF(_xlfn.XLOOKUP(CONT_SUP[[#This Row],[StaffMemberCode]],MEMBERS[StaffMemberCode],MEMBERS[ServiceEndDate])="",0,IF(CONT_SUP[[#This Row],[DateTo]]="",1,IF(_xlfn.XLOOKUP(CONT_SUP[[#This Row],[StaffMemberCode]],MEMBERS[StaffMemberCode],MEMBERS[ServiceEndDate])&lt;CONT_SUP[[#This Row],[DateTo]],1,0)))</f>
        <v>0</v>
      </c>
      <c r="S280" s="57">
        <f>IF(ISBLANK(CONT_SUP[[#This Row],[DateTo]]),0,IF(CONT_SUP[[#This Row],[DateFrom]]=CONT_SUP[[#This Row],[DateTo]],0,IF(CONT_SUP[[#This Row],[DateFrom]]&lt;CONT_SUP[[#This Row],[DateTo]],0,1)))</f>
        <v>0</v>
      </c>
      <c r="T280" s="57" cm="1">
        <f t="array" aca="1" ref="T280" ca="1">IF(CELL("format",CONT_SUP[[#This Row],[DateFrom]])="D1",0,1)+IF(CELL("format",CONT_SUP[[#This Row],[DateTo]])="D1",0,1)</f>
        <v>0</v>
      </c>
      <c r="U280" s="57">
        <f>IF(OR(CONT_SUP[[#This Row],[MatEditOnly]]=TRUE,CONT_SUP[[#This Row],[MatEditOnly]]=FALSE),IF(OR(CONT_SUP[[#This Row],[NoIncrement]]=TRUE,CONT_SUP[[#This Row],[NoIncrement]]=FALSE),0,1),1)</f>
        <v>0</v>
      </c>
      <c r="V280" s="57">
        <f>IF(ISBLANK(CONT_SUP[[#This Row],[FundCode]])=TRUE,0,IF(COUNTIF(FUNDS[FundCode],CONT_SUP[[#This Row],[FundCode]])=1,0,1))</f>
        <v>0</v>
      </c>
      <c r="W280" s="57">
        <f>IF(LEN(CONT_SUP[[#This Row],[Notes]])&lt;4000,0,1)</f>
        <v>0</v>
      </c>
      <c r="X280" s="57">
        <f>IF(SUBSTITUTE(TEXT(CONT_SUP[[#This Row],[Reference]],10)," ","")=TEXT(CONT_SUP[[#This Row],[Reference]],10),0,1)</f>
        <v>0</v>
      </c>
      <c r="Y280" s="57">
        <f ca="1">SUM(CONT_SUP[[#This Row],[Duplicate Contract]:[Space in Code]])</f>
        <v>1</v>
      </c>
      <c r="AA280" s="12" t="s">
        <v>2094</v>
      </c>
      <c r="AB280" s="12">
        <v>91073527</v>
      </c>
      <c r="AC280" s="12" t="s">
        <v>4876</v>
      </c>
      <c r="AD280" s="57" t="str">
        <f>_xlfn.XLOOKUP(CONT_SUP[[#This Row],[StaffMemberCode]],StaffMembers!O:O,StaffMembers!R:R)</f>
        <v>Vivienne Ruscoe</v>
      </c>
      <c r="AE280" s="12" t="s">
        <v>4287</v>
      </c>
      <c r="AF280" s="57">
        <f>_xlfn.XLOOKUP(CONT_SUP[[#This Row],[SRG]],SRG[StaffRoleGroupCode],SRG[GrossSalaryFinanceCode])</f>
        <v>622100</v>
      </c>
      <c r="AG280" s="57" t="str">
        <f>_xlfn.XLOOKUP(CONT_SUP[[#This Row],[StaffRoleCode]],ROLES[StaffRoleCode],ROLES[StaffRoleGroupCode])</f>
        <v>TEC</v>
      </c>
      <c r="AH280" s="57" t="str">
        <f>_xlfn.XLOOKUP(CONT_SUP[[#This Row],[StaffRoleCode]],ROLES[StaffRoleCode],ROLES[PayScaleCode])</f>
        <v>NJC_CHE</v>
      </c>
      <c r="AI280" s="12" t="s">
        <v>3124</v>
      </c>
      <c r="AJ280" s="12">
        <v>15</v>
      </c>
      <c r="AK280" s="12" t="s">
        <v>2501</v>
      </c>
      <c r="AM280" s="68" t="s">
        <v>3132</v>
      </c>
      <c r="AN280" s="12" t="s">
        <v>3137</v>
      </c>
      <c r="AO280" s="21">
        <v>45901</v>
      </c>
      <c r="AQ280" s="12">
        <v>30</v>
      </c>
      <c r="AR280" t="b">
        <v>0</v>
      </c>
      <c r="AS280" t="b">
        <v>0</v>
      </c>
      <c r="AT280" s="12" t="s">
        <v>1574</v>
      </c>
    </row>
    <row r="281" spans="1:46" x14ac:dyDescent="0.3">
      <c r="A281" s="57" t="str">
        <f t="shared" si="9"/>
        <v>ALS9107368091073680ATEC_SNRSTECH45901</v>
      </c>
      <c r="B281" s="57">
        <f>COUNTIF(CONT_SUP[Unique Contract],CONT_SUP[[#This Row],[Unique Contract]])-1</f>
        <v>0</v>
      </c>
      <c r="C281" s="57">
        <f>IFERROR(IF(FIND(CONT_SUP[[#This Row],[SchoolCode]],_xlfn.XLOOKUP(CONT_SUP[[#This Row],[StaffMemberCode]],MEMBERS[StaffMemberCode],MEMBERS[SchoolCodes]))&gt;0,0,1),1)</f>
        <v>0</v>
      </c>
      <c r="D281" s="57" cm="1">
        <f t="array" ref="D281">IF(_xlfn.XLOOKUP(CONT_SUP[[#This Row],[StaffRoleCode]],ROLES[StaffRoleCode],ROLES[AvailableToAllSchools],1,0,)=TRUE,0,IF(ISERROR(FIND(CONT_SUP[[#This Row],[SchoolCode]],_xlfn.TEXTJOIN(",",TRUE,_xlfn.UNIQUE(IF(ROLES[StaffRoleCode]=CONT_SUP[[#This Row],[StaffRoleCode]],ROLES[SchoolCodes],""))))),1,0))</f>
        <v>0</v>
      </c>
      <c r="E281" s="57" cm="1">
        <f t="array" ref="E28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81" s="57" cm="1">
        <f t="array" ref="F281">IF(_xlfn.XLOOKUP(CONT_SUP[[#This Row],[PayScaleCode]],PAYSCALES[PayScaleCode],PAYSCALES[AvailableToAllSchools],1,0,)=TRUE,0,IF(ISERROR(FIND(CONT_SUP[[#This Row],[SchoolCode]],_xlfn.TEXTJOIN(",",TRUE,_xlfn.UNIQUE(IF(PAYSCALES[PayScaleCode]=CONT_SUP[[#This Row],[PayScaleCode]],PAYSCALES[SchoolCodes],""))))),1,0))</f>
        <v>0</v>
      </c>
      <c r="G281" s="57">
        <f>IF(_xlfn.XLOOKUP(CONT_SUP[[#This Row],[PayScaleGradeCode]],GRADES[PayScaleGradeCode],GRADES[AvailableToAllSchools])=TRUE,0,IFERROR(IF(FIND(CONT_SUP[[#This Row],[SchoolCode]],_xlfn.XLOOKUP(CONT_SUP[[#This Row],[PayScaleGradeCode]],GRADES[PayScaleGradeCode],GRADES[SchoolCodes]))&gt;=1,0,1),1))</f>
        <v>0</v>
      </c>
      <c r="H281" s="57">
        <f>IF(ISERROR(IF((_xlfn.XLOOKUP(CONT_SUP[[#This Row],[PayScaleGradeCode]],GRADES[PayScaleGradeCode],GRADES[PayScaleCode])=CONT_SUP[[#This Row],[PayScaleCode]]),0,1)),1,0)</f>
        <v>0</v>
      </c>
      <c r="I281" s="57" cm="1">
        <f t="array" ref="I281">IF(ISERROR(FIND(CONT_SUP[[#This Row],[PayScalePointCode]],_xlfn.TEXTJOIN(",",TRUE,IF(PSPOINTS[PayScaleCode]=CONT_SUP[[#This Row],[PayScaleCode]],PSPOINTS[PayScalePointCode])))),1,0)</f>
        <v>0</v>
      </c>
      <c r="J281" s="57" cm="1">
        <f t="array" ref="J28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81" s="57">
        <f>IF(_xlfn.XLOOKUP(CONT_SUP[[#This Row],[PayScalePointCode]],PSPOINTS[PayScalePointCode],PSPOINTS[PayScalePointEnabled])=TRUE,0,1)</f>
        <v>0</v>
      </c>
      <c r="L281" s="57" cm="1">
        <f t="array" ref="L281">IF(_xlfn.XLOOKUP(CONT_SUP[[#This Row],[DepartmentCode]],DEPTS[DepartmentCode],DEPTS[AvailableToAllSchools],1,0,)=TRUE,0,IF(ISERROR(FIND(CONT_SUP[[#This Row],[SchoolCode]],_xlfn.TEXTJOIN(",",TRUE,_xlfn.UNIQUE(IF(DEPTS[DepartmentCode]=CONT_SUP[[#This Row],[DepartmentCode]],DEPTS[SchoolCodes],""))))),1,0))</f>
        <v>0</v>
      </c>
      <c r="M281" s="57">
        <f>IFERROR(IF(_xlfn.XLOOKUP(CONT_SUP[[#This Row],[SRG Gross]],FinanceCodesBudget[FinanceCode],FinanceCodesBudget[LedgerCode])=_xlfn.XLOOKUP(CONT_SUP[[#This Row],[DepartmentCode]],DEPTS[DepartmentCode],DEPTS[LedgerCode]),0,1),1)</f>
        <v>1</v>
      </c>
      <c r="N281" s="57" cm="1">
        <f t="array" ref="N281">IF(_xlfn.XLOOKUP(CONT_SUP[[#This Row],[PensionCode]],PENS[PensionCode],PENS[AvailableToAllSchools],1,0,)=TRUE,0,IF(ISERROR(FIND(CONT_SUP[[#This Row],[SchoolCode]],_xlfn.TEXTJOIN(",",TRUE,_xlfn.UNIQUE(IF(PENS[PensionCode]=CONT_SUP[[#This Row],[PensionCode]],PENS[SchoolCodes],""))))),1,0))</f>
        <v>0</v>
      </c>
      <c r="O281" s="57" cm="1">
        <f t="array" ref="O281">IF(_xlfn.XLOOKUP(CONT_SUP[[#This Row],[EquatedWeekPatternCode]],EQW[EquatedWeekPatternCode],EQW[AvailableToAllSchools],1,0,)=TRUE,0,IF(ISERROR(FIND(CONT_SUP[[#This Row],[SchoolCode]],_xlfn.TEXTJOIN(",",TRUE,_xlfn.UNIQUE(IF(EQW[EquatedWeekPatternCode]=CONT_SUP[[#This Row],[EquatedWeekPatternCode]],EQW[SchoolCodes],""))))),1,0))</f>
        <v>0</v>
      </c>
      <c r="P281" s="57">
        <f>1-COUNTIF(ContractTypes[Code],CONT_SUP[[#This Row],[ContractTypeCode]])</f>
        <v>0</v>
      </c>
      <c r="Q281" s="57">
        <f>IF(VLOOKUP(CONT_SUP[[#This Row],[StaffMemberCode]],MEMBERS[[StaffMemberCode]:[ServiceStartDate]],5,0)&gt;CONT_SUP[[#This Row],[DateFrom]],1,0)</f>
        <v>0</v>
      </c>
      <c r="R281" s="57">
        <f>IF(_xlfn.XLOOKUP(CONT_SUP[[#This Row],[StaffMemberCode]],MEMBERS[StaffMemberCode],MEMBERS[ServiceEndDate])="",0,IF(CONT_SUP[[#This Row],[DateTo]]="",1,IF(_xlfn.XLOOKUP(CONT_SUP[[#This Row],[StaffMemberCode]],MEMBERS[StaffMemberCode],MEMBERS[ServiceEndDate])&lt;CONT_SUP[[#This Row],[DateTo]],1,0)))</f>
        <v>0</v>
      </c>
      <c r="S281" s="57">
        <f>IF(ISBLANK(CONT_SUP[[#This Row],[DateTo]]),0,IF(CONT_SUP[[#This Row],[DateFrom]]=CONT_SUP[[#This Row],[DateTo]],0,IF(CONT_SUP[[#This Row],[DateFrom]]&lt;CONT_SUP[[#This Row],[DateTo]],0,1)))</f>
        <v>0</v>
      </c>
      <c r="T281" s="57" cm="1">
        <f t="array" aca="1" ref="T281" ca="1">IF(CELL("format",CONT_SUP[[#This Row],[DateFrom]])="D1",0,1)+IF(CELL("format",CONT_SUP[[#This Row],[DateTo]])="D1",0,1)</f>
        <v>0</v>
      </c>
      <c r="U281" s="57">
        <f>IF(OR(CONT_SUP[[#This Row],[MatEditOnly]]=TRUE,CONT_SUP[[#This Row],[MatEditOnly]]=FALSE),IF(OR(CONT_SUP[[#This Row],[NoIncrement]]=TRUE,CONT_SUP[[#This Row],[NoIncrement]]=FALSE),0,1),1)</f>
        <v>0</v>
      </c>
      <c r="V281" s="57">
        <f>IF(ISBLANK(CONT_SUP[[#This Row],[FundCode]])=TRUE,0,IF(COUNTIF(FUNDS[FundCode],CONT_SUP[[#This Row],[FundCode]])=1,0,1))</f>
        <v>0</v>
      </c>
      <c r="W281" s="57">
        <f>IF(LEN(CONT_SUP[[#This Row],[Notes]])&lt;4000,0,1)</f>
        <v>0</v>
      </c>
      <c r="X281" s="57">
        <f>IF(SUBSTITUTE(TEXT(CONT_SUP[[#This Row],[Reference]],10)," ","")=TEXT(CONT_SUP[[#This Row],[Reference]],10),0,1)</f>
        <v>0</v>
      </c>
      <c r="Y281" s="57">
        <f ca="1">SUM(CONT_SUP[[#This Row],[Duplicate Contract]:[Space in Code]])</f>
        <v>1</v>
      </c>
      <c r="AA281" s="12" t="s">
        <v>2082</v>
      </c>
      <c r="AB281" s="12">
        <v>91073680</v>
      </c>
      <c r="AC281" s="12" t="s">
        <v>4877</v>
      </c>
      <c r="AD281" s="57" t="str">
        <f>_xlfn.XLOOKUP(CONT_SUP[[#This Row],[StaffMemberCode]],StaffMembers!O:O,StaffMembers!R:R)</f>
        <v>Zoeanne Sample</v>
      </c>
      <c r="AE281" s="12" t="s">
        <v>4287</v>
      </c>
      <c r="AF281" s="57">
        <f>_xlfn.XLOOKUP(CONT_SUP[[#This Row],[SRG]],SRG[StaffRoleGroupCode],SRG[GrossSalaryFinanceCode])</f>
        <v>622100</v>
      </c>
      <c r="AG281" s="57" t="str">
        <f>_xlfn.XLOOKUP(CONT_SUP[[#This Row],[StaffRoleCode]],ROLES[StaffRoleCode],ROLES[StaffRoleGroupCode])</f>
        <v>TEC</v>
      </c>
      <c r="AH281" s="57" t="str">
        <f>_xlfn.XLOOKUP(CONT_SUP[[#This Row],[StaffRoleCode]],ROLES[StaffRoleCode],ROLES[PayScaleCode])</f>
        <v>NJC_CHE</v>
      </c>
      <c r="AI281" s="12" t="s">
        <v>3124</v>
      </c>
      <c r="AJ281" s="12">
        <v>15</v>
      </c>
      <c r="AK281" s="12" t="s">
        <v>2501</v>
      </c>
      <c r="AM281" s="68" t="s">
        <v>3132</v>
      </c>
      <c r="AN281" s="12" t="s">
        <v>3135</v>
      </c>
      <c r="AO281" s="21">
        <v>45901</v>
      </c>
      <c r="AQ281" s="12">
        <v>37</v>
      </c>
      <c r="AR281" t="b">
        <v>0</v>
      </c>
      <c r="AS281" t="b">
        <v>0</v>
      </c>
      <c r="AT281" s="12" t="s">
        <v>1574</v>
      </c>
    </row>
    <row r="282" spans="1:46" x14ac:dyDescent="0.3">
      <c r="A282" s="57" t="str">
        <f t="shared" si="9"/>
        <v>BLS9107347191073471ASYS_ADMSTECH45901</v>
      </c>
      <c r="B282" s="57">
        <f>COUNTIF(CONT_SUP[Unique Contract],CONT_SUP[[#This Row],[Unique Contract]])-1</f>
        <v>0</v>
      </c>
      <c r="C282" s="57">
        <f>IFERROR(IF(FIND(CONT_SUP[[#This Row],[SchoolCode]],_xlfn.XLOOKUP(CONT_SUP[[#This Row],[StaffMemberCode]],MEMBERS[StaffMemberCode],MEMBERS[SchoolCodes]))&gt;0,0,1),1)</f>
        <v>0</v>
      </c>
      <c r="D282" s="57" cm="1">
        <f t="array" ref="D282">IF(_xlfn.XLOOKUP(CONT_SUP[[#This Row],[StaffRoleCode]],ROLES[StaffRoleCode],ROLES[AvailableToAllSchools],1,0,)=TRUE,0,IF(ISERROR(FIND(CONT_SUP[[#This Row],[SchoolCode]],_xlfn.TEXTJOIN(",",TRUE,_xlfn.UNIQUE(IF(ROLES[StaffRoleCode]=CONT_SUP[[#This Row],[StaffRoleCode]],ROLES[SchoolCodes],""))))),1,0))</f>
        <v>0</v>
      </c>
      <c r="E282" s="57" cm="1">
        <f t="array" ref="E28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82" s="57" cm="1">
        <f t="array" ref="F282">IF(_xlfn.XLOOKUP(CONT_SUP[[#This Row],[PayScaleCode]],PAYSCALES[PayScaleCode],PAYSCALES[AvailableToAllSchools],1,0,)=TRUE,0,IF(ISERROR(FIND(CONT_SUP[[#This Row],[SchoolCode]],_xlfn.TEXTJOIN(",",TRUE,_xlfn.UNIQUE(IF(PAYSCALES[PayScaleCode]=CONT_SUP[[#This Row],[PayScaleCode]],PAYSCALES[SchoolCodes],""))))),1,0))</f>
        <v>0</v>
      </c>
      <c r="G282" s="57">
        <f>IF(_xlfn.XLOOKUP(CONT_SUP[[#This Row],[PayScaleGradeCode]],GRADES[PayScaleGradeCode],GRADES[AvailableToAllSchools])=TRUE,0,IFERROR(IF(FIND(CONT_SUP[[#This Row],[SchoolCode]],_xlfn.XLOOKUP(CONT_SUP[[#This Row],[PayScaleGradeCode]],GRADES[PayScaleGradeCode],GRADES[SchoolCodes]))&gt;=1,0,1),1))</f>
        <v>0</v>
      </c>
      <c r="H282" s="57">
        <f>IF(ISERROR(IF((_xlfn.XLOOKUP(CONT_SUP[[#This Row],[PayScaleGradeCode]],GRADES[PayScaleGradeCode],GRADES[PayScaleCode])=CONT_SUP[[#This Row],[PayScaleCode]]),0,1)),1,0)</f>
        <v>0</v>
      </c>
      <c r="I282" s="57" cm="1">
        <f t="array" ref="I282">IF(ISERROR(FIND(CONT_SUP[[#This Row],[PayScalePointCode]],_xlfn.TEXTJOIN(",",TRUE,IF(PSPOINTS[PayScaleCode]=CONT_SUP[[#This Row],[PayScaleCode]],PSPOINTS[PayScalePointCode])))),1,0)</f>
        <v>0</v>
      </c>
      <c r="J282" s="57" cm="1">
        <f t="array" ref="J28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82" s="57">
        <f>IF(_xlfn.XLOOKUP(CONT_SUP[[#This Row],[PayScalePointCode]],PSPOINTS[PayScalePointCode],PSPOINTS[PayScalePointEnabled])=TRUE,0,1)</f>
        <v>0</v>
      </c>
      <c r="L282" s="57" cm="1">
        <f t="array" ref="L282">IF(_xlfn.XLOOKUP(CONT_SUP[[#This Row],[DepartmentCode]],DEPTS[DepartmentCode],DEPTS[AvailableToAllSchools],1,0,)=TRUE,0,IF(ISERROR(FIND(CONT_SUP[[#This Row],[SchoolCode]],_xlfn.TEXTJOIN(",",TRUE,_xlfn.UNIQUE(IF(DEPTS[DepartmentCode]=CONT_SUP[[#This Row],[DepartmentCode]],DEPTS[SchoolCodes],""))))),1,0))</f>
        <v>0</v>
      </c>
      <c r="M282" s="57">
        <f>IFERROR(IF(_xlfn.XLOOKUP(CONT_SUP[[#This Row],[SRG Gross]],FinanceCodesBudget[FinanceCode],FinanceCodesBudget[LedgerCode])=_xlfn.XLOOKUP(CONT_SUP[[#This Row],[DepartmentCode]],DEPTS[DepartmentCode],DEPTS[LedgerCode]),0,1),1)</f>
        <v>1</v>
      </c>
      <c r="N282" s="57" cm="1">
        <f t="array" ref="N282">IF(_xlfn.XLOOKUP(CONT_SUP[[#This Row],[PensionCode]],PENS[PensionCode],PENS[AvailableToAllSchools],1,0,)=TRUE,0,IF(ISERROR(FIND(CONT_SUP[[#This Row],[SchoolCode]],_xlfn.TEXTJOIN(",",TRUE,_xlfn.UNIQUE(IF(PENS[PensionCode]=CONT_SUP[[#This Row],[PensionCode]],PENS[SchoolCodes],""))))),1,0))</f>
        <v>0</v>
      </c>
      <c r="O282" s="57" cm="1">
        <f t="array" ref="O282">IF(_xlfn.XLOOKUP(CONT_SUP[[#This Row],[EquatedWeekPatternCode]],EQW[EquatedWeekPatternCode],EQW[AvailableToAllSchools],1,0,)=TRUE,0,IF(ISERROR(FIND(CONT_SUP[[#This Row],[SchoolCode]],_xlfn.TEXTJOIN(",",TRUE,_xlfn.UNIQUE(IF(EQW[EquatedWeekPatternCode]=CONT_SUP[[#This Row],[EquatedWeekPatternCode]],EQW[SchoolCodes],""))))),1,0))</f>
        <v>0</v>
      </c>
      <c r="P282" s="57">
        <f>1-COUNTIF(ContractTypes[Code],CONT_SUP[[#This Row],[ContractTypeCode]])</f>
        <v>0</v>
      </c>
      <c r="Q282" s="57">
        <f>IF(VLOOKUP(CONT_SUP[[#This Row],[StaffMemberCode]],MEMBERS[[StaffMemberCode]:[ServiceStartDate]],5,0)&gt;CONT_SUP[[#This Row],[DateFrom]],1,0)</f>
        <v>0</v>
      </c>
      <c r="R282" s="57">
        <f>IF(_xlfn.XLOOKUP(CONT_SUP[[#This Row],[StaffMemberCode]],MEMBERS[StaffMemberCode],MEMBERS[ServiceEndDate])="",0,IF(CONT_SUP[[#This Row],[DateTo]]="",1,IF(_xlfn.XLOOKUP(CONT_SUP[[#This Row],[StaffMemberCode]],MEMBERS[StaffMemberCode],MEMBERS[ServiceEndDate])&lt;CONT_SUP[[#This Row],[DateTo]],1,0)))</f>
        <v>0</v>
      </c>
      <c r="S282" s="57">
        <f>IF(ISBLANK(CONT_SUP[[#This Row],[DateTo]]),0,IF(CONT_SUP[[#This Row],[DateFrom]]=CONT_SUP[[#This Row],[DateTo]],0,IF(CONT_SUP[[#This Row],[DateFrom]]&lt;CONT_SUP[[#This Row],[DateTo]],0,1)))</f>
        <v>0</v>
      </c>
      <c r="T282" s="57" cm="1">
        <f t="array" aca="1" ref="T282" ca="1">IF(CELL("format",CONT_SUP[[#This Row],[DateFrom]])="D1",0,1)+IF(CELL("format",CONT_SUP[[#This Row],[DateTo]])="D1",0,1)</f>
        <v>0</v>
      </c>
      <c r="U282" s="57">
        <f>IF(OR(CONT_SUP[[#This Row],[MatEditOnly]]=TRUE,CONT_SUP[[#This Row],[MatEditOnly]]=FALSE),IF(OR(CONT_SUP[[#This Row],[NoIncrement]]=TRUE,CONT_SUP[[#This Row],[NoIncrement]]=FALSE),0,1),1)</f>
        <v>0</v>
      </c>
      <c r="V282" s="57">
        <f>IF(ISBLANK(CONT_SUP[[#This Row],[FundCode]])=TRUE,0,IF(COUNTIF(FUNDS[FundCode],CONT_SUP[[#This Row],[FundCode]])=1,0,1))</f>
        <v>0</v>
      </c>
      <c r="W282" s="57">
        <f>IF(LEN(CONT_SUP[[#This Row],[Notes]])&lt;4000,0,1)</f>
        <v>0</v>
      </c>
      <c r="X282" s="57">
        <f>IF(SUBSTITUTE(TEXT(CONT_SUP[[#This Row],[Reference]],10)," ","")=TEXT(CONT_SUP[[#This Row],[Reference]],10),0,1)</f>
        <v>0</v>
      </c>
      <c r="Y282" s="57">
        <f ca="1">SUM(CONT_SUP[[#This Row],[Duplicate Contract]:[Space in Code]])</f>
        <v>1</v>
      </c>
      <c r="AA282" s="12" t="s">
        <v>2094</v>
      </c>
      <c r="AB282" s="12">
        <v>91073471</v>
      </c>
      <c r="AC282" s="12" t="s">
        <v>4878</v>
      </c>
      <c r="AD282" s="57" t="str">
        <f>_xlfn.XLOOKUP(CONT_SUP[[#This Row],[StaffMemberCode]],StaffMembers!O:O,StaffMembers!R:R)</f>
        <v>Deborah Robson</v>
      </c>
      <c r="AE282" s="12" t="s">
        <v>4289</v>
      </c>
      <c r="AF282" s="57">
        <f>_xlfn.XLOOKUP(CONT_SUP[[#This Row],[SRG]],SRG[StaffRoleGroupCode],SRG[GrossSalaryFinanceCode])</f>
        <v>622100</v>
      </c>
      <c r="AG282" s="57" t="str">
        <f>_xlfn.XLOOKUP(CONT_SUP[[#This Row],[StaffRoleCode]],ROLES[StaffRoleCode],ROLES[StaffRoleGroupCode])</f>
        <v>TEC</v>
      </c>
      <c r="AH282" s="57" t="str">
        <f>_xlfn.XLOOKUP(CONT_SUP[[#This Row],[StaffRoleCode]],ROLES[StaffRoleCode],ROLES[PayScaleCode])</f>
        <v>NJC_CHE</v>
      </c>
      <c r="AI282" s="12" t="s">
        <v>3126</v>
      </c>
      <c r="AJ282" s="12">
        <v>28</v>
      </c>
      <c r="AK282" s="12" t="s">
        <v>2501</v>
      </c>
      <c r="AM282" s="68" t="s">
        <v>3132</v>
      </c>
      <c r="AN282" s="12" t="s">
        <v>1702</v>
      </c>
      <c r="AO282" s="21">
        <v>45901</v>
      </c>
      <c r="AQ282" s="12">
        <v>37</v>
      </c>
      <c r="AR282" t="b">
        <v>0</v>
      </c>
      <c r="AS282" t="b">
        <v>0</v>
      </c>
      <c r="AT282" s="12" t="s">
        <v>1574</v>
      </c>
    </row>
    <row r="283" spans="1:46" x14ac:dyDescent="0.3">
      <c r="A283" s="57" t="str">
        <f t="shared" si="9"/>
        <v>ALS9107377991073779ATECSTECH45901</v>
      </c>
      <c r="B283" s="57">
        <f>COUNTIF(CONT_SUP[Unique Contract],CONT_SUP[[#This Row],[Unique Contract]])-1</f>
        <v>0</v>
      </c>
      <c r="C283" s="57">
        <f>IFERROR(IF(FIND(CONT_SUP[[#This Row],[SchoolCode]],_xlfn.XLOOKUP(CONT_SUP[[#This Row],[StaffMemberCode]],MEMBERS[StaffMemberCode],MEMBERS[SchoolCodes]))&gt;0,0,1),1)</f>
        <v>0</v>
      </c>
      <c r="D283" s="57" cm="1">
        <f t="array" ref="D283">IF(_xlfn.XLOOKUP(CONT_SUP[[#This Row],[StaffRoleCode]],ROLES[StaffRoleCode],ROLES[AvailableToAllSchools],1,0,)=TRUE,0,IF(ISERROR(FIND(CONT_SUP[[#This Row],[SchoolCode]],_xlfn.TEXTJOIN(",",TRUE,_xlfn.UNIQUE(IF(ROLES[StaffRoleCode]=CONT_SUP[[#This Row],[StaffRoleCode]],ROLES[SchoolCodes],""))))),1,0))</f>
        <v>0</v>
      </c>
      <c r="E283" s="57" cm="1">
        <f t="array" ref="E28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83" s="57" cm="1">
        <f t="array" ref="F283">IF(_xlfn.XLOOKUP(CONT_SUP[[#This Row],[PayScaleCode]],PAYSCALES[PayScaleCode],PAYSCALES[AvailableToAllSchools],1,0,)=TRUE,0,IF(ISERROR(FIND(CONT_SUP[[#This Row],[SchoolCode]],_xlfn.TEXTJOIN(",",TRUE,_xlfn.UNIQUE(IF(PAYSCALES[PayScaleCode]=CONT_SUP[[#This Row],[PayScaleCode]],PAYSCALES[SchoolCodes],""))))),1,0))</f>
        <v>0</v>
      </c>
      <c r="G283" s="57">
        <f>IF(_xlfn.XLOOKUP(CONT_SUP[[#This Row],[PayScaleGradeCode]],GRADES[PayScaleGradeCode],GRADES[AvailableToAllSchools])=TRUE,0,IFERROR(IF(FIND(CONT_SUP[[#This Row],[SchoolCode]],_xlfn.XLOOKUP(CONT_SUP[[#This Row],[PayScaleGradeCode]],GRADES[PayScaleGradeCode],GRADES[SchoolCodes]))&gt;=1,0,1),1))</f>
        <v>0</v>
      </c>
      <c r="H283" s="57">
        <f>IF(ISERROR(IF((_xlfn.XLOOKUP(CONT_SUP[[#This Row],[PayScaleGradeCode]],GRADES[PayScaleGradeCode],GRADES[PayScaleCode])=CONT_SUP[[#This Row],[PayScaleCode]]),0,1)),1,0)</f>
        <v>0</v>
      </c>
      <c r="I283" s="57" cm="1">
        <f t="array" ref="I283">IF(ISERROR(FIND(CONT_SUP[[#This Row],[PayScalePointCode]],_xlfn.TEXTJOIN(",",TRUE,IF(PSPOINTS[PayScaleCode]=CONT_SUP[[#This Row],[PayScaleCode]],PSPOINTS[PayScalePointCode])))),1,0)</f>
        <v>0</v>
      </c>
      <c r="J283" s="57" cm="1">
        <f t="array" ref="J28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83" s="57">
        <f>IF(_xlfn.XLOOKUP(CONT_SUP[[#This Row],[PayScalePointCode]],PSPOINTS[PayScalePointCode],PSPOINTS[PayScalePointEnabled])=TRUE,0,1)</f>
        <v>0</v>
      </c>
      <c r="L283" s="57" cm="1">
        <f t="array" ref="L283">IF(_xlfn.XLOOKUP(CONT_SUP[[#This Row],[DepartmentCode]],DEPTS[DepartmentCode],DEPTS[AvailableToAllSchools],1,0,)=TRUE,0,IF(ISERROR(FIND(CONT_SUP[[#This Row],[SchoolCode]],_xlfn.TEXTJOIN(",",TRUE,_xlfn.UNIQUE(IF(DEPTS[DepartmentCode]=CONT_SUP[[#This Row],[DepartmentCode]],DEPTS[SchoolCodes],""))))),1,0))</f>
        <v>0</v>
      </c>
      <c r="M283" s="57">
        <f>IFERROR(IF(_xlfn.XLOOKUP(CONT_SUP[[#This Row],[SRG Gross]],FinanceCodesBudget[FinanceCode],FinanceCodesBudget[LedgerCode])=_xlfn.XLOOKUP(CONT_SUP[[#This Row],[DepartmentCode]],DEPTS[DepartmentCode],DEPTS[LedgerCode]),0,1),1)</f>
        <v>1</v>
      </c>
      <c r="N283" s="57" cm="1">
        <f t="array" ref="N283">IF(_xlfn.XLOOKUP(CONT_SUP[[#This Row],[PensionCode]],PENS[PensionCode],PENS[AvailableToAllSchools],1,0,)=TRUE,0,IF(ISERROR(FIND(CONT_SUP[[#This Row],[SchoolCode]],_xlfn.TEXTJOIN(",",TRUE,_xlfn.UNIQUE(IF(PENS[PensionCode]=CONT_SUP[[#This Row],[PensionCode]],PENS[SchoolCodes],""))))),1,0))</f>
        <v>0</v>
      </c>
      <c r="O283" s="57" cm="1">
        <f t="array" ref="O283">IF(_xlfn.XLOOKUP(CONT_SUP[[#This Row],[EquatedWeekPatternCode]],EQW[EquatedWeekPatternCode],EQW[AvailableToAllSchools],1,0,)=TRUE,0,IF(ISERROR(FIND(CONT_SUP[[#This Row],[SchoolCode]],_xlfn.TEXTJOIN(",",TRUE,_xlfn.UNIQUE(IF(EQW[EquatedWeekPatternCode]=CONT_SUP[[#This Row],[EquatedWeekPatternCode]],EQW[SchoolCodes],""))))),1,0))</f>
        <v>0</v>
      </c>
      <c r="P283" s="57">
        <f>1-COUNTIF(ContractTypes[Code],CONT_SUP[[#This Row],[ContractTypeCode]])</f>
        <v>0</v>
      </c>
      <c r="Q283" s="57">
        <f>IF(VLOOKUP(CONT_SUP[[#This Row],[StaffMemberCode]],MEMBERS[[StaffMemberCode]:[ServiceStartDate]],5,0)&gt;CONT_SUP[[#This Row],[DateFrom]],1,0)</f>
        <v>0</v>
      </c>
      <c r="R283" s="57">
        <f>IF(_xlfn.XLOOKUP(CONT_SUP[[#This Row],[StaffMemberCode]],MEMBERS[StaffMemberCode],MEMBERS[ServiceEndDate])="",0,IF(CONT_SUP[[#This Row],[DateTo]]="",1,IF(_xlfn.XLOOKUP(CONT_SUP[[#This Row],[StaffMemberCode]],MEMBERS[StaffMemberCode],MEMBERS[ServiceEndDate])&lt;CONT_SUP[[#This Row],[DateTo]],1,0)))</f>
        <v>0</v>
      </c>
      <c r="S283" s="57">
        <f>IF(ISBLANK(CONT_SUP[[#This Row],[DateTo]]),0,IF(CONT_SUP[[#This Row],[DateFrom]]=CONT_SUP[[#This Row],[DateTo]],0,IF(CONT_SUP[[#This Row],[DateFrom]]&lt;CONT_SUP[[#This Row],[DateTo]],0,1)))</f>
        <v>0</v>
      </c>
      <c r="T283" s="57" cm="1">
        <f t="array" aca="1" ref="T283" ca="1">IF(CELL("format",CONT_SUP[[#This Row],[DateFrom]])="D1",0,1)+IF(CELL("format",CONT_SUP[[#This Row],[DateTo]])="D1",0,1)</f>
        <v>0</v>
      </c>
      <c r="U283" s="57">
        <f>IF(OR(CONT_SUP[[#This Row],[MatEditOnly]]=TRUE,CONT_SUP[[#This Row],[MatEditOnly]]=FALSE),IF(OR(CONT_SUP[[#This Row],[NoIncrement]]=TRUE,CONT_SUP[[#This Row],[NoIncrement]]=FALSE),0,1),1)</f>
        <v>0</v>
      </c>
      <c r="V283" s="57">
        <f>IF(ISBLANK(CONT_SUP[[#This Row],[FundCode]])=TRUE,0,IF(COUNTIF(FUNDS[FundCode],CONT_SUP[[#This Row],[FundCode]])=1,0,1))</f>
        <v>0</v>
      </c>
      <c r="W283" s="57">
        <f>IF(LEN(CONT_SUP[[#This Row],[Notes]])&lt;4000,0,1)</f>
        <v>0</v>
      </c>
      <c r="X283" s="57">
        <f>IF(SUBSTITUTE(TEXT(CONT_SUP[[#This Row],[Reference]],10)," ","")=TEXT(CONT_SUP[[#This Row],[Reference]],10),0,1)</f>
        <v>0</v>
      </c>
      <c r="Y283" s="57">
        <f ca="1">SUM(CONT_SUP[[#This Row],[Duplicate Contract]:[Space in Code]])</f>
        <v>1</v>
      </c>
      <c r="AA283" s="12" t="s">
        <v>2082</v>
      </c>
      <c r="AB283" s="12">
        <v>91073779</v>
      </c>
      <c r="AC283" s="12" t="s">
        <v>4879</v>
      </c>
      <c r="AD283" s="57" t="str">
        <f>_xlfn.XLOOKUP(CONT_SUP[[#This Row],[StaffMemberCode]],StaffMembers!O:O,StaffMembers!R:R)</f>
        <v>Alfredo Solano</v>
      </c>
      <c r="AE283" s="12" t="s">
        <v>1184</v>
      </c>
      <c r="AF283" s="57">
        <f>_xlfn.XLOOKUP(CONT_SUP[[#This Row],[SRG]],SRG[StaffRoleGroupCode],SRG[GrossSalaryFinanceCode])</f>
        <v>622100</v>
      </c>
      <c r="AG283" s="57" t="str">
        <f>_xlfn.XLOOKUP(CONT_SUP[[#This Row],[StaffRoleCode]],ROLES[StaffRoleCode],ROLES[StaffRoleGroupCode])</f>
        <v>TEC</v>
      </c>
      <c r="AH283" s="57" t="str">
        <f>_xlfn.XLOOKUP(CONT_SUP[[#This Row],[StaffRoleCode]],ROLES[StaffRoleCode],ROLES[PayScaleCode])</f>
        <v>NJC_CHE</v>
      </c>
      <c r="AI283" s="12" t="s">
        <v>3121</v>
      </c>
      <c r="AJ283" s="12">
        <v>4</v>
      </c>
      <c r="AK283" s="12" t="s">
        <v>2501</v>
      </c>
      <c r="AM283" s="68" t="s">
        <v>3132</v>
      </c>
      <c r="AN283" s="12" t="s">
        <v>3134</v>
      </c>
      <c r="AO283" s="21">
        <v>45901</v>
      </c>
      <c r="AQ283" s="12">
        <v>28</v>
      </c>
      <c r="AR283" t="b">
        <v>0</v>
      </c>
      <c r="AS283" t="b">
        <v>0</v>
      </c>
      <c r="AT283" s="12" t="s">
        <v>1574</v>
      </c>
    </row>
    <row r="284" spans="1:46" x14ac:dyDescent="0.3">
      <c r="A284" s="57" t="str">
        <f t="shared" si="9"/>
        <v>ALS9107367991073679ATECSTECH45901</v>
      </c>
      <c r="B284" s="57">
        <f>COUNTIF(CONT_SUP[Unique Contract],CONT_SUP[[#This Row],[Unique Contract]])-1</f>
        <v>0</v>
      </c>
      <c r="C284" s="57">
        <f>IFERROR(IF(FIND(CONT_SUP[[#This Row],[SchoolCode]],_xlfn.XLOOKUP(CONT_SUP[[#This Row],[StaffMemberCode]],MEMBERS[StaffMemberCode],MEMBERS[SchoolCodes]))&gt;0,0,1),1)</f>
        <v>0</v>
      </c>
      <c r="D284" s="57" cm="1">
        <f t="array" ref="D284">IF(_xlfn.XLOOKUP(CONT_SUP[[#This Row],[StaffRoleCode]],ROLES[StaffRoleCode],ROLES[AvailableToAllSchools],1,0,)=TRUE,0,IF(ISERROR(FIND(CONT_SUP[[#This Row],[SchoolCode]],_xlfn.TEXTJOIN(",",TRUE,_xlfn.UNIQUE(IF(ROLES[StaffRoleCode]=CONT_SUP[[#This Row],[StaffRoleCode]],ROLES[SchoolCodes],""))))),1,0))</f>
        <v>0</v>
      </c>
      <c r="E284" s="57" cm="1">
        <f t="array" ref="E28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84" s="57" cm="1">
        <f t="array" ref="F284">IF(_xlfn.XLOOKUP(CONT_SUP[[#This Row],[PayScaleCode]],PAYSCALES[PayScaleCode],PAYSCALES[AvailableToAllSchools],1,0,)=TRUE,0,IF(ISERROR(FIND(CONT_SUP[[#This Row],[SchoolCode]],_xlfn.TEXTJOIN(",",TRUE,_xlfn.UNIQUE(IF(PAYSCALES[PayScaleCode]=CONT_SUP[[#This Row],[PayScaleCode]],PAYSCALES[SchoolCodes],""))))),1,0))</f>
        <v>0</v>
      </c>
      <c r="G284" s="57">
        <f>IF(_xlfn.XLOOKUP(CONT_SUP[[#This Row],[PayScaleGradeCode]],GRADES[PayScaleGradeCode],GRADES[AvailableToAllSchools])=TRUE,0,IFERROR(IF(FIND(CONT_SUP[[#This Row],[SchoolCode]],_xlfn.XLOOKUP(CONT_SUP[[#This Row],[PayScaleGradeCode]],GRADES[PayScaleGradeCode],GRADES[SchoolCodes]))&gt;=1,0,1),1))</f>
        <v>0</v>
      </c>
      <c r="H284" s="57">
        <f>IF(ISERROR(IF((_xlfn.XLOOKUP(CONT_SUP[[#This Row],[PayScaleGradeCode]],GRADES[PayScaleGradeCode],GRADES[PayScaleCode])=CONT_SUP[[#This Row],[PayScaleCode]]),0,1)),1,0)</f>
        <v>0</v>
      </c>
      <c r="I284" s="57" cm="1">
        <f t="array" ref="I284">IF(ISERROR(FIND(CONT_SUP[[#This Row],[PayScalePointCode]],_xlfn.TEXTJOIN(",",TRUE,IF(PSPOINTS[PayScaleCode]=CONT_SUP[[#This Row],[PayScaleCode]],PSPOINTS[PayScalePointCode])))),1,0)</f>
        <v>0</v>
      </c>
      <c r="J284" s="57" cm="1">
        <f t="array" ref="J28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84" s="57">
        <f>IF(_xlfn.XLOOKUP(CONT_SUP[[#This Row],[PayScalePointCode]],PSPOINTS[PayScalePointCode],PSPOINTS[PayScalePointEnabled])=TRUE,0,1)</f>
        <v>0</v>
      </c>
      <c r="L284" s="57" cm="1">
        <f t="array" ref="L284">IF(_xlfn.XLOOKUP(CONT_SUP[[#This Row],[DepartmentCode]],DEPTS[DepartmentCode],DEPTS[AvailableToAllSchools],1,0,)=TRUE,0,IF(ISERROR(FIND(CONT_SUP[[#This Row],[SchoolCode]],_xlfn.TEXTJOIN(",",TRUE,_xlfn.UNIQUE(IF(DEPTS[DepartmentCode]=CONT_SUP[[#This Row],[DepartmentCode]],DEPTS[SchoolCodes],""))))),1,0))</f>
        <v>0</v>
      </c>
      <c r="M284" s="57">
        <f>IFERROR(IF(_xlfn.XLOOKUP(CONT_SUP[[#This Row],[SRG Gross]],FinanceCodesBudget[FinanceCode],FinanceCodesBudget[LedgerCode])=_xlfn.XLOOKUP(CONT_SUP[[#This Row],[DepartmentCode]],DEPTS[DepartmentCode],DEPTS[LedgerCode]),0,1),1)</f>
        <v>1</v>
      </c>
      <c r="N284" s="57" cm="1">
        <f t="array" ref="N284">IF(_xlfn.XLOOKUP(CONT_SUP[[#This Row],[PensionCode]],PENS[PensionCode],PENS[AvailableToAllSchools],1,0,)=TRUE,0,IF(ISERROR(FIND(CONT_SUP[[#This Row],[SchoolCode]],_xlfn.TEXTJOIN(",",TRUE,_xlfn.UNIQUE(IF(PENS[PensionCode]=CONT_SUP[[#This Row],[PensionCode]],PENS[SchoolCodes],""))))),1,0))</f>
        <v>0</v>
      </c>
      <c r="O284" s="57" cm="1">
        <f t="array" ref="O284">IF(_xlfn.XLOOKUP(CONT_SUP[[#This Row],[EquatedWeekPatternCode]],EQW[EquatedWeekPatternCode],EQW[AvailableToAllSchools],1,0,)=TRUE,0,IF(ISERROR(FIND(CONT_SUP[[#This Row],[SchoolCode]],_xlfn.TEXTJOIN(",",TRUE,_xlfn.UNIQUE(IF(EQW[EquatedWeekPatternCode]=CONT_SUP[[#This Row],[EquatedWeekPatternCode]],EQW[SchoolCodes],""))))),1,0))</f>
        <v>0</v>
      </c>
      <c r="P284" s="57">
        <f>1-COUNTIF(ContractTypes[Code],CONT_SUP[[#This Row],[ContractTypeCode]])</f>
        <v>0</v>
      </c>
      <c r="Q284" s="57">
        <f>IF(VLOOKUP(CONT_SUP[[#This Row],[StaffMemberCode]],MEMBERS[[StaffMemberCode]:[ServiceStartDate]],5,0)&gt;CONT_SUP[[#This Row],[DateFrom]],1,0)</f>
        <v>0</v>
      </c>
      <c r="R284" s="57">
        <f>IF(_xlfn.XLOOKUP(CONT_SUP[[#This Row],[StaffMemberCode]],MEMBERS[StaffMemberCode],MEMBERS[ServiceEndDate])="",0,IF(CONT_SUP[[#This Row],[DateTo]]="",1,IF(_xlfn.XLOOKUP(CONT_SUP[[#This Row],[StaffMemberCode]],MEMBERS[StaffMemberCode],MEMBERS[ServiceEndDate])&lt;CONT_SUP[[#This Row],[DateTo]],1,0)))</f>
        <v>0</v>
      </c>
      <c r="S284" s="57">
        <f>IF(ISBLANK(CONT_SUP[[#This Row],[DateTo]]),0,IF(CONT_SUP[[#This Row],[DateFrom]]=CONT_SUP[[#This Row],[DateTo]],0,IF(CONT_SUP[[#This Row],[DateFrom]]&lt;CONT_SUP[[#This Row],[DateTo]],0,1)))</f>
        <v>0</v>
      </c>
      <c r="T284" s="57" cm="1">
        <f t="array" aca="1" ref="T284" ca="1">IF(CELL("format",CONT_SUP[[#This Row],[DateFrom]])="D1",0,1)+IF(CELL("format",CONT_SUP[[#This Row],[DateTo]])="D1",0,1)</f>
        <v>0</v>
      </c>
      <c r="U284" s="57">
        <f>IF(OR(CONT_SUP[[#This Row],[MatEditOnly]]=TRUE,CONT_SUP[[#This Row],[MatEditOnly]]=FALSE),IF(OR(CONT_SUP[[#This Row],[NoIncrement]]=TRUE,CONT_SUP[[#This Row],[NoIncrement]]=FALSE),0,1),1)</f>
        <v>0</v>
      </c>
      <c r="V284" s="57">
        <f>IF(ISBLANK(CONT_SUP[[#This Row],[FundCode]])=TRUE,0,IF(COUNTIF(FUNDS[FundCode],CONT_SUP[[#This Row],[FundCode]])=1,0,1))</f>
        <v>0</v>
      </c>
      <c r="W284" s="57">
        <f>IF(LEN(CONT_SUP[[#This Row],[Notes]])&lt;4000,0,1)</f>
        <v>0</v>
      </c>
      <c r="X284" s="57">
        <f>IF(SUBSTITUTE(TEXT(CONT_SUP[[#This Row],[Reference]],10)," ","")=TEXT(CONT_SUP[[#This Row],[Reference]],10),0,1)</f>
        <v>0</v>
      </c>
      <c r="Y284" s="57">
        <f ca="1">SUM(CONT_SUP[[#This Row],[Duplicate Contract]:[Space in Code]])</f>
        <v>1</v>
      </c>
      <c r="AA284" s="12" t="s">
        <v>2082</v>
      </c>
      <c r="AB284" s="12">
        <v>91073679</v>
      </c>
      <c r="AC284" s="12" t="s">
        <v>4880</v>
      </c>
      <c r="AD284" s="57" t="str">
        <f>_xlfn.XLOOKUP(CONT_SUP[[#This Row],[StaffMemberCode]],StaffMembers!O:O,StaffMembers!R:R)</f>
        <v>Anthea Hughes</v>
      </c>
      <c r="AE284" s="12" t="s">
        <v>1184</v>
      </c>
      <c r="AF284" s="57">
        <f>_xlfn.XLOOKUP(CONT_SUP[[#This Row],[SRG]],SRG[StaffRoleGroupCode],SRG[GrossSalaryFinanceCode])</f>
        <v>622100</v>
      </c>
      <c r="AG284" s="57" t="str">
        <f>_xlfn.XLOOKUP(CONT_SUP[[#This Row],[StaffRoleCode]],ROLES[StaffRoleCode],ROLES[StaffRoleGroupCode])</f>
        <v>TEC</v>
      </c>
      <c r="AH284" s="57" t="str">
        <f>_xlfn.XLOOKUP(CONT_SUP[[#This Row],[StaffRoleCode]],ROLES[StaffRoleCode],ROLES[PayScaleCode])</f>
        <v>NJC_CHE</v>
      </c>
      <c r="AI284" s="12" t="s">
        <v>3122</v>
      </c>
      <c r="AJ284" s="12">
        <v>6</v>
      </c>
      <c r="AK284" s="12" t="s">
        <v>2501</v>
      </c>
      <c r="AM284" s="68" t="s">
        <v>3132</v>
      </c>
      <c r="AN284" s="12" t="s">
        <v>3134</v>
      </c>
      <c r="AO284" s="21">
        <v>45901</v>
      </c>
      <c r="AQ284" s="12">
        <v>13</v>
      </c>
      <c r="AR284" t="b">
        <v>0</v>
      </c>
      <c r="AS284" t="b">
        <v>0</v>
      </c>
      <c r="AT284" s="12" t="s">
        <v>1574</v>
      </c>
    </row>
    <row r="285" spans="1:46" x14ac:dyDescent="0.3">
      <c r="A285" s="57" t="str">
        <f t="shared" si="9"/>
        <v>ALS9185004491850044ATECSTECH45901</v>
      </c>
      <c r="B285" s="57">
        <f>COUNTIF(CONT_SUP[Unique Contract],CONT_SUP[[#This Row],[Unique Contract]])-1</f>
        <v>0</v>
      </c>
      <c r="C285" s="57">
        <f>IFERROR(IF(FIND(CONT_SUP[[#This Row],[SchoolCode]],_xlfn.XLOOKUP(CONT_SUP[[#This Row],[StaffMemberCode]],MEMBERS[StaffMemberCode],MEMBERS[SchoolCodes]))&gt;0,0,1),1)</f>
        <v>0</v>
      </c>
      <c r="D285" s="57" cm="1">
        <f t="array" ref="D285">IF(_xlfn.XLOOKUP(CONT_SUP[[#This Row],[StaffRoleCode]],ROLES[StaffRoleCode],ROLES[AvailableToAllSchools],1,0,)=TRUE,0,IF(ISERROR(FIND(CONT_SUP[[#This Row],[SchoolCode]],_xlfn.TEXTJOIN(",",TRUE,_xlfn.UNIQUE(IF(ROLES[StaffRoleCode]=CONT_SUP[[#This Row],[StaffRoleCode]],ROLES[SchoolCodes],""))))),1,0))</f>
        <v>0</v>
      </c>
      <c r="E285" s="57" cm="1">
        <f t="array" ref="E28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85" s="57" cm="1">
        <f t="array" ref="F285">IF(_xlfn.XLOOKUP(CONT_SUP[[#This Row],[PayScaleCode]],PAYSCALES[PayScaleCode],PAYSCALES[AvailableToAllSchools],1,0,)=TRUE,0,IF(ISERROR(FIND(CONT_SUP[[#This Row],[SchoolCode]],_xlfn.TEXTJOIN(",",TRUE,_xlfn.UNIQUE(IF(PAYSCALES[PayScaleCode]=CONT_SUP[[#This Row],[PayScaleCode]],PAYSCALES[SchoolCodes],""))))),1,0))</f>
        <v>0</v>
      </c>
      <c r="G285" s="57">
        <f>IF(_xlfn.XLOOKUP(CONT_SUP[[#This Row],[PayScaleGradeCode]],GRADES[PayScaleGradeCode],GRADES[AvailableToAllSchools])=TRUE,0,IFERROR(IF(FIND(CONT_SUP[[#This Row],[SchoolCode]],_xlfn.XLOOKUP(CONT_SUP[[#This Row],[PayScaleGradeCode]],GRADES[PayScaleGradeCode],GRADES[SchoolCodes]))&gt;=1,0,1),1))</f>
        <v>0</v>
      </c>
      <c r="H285" s="57">
        <f>IF(ISERROR(IF((_xlfn.XLOOKUP(CONT_SUP[[#This Row],[PayScaleGradeCode]],GRADES[PayScaleGradeCode],GRADES[PayScaleCode])=CONT_SUP[[#This Row],[PayScaleCode]]),0,1)),1,0)</f>
        <v>0</v>
      </c>
      <c r="I285" s="57" cm="1">
        <f t="array" ref="I285">IF(ISERROR(FIND(CONT_SUP[[#This Row],[PayScalePointCode]],_xlfn.TEXTJOIN(",",TRUE,IF(PSPOINTS[PayScaleCode]=CONT_SUP[[#This Row],[PayScaleCode]],PSPOINTS[PayScalePointCode])))),1,0)</f>
        <v>0</v>
      </c>
      <c r="J285" s="57" cm="1">
        <f t="array" ref="J28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85" s="57">
        <f>IF(_xlfn.XLOOKUP(CONT_SUP[[#This Row],[PayScalePointCode]],PSPOINTS[PayScalePointCode],PSPOINTS[PayScalePointEnabled])=TRUE,0,1)</f>
        <v>0</v>
      </c>
      <c r="L285" s="57" cm="1">
        <f t="array" ref="L285">IF(_xlfn.XLOOKUP(CONT_SUP[[#This Row],[DepartmentCode]],DEPTS[DepartmentCode],DEPTS[AvailableToAllSchools],1,0,)=TRUE,0,IF(ISERROR(FIND(CONT_SUP[[#This Row],[SchoolCode]],_xlfn.TEXTJOIN(",",TRUE,_xlfn.UNIQUE(IF(DEPTS[DepartmentCode]=CONT_SUP[[#This Row],[DepartmentCode]],DEPTS[SchoolCodes],""))))),1,0))</f>
        <v>0</v>
      </c>
      <c r="M285" s="57">
        <f>IFERROR(IF(_xlfn.XLOOKUP(CONT_SUP[[#This Row],[SRG Gross]],FinanceCodesBudget[FinanceCode],FinanceCodesBudget[LedgerCode])=_xlfn.XLOOKUP(CONT_SUP[[#This Row],[DepartmentCode]],DEPTS[DepartmentCode],DEPTS[LedgerCode]),0,1),1)</f>
        <v>1</v>
      </c>
      <c r="N285" s="57" cm="1">
        <f t="array" ref="N285">IF(_xlfn.XLOOKUP(CONT_SUP[[#This Row],[PensionCode]],PENS[PensionCode],PENS[AvailableToAllSchools],1,0,)=TRUE,0,IF(ISERROR(FIND(CONT_SUP[[#This Row],[SchoolCode]],_xlfn.TEXTJOIN(",",TRUE,_xlfn.UNIQUE(IF(PENS[PensionCode]=CONT_SUP[[#This Row],[PensionCode]],PENS[SchoolCodes],""))))),1,0))</f>
        <v>0</v>
      </c>
      <c r="O285" s="57" cm="1">
        <f t="array" ref="O285">IF(_xlfn.XLOOKUP(CONT_SUP[[#This Row],[EquatedWeekPatternCode]],EQW[EquatedWeekPatternCode],EQW[AvailableToAllSchools],1,0,)=TRUE,0,IF(ISERROR(FIND(CONT_SUP[[#This Row],[SchoolCode]],_xlfn.TEXTJOIN(",",TRUE,_xlfn.UNIQUE(IF(EQW[EquatedWeekPatternCode]=CONT_SUP[[#This Row],[EquatedWeekPatternCode]],EQW[SchoolCodes],""))))),1,0))</f>
        <v>0</v>
      </c>
      <c r="P285" s="57">
        <f>1-COUNTIF(ContractTypes[Code],CONT_SUP[[#This Row],[ContractTypeCode]])</f>
        <v>0</v>
      </c>
      <c r="Q285" s="57">
        <f>IF(VLOOKUP(CONT_SUP[[#This Row],[StaffMemberCode]],MEMBERS[[StaffMemberCode]:[ServiceStartDate]],5,0)&gt;CONT_SUP[[#This Row],[DateFrom]],1,0)</f>
        <v>0</v>
      </c>
      <c r="R285" s="57">
        <f>IF(_xlfn.XLOOKUP(CONT_SUP[[#This Row],[StaffMemberCode]],MEMBERS[StaffMemberCode],MEMBERS[ServiceEndDate])="",0,IF(CONT_SUP[[#This Row],[DateTo]]="",1,IF(_xlfn.XLOOKUP(CONT_SUP[[#This Row],[StaffMemberCode]],MEMBERS[StaffMemberCode],MEMBERS[ServiceEndDate])&lt;CONT_SUP[[#This Row],[DateTo]],1,0)))</f>
        <v>0</v>
      </c>
      <c r="S285" s="57">
        <f>IF(ISBLANK(CONT_SUP[[#This Row],[DateTo]]),0,IF(CONT_SUP[[#This Row],[DateFrom]]=CONT_SUP[[#This Row],[DateTo]],0,IF(CONT_SUP[[#This Row],[DateFrom]]&lt;CONT_SUP[[#This Row],[DateTo]],0,1)))</f>
        <v>0</v>
      </c>
      <c r="T285" s="57" cm="1">
        <f t="array" aca="1" ref="T285" ca="1">IF(CELL("format",CONT_SUP[[#This Row],[DateFrom]])="D1",0,1)+IF(CELL("format",CONT_SUP[[#This Row],[DateTo]])="D1",0,1)</f>
        <v>0</v>
      </c>
      <c r="U285" s="57">
        <f>IF(OR(CONT_SUP[[#This Row],[MatEditOnly]]=TRUE,CONT_SUP[[#This Row],[MatEditOnly]]=FALSE),IF(OR(CONT_SUP[[#This Row],[NoIncrement]]=TRUE,CONT_SUP[[#This Row],[NoIncrement]]=FALSE),0,1),1)</f>
        <v>0</v>
      </c>
      <c r="V285" s="57">
        <f>IF(ISBLANK(CONT_SUP[[#This Row],[FundCode]])=TRUE,0,IF(COUNTIF(FUNDS[FundCode],CONT_SUP[[#This Row],[FundCode]])=1,0,1))</f>
        <v>0</v>
      </c>
      <c r="W285" s="57">
        <f>IF(LEN(CONT_SUP[[#This Row],[Notes]])&lt;4000,0,1)</f>
        <v>0</v>
      </c>
      <c r="X285" s="57">
        <f>IF(SUBSTITUTE(TEXT(CONT_SUP[[#This Row],[Reference]],10)," ","")=TEXT(CONT_SUP[[#This Row],[Reference]],10),0,1)</f>
        <v>0</v>
      </c>
      <c r="Y285" s="57">
        <f ca="1">SUM(CONT_SUP[[#This Row],[Duplicate Contract]:[Space in Code]])</f>
        <v>1</v>
      </c>
      <c r="AA285" s="12" t="s">
        <v>2082</v>
      </c>
      <c r="AB285" s="12">
        <v>91850044</v>
      </c>
      <c r="AC285" s="12" t="s">
        <v>4881</v>
      </c>
      <c r="AD285" s="57" t="str">
        <f>_xlfn.XLOOKUP(CONT_SUP[[#This Row],[StaffMemberCode]],StaffMembers!O:O,StaffMembers!R:R)</f>
        <v>Jack Shanks</v>
      </c>
      <c r="AE285" s="12" t="s">
        <v>1184</v>
      </c>
      <c r="AF285" s="57">
        <f>_xlfn.XLOOKUP(CONT_SUP[[#This Row],[SRG]],SRG[StaffRoleGroupCode],SRG[GrossSalaryFinanceCode])</f>
        <v>622100</v>
      </c>
      <c r="AG285" s="57" t="str">
        <f>_xlfn.XLOOKUP(CONT_SUP[[#This Row],[StaffRoleCode]],ROLES[StaffRoleCode],ROLES[StaffRoleGroupCode])</f>
        <v>TEC</v>
      </c>
      <c r="AH285" s="57" t="str">
        <f>_xlfn.XLOOKUP(CONT_SUP[[#This Row],[StaffRoleCode]],ROLES[StaffRoleCode],ROLES[PayScaleCode])</f>
        <v>NJC_CHE</v>
      </c>
      <c r="AI285" s="12" t="s">
        <v>3122</v>
      </c>
      <c r="AJ285" s="12">
        <v>5</v>
      </c>
      <c r="AK285" s="12" t="s">
        <v>2501</v>
      </c>
      <c r="AM285" s="68" t="s">
        <v>3132</v>
      </c>
      <c r="AN285" s="12" t="s">
        <v>3134</v>
      </c>
      <c r="AO285" s="21">
        <v>45901</v>
      </c>
      <c r="AQ285" s="12">
        <v>22</v>
      </c>
      <c r="AR285" t="b">
        <v>0</v>
      </c>
      <c r="AS285" t="b">
        <v>0</v>
      </c>
      <c r="AT285" s="12" t="s">
        <v>1574</v>
      </c>
    </row>
    <row r="286" spans="1:46" x14ac:dyDescent="0.3">
      <c r="A286" s="57" t="str">
        <f t="shared" si="9"/>
        <v>BLS9107356991073569BTECSTECH45901</v>
      </c>
      <c r="B286" s="57">
        <f>COUNTIF(CONT_SUP[Unique Contract],CONT_SUP[[#This Row],[Unique Contract]])-1</f>
        <v>0</v>
      </c>
      <c r="C286" s="57">
        <f>IFERROR(IF(FIND(CONT_SUP[[#This Row],[SchoolCode]],_xlfn.XLOOKUP(CONT_SUP[[#This Row],[StaffMemberCode]],MEMBERS[StaffMemberCode],MEMBERS[SchoolCodes]))&gt;0,0,1),1)</f>
        <v>0</v>
      </c>
      <c r="D286" s="57" cm="1">
        <f t="array" ref="D286">IF(_xlfn.XLOOKUP(CONT_SUP[[#This Row],[StaffRoleCode]],ROLES[StaffRoleCode],ROLES[AvailableToAllSchools],1,0,)=TRUE,0,IF(ISERROR(FIND(CONT_SUP[[#This Row],[SchoolCode]],_xlfn.TEXTJOIN(",",TRUE,_xlfn.UNIQUE(IF(ROLES[StaffRoleCode]=CONT_SUP[[#This Row],[StaffRoleCode]],ROLES[SchoolCodes],""))))),1,0))</f>
        <v>0</v>
      </c>
      <c r="E286" s="57" cm="1">
        <f t="array" ref="E28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86" s="57" cm="1">
        <f t="array" ref="F286">IF(_xlfn.XLOOKUP(CONT_SUP[[#This Row],[PayScaleCode]],PAYSCALES[PayScaleCode],PAYSCALES[AvailableToAllSchools],1,0,)=TRUE,0,IF(ISERROR(FIND(CONT_SUP[[#This Row],[SchoolCode]],_xlfn.TEXTJOIN(",",TRUE,_xlfn.UNIQUE(IF(PAYSCALES[PayScaleCode]=CONT_SUP[[#This Row],[PayScaleCode]],PAYSCALES[SchoolCodes],""))))),1,0))</f>
        <v>0</v>
      </c>
      <c r="G286" s="57">
        <f>IF(_xlfn.XLOOKUP(CONT_SUP[[#This Row],[PayScaleGradeCode]],GRADES[PayScaleGradeCode],GRADES[AvailableToAllSchools])=TRUE,0,IFERROR(IF(FIND(CONT_SUP[[#This Row],[SchoolCode]],_xlfn.XLOOKUP(CONT_SUP[[#This Row],[PayScaleGradeCode]],GRADES[PayScaleGradeCode],GRADES[SchoolCodes]))&gt;=1,0,1),1))</f>
        <v>0</v>
      </c>
      <c r="H286" s="57">
        <f>IF(ISERROR(IF((_xlfn.XLOOKUP(CONT_SUP[[#This Row],[PayScaleGradeCode]],GRADES[PayScaleGradeCode],GRADES[PayScaleCode])=CONT_SUP[[#This Row],[PayScaleCode]]),0,1)),1,0)</f>
        <v>0</v>
      </c>
      <c r="I286" s="57" cm="1">
        <f t="array" ref="I286">IF(ISERROR(FIND(CONT_SUP[[#This Row],[PayScalePointCode]],_xlfn.TEXTJOIN(",",TRUE,IF(PSPOINTS[PayScaleCode]=CONT_SUP[[#This Row],[PayScaleCode]],PSPOINTS[PayScalePointCode])))),1,0)</f>
        <v>0</v>
      </c>
      <c r="J286" s="57" cm="1">
        <f t="array" ref="J28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86" s="57">
        <f>IF(_xlfn.XLOOKUP(CONT_SUP[[#This Row],[PayScalePointCode]],PSPOINTS[PayScalePointCode],PSPOINTS[PayScalePointEnabled])=TRUE,0,1)</f>
        <v>0</v>
      </c>
      <c r="L286" s="57" cm="1">
        <f t="array" ref="L286">IF(_xlfn.XLOOKUP(CONT_SUP[[#This Row],[DepartmentCode]],DEPTS[DepartmentCode],DEPTS[AvailableToAllSchools],1,0,)=TRUE,0,IF(ISERROR(FIND(CONT_SUP[[#This Row],[SchoolCode]],_xlfn.TEXTJOIN(",",TRUE,_xlfn.UNIQUE(IF(DEPTS[DepartmentCode]=CONT_SUP[[#This Row],[DepartmentCode]],DEPTS[SchoolCodes],""))))),1,0))</f>
        <v>0</v>
      </c>
      <c r="M286" s="57">
        <f>IFERROR(IF(_xlfn.XLOOKUP(CONT_SUP[[#This Row],[SRG Gross]],FinanceCodesBudget[FinanceCode],FinanceCodesBudget[LedgerCode])=_xlfn.XLOOKUP(CONT_SUP[[#This Row],[DepartmentCode]],DEPTS[DepartmentCode],DEPTS[LedgerCode]),0,1),1)</f>
        <v>1</v>
      </c>
      <c r="N286" s="57" cm="1">
        <f t="array" ref="N286">IF(_xlfn.XLOOKUP(CONT_SUP[[#This Row],[PensionCode]],PENS[PensionCode],PENS[AvailableToAllSchools],1,0,)=TRUE,0,IF(ISERROR(FIND(CONT_SUP[[#This Row],[SchoolCode]],_xlfn.TEXTJOIN(",",TRUE,_xlfn.UNIQUE(IF(PENS[PensionCode]=CONT_SUP[[#This Row],[PensionCode]],PENS[SchoolCodes],""))))),1,0))</f>
        <v>0</v>
      </c>
      <c r="O286" s="57" cm="1">
        <f t="array" ref="O286">IF(_xlfn.XLOOKUP(CONT_SUP[[#This Row],[EquatedWeekPatternCode]],EQW[EquatedWeekPatternCode],EQW[AvailableToAllSchools],1,0,)=TRUE,0,IF(ISERROR(FIND(CONT_SUP[[#This Row],[SchoolCode]],_xlfn.TEXTJOIN(",",TRUE,_xlfn.UNIQUE(IF(EQW[EquatedWeekPatternCode]=CONT_SUP[[#This Row],[EquatedWeekPatternCode]],EQW[SchoolCodes],""))))),1,0))</f>
        <v>0</v>
      </c>
      <c r="P286" s="57">
        <f>1-COUNTIF(ContractTypes[Code],CONT_SUP[[#This Row],[ContractTypeCode]])</f>
        <v>0</v>
      </c>
      <c r="Q286" s="57">
        <f>IF(VLOOKUP(CONT_SUP[[#This Row],[StaffMemberCode]],MEMBERS[[StaffMemberCode]:[ServiceStartDate]],5,0)&gt;CONT_SUP[[#This Row],[DateFrom]],1,0)</f>
        <v>0</v>
      </c>
      <c r="R286" s="57">
        <f>IF(_xlfn.XLOOKUP(CONT_SUP[[#This Row],[StaffMemberCode]],MEMBERS[StaffMemberCode],MEMBERS[ServiceEndDate])="",0,IF(CONT_SUP[[#This Row],[DateTo]]="",1,IF(_xlfn.XLOOKUP(CONT_SUP[[#This Row],[StaffMemberCode]],MEMBERS[StaffMemberCode],MEMBERS[ServiceEndDate])&lt;CONT_SUP[[#This Row],[DateTo]],1,0)))</f>
        <v>0</v>
      </c>
      <c r="S286" s="57">
        <f>IF(ISBLANK(CONT_SUP[[#This Row],[DateTo]]),0,IF(CONT_SUP[[#This Row],[DateFrom]]=CONT_SUP[[#This Row],[DateTo]],0,IF(CONT_SUP[[#This Row],[DateFrom]]&lt;CONT_SUP[[#This Row],[DateTo]],0,1)))</f>
        <v>0</v>
      </c>
      <c r="T286" s="57" cm="1">
        <f t="array" aca="1" ref="T286" ca="1">IF(CELL("format",CONT_SUP[[#This Row],[DateFrom]])="D1",0,1)+IF(CELL("format",CONT_SUP[[#This Row],[DateTo]])="D1",0,1)</f>
        <v>0</v>
      </c>
      <c r="U286" s="57">
        <f>IF(OR(CONT_SUP[[#This Row],[MatEditOnly]]=TRUE,CONT_SUP[[#This Row],[MatEditOnly]]=FALSE),IF(OR(CONT_SUP[[#This Row],[NoIncrement]]=TRUE,CONT_SUP[[#This Row],[NoIncrement]]=FALSE),0,1),1)</f>
        <v>0</v>
      </c>
      <c r="V286" s="57">
        <f>IF(ISBLANK(CONT_SUP[[#This Row],[FundCode]])=TRUE,0,IF(COUNTIF(FUNDS[FundCode],CONT_SUP[[#This Row],[FundCode]])=1,0,1))</f>
        <v>0</v>
      </c>
      <c r="W286" s="57">
        <f>IF(LEN(CONT_SUP[[#This Row],[Notes]])&lt;4000,0,1)</f>
        <v>0</v>
      </c>
      <c r="X286" s="57">
        <f>IF(SUBSTITUTE(TEXT(CONT_SUP[[#This Row],[Reference]],10)," ","")=TEXT(CONT_SUP[[#This Row],[Reference]],10),0,1)</f>
        <v>0</v>
      </c>
      <c r="Y286" s="57">
        <f ca="1">SUM(CONT_SUP[[#This Row],[Duplicate Contract]:[Space in Code]])</f>
        <v>1</v>
      </c>
      <c r="AA286" s="12" t="s">
        <v>2094</v>
      </c>
      <c r="AB286" s="12">
        <v>91073569</v>
      </c>
      <c r="AC286" s="12" t="s">
        <v>4882</v>
      </c>
      <c r="AD286" s="57" t="str">
        <f>_xlfn.XLOOKUP(CONT_SUP[[#This Row],[StaffMemberCode]],StaffMembers!O:O,StaffMembers!R:R)</f>
        <v>Joanne Green</v>
      </c>
      <c r="AE286" s="12" t="s">
        <v>1184</v>
      </c>
      <c r="AF286" s="57">
        <f>_xlfn.XLOOKUP(CONT_SUP[[#This Row],[SRG]],SRG[StaffRoleGroupCode],SRG[GrossSalaryFinanceCode])</f>
        <v>622100</v>
      </c>
      <c r="AG286" s="57" t="str">
        <f>_xlfn.XLOOKUP(CONT_SUP[[#This Row],[StaffRoleCode]],ROLES[StaffRoleCode],ROLES[StaffRoleGroupCode])</f>
        <v>TEC</v>
      </c>
      <c r="AH286" s="57" t="str">
        <f>_xlfn.XLOOKUP(CONT_SUP[[#This Row],[StaffRoleCode]],ROLES[StaffRoleCode],ROLES[PayScaleCode])</f>
        <v>NJC_CHE</v>
      </c>
      <c r="AI286" s="12" t="s">
        <v>3121</v>
      </c>
      <c r="AJ286" s="12">
        <v>4</v>
      </c>
      <c r="AK286" s="12" t="s">
        <v>2501</v>
      </c>
      <c r="AM286" s="68" t="s">
        <v>1149</v>
      </c>
      <c r="AN286" s="12" t="s">
        <v>3134</v>
      </c>
      <c r="AO286" s="21">
        <v>45901</v>
      </c>
      <c r="AQ286" s="12">
        <v>22.5</v>
      </c>
      <c r="AR286" t="b">
        <v>0</v>
      </c>
      <c r="AS286" t="b">
        <v>0</v>
      </c>
      <c r="AT286" s="12" t="s">
        <v>1574</v>
      </c>
    </row>
    <row r="287" spans="1:46" x14ac:dyDescent="0.3">
      <c r="A287" s="57" t="str">
        <f t="shared" si="9"/>
        <v>BLS9107344791073447ATECSTECH45901</v>
      </c>
      <c r="B287" s="57">
        <f>COUNTIF(CONT_SUP[Unique Contract],CONT_SUP[[#This Row],[Unique Contract]])-1</f>
        <v>0</v>
      </c>
      <c r="C287" s="57">
        <f>IFERROR(IF(FIND(CONT_SUP[[#This Row],[SchoolCode]],_xlfn.XLOOKUP(CONT_SUP[[#This Row],[StaffMemberCode]],MEMBERS[StaffMemberCode],MEMBERS[SchoolCodes]))&gt;0,0,1),1)</f>
        <v>0</v>
      </c>
      <c r="D287" s="57" cm="1">
        <f t="array" ref="D287">IF(_xlfn.XLOOKUP(CONT_SUP[[#This Row],[StaffRoleCode]],ROLES[StaffRoleCode],ROLES[AvailableToAllSchools],1,0,)=TRUE,0,IF(ISERROR(FIND(CONT_SUP[[#This Row],[SchoolCode]],_xlfn.TEXTJOIN(",",TRUE,_xlfn.UNIQUE(IF(ROLES[StaffRoleCode]=CONT_SUP[[#This Row],[StaffRoleCode]],ROLES[SchoolCodes],""))))),1,0))</f>
        <v>0</v>
      </c>
      <c r="E287" s="57" cm="1">
        <f t="array" ref="E28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87" s="57" cm="1">
        <f t="array" ref="F287">IF(_xlfn.XLOOKUP(CONT_SUP[[#This Row],[PayScaleCode]],PAYSCALES[PayScaleCode],PAYSCALES[AvailableToAllSchools],1,0,)=TRUE,0,IF(ISERROR(FIND(CONT_SUP[[#This Row],[SchoolCode]],_xlfn.TEXTJOIN(",",TRUE,_xlfn.UNIQUE(IF(PAYSCALES[PayScaleCode]=CONT_SUP[[#This Row],[PayScaleCode]],PAYSCALES[SchoolCodes],""))))),1,0))</f>
        <v>0</v>
      </c>
      <c r="G287" s="57">
        <f>IF(_xlfn.XLOOKUP(CONT_SUP[[#This Row],[PayScaleGradeCode]],GRADES[PayScaleGradeCode],GRADES[AvailableToAllSchools])=TRUE,0,IFERROR(IF(FIND(CONT_SUP[[#This Row],[SchoolCode]],_xlfn.XLOOKUP(CONT_SUP[[#This Row],[PayScaleGradeCode]],GRADES[PayScaleGradeCode],GRADES[SchoolCodes]))&gt;=1,0,1),1))</f>
        <v>0</v>
      </c>
      <c r="H287" s="57">
        <f>IF(ISERROR(IF((_xlfn.XLOOKUP(CONT_SUP[[#This Row],[PayScaleGradeCode]],GRADES[PayScaleGradeCode],GRADES[PayScaleCode])=CONT_SUP[[#This Row],[PayScaleCode]]),0,1)),1,0)</f>
        <v>0</v>
      </c>
      <c r="I287" s="57" cm="1">
        <f t="array" ref="I287">IF(ISERROR(FIND(CONT_SUP[[#This Row],[PayScalePointCode]],_xlfn.TEXTJOIN(",",TRUE,IF(PSPOINTS[PayScaleCode]=CONT_SUP[[#This Row],[PayScaleCode]],PSPOINTS[PayScalePointCode])))),1,0)</f>
        <v>0</v>
      </c>
      <c r="J287" s="57" cm="1">
        <f t="array" ref="J28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87" s="57">
        <f>IF(_xlfn.XLOOKUP(CONT_SUP[[#This Row],[PayScalePointCode]],PSPOINTS[PayScalePointCode],PSPOINTS[PayScalePointEnabled])=TRUE,0,1)</f>
        <v>0</v>
      </c>
      <c r="L287" s="57" cm="1">
        <f t="array" ref="L287">IF(_xlfn.XLOOKUP(CONT_SUP[[#This Row],[DepartmentCode]],DEPTS[DepartmentCode],DEPTS[AvailableToAllSchools],1,0,)=TRUE,0,IF(ISERROR(FIND(CONT_SUP[[#This Row],[SchoolCode]],_xlfn.TEXTJOIN(",",TRUE,_xlfn.UNIQUE(IF(DEPTS[DepartmentCode]=CONT_SUP[[#This Row],[DepartmentCode]],DEPTS[SchoolCodes],""))))),1,0))</f>
        <v>0</v>
      </c>
      <c r="M287" s="57">
        <f>IFERROR(IF(_xlfn.XLOOKUP(CONT_SUP[[#This Row],[SRG Gross]],FinanceCodesBudget[FinanceCode],FinanceCodesBudget[LedgerCode])=_xlfn.XLOOKUP(CONT_SUP[[#This Row],[DepartmentCode]],DEPTS[DepartmentCode],DEPTS[LedgerCode]),0,1),1)</f>
        <v>1</v>
      </c>
      <c r="N287" s="57" cm="1">
        <f t="array" ref="N287">IF(_xlfn.XLOOKUP(CONT_SUP[[#This Row],[PensionCode]],PENS[PensionCode],PENS[AvailableToAllSchools],1,0,)=TRUE,0,IF(ISERROR(FIND(CONT_SUP[[#This Row],[SchoolCode]],_xlfn.TEXTJOIN(",",TRUE,_xlfn.UNIQUE(IF(PENS[PensionCode]=CONT_SUP[[#This Row],[PensionCode]],PENS[SchoolCodes],""))))),1,0))</f>
        <v>0</v>
      </c>
      <c r="O287" s="57" cm="1">
        <f t="array" ref="O287">IF(_xlfn.XLOOKUP(CONT_SUP[[#This Row],[EquatedWeekPatternCode]],EQW[EquatedWeekPatternCode],EQW[AvailableToAllSchools],1,0,)=TRUE,0,IF(ISERROR(FIND(CONT_SUP[[#This Row],[SchoolCode]],_xlfn.TEXTJOIN(",",TRUE,_xlfn.UNIQUE(IF(EQW[EquatedWeekPatternCode]=CONT_SUP[[#This Row],[EquatedWeekPatternCode]],EQW[SchoolCodes],""))))),1,0))</f>
        <v>0</v>
      </c>
      <c r="P287" s="57">
        <f>1-COUNTIF(ContractTypes[Code],CONT_SUP[[#This Row],[ContractTypeCode]])</f>
        <v>0</v>
      </c>
      <c r="Q287" s="57">
        <f>IF(VLOOKUP(CONT_SUP[[#This Row],[StaffMemberCode]],MEMBERS[[StaffMemberCode]:[ServiceStartDate]],5,0)&gt;CONT_SUP[[#This Row],[DateFrom]],1,0)</f>
        <v>0</v>
      </c>
      <c r="R287" s="57">
        <f>IF(_xlfn.XLOOKUP(CONT_SUP[[#This Row],[StaffMemberCode]],MEMBERS[StaffMemberCode],MEMBERS[ServiceEndDate])="",0,IF(CONT_SUP[[#This Row],[DateTo]]="",1,IF(_xlfn.XLOOKUP(CONT_SUP[[#This Row],[StaffMemberCode]],MEMBERS[StaffMemberCode],MEMBERS[ServiceEndDate])&lt;CONT_SUP[[#This Row],[DateTo]],1,0)))</f>
        <v>0</v>
      </c>
      <c r="S287" s="57">
        <f>IF(ISBLANK(CONT_SUP[[#This Row],[DateTo]]),0,IF(CONT_SUP[[#This Row],[DateFrom]]=CONT_SUP[[#This Row],[DateTo]],0,IF(CONT_SUP[[#This Row],[DateFrom]]&lt;CONT_SUP[[#This Row],[DateTo]],0,1)))</f>
        <v>0</v>
      </c>
      <c r="T287" s="57" cm="1">
        <f t="array" aca="1" ref="T287" ca="1">IF(CELL("format",CONT_SUP[[#This Row],[DateFrom]])="D1",0,1)+IF(CELL("format",CONT_SUP[[#This Row],[DateTo]])="D1",0,1)</f>
        <v>0</v>
      </c>
      <c r="U287" s="57">
        <f>IF(OR(CONT_SUP[[#This Row],[MatEditOnly]]=TRUE,CONT_SUP[[#This Row],[MatEditOnly]]=FALSE),IF(OR(CONT_SUP[[#This Row],[NoIncrement]]=TRUE,CONT_SUP[[#This Row],[NoIncrement]]=FALSE),0,1),1)</f>
        <v>0</v>
      </c>
      <c r="V287" s="57">
        <f>IF(ISBLANK(CONT_SUP[[#This Row],[FundCode]])=TRUE,0,IF(COUNTIF(FUNDS[FundCode],CONT_SUP[[#This Row],[FundCode]])=1,0,1))</f>
        <v>0</v>
      </c>
      <c r="W287" s="57">
        <f>IF(LEN(CONT_SUP[[#This Row],[Notes]])&lt;4000,0,1)</f>
        <v>0</v>
      </c>
      <c r="X287" s="57">
        <f>IF(SUBSTITUTE(TEXT(CONT_SUP[[#This Row],[Reference]],10)," ","")=TEXT(CONT_SUP[[#This Row],[Reference]],10),0,1)</f>
        <v>0</v>
      </c>
      <c r="Y287" s="57">
        <f ca="1">SUM(CONT_SUP[[#This Row],[Duplicate Contract]:[Space in Code]])</f>
        <v>1</v>
      </c>
      <c r="AA287" s="12" t="s">
        <v>2094</v>
      </c>
      <c r="AB287" s="12">
        <v>91073447</v>
      </c>
      <c r="AC287" s="12" t="s">
        <v>4883</v>
      </c>
      <c r="AD287" s="57" t="str">
        <f>_xlfn.XLOOKUP(CONT_SUP[[#This Row],[StaffMemberCode]],StaffMembers!O:O,StaffMembers!R:R)</f>
        <v>Julia Mathers</v>
      </c>
      <c r="AE287" s="12" t="s">
        <v>1184</v>
      </c>
      <c r="AF287" s="57">
        <f>_xlfn.XLOOKUP(CONT_SUP[[#This Row],[SRG]],SRG[StaffRoleGroupCode],SRG[GrossSalaryFinanceCode])</f>
        <v>622100</v>
      </c>
      <c r="AG287" s="57" t="str">
        <f>_xlfn.XLOOKUP(CONT_SUP[[#This Row],[StaffRoleCode]],ROLES[StaffRoleCode],ROLES[StaffRoleGroupCode])</f>
        <v>TEC</v>
      </c>
      <c r="AH287" s="57" t="str">
        <f>_xlfn.XLOOKUP(CONT_SUP[[#This Row],[StaffRoleCode]],ROLES[StaffRoleCode],ROLES[PayScaleCode])</f>
        <v>NJC_CHE</v>
      </c>
      <c r="AI287" s="12" t="s">
        <v>3121</v>
      </c>
      <c r="AJ287" s="12">
        <v>4</v>
      </c>
      <c r="AK287" s="12" t="s">
        <v>2501</v>
      </c>
      <c r="AM287" s="68" t="s">
        <v>3132</v>
      </c>
      <c r="AN287" s="12" t="s">
        <v>3135</v>
      </c>
      <c r="AO287" s="21">
        <v>45901</v>
      </c>
      <c r="AQ287" s="12">
        <v>32.5</v>
      </c>
      <c r="AR287" t="b">
        <v>0</v>
      </c>
      <c r="AS287" t="b">
        <v>0</v>
      </c>
      <c r="AT287" s="12" t="s">
        <v>1574</v>
      </c>
    </row>
    <row r="288" spans="1:46" x14ac:dyDescent="0.3">
      <c r="A288" s="57" t="str">
        <f t="shared" si="9"/>
        <v>BLS9132775891327758ATECSTECH45901</v>
      </c>
      <c r="B288" s="57">
        <f>COUNTIF(CONT_SUP[Unique Contract],CONT_SUP[[#This Row],[Unique Contract]])-1</f>
        <v>0</v>
      </c>
      <c r="C288" s="57">
        <f>IFERROR(IF(FIND(CONT_SUP[[#This Row],[SchoolCode]],_xlfn.XLOOKUP(CONT_SUP[[#This Row],[StaffMemberCode]],MEMBERS[StaffMemberCode],MEMBERS[SchoolCodes]))&gt;0,0,1),1)</f>
        <v>0</v>
      </c>
      <c r="D288" s="57" cm="1">
        <f t="array" ref="D288">IF(_xlfn.XLOOKUP(CONT_SUP[[#This Row],[StaffRoleCode]],ROLES[StaffRoleCode],ROLES[AvailableToAllSchools],1,0,)=TRUE,0,IF(ISERROR(FIND(CONT_SUP[[#This Row],[SchoolCode]],_xlfn.TEXTJOIN(",",TRUE,_xlfn.UNIQUE(IF(ROLES[StaffRoleCode]=CONT_SUP[[#This Row],[StaffRoleCode]],ROLES[SchoolCodes],""))))),1,0))</f>
        <v>0</v>
      </c>
      <c r="E288" s="57" cm="1">
        <f t="array" ref="E28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88" s="57" cm="1">
        <f t="array" ref="F288">IF(_xlfn.XLOOKUP(CONT_SUP[[#This Row],[PayScaleCode]],PAYSCALES[PayScaleCode],PAYSCALES[AvailableToAllSchools],1,0,)=TRUE,0,IF(ISERROR(FIND(CONT_SUP[[#This Row],[SchoolCode]],_xlfn.TEXTJOIN(",",TRUE,_xlfn.UNIQUE(IF(PAYSCALES[PayScaleCode]=CONT_SUP[[#This Row],[PayScaleCode]],PAYSCALES[SchoolCodes],""))))),1,0))</f>
        <v>0</v>
      </c>
      <c r="G288" s="57">
        <f>IF(_xlfn.XLOOKUP(CONT_SUP[[#This Row],[PayScaleGradeCode]],GRADES[PayScaleGradeCode],GRADES[AvailableToAllSchools])=TRUE,0,IFERROR(IF(FIND(CONT_SUP[[#This Row],[SchoolCode]],_xlfn.XLOOKUP(CONT_SUP[[#This Row],[PayScaleGradeCode]],GRADES[PayScaleGradeCode],GRADES[SchoolCodes]))&gt;=1,0,1),1))</f>
        <v>0</v>
      </c>
      <c r="H288" s="57">
        <f>IF(ISERROR(IF((_xlfn.XLOOKUP(CONT_SUP[[#This Row],[PayScaleGradeCode]],GRADES[PayScaleGradeCode],GRADES[PayScaleCode])=CONT_SUP[[#This Row],[PayScaleCode]]),0,1)),1,0)</f>
        <v>0</v>
      </c>
      <c r="I288" s="57" cm="1">
        <f t="array" ref="I288">IF(ISERROR(FIND(CONT_SUP[[#This Row],[PayScalePointCode]],_xlfn.TEXTJOIN(",",TRUE,IF(PSPOINTS[PayScaleCode]=CONT_SUP[[#This Row],[PayScaleCode]],PSPOINTS[PayScalePointCode])))),1,0)</f>
        <v>0</v>
      </c>
      <c r="J288" s="57" cm="1">
        <f t="array" ref="J28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88" s="57">
        <f>IF(_xlfn.XLOOKUP(CONT_SUP[[#This Row],[PayScalePointCode]],PSPOINTS[PayScalePointCode],PSPOINTS[PayScalePointEnabled])=TRUE,0,1)</f>
        <v>0</v>
      </c>
      <c r="L288" s="57" cm="1">
        <f t="array" ref="L288">IF(_xlfn.XLOOKUP(CONT_SUP[[#This Row],[DepartmentCode]],DEPTS[DepartmentCode],DEPTS[AvailableToAllSchools],1,0,)=TRUE,0,IF(ISERROR(FIND(CONT_SUP[[#This Row],[SchoolCode]],_xlfn.TEXTJOIN(",",TRUE,_xlfn.UNIQUE(IF(DEPTS[DepartmentCode]=CONT_SUP[[#This Row],[DepartmentCode]],DEPTS[SchoolCodes],""))))),1,0))</f>
        <v>0</v>
      </c>
      <c r="M288" s="57">
        <f>IFERROR(IF(_xlfn.XLOOKUP(CONT_SUP[[#This Row],[SRG Gross]],FinanceCodesBudget[FinanceCode],FinanceCodesBudget[LedgerCode])=_xlfn.XLOOKUP(CONT_SUP[[#This Row],[DepartmentCode]],DEPTS[DepartmentCode],DEPTS[LedgerCode]),0,1),1)</f>
        <v>1</v>
      </c>
      <c r="N288" s="57" cm="1">
        <f t="array" ref="N288">IF(_xlfn.XLOOKUP(CONT_SUP[[#This Row],[PensionCode]],PENS[PensionCode],PENS[AvailableToAllSchools],1,0,)=TRUE,0,IF(ISERROR(FIND(CONT_SUP[[#This Row],[SchoolCode]],_xlfn.TEXTJOIN(",",TRUE,_xlfn.UNIQUE(IF(PENS[PensionCode]=CONT_SUP[[#This Row],[PensionCode]],PENS[SchoolCodes],""))))),1,0))</f>
        <v>0</v>
      </c>
      <c r="O288" s="57" cm="1">
        <f t="array" ref="O288">IF(_xlfn.XLOOKUP(CONT_SUP[[#This Row],[EquatedWeekPatternCode]],EQW[EquatedWeekPatternCode],EQW[AvailableToAllSchools],1,0,)=TRUE,0,IF(ISERROR(FIND(CONT_SUP[[#This Row],[SchoolCode]],_xlfn.TEXTJOIN(",",TRUE,_xlfn.UNIQUE(IF(EQW[EquatedWeekPatternCode]=CONT_SUP[[#This Row],[EquatedWeekPatternCode]],EQW[SchoolCodes],""))))),1,0))</f>
        <v>0</v>
      </c>
      <c r="P288" s="57">
        <f>1-COUNTIF(ContractTypes[Code],CONT_SUP[[#This Row],[ContractTypeCode]])</f>
        <v>0</v>
      </c>
      <c r="Q288" s="57">
        <f>IF(VLOOKUP(CONT_SUP[[#This Row],[StaffMemberCode]],MEMBERS[[StaffMemberCode]:[ServiceStartDate]],5,0)&gt;CONT_SUP[[#This Row],[DateFrom]],1,0)</f>
        <v>0</v>
      </c>
      <c r="R288" s="57">
        <f>IF(_xlfn.XLOOKUP(CONT_SUP[[#This Row],[StaffMemberCode]],MEMBERS[StaffMemberCode],MEMBERS[ServiceEndDate])="",0,IF(CONT_SUP[[#This Row],[DateTo]]="",1,IF(_xlfn.XLOOKUP(CONT_SUP[[#This Row],[StaffMemberCode]],MEMBERS[StaffMemberCode],MEMBERS[ServiceEndDate])&lt;CONT_SUP[[#This Row],[DateTo]],1,0)))</f>
        <v>0</v>
      </c>
      <c r="S288" s="57">
        <f>IF(ISBLANK(CONT_SUP[[#This Row],[DateTo]]),0,IF(CONT_SUP[[#This Row],[DateFrom]]=CONT_SUP[[#This Row],[DateTo]],0,IF(CONT_SUP[[#This Row],[DateFrom]]&lt;CONT_SUP[[#This Row],[DateTo]],0,1)))</f>
        <v>0</v>
      </c>
      <c r="T288" s="57" cm="1">
        <f t="array" aca="1" ref="T288" ca="1">IF(CELL("format",CONT_SUP[[#This Row],[DateFrom]])="D1",0,1)+IF(CELL("format",CONT_SUP[[#This Row],[DateTo]])="D1",0,1)</f>
        <v>0</v>
      </c>
      <c r="U288" s="57">
        <f>IF(OR(CONT_SUP[[#This Row],[MatEditOnly]]=TRUE,CONT_SUP[[#This Row],[MatEditOnly]]=FALSE),IF(OR(CONT_SUP[[#This Row],[NoIncrement]]=TRUE,CONT_SUP[[#This Row],[NoIncrement]]=FALSE),0,1),1)</f>
        <v>0</v>
      </c>
      <c r="V288" s="57">
        <f>IF(ISBLANK(CONT_SUP[[#This Row],[FundCode]])=TRUE,0,IF(COUNTIF(FUNDS[FundCode],CONT_SUP[[#This Row],[FundCode]])=1,0,1))</f>
        <v>0</v>
      </c>
      <c r="W288" s="57">
        <f>IF(LEN(CONT_SUP[[#This Row],[Notes]])&lt;4000,0,1)</f>
        <v>0</v>
      </c>
      <c r="X288" s="57">
        <f>IF(SUBSTITUTE(TEXT(CONT_SUP[[#This Row],[Reference]],10)," ","")=TEXT(CONT_SUP[[#This Row],[Reference]],10),0,1)</f>
        <v>0</v>
      </c>
      <c r="Y288" s="57">
        <f ca="1">SUM(CONT_SUP[[#This Row],[Duplicate Contract]:[Space in Code]])</f>
        <v>1</v>
      </c>
      <c r="AA288" s="12" t="s">
        <v>2094</v>
      </c>
      <c r="AB288" s="12">
        <v>91327758</v>
      </c>
      <c r="AC288" s="12" t="s">
        <v>4884</v>
      </c>
      <c r="AD288" s="57" t="str">
        <f>_xlfn.XLOOKUP(CONT_SUP[[#This Row],[StaffMemberCode]],StaffMembers!O:O,StaffMembers!R:R)</f>
        <v>Lewis Platt</v>
      </c>
      <c r="AE288" s="12" t="s">
        <v>1184</v>
      </c>
      <c r="AF288" s="57">
        <f>_xlfn.XLOOKUP(CONT_SUP[[#This Row],[SRG]],SRG[StaffRoleGroupCode],SRG[GrossSalaryFinanceCode])</f>
        <v>622100</v>
      </c>
      <c r="AG288" s="57" t="str">
        <f>_xlfn.XLOOKUP(CONT_SUP[[#This Row],[StaffRoleCode]],ROLES[StaffRoleCode],ROLES[StaffRoleGroupCode])</f>
        <v>TEC</v>
      </c>
      <c r="AH288" s="57" t="str">
        <f>_xlfn.XLOOKUP(CONT_SUP[[#This Row],[StaffRoleCode]],ROLES[StaffRoleCode],ROLES[PayScaleCode])</f>
        <v>NJC_CHE</v>
      </c>
      <c r="AI288" s="12" t="s">
        <v>3121</v>
      </c>
      <c r="AJ288" s="12">
        <v>3</v>
      </c>
      <c r="AK288" s="12" t="s">
        <v>2501</v>
      </c>
      <c r="AM288" s="68" t="s">
        <v>3132</v>
      </c>
      <c r="AN288" s="12" t="s">
        <v>1702</v>
      </c>
      <c r="AO288" s="21">
        <v>45901</v>
      </c>
      <c r="AQ288" s="12">
        <v>37</v>
      </c>
      <c r="AR288" t="b">
        <v>0</v>
      </c>
      <c r="AS288" t="b">
        <v>0</v>
      </c>
      <c r="AT288" s="12" t="s">
        <v>1574</v>
      </c>
    </row>
    <row r="289" spans="1:46" x14ac:dyDescent="0.3">
      <c r="A289" s="57" t="str">
        <f t="shared" si="9"/>
        <v>ALS9107378091073780ATECSTECH45901</v>
      </c>
      <c r="B289" s="57">
        <f>COUNTIF(CONT_SUP[Unique Contract],CONT_SUP[[#This Row],[Unique Contract]])-1</f>
        <v>0</v>
      </c>
      <c r="C289" s="57">
        <f>IFERROR(IF(FIND(CONT_SUP[[#This Row],[SchoolCode]],_xlfn.XLOOKUP(CONT_SUP[[#This Row],[StaffMemberCode]],MEMBERS[StaffMemberCode],MEMBERS[SchoolCodes]))&gt;0,0,1),1)</f>
        <v>0</v>
      </c>
      <c r="D289" s="57" cm="1">
        <f t="array" ref="D289">IF(_xlfn.XLOOKUP(CONT_SUP[[#This Row],[StaffRoleCode]],ROLES[StaffRoleCode],ROLES[AvailableToAllSchools],1,0,)=TRUE,0,IF(ISERROR(FIND(CONT_SUP[[#This Row],[SchoolCode]],_xlfn.TEXTJOIN(",",TRUE,_xlfn.UNIQUE(IF(ROLES[StaffRoleCode]=CONT_SUP[[#This Row],[StaffRoleCode]],ROLES[SchoolCodes],""))))),1,0))</f>
        <v>0</v>
      </c>
      <c r="E289" s="57" cm="1">
        <f t="array" ref="E28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89" s="57" cm="1">
        <f t="array" ref="F289">IF(_xlfn.XLOOKUP(CONT_SUP[[#This Row],[PayScaleCode]],PAYSCALES[PayScaleCode],PAYSCALES[AvailableToAllSchools],1,0,)=TRUE,0,IF(ISERROR(FIND(CONT_SUP[[#This Row],[SchoolCode]],_xlfn.TEXTJOIN(",",TRUE,_xlfn.UNIQUE(IF(PAYSCALES[PayScaleCode]=CONT_SUP[[#This Row],[PayScaleCode]],PAYSCALES[SchoolCodes],""))))),1,0))</f>
        <v>0</v>
      </c>
      <c r="G289" s="57">
        <f>IF(_xlfn.XLOOKUP(CONT_SUP[[#This Row],[PayScaleGradeCode]],GRADES[PayScaleGradeCode],GRADES[AvailableToAllSchools])=TRUE,0,IFERROR(IF(FIND(CONT_SUP[[#This Row],[SchoolCode]],_xlfn.XLOOKUP(CONT_SUP[[#This Row],[PayScaleGradeCode]],GRADES[PayScaleGradeCode],GRADES[SchoolCodes]))&gt;=1,0,1),1))</f>
        <v>0</v>
      </c>
      <c r="H289" s="57">
        <f>IF(ISERROR(IF((_xlfn.XLOOKUP(CONT_SUP[[#This Row],[PayScaleGradeCode]],GRADES[PayScaleGradeCode],GRADES[PayScaleCode])=CONT_SUP[[#This Row],[PayScaleCode]]),0,1)),1,0)</f>
        <v>0</v>
      </c>
      <c r="I289" s="57" cm="1">
        <f t="array" ref="I289">IF(ISERROR(FIND(CONT_SUP[[#This Row],[PayScalePointCode]],_xlfn.TEXTJOIN(",",TRUE,IF(PSPOINTS[PayScaleCode]=CONT_SUP[[#This Row],[PayScaleCode]],PSPOINTS[PayScalePointCode])))),1,0)</f>
        <v>0</v>
      </c>
      <c r="J289" s="57" cm="1">
        <f t="array" ref="J28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89" s="57">
        <f>IF(_xlfn.XLOOKUP(CONT_SUP[[#This Row],[PayScalePointCode]],PSPOINTS[PayScalePointCode],PSPOINTS[PayScalePointEnabled])=TRUE,0,1)</f>
        <v>0</v>
      </c>
      <c r="L289" s="57" cm="1">
        <f t="array" ref="L289">IF(_xlfn.XLOOKUP(CONT_SUP[[#This Row],[DepartmentCode]],DEPTS[DepartmentCode],DEPTS[AvailableToAllSchools],1,0,)=TRUE,0,IF(ISERROR(FIND(CONT_SUP[[#This Row],[SchoolCode]],_xlfn.TEXTJOIN(",",TRUE,_xlfn.UNIQUE(IF(DEPTS[DepartmentCode]=CONT_SUP[[#This Row],[DepartmentCode]],DEPTS[SchoolCodes],""))))),1,0))</f>
        <v>0</v>
      </c>
      <c r="M289" s="57">
        <f>IFERROR(IF(_xlfn.XLOOKUP(CONT_SUP[[#This Row],[SRG Gross]],FinanceCodesBudget[FinanceCode],FinanceCodesBudget[LedgerCode])=_xlfn.XLOOKUP(CONT_SUP[[#This Row],[DepartmentCode]],DEPTS[DepartmentCode],DEPTS[LedgerCode]),0,1),1)</f>
        <v>1</v>
      </c>
      <c r="N289" s="57" cm="1">
        <f t="array" ref="N289">IF(_xlfn.XLOOKUP(CONT_SUP[[#This Row],[PensionCode]],PENS[PensionCode],PENS[AvailableToAllSchools],1,0,)=TRUE,0,IF(ISERROR(FIND(CONT_SUP[[#This Row],[SchoolCode]],_xlfn.TEXTJOIN(",",TRUE,_xlfn.UNIQUE(IF(PENS[PensionCode]=CONT_SUP[[#This Row],[PensionCode]],PENS[SchoolCodes],""))))),1,0))</f>
        <v>0</v>
      </c>
      <c r="O289" s="57" cm="1">
        <f t="array" ref="O289">IF(_xlfn.XLOOKUP(CONT_SUP[[#This Row],[EquatedWeekPatternCode]],EQW[EquatedWeekPatternCode],EQW[AvailableToAllSchools],1,0,)=TRUE,0,IF(ISERROR(FIND(CONT_SUP[[#This Row],[SchoolCode]],_xlfn.TEXTJOIN(",",TRUE,_xlfn.UNIQUE(IF(EQW[EquatedWeekPatternCode]=CONT_SUP[[#This Row],[EquatedWeekPatternCode]],EQW[SchoolCodes],""))))),1,0))</f>
        <v>0</v>
      </c>
      <c r="P289" s="57">
        <f>1-COUNTIF(ContractTypes[Code],CONT_SUP[[#This Row],[ContractTypeCode]])</f>
        <v>0</v>
      </c>
      <c r="Q289" s="57">
        <f>IF(VLOOKUP(CONT_SUP[[#This Row],[StaffMemberCode]],MEMBERS[[StaffMemberCode]:[ServiceStartDate]],5,0)&gt;CONT_SUP[[#This Row],[DateFrom]],1,0)</f>
        <v>0</v>
      </c>
      <c r="R289" s="57">
        <f>IF(_xlfn.XLOOKUP(CONT_SUP[[#This Row],[StaffMemberCode]],MEMBERS[StaffMemberCode],MEMBERS[ServiceEndDate])="",0,IF(CONT_SUP[[#This Row],[DateTo]]="",1,IF(_xlfn.XLOOKUP(CONT_SUP[[#This Row],[StaffMemberCode]],MEMBERS[StaffMemberCode],MEMBERS[ServiceEndDate])&lt;CONT_SUP[[#This Row],[DateTo]],1,0)))</f>
        <v>0</v>
      </c>
      <c r="S289" s="57">
        <f>IF(ISBLANK(CONT_SUP[[#This Row],[DateTo]]),0,IF(CONT_SUP[[#This Row],[DateFrom]]=CONT_SUP[[#This Row],[DateTo]],0,IF(CONT_SUP[[#This Row],[DateFrom]]&lt;CONT_SUP[[#This Row],[DateTo]],0,1)))</f>
        <v>0</v>
      </c>
      <c r="T289" s="57" cm="1">
        <f t="array" aca="1" ref="T289" ca="1">IF(CELL("format",CONT_SUP[[#This Row],[DateFrom]])="D1",0,1)+IF(CELL("format",CONT_SUP[[#This Row],[DateTo]])="D1",0,1)</f>
        <v>0</v>
      </c>
      <c r="U289" s="57">
        <f>IF(OR(CONT_SUP[[#This Row],[MatEditOnly]]=TRUE,CONT_SUP[[#This Row],[MatEditOnly]]=FALSE),IF(OR(CONT_SUP[[#This Row],[NoIncrement]]=TRUE,CONT_SUP[[#This Row],[NoIncrement]]=FALSE),0,1),1)</f>
        <v>0</v>
      </c>
      <c r="V289" s="57">
        <f>IF(ISBLANK(CONT_SUP[[#This Row],[FundCode]])=TRUE,0,IF(COUNTIF(FUNDS[FundCode],CONT_SUP[[#This Row],[FundCode]])=1,0,1))</f>
        <v>0</v>
      </c>
      <c r="W289" s="57">
        <f>IF(LEN(CONT_SUP[[#This Row],[Notes]])&lt;4000,0,1)</f>
        <v>0</v>
      </c>
      <c r="X289" s="57">
        <f>IF(SUBSTITUTE(TEXT(CONT_SUP[[#This Row],[Reference]],10)," ","")=TEXT(CONT_SUP[[#This Row],[Reference]],10),0,1)</f>
        <v>0</v>
      </c>
      <c r="Y289" s="57">
        <f ca="1">SUM(CONT_SUP[[#This Row],[Duplicate Contract]:[Space in Code]])</f>
        <v>1</v>
      </c>
      <c r="AA289" s="12" t="s">
        <v>2082</v>
      </c>
      <c r="AB289" s="12">
        <v>91073780</v>
      </c>
      <c r="AC289" s="12" t="s">
        <v>4885</v>
      </c>
      <c r="AD289" s="57" t="str">
        <f>_xlfn.XLOOKUP(CONT_SUP[[#This Row],[StaffMemberCode]],StaffMembers!O:O,StaffMembers!R:R)</f>
        <v>Mark Preston</v>
      </c>
      <c r="AE289" s="12" t="s">
        <v>1184</v>
      </c>
      <c r="AF289" s="57">
        <f>_xlfn.XLOOKUP(CONT_SUP[[#This Row],[SRG]],SRG[StaffRoleGroupCode],SRG[GrossSalaryFinanceCode])</f>
        <v>622100</v>
      </c>
      <c r="AG289" s="57" t="str">
        <f>_xlfn.XLOOKUP(CONT_SUP[[#This Row],[StaffRoleCode]],ROLES[StaffRoleCode],ROLES[StaffRoleGroupCode])</f>
        <v>TEC</v>
      </c>
      <c r="AH289" s="57" t="str">
        <f>_xlfn.XLOOKUP(CONT_SUP[[#This Row],[StaffRoleCode]],ROLES[StaffRoleCode],ROLES[PayScaleCode])</f>
        <v>NJC_CHE</v>
      </c>
      <c r="AI289" s="12" t="s">
        <v>3121</v>
      </c>
      <c r="AJ289" s="12">
        <v>4</v>
      </c>
      <c r="AK289" s="12" t="s">
        <v>2501</v>
      </c>
      <c r="AM289" s="68" t="s">
        <v>1149</v>
      </c>
      <c r="AN289" s="12" t="s">
        <v>3134</v>
      </c>
      <c r="AO289" s="21">
        <v>45901</v>
      </c>
      <c r="AQ289" s="12">
        <v>22.5</v>
      </c>
      <c r="AR289" t="b">
        <v>0</v>
      </c>
      <c r="AS289" t="b">
        <v>0</v>
      </c>
      <c r="AT289" s="12" t="s">
        <v>1574</v>
      </c>
    </row>
    <row r="290" spans="1:46" x14ac:dyDescent="0.3">
      <c r="A290" s="57" t="str">
        <f t="shared" si="9"/>
        <v>ALS9107376691073766ATECSTECH45901</v>
      </c>
      <c r="B290" s="57">
        <f>COUNTIF(CONT_SUP[Unique Contract],CONT_SUP[[#This Row],[Unique Contract]])-1</f>
        <v>0</v>
      </c>
      <c r="C290" s="57">
        <f>IFERROR(IF(FIND(CONT_SUP[[#This Row],[SchoolCode]],_xlfn.XLOOKUP(CONT_SUP[[#This Row],[StaffMemberCode]],MEMBERS[StaffMemberCode],MEMBERS[SchoolCodes]))&gt;0,0,1),1)</f>
        <v>0</v>
      </c>
      <c r="D290" s="57" cm="1">
        <f t="array" ref="D290">IF(_xlfn.XLOOKUP(CONT_SUP[[#This Row],[StaffRoleCode]],ROLES[StaffRoleCode],ROLES[AvailableToAllSchools],1,0,)=TRUE,0,IF(ISERROR(FIND(CONT_SUP[[#This Row],[SchoolCode]],_xlfn.TEXTJOIN(",",TRUE,_xlfn.UNIQUE(IF(ROLES[StaffRoleCode]=CONT_SUP[[#This Row],[StaffRoleCode]],ROLES[SchoolCodes],""))))),1,0))</f>
        <v>0</v>
      </c>
      <c r="E290" s="57" cm="1">
        <f t="array" ref="E29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90" s="57" cm="1">
        <f t="array" ref="F290">IF(_xlfn.XLOOKUP(CONT_SUP[[#This Row],[PayScaleCode]],PAYSCALES[PayScaleCode],PAYSCALES[AvailableToAllSchools],1,0,)=TRUE,0,IF(ISERROR(FIND(CONT_SUP[[#This Row],[SchoolCode]],_xlfn.TEXTJOIN(",",TRUE,_xlfn.UNIQUE(IF(PAYSCALES[PayScaleCode]=CONT_SUP[[#This Row],[PayScaleCode]],PAYSCALES[SchoolCodes],""))))),1,0))</f>
        <v>0</v>
      </c>
      <c r="G290" s="57">
        <f>IF(_xlfn.XLOOKUP(CONT_SUP[[#This Row],[PayScaleGradeCode]],GRADES[PayScaleGradeCode],GRADES[AvailableToAllSchools])=TRUE,0,IFERROR(IF(FIND(CONT_SUP[[#This Row],[SchoolCode]],_xlfn.XLOOKUP(CONT_SUP[[#This Row],[PayScaleGradeCode]],GRADES[PayScaleGradeCode],GRADES[SchoolCodes]))&gt;=1,0,1),1))</f>
        <v>0</v>
      </c>
      <c r="H290" s="57">
        <f>IF(ISERROR(IF((_xlfn.XLOOKUP(CONT_SUP[[#This Row],[PayScaleGradeCode]],GRADES[PayScaleGradeCode],GRADES[PayScaleCode])=CONT_SUP[[#This Row],[PayScaleCode]]),0,1)),1,0)</f>
        <v>0</v>
      </c>
      <c r="I290" s="57" cm="1">
        <f t="array" ref="I290">IF(ISERROR(FIND(CONT_SUP[[#This Row],[PayScalePointCode]],_xlfn.TEXTJOIN(",",TRUE,IF(PSPOINTS[PayScaleCode]=CONT_SUP[[#This Row],[PayScaleCode]],PSPOINTS[PayScalePointCode])))),1,0)</f>
        <v>0</v>
      </c>
      <c r="J290" s="57" cm="1">
        <f t="array" ref="J29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90" s="57">
        <f>IF(_xlfn.XLOOKUP(CONT_SUP[[#This Row],[PayScalePointCode]],PSPOINTS[PayScalePointCode],PSPOINTS[PayScalePointEnabled])=TRUE,0,1)</f>
        <v>0</v>
      </c>
      <c r="L290" s="57" cm="1">
        <f t="array" ref="L290">IF(_xlfn.XLOOKUP(CONT_SUP[[#This Row],[DepartmentCode]],DEPTS[DepartmentCode],DEPTS[AvailableToAllSchools],1,0,)=TRUE,0,IF(ISERROR(FIND(CONT_SUP[[#This Row],[SchoolCode]],_xlfn.TEXTJOIN(",",TRUE,_xlfn.UNIQUE(IF(DEPTS[DepartmentCode]=CONT_SUP[[#This Row],[DepartmentCode]],DEPTS[SchoolCodes],""))))),1,0))</f>
        <v>0</v>
      </c>
      <c r="M290" s="57">
        <f>IFERROR(IF(_xlfn.XLOOKUP(CONT_SUP[[#This Row],[SRG Gross]],FinanceCodesBudget[FinanceCode],FinanceCodesBudget[LedgerCode])=_xlfn.XLOOKUP(CONT_SUP[[#This Row],[DepartmentCode]],DEPTS[DepartmentCode],DEPTS[LedgerCode]),0,1),1)</f>
        <v>1</v>
      </c>
      <c r="N290" s="57" cm="1">
        <f t="array" ref="N290">IF(_xlfn.XLOOKUP(CONT_SUP[[#This Row],[PensionCode]],PENS[PensionCode],PENS[AvailableToAllSchools],1,0,)=TRUE,0,IF(ISERROR(FIND(CONT_SUP[[#This Row],[SchoolCode]],_xlfn.TEXTJOIN(",",TRUE,_xlfn.UNIQUE(IF(PENS[PensionCode]=CONT_SUP[[#This Row],[PensionCode]],PENS[SchoolCodes],""))))),1,0))</f>
        <v>0</v>
      </c>
      <c r="O290" s="57" cm="1">
        <f t="array" ref="O290">IF(_xlfn.XLOOKUP(CONT_SUP[[#This Row],[EquatedWeekPatternCode]],EQW[EquatedWeekPatternCode],EQW[AvailableToAllSchools],1,0,)=TRUE,0,IF(ISERROR(FIND(CONT_SUP[[#This Row],[SchoolCode]],_xlfn.TEXTJOIN(",",TRUE,_xlfn.UNIQUE(IF(EQW[EquatedWeekPatternCode]=CONT_SUP[[#This Row],[EquatedWeekPatternCode]],EQW[SchoolCodes],""))))),1,0))</f>
        <v>0</v>
      </c>
      <c r="P290" s="57">
        <f>1-COUNTIF(ContractTypes[Code],CONT_SUP[[#This Row],[ContractTypeCode]])</f>
        <v>0</v>
      </c>
      <c r="Q290" s="57">
        <f>IF(VLOOKUP(CONT_SUP[[#This Row],[StaffMemberCode]],MEMBERS[[StaffMemberCode]:[ServiceStartDate]],5,0)&gt;CONT_SUP[[#This Row],[DateFrom]],1,0)</f>
        <v>0</v>
      </c>
      <c r="R290" s="57">
        <f>IF(_xlfn.XLOOKUP(CONT_SUP[[#This Row],[StaffMemberCode]],MEMBERS[StaffMemberCode],MEMBERS[ServiceEndDate])="",0,IF(CONT_SUP[[#This Row],[DateTo]]="",1,IF(_xlfn.XLOOKUP(CONT_SUP[[#This Row],[StaffMemberCode]],MEMBERS[StaffMemberCode],MEMBERS[ServiceEndDate])&lt;CONT_SUP[[#This Row],[DateTo]],1,0)))</f>
        <v>0</v>
      </c>
      <c r="S290" s="57">
        <f>IF(ISBLANK(CONT_SUP[[#This Row],[DateTo]]),0,IF(CONT_SUP[[#This Row],[DateFrom]]=CONT_SUP[[#This Row],[DateTo]],0,IF(CONT_SUP[[#This Row],[DateFrom]]&lt;CONT_SUP[[#This Row],[DateTo]],0,1)))</f>
        <v>0</v>
      </c>
      <c r="T290" s="57" cm="1">
        <f t="array" aca="1" ref="T290" ca="1">IF(CELL("format",CONT_SUP[[#This Row],[DateFrom]])="D1",0,1)+IF(CELL("format",CONT_SUP[[#This Row],[DateTo]])="D1",0,1)</f>
        <v>0</v>
      </c>
      <c r="U290" s="57">
        <f>IF(OR(CONT_SUP[[#This Row],[MatEditOnly]]=TRUE,CONT_SUP[[#This Row],[MatEditOnly]]=FALSE),IF(OR(CONT_SUP[[#This Row],[NoIncrement]]=TRUE,CONT_SUP[[#This Row],[NoIncrement]]=FALSE),0,1),1)</f>
        <v>0</v>
      </c>
      <c r="V290" s="57">
        <f>IF(ISBLANK(CONT_SUP[[#This Row],[FundCode]])=TRUE,0,IF(COUNTIF(FUNDS[FundCode],CONT_SUP[[#This Row],[FundCode]])=1,0,1))</f>
        <v>0</v>
      </c>
      <c r="W290" s="57">
        <f>IF(LEN(CONT_SUP[[#This Row],[Notes]])&lt;4000,0,1)</f>
        <v>0</v>
      </c>
      <c r="X290" s="57">
        <f>IF(SUBSTITUTE(TEXT(CONT_SUP[[#This Row],[Reference]],10)," ","")=TEXT(CONT_SUP[[#This Row],[Reference]],10),0,1)</f>
        <v>0</v>
      </c>
      <c r="Y290" s="57">
        <f ca="1">SUM(CONT_SUP[[#This Row],[Duplicate Contract]:[Space in Code]])</f>
        <v>1</v>
      </c>
      <c r="AA290" s="12" t="s">
        <v>2082</v>
      </c>
      <c r="AB290" s="12">
        <v>91073766</v>
      </c>
      <c r="AC290" s="12" t="s">
        <v>4886</v>
      </c>
      <c r="AD290" s="57" t="str">
        <f>_xlfn.XLOOKUP(CONT_SUP[[#This Row],[StaffMemberCode]],StaffMembers!O:O,StaffMembers!R:R)</f>
        <v>Neil Langton-Miller</v>
      </c>
      <c r="AE290" s="12" t="s">
        <v>1184</v>
      </c>
      <c r="AF290" s="57">
        <f>_xlfn.XLOOKUP(CONT_SUP[[#This Row],[SRG]],SRG[StaffRoleGroupCode],SRG[GrossSalaryFinanceCode])</f>
        <v>622100</v>
      </c>
      <c r="AG290" s="57" t="str">
        <f>_xlfn.XLOOKUP(CONT_SUP[[#This Row],[StaffRoleCode]],ROLES[StaffRoleCode],ROLES[StaffRoleGroupCode])</f>
        <v>TEC</v>
      </c>
      <c r="AH290" s="57" t="str">
        <f>_xlfn.XLOOKUP(CONT_SUP[[#This Row],[StaffRoleCode]],ROLES[StaffRoleCode],ROLES[PayScaleCode])</f>
        <v>NJC_CHE</v>
      </c>
      <c r="AI290" s="12" t="s">
        <v>3122</v>
      </c>
      <c r="AJ290" s="12">
        <v>6</v>
      </c>
      <c r="AK290" s="12" t="s">
        <v>2501</v>
      </c>
      <c r="AM290" s="68" t="s">
        <v>3132</v>
      </c>
      <c r="AN290" s="12" t="s">
        <v>3134</v>
      </c>
      <c r="AO290" s="21">
        <v>45901</v>
      </c>
      <c r="AQ290" s="12">
        <v>34</v>
      </c>
      <c r="AR290" t="b">
        <v>0</v>
      </c>
      <c r="AS290" t="b">
        <v>0</v>
      </c>
      <c r="AT290" s="12" t="s">
        <v>1574</v>
      </c>
    </row>
    <row r="291" spans="1:46" x14ac:dyDescent="0.3">
      <c r="A291" s="57" t="str">
        <f t="shared" si="9"/>
        <v>BLS9107362291073622ATECSTECH45901</v>
      </c>
      <c r="B291" s="57">
        <f>COUNTIF(CONT_SUP[Unique Contract],CONT_SUP[[#This Row],[Unique Contract]])-1</f>
        <v>0</v>
      </c>
      <c r="C291" s="57">
        <f>IFERROR(IF(FIND(CONT_SUP[[#This Row],[SchoolCode]],_xlfn.XLOOKUP(CONT_SUP[[#This Row],[StaffMemberCode]],MEMBERS[StaffMemberCode],MEMBERS[SchoolCodes]))&gt;0,0,1),1)</f>
        <v>0</v>
      </c>
      <c r="D291" s="57" cm="1">
        <f t="array" ref="D291">IF(_xlfn.XLOOKUP(CONT_SUP[[#This Row],[StaffRoleCode]],ROLES[StaffRoleCode],ROLES[AvailableToAllSchools],1,0,)=TRUE,0,IF(ISERROR(FIND(CONT_SUP[[#This Row],[SchoolCode]],_xlfn.TEXTJOIN(",",TRUE,_xlfn.UNIQUE(IF(ROLES[StaffRoleCode]=CONT_SUP[[#This Row],[StaffRoleCode]],ROLES[SchoolCodes],""))))),1,0))</f>
        <v>0</v>
      </c>
      <c r="E291" s="57" cm="1">
        <f t="array" ref="E29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91" s="57" cm="1">
        <f t="array" ref="F291">IF(_xlfn.XLOOKUP(CONT_SUP[[#This Row],[PayScaleCode]],PAYSCALES[PayScaleCode],PAYSCALES[AvailableToAllSchools],1,0,)=TRUE,0,IF(ISERROR(FIND(CONT_SUP[[#This Row],[SchoolCode]],_xlfn.TEXTJOIN(",",TRUE,_xlfn.UNIQUE(IF(PAYSCALES[PayScaleCode]=CONT_SUP[[#This Row],[PayScaleCode]],PAYSCALES[SchoolCodes],""))))),1,0))</f>
        <v>0</v>
      </c>
      <c r="G291" s="57">
        <f>IF(_xlfn.XLOOKUP(CONT_SUP[[#This Row],[PayScaleGradeCode]],GRADES[PayScaleGradeCode],GRADES[AvailableToAllSchools])=TRUE,0,IFERROR(IF(FIND(CONT_SUP[[#This Row],[SchoolCode]],_xlfn.XLOOKUP(CONT_SUP[[#This Row],[PayScaleGradeCode]],GRADES[PayScaleGradeCode],GRADES[SchoolCodes]))&gt;=1,0,1),1))</f>
        <v>0</v>
      </c>
      <c r="H291" s="57">
        <f>IF(ISERROR(IF((_xlfn.XLOOKUP(CONT_SUP[[#This Row],[PayScaleGradeCode]],GRADES[PayScaleGradeCode],GRADES[PayScaleCode])=CONT_SUP[[#This Row],[PayScaleCode]]),0,1)),1,0)</f>
        <v>0</v>
      </c>
      <c r="I291" s="57" cm="1">
        <f t="array" ref="I291">IF(ISERROR(FIND(CONT_SUP[[#This Row],[PayScalePointCode]],_xlfn.TEXTJOIN(",",TRUE,IF(PSPOINTS[PayScaleCode]=CONT_SUP[[#This Row],[PayScaleCode]],PSPOINTS[PayScalePointCode])))),1,0)</f>
        <v>0</v>
      </c>
      <c r="J291" s="57" cm="1">
        <f t="array" ref="J29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91" s="57">
        <f>IF(_xlfn.XLOOKUP(CONT_SUP[[#This Row],[PayScalePointCode]],PSPOINTS[PayScalePointCode],PSPOINTS[PayScalePointEnabled])=TRUE,0,1)</f>
        <v>0</v>
      </c>
      <c r="L291" s="57" cm="1">
        <f t="array" ref="L291">IF(_xlfn.XLOOKUP(CONT_SUP[[#This Row],[DepartmentCode]],DEPTS[DepartmentCode],DEPTS[AvailableToAllSchools],1,0,)=TRUE,0,IF(ISERROR(FIND(CONT_SUP[[#This Row],[SchoolCode]],_xlfn.TEXTJOIN(",",TRUE,_xlfn.UNIQUE(IF(DEPTS[DepartmentCode]=CONT_SUP[[#This Row],[DepartmentCode]],DEPTS[SchoolCodes],""))))),1,0))</f>
        <v>0</v>
      </c>
      <c r="M291" s="57">
        <f>IFERROR(IF(_xlfn.XLOOKUP(CONT_SUP[[#This Row],[SRG Gross]],FinanceCodesBudget[FinanceCode],FinanceCodesBudget[LedgerCode])=_xlfn.XLOOKUP(CONT_SUP[[#This Row],[DepartmentCode]],DEPTS[DepartmentCode],DEPTS[LedgerCode]),0,1),1)</f>
        <v>1</v>
      </c>
      <c r="N291" s="57" cm="1">
        <f t="array" ref="N291">IF(_xlfn.XLOOKUP(CONT_SUP[[#This Row],[PensionCode]],PENS[PensionCode],PENS[AvailableToAllSchools],1,0,)=TRUE,0,IF(ISERROR(FIND(CONT_SUP[[#This Row],[SchoolCode]],_xlfn.TEXTJOIN(",",TRUE,_xlfn.UNIQUE(IF(PENS[PensionCode]=CONT_SUP[[#This Row],[PensionCode]],PENS[SchoolCodes],""))))),1,0))</f>
        <v>0</v>
      </c>
      <c r="O291" s="57" cm="1">
        <f t="array" ref="O291">IF(_xlfn.XLOOKUP(CONT_SUP[[#This Row],[EquatedWeekPatternCode]],EQW[EquatedWeekPatternCode],EQW[AvailableToAllSchools],1,0,)=TRUE,0,IF(ISERROR(FIND(CONT_SUP[[#This Row],[SchoolCode]],_xlfn.TEXTJOIN(",",TRUE,_xlfn.UNIQUE(IF(EQW[EquatedWeekPatternCode]=CONT_SUP[[#This Row],[EquatedWeekPatternCode]],EQW[SchoolCodes],""))))),1,0))</f>
        <v>0</v>
      </c>
      <c r="P291" s="57">
        <f>1-COUNTIF(ContractTypes[Code],CONT_SUP[[#This Row],[ContractTypeCode]])</f>
        <v>0</v>
      </c>
      <c r="Q291" s="57">
        <f>IF(VLOOKUP(CONT_SUP[[#This Row],[StaffMemberCode]],MEMBERS[[StaffMemberCode]:[ServiceStartDate]],5,0)&gt;CONT_SUP[[#This Row],[DateFrom]],1,0)</f>
        <v>0</v>
      </c>
      <c r="R291" s="57">
        <f>IF(_xlfn.XLOOKUP(CONT_SUP[[#This Row],[StaffMemberCode]],MEMBERS[StaffMemberCode],MEMBERS[ServiceEndDate])="",0,IF(CONT_SUP[[#This Row],[DateTo]]="",1,IF(_xlfn.XLOOKUP(CONT_SUP[[#This Row],[StaffMemberCode]],MEMBERS[StaffMemberCode],MEMBERS[ServiceEndDate])&lt;CONT_SUP[[#This Row],[DateTo]],1,0)))</f>
        <v>0</v>
      </c>
      <c r="S291" s="57">
        <f>IF(ISBLANK(CONT_SUP[[#This Row],[DateTo]]),0,IF(CONT_SUP[[#This Row],[DateFrom]]=CONT_SUP[[#This Row],[DateTo]],0,IF(CONT_SUP[[#This Row],[DateFrom]]&lt;CONT_SUP[[#This Row],[DateTo]],0,1)))</f>
        <v>0</v>
      </c>
      <c r="T291" s="57" cm="1">
        <f t="array" aca="1" ref="T291" ca="1">IF(CELL("format",CONT_SUP[[#This Row],[DateFrom]])="D1",0,1)+IF(CELL("format",CONT_SUP[[#This Row],[DateTo]])="D1",0,1)</f>
        <v>0</v>
      </c>
      <c r="U291" s="57">
        <f>IF(OR(CONT_SUP[[#This Row],[MatEditOnly]]=TRUE,CONT_SUP[[#This Row],[MatEditOnly]]=FALSE),IF(OR(CONT_SUP[[#This Row],[NoIncrement]]=TRUE,CONT_SUP[[#This Row],[NoIncrement]]=FALSE),0,1),1)</f>
        <v>0</v>
      </c>
      <c r="V291" s="57">
        <f>IF(ISBLANK(CONT_SUP[[#This Row],[FundCode]])=TRUE,0,IF(COUNTIF(FUNDS[FundCode],CONT_SUP[[#This Row],[FundCode]])=1,0,1))</f>
        <v>0</v>
      </c>
      <c r="W291" s="57">
        <f>IF(LEN(CONT_SUP[[#This Row],[Notes]])&lt;4000,0,1)</f>
        <v>0</v>
      </c>
      <c r="X291" s="57">
        <f>IF(SUBSTITUTE(TEXT(CONT_SUP[[#This Row],[Reference]],10)," ","")=TEXT(CONT_SUP[[#This Row],[Reference]],10),0,1)</f>
        <v>0</v>
      </c>
      <c r="Y291" s="57">
        <f ca="1">SUM(CONT_SUP[[#This Row],[Duplicate Contract]:[Space in Code]])</f>
        <v>1</v>
      </c>
      <c r="AA291" s="12" t="s">
        <v>2094</v>
      </c>
      <c r="AB291" s="12">
        <v>91073622</v>
      </c>
      <c r="AC291" s="12" t="s">
        <v>4887</v>
      </c>
      <c r="AD291" s="57" t="str">
        <f>_xlfn.XLOOKUP(CONT_SUP[[#This Row],[StaffMemberCode]],StaffMembers!O:O,StaffMembers!R:R)</f>
        <v>Nicola Mathers</v>
      </c>
      <c r="AE291" s="12" t="s">
        <v>1184</v>
      </c>
      <c r="AF291" s="57">
        <f>_xlfn.XLOOKUP(CONT_SUP[[#This Row],[SRG]],SRG[StaffRoleGroupCode],SRG[GrossSalaryFinanceCode])</f>
        <v>622100</v>
      </c>
      <c r="AG291" s="57" t="str">
        <f>_xlfn.XLOOKUP(CONT_SUP[[#This Row],[StaffRoleCode]],ROLES[StaffRoleCode],ROLES[StaffRoleGroupCode])</f>
        <v>TEC</v>
      </c>
      <c r="AH291" s="57" t="str">
        <f>_xlfn.XLOOKUP(CONT_SUP[[#This Row],[StaffRoleCode]],ROLES[StaffRoleCode],ROLES[PayScaleCode])</f>
        <v>NJC_CHE</v>
      </c>
      <c r="AI291" s="12" t="s">
        <v>3122</v>
      </c>
      <c r="AJ291" s="12">
        <v>5</v>
      </c>
      <c r="AK291" s="12" t="s">
        <v>2501</v>
      </c>
      <c r="AM291" s="68" t="s">
        <v>3132</v>
      </c>
      <c r="AN291" s="12" t="s">
        <v>3135</v>
      </c>
      <c r="AO291" s="21">
        <v>45901</v>
      </c>
      <c r="AQ291" s="12">
        <v>21</v>
      </c>
      <c r="AR291" t="b">
        <v>0</v>
      </c>
      <c r="AS291" t="b">
        <v>0</v>
      </c>
      <c r="AT291" s="12" t="s">
        <v>1574</v>
      </c>
    </row>
    <row r="292" spans="1:46" x14ac:dyDescent="0.3">
      <c r="A292" s="57" t="str">
        <f t="shared" si="9"/>
        <v>ALS9107375491073754ATECSTECH45901</v>
      </c>
      <c r="B292" s="57">
        <f>COUNTIF(CONT_SUP[Unique Contract],CONT_SUP[[#This Row],[Unique Contract]])-1</f>
        <v>0</v>
      </c>
      <c r="C292" s="57">
        <f>IFERROR(IF(FIND(CONT_SUP[[#This Row],[SchoolCode]],_xlfn.XLOOKUP(CONT_SUP[[#This Row],[StaffMemberCode]],MEMBERS[StaffMemberCode],MEMBERS[SchoolCodes]))&gt;0,0,1),1)</f>
        <v>0</v>
      </c>
      <c r="D292" s="57" cm="1">
        <f t="array" ref="D292">IF(_xlfn.XLOOKUP(CONT_SUP[[#This Row],[StaffRoleCode]],ROLES[StaffRoleCode],ROLES[AvailableToAllSchools],1,0,)=TRUE,0,IF(ISERROR(FIND(CONT_SUP[[#This Row],[SchoolCode]],_xlfn.TEXTJOIN(",",TRUE,_xlfn.UNIQUE(IF(ROLES[StaffRoleCode]=CONT_SUP[[#This Row],[StaffRoleCode]],ROLES[SchoolCodes],""))))),1,0))</f>
        <v>0</v>
      </c>
      <c r="E292" s="57" cm="1">
        <f t="array" ref="E29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92" s="57" cm="1">
        <f t="array" ref="F292">IF(_xlfn.XLOOKUP(CONT_SUP[[#This Row],[PayScaleCode]],PAYSCALES[PayScaleCode],PAYSCALES[AvailableToAllSchools],1,0,)=TRUE,0,IF(ISERROR(FIND(CONT_SUP[[#This Row],[SchoolCode]],_xlfn.TEXTJOIN(",",TRUE,_xlfn.UNIQUE(IF(PAYSCALES[PayScaleCode]=CONT_SUP[[#This Row],[PayScaleCode]],PAYSCALES[SchoolCodes],""))))),1,0))</f>
        <v>0</v>
      </c>
      <c r="G292" s="57">
        <f>IF(_xlfn.XLOOKUP(CONT_SUP[[#This Row],[PayScaleGradeCode]],GRADES[PayScaleGradeCode],GRADES[AvailableToAllSchools])=TRUE,0,IFERROR(IF(FIND(CONT_SUP[[#This Row],[SchoolCode]],_xlfn.XLOOKUP(CONT_SUP[[#This Row],[PayScaleGradeCode]],GRADES[PayScaleGradeCode],GRADES[SchoolCodes]))&gt;=1,0,1),1))</f>
        <v>0</v>
      </c>
      <c r="H292" s="57">
        <f>IF(ISERROR(IF((_xlfn.XLOOKUP(CONT_SUP[[#This Row],[PayScaleGradeCode]],GRADES[PayScaleGradeCode],GRADES[PayScaleCode])=CONT_SUP[[#This Row],[PayScaleCode]]),0,1)),1,0)</f>
        <v>0</v>
      </c>
      <c r="I292" s="57" cm="1">
        <f t="array" ref="I292">IF(ISERROR(FIND(CONT_SUP[[#This Row],[PayScalePointCode]],_xlfn.TEXTJOIN(",",TRUE,IF(PSPOINTS[PayScaleCode]=CONT_SUP[[#This Row],[PayScaleCode]],PSPOINTS[PayScalePointCode])))),1,0)</f>
        <v>0</v>
      </c>
      <c r="J292" s="57" cm="1">
        <f t="array" ref="J29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92" s="57">
        <f>IF(_xlfn.XLOOKUP(CONT_SUP[[#This Row],[PayScalePointCode]],PSPOINTS[PayScalePointCode],PSPOINTS[PayScalePointEnabled])=TRUE,0,1)</f>
        <v>0</v>
      </c>
      <c r="L292" s="57" cm="1">
        <f t="array" ref="L292">IF(_xlfn.XLOOKUP(CONT_SUP[[#This Row],[DepartmentCode]],DEPTS[DepartmentCode],DEPTS[AvailableToAllSchools],1,0,)=TRUE,0,IF(ISERROR(FIND(CONT_SUP[[#This Row],[SchoolCode]],_xlfn.TEXTJOIN(",",TRUE,_xlfn.UNIQUE(IF(DEPTS[DepartmentCode]=CONT_SUP[[#This Row],[DepartmentCode]],DEPTS[SchoolCodes],""))))),1,0))</f>
        <v>0</v>
      </c>
      <c r="M292" s="57">
        <f>IFERROR(IF(_xlfn.XLOOKUP(CONT_SUP[[#This Row],[SRG Gross]],FinanceCodesBudget[FinanceCode],FinanceCodesBudget[LedgerCode])=_xlfn.XLOOKUP(CONT_SUP[[#This Row],[DepartmentCode]],DEPTS[DepartmentCode],DEPTS[LedgerCode]),0,1),1)</f>
        <v>1</v>
      </c>
      <c r="N292" s="57" cm="1">
        <f t="array" ref="N292">IF(_xlfn.XLOOKUP(CONT_SUP[[#This Row],[PensionCode]],PENS[PensionCode],PENS[AvailableToAllSchools],1,0,)=TRUE,0,IF(ISERROR(FIND(CONT_SUP[[#This Row],[SchoolCode]],_xlfn.TEXTJOIN(",",TRUE,_xlfn.UNIQUE(IF(PENS[PensionCode]=CONT_SUP[[#This Row],[PensionCode]],PENS[SchoolCodes],""))))),1,0))</f>
        <v>0</v>
      </c>
      <c r="O292" s="57" cm="1">
        <f t="array" ref="O292">IF(_xlfn.XLOOKUP(CONT_SUP[[#This Row],[EquatedWeekPatternCode]],EQW[EquatedWeekPatternCode],EQW[AvailableToAllSchools],1,0,)=TRUE,0,IF(ISERROR(FIND(CONT_SUP[[#This Row],[SchoolCode]],_xlfn.TEXTJOIN(",",TRUE,_xlfn.UNIQUE(IF(EQW[EquatedWeekPatternCode]=CONT_SUP[[#This Row],[EquatedWeekPatternCode]],EQW[SchoolCodes],""))))),1,0))</f>
        <v>0</v>
      </c>
      <c r="P292" s="57">
        <f>1-COUNTIF(ContractTypes[Code],CONT_SUP[[#This Row],[ContractTypeCode]])</f>
        <v>0</v>
      </c>
      <c r="Q292" s="57">
        <f>IF(VLOOKUP(CONT_SUP[[#This Row],[StaffMemberCode]],MEMBERS[[StaffMemberCode]:[ServiceStartDate]],5,0)&gt;CONT_SUP[[#This Row],[DateFrom]],1,0)</f>
        <v>0</v>
      </c>
      <c r="R292" s="57">
        <f>IF(_xlfn.XLOOKUP(CONT_SUP[[#This Row],[StaffMemberCode]],MEMBERS[StaffMemberCode],MEMBERS[ServiceEndDate])="",0,IF(CONT_SUP[[#This Row],[DateTo]]="",1,IF(_xlfn.XLOOKUP(CONT_SUP[[#This Row],[StaffMemberCode]],MEMBERS[StaffMemberCode],MEMBERS[ServiceEndDate])&lt;CONT_SUP[[#This Row],[DateTo]],1,0)))</f>
        <v>0</v>
      </c>
      <c r="S292" s="57">
        <f>IF(ISBLANK(CONT_SUP[[#This Row],[DateTo]]),0,IF(CONT_SUP[[#This Row],[DateFrom]]=CONT_SUP[[#This Row],[DateTo]],0,IF(CONT_SUP[[#This Row],[DateFrom]]&lt;CONT_SUP[[#This Row],[DateTo]],0,1)))</f>
        <v>0</v>
      </c>
      <c r="T292" s="57" cm="1">
        <f t="array" aca="1" ref="T292" ca="1">IF(CELL("format",CONT_SUP[[#This Row],[DateFrom]])="D1",0,1)+IF(CELL("format",CONT_SUP[[#This Row],[DateTo]])="D1",0,1)</f>
        <v>0</v>
      </c>
      <c r="U292" s="57">
        <f>IF(OR(CONT_SUP[[#This Row],[MatEditOnly]]=TRUE,CONT_SUP[[#This Row],[MatEditOnly]]=FALSE),IF(OR(CONT_SUP[[#This Row],[NoIncrement]]=TRUE,CONT_SUP[[#This Row],[NoIncrement]]=FALSE),0,1),1)</f>
        <v>0</v>
      </c>
      <c r="V292" s="57">
        <f>IF(ISBLANK(CONT_SUP[[#This Row],[FundCode]])=TRUE,0,IF(COUNTIF(FUNDS[FundCode],CONT_SUP[[#This Row],[FundCode]])=1,0,1))</f>
        <v>0</v>
      </c>
      <c r="W292" s="57">
        <f>IF(LEN(CONT_SUP[[#This Row],[Notes]])&lt;4000,0,1)</f>
        <v>0</v>
      </c>
      <c r="X292" s="57">
        <f>IF(SUBSTITUTE(TEXT(CONT_SUP[[#This Row],[Reference]],10)," ","")=TEXT(CONT_SUP[[#This Row],[Reference]],10),0,1)</f>
        <v>0</v>
      </c>
      <c r="Y292" s="57">
        <f ca="1">SUM(CONT_SUP[[#This Row],[Duplicate Contract]:[Space in Code]])</f>
        <v>1</v>
      </c>
      <c r="AA292" s="12" t="s">
        <v>2082</v>
      </c>
      <c r="AB292" s="12">
        <v>91073754</v>
      </c>
      <c r="AC292" s="12" t="s">
        <v>4888</v>
      </c>
      <c r="AD292" s="57" t="str">
        <f>_xlfn.XLOOKUP(CONT_SUP[[#This Row],[StaffMemberCode]],StaffMembers!O:O,StaffMembers!R:R)</f>
        <v>Pierce Johnson</v>
      </c>
      <c r="AE292" s="12" t="s">
        <v>1184</v>
      </c>
      <c r="AF292" s="57">
        <f>_xlfn.XLOOKUP(CONT_SUP[[#This Row],[SRG]],SRG[StaffRoleGroupCode],SRG[GrossSalaryFinanceCode])</f>
        <v>622100</v>
      </c>
      <c r="AG292" s="57" t="str">
        <f>_xlfn.XLOOKUP(CONT_SUP[[#This Row],[StaffRoleCode]],ROLES[StaffRoleCode],ROLES[StaffRoleGroupCode])</f>
        <v>TEC</v>
      </c>
      <c r="AH292" s="57" t="str">
        <f>_xlfn.XLOOKUP(CONT_SUP[[#This Row],[StaffRoleCode]],ROLES[StaffRoleCode],ROLES[PayScaleCode])</f>
        <v>NJC_CHE</v>
      </c>
      <c r="AI292" s="12" t="s">
        <v>3122</v>
      </c>
      <c r="AJ292" s="12">
        <v>6</v>
      </c>
      <c r="AK292" s="12" t="s">
        <v>2501</v>
      </c>
      <c r="AM292" s="68" t="s">
        <v>3132</v>
      </c>
      <c r="AN292" s="12" t="s">
        <v>1702</v>
      </c>
      <c r="AO292" s="21">
        <v>45901</v>
      </c>
      <c r="AQ292" s="12">
        <v>37</v>
      </c>
      <c r="AR292" t="b">
        <v>0</v>
      </c>
      <c r="AS292" t="b">
        <v>0</v>
      </c>
      <c r="AT292" s="12" t="s">
        <v>1574</v>
      </c>
    </row>
    <row r="293" spans="1:46" x14ac:dyDescent="0.3">
      <c r="A293" s="57" t="str">
        <f t="shared" si="9"/>
        <v>ALS9107382191073821ATECSTECH45901</v>
      </c>
      <c r="B293" s="57">
        <f>COUNTIF(CONT_SUP[Unique Contract],CONT_SUP[[#This Row],[Unique Contract]])-1</f>
        <v>0</v>
      </c>
      <c r="C293" s="57">
        <f>IFERROR(IF(FIND(CONT_SUP[[#This Row],[SchoolCode]],_xlfn.XLOOKUP(CONT_SUP[[#This Row],[StaffMemberCode]],MEMBERS[StaffMemberCode],MEMBERS[SchoolCodes]))&gt;0,0,1),1)</f>
        <v>0</v>
      </c>
      <c r="D293" s="57" cm="1">
        <f t="array" ref="D293">IF(_xlfn.XLOOKUP(CONT_SUP[[#This Row],[StaffRoleCode]],ROLES[StaffRoleCode],ROLES[AvailableToAllSchools],1,0,)=TRUE,0,IF(ISERROR(FIND(CONT_SUP[[#This Row],[SchoolCode]],_xlfn.TEXTJOIN(",",TRUE,_xlfn.UNIQUE(IF(ROLES[StaffRoleCode]=CONT_SUP[[#This Row],[StaffRoleCode]],ROLES[SchoolCodes],""))))),1,0))</f>
        <v>0</v>
      </c>
      <c r="E293" s="57" cm="1">
        <f t="array" ref="E29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93" s="57" cm="1">
        <f t="array" ref="F293">IF(_xlfn.XLOOKUP(CONT_SUP[[#This Row],[PayScaleCode]],PAYSCALES[PayScaleCode],PAYSCALES[AvailableToAllSchools],1,0,)=TRUE,0,IF(ISERROR(FIND(CONT_SUP[[#This Row],[SchoolCode]],_xlfn.TEXTJOIN(",",TRUE,_xlfn.UNIQUE(IF(PAYSCALES[PayScaleCode]=CONT_SUP[[#This Row],[PayScaleCode]],PAYSCALES[SchoolCodes],""))))),1,0))</f>
        <v>0</v>
      </c>
      <c r="G293" s="57">
        <f>IF(_xlfn.XLOOKUP(CONT_SUP[[#This Row],[PayScaleGradeCode]],GRADES[PayScaleGradeCode],GRADES[AvailableToAllSchools])=TRUE,0,IFERROR(IF(FIND(CONT_SUP[[#This Row],[SchoolCode]],_xlfn.XLOOKUP(CONT_SUP[[#This Row],[PayScaleGradeCode]],GRADES[PayScaleGradeCode],GRADES[SchoolCodes]))&gt;=1,0,1),1))</f>
        <v>0</v>
      </c>
      <c r="H293" s="57">
        <f>IF(ISERROR(IF((_xlfn.XLOOKUP(CONT_SUP[[#This Row],[PayScaleGradeCode]],GRADES[PayScaleGradeCode],GRADES[PayScaleCode])=CONT_SUP[[#This Row],[PayScaleCode]]),0,1)),1,0)</f>
        <v>0</v>
      </c>
      <c r="I293" s="57" cm="1">
        <f t="array" ref="I293">IF(ISERROR(FIND(CONT_SUP[[#This Row],[PayScalePointCode]],_xlfn.TEXTJOIN(",",TRUE,IF(PSPOINTS[PayScaleCode]=CONT_SUP[[#This Row],[PayScaleCode]],PSPOINTS[PayScalePointCode])))),1,0)</f>
        <v>0</v>
      </c>
      <c r="J293" s="57" cm="1">
        <f t="array" ref="J29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93" s="57">
        <f>IF(_xlfn.XLOOKUP(CONT_SUP[[#This Row],[PayScalePointCode]],PSPOINTS[PayScalePointCode],PSPOINTS[PayScalePointEnabled])=TRUE,0,1)</f>
        <v>0</v>
      </c>
      <c r="L293" s="57" cm="1">
        <f t="array" ref="L293">IF(_xlfn.XLOOKUP(CONT_SUP[[#This Row],[DepartmentCode]],DEPTS[DepartmentCode],DEPTS[AvailableToAllSchools],1,0,)=TRUE,0,IF(ISERROR(FIND(CONT_SUP[[#This Row],[SchoolCode]],_xlfn.TEXTJOIN(",",TRUE,_xlfn.UNIQUE(IF(DEPTS[DepartmentCode]=CONT_SUP[[#This Row],[DepartmentCode]],DEPTS[SchoolCodes],""))))),1,0))</f>
        <v>0</v>
      </c>
      <c r="M293" s="57">
        <f>IFERROR(IF(_xlfn.XLOOKUP(CONT_SUP[[#This Row],[SRG Gross]],FinanceCodesBudget[FinanceCode],FinanceCodesBudget[LedgerCode])=_xlfn.XLOOKUP(CONT_SUP[[#This Row],[DepartmentCode]],DEPTS[DepartmentCode],DEPTS[LedgerCode]),0,1),1)</f>
        <v>1</v>
      </c>
      <c r="N293" s="57" cm="1">
        <f t="array" ref="N293">IF(_xlfn.XLOOKUP(CONT_SUP[[#This Row],[PensionCode]],PENS[PensionCode],PENS[AvailableToAllSchools],1,0,)=TRUE,0,IF(ISERROR(FIND(CONT_SUP[[#This Row],[SchoolCode]],_xlfn.TEXTJOIN(",",TRUE,_xlfn.UNIQUE(IF(PENS[PensionCode]=CONT_SUP[[#This Row],[PensionCode]],PENS[SchoolCodes],""))))),1,0))</f>
        <v>0</v>
      </c>
      <c r="O293" s="57" cm="1">
        <f t="array" ref="O293">IF(_xlfn.XLOOKUP(CONT_SUP[[#This Row],[EquatedWeekPatternCode]],EQW[EquatedWeekPatternCode],EQW[AvailableToAllSchools],1,0,)=TRUE,0,IF(ISERROR(FIND(CONT_SUP[[#This Row],[SchoolCode]],_xlfn.TEXTJOIN(",",TRUE,_xlfn.UNIQUE(IF(EQW[EquatedWeekPatternCode]=CONT_SUP[[#This Row],[EquatedWeekPatternCode]],EQW[SchoolCodes],""))))),1,0))</f>
        <v>0</v>
      </c>
      <c r="P293" s="57">
        <f>1-COUNTIF(ContractTypes[Code],CONT_SUP[[#This Row],[ContractTypeCode]])</f>
        <v>0</v>
      </c>
      <c r="Q293" s="57">
        <f>IF(VLOOKUP(CONT_SUP[[#This Row],[StaffMemberCode]],MEMBERS[[StaffMemberCode]:[ServiceStartDate]],5,0)&gt;CONT_SUP[[#This Row],[DateFrom]],1,0)</f>
        <v>0</v>
      </c>
      <c r="R293" s="57">
        <f>IF(_xlfn.XLOOKUP(CONT_SUP[[#This Row],[StaffMemberCode]],MEMBERS[StaffMemberCode],MEMBERS[ServiceEndDate])="",0,IF(CONT_SUP[[#This Row],[DateTo]]="",1,IF(_xlfn.XLOOKUP(CONT_SUP[[#This Row],[StaffMemberCode]],MEMBERS[StaffMemberCode],MEMBERS[ServiceEndDate])&lt;CONT_SUP[[#This Row],[DateTo]],1,0)))</f>
        <v>0</v>
      </c>
      <c r="S293" s="57">
        <f>IF(ISBLANK(CONT_SUP[[#This Row],[DateTo]]),0,IF(CONT_SUP[[#This Row],[DateFrom]]=CONT_SUP[[#This Row],[DateTo]],0,IF(CONT_SUP[[#This Row],[DateFrom]]&lt;CONT_SUP[[#This Row],[DateTo]],0,1)))</f>
        <v>0</v>
      </c>
      <c r="T293" s="57" cm="1">
        <f t="array" aca="1" ref="T293" ca="1">IF(CELL("format",CONT_SUP[[#This Row],[DateFrom]])="D1",0,1)+IF(CELL("format",CONT_SUP[[#This Row],[DateTo]])="D1",0,1)</f>
        <v>0</v>
      </c>
      <c r="U293" s="57">
        <f>IF(OR(CONT_SUP[[#This Row],[MatEditOnly]]=TRUE,CONT_SUP[[#This Row],[MatEditOnly]]=FALSE),IF(OR(CONT_SUP[[#This Row],[NoIncrement]]=TRUE,CONT_SUP[[#This Row],[NoIncrement]]=FALSE),0,1),1)</f>
        <v>0</v>
      </c>
      <c r="V293" s="57">
        <f>IF(ISBLANK(CONT_SUP[[#This Row],[FundCode]])=TRUE,0,IF(COUNTIF(FUNDS[FundCode],CONT_SUP[[#This Row],[FundCode]])=1,0,1))</f>
        <v>0</v>
      </c>
      <c r="W293" s="57">
        <f>IF(LEN(CONT_SUP[[#This Row],[Notes]])&lt;4000,0,1)</f>
        <v>0</v>
      </c>
      <c r="X293" s="57">
        <f>IF(SUBSTITUTE(TEXT(CONT_SUP[[#This Row],[Reference]],10)," ","")=TEXT(CONT_SUP[[#This Row],[Reference]],10),0,1)</f>
        <v>0</v>
      </c>
      <c r="Y293" s="57">
        <f ca="1">SUM(CONT_SUP[[#This Row],[Duplicate Contract]:[Space in Code]])</f>
        <v>1</v>
      </c>
      <c r="AA293" s="12" t="s">
        <v>2082</v>
      </c>
      <c r="AB293" s="12">
        <v>91073821</v>
      </c>
      <c r="AC293" s="12" t="s">
        <v>4889</v>
      </c>
      <c r="AD293" s="57" t="str">
        <f>_xlfn.XLOOKUP(CONT_SUP[[#This Row],[StaffMemberCode]],StaffMembers!O:O,StaffMembers!R:R)</f>
        <v>Rebecca Markham</v>
      </c>
      <c r="AE293" s="12" t="s">
        <v>1184</v>
      </c>
      <c r="AF293" s="57">
        <f>_xlfn.XLOOKUP(CONT_SUP[[#This Row],[SRG]],SRG[StaffRoleGroupCode],SRG[GrossSalaryFinanceCode])</f>
        <v>622100</v>
      </c>
      <c r="AG293" s="57" t="str">
        <f>_xlfn.XLOOKUP(CONT_SUP[[#This Row],[StaffRoleCode]],ROLES[StaffRoleCode],ROLES[StaffRoleGroupCode])</f>
        <v>TEC</v>
      </c>
      <c r="AH293" s="57" t="str">
        <f>_xlfn.XLOOKUP(CONT_SUP[[#This Row],[StaffRoleCode]],ROLES[StaffRoleCode],ROLES[PayScaleCode])</f>
        <v>NJC_CHE</v>
      </c>
      <c r="AI293" s="12" t="s">
        <v>3122</v>
      </c>
      <c r="AJ293" s="12">
        <v>6</v>
      </c>
      <c r="AK293" s="12" t="s">
        <v>2501</v>
      </c>
      <c r="AM293" s="68" t="s">
        <v>3132</v>
      </c>
      <c r="AN293" s="12" t="s">
        <v>3135</v>
      </c>
      <c r="AO293" s="21">
        <v>45901</v>
      </c>
      <c r="AQ293" s="12">
        <v>37</v>
      </c>
      <c r="AR293" t="b">
        <v>0</v>
      </c>
      <c r="AS293" t="b">
        <v>0</v>
      </c>
      <c r="AT293" s="12" t="s">
        <v>1574</v>
      </c>
    </row>
    <row r="294" spans="1:46" x14ac:dyDescent="0.3">
      <c r="A294" s="57" t="str">
        <f t="shared" si="9"/>
        <v>BLS9107362791073627ATECSTECH45901</v>
      </c>
      <c r="B294" s="57">
        <f>COUNTIF(CONT_SUP[Unique Contract],CONT_SUP[[#This Row],[Unique Contract]])-1</f>
        <v>0</v>
      </c>
      <c r="C294" s="57">
        <f>IFERROR(IF(FIND(CONT_SUP[[#This Row],[SchoolCode]],_xlfn.XLOOKUP(CONT_SUP[[#This Row],[StaffMemberCode]],MEMBERS[StaffMemberCode],MEMBERS[SchoolCodes]))&gt;0,0,1),1)</f>
        <v>0</v>
      </c>
      <c r="D294" s="57" cm="1">
        <f t="array" ref="D294">IF(_xlfn.XLOOKUP(CONT_SUP[[#This Row],[StaffRoleCode]],ROLES[StaffRoleCode],ROLES[AvailableToAllSchools],1,0,)=TRUE,0,IF(ISERROR(FIND(CONT_SUP[[#This Row],[SchoolCode]],_xlfn.TEXTJOIN(",",TRUE,_xlfn.UNIQUE(IF(ROLES[StaffRoleCode]=CONT_SUP[[#This Row],[StaffRoleCode]],ROLES[SchoolCodes],""))))),1,0))</f>
        <v>0</v>
      </c>
      <c r="E294" s="57" cm="1">
        <f t="array" ref="E29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94" s="57" cm="1">
        <f t="array" ref="F294">IF(_xlfn.XLOOKUP(CONT_SUP[[#This Row],[PayScaleCode]],PAYSCALES[PayScaleCode],PAYSCALES[AvailableToAllSchools],1,0,)=TRUE,0,IF(ISERROR(FIND(CONT_SUP[[#This Row],[SchoolCode]],_xlfn.TEXTJOIN(",",TRUE,_xlfn.UNIQUE(IF(PAYSCALES[PayScaleCode]=CONT_SUP[[#This Row],[PayScaleCode]],PAYSCALES[SchoolCodes],""))))),1,0))</f>
        <v>0</v>
      </c>
      <c r="G294" s="57">
        <f>IF(_xlfn.XLOOKUP(CONT_SUP[[#This Row],[PayScaleGradeCode]],GRADES[PayScaleGradeCode],GRADES[AvailableToAllSchools])=TRUE,0,IFERROR(IF(FIND(CONT_SUP[[#This Row],[SchoolCode]],_xlfn.XLOOKUP(CONT_SUP[[#This Row],[PayScaleGradeCode]],GRADES[PayScaleGradeCode],GRADES[SchoolCodes]))&gt;=1,0,1),1))</f>
        <v>0</v>
      </c>
      <c r="H294" s="57">
        <f>IF(ISERROR(IF((_xlfn.XLOOKUP(CONT_SUP[[#This Row],[PayScaleGradeCode]],GRADES[PayScaleGradeCode],GRADES[PayScaleCode])=CONT_SUP[[#This Row],[PayScaleCode]]),0,1)),1,0)</f>
        <v>0</v>
      </c>
      <c r="I294" s="57" cm="1">
        <f t="array" ref="I294">IF(ISERROR(FIND(CONT_SUP[[#This Row],[PayScalePointCode]],_xlfn.TEXTJOIN(",",TRUE,IF(PSPOINTS[PayScaleCode]=CONT_SUP[[#This Row],[PayScaleCode]],PSPOINTS[PayScalePointCode])))),1,0)</f>
        <v>0</v>
      </c>
      <c r="J294" s="57" cm="1">
        <f t="array" ref="J29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94" s="57">
        <f>IF(_xlfn.XLOOKUP(CONT_SUP[[#This Row],[PayScalePointCode]],PSPOINTS[PayScalePointCode],PSPOINTS[PayScalePointEnabled])=TRUE,0,1)</f>
        <v>0</v>
      </c>
      <c r="L294" s="57" cm="1">
        <f t="array" ref="L294">IF(_xlfn.XLOOKUP(CONT_SUP[[#This Row],[DepartmentCode]],DEPTS[DepartmentCode],DEPTS[AvailableToAllSchools],1,0,)=TRUE,0,IF(ISERROR(FIND(CONT_SUP[[#This Row],[SchoolCode]],_xlfn.TEXTJOIN(",",TRUE,_xlfn.UNIQUE(IF(DEPTS[DepartmentCode]=CONT_SUP[[#This Row],[DepartmentCode]],DEPTS[SchoolCodes],""))))),1,0))</f>
        <v>0</v>
      </c>
      <c r="M294" s="57">
        <f>IFERROR(IF(_xlfn.XLOOKUP(CONT_SUP[[#This Row],[SRG Gross]],FinanceCodesBudget[FinanceCode],FinanceCodesBudget[LedgerCode])=_xlfn.XLOOKUP(CONT_SUP[[#This Row],[DepartmentCode]],DEPTS[DepartmentCode],DEPTS[LedgerCode]),0,1),1)</f>
        <v>1</v>
      </c>
      <c r="N294" s="57" cm="1">
        <f t="array" ref="N294">IF(_xlfn.XLOOKUP(CONT_SUP[[#This Row],[PensionCode]],PENS[PensionCode],PENS[AvailableToAllSchools],1,0,)=TRUE,0,IF(ISERROR(FIND(CONT_SUP[[#This Row],[SchoolCode]],_xlfn.TEXTJOIN(",",TRUE,_xlfn.UNIQUE(IF(PENS[PensionCode]=CONT_SUP[[#This Row],[PensionCode]],PENS[SchoolCodes],""))))),1,0))</f>
        <v>0</v>
      </c>
      <c r="O294" s="57" cm="1">
        <f t="array" ref="O294">IF(_xlfn.XLOOKUP(CONT_SUP[[#This Row],[EquatedWeekPatternCode]],EQW[EquatedWeekPatternCode],EQW[AvailableToAllSchools],1,0,)=TRUE,0,IF(ISERROR(FIND(CONT_SUP[[#This Row],[SchoolCode]],_xlfn.TEXTJOIN(",",TRUE,_xlfn.UNIQUE(IF(EQW[EquatedWeekPatternCode]=CONT_SUP[[#This Row],[EquatedWeekPatternCode]],EQW[SchoolCodes],""))))),1,0))</f>
        <v>0</v>
      </c>
      <c r="P294" s="57">
        <f>1-COUNTIF(ContractTypes[Code],CONT_SUP[[#This Row],[ContractTypeCode]])</f>
        <v>0</v>
      </c>
      <c r="Q294" s="57">
        <f>IF(VLOOKUP(CONT_SUP[[#This Row],[StaffMemberCode]],MEMBERS[[StaffMemberCode]:[ServiceStartDate]],5,0)&gt;CONT_SUP[[#This Row],[DateFrom]],1,0)</f>
        <v>0</v>
      </c>
      <c r="R294" s="57">
        <f>IF(_xlfn.XLOOKUP(CONT_SUP[[#This Row],[StaffMemberCode]],MEMBERS[StaffMemberCode],MEMBERS[ServiceEndDate])="",0,IF(CONT_SUP[[#This Row],[DateTo]]="",1,IF(_xlfn.XLOOKUP(CONT_SUP[[#This Row],[StaffMemberCode]],MEMBERS[StaffMemberCode],MEMBERS[ServiceEndDate])&lt;CONT_SUP[[#This Row],[DateTo]],1,0)))</f>
        <v>0</v>
      </c>
      <c r="S294" s="57">
        <f>IF(ISBLANK(CONT_SUP[[#This Row],[DateTo]]),0,IF(CONT_SUP[[#This Row],[DateFrom]]=CONT_SUP[[#This Row],[DateTo]],0,IF(CONT_SUP[[#This Row],[DateFrom]]&lt;CONT_SUP[[#This Row],[DateTo]],0,1)))</f>
        <v>0</v>
      </c>
      <c r="T294" s="57" cm="1">
        <f t="array" aca="1" ref="T294" ca="1">IF(CELL("format",CONT_SUP[[#This Row],[DateFrom]])="D1",0,1)+IF(CELL("format",CONT_SUP[[#This Row],[DateTo]])="D1",0,1)</f>
        <v>0</v>
      </c>
      <c r="U294" s="57">
        <f>IF(OR(CONT_SUP[[#This Row],[MatEditOnly]]=TRUE,CONT_SUP[[#This Row],[MatEditOnly]]=FALSE),IF(OR(CONT_SUP[[#This Row],[NoIncrement]]=TRUE,CONT_SUP[[#This Row],[NoIncrement]]=FALSE),0,1),1)</f>
        <v>0</v>
      </c>
      <c r="V294" s="57">
        <f>IF(ISBLANK(CONT_SUP[[#This Row],[FundCode]])=TRUE,0,IF(COUNTIF(FUNDS[FundCode],CONT_SUP[[#This Row],[FundCode]])=1,0,1))</f>
        <v>0</v>
      </c>
      <c r="W294" s="57">
        <f>IF(LEN(CONT_SUP[[#This Row],[Notes]])&lt;4000,0,1)</f>
        <v>0</v>
      </c>
      <c r="X294" s="57">
        <f>IF(SUBSTITUTE(TEXT(CONT_SUP[[#This Row],[Reference]],10)," ","")=TEXT(CONT_SUP[[#This Row],[Reference]],10),0,1)</f>
        <v>0</v>
      </c>
      <c r="Y294" s="57">
        <f ca="1">SUM(CONT_SUP[[#This Row],[Duplicate Contract]:[Space in Code]])</f>
        <v>1</v>
      </c>
      <c r="AA294" s="12" t="s">
        <v>2094</v>
      </c>
      <c r="AB294" s="12">
        <v>91073627</v>
      </c>
      <c r="AC294" s="12" t="s">
        <v>4890</v>
      </c>
      <c r="AD294" s="57" t="str">
        <f>_xlfn.XLOOKUP(CONT_SUP[[#This Row],[StaffMemberCode]],StaffMembers!O:O,StaffMembers!R:R)</f>
        <v>Sarah Sears-Black</v>
      </c>
      <c r="AE294" s="12" t="s">
        <v>1184</v>
      </c>
      <c r="AF294" s="57">
        <f>_xlfn.XLOOKUP(CONT_SUP[[#This Row],[SRG]],SRG[StaffRoleGroupCode],SRG[GrossSalaryFinanceCode])</f>
        <v>622100</v>
      </c>
      <c r="AG294" s="57" t="str">
        <f>_xlfn.XLOOKUP(CONT_SUP[[#This Row],[StaffRoleCode]],ROLES[StaffRoleCode],ROLES[StaffRoleGroupCode])</f>
        <v>TEC</v>
      </c>
      <c r="AH294" s="57" t="str">
        <f>_xlfn.XLOOKUP(CONT_SUP[[#This Row],[StaffRoleCode]],ROLES[StaffRoleCode],ROLES[PayScaleCode])</f>
        <v>NJC_CHE</v>
      </c>
      <c r="AI294" s="12" t="s">
        <v>3122</v>
      </c>
      <c r="AJ294" s="12">
        <v>6</v>
      </c>
      <c r="AK294" s="12" t="s">
        <v>2501</v>
      </c>
      <c r="AM294" s="68" t="s">
        <v>3132</v>
      </c>
      <c r="AN294" s="12" t="s">
        <v>3135</v>
      </c>
      <c r="AO294" s="21">
        <v>45901</v>
      </c>
      <c r="AQ294" s="12">
        <v>22.5</v>
      </c>
      <c r="AR294" t="b">
        <v>0</v>
      </c>
      <c r="AS294" t="b">
        <v>0</v>
      </c>
      <c r="AT294" s="12" t="s">
        <v>1574</v>
      </c>
    </row>
    <row r="295" spans="1:46" x14ac:dyDescent="0.3">
      <c r="A295" s="57" t="str">
        <f t="shared" si="9"/>
        <v>BLS9132916991329169ATECSTECH45901</v>
      </c>
      <c r="B295" s="57">
        <f>COUNTIF(CONT_SUP[Unique Contract],CONT_SUP[[#This Row],[Unique Contract]])-1</f>
        <v>0</v>
      </c>
      <c r="C295" s="57">
        <f>IFERROR(IF(FIND(CONT_SUP[[#This Row],[SchoolCode]],_xlfn.XLOOKUP(CONT_SUP[[#This Row],[StaffMemberCode]],MEMBERS[StaffMemberCode],MEMBERS[SchoolCodes]))&gt;0,0,1),1)</f>
        <v>0</v>
      </c>
      <c r="D295" s="57" cm="1">
        <f t="array" ref="D295">IF(_xlfn.XLOOKUP(CONT_SUP[[#This Row],[StaffRoleCode]],ROLES[StaffRoleCode],ROLES[AvailableToAllSchools],1,0,)=TRUE,0,IF(ISERROR(FIND(CONT_SUP[[#This Row],[SchoolCode]],_xlfn.TEXTJOIN(",",TRUE,_xlfn.UNIQUE(IF(ROLES[StaffRoleCode]=CONT_SUP[[#This Row],[StaffRoleCode]],ROLES[SchoolCodes],""))))),1,0))</f>
        <v>0</v>
      </c>
      <c r="E295" s="57" cm="1">
        <f t="array" ref="E29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95" s="57" cm="1">
        <f t="array" ref="F295">IF(_xlfn.XLOOKUP(CONT_SUP[[#This Row],[PayScaleCode]],PAYSCALES[PayScaleCode],PAYSCALES[AvailableToAllSchools],1,0,)=TRUE,0,IF(ISERROR(FIND(CONT_SUP[[#This Row],[SchoolCode]],_xlfn.TEXTJOIN(",",TRUE,_xlfn.UNIQUE(IF(PAYSCALES[PayScaleCode]=CONT_SUP[[#This Row],[PayScaleCode]],PAYSCALES[SchoolCodes],""))))),1,0))</f>
        <v>0</v>
      </c>
      <c r="G295" s="57">
        <f>IF(_xlfn.XLOOKUP(CONT_SUP[[#This Row],[PayScaleGradeCode]],GRADES[PayScaleGradeCode],GRADES[AvailableToAllSchools])=TRUE,0,IFERROR(IF(FIND(CONT_SUP[[#This Row],[SchoolCode]],_xlfn.XLOOKUP(CONT_SUP[[#This Row],[PayScaleGradeCode]],GRADES[PayScaleGradeCode],GRADES[SchoolCodes]))&gt;=1,0,1),1))</f>
        <v>0</v>
      </c>
      <c r="H295" s="57">
        <f>IF(ISERROR(IF((_xlfn.XLOOKUP(CONT_SUP[[#This Row],[PayScaleGradeCode]],GRADES[PayScaleGradeCode],GRADES[PayScaleCode])=CONT_SUP[[#This Row],[PayScaleCode]]),0,1)),1,0)</f>
        <v>0</v>
      </c>
      <c r="I295" s="57" cm="1">
        <f t="array" ref="I295">IF(ISERROR(FIND(CONT_SUP[[#This Row],[PayScalePointCode]],_xlfn.TEXTJOIN(",",TRUE,IF(PSPOINTS[PayScaleCode]=CONT_SUP[[#This Row],[PayScaleCode]],PSPOINTS[PayScalePointCode])))),1,0)</f>
        <v>0</v>
      </c>
      <c r="J295" s="57" cm="1">
        <f t="array" ref="J29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95" s="57">
        <f>IF(_xlfn.XLOOKUP(CONT_SUP[[#This Row],[PayScalePointCode]],PSPOINTS[PayScalePointCode],PSPOINTS[PayScalePointEnabled])=TRUE,0,1)</f>
        <v>0</v>
      </c>
      <c r="L295" s="57" cm="1">
        <f t="array" ref="L295">IF(_xlfn.XLOOKUP(CONT_SUP[[#This Row],[DepartmentCode]],DEPTS[DepartmentCode],DEPTS[AvailableToAllSchools],1,0,)=TRUE,0,IF(ISERROR(FIND(CONT_SUP[[#This Row],[SchoolCode]],_xlfn.TEXTJOIN(",",TRUE,_xlfn.UNIQUE(IF(DEPTS[DepartmentCode]=CONT_SUP[[#This Row],[DepartmentCode]],DEPTS[SchoolCodes],""))))),1,0))</f>
        <v>0</v>
      </c>
      <c r="M295" s="57">
        <f>IFERROR(IF(_xlfn.XLOOKUP(CONT_SUP[[#This Row],[SRG Gross]],FinanceCodesBudget[FinanceCode],FinanceCodesBudget[LedgerCode])=_xlfn.XLOOKUP(CONT_SUP[[#This Row],[DepartmentCode]],DEPTS[DepartmentCode],DEPTS[LedgerCode]),0,1),1)</f>
        <v>1</v>
      </c>
      <c r="N295" s="57" cm="1">
        <f t="array" ref="N295">IF(_xlfn.XLOOKUP(CONT_SUP[[#This Row],[PensionCode]],PENS[PensionCode],PENS[AvailableToAllSchools],1,0,)=TRUE,0,IF(ISERROR(FIND(CONT_SUP[[#This Row],[SchoolCode]],_xlfn.TEXTJOIN(",",TRUE,_xlfn.UNIQUE(IF(PENS[PensionCode]=CONT_SUP[[#This Row],[PensionCode]],PENS[SchoolCodes],""))))),1,0))</f>
        <v>0</v>
      </c>
      <c r="O295" s="57" cm="1">
        <f t="array" ref="O295">IF(_xlfn.XLOOKUP(CONT_SUP[[#This Row],[EquatedWeekPatternCode]],EQW[EquatedWeekPatternCode],EQW[AvailableToAllSchools],1,0,)=TRUE,0,IF(ISERROR(FIND(CONT_SUP[[#This Row],[SchoolCode]],_xlfn.TEXTJOIN(",",TRUE,_xlfn.UNIQUE(IF(EQW[EquatedWeekPatternCode]=CONT_SUP[[#This Row],[EquatedWeekPatternCode]],EQW[SchoolCodes],""))))),1,0))</f>
        <v>0</v>
      </c>
      <c r="P295" s="57">
        <f>1-COUNTIF(ContractTypes[Code],CONT_SUP[[#This Row],[ContractTypeCode]])</f>
        <v>0</v>
      </c>
      <c r="Q295" s="57">
        <f>IF(VLOOKUP(CONT_SUP[[#This Row],[StaffMemberCode]],MEMBERS[[StaffMemberCode]:[ServiceStartDate]],5,0)&gt;CONT_SUP[[#This Row],[DateFrom]],1,0)</f>
        <v>0</v>
      </c>
      <c r="R295" s="57">
        <f>IF(_xlfn.XLOOKUP(CONT_SUP[[#This Row],[StaffMemberCode]],MEMBERS[StaffMemberCode],MEMBERS[ServiceEndDate])="",0,IF(CONT_SUP[[#This Row],[DateTo]]="",1,IF(_xlfn.XLOOKUP(CONT_SUP[[#This Row],[StaffMemberCode]],MEMBERS[StaffMemberCode],MEMBERS[ServiceEndDate])&lt;CONT_SUP[[#This Row],[DateTo]],1,0)))</f>
        <v>0</v>
      </c>
      <c r="S295" s="57">
        <f>IF(ISBLANK(CONT_SUP[[#This Row],[DateTo]]),0,IF(CONT_SUP[[#This Row],[DateFrom]]=CONT_SUP[[#This Row],[DateTo]],0,IF(CONT_SUP[[#This Row],[DateFrom]]&lt;CONT_SUP[[#This Row],[DateTo]],0,1)))</f>
        <v>0</v>
      </c>
      <c r="T295" s="57" cm="1">
        <f t="array" aca="1" ref="T295" ca="1">IF(CELL("format",CONT_SUP[[#This Row],[DateFrom]])="D1",0,1)+IF(CELL("format",CONT_SUP[[#This Row],[DateTo]])="D1",0,1)</f>
        <v>0</v>
      </c>
      <c r="U295" s="57">
        <f>IF(OR(CONT_SUP[[#This Row],[MatEditOnly]]=TRUE,CONT_SUP[[#This Row],[MatEditOnly]]=FALSE),IF(OR(CONT_SUP[[#This Row],[NoIncrement]]=TRUE,CONT_SUP[[#This Row],[NoIncrement]]=FALSE),0,1),1)</f>
        <v>0</v>
      </c>
      <c r="V295" s="57">
        <f>IF(ISBLANK(CONT_SUP[[#This Row],[FundCode]])=TRUE,0,IF(COUNTIF(FUNDS[FundCode],CONT_SUP[[#This Row],[FundCode]])=1,0,1))</f>
        <v>0</v>
      </c>
      <c r="W295" s="57">
        <f>IF(LEN(CONT_SUP[[#This Row],[Notes]])&lt;4000,0,1)</f>
        <v>0</v>
      </c>
      <c r="X295" s="57">
        <f>IF(SUBSTITUTE(TEXT(CONT_SUP[[#This Row],[Reference]],10)," ","")=TEXT(CONT_SUP[[#This Row],[Reference]],10),0,1)</f>
        <v>0</v>
      </c>
      <c r="Y295" s="57">
        <f ca="1">SUM(CONT_SUP[[#This Row],[Duplicate Contract]:[Space in Code]])</f>
        <v>1</v>
      </c>
      <c r="AA295" s="12" t="s">
        <v>2094</v>
      </c>
      <c r="AB295" s="12">
        <v>91329169</v>
      </c>
      <c r="AC295" s="12" t="s">
        <v>4891</v>
      </c>
      <c r="AD295" s="57" t="str">
        <f>_xlfn.XLOOKUP(CONT_SUP[[#This Row],[StaffMemberCode]],StaffMembers!O:O,StaffMembers!R:R)</f>
        <v>Sophie Bronze</v>
      </c>
      <c r="AE295" s="12" t="s">
        <v>1184</v>
      </c>
      <c r="AF295" s="57">
        <f>_xlfn.XLOOKUP(CONT_SUP[[#This Row],[SRG]],SRG[StaffRoleGroupCode],SRG[GrossSalaryFinanceCode])</f>
        <v>622100</v>
      </c>
      <c r="AG295" s="57" t="str">
        <f>_xlfn.XLOOKUP(CONT_SUP[[#This Row],[StaffRoleCode]],ROLES[StaffRoleCode],ROLES[StaffRoleGroupCode])</f>
        <v>TEC</v>
      </c>
      <c r="AH295" s="57" t="str">
        <f>_xlfn.XLOOKUP(CONT_SUP[[#This Row],[StaffRoleCode]],ROLES[StaffRoleCode],ROLES[PayScaleCode])</f>
        <v>NJC_CHE</v>
      </c>
      <c r="AI295" s="12" t="s">
        <v>3122</v>
      </c>
      <c r="AJ295" s="12">
        <v>5</v>
      </c>
      <c r="AK295" s="12" t="s">
        <v>2501</v>
      </c>
      <c r="AM295" s="68" t="s">
        <v>3132</v>
      </c>
      <c r="AN295" s="12" t="s">
        <v>1702</v>
      </c>
      <c r="AO295" s="21">
        <v>45901</v>
      </c>
      <c r="AQ295" s="12">
        <v>37</v>
      </c>
      <c r="AR295" t="b">
        <v>0</v>
      </c>
      <c r="AS295" t="b">
        <v>0</v>
      </c>
      <c r="AT295" s="12" t="s">
        <v>1574</v>
      </c>
    </row>
    <row r="296" spans="1:46" x14ac:dyDescent="0.3">
      <c r="A296" s="57" t="str">
        <f t="shared" si="9"/>
        <v>BLS9107354591073545ATECSTECH45901</v>
      </c>
      <c r="B296" s="57">
        <f>COUNTIF(CONT_SUP[Unique Contract],CONT_SUP[[#This Row],[Unique Contract]])-1</f>
        <v>0</v>
      </c>
      <c r="C296" s="57">
        <f>IFERROR(IF(FIND(CONT_SUP[[#This Row],[SchoolCode]],_xlfn.XLOOKUP(CONT_SUP[[#This Row],[StaffMemberCode]],MEMBERS[StaffMemberCode],MEMBERS[SchoolCodes]))&gt;0,0,1),1)</f>
        <v>0</v>
      </c>
      <c r="D296" s="57" cm="1">
        <f t="array" ref="D296">IF(_xlfn.XLOOKUP(CONT_SUP[[#This Row],[StaffRoleCode]],ROLES[StaffRoleCode],ROLES[AvailableToAllSchools],1,0,)=TRUE,0,IF(ISERROR(FIND(CONT_SUP[[#This Row],[SchoolCode]],_xlfn.TEXTJOIN(",",TRUE,_xlfn.UNIQUE(IF(ROLES[StaffRoleCode]=CONT_SUP[[#This Row],[StaffRoleCode]],ROLES[SchoolCodes],""))))),1,0))</f>
        <v>0</v>
      </c>
      <c r="E296" s="57" cm="1">
        <f t="array" ref="E29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96" s="57" cm="1">
        <f t="array" ref="F296">IF(_xlfn.XLOOKUP(CONT_SUP[[#This Row],[PayScaleCode]],PAYSCALES[PayScaleCode],PAYSCALES[AvailableToAllSchools],1,0,)=TRUE,0,IF(ISERROR(FIND(CONT_SUP[[#This Row],[SchoolCode]],_xlfn.TEXTJOIN(",",TRUE,_xlfn.UNIQUE(IF(PAYSCALES[PayScaleCode]=CONT_SUP[[#This Row],[PayScaleCode]],PAYSCALES[SchoolCodes],""))))),1,0))</f>
        <v>0</v>
      </c>
      <c r="G296" s="57">
        <f>IF(_xlfn.XLOOKUP(CONT_SUP[[#This Row],[PayScaleGradeCode]],GRADES[PayScaleGradeCode],GRADES[AvailableToAllSchools])=TRUE,0,IFERROR(IF(FIND(CONT_SUP[[#This Row],[SchoolCode]],_xlfn.XLOOKUP(CONT_SUP[[#This Row],[PayScaleGradeCode]],GRADES[PayScaleGradeCode],GRADES[SchoolCodes]))&gt;=1,0,1),1))</f>
        <v>0</v>
      </c>
      <c r="H296" s="57">
        <f>IF(ISERROR(IF((_xlfn.XLOOKUP(CONT_SUP[[#This Row],[PayScaleGradeCode]],GRADES[PayScaleGradeCode],GRADES[PayScaleCode])=CONT_SUP[[#This Row],[PayScaleCode]]),0,1)),1,0)</f>
        <v>0</v>
      </c>
      <c r="I296" s="57" cm="1">
        <f t="array" ref="I296">IF(ISERROR(FIND(CONT_SUP[[#This Row],[PayScalePointCode]],_xlfn.TEXTJOIN(",",TRUE,IF(PSPOINTS[PayScaleCode]=CONT_SUP[[#This Row],[PayScaleCode]],PSPOINTS[PayScalePointCode])))),1,0)</f>
        <v>0</v>
      </c>
      <c r="J296" s="57" cm="1">
        <f t="array" ref="J29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96" s="57">
        <f>IF(_xlfn.XLOOKUP(CONT_SUP[[#This Row],[PayScalePointCode]],PSPOINTS[PayScalePointCode],PSPOINTS[PayScalePointEnabled])=TRUE,0,1)</f>
        <v>0</v>
      </c>
      <c r="L296" s="57" cm="1">
        <f t="array" ref="L296">IF(_xlfn.XLOOKUP(CONT_SUP[[#This Row],[DepartmentCode]],DEPTS[DepartmentCode],DEPTS[AvailableToAllSchools],1,0,)=TRUE,0,IF(ISERROR(FIND(CONT_SUP[[#This Row],[SchoolCode]],_xlfn.TEXTJOIN(",",TRUE,_xlfn.UNIQUE(IF(DEPTS[DepartmentCode]=CONT_SUP[[#This Row],[DepartmentCode]],DEPTS[SchoolCodes],""))))),1,0))</f>
        <v>0</v>
      </c>
      <c r="M296" s="57">
        <f>IFERROR(IF(_xlfn.XLOOKUP(CONT_SUP[[#This Row],[SRG Gross]],FinanceCodesBudget[FinanceCode],FinanceCodesBudget[LedgerCode])=_xlfn.XLOOKUP(CONT_SUP[[#This Row],[DepartmentCode]],DEPTS[DepartmentCode],DEPTS[LedgerCode]),0,1),1)</f>
        <v>1</v>
      </c>
      <c r="N296" s="57" cm="1">
        <f t="array" ref="N296">IF(_xlfn.XLOOKUP(CONT_SUP[[#This Row],[PensionCode]],PENS[PensionCode],PENS[AvailableToAllSchools],1,0,)=TRUE,0,IF(ISERROR(FIND(CONT_SUP[[#This Row],[SchoolCode]],_xlfn.TEXTJOIN(",",TRUE,_xlfn.UNIQUE(IF(PENS[PensionCode]=CONT_SUP[[#This Row],[PensionCode]],PENS[SchoolCodes],""))))),1,0))</f>
        <v>0</v>
      </c>
      <c r="O296" s="57" cm="1">
        <f t="array" ref="O296">IF(_xlfn.XLOOKUP(CONT_SUP[[#This Row],[EquatedWeekPatternCode]],EQW[EquatedWeekPatternCode],EQW[AvailableToAllSchools],1,0,)=TRUE,0,IF(ISERROR(FIND(CONT_SUP[[#This Row],[SchoolCode]],_xlfn.TEXTJOIN(",",TRUE,_xlfn.UNIQUE(IF(EQW[EquatedWeekPatternCode]=CONT_SUP[[#This Row],[EquatedWeekPatternCode]],EQW[SchoolCodes],""))))),1,0))</f>
        <v>0</v>
      </c>
      <c r="P296" s="57">
        <f>1-COUNTIF(ContractTypes[Code],CONT_SUP[[#This Row],[ContractTypeCode]])</f>
        <v>0</v>
      </c>
      <c r="Q296" s="57">
        <f>IF(VLOOKUP(CONT_SUP[[#This Row],[StaffMemberCode]],MEMBERS[[StaffMemberCode]:[ServiceStartDate]],5,0)&gt;CONT_SUP[[#This Row],[DateFrom]],1,0)</f>
        <v>0</v>
      </c>
      <c r="R296" s="57">
        <f>IF(_xlfn.XLOOKUP(CONT_SUP[[#This Row],[StaffMemberCode]],MEMBERS[StaffMemberCode],MEMBERS[ServiceEndDate])="",0,IF(CONT_SUP[[#This Row],[DateTo]]="",1,IF(_xlfn.XLOOKUP(CONT_SUP[[#This Row],[StaffMemberCode]],MEMBERS[StaffMemberCode],MEMBERS[ServiceEndDate])&lt;CONT_SUP[[#This Row],[DateTo]],1,0)))</f>
        <v>0</v>
      </c>
      <c r="S296" s="57">
        <f>IF(ISBLANK(CONT_SUP[[#This Row],[DateTo]]),0,IF(CONT_SUP[[#This Row],[DateFrom]]=CONT_SUP[[#This Row],[DateTo]],0,IF(CONT_SUP[[#This Row],[DateFrom]]&lt;CONT_SUP[[#This Row],[DateTo]],0,1)))</f>
        <v>0</v>
      </c>
      <c r="T296" s="57" cm="1">
        <f t="array" aca="1" ref="T296" ca="1">IF(CELL("format",CONT_SUP[[#This Row],[DateFrom]])="D1",0,1)+IF(CELL("format",CONT_SUP[[#This Row],[DateTo]])="D1",0,1)</f>
        <v>0</v>
      </c>
      <c r="U296" s="57">
        <f>IF(OR(CONT_SUP[[#This Row],[MatEditOnly]]=TRUE,CONT_SUP[[#This Row],[MatEditOnly]]=FALSE),IF(OR(CONT_SUP[[#This Row],[NoIncrement]]=TRUE,CONT_SUP[[#This Row],[NoIncrement]]=FALSE),0,1),1)</f>
        <v>0</v>
      </c>
      <c r="V296" s="57">
        <f>IF(ISBLANK(CONT_SUP[[#This Row],[FundCode]])=TRUE,0,IF(COUNTIF(FUNDS[FundCode],CONT_SUP[[#This Row],[FundCode]])=1,0,1))</f>
        <v>0</v>
      </c>
      <c r="W296" s="57">
        <f>IF(LEN(CONT_SUP[[#This Row],[Notes]])&lt;4000,0,1)</f>
        <v>0</v>
      </c>
      <c r="X296" s="57">
        <f>IF(SUBSTITUTE(TEXT(CONT_SUP[[#This Row],[Reference]],10)," ","")=TEXT(CONT_SUP[[#This Row],[Reference]],10),0,1)</f>
        <v>0</v>
      </c>
      <c r="Y296" s="57">
        <f ca="1">SUM(CONT_SUP[[#This Row],[Duplicate Contract]:[Space in Code]])</f>
        <v>1</v>
      </c>
      <c r="AA296" s="12" t="s">
        <v>2094</v>
      </c>
      <c r="AB296" s="12">
        <v>91073545</v>
      </c>
      <c r="AC296" s="12" t="s">
        <v>4892</v>
      </c>
      <c r="AD296" s="57" t="str">
        <f>_xlfn.XLOOKUP(CONT_SUP[[#This Row],[StaffMemberCode]],StaffMembers!O:O,StaffMembers!R:R)</f>
        <v>Stephanie Fletcher</v>
      </c>
      <c r="AE296" s="12" t="s">
        <v>1184</v>
      </c>
      <c r="AF296" s="57">
        <f>_xlfn.XLOOKUP(CONT_SUP[[#This Row],[SRG]],SRG[StaffRoleGroupCode],SRG[GrossSalaryFinanceCode])</f>
        <v>622100</v>
      </c>
      <c r="AG296" s="57" t="str">
        <f>_xlfn.XLOOKUP(CONT_SUP[[#This Row],[StaffRoleCode]],ROLES[StaffRoleCode],ROLES[StaffRoleGroupCode])</f>
        <v>TEC</v>
      </c>
      <c r="AH296" s="57" t="str">
        <f>_xlfn.XLOOKUP(CONT_SUP[[#This Row],[StaffRoleCode]],ROLES[StaffRoleCode],ROLES[PayScaleCode])</f>
        <v>NJC_CHE</v>
      </c>
      <c r="AI296" s="12" t="s">
        <v>3122</v>
      </c>
      <c r="AJ296" s="12">
        <v>6</v>
      </c>
      <c r="AK296" s="12" t="s">
        <v>2501</v>
      </c>
      <c r="AM296" s="68" t="s">
        <v>3132</v>
      </c>
      <c r="AN296" s="12" t="s">
        <v>3135</v>
      </c>
      <c r="AO296" s="21">
        <v>45901</v>
      </c>
      <c r="AQ296" s="12">
        <v>35</v>
      </c>
      <c r="AR296" t="b">
        <v>0</v>
      </c>
      <c r="AS296" t="b">
        <v>0</v>
      </c>
      <c r="AT296" s="12" t="s">
        <v>1574</v>
      </c>
    </row>
    <row r="297" spans="1:46" x14ac:dyDescent="0.3">
      <c r="A297" s="57" t="str">
        <f t="shared" si="9"/>
        <v>BLS9107359091073590ATECSTECH45901</v>
      </c>
      <c r="B297" s="57">
        <f>COUNTIF(CONT_SUP[Unique Contract],CONT_SUP[[#This Row],[Unique Contract]])-1</f>
        <v>0</v>
      </c>
      <c r="C297" s="57">
        <f>IFERROR(IF(FIND(CONT_SUP[[#This Row],[SchoolCode]],_xlfn.XLOOKUP(CONT_SUP[[#This Row],[StaffMemberCode]],MEMBERS[StaffMemberCode],MEMBERS[SchoolCodes]))&gt;0,0,1),1)</f>
        <v>0</v>
      </c>
      <c r="D297" s="57" cm="1">
        <f t="array" ref="D297">IF(_xlfn.XLOOKUP(CONT_SUP[[#This Row],[StaffRoleCode]],ROLES[StaffRoleCode],ROLES[AvailableToAllSchools],1,0,)=TRUE,0,IF(ISERROR(FIND(CONT_SUP[[#This Row],[SchoolCode]],_xlfn.TEXTJOIN(",",TRUE,_xlfn.UNIQUE(IF(ROLES[StaffRoleCode]=CONT_SUP[[#This Row],[StaffRoleCode]],ROLES[SchoolCodes],""))))),1,0))</f>
        <v>0</v>
      </c>
      <c r="E297" s="57" cm="1">
        <f t="array" ref="E29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97" s="57" cm="1">
        <f t="array" ref="F297">IF(_xlfn.XLOOKUP(CONT_SUP[[#This Row],[PayScaleCode]],PAYSCALES[PayScaleCode],PAYSCALES[AvailableToAllSchools],1,0,)=TRUE,0,IF(ISERROR(FIND(CONT_SUP[[#This Row],[SchoolCode]],_xlfn.TEXTJOIN(",",TRUE,_xlfn.UNIQUE(IF(PAYSCALES[PayScaleCode]=CONT_SUP[[#This Row],[PayScaleCode]],PAYSCALES[SchoolCodes],""))))),1,0))</f>
        <v>0</v>
      </c>
      <c r="G297" s="57">
        <f>IF(_xlfn.XLOOKUP(CONT_SUP[[#This Row],[PayScaleGradeCode]],GRADES[PayScaleGradeCode],GRADES[AvailableToAllSchools])=TRUE,0,IFERROR(IF(FIND(CONT_SUP[[#This Row],[SchoolCode]],_xlfn.XLOOKUP(CONT_SUP[[#This Row],[PayScaleGradeCode]],GRADES[PayScaleGradeCode],GRADES[SchoolCodes]))&gt;=1,0,1),1))</f>
        <v>0</v>
      </c>
      <c r="H297" s="57">
        <f>IF(ISERROR(IF((_xlfn.XLOOKUP(CONT_SUP[[#This Row],[PayScaleGradeCode]],GRADES[PayScaleGradeCode],GRADES[PayScaleCode])=CONT_SUP[[#This Row],[PayScaleCode]]),0,1)),1,0)</f>
        <v>0</v>
      </c>
      <c r="I297" s="57" cm="1">
        <f t="array" ref="I297">IF(ISERROR(FIND(CONT_SUP[[#This Row],[PayScalePointCode]],_xlfn.TEXTJOIN(",",TRUE,IF(PSPOINTS[PayScaleCode]=CONT_SUP[[#This Row],[PayScaleCode]],PSPOINTS[PayScalePointCode])))),1,0)</f>
        <v>0</v>
      </c>
      <c r="J297" s="57" cm="1">
        <f t="array" ref="J29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97" s="57">
        <f>IF(_xlfn.XLOOKUP(CONT_SUP[[#This Row],[PayScalePointCode]],PSPOINTS[PayScalePointCode],PSPOINTS[PayScalePointEnabled])=TRUE,0,1)</f>
        <v>0</v>
      </c>
      <c r="L297" s="57" cm="1">
        <f t="array" ref="L297">IF(_xlfn.XLOOKUP(CONT_SUP[[#This Row],[DepartmentCode]],DEPTS[DepartmentCode],DEPTS[AvailableToAllSchools],1,0,)=TRUE,0,IF(ISERROR(FIND(CONT_SUP[[#This Row],[SchoolCode]],_xlfn.TEXTJOIN(",",TRUE,_xlfn.UNIQUE(IF(DEPTS[DepartmentCode]=CONT_SUP[[#This Row],[DepartmentCode]],DEPTS[SchoolCodes],""))))),1,0))</f>
        <v>0</v>
      </c>
      <c r="M297" s="57">
        <f>IFERROR(IF(_xlfn.XLOOKUP(CONT_SUP[[#This Row],[SRG Gross]],FinanceCodesBudget[FinanceCode],FinanceCodesBudget[LedgerCode])=_xlfn.XLOOKUP(CONT_SUP[[#This Row],[DepartmentCode]],DEPTS[DepartmentCode],DEPTS[LedgerCode]),0,1),1)</f>
        <v>1</v>
      </c>
      <c r="N297" s="57" cm="1">
        <f t="array" ref="N297">IF(_xlfn.XLOOKUP(CONT_SUP[[#This Row],[PensionCode]],PENS[PensionCode],PENS[AvailableToAllSchools],1,0,)=TRUE,0,IF(ISERROR(FIND(CONT_SUP[[#This Row],[SchoolCode]],_xlfn.TEXTJOIN(",",TRUE,_xlfn.UNIQUE(IF(PENS[PensionCode]=CONT_SUP[[#This Row],[PensionCode]],PENS[SchoolCodes],""))))),1,0))</f>
        <v>0</v>
      </c>
      <c r="O297" s="57" cm="1">
        <f t="array" ref="O297">IF(_xlfn.XLOOKUP(CONT_SUP[[#This Row],[EquatedWeekPatternCode]],EQW[EquatedWeekPatternCode],EQW[AvailableToAllSchools],1,0,)=TRUE,0,IF(ISERROR(FIND(CONT_SUP[[#This Row],[SchoolCode]],_xlfn.TEXTJOIN(",",TRUE,_xlfn.UNIQUE(IF(EQW[EquatedWeekPatternCode]=CONT_SUP[[#This Row],[EquatedWeekPatternCode]],EQW[SchoolCodes],""))))),1,0))</f>
        <v>0</v>
      </c>
      <c r="P297" s="57">
        <f>1-COUNTIF(ContractTypes[Code],CONT_SUP[[#This Row],[ContractTypeCode]])</f>
        <v>0</v>
      </c>
      <c r="Q297" s="57">
        <f>IF(VLOOKUP(CONT_SUP[[#This Row],[StaffMemberCode]],MEMBERS[[StaffMemberCode]:[ServiceStartDate]],5,0)&gt;CONT_SUP[[#This Row],[DateFrom]],1,0)</f>
        <v>0</v>
      </c>
      <c r="R297" s="57">
        <f>IF(_xlfn.XLOOKUP(CONT_SUP[[#This Row],[StaffMemberCode]],MEMBERS[StaffMemberCode],MEMBERS[ServiceEndDate])="",0,IF(CONT_SUP[[#This Row],[DateTo]]="",1,IF(_xlfn.XLOOKUP(CONT_SUP[[#This Row],[StaffMemberCode]],MEMBERS[StaffMemberCode],MEMBERS[ServiceEndDate])&lt;CONT_SUP[[#This Row],[DateTo]],1,0)))</f>
        <v>0</v>
      </c>
      <c r="S297" s="57">
        <f>IF(ISBLANK(CONT_SUP[[#This Row],[DateTo]]),0,IF(CONT_SUP[[#This Row],[DateFrom]]=CONT_SUP[[#This Row],[DateTo]],0,IF(CONT_SUP[[#This Row],[DateFrom]]&lt;CONT_SUP[[#This Row],[DateTo]],0,1)))</f>
        <v>0</v>
      </c>
      <c r="T297" s="57" cm="1">
        <f t="array" aca="1" ref="T297" ca="1">IF(CELL("format",CONT_SUP[[#This Row],[DateFrom]])="D1",0,1)+IF(CELL("format",CONT_SUP[[#This Row],[DateTo]])="D1",0,1)</f>
        <v>0</v>
      </c>
      <c r="U297" s="57">
        <f>IF(OR(CONT_SUP[[#This Row],[MatEditOnly]]=TRUE,CONT_SUP[[#This Row],[MatEditOnly]]=FALSE),IF(OR(CONT_SUP[[#This Row],[NoIncrement]]=TRUE,CONT_SUP[[#This Row],[NoIncrement]]=FALSE),0,1),1)</f>
        <v>0</v>
      </c>
      <c r="V297" s="57">
        <f>IF(ISBLANK(CONT_SUP[[#This Row],[FundCode]])=TRUE,0,IF(COUNTIF(FUNDS[FundCode],CONT_SUP[[#This Row],[FundCode]])=1,0,1))</f>
        <v>0</v>
      </c>
      <c r="W297" s="57">
        <f>IF(LEN(CONT_SUP[[#This Row],[Notes]])&lt;4000,0,1)</f>
        <v>0</v>
      </c>
      <c r="X297" s="57">
        <f>IF(SUBSTITUTE(TEXT(CONT_SUP[[#This Row],[Reference]],10)," ","")=TEXT(CONT_SUP[[#This Row],[Reference]],10),0,1)</f>
        <v>0</v>
      </c>
      <c r="Y297" s="57">
        <f ca="1">SUM(CONT_SUP[[#This Row],[Duplicate Contract]:[Space in Code]])</f>
        <v>1</v>
      </c>
      <c r="AA297" s="12" t="s">
        <v>2094</v>
      </c>
      <c r="AB297" s="12">
        <v>91073590</v>
      </c>
      <c r="AC297" s="12" t="s">
        <v>4893</v>
      </c>
      <c r="AD297" s="57" t="str">
        <f>_xlfn.XLOOKUP(CONT_SUP[[#This Row],[StaffMemberCode]],StaffMembers!O:O,StaffMembers!R:R)</f>
        <v>Suzanne Nixon</v>
      </c>
      <c r="AE297" s="12" t="s">
        <v>1184</v>
      </c>
      <c r="AF297" s="57">
        <f>_xlfn.XLOOKUP(CONT_SUP[[#This Row],[SRG]],SRG[StaffRoleGroupCode],SRG[GrossSalaryFinanceCode])</f>
        <v>622100</v>
      </c>
      <c r="AG297" s="57" t="str">
        <f>_xlfn.XLOOKUP(CONT_SUP[[#This Row],[StaffRoleCode]],ROLES[StaffRoleCode],ROLES[StaffRoleGroupCode])</f>
        <v>TEC</v>
      </c>
      <c r="AH297" s="57" t="str">
        <f>_xlfn.XLOOKUP(CONT_SUP[[#This Row],[StaffRoleCode]],ROLES[StaffRoleCode],ROLES[PayScaleCode])</f>
        <v>NJC_CHE</v>
      </c>
      <c r="AI297" s="12" t="s">
        <v>3122</v>
      </c>
      <c r="AJ297" s="12">
        <v>6</v>
      </c>
      <c r="AK297" s="12" t="s">
        <v>2501</v>
      </c>
      <c r="AM297" s="68" t="s">
        <v>3132</v>
      </c>
      <c r="AN297" s="12" t="s">
        <v>3135</v>
      </c>
      <c r="AO297" s="21">
        <v>45901</v>
      </c>
      <c r="AQ297" s="12">
        <v>32.5</v>
      </c>
      <c r="AR297" t="b">
        <v>0</v>
      </c>
      <c r="AS297" t="b">
        <v>0</v>
      </c>
      <c r="AT297" s="12" t="s">
        <v>1574</v>
      </c>
    </row>
    <row r="298" spans="1:46" x14ac:dyDescent="0.3">
      <c r="A298" s="57" t="str">
        <f t="shared" si="9"/>
        <v>ALS9107368591073685ATECSTECH45901</v>
      </c>
      <c r="B298" s="57">
        <f>COUNTIF(CONT_SUP[Unique Contract],CONT_SUP[[#This Row],[Unique Contract]])-1</f>
        <v>0</v>
      </c>
      <c r="C298" s="57">
        <f>IFERROR(IF(FIND(CONT_SUP[[#This Row],[SchoolCode]],_xlfn.XLOOKUP(CONT_SUP[[#This Row],[StaffMemberCode]],MEMBERS[StaffMemberCode],MEMBERS[SchoolCodes]))&gt;0,0,1),1)</f>
        <v>0</v>
      </c>
      <c r="D298" s="57" cm="1">
        <f t="array" ref="D298">IF(_xlfn.XLOOKUP(CONT_SUP[[#This Row],[StaffRoleCode]],ROLES[StaffRoleCode],ROLES[AvailableToAllSchools],1,0,)=TRUE,0,IF(ISERROR(FIND(CONT_SUP[[#This Row],[SchoolCode]],_xlfn.TEXTJOIN(",",TRUE,_xlfn.UNIQUE(IF(ROLES[StaffRoleCode]=CONT_SUP[[#This Row],[StaffRoleCode]],ROLES[SchoolCodes],""))))),1,0))</f>
        <v>0</v>
      </c>
      <c r="E298" s="57" cm="1">
        <f t="array" ref="E29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98" s="57" cm="1">
        <f t="array" ref="F298">IF(_xlfn.XLOOKUP(CONT_SUP[[#This Row],[PayScaleCode]],PAYSCALES[PayScaleCode],PAYSCALES[AvailableToAllSchools],1,0,)=TRUE,0,IF(ISERROR(FIND(CONT_SUP[[#This Row],[SchoolCode]],_xlfn.TEXTJOIN(",",TRUE,_xlfn.UNIQUE(IF(PAYSCALES[PayScaleCode]=CONT_SUP[[#This Row],[PayScaleCode]],PAYSCALES[SchoolCodes],""))))),1,0))</f>
        <v>0</v>
      </c>
      <c r="G298" s="57">
        <f>IF(_xlfn.XLOOKUP(CONT_SUP[[#This Row],[PayScaleGradeCode]],GRADES[PayScaleGradeCode],GRADES[AvailableToAllSchools])=TRUE,0,IFERROR(IF(FIND(CONT_SUP[[#This Row],[SchoolCode]],_xlfn.XLOOKUP(CONT_SUP[[#This Row],[PayScaleGradeCode]],GRADES[PayScaleGradeCode],GRADES[SchoolCodes]))&gt;=1,0,1),1))</f>
        <v>0</v>
      </c>
      <c r="H298" s="57">
        <f>IF(ISERROR(IF((_xlfn.XLOOKUP(CONT_SUP[[#This Row],[PayScaleGradeCode]],GRADES[PayScaleGradeCode],GRADES[PayScaleCode])=CONT_SUP[[#This Row],[PayScaleCode]]),0,1)),1,0)</f>
        <v>0</v>
      </c>
      <c r="I298" s="57" cm="1">
        <f t="array" ref="I298">IF(ISERROR(FIND(CONT_SUP[[#This Row],[PayScalePointCode]],_xlfn.TEXTJOIN(",",TRUE,IF(PSPOINTS[PayScaleCode]=CONT_SUP[[#This Row],[PayScaleCode]],PSPOINTS[PayScalePointCode])))),1,0)</f>
        <v>0</v>
      </c>
      <c r="J298" s="57" cm="1">
        <f t="array" ref="J29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98" s="57">
        <f>IF(_xlfn.XLOOKUP(CONT_SUP[[#This Row],[PayScalePointCode]],PSPOINTS[PayScalePointCode],PSPOINTS[PayScalePointEnabled])=TRUE,0,1)</f>
        <v>0</v>
      </c>
      <c r="L298" s="57" cm="1">
        <f t="array" ref="L298">IF(_xlfn.XLOOKUP(CONT_SUP[[#This Row],[DepartmentCode]],DEPTS[DepartmentCode],DEPTS[AvailableToAllSchools],1,0,)=TRUE,0,IF(ISERROR(FIND(CONT_SUP[[#This Row],[SchoolCode]],_xlfn.TEXTJOIN(",",TRUE,_xlfn.UNIQUE(IF(DEPTS[DepartmentCode]=CONT_SUP[[#This Row],[DepartmentCode]],DEPTS[SchoolCodes],""))))),1,0))</f>
        <v>0</v>
      </c>
      <c r="M298" s="57">
        <f>IFERROR(IF(_xlfn.XLOOKUP(CONT_SUP[[#This Row],[SRG Gross]],FinanceCodesBudget[FinanceCode],FinanceCodesBudget[LedgerCode])=_xlfn.XLOOKUP(CONT_SUP[[#This Row],[DepartmentCode]],DEPTS[DepartmentCode],DEPTS[LedgerCode]),0,1),1)</f>
        <v>1</v>
      </c>
      <c r="N298" s="57" cm="1">
        <f t="array" ref="N298">IF(_xlfn.XLOOKUP(CONT_SUP[[#This Row],[PensionCode]],PENS[PensionCode],PENS[AvailableToAllSchools],1,0,)=TRUE,0,IF(ISERROR(FIND(CONT_SUP[[#This Row],[SchoolCode]],_xlfn.TEXTJOIN(",",TRUE,_xlfn.UNIQUE(IF(PENS[PensionCode]=CONT_SUP[[#This Row],[PensionCode]],PENS[SchoolCodes],""))))),1,0))</f>
        <v>0</v>
      </c>
      <c r="O298" s="57" cm="1">
        <f t="array" ref="O298">IF(_xlfn.XLOOKUP(CONT_SUP[[#This Row],[EquatedWeekPatternCode]],EQW[EquatedWeekPatternCode],EQW[AvailableToAllSchools],1,0,)=TRUE,0,IF(ISERROR(FIND(CONT_SUP[[#This Row],[SchoolCode]],_xlfn.TEXTJOIN(",",TRUE,_xlfn.UNIQUE(IF(EQW[EquatedWeekPatternCode]=CONT_SUP[[#This Row],[EquatedWeekPatternCode]],EQW[SchoolCodes],""))))),1,0))</f>
        <v>0</v>
      </c>
      <c r="P298" s="57">
        <f>1-COUNTIF(ContractTypes[Code],CONT_SUP[[#This Row],[ContractTypeCode]])</f>
        <v>0</v>
      </c>
      <c r="Q298" s="57">
        <f>IF(VLOOKUP(CONT_SUP[[#This Row],[StaffMemberCode]],MEMBERS[[StaffMemberCode]:[ServiceStartDate]],5,0)&gt;CONT_SUP[[#This Row],[DateFrom]],1,0)</f>
        <v>0</v>
      </c>
      <c r="R298" s="57">
        <f>IF(_xlfn.XLOOKUP(CONT_SUP[[#This Row],[StaffMemberCode]],MEMBERS[StaffMemberCode],MEMBERS[ServiceEndDate])="",0,IF(CONT_SUP[[#This Row],[DateTo]]="",1,IF(_xlfn.XLOOKUP(CONT_SUP[[#This Row],[StaffMemberCode]],MEMBERS[StaffMemberCode],MEMBERS[ServiceEndDate])&lt;CONT_SUP[[#This Row],[DateTo]],1,0)))</f>
        <v>0</v>
      </c>
      <c r="S298" s="57">
        <f>IF(ISBLANK(CONT_SUP[[#This Row],[DateTo]]),0,IF(CONT_SUP[[#This Row],[DateFrom]]=CONT_SUP[[#This Row],[DateTo]],0,IF(CONT_SUP[[#This Row],[DateFrom]]&lt;CONT_SUP[[#This Row],[DateTo]],0,1)))</f>
        <v>0</v>
      </c>
      <c r="T298" s="57" cm="1">
        <f t="array" aca="1" ref="T298" ca="1">IF(CELL("format",CONT_SUP[[#This Row],[DateFrom]])="D1",0,1)+IF(CELL("format",CONT_SUP[[#This Row],[DateTo]])="D1",0,1)</f>
        <v>0</v>
      </c>
      <c r="U298" s="57">
        <f>IF(OR(CONT_SUP[[#This Row],[MatEditOnly]]=TRUE,CONT_SUP[[#This Row],[MatEditOnly]]=FALSE),IF(OR(CONT_SUP[[#This Row],[NoIncrement]]=TRUE,CONT_SUP[[#This Row],[NoIncrement]]=FALSE),0,1),1)</f>
        <v>0</v>
      </c>
      <c r="V298" s="57">
        <f>IF(ISBLANK(CONT_SUP[[#This Row],[FundCode]])=TRUE,0,IF(COUNTIF(FUNDS[FundCode],CONT_SUP[[#This Row],[FundCode]])=1,0,1))</f>
        <v>0</v>
      </c>
      <c r="W298" s="57">
        <f>IF(LEN(CONT_SUP[[#This Row],[Notes]])&lt;4000,0,1)</f>
        <v>0</v>
      </c>
      <c r="X298" s="57">
        <f>IF(SUBSTITUTE(TEXT(CONT_SUP[[#This Row],[Reference]],10)," ","")=TEXT(CONT_SUP[[#This Row],[Reference]],10),0,1)</f>
        <v>0</v>
      </c>
      <c r="Y298" s="57">
        <f ca="1">SUM(CONT_SUP[[#This Row],[Duplicate Contract]:[Space in Code]])</f>
        <v>1</v>
      </c>
      <c r="AA298" s="12" t="s">
        <v>2082</v>
      </c>
      <c r="AB298" s="12">
        <v>91073685</v>
      </c>
      <c r="AC298" s="12" t="s">
        <v>4894</v>
      </c>
      <c r="AD298" s="57" t="str">
        <f>_xlfn.XLOOKUP(CONT_SUP[[#This Row],[StaffMemberCode]],StaffMembers!O:O,StaffMembers!R:R)</f>
        <v>Tracey Birchall</v>
      </c>
      <c r="AE298" s="12" t="s">
        <v>1184</v>
      </c>
      <c r="AF298" s="57">
        <f>_xlfn.XLOOKUP(CONT_SUP[[#This Row],[SRG]],SRG[StaffRoleGroupCode],SRG[GrossSalaryFinanceCode])</f>
        <v>622100</v>
      </c>
      <c r="AG298" s="57" t="str">
        <f>_xlfn.XLOOKUP(CONT_SUP[[#This Row],[StaffRoleCode]],ROLES[StaffRoleCode],ROLES[StaffRoleGroupCode])</f>
        <v>TEC</v>
      </c>
      <c r="AH298" s="57" t="str">
        <f>_xlfn.XLOOKUP(CONT_SUP[[#This Row],[StaffRoleCode]],ROLES[StaffRoleCode],ROLES[PayScaleCode])</f>
        <v>NJC_CHE</v>
      </c>
      <c r="AI298" s="12" t="s">
        <v>3121</v>
      </c>
      <c r="AJ298" s="12">
        <v>4</v>
      </c>
      <c r="AK298" s="12" t="s">
        <v>2501</v>
      </c>
      <c r="AM298" s="68" t="s">
        <v>3132</v>
      </c>
      <c r="AN298" s="12" t="s">
        <v>3134</v>
      </c>
      <c r="AO298" s="21">
        <v>45901</v>
      </c>
      <c r="AQ298" s="12">
        <v>31.25</v>
      </c>
      <c r="AR298" t="b">
        <v>0</v>
      </c>
      <c r="AS298" t="b">
        <v>0</v>
      </c>
      <c r="AT298" s="12" t="s">
        <v>1574</v>
      </c>
    </row>
    <row r="299" spans="1:46" x14ac:dyDescent="0.3">
      <c r="A299" s="57" t="str">
        <f t="shared" ref="A299:A330" si="10">AA299&amp;AB299&amp;AC299&amp;AE299&amp;AK299&amp;AO299</f>
        <v>MLB10005317112919SIMS_OFFSFIN46023</v>
      </c>
      <c r="B299" s="57">
        <f>COUNTIF(CONT_SUP[Unique Contract],CONT_SUP[[#This Row],[Unique Contract]])-1</f>
        <v>0</v>
      </c>
      <c r="C299" s="57">
        <f>IFERROR(IF(FIND(CONT_SUP[[#This Row],[SchoolCode]],_xlfn.XLOOKUP(CONT_SUP[[#This Row],[StaffMemberCode]],MEMBERS[StaffMemberCode],MEMBERS[SchoolCodes]))&gt;0,0,1),1)</f>
        <v>0</v>
      </c>
      <c r="D299" s="57" cm="1">
        <f t="array" ref="D299">IF(_xlfn.XLOOKUP(CONT_SUP[[#This Row],[StaffRoleCode]],ROLES[StaffRoleCode],ROLES[AvailableToAllSchools],1,0,)=TRUE,0,IF(ISERROR(FIND(CONT_SUP[[#This Row],[SchoolCode]],_xlfn.TEXTJOIN(",",TRUE,_xlfn.UNIQUE(IF(ROLES[StaffRoleCode]=CONT_SUP[[#This Row],[StaffRoleCode]],ROLES[SchoolCodes],""))))),1,0))</f>
        <v>0</v>
      </c>
      <c r="E299" s="57" cm="1">
        <f t="array" ref="E29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299" s="57" cm="1">
        <f t="array" ref="F299">IF(_xlfn.XLOOKUP(CONT_SUP[[#This Row],[PayScaleCode]],PAYSCALES[PayScaleCode],PAYSCALES[AvailableToAllSchools],1,0,)=TRUE,0,IF(ISERROR(FIND(CONT_SUP[[#This Row],[SchoolCode]],_xlfn.TEXTJOIN(",",TRUE,_xlfn.UNIQUE(IF(PAYSCALES[PayScaleCode]=CONT_SUP[[#This Row],[PayScaleCode]],PAYSCALES[SchoolCodes],""))))),1,0))</f>
        <v>0</v>
      </c>
      <c r="G299" s="57">
        <f>IF(_xlfn.XLOOKUP(CONT_SUP[[#This Row],[PayScaleGradeCode]],GRADES[PayScaleGradeCode],GRADES[AvailableToAllSchools])=TRUE,0,IFERROR(IF(FIND(CONT_SUP[[#This Row],[SchoolCode]],_xlfn.XLOOKUP(CONT_SUP[[#This Row],[PayScaleGradeCode]],GRADES[PayScaleGradeCode],GRADES[SchoolCodes]))&gt;=1,0,1),1))</f>
        <v>0</v>
      </c>
      <c r="H299" s="57">
        <f>IF(ISERROR(IF((_xlfn.XLOOKUP(CONT_SUP[[#This Row],[PayScaleGradeCode]],GRADES[PayScaleGradeCode],GRADES[PayScaleCode])=CONT_SUP[[#This Row],[PayScaleCode]]),0,1)),1,0)</f>
        <v>0</v>
      </c>
      <c r="I299" s="57" cm="1">
        <f t="array" ref="I299">IF(ISERROR(FIND(CONT_SUP[[#This Row],[PayScalePointCode]],_xlfn.TEXTJOIN(",",TRUE,IF(PSPOINTS[PayScaleCode]=CONT_SUP[[#This Row],[PayScaleCode]],PSPOINTS[PayScalePointCode])))),1,0)</f>
        <v>0</v>
      </c>
      <c r="J299" s="57" cm="1">
        <f t="array" ref="J29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299" s="57">
        <f>IF(_xlfn.XLOOKUP(CONT_SUP[[#This Row],[PayScalePointCode]],PSPOINTS[PayScalePointCode],PSPOINTS[PayScalePointEnabled])=TRUE,0,1)</f>
        <v>0</v>
      </c>
      <c r="L299" s="57" cm="1">
        <f t="array" ref="L299">IF(_xlfn.XLOOKUP(CONT_SUP[[#This Row],[DepartmentCode]],DEPTS[DepartmentCode],DEPTS[AvailableToAllSchools],1,0,)=TRUE,0,IF(ISERROR(FIND(CONT_SUP[[#This Row],[SchoolCode]],_xlfn.TEXTJOIN(",",TRUE,_xlfn.UNIQUE(IF(DEPTS[DepartmentCode]=CONT_SUP[[#This Row],[DepartmentCode]],DEPTS[SchoolCodes],""))))),1,0))</f>
        <v>0</v>
      </c>
      <c r="M299" s="57">
        <f>IFERROR(IF(_xlfn.XLOOKUP(CONT_SUP[[#This Row],[SRG Gross]],FinanceCodesBudget[FinanceCode],FinanceCodesBudget[LedgerCode])=_xlfn.XLOOKUP(CONT_SUP[[#This Row],[DepartmentCode]],DEPTS[DepartmentCode],DEPTS[LedgerCode]),0,1),1)</f>
        <v>0</v>
      </c>
      <c r="N299" s="57" cm="1">
        <f t="array" ref="N299">IF(_xlfn.XLOOKUP(CONT_SUP[[#This Row],[PensionCode]],PENS[PensionCode],PENS[AvailableToAllSchools],1,0,)=TRUE,0,IF(ISERROR(FIND(CONT_SUP[[#This Row],[SchoolCode]],_xlfn.TEXTJOIN(",",TRUE,_xlfn.UNIQUE(IF(PENS[PensionCode]=CONT_SUP[[#This Row],[PensionCode]],PENS[SchoolCodes],""))))),1,0))</f>
        <v>0</v>
      </c>
      <c r="O299" s="57" cm="1">
        <f t="array" ref="O299">IF(_xlfn.XLOOKUP(CONT_SUP[[#This Row],[EquatedWeekPatternCode]],EQW[EquatedWeekPatternCode],EQW[AvailableToAllSchools],1,0,)=TRUE,0,IF(ISERROR(FIND(CONT_SUP[[#This Row],[SchoolCode]],_xlfn.TEXTJOIN(",",TRUE,_xlfn.UNIQUE(IF(EQW[EquatedWeekPatternCode]=CONT_SUP[[#This Row],[EquatedWeekPatternCode]],EQW[SchoolCodes],""))))),1,0))</f>
        <v>0</v>
      </c>
      <c r="P299" s="57">
        <f>1-COUNTIF(ContractTypes[Code],CONT_SUP[[#This Row],[ContractTypeCode]])</f>
        <v>0</v>
      </c>
      <c r="Q299" s="57">
        <f>IF(VLOOKUP(CONT_SUP[[#This Row],[StaffMemberCode]],MEMBERS[[StaffMemberCode]:[ServiceStartDate]],5,0)&gt;CONT_SUP[[#This Row],[DateFrom]],1,0)</f>
        <v>0</v>
      </c>
      <c r="R299" s="57">
        <f>IF(_xlfn.XLOOKUP(CONT_SUP[[#This Row],[StaffMemberCode]],MEMBERS[StaffMemberCode],MEMBERS[ServiceEndDate])="",0,IF(CONT_SUP[[#This Row],[DateTo]]="",1,IF(_xlfn.XLOOKUP(CONT_SUP[[#This Row],[StaffMemberCode]],MEMBERS[StaffMemberCode],MEMBERS[ServiceEndDate])&lt;CONT_SUP[[#This Row],[DateTo]],1,0)))</f>
        <v>0</v>
      </c>
      <c r="S299" s="57">
        <f>IF(ISBLANK(CONT_SUP[[#This Row],[DateTo]]),0,IF(CONT_SUP[[#This Row],[DateFrom]]=CONT_SUP[[#This Row],[DateTo]],0,IF(CONT_SUP[[#This Row],[DateFrom]]&lt;CONT_SUP[[#This Row],[DateTo]],0,1)))</f>
        <v>0</v>
      </c>
      <c r="T299" s="57" cm="1">
        <f t="array" aca="1" ref="T299" ca="1">IF(CELL("format",CONT_SUP[[#This Row],[DateFrom]])="D1",0,1)+IF(CELL("format",CONT_SUP[[#This Row],[DateTo]])="D1",0,1)</f>
        <v>0</v>
      </c>
      <c r="U299" s="57">
        <f>IF(OR(CONT_SUP[[#This Row],[MatEditOnly]]=TRUE,CONT_SUP[[#This Row],[MatEditOnly]]=FALSE),IF(OR(CONT_SUP[[#This Row],[NoIncrement]]=TRUE,CONT_SUP[[#This Row],[NoIncrement]]=FALSE),0,1),1)</f>
        <v>0</v>
      </c>
      <c r="V299" s="57">
        <f>IF(ISBLANK(CONT_SUP[[#This Row],[FundCode]])=TRUE,0,IF(COUNTIF(FUNDS[FundCode],CONT_SUP[[#This Row],[FundCode]])=1,0,1))</f>
        <v>0</v>
      </c>
      <c r="W299" s="57">
        <f>IF(LEN(CONT_SUP[[#This Row],[Notes]])&lt;4000,0,1)</f>
        <v>0</v>
      </c>
      <c r="X299" s="57">
        <f>IF(SUBSTITUTE(TEXT(CONT_SUP[[#This Row],[Reference]],10)," ","")=TEXT(CONT_SUP[[#This Row],[Reference]],10),0,1)</f>
        <v>0</v>
      </c>
      <c r="Y299" s="57">
        <f ca="1">SUM(CONT_SUP[[#This Row],[Duplicate Contract]:[Space in Code]])</f>
        <v>0</v>
      </c>
      <c r="AA299" s="12" t="s">
        <v>2126</v>
      </c>
      <c r="AB299" s="12">
        <v>10005317</v>
      </c>
      <c r="AC299" s="12">
        <v>112919</v>
      </c>
      <c r="AD299" s="57" t="str">
        <f>_xlfn.XLOOKUP(CONT_SUP[[#This Row],[StaffMemberCode]],StaffMembers!O:O,StaffMembers!R:R)</f>
        <v>Nicola Hemmings</v>
      </c>
      <c r="AE299" s="12" t="s">
        <v>4273</v>
      </c>
      <c r="AF299" s="57">
        <f>_xlfn.XLOOKUP(CONT_SUP[[#This Row],[SRG]],SRG[StaffRoleGroupCode],SRG[GrossSalaryFinanceCode])</f>
        <v>625100</v>
      </c>
      <c r="AG299" s="57" t="str">
        <f>_xlfn.XLOOKUP(CONT_SUP[[#This Row],[StaffRoleCode]],ROLES[StaffRoleCode],ROLES[StaffRoleGroupCode])</f>
        <v>ADM</v>
      </c>
      <c r="AH299" s="57" t="str">
        <f>_xlfn.XLOOKUP(CONT_SUP[[#This Row],[StaffRoleCode]],ROLES[StaffRoleCode],ROLES[PayScaleCode])</f>
        <v>NJC_CHE</v>
      </c>
      <c r="AI299" s="12" t="s">
        <v>3124</v>
      </c>
      <c r="AJ299" s="12">
        <v>17</v>
      </c>
      <c r="AK299" s="12" t="s">
        <v>2483</v>
      </c>
      <c r="AM299" s="68" t="s">
        <v>3132</v>
      </c>
      <c r="AN299" s="12" t="s">
        <v>1702</v>
      </c>
      <c r="AO299" s="21">
        <v>46023</v>
      </c>
      <c r="AQ299" s="12">
        <v>37</v>
      </c>
      <c r="AR299" t="b">
        <v>0</v>
      </c>
      <c r="AS299" t="b">
        <v>0</v>
      </c>
      <c r="AT299" s="12" t="s">
        <v>1574</v>
      </c>
    </row>
    <row r="300" spans="1:46" x14ac:dyDescent="0.3">
      <c r="A300" s="57" t="str">
        <f t="shared" si="10"/>
        <v>MLB10005303112508OFF_MGRSFIN46023</v>
      </c>
      <c r="B300" s="57">
        <f>COUNTIF(CONT_SUP[Unique Contract],CONT_SUP[[#This Row],[Unique Contract]])-1</f>
        <v>0</v>
      </c>
      <c r="C300" s="57">
        <f>IFERROR(IF(FIND(CONT_SUP[[#This Row],[SchoolCode]],_xlfn.XLOOKUP(CONT_SUP[[#This Row],[StaffMemberCode]],MEMBERS[StaffMemberCode],MEMBERS[SchoolCodes]))&gt;0,0,1),1)</f>
        <v>0</v>
      </c>
      <c r="D300" s="57" cm="1">
        <f t="array" ref="D300">IF(_xlfn.XLOOKUP(CONT_SUP[[#This Row],[StaffRoleCode]],ROLES[StaffRoleCode],ROLES[AvailableToAllSchools],1,0,)=TRUE,0,IF(ISERROR(FIND(CONT_SUP[[#This Row],[SchoolCode]],_xlfn.TEXTJOIN(",",TRUE,_xlfn.UNIQUE(IF(ROLES[StaffRoleCode]=CONT_SUP[[#This Row],[StaffRoleCode]],ROLES[SchoolCodes],""))))),1,0))</f>
        <v>0</v>
      </c>
      <c r="E300" s="57" cm="1">
        <f t="array" ref="E30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00" s="57" cm="1">
        <f t="array" ref="F300">IF(_xlfn.XLOOKUP(CONT_SUP[[#This Row],[PayScaleCode]],PAYSCALES[PayScaleCode],PAYSCALES[AvailableToAllSchools],1,0,)=TRUE,0,IF(ISERROR(FIND(CONT_SUP[[#This Row],[SchoolCode]],_xlfn.TEXTJOIN(",",TRUE,_xlfn.UNIQUE(IF(PAYSCALES[PayScaleCode]=CONT_SUP[[#This Row],[PayScaleCode]],PAYSCALES[SchoolCodes],""))))),1,0))</f>
        <v>0</v>
      </c>
      <c r="G300" s="57">
        <f>IF(_xlfn.XLOOKUP(CONT_SUP[[#This Row],[PayScaleGradeCode]],GRADES[PayScaleGradeCode],GRADES[AvailableToAllSchools])=TRUE,0,IFERROR(IF(FIND(CONT_SUP[[#This Row],[SchoolCode]],_xlfn.XLOOKUP(CONT_SUP[[#This Row],[PayScaleGradeCode]],GRADES[PayScaleGradeCode],GRADES[SchoolCodes]))&gt;=1,0,1),1))</f>
        <v>0</v>
      </c>
      <c r="H300" s="57">
        <f>IF(ISERROR(IF((_xlfn.XLOOKUP(CONT_SUP[[#This Row],[PayScaleGradeCode]],GRADES[PayScaleGradeCode],GRADES[PayScaleCode])=CONT_SUP[[#This Row],[PayScaleCode]]),0,1)),1,0)</f>
        <v>0</v>
      </c>
      <c r="I300" s="57" cm="1">
        <f t="array" ref="I300">IF(ISERROR(FIND(CONT_SUP[[#This Row],[PayScalePointCode]],_xlfn.TEXTJOIN(",",TRUE,IF(PSPOINTS[PayScaleCode]=CONT_SUP[[#This Row],[PayScaleCode]],PSPOINTS[PayScalePointCode])))),1,0)</f>
        <v>0</v>
      </c>
      <c r="J300" s="57" cm="1">
        <f t="array" ref="J30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00" s="57">
        <f>IF(_xlfn.XLOOKUP(CONT_SUP[[#This Row],[PayScalePointCode]],PSPOINTS[PayScalePointCode],PSPOINTS[PayScalePointEnabled])=TRUE,0,1)</f>
        <v>0</v>
      </c>
      <c r="L300" s="57" cm="1">
        <f t="array" ref="L300">IF(_xlfn.XLOOKUP(CONT_SUP[[#This Row],[DepartmentCode]],DEPTS[DepartmentCode],DEPTS[AvailableToAllSchools],1,0,)=TRUE,0,IF(ISERROR(FIND(CONT_SUP[[#This Row],[SchoolCode]],_xlfn.TEXTJOIN(",",TRUE,_xlfn.UNIQUE(IF(DEPTS[DepartmentCode]=CONT_SUP[[#This Row],[DepartmentCode]],DEPTS[SchoolCodes],""))))),1,0))</f>
        <v>0</v>
      </c>
      <c r="M300" s="57">
        <f>IFERROR(IF(_xlfn.XLOOKUP(CONT_SUP[[#This Row],[SRG Gross]],FinanceCodesBudget[FinanceCode],FinanceCodesBudget[LedgerCode])=_xlfn.XLOOKUP(CONT_SUP[[#This Row],[DepartmentCode]],DEPTS[DepartmentCode],DEPTS[LedgerCode]),0,1),1)</f>
        <v>0</v>
      </c>
      <c r="N300" s="57" cm="1">
        <f t="array" ref="N300">IF(_xlfn.XLOOKUP(CONT_SUP[[#This Row],[PensionCode]],PENS[PensionCode],PENS[AvailableToAllSchools],1,0,)=TRUE,0,IF(ISERROR(FIND(CONT_SUP[[#This Row],[SchoolCode]],_xlfn.TEXTJOIN(",",TRUE,_xlfn.UNIQUE(IF(PENS[PensionCode]=CONT_SUP[[#This Row],[PensionCode]],PENS[SchoolCodes],""))))),1,0))</f>
        <v>0</v>
      </c>
      <c r="O300" s="57" cm="1">
        <f t="array" ref="O300">IF(_xlfn.XLOOKUP(CONT_SUP[[#This Row],[EquatedWeekPatternCode]],EQW[EquatedWeekPatternCode],EQW[AvailableToAllSchools],1,0,)=TRUE,0,IF(ISERROR(FIND(CONT_SUP[[#This Row],[SchoolCode]],_xlfn.TEXTJOIN(",",TRUE,_xlfn.UNIQUE(IF(EQW[EquatedWeekPatternCode]=CONT_SUP[[#This Row],[EquatedWeekPatternCode]],EQW[SchoolCodes],""))))),1,0))</f>
        <v>0</v>
      </c>
      <c r="P300" s="57">
        <f>1-COUNTIF(ContractTypes[Code],CONT_SUP[[#This Row],[ContractTypeCode]])</f>
        <v>0</v>
      </c>
      <c r="Q300" s="57">
        <f>IF(VLOOKUP(CONT_SUP[[#This Row],[StaffMemberCode]],MEMBERS[[StaffMemberCode]:[ServiceStartDate]],5,0)&gt;CONT_SUP[[#This Row],[DateFrom]],1,0)</f>
        <v>0</v>
      </c>
      <c r="R300" s="57">
        <f>IF(_xlfn.XLOOKUP(CONT_SUP[[#This Row],[StaffMemberCode]],MEMBERS[StaffMemberCode],MEMBERS[ServiceEndDate])="",0,IF(CONT_SUP[[#This Row],[DateTo]]="",1,IF(_xlfn.XLOOKUP(CONT_SUP[[#This Row],[StaffMemberCode]],MEMBERS[StaffMemberCode],MEMBERS[ServiceEndDate])&lt;CONT_SUP[[#This Row],[DateTo]],1,0)))</f>
        <v>0</v>
      </c>
      <c r="S300" s="57">
        <f>IF(ISBLANK(CONT_SUP[[#This Row],[DateTo]]),0,IF(CONT_SUP[[#This Row],[DateFrom]]=CONT_SUP[[#This Row],[DateTo]],0,IF(CONT_SUP[[#This Row],[DateFrom]]&lt;CONT_SUP[[#This Row],[DateTo]],0,1)))</f>
        <v>0</v>
      </c>
      <c r="T300" s="57" cm="1">
        <f t="array" aca="1" ref="T300" ca="1">IF(CELL("format",CONT_SUP[[#This Row],[DateFrom]])="D1",0,1)+IF(CELL("format",CONT_SUP[[#This Row],[DateTo]])="D1",0,1)</f>
        <v>0</v>
      </c>
      <c r="U300" s="57">
        <f>IF(OR(CONT_SUP[[#This Row],[MatEditOnly]]=TRUE,CONT_SUP[[#This Row],[MatEditOnly]]=FALSE),IF(OR(CONT_SUP[[#This Row],[NoIncrement]]=TRUE,CONT_SUP[[#This Row],[NoIncrement]]=FALSE),0,1),1)</f>
        <v>0</v>
      </c>
      <c r="V300" s="57">
        <f>IF(ISBLANK(CONT_SUP[[#This Row],[FundCode]])=TRUE,0,IF(COUNTIF(FUNDS[FundCode],CONT_SUP[[#This Row],[FundCode]])=1,0,1))</f>
        <v>0</v>
      </c>
      <c r="W300" s="57">
        <f>IF(LEN(CONT_SUP[[#This Row],[Notes]])&lt;4000,0,1)</f>
        <v>0</v>
      </c>
      <c r="X300" s="57">
        <f>IF(SUBSTITUTE(TEXT(CONT_SUP[[#This Row],[Reference]],10)," ","")=TEXT(CONT_SUP[[#This Row],[Reference]],10),0,1)</f>
        <v>0</v>
      </c>
      <c r="Y300" s="57">
        <f ca="1">SUM(CONT_SUP[[#This Row],[Duplicate Contract]:[Space in Code]])</f>
        <v>0</v>
      </c>
      <c r="AA300" s="12" t="s">
        <v>2126</v>
      </c>
      <c r="AB300" s="12">
        <v>10005303</v>
      </c>
      <c r="AC300" s="12">
        <v>112508</v>
      </c>
      <c r="AD300" s="57" t="str">
        <f>_xlfn.XLOOKUP(CONT_SUP[[#This Row],[StaffMemberCode]],StaffMembers!O:O,StaffMembers!R:R)</f>
        <v>Victoria Denny</v>
      </c>
      <c r="AE300" s="12" t="s">
        <v>4259</v>
      </c>
      <c r="AF300" s="57">
        <f>_xlfn.XLOOKUP(CONT_SUP[[#This Row],[SRG]],SRG[StaffRoleGroupCode],SRG[GrossSalaryFinanceCode])</f>
        <v>625100</v>
      </c>
      <c r="AG300" s="57" t="str">
        <f>_xlfn.XLOOKUP(CONT_SUP[[#This Row],[StaffRoleCode]],ROLES[StaffRoleCode],ROLES[StaffRoleGroupCode])</f>
        <v>ADM</v>
      </c>
      <c r="AH300" s="57" t="str">
        <f>_xlfn.XLOOKUP(CONT_SUP[[#This Row],[StaffRoleCode]],ROLES[StaffRoleCode],ROLES[PayScaleCode])</f>
        <v>NJC_CHE</v>
      </c>
      <c r="AI300" s="12" t="s">
        <v>3124</v>
      </c>
      <c r="AJ300" s="12">
        <v>15</v>
      </c>
      <c r="AK300" s="12" t="s">
        <v>2483</v>
      </c>
      <c r="AM300" s="68" t="s">
        <v>3132</v>
      </c>
      <c r="AN300" s="12" t="s">
        <v>1702</v>
      </c>
      <c r="AO300" s="21">
        <v>46023</v>
      </c>
      <c r="AQ300" s="12">
        <v>37</v>
      </c>
      <c r="AR300" t="b">
        <v>0</v>
      </c>
      <c r="AS300" t="b">
        <v>0</v>
      </c>
      <c r="AT300" s="12" t="s">
        <v>1574</v>
      </c>
    </row>
    <row r="301" spans="1:46" x14ac:dyDescent="0.3">
      <c r="A301" s="57" t="str">
        <f t="shared" si="10"/>
        <v>MLB10005309106077SOFT_DEV_TECSFIN46023</v>
      </c>
      <c r="B301" s="57">
        <f>COUNTIF(CONT_SUP[Unique Contract],CONT_SUP[[#This Row],[Unique Contract]])-1</f>
        <v>0</v>
      </c>
      <c r="C301" s="57">
        <f>IFERROR(IF(FIND(CONT_SUP[[#This Row],[SchoolCode]],_xlfn.XLOOKUP(CONT_SUP[[#This Row],[StaffMemberCode]],MEMBERS[StaffMemberCode],MEMBERS[SchoolCodes]))&gt;0,0,1),1)</f>
        <v>0</v>
      </c>
      <c r="D301" s="57" cm="1">
        <f t="array" ref="D301">IF(_xlfn.XLOOKUP(CONT_SUP[[#This Row],[StaffRoleCode]],ROLES[StaffRoleCode],ROLES[AvailableToAllSchools],1,0,)=TRUE,0,IF(ISERROR(FIND(CONT_SUP[[#This Row],[SchoolCode]],_xlfn.TEXTJOIN(",",TRUE,_xlfn.UNIQUE(IF(ROLES[StaffRoleCode]=CONT_SUP[[#This Row],[StaffRoleCode]],ROLES[SchoolCodes],""))))),1,0))</f>
        <v>0</v>
      </c>
      <c r="E301" s="57" cm="1">
        <f t="array" ref="E30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01" s="57" cm="1">
        <f t="array" ref="F301">IF(_xlfn.XLOOKUP(CONT_SUP[[#This Row],[PayScaleCode]],PAYSCALES[PayScaleCode],PAYSCALES[AvailableToAllSchools],1,0,)=TRUE,0,IF(ISERROR(FIND(CONT_SUP[[#This Row],[SchoolCode]],_xlfn.TEXTJOIN(",",TRUE,_xlfn.UNIQUE(IF(PAYSCALES[PayScaleCode]=CONT_SUP[[#This Row],[PayScaleCode]],PAYSCALES[SchoolCodes],""))))),1,0))</f>
        <v>0</v>
      </c>
      <c r="G301" s="57">
        <f>IF(_xlfn.XLOOKUP(CONT_SUP[[#This Row],[PayScaleGradeCode]],GRADES[PayScaleGradeCode],GRADES[AvailableToAllSchools])=TRUE,0,IFERROR(IF(FIND(CONT_SUP[[#This Row],[SchoolCode]],_xlfn.XLOOKUP(CONT_SUP[[#This Row],[PayScaleGradeCode]],GRADES[PayScaleGradeCode],GRADES[SchoolCodes]))&gt;=1,0,1),1))</f>
        <v>0</v>
      </c>
      <c r="H301" s="57">
        <f>IF(ISERROR(IF((_xlfn.XLOOKUP(CONT_SUP[[#This Row],[PayScaleGradeCode]],GRADES[PayScaleGradeCode],GRADES[PayScaleCode])=CONT_SUP[[#This Row],[PayScaleCode]]),0,1)),1,0)</f>
        <v>0</v>
      </c>
      <c r="I301" s="57" cm="1">
        <f t="array" ref="I301">IF(ISERROR(FIND(CONT_SUP[[#This Row],[PayScalePointCode]],_xlfn.TEXTJOIN(",",TRUE,IF(PSPOINTS[PayScaleCode]=CONT_SUP[[#This Row],[PayScaleCode]],PSPOINTS[PayScalePointCode])))),1,0)</f>
        <v>0</v>
      </c>
      <c r="J301" s="57" cm="1">
        <f t="array" ref="J30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01" s="57">
        <f>IF(_xlfn.XLOOKUP(CONT_SUP[[#This Row],[PayScalePointCode]],PSPOINTS[PayScalePointCode],PSPOINTS[PayScalePointEnabled])=TRUE,0,1)</f>
        <v>0</v>
      </c>
      <c r="L301" s="57" cm="1">
        <f t="array" ref="L301">IF(_xlfn.XLOOKUP(CONT_SUP[[#This Row],[DepartmentCode]],DEPTS[DepartmentCode],DEPTS[AvailableToAllSchools],1,0,)=TRUE,0,IF(ISERROR(FIND(CONT_SUP[[#This Row],[SchoolCode]],_xlfn.TEXTJOIN(",",TRUE,_xlfn.UNIQUE(IF(DEPTS[DepartmentCode]=CONT_SUP[[#This Row],[DepartmentCode]],DEPTS[SchoolCodes],""))))),1,0))</f>
        <v>0</v>
      </c>
      <c r="M301" s="57">
        <f>IFERROR(IF(_xlfn.XLOOKUP(CONT_SUP[[#This Row],[SRG Gross]],FinanceCodesBudget[FinanceCode],FinanceCodesBudget[LedgerCode])=_xlfn.XLOOKUP(CONT_SUP[[#This Row],[DepartmentCode]],DEPTS[DepartmentCode],DEPTS[LedgerCode]),0,1),1)</f>
        <v>0</v>
      </c>
      <c r="N301" s="57" cm="1">
        <f t="array" ref="N301">IF(_xlfn.XLOOKUP(CONT_SUP[[#This Row],[PensionCode]],PENS[PensionCode],PENS[AvailableToAllSchools],1,0,)=TRUE,0,IF(ISERROR(FIND(CONT_SUP[[#This Row],[SchoolCode]],_xlfn.TEXTJOIN(",",TRUE,_xlfn.UNIQUE(IF(PENS[PensionCode]=CONT_SUP[[#This Row],[PensionCode]],PENS[SchoolCodes],""))))),1,0))</f>
        <v>0</v>
      </c>
      <c r="O301" s="57" cm="1">
        <f t="array" ref="O301">IF(_xlfn.XLOOKUP(CONT_SUP[[#This Row],[EquatedWeekPatternCode]],EQW[EquatedWeekPatternCode],EQW[AvailableToAllSchools],1,0,)=TRUE,0,IF(ISERROR(FIND(CONT_SUP[[#This Row],[SchoolCode]],_xlfn.TEXTJOIN(",",TRUE,_xlfn.UNIQUE(IF(EQW[EquatedWeekPatternCode]=CONT_SUP[[#This Row],[EquatedWeekPatternCode]],EQW[SchoolCodes],""))))),1,0))</f>
        <v>0</v>
      </c>
      <c r="P301" s="57">
        <f>1-COUNTIF(ContractTypes[Code],CONT_SUP[[#This Row],[ContractTypeCode]])</f>
        <v>0</v>
      </c>
      <c r="Q301" s="57">
        <f>IF(VLOOKUP(CONT_SUP[[#This Row],[StaffMemberCode]],MEMBERS[[StaffMemberCode]:[ServiceStartDate]],5,0)&gt;CONT_SUP[[#This Row],[DateFrom]],1,0)</f>
        <v>0</v>
      </c>
      <c r="R301" s="57">
        <f>IF(_xlfn.XLOOKUP(CONT_SUP[[#This Row],[StaffMemberCode]],MEMBERS[StaffMemberCode],MEMBERS[ServiceEndDate])="",0,IF(CONT_SUP[[#This Row],[DateTo]]="",1,IF(_xlfn.XLOOKUP(CONT_SUP[[#This Row],[StaffMemberCode]],MEMBERS[StaffMemberCode],MEMBERS[ServiceEndDate])&lt;CONT_SUP[[#This Row],[DateTo]],1,0)))</f>
        <v>0</v>
      </c>
      <c r="S301" s="57">
        <f>IF(ISBLANK(CONT_SUP[[#This Row],[DateTo]]),0,IF(CONT_SUP[[#This Row],[DateFrom]]=CONT_SUP[[#This Row],[DateTo]],0,IF(CONT_SUP[[#This Row],[DateFrom]]&lt;CONT_SUP[[#This Row],[DateTo]],0,1)))</f>
        <v>0</v>
      </c>
      <c r="T301" s="57" cm="1">
        <f t="array" aca="1" ref="T301" ca="1">IF(CELL("format",CONT_SUP[[#This Row],[DateFrom]])="D1",0,1)+IF(CELL("format",CONT_SUP[[#This Row],[DateTo]])="D1",0,1)</f>
        <v>0</v>
      </c>
      <c r="U301" s="57">
        <f>IF(OR(CONT_SUP[[#This Row],[MatEditOnly]]=TRUE,CONT_SUP[[#This Row],[MatEditOnly]]=FALSE),IF(OR(CONT_SUP[[#This Row],[NoIncrement]]=TRUE,CONT_SUP[[#This Row],[NoIncrement]]=FALSE),0,1),1)</f>
        <v>0</v>
      </c>
      <c r="V301" s="57">
        <f>IF(ISBLANK(CONT_SUP[[#This Row],[FundCode]])=TRUE,0,IF(COUNTIF(FUNDS[FundCode],CONT_SUP[[#This Row],[FundCode]])=1,0,1))</f>
        <v>0</v>
      </c>
      <c r="W301" s="57">
        <f>IF(LEN(CONT_SUP[[#This Row],[Notes]])&lt;4000,0,1)</f>
        <v>0</v>
      </c>
      <c r="X301" s="57">
        <f>IF(SUBSTITUTE(TEXT(CONT_SUP[[#This Row],[Reference]],10)," ","")=TEXT(CONT_SUP[[#This Row],[Reference]],10),0,1)</f>
        <v>0</v>
      </c>
      <c r="Y301" s="57">
        <f ca="1">SUM(CONT_SUP[[#This Row],[Duplicate Contract]:[Space in Code]])</f>
        <v>0</v>
      </c>
      <c r="AA301" s="12" t="s">
        <v>2126</v>
      </c>
      <c r="AB301" s="12">
        <v>10005309</v>
      </c>
      <c r="AC301" s="12">
        <v>106077</v>
      </c>
      <c r="AD301" s="57" t="str">
        <f>_xlfn.XLOOKUP(CONT_SUP[[#This Row],[StaffMemberCode]],StaffMembers!O:O,StaffMembers!R:R)</f>
        <v>Karl Stockton</v>
      </c>
      <c r="AE301" s="12" t="s">
        <v>4275</v>
      </c>
      <c r="AF301" s="57">
        <f>_xlfn.XLOOKUP(CONT_SUP[[#This Row],[SRG]],SRG[StaffRoleGroupCode],SRG[GrossSalaryFinanceCode])</f>
        <v>625100</v>
      </c>
      <c r="AG301" s="57" t="str">
        <f>_xlfn.XLOOKUP(CONT_SUP[[#This Row],[StaffRoleCode]],ROLES[StaffRoleCode],ROLES[StaffRoleGroupCode])</f>
        <v>ADM</v>
      </c>
      <c r="AH301" s="57" t="str">
        <f>_xlfn.XLOOKUP(CONT_SUP[[#This Row],[StaffRoleCode]],ROLES[StaffRoleCode],ROLES[PayScaleCode])</f>
        <v>NJC_CHE</v>
      </c>
      <c r="AI301" s="12" t="s">
        <v>3123</v>
      </c>
      <c r="AJ301" s="12">
        <v>11</v>
      </c>
      <c r="AK301" s="12" t="s">
        <v>2483</v>
      </c>
      <c r="AM301" s="68" t="s">
        <v>3132</v>
      </c>
      <c r="AN301" s="12" t="s">
        <v>1702</v>
      </c>
      <c r="AO301" s="21">
        <v>46023</v>
      </c>
      <c r="AQ301" s="12">
        <v>37</v>
      </c>
      <c r="AR301" t="b">
        <v>0</v>
      </c>
      <c r="AS301" t="b">
        <v>0</v>
      </c>
      <c r="AT301" s="12" t="s">
        <v>1574</v>
      </c>
    </row>
    <row r="302" spans="1:46" x14ac:dyDescent="0.3">
      <c r="A302" s="57" t="str">
        <f t="shared" si="10"/>
        <v>MLB10005896112878OFF_ASTSFIN46023</v>
      </c>
      <c r="B302" s="57">
        <f>COUNTIF(CONT_SUP[Unique Contract],CONT_SUP[[#This Row],[Unique Contract]])-1</f>
        <v>0</v>
      </c>
      <c r="C302" s="57">
        <f>IFERROR(IF(FIND(CONT_SUP[[#This Row],[SchoolCode]],_xlfn.XLOOKUP(CONT_SUP[[#This Row],[StaffMemberCode]],MEMBERS[StaffMemberCode],MEMBERS[SchoolCodes]))&gt;0,0,1),1)</f>
        <v>0</v>
      </c>
      <c r="D302" s="57" cm="1">
        <f t="array" ref="D302">IF(_xlfn.XLOOKUP(CONT_SUP[[#This Row],[StaffRoleCode]],ROLES[StaffRoleCode],ROLES[AvailableToAllSchools],1,0,)=TRUE,0,IF(ISERROR(FIND(CONT_SUP[[#This Row],[SchoolCode]],_xlfn.TEXTJOIN(",",TRUE,_xlfn.UNIQUE(IF(ROLES[StaffRoleCode]=CONT_SUP[[#This Row],[StaffRoleCode]],ROLES[SchoolCodes],""))))),1,0))</f>
        <v>0</v>
      </c>
      <c r="E302" s="57" cm="1">
        <f t="array" ref="E30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02" s="57" cm="1">
        <f t="array" ref="F302">IF(_xlfn.XLOOKUP(CONT_SUP[[#This Row],[PayScaleCode]],PAYSCALES[PayScaleCode],PAYSCALES[AvailableToAllSchools],1,0,)=TRUE,0,IF(ISERROR(FIND(CONT_SUP[[#This Row],[SchoolCode]],_xlfn.TEXTJOIN(",",TRUE,_xlfn.UNIQUE(IF(PAYSCALES[PayScaleCode]=CONT_SUP[[#This Row],[PayScaleCode]],PAYSCALES[SchoolCodes],""))))),1,0))</f>
        <v>0</v>
      </c>
      <c r="G302" s="57">
        <f>IF(_xlfn.XLOOKUP(CONT_SUP[[#This Row],[PayScaleGradeCode]],GRADES[PayScaleGradeCode],GRADES[AvailableToAllSchools])=TRUE,0,IFERROR(IF(FIND(CONT_SUP[[#This Row],[SchoolCode]],_xlfn.XLOOKUP(CONT_SUP[[#This Row],[PayScaleGradeCode]],GRADES[PayScaleGradeCode],GRADES[SchoolCodes]))&gt;=1,0,1),1))</f>
        <v>0</v>
      </c>
      <c r="H302" s="57">
        <f>IF(ISERROR(IF((_xlfn.XLOOKUP(CONT_SUP[[#This Row],[PayScaleGradeCode]],GRADES[PayScaleGradeCode],GRADES[PayScaleCode])=CONT_SUP[[#This Row],[PayScaleCode]]),0,1)),1,0)</f>
        <v>0</v>
      </c>
      <c r="I302" s="57" cm="1">
        <f t="array" ref="I302">IF(ISERROR(FIND(CONT_SUP[[#This Row],[PayScalePointCode]],_xlfn.TEXTJOIN(",",TRUE,IF(PSPOINTS[PayScaleCode]=CONT_SUP[[#This Row],[PayScaleCode]],PSPOINTS[PayScalePointCode])))),1,0)</f>
        <v>0</v>
      </c>
      <c r="J302" s="57" cm="1">
        <f t="array" ref="J30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02" s="57">
        <f>IF(_xlfn.XLOOKUP(CONT_SUP[[#This Row],[PayScalePointCode]],PSPOINTS[PayScalePointCode],PSPOINTS[PayScalePointEnabled])=TRUE,0,1)</f>
        <v>0</v>
      </c>
      <c r="L302" s="57" cm="1">
        <f t="array" ref="L302">IF(_xlfn.XLOOKUP(CONT_SUP[[#This Row],[DepartmentCode]],DEPTS[DepartmentCode],DEPTS[AvailableToAllSchools],1,0,)=TRUE,0,IF(ISERROR(FIND(CONT_SUP[[#This Row],[SchoolCode]],_xlfn.TEXTJOIN(",",TRUE,_xlfn.UNIQUE(IF(DEPTS[DepartmentCode]=CONT_SUP[[#This Row],[DepartmentCode]],DEPTS[SchoolCodes],""))))),1,0))</f>
        <v>0</v>
      </c>
      <c r="M302" s="57">
        <f>IFERROR(IF(_xlfn.XLOOKUP(CONT_SUP[[#This Row],[SRG Gross]],FinanceCodesBudget[FinanceCode],FinanceCodesBudget[LedgerCode])=_xlfn.XLOOKUP(CONT_SUP[[#This Row],[DepartmentCode]],DEPTS[DepartmentCode],DEPTS[LedgerCode]),0,1),1)</f>
        <v>0</v>
      </c>
      <c r="N302" s="57" cm="1">
        <f t="array" ref="N302">IF(_xlfn.XLOOKUP(CONT_SUP[[#This Row],[PensionCode]],PENS[PensionCode],PENS[AvailableToAllSchools],1,0,)=TRUE,0,IF(ISERROR(FIND(CONT_SUP[[#This Row],[SchoolCode]],_xlfn.TEXTJOIN(",",TRUE,_xlfn.UNIQUE(IF(PENS[PensionCode]=CONT_SUP[[#This Row],[PensionCode]],PENS[SchoolCodes],""))))),1,0))</f>
        <v>0</v>
      </c>
      <c r="O302" s="57" cm="1">
        <f t="array" ref="O302">IF(_xlfn.XLOOKUP(CONT_SUP[[#This Row],[EquatedWeekPatternCode]],EQW[EquatedWeekPatternCode],EQW[AvailableToAllSchools],1,0,)=TRUE,0,IF(ISERROR(FIND(CONT_SUP[[#This Row],[SchoolCode]],_xlfn.TEXTJOIN(",",TRUE,_xlfn.UNIQUE(IF(EQW[EquatedWeekPatternCode]=CONT_SUP[[#This Row],[EquatedWeekPatternCode]],EQW[SchoolCodes],""))))),1,0))</f>
        <v>0</v>
      </c>
      <c r="P302" s="57">
        <f>1-COUNTIF(ContractTypes[Code],CONT_SUP[[#This Row],[ContractTypeCode]])</f>
        <v>0</v>
      </c>
      <c r="Q302" s="57">
        <f>IF(VLOOKUP(CONT_SUP[[#This Row],[StaffMemberCode]],MEMBERS[[StaffMemberCode]:[ServiceStartDate]],5,0)&gt;CONT_SUP[[#This Row],[DateFrom]],1,0)</f>
        <v>0</v>
      </c>
      <c r="R302" s="57">
        <f>IF(_xlfn.XLOOKUP(CONT_SUP[[#This Row],[StaffMemberCode]],MEMBERS[StaffMemberCode],MEMBERS[ServiceEndDate])="",0,IF(CONT_SUP[[#This Row],[DateTo]]="",1,IF(_xlfn.XLOOKUP(CONT_SUP[[#This Row],[StaffMemberCode]],MEMBERS[StaffMemberCode],MEMBERS[ServiceEndDate])&lt;CONT_SUP[[#This Row],[DateTo]],1,0)))</f>
        <v>0</v>
      </c>
      <c r="S302" s="57">
        <f>IF(ISBLANK(CONT_SUP[[#This Row],[DateTo]]),0,IF(CONT_SUP[[#This Row],[DateFrom]]=CONT_SUP[[#This Row],[DateTo]],0,IF(CONT_SUP[[#This Row],[DateFrom]]&lt;CONT_SUP[[#This Row],[DateTo]],0,1)))</f>
        <v>0</v>
      </c>
      <c r="T302" s="57" cm="1">
        <f t="array" aca="1" ref="T302" ca="1">IF(CELL("format",CONT_SUP[[#This Row],[DateFrom]])="D1",0,1)+IF(CELL("format",CONT_SUP[[#This Row],[DateTo]])="D1",0,1)</f>
        <v>0</v>
      </c>
      <c r="U302" s="57">
        <f>IF(OR(CONT_SUP[[#This Row],[MatEditOnly]]=TRUE,CONT_SUP[[#This Row],[MatEditOnly]]=FALSE),IF(OR(CONT_SUP[[#This Row],[NoIncrement]]=TRUE,CONT_SUP[[#This Row],[NoIncrement]]=FALSE),0,1),1)</f>
        <v>0</v>
      </c>
      <c r="V302" s="57">
        <f>IF(ISBLANK(CONT_SUP[[#This Row],[FundCode]])=TRUE,0,IF(COUNTIF(FUNDS[FundCode],CONT_SUP[[#This Row],[FundCode]])=1,0,1))</f>
        <v>0</v>
      </c>
      <c r="W302" s="57">
        <f>IF(LEN(CONT_SUP[[#This Row],[Notes]])&lt;4000,0,1)</f>
        <v>0</v>
      </c>
      <c r="X302" s="57">
        <f>IF(SUBSTITUTE(TEXT(CONT_SUP[[#This Row],[Reference]],10)," ","")=TEXT(CONT_SUP[[#This Row],[Reference]],10),0,1)</f>
        <v>0</v>
      </c>
      <c r="Y302" s="57">
        <f ca="1">SUM(CONT_SUP[[#This Row],[Duplicate Contract]:[Space in Code]])</f>
        <v>0</v>
      </c>
      <c r="AA302" s="12" t="s">
        <v>2126</v>
      </c>
      <c r="AB302" s="12">
        <v>10005896</v>
      </c>
      <c r="AC302" s="12">
        <v>112878</v>
      </c>
      <c r="AD302" s="57" t="str">
        <f>_xlfn.XLOOKUP(CONT_SUP[[#This Row],[StaffMemberCode]],StaffMembers!O:O,StaffMembers!R:R)</f>
        <v>Hayley Dickinson</v>
      </c>
      <c r="AE302" s="12" t="s">
        <v>4257</v>
      </c>
      <c r="AF302" s="57">
        <f>_xlfn.XLOOKUP(CONT_SUP[[#This Row],[SRG]],SRG[StaffRoleGroupCode],SRG[GrossSalaryFinanceCode])</f>
        <v>625100</v>
      </c>
      <c r="AG302" s="57" t="str">
        <f>_xlfn.XLOOKUP(CONT_SUP[[#This Row],[StaffRoleCode]],ROLES[StaffRoleCode],ROLES[StaffRoleGroupCode])</f>
        <v>ADM</v>
      </c>
      <c r="AH302" s="57" t="str">
        <f>_xlfn.XLOOKUP(CONT_SUP[[#This Row],[StaffRoleCode]],ROLES[StaffRoleCode],ROLES[PayScaleCode])</f>
        <v>NJC_CHE</v>
      </c>
      <c r="AI302" s="12" t="s">
        <v>3121</v>
      </c>
      <c r="AJ302" s="12">
        <v>4</v>
      </c>
      <c r="AK302" s="12" t="s">
        <v>2483</v>
      </c>
      <c r="AM302" s="68" t="s">
        <v>3132</v>
      </c>
      <c r="AN302" s="12" t="s">
        <v>3134</v>
      </c>
      <c r="AO302" s="21">
        <v>46023</v>
      </c>
      <c r="AQ302" s="12">
        <v>37</v>
      </c>
      <c r="AR302" t="b">
        <v>0</v>
      </c>
      <c r="AS302" t="b">
        <v>0</v>
      </c>
      <c r="AT302" s="12" t="s">
        <v>1574</v>
      </c>
    </row>
    <row r="303" spans="1:46" x14ac:dyDescent="0.3">
      <c r="A303" s="57" t="str">
        <f t="shared" si="10"/>
        <v>MLB10010135106040BMSFIN46023</v>
      </c>
      <c r="B303" s="57">
        <f>COUNTIF(CONT_SUP[Unique Contract],CONT_SUP[[#This Row],[Unique Contract]])-1</f>
        <v>0</v>
      </c>
      <c r="C303" s="57">
        <f>IFERROR(IF(FIND(CONT_SUP[[#This Row],[SchoolCode]],_xlfn.XLOOKUP(CONT_SUP[[#This Row],[StaffMemberCode]],MEMBERS[StaffMemberCode],MEMBERS[SchoolCodes]))&gt;0,0,1),1)</f>
        <v>0</v>
      </c>
      <c r="D303" s="57" cm="1">
        <f t="array" ref="D303">IF(_xlfn.XLOOKUP(CONT_SUP[[#This Row],[StaffRoleCode]],ROLES[StaffRoleCode],ROLES[AvailableToAllSchools],1,0,)=TRUE,0,IF(ISERROR(FIND(CONT_SUP[[#This Row],[SchoolCode]],_xlfn.TEXTJOIN(",",TRUE,_xlfn.UNIQUE(IF(ROLES[StaffRoleCode]=CONT_SUP[[#This Row],[StaffRoleCode]],ROLES[SchoolCodes],""))))),1,0))</f>
        <v>0</v>
      </c>
      <c r="E303" s="57" cm="1">
        <f t="array" ref="E30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03" s="57" cm="1">
        <f t="array" ref="F303">IF(_xlfn.XLOOKUP(CONT_SUP[[#This Row],[PayScaleCode]],PAYSCALES[PayScaleCode],PAYSCALES[AvailableToAllSchools],1,0,)=TRUE,0,IF(ISERROR(FIND(CONT_SUP[[#This Row],[SchoolCode]],_xlfn.TEXTJOIN(",",TRUE,_xlfn.UNIQUE(IF(PAYSCALES[PayScaleCode]=CONT_SUP[[#This Row],[PayScaleCode]],PAYSCALES[SchoolCodes],""))))),1,0))</f>
        <v>0</v>
      </c>
      <c r="G303" s="57">
        <f>IF(_xlfn.XLOOKUP(CONT_SUP[[#This Row],[PayScaleGradeCode]],GRADES[PayScaleGradeCode],GRADES[AvailableToAllSchools])=TRUE,0,IFERROR(IF(FIND(CONT_SUP[[#This Row],[SchoolCode]],_xlfn.XLOOKUP(CONT_SUP[[#This Row],[PayScaleGradeCode]],GRADES[PayScaleGradeCode],GRADES[SchoolCodes]))&gt;=1,0,1),1))</f>
        <v>0</v>
      </c>
      <c r="H303" s="57">
        <f>IF(ISERROR(IF((_xlfn.XLOOKUP(CONT_SUP[[#This Row],[PayScaleGradeCode]],GRADES[PayScaleGradeCode],GRADES[PayScaleCode])=CONT_SUP[[#This Row],[PayScaleCode]]),0,1)),1,0)</f>
        <v>0</v>
      </c>
      <c r="I303" s="57" cm="1">
        <f t="array" ref="I303">IF(ISERROR(FIND(CONT_SUP[[#This Row],[PayScalePointCode]],_xlfn.TEXTJOIN(",",TRUE,IF(PSPOINTS[PayScaleCode]=CONT_SUP[[#This Row],[PayScaleCode]],PSPOINTS[PayScalePointCode])))),1,0)</f>
        <v>0</v>
      </c>
      <c r="J303" s="57" cm="1">
        <f t="array" ref="J30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03" s="57">
        <f>IF(_xlfn.XLOOKUP(CONT_SUP[[#This Row],[PayScalePointCode]],PSPOINTS[PayScalePointCode],PSPOINTS[PayScalePointEnabled])=TRUE,0,1)</f>
        <v>0</v>
      </c>
      <c r="L303" s="57" cm="1">
        <f t="array" ref="L303">IF(_xlfn.XLOOKUP(CONT_SUP[[#This Row],[DepartmentCode]],DEPTS[DepartmentCode],DEPTS[AvailableToAllSchools],1,0,)=TRUE,0,IF(ISERROR(FIND(CONT_SUP[[#This Row],[SchoolCode]],_xlfn.TEXTJOIN(",",TRUE,_xlfn.UNIQUE(IF(DEPTS[DepartmentCode]=CONT_SUP[[#This Row],[DepartmentCode]],DEPTS[SchoolCodes],""))))),1,0))</f>
        <v>0</v>
      </c>
      <c r="M303" s="57">
        <f>IFERROR(IF(_xlfn.XLOOKUP(CONT_SUP[[#This Row],[SRG Gross]],FinanceCodesBudget[FinanceCode],FinanceCodesBudget[LedgerCode])=_xlfn.XLOOKUP(CONT_SUP[[#This Row],[DepartmentCode]],DEPTS[DepartmentCode],DEPTS[LedgerCode]),0,1),1)</f>
        <v>0</v>
      </c>
      <c r="N303" s="57" cm="1">
        <f t="array" ref="N303">IF(_xlfn.XLOOKUP(CONT_SUP[[#This Row],[PensionCode]],PENS[PensionCode],PENS[AvailableToAllSchools],1,0,)=TRUE,0,IF(ISERROR(FIND(CONT_SUP[[#This Row],[SchoolCode]],_xlfn.TEXTJOIN(",",TRUE,_xlfn.UNIQUE(IF(PENS[PensionCode]=CONT_SUP[[#This Row],[PensionCode]],PENS[SchoolCodes],""))))),1,0))</f>
        <v>0</v>
      </c>
      <c r="O303" s="57" cm="1">
        <f t="array" ref="O303">IF(_xlfn.XLOOKUP(CONT_SUP[[#This Row],[EquatedWeekPatternCode]],EQW[EquatedWeekPatternCode],EQW[AvailableToAllSchools],1,0,)=TRUE,0,IF(ISERROR(FIND(CONT_SUP[[#This Row],[SchoolCode]],_xlfn.TEXTJOIN(",",TRUE,_xlfn.UNIQUE(IF(EQW[EquatedWeekPatternCode]=CONT_SUP[[#This Row],[EquatedWeekPatternCode]],EQW[SchoolCodes],""))))),1,0))</f>
        <v>0</v>
      </c>
      <c r="P303" s="57">
        <f>1-COUNTIF(ContractTypes[Code],CONT_SUP[[#This Row],[ContractTypeCode]])</f>
        <v>0</v>
      </c>
      <c r="Q303" s="57">
        <f>IF(VLOOKUP(CONT_SUP[[#This Row],[StaffMemberCode]],MEMBERS[[StaffMemberCode]:[ServiceStartDate]],5,0)&gt;CONT_SUP[[#This Row],[DateFrom]],1,0)</f>
        <v>0</v>
      </c>
      <c r="R303" s="57">
        <f>IF(_xlfn.XLOOKUP(CONT_SUP[[#This Row],[StaffMemberCode]],MEMBERS[StaffMemberCode],MEMBERS[ServiceEndDate])="",0,IF(CONT_SUP[[#This Row],[DateTo]]="",1,IF(_xlfn.XLOOKUP(CONT_SUP[[#This Row],[StaffMemberCode]],MEMBERS[StaffMemberCode],MEMBERS[ServiceEndDate])&lt;CONT_SUP[[#This Row],[DateTo]],1,0)))</f>
        <v>0</v>
      </c>
      <c r="S303" s="57">
        <f>IF(ISBLANK(CONT_SUP[[#This Row],[DateTo]]),0,IF(CONT_SUP[[#This Row],[DateFrom]]=CONT_SUP[[#This Row],[DateTo]],0,IF(CONT_SUP[[#This Row],[DateFrom]]&lt;CONT_SUP[[#This Row],[DateTo]],0,1)))</f>
        <v>0</v>
      </c>
      <c r="T303" s="57" cm="1">
        <f t="array" aca="1" ref="T303" ca="1">IF(CELL("format",CONT_SUP[[#This Row],[DateFrom]])="D1",0,1)+IF(CELL("format",CONT_SUP[[#This Row],[DateTo]])="D1",0,1)</f>
        <v>0</v>
      </c>
      <c r="U303" s="57">
        <f>IF(OR(CONT_SUP[[#This Row],[MatEditOnly]]=TRUE,CONT_SUP[[#This Row],[MatEditOnly]]=FALSE),IF(OR(CONT_SUP[[#This Row],[NoIncrement]]=TRUE,CONT_SUP[[#This Row],[NoIncrement]]=FALSE),0,1),1)</f>
        <v>0</v>
      </c>
      <c r="V303" s="57">
        <f>IF(ISBLANK(CONT_SUP[[#This Row],[FundCode]])=TRUE,0,IF(COUNTIF(FUNDS[FundCode],CONT_SUP[[#This Row],[FundCode]])=1,0,1))</f>
        <v>0</v>
      </c>
      <c r="W303" s="57">
        <f>IF(LEN(CONT_SUP[[#This Row],[Notes]])&lt;4000,0,1)</f>
        <v>0</v>
      </c>
      <c r="X303" s="57">
        <f>IF(SUBSTITUTE(TEXT(CONT_SUP[[#This Row],[Reference]],10)," ","")=TEXT(CONT_SUP[[#This Row],[Reference]],10),0,1)</f>
        <v>0</v>
      </c>
      <c r="Y303" s="57">
        <f ca="1">SUM(CONT_SUP[[#This Row],[Duplicate Contract]:[Space in Code]])</f>
        <v>0</v>
      </c>
      <c r="AA303" s="12" t="s">
        <v>2126</v>
      </c>
      <c r="AB303" s="12">
        <v>10010135</v>
      </c>
      <c r="AC303" s="12">
        <v>106040</v>
      </c>
      <c r="AD303" s="57" t="str">
        <f>_xlfn.XLOOKUP(CONT_SUP[[#This Row],[StaffMemberCode]],StaffMembers!O:O,StaffMembers!R:R)</f>
        <v>Sarah Sproston</v>
      </c>
      <c r="AE303" s="12" t="s">
        <v>4223</v>
      </c>
      <c r="AF303" s="57">
        <f>_xlfn.XLOOKUP(CONT_SUP[[#This Row],[SRG]],SRG[StaffRoleGroupCode],SRG[GrossSalaryFinanceCode])</f>
        <v>625100</v>
      </c>
      <c r="AG303" s="57" t="str">
        <f>_xlfn.XLOOKUP(CONT_SUP[[#This Row],[StaffRoleCode]],ROLES[StaffRoleCode],ROLES[StaffRoleGroupCode])</f>
        <v>ADM</v>
      </c>
      <c r="AH303" s="57" t="str">
        <f>_xlfn.XLOOKUP(CONT_SUP[[#This Row],[StaffRoleCode]],ROLES[StaffRoleCode],ROLES[PayScaleCode])</f>
        <v>NJC_CHE</v>
      </c>
      <c r="AI303" s="12" t="s">
        <v>3130</v>
      </c>
      <c r="AJ303" s="12">
        <v>45</v>
      </c>
      <c r="AK303" s="12" t="s">
        <v>2483</v>
      </c>
      <c r="AM303" s="68" t="s">
        <v>3132</v>
      </c>
      <c r="AN303" s="12" t="s">
        <v>1702</v>
      </c>
      <c r="AO303" s="21">
        <v>46023</v>
      </c>
      <c r="AQ303" s="12">
        <v>37</v>
      </c>
      <c r="AR303" t="b">
        <v>0</v>
      </c>
      <c r="AS303" t="b">
        <v>0</v>
      </c>
      <c r="AT303" s="12" t="s">
        <v>1574</v>
      </c>
    </row>
    <row r="304" spans="1:46" x14ac:dyDescent="0.3">
      <c r="A304" s="57" t="str">
        <f t="shared" si="10"/>
        <v>MLB10007394115108FIN_OFFSFIN46023</v>
      </c>
      <c r="B304" s="57">
        <f>COUNTIF(CONT_SUP[Unique Contract],CONT_SUP[[#This Row],[Unique Contract]])-1</f>
        <v>0</v>
      </c>
      <c r="C304" s="57">
        <f>IFERROR(IF(FIND(CONT_SUP[[#This Row],[SchoolCode]],_xlfn.XLOOKUP(CONT_SUP[[#This Row],[StaffMemberCode]],MEMBERS[StaffMemberCode],MEMBERS[SchoolCodes]))&gt;0,0,1),1)</f>
        <v>0</v>
      </c>
      <c r="D304" s="57" cm="1">
        <f t="array" ref="D304">IF(_xlfn.XLOOKUP(CONT_SUP[[#This Row],[StaffRoleCode]],ROLES[StaffRoleCode],ROLES[AvailableToAllSchools],1,0,)=TRUE,0,IF(ISERROR(FIND(CONT_SUP[[#This Row],[SchoolCode]],_xlfn.TEXTJOIN(",",TRUE,_xlfn.UNIQUE(IF(ROLES[StaffRoleCode]=CONT_SUP[[#This Row],[StaffRoleCode]],ROLES[SchoolCodes],""))))),1,0))</f>
        <v>0</v>
      </c>
      <c r="E304" s="57" cm="1">
        <f t="array" ref="E30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04" s="57" cm="1">
        <f t="array" ref="F304">IF(_xlfn.XLOOKUP(CONT_SUP[[#This Row],[PayScaleCode]],PAYSCALES[PayScaleCode],PAYSCALES[AvailableToAllSchools],1,0,)=TRUE,0,IF(ISERROR(FIND(CONT_SUP[[#This Row],[SchoolCode]],_xlfn.TEXTJOIN(",",TRUE,_xlfn.UNIQUE(IF(PAYSCALES[PayScaleCode]=CONT_SUP[[#This Row],[PayScaleCode]],PAYSCALES[SchoolCodes],""))))),1,0))</f>
        <v>0</v>
      </c>
      <c r="G304" s="57">
        <f>IF(_xlfn.XLOOKUP(CONT_SUP[[#This Row],[PayScaleGradeCode]],GRADES[PayScaleGradeCode],GRADES[AvailableToAllSchools])=TRUE,0,IFERROR(IF(FIND(CONT_SUP[[#This Row],[SchoolCode]],_xlfn.XLOOKUP(CONT_SUP[[#This Row],[PayScaleGradeCode]],GRADES[PayScaleGradeCode],GRADES[SchoolCodes]))&gt;=1,0,1),1))</f>
        <v>0</v>
      </c>
      <c r="H304" s="57">
        <f>IF(ISERROR(IF((_xlfn.XLOOKUP(CONT_SUP[[#This Row],[PayScaleGradeCode]],GRADES[PayScaleGradeCode],GRADES[PayScaleCode])=CONT_SUP[[#This Row],[PayScaleCode]]),0,1)),1,0)</f>
        <v>0</v>
      </c>
      <c r="I304" s="57" cm="1">
        <f t="array" ref="I304">IF(ISERROR(FIND(CONT_SUP[[#This Row],[PayScalePointCode]],_xlfn.TEXTJOIN(",",TRUE,IF(PSPOINTS[PayScaleCode]=CONT_SUP[[#This Row],[PayScaleCode]],PSPOINTS[PayScalePointCode])))),1,0)</f>
        <v>0</v>
      </c>
      <c r="J304" s="57" cm="1">
        <f t="array" ref="J30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04" s="57">
        <f>IF(_xlfn.XLOOKUP(CONT_SUP[[#This Row],[PayScalePointCode]],PSPOINTS[PayScalePointCode],PSPOINTS[PayScalePointEnabled])=TRUE,0,1)</f>
        <v>0</v>
      </c>
      <c r="L304" s="57" cm="1">
        <f t="array" ref="L304">IF(_xlfn.XLOOKUP(CONT_SUP[[#This Row],[DepartmentCode]],DEPTS[DepartmentCode],DEPTS[AvailableToAllSchools],1,0,)=TRUE,0,IF(ISERROR(FIND(CONT_SUP[[#This Row],[SchoolCode]],_xlfn.TEXTJOIN(",",TRUE,_xlfn.UNIQUE(IF(DEPTS[DepartmentCode]=CONT_SUP[[#This Row],[DepartmentCode]],DEPTS[SchoolCodes],""))))),1,0))</f>
        <v>0</v>
      </c>
      <c r="M304" s="57">
        <f>IFERROR(IF(_xlfn.XLOOKUP(CONT_SUP[[#This Row],[SRG Gross]],FinanceCodesBudget[FinanceCode],FinanceCodesBudget[LedgerCode])=_xlfn.XLOOKUP(CONT_SUP[[#This Row],[DepartmentCode]],DEPTS[DepartmentCode],DEPTS[LedgerCode]),0,1),1)</f>
        <v>0</v>
      </c>
      <c r="N304" s="57" cm="1">
        <f t="array" ref="N304">IF(_xlfn.XLOOKUP(CONT_SUP[[#This Row],[PensionCode]],PENS[PensionCode],PENS[AvailableToAllSchools],1,0,)=TRUE,0,IF(ISERROR(FIND(CONT_SUP[[#This Row],[SchoolCode]],_xlfn.TEXTJOIN(",",TRUE,_xlfn.UNIQUE(IF(PENS[PensionCode]=CONT_SUP[[#This Row],[PensionCode]],PENS[SchoolCodes],""))))),1,0))</f>
        <v>0</v>
      </c>
      <c r="O304" s="57" cm="1">
        <f t="array" ref="O304">IF(_xlfn.XLOOKUP(CONT_SUP[[#This Row],[EquatedWeekPatternCode]],EQW[EquatedWeekPatternCode],EQW[AvailableToAllSchools],1,0,)=TRUE,0,IF(ISERROR(FIND(CONT_SUP[[#This Row],[SchoolCode]],_xlfn.TEXTJOIN(",",TRUE,_xlfn.UNIQUE(IF(EQW[EquatedWeekPatternCode]=CONT_SUP[[#This Row],[EquatedWeekPatternCode]],EQW[SchoolCodes],""))))),1,0))</f>
        <v>0</v>
      </c>
      <c r="P304" s="57">
        <f>1-COUNTIF(ContractTypes[Code],CONT_SUP[[#This Row],[ContractTypeCode]])</f>
        <v>0</v>
      </c>
      <c r="Q304" s="57">
        <f>IF(VLOOKUP(CONT_SUP[[#This Row],[StaffMemberCode]],MEMBERS[[StaffMemberCode]:[ServiceStartDate]],5,0)&gt;CONT_SUP[[#This Row],[DateFrom]],1,0)</f>
        <v>0</v>
      </c>
      <c r="R304" s="57">
        <f>IF(_xlfn.XLOOKUP(CONT_SUP[[#This Row],[StaffMemberCode]],MEMBERS[StaffMemberCode],MEMBERS[ServiceEndDate])="",0,IF(CONT_SUP[[#This Row],[DateTo]]="",1,IF(_xlfn.XLOOKUP(CONT_SUP[[#This Row],[StaffMemberCode]],MEMBERS[StaffMemberCode],MEMBERS[ServiceEndDate])&lt;CONT_SUP[[#This Row],[DateTo]],1,0)))</f>
        <v>0</v>
      </c>
      <c r="S304" s="57">
        <f>IF(ISBLANK(CONT_SUP[[#This Row],[DateTo]]),0,IF(CONT_SUP[[#This Row],[DateFrom]]=CONT_SUP[[#This Row],[DateTo]],0,IF(CONT_SUP[[#This Row],[DateFrom]]&lt;CONT_SUP[[#This Row],[DateTo]],0,1)))</f>
        <v>0</v>
      </c>
      <c r="T304" s="57" cm="1">
        <f t="array" aca="1" ref="T304" ca="1">IF(CELL("format",CONT_SUP[[#This Row],[DateFrom]])="D1",0,1)+IF(CELL("format",CONT_SUP[[#This Row],[DateTo]])="D1",0,1)</f>
        <v>0</v>
      </c>
      <c r="U304" s="57">
        <f>IF(OR(CONT_SUP[[#This Row],[MatEditOnly]]=TRUE,CONT_SUP[[#This Row],[MatEditOnly]]=FALSE),IF(OR(CONT_SUP[[#This Row],[NoIncrement]]=TRUE,CONT_SUP[[#This Row],[NoIncrement]]=FALSE),0,1),1)</f>
        <v>0</v>
      </c>
      <c r="V304" s="57">
        <f>IF(ISBLANK(CONT_SUP[[#This Row],[FundCode]])=TRUE,0,IF(COUNTIF(FUNDS[FundCode],CONT_SUP[[#This Row],[FundCode]])=1,0,1))</f>
        <v>0</v>
      </c>
      <c r="W304" s="57">
        <f>IF(LEN(CONT_SUP[[#This Row],[Notes]])&lt;4000,0,1)</f>
        <v>0</v>
      </c>
      <c r="X304" s="57">
        <f>IF(SUBSTITUTE(TEXT(CONT_SUP[[#This Row],[Reference]],10)," ","")=TEXT(CONT_SUP[[#This Row],[Reference]],10),0,1)</f>
        <v>0</v>
      </c>
      <c r="Y304" s="57">
        <f ca="1">SUM(CONT_SUP[[#This Row],[Duplicate Contract]:[Space in Code]])</f>
        <v>0</v>
      </c>
      <c r="AA304" s="12" t="s">
        <v>2126</v>
      </c>
      <c r="AB304" s="12">
        <v>10007394</v>
      </c>
      <c r="AC304" s="12">
        <v>115108</v>
      </c>
      <c r="AD304" s="57" t="str">
        <f>_xlfn.XLOOKUP(CONT_SUP[[#This Row],[StaffMemberCode]],StaffMembers!O:O,StaffMembers!R:R)</f>
        <v>Kirsty Elston</v>
      </c>
      <c r="AE304" s="12" t="s">
        <v>4245</v>
      </c>
      <c r="AF304" s="57">
        <f>_xlfn.XLOOKUP(CONT_SUP[[#This Row],[SRG]],SRG[StaffRoleGroupCode],SRG[GrossSalaryFinanceCode])</f>
        <v>625100</v>
      </c>
      <c r="AG304" s="57" t="str">
        <f>_xlfn.XLOOKUP(CONT_SUP[[#This Row],[StaffRoleCode]],ROLES[StaffRoleCode],ROLES[StaffRoleGroupCode])</f>
        <v>ADM</v>
      </c>
      <c r="AH304" s="57" t="str">
        <f>_xlfn.XLOOKUP(CONT_SUP[[#This Row],[StaffRoleCode]],ROLES[StaffRoleCode],ROLES[PayScaleCode])</f>
        <v>NJC_CHE</v>
      </c>
      <c r="AI304" s="12" t="s">
        <v>3123</v>
      </c>
      <c r="AJ304" s="12">
        <v>7</v>
      </c>
      <c r="AK304" s="12" t="s">
        <v>2483</v>
      </c>
      <c r="AM304" s="68" t="s">
        <v>3132</v>
      </c>
      <c r="AN304" s="12" t="s">
        <v>1702</v>
      </c>
      <c r="AO304" s="21">
        <v>46023</v>
      </c>
      <c r="AQ304" s="12">
        <v>22.5</v>
      </c>
      <c r="AR304" t="b">
        <v>0</v>
      </c>
      <c r="AS304" t="b">
        <v>0</v>
      </c>
      <c r="AT304" s="12" t="s">
        <v>1574</v>
      </c>
    </row>
    <row r="305" spans="1:46" x14ac:dyDescent="0.3">
      <c r="A305" s="57" t="str">
        <f t="shared" si="10"/>
        <v>MLB10009931115053FIN_OFFSFIN46023</v>
      </c>
      <c r="B305" s="57">
        <f>COUNTIF(CONT_SUP[Unique Contract],CONT_SUP[[#This Row],[Unique Contract]])-1</f>
        <v>0</v>
      </c>
      <c r="C305" s="57">
        <f>IFERROR(IF(FIND(CONT_SUP[[#This Row],[SchoolCode]],_xlfn.XLOOKUP(CONT_SUP[[#This Row],[StaffMemberCode]],MEMBERS[StaffMemberCode],MEMBERS[SchoolCodes]))&gt;0,0,1),1)</f>
        <v>0</v>
      </c>
      <c r="D305" s="57" cm="1">
        <f t="array" ref="D305">IF(_xlfn.XLOOKUP(CONT_SUP[[#This Row],[StaffRoleCode]],ROLES[StaffRoleCode],ROLES[AvailableToAllSchools],1,0,)=TRUE,0,IF(ISERROR(FIND(CONT_SUP[[#This Row],[SchoolCode]],_xlfn.TEXTJOIN(",",TRUE,_xlfn.UNIQUE(IF(ROLES[StaffRoleCode]=CONT_SUP[[#This Row],[StaffRoleCode]],ROLES[SchoolCodes],""))))),1,0))</f>
        <v>0</v>
      </c>
      <c r="E305" s="57" cm="1">
        <f t="array" ref="E30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05" s="57" cm="1">
        <f t="array" ref="F305">IF(_xlfn.XLOOKUP(CONT_SUP[[#This Row],[PayScaleCode]],PAYSCALES[PayScaleCode],PAYSCALES[AvailableToAllSchools],1,0,)=TRUE,0,IF(ISERROR(FIND(CONT_SUP[[#This Row],[SchoolCode]],_xlfn.TEXTJOIN(",",TRUE,_xlfn.UNIQUE(IF(PAYSCALES[PayScaleCode]=CONT_SUP[[#This Row],[PayScaleCode]],PAYSCALES[SchoolCodes],""))))),1,0))</f>
        <v>0</v>
      </c>
      <c r="G305" s="57">
        <f>IF(_xlfn.XLOOKUP(CONT_SUP[[#This Row],[PayScaleGradeCode]],GRADES[PayScaleGradeCode],GRADES[AvailableToAllSchools])=TRUE,0,IFERROR(IF(FIND(CONT_SUP[[#This Row],[SchoolCode]],_xlfn.XLOOKUP(CONT_SUP[[#This Row],[PayScaleGradeCode]],GRADES[PayScaleGradeCode],GRADES[SchoolCodes]))&gt;=1,0,1),1))</f>
        <v>0</v>
      </c>
      <c r="H305" s="57">
        <f>IF(ISERROR(IF((_xlfn.XLOOKUP(CONT_SUP[[#This Row],[PayScaleGradeCode]],GRADES[PayScaleGradeCode],GRADES[PayScaleCode])=CONT_SUP[[#This Row],[PayScaleCode]]),0,1)),1,0)</f>
        <v>0</v>
      </c>
      <c r="I305" s="57" cm="1">
        <f t="array" ref="I305">IF(ISERROR(FIND(CONT_SUP[[#This Row],[PayScalePointCode]],_xlfn.TEXTJOIN(",",TRUE,IF(PSPOINTS[PayScaleCode]=CONT_SUP[[#This Row],[PayScaleCode]],PSPOINTS[PayScalePointCode])))),1,0)</f>
        <v>0</v>
      </c>
      <c r="J305" s="57" cm="1">
        <f t="array" ref="J30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05" s="57">
        <f>IF(_xlfn.XLOOKUP(CONT_SUP[[#This Row],[PayScalePointCode]],PSPOINTS[PayScalePointCode],PSPOINTS[PayScalePointEnabled])=TRUE,0,1)</f>
        <v>0</v>
      </c>
      <c r="L305" s="57" cm="1">
        <f t="array" ref="L305">IF(_xlfn.XLOOKUP(CONT_SUP[[#This Row],[DepartmentCode]],DEPTS[DepartmentCode],DEPTS[AvailableToAllSchools],1,0,)=TRUE,0,IF(ISERROR(FIND(CONT_SUP[[#This Row],[SchoolCode]],_xlfn.TEXTJOIN(",",TRUE,_xlfn.UNIQUE(IF(DEPTS[DepartmentCode]=CONT_SUP[[#This Row],[DepartmentCode]],DEPTS[SchoolCodes],""))))),1,0))</f>
        <v>0</v>
      </c>
      <c r="M305" s="57">
        <f>IFERROR(IF(_xlfn.XLOOKUP(CONT_SUP[[#This Row],[SRG Gross]],FinanceCodesBudget[FinanceCode],FinanceCodesBudget[LedgerCode])=_xlfn.XLOOKUP(CONT_SUP[[#This Row],[DepartmentCode]],DEPTS[DepartmentCode],DEPTS[LedgerCode]),0,1),1)</f>
        <v>0</v>
      </c>
      <c r="N305" s="57" cm="1">
        <f t="array" ref="N305">IF(_xlfn.XLOOKUP(CONT_SUP[[#This Row],[PensionCode]],PENS[PensionCode],PENS[AvailableToAllSchools],1,0,)=TRUE,0,IF(ISERROR(FIND(CONT_SUP[[#This Row],[SchoolCode]],_xlfn.TEXTJOIN(",",TRUE,_xlfn.UNIQUE(IF(PENS[PensionCode]=CONT_SUP[[#This Row],[PensionCode]],PENS[SchoolCodes],""))))),1,0))</f>
        <v>0</v>
      </c>
      <c r="O305" s="57" cm="1">
        <f t="array" ref="O305">IF(_xlfn.XLOOKUP(CONT_SUP[[#This Row],[EquatedWeekPatternCode]],EQW[EquatedWeekPatternCode],EQW[AvailableToAllSchools],1,0,)=TRUE,0,IF(ISERROR(FIND(CONT_SUP[[#This Row],[SchoolCode]],_xlfn.TEXTJOIN(",",TRUE,_xlfn.UNIQUE(IF(EQW[EquatedWeekPatternCode]=CONT_SUP[[#This Row],[EquatedWeekPatternCode]],EQW[SchoolCodes],""))))),1,0))</f>
        <v>0</v>
      </c>
      <c r="P305" s="57">
        <f>1-COUNTIF(ContractTypes[Code],CONT_SUP[[#This Row],[ContractTypeCode]])</f>
        <v>0</v>
      </c>
      <c r="Q305" s="57">
        <f>IF(VLOOKUP(CONT_SUP[[#This Row],[StaffMemberCode]],MEMBERS[[StaffMemberCode]:[ServiceStartDate]],5,0)&gt;CONT_SUP[[#This Row],[DateFrom]],1,0)</f>
        <v>0</v>
      </c>
      <c r="R305" s="57">
        <f>IF(_xlfn.XLOOKUP(CONT_SUP[[#This Row],[StaffMemberCode]],MEMBERS[StaffMemberCode],MEMBERS[ServiceEndDate])="",0,IF(CONT_SUP[[#This Row],[DateTo]]="",1,IF(_xlfn.XLOOKUP(CONT_SUP[[#This Row],[StaffMemberCode]],MEMBERS[StaffMemberCode],MEMBERS[ServiceEndDate])&lt;CONT_SUP[[#This Row],[DateTo]],1,0)))</f>
        <v>0</v>
      </c>
      <c r="S305" s="57">
        <f>IF(ISBLANK(CONT_SUP[[#This Row],[DateTo]]),0,IF(CONT_SUP[[#This Row],[DateFrom]]=CONT_SUP[[#This Row],[DateTo]],0,IF(CONT_SUP[[#This Row],[DateFrom]]&lt;CONT_SUP[[#This Row],[DateTo]],0,1)))</f>
        <v>0</v>
      </c>
      <c r="T305" s="57" cm="1">
        <f t="array" aca="1" ref="T305" ca="1">IF(CELL("format",CONT_SUP[[#This Row],[DateFrom]])="D1",0,1)+IF(CELL("format",CONT_SUP[[#This Row],[DateTo]])="D1",0,1)</f>
        <v>0</v>
      </c>
      <c r="U305" s="57">
        <f>IF(OR(CONT_SUP[[#This Row],[MatEditOnly]]=TRUE,CONT_SUP[[#This Row],[MatEditOnly]]=FALSE),IF(OR(CONT_SUP[[#This Row],[NoIncrement]]=TRUE,CONT_SUP[[#This Row],[NoIncrement]]=FALSE),0,1),1)</f>
        <v>0</v>
      </c>
      <c r="V305" s="57">
        <f>IF(ISBLANK(CONT_SUP[[#This Row],[FundCode]])=TRUE,0,IF(COUNTIF(FUNDS[FundCode],CONT_SUP[[#This Row],[FundCode]])=1,0,1))</f>
        <v>0</v>
      </c>
      <c r="W305" s="57">
        <f>IF(LEN(CONT_SUP[[#This Row],[Notes]])&lt;4000,0,1)</f>
        <v>0</v>
      </c>
      <c r="X305" s="57">
        <f>IF(SUBSTITUTE(TEXT(CONT_SUP[[#This Row],[Reference]],10)," ","")=TEXT(CONT_SUP[[#This Row],[Reference]],10),0,1)</f>
        <v>0</v>
      </c>
      <c r="Y305" s="57">
        <f ca="1">SUM(CONT_SUP[[#This Row],[Duplicate Contract]:[Space in Code]])</f>
        <v>0</v>
      </c>
      <c r="AA305" s="12" t="s">
        <v>2126</v>
      </c>
      <c r="AB305" s="12">
        <v>10009931</v>
      </c>
      <c r="AC305" s="12">
        <v>115053</v>
      </c>
      <c r="AD305" s="57" t="str">
        <f>_xlfn.XLOOKUP(CONT_SUP[[#This Row],[StaffMemberCode]],StaffMembers!O:O,StaffMembers!R:R)</f>
        <v>Valentina Bailey</v>
      </c>
      <c r="AE305" s="12" t="s">
        <v>4245</v>
      </c>
      <c r="AF305" s="57">
        <f>_xlfn.XLOOKUP(CONT_SUP[[#This Row],[SRG]],SRG[StaffRoleGroupCode],SRG[GrossSalaryFinanceCode])</f>
        <v>625100</v>
      </c>
      <c r="AG305" s="57" t="str">
        <f>_xlfn.XLOOKUP(CONT_SUP[[#This Row],[StaffRoleCode]],ROLES[StaffRoleCode],ROLES[StaffRoleGroupCode])</f>
        <v>ADM</v>
      </c>
      <c r="AH305" s="57" t="str">
        <f>_xlfn.XLOOKUP(CONT_SUP[[#This Row],[StaffRoleCode]],ROLES[StaffRoleCode],ROLES[PayScaleCode])</f>
        <v>NJC_CHE</v>
      </c>
      <c r="AI305" s="12" t="s">
        <v>3123</v>
      </c>
      <c r="AJ305" s="12">
        <v>7</v>
      </c>
      <c r="AK305" s="12" t="s">
        <v>2483</v>
      </c>
      <c r="AM305" s="68" t="s">
        <v>3132</v>
      </c>
      <c r="AN305" s="12" t="s">
        <v>1702</v>
      </c>
      <c r="AO305" s="21">
        <v>46023</v>
      </c>
      <c r="AQ305" s="12">
        <v>37</v>
      </c>
      <c r="AR305" t="b">
        <v>0</v>
      </c>
      <c r="AS305" t="b">
        <v>0</v>
      </c>
      <c r="AT305" s="12" t="s">
        <v>1574</v>
      </c>
    </row>
    <row r="306" spans="1:46" x14ac:dyDescent="0.3">
      <c r="A306" s="57" t="str">
        <f t="shared" si="10"/>
        <v>MLB10005362106138FIN_OFFSFIN46023</v>
      </c>
      <c r="B306" s="57">
        <f>COUNTIF(CONT_SUP[Unique Contract],CONT_SUP[[#This Row],[Unique Contract]])-1</f>
        <v>0</v>
      </c>
      <c r="C306" s="57">
        <f>IFERROR(IF(FIND(CONT_SUP[[#This Row],[SchoolCode]],_xlfn.XLOOKUP(CONT_SUP[[#This Row],[StaffMemberCode]],MEMBERS[StaffMemberCode],MEMBERS[SchoolCodes]))&gt;0,0,1),1)</f>
        <v>0</v>
      </c>
      <c r="D306" s="57" cm="1">
        <f t="array" ref="D306">IF(_xlfn.XLOOKUP(CONT_SUP[[#This Row],[StaffRoleCode]],ROLES[StaffRoleCode],ROLES[AvailableToAllSchools],1,0,)=TRUE,0,IF(ISERROR(FIND(CONT_SUP[[#This Row],[SchoolCode]],_xlfn.TEXTJOIN(",",TRUE,_xlfn.UNIQUE(IF(ROLES[StaffRoleCode]=CONT_SUP[[#This Row],[StaffRoleCode]],ROLES[SchoolCodes],""))))),1,0))</f>
        <v>0</v>
      </c>
      <c r="E306" s="57" cm="1">
        <f t="array" ref="E30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06" s="57" cm="1">
        <f t="array" ref="F306">IF(_xlfn.XLOOKUP(CONT_SUP[[#This Row],[PayScaleCode]],PAYSCALES[PayScaleCode],PAYSCALES[AvailableToAllSchools],1,0,)=TRUE,0,IF(ISERROR(FIND(CONT_SUP[[#This Row],[SchoolCode]],_xlfn.TEXTJOIN(",",TRUE,_xlfn.UNIQUE(IF(PAYSCALES[PayScaleCode]=CONT_SUP[[#This Row],[PayScaleCode]],PAYSCALES[SchoolCodes],""))))),1,0))</f>
        <v>0</v>
      </c>
      <c r="G306" s="57">
        <f>IF(_xlfn.XLOOKUP(CONT_SUP[[#This Row],[PayScaleGradeCode]],GRADES[PayScaleGradeCode],GRADES[AvailableToAllSchools])=TRUE,0,IFERROR(IF(FIND(CONT_SUP[[#This Row],[SchoolCode]],_xlfn.XLOOKUP(CONT_SUP[[#This Row],[PayScaleGradeCode]],GRADES[PayScaleGradeCode],GRADES[SchoolCodes]))&gt;=1,0,1),1))</f>
        <v>0</v>
      </c>
      <c r="H306" s="57">
        <f>IF(ISERROR(IF((_xlfn.XLOOKUP(CONT_SUP[[#This Row],[PayScaleGradeCode]],GRADES[PayScaleGradeCode],GRADES[PayScaleCode])=CONT_SUP[[#This Row],[PayScaleCode]]),0,1)),1,0)</f>
        <v>0</v>
      </c>
      <c r="I306" s="57" cm="1">
        <f t="array" ref="I306">IF(ISERROR(FIND(CONT_SUP[[#This Row],[PayScalePointCode]],_xlfn.TEXTJOIN(",",TRUE,IF(PSPOINTS[PayScaleCode]=CONT_SUP[[#This Row],[PayScaleCode]],PSPOINTS[PayScalePointCode])))),1,0)</f>
        <v>0</v>
      </c>
      <c r="J306" s="57" cm="1">
        <f t="array" ref="J30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06" s="57">
        <f>IF(_xlfn.XLOOKUP(CONT_SUP[[#This Row],[PayScalePointCode]],PSPOINTS[PayScalePointCode],PSPOINTS[PayScalePointEnabled])=TRUE,0,1)</f>
        <v>0</v>
      </c>
      <c r="L306" s="57" cm="1">
        <f t="array" ref="L306">IF(_xlfn.XLOOKUP(CONT_SUP[[#This Row],[DepartmentCode]],DEPTS[DepartmentCode],DEPTS[AvailableToAllSchools],1,0,)=TRUE,0,IF(ISERROR(FIND(CONT_SUP[[#This Row],[SchoolCode]],_xlfn.TEXTJOIN(",",TRUE,_xlfn.UNIQUE(IF(DEPTS[DepartmentCode]=CONT_SUP[[#This Row],[DepartmentCode]],DEPTS[SchoolCodes],""))))),1,0))</f>
        <v>0</v>
      </c>
      <c r="M306" s="57">
        <f>IFERROR(IF(_xlfn.XLOOKUP(CONT_SUP[[#This Row],[SRG Gross]],FinanceCodesBudget[FinanceCode],FinanceCodesBudget[LedgerCode])=_xlfn.XLOOKUP(CONT_SUP[[#This Row],[DepartmentCode]],DEPTS[DepartmentCode],DEPTS[LedgerCode]),0,1),1)</f>
        <v>0</v>
      </c>
      <c r="N306" s="57" cm="1">
        <f t="array" ref="N306">IF(_xlfn.XLOOKUP(CONT_SUP[[#This Row],[PensionCode]],PENS[PensionCode],PENS[AvailableToAllSchools],1,0,)=TRUE,0,IF(ISERROR(FIND(CONT_SUP[[#This Row],[SchoolCode]],_xlfn.TEXTJOIN(",",TRUE,_xlfn.UNIQUE(IF(PENS[PensionCode]=CONT_SUP[[#This Row],[PensionCode]],PENS[SchoolCodes],""))))),1,0))</f>
        <v>0</v>
      </c>
      <c r="O306" s="57" cm="1">
        <f t="array" ref="O306">IF(_xlfn.XLOOKUP(CONT_SUP[[#This Row],[EquatedWeekPatternCode]],EQW[EquatedWeekPatternCode],EQW[AvailableToAllSchools],1,0,)=TRUE,0,IF(ISERROR(FIND(CONT_SUP[[#This Row],[SchoolCode]],_xlfn.TEXTJOIN(",",TRUE,_xlfn.UNIQUE(IF(EQW[EquatedWeekPatternCode]=CONT_SUP[[#This Row],[EquatedWeekPatternCode]],EQW[SchoolCodes],""))))),1,0))</f>
        <v>0</v>
      </c>
      <c r="P306" s="57">
        <f>1-COUNTIF(ContractTypes[Code],CONT_SUP[[#This Row],[ContractTypeCode]])</f>
        <v>0</v>
      </c>
      <c r="Q306" s="57">
        <f>IF(VLOOKUP(CONT_SUP[[#This Row],[StaffMemberCode]],MEMBERS[[StaffMemberCode]:[ServiceStartDate]],5,0)&gt;CONT_SUP[[#This Row],[DateFrom]],1,0)</f>
        <v>0</v>
      </c>
      <c r="R306" s="57">
        <f>IF(_xlfn.XLOOKUP(CONT_SUP[[#This Row],[StaffMemberCode]],MEMBERS[StaffMemberCode],MEMBERS[ServiceEndDate])="",0,IF(CONT_SUP[[#This Row],[DateTo]]="",1,IF(_xlfn.XLOOKUP(CONT_SUP[[#This Row],[StaffMemberCode]],MEMBERS[StaffMemberCode],MEMBERS[ServiceEndDate])&lt;CONT_SUP[[#This Row],[DateTo]],1,0)))</f>
        <v>0</v>
      </c>
      <c r="S306" s="57">
        <f>IF(ISBLANK(CONT_SUP[[#This Row],[DateTo]]),0,IF(CONT_SUP[[#This Row],[DateFrom]]=CONT_SUP[[#This Row],[DateTo]],0,IF(CONT_SUP[[#This Row],[DateFrom]]&lt;CONT_SUP[[#This Row],[DateTo]],0,1)))</f>
        <v>0</v>
      </c>
      <c r="T306" s="57" cm="1">
        <f t="array" aca="1" ref="T306" ca="1">IF(CELL("format",CONT_SUP[[#This Row],[DateFrom]])="D1",0,1)+IF(CELL("format",CONT_SUP[[#This Row],[DateTo]])="D1",0,1)</f>
        <v>0</v>
      </c>
      <c r="U306" s="57">
        <f>IF(OR(CONT_SUP[[#This Row],[MatEditOnly]]=TRUE,CONT_SUP[[#This Row],[MatEditOnly]]=FALSE),IF(OR(CONT_SUP[[#This Row],[NoIncrement]]=TRUE,CONT_SUP[[#This Row],[NoIncrement]]=FALSE),0,1),1)</f>
        <v>0</v>
      </c>
      <c r="V306" s="57">
        <f>IF(ISBLANK(CONT_SUP[[#This Row],[FundCode]])=TRUE,0,IF(COUNTIF(FUNDS[FundCode],CONT_SUP[[#This Row],[FundCode]])=1,0,1))</f>
        <v>0</v>
      </c>
      <c r="W306" s="57">
        <f>IF(LEN(CONT_SUP[[#This Row],[Notes]])&lt;4000,0,1)</f>
        <v>0</v>
      </c>
      <c r="X306" s="57">
        <f>IF(SUBSTITUTE(TEXT(CONT_SUP[[#This Row],[Reference]],10)," ","")=TEXT(CONT_SUP[[#This Row],[Reference]],10),0,1)</f>
        <v>0</v>
      </c>
      <c r="Y306" s="57">
        <f ca="1">SUM(CONT_SUP[[#This Row],[Duplicate Contract]:[Space in Code]])</f>
        <v>0</v>
      </c>
      <c r="AA306" s="12" t="s">
        <v>2126</v>
      </c>
      <c r="AB306" s="12">
        <v>10005362</v>
      </c>
      <c r="AC306" s="12">
        <v>106138</v>
      </c>
      <c r="AD306" s="57" t="str">
        <f>_xlfn.XLOOKUP(CONT_SUP[[#This Row],[StaffMemberCode]],StaffMembers!O:O,StaffMembers!R:R)</f>
        <v>Laura Beniston</v>
      </c>
      <c r="AE306" s="12" t="s">
        <v>4245</v>
      </c>
      <c r="AF306" s="57">
        <f>_xlfn.XLOOKUP(CONT_SUP[[#This Row],[SRG]],SRG[StaffRoleGroupCode],SRG[GrossSalaryFinanceCode])</f>
        <v>625100</v>
      </c>
      <c r="AG306" s="57" t="str">
        <f>_xlfn.XLOOKUP(CONT_SUP[[#This Row],[StaffRoleCode]],ROLES[StaffRoleCode],ROLES[StaffRoleGroupCode])</f>
        <v>ADM</v>
      </c>
      <c r="AH306" s="57" t="str">
        <f>_xlfn.XLOOKUP(CONT_SUP[[#This Row],[StaffRoleCode]],ROLES[StaffRoleCode],ROLES[PayScaleCode])</f>
        <v>NJC_CHE</v>
      </c>
      <c r="AI306" s="12" t="s">
        <v>3123</v>
      </c>
      <c r="AJ306" s="12">
        <v>11</v>
      </c>
      <c r="AK306" s="12" t="s">
        <v>2483</v>
      </c>
      <c r="AM306" s="68" t="s">
        <v>3132</v>
      </c>
      <c r="AN306" s="12" t="s">
        <v>1702</v>
      </c>
      <c r="AO306" s="21">
        <v>46023</v>
      </c>
      <c r="AQ306" s="12">
        <v>37</v>
      </c>
      <c r="AR306" t="b">
        <v>0</v>
      </c>
      <c r="AS306" t="b">
        <v>0</v>
      </c>
      <c r="AT306" s="12" t="s">
        <v>1574</v>
      </c>
    </row>
    <row r="307" spans="1:46" x14ac:dyDescent="0.3">
      <c r="A307" s="57" t="str">
        <f t="shared" si="10"/>
        <v>MLB10005355111891HR_MGRSFIN46023</v>
      </c>
      <c r="B307" s="57">
        <f>COUNTIF(CONT_SUP[Unique Contract],CONT_SUP[[#This Row],[Unique Contract]])-1</f>
        <v>0</v>
      </c>
      <c r="C307" s="57">
        <f>IFERROR(IF(FIND(CONT_SUP[[#This Row],[SchoolCode]],_xlfn.XLOOKUP(CONT_SUP[[#This Row],[StaffMemberCode]],MEMBERS[StaffMemberCode],MEMBERS[SchoolCodes]))&gt;0,0,1),1)</f>
        <v>0</v>
      </c>
      <c r="D307" s="57" cm="1">
        <f t="array" ref="D307">IF(_xlfn.XLOOKUP(CONT_SUP[[#This Row],[StaffRoleCode]],ROLES[StaffRoleCode],ROLES[AvailableToAllSchools],1,0,)=TRUE,0,IF(ISERROR(FIND(CONT_SUP[[#This Row],[SchoolCode]],_xlfn.TEXTJOIN(",",TRUE,_xlfn.UNIQUE(IF(ROLES[StaffRoleCode]=CONT_SUP[[#This Row],[StaffRoleCode]],ROLES[SchoolCodes],""))))),1,0))</f>
        <v>0</v>
      </c>
      <c r="E307" s="57" cm="1">
        <f t="array" ref="E30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07" s="57" cm="1">
        <f t="array" ref="F307">IF(_xlfn.XLOOKUP(CONT_SUP[[#This Row],[PayScaleCode]],PAYSCALES[PayScaleCode],PAYSCALES[AvailableToAllSchools],1,0,)=TRUE,0,IF(ISERROR(FIND(CONT_SUP[[#This Row],[SchoolCode]],_xlfn.TEXTJOIN(",",TRUE,_xlfn.UNIQUE(IF(PAYSCALES[PayScaleCode]=CONT_SUP[[#This Row],[PayScaleCode]],PAYSCALES[SchoolCodes],""))))),1,0))</f>
        <v>0</v>
      </c>
      <c r="G307" s="57">
        <f>IF(_xlfn.XLOOKUP(CONT_SUP[[#This Row],[PayScaleGradeCode]],GRADES[PayScaleGradeCode],GRADES[AvailableToAllSchools])=TRUE,0,IFERROR(IF(FIND(CONT_SUP[[#This Row],[SchoolCode]],_xlfn.XLOOKUP(CONT_SUP[[#This Row],[PayScaleGradeCode]],GRADES[PayScaleGradeCode],GRADES[SchoolCodes]))&gt;=1,0,1),1))</f>
        <v>0</v>
      </c>
      <c r="H307" s="57">
        <f>IF(ISERROR(IF((_xlfn.XLOOKUP(CONT_SUP[[#This Row],[PayScaleGradeCode]],GRADES[PayScaleGradeCode],GRADES[PayScaleCode])=CONT_SUP[[#This Row],[PayScaleCode]]),0,1)),1,0)</f>
        <v>0</v>
      </c>
      <c r="I307" s="57" cm="1">
        <f t="array" ref="I307">IF(ISERROR(FIND(CONT_SUP[[#This Row],[PayScalePointCode]],_xlfn.TEXTJOIN(",",TRUE,IF(PSPOINTS[PayScaleCode]=CONT_SUP[[#This Row],[PayScaleCode]],PSPOINTS[PayScalePointCode])))),1,0)</f>
        <v>0</v>
      </c>
      <c r="J307" s="57" cm="1">
        <f t="array" ref="J30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07" s="57">
        <f>IF(_xlfn.XLOOKUP(CONT_SUP[[#This Row],[PayScalePointCode]],PSPOINTS[PayScalePointCode],PSPOINTS[PayScalePointEnabled])=TRUE,0,1)</f>
        <v>0</v>
      </c>
      <c r="L307" s="57" cm="1">
        <f t="array" ref="L307">IF(_xlfn.XLOOKUP(CONT_SUP[[#This Row],[DepartmentCode]],DEPTS[DepartmentCode],DEPTS[AvailableToAllSchools],1,0,)=TRUE,0,IF(ISERROR(FIND(CONT_SUP[[#This Row],[SchoolCode]],_xlfn.TEXTJOIN(",",TRUE,_xlfn.UNIQUE(IF(DEPTS[DepartmentCode]=CONT_SUP[[#This Row],[DepartmentCode]],DEPTS[SchoolCodes],""))))),1,0))</f>
        <v>0</v>
      </c>
      <c r="M307" s="57">
        <f>IFERROR(IF(_xlfn.XLOOKUP(CONT_SUP[[#This Row],[SRG Gross]],FinanceCodesBudget[FinanceCode],FinanceCodesBudget[LedgerCode])=_xlfn.XLOOKUP(CONT_SUP[[#This Row],[DepartmentCode]],DEPTS[DepartmentCode],DEPTS[LedgerCode]),0,1),1)</f>
        <v>0</v>
      </c>
      <c r="N307" s="57" cm="1">
        <f t="array" ref="N307">IF(_xlfn.XLOOKUP(CONT_SUP[[#This Row],[PensionCode]],PENS[PensionCode],PENS[AvailableToAllSchools],1,0,)=TRUE,0,IF(ISERROR(FIND(CONT_SUP[[#This Row],[SchoolCode]],_xlfn.TEXTJOIN(",",TRUE,_xlfn.UNIQUE(IF(PENS[PensionCode]=CONT_SUP[[#This Row],[PensionCode]],PENS[SchoolCodes],""))))),1,0))</f>
        <v>0</v>
      </c>
      <c r="O307" s="57" cm="1">
        <f t="array" ref="O307">IF(_xlfn.XLOOKUP(CONT_SUP[[#This Row],[EquatedWeekPatternCode]],EQW[EquatedWeekPatternCode],EQW[AvailableToAllSchools],1,0,)=TRUE,0,IF(ISERROR(FIND(CONT_SUP[[#This Row],[SchoolCode]],_xlfn.TEXTJOIN(",",TRUE,_xlfn.UNIQUE(IF(EQW[EquatedWeekPatternCode]=CONT_SUP[[#This Row],[EquatedWeekPatternCode]],EQW[SchoolCodes],""))))),1,0))</f>
        <v>0</v>
      </c>
      <c r="P307" s="57">
        <f>1-COUNTIF(ContractTypes[Code],CONT_SUP[[#This Row],[ContractTypeCode]])</f>
        <v>0</v>
      </c>
      <c r="Q307" s="57">
        <f>IF(VLOOKUP(CONT_SUP[[#This Row],[StaffMemberCode]],MEMBERS[[StaffMemberCode]:[ServiceStartDate]],5,0)&gt;CONT_SUP[[#This Row],[DateFrom]],1,0)</f>
        <v>0</v>
      </c>
      <c r="R307" s="57">
        <f>IF(_xlfn.XLOOKUP(CONT_SUP[[#This Row],[StaffMemberCode]],MEMBERS[StaffMemberCode],MEMBERS[ServiceEndDate])="",0,IF(CONT_SUP[[#This Row],[DateTo]]="",1,IF(_xlfn.XLOOKUP(CONT_SUP[[#This Row],[StaffMemberCode]],MEMBERS[StaffMemberCode],MEMBERS[ServiceEndDate])&lt;CONT_SUP[[#This Row],[DateTo]],1,0)))</f>
        <v>0</v>
      </c>
      <c r="S307" s="57">
        <f>IF(ISBLANK(CONT_SUP[[#This Row],[DateTo]]),0,IF(CONT_SUP[[#This Row],[DateFrom]]=CONT_SUP[[#This Row],[DateTo]],0,IF(CONT_SUP[[#This Row],[DateFrom]]&lt;CONT_SUP[[#This Row],[DateTo]],0,1)))</f>
        <v>0</v>
      </c>
      <c r="T307" s="57" cm="1">
        <f t="array" aca="1" ref="T307" ca="1">IF(CELL("format",CONT_SUP[[#This Row],[DateFrom]])="D1",0,1)+IF(CELL("format",CONT_SUP[[#This Row],[DateTo]])="D1",0,1)</f>
        <v>0</v>
      </c>
      <c r="U307" s="57">
        <f>IF(OR(CONT_SUP[[#This Row],[MatEditOnly]]=TRUE,CONT_SUP[[#This Row],[MatEditOnly]]=FALSE),IF(OR(CONT_SUP[[#This Row],[NoIncrement]]=TRUE,CONT_SUP[[#This Row],[NoIncrement]]=FALSE),0,1),1)</f>
        <v>0</v>
      </c>
      <c r="V307" s="57">
        <f>IF(ISBLANK(CONT_SUP[[#This Row],[FundCode]])=TRUE,0,IF(COUNTIF(FUNDS[FundCode],CONT_SUP[[#This Row],[FundCode]])=1,0,1))</f>
        <v>0</v>
      </c>
      <c r="W307" s="57">
        <f>IF(LEN(CONT_SUP[[#This Row],[Notes]])&lt;4000,0,1)</f>
        <v>0</v>
      </c>
      <c r="X307" s="57">
        <f>IF(SUBSTITUTE(TEXT(CONT_SUP[[#This Row],[Reference]],10)," ","")=TEXT(CONT_SUP[[#This Row],[Reference]],10),0,1)</f>
        <v>0</v>
      </c>
      <c r="Y307" s="57">
        <f ca="1">SUM(CONT_SUP[[#This Row],[Duplicate Contract]:[Space in Code]])</f>
        <v>0</v>
      </c>
      <c r="AA307" s="12" t="s">
        <v>2126</v>
      </c>
      <c r="AB307" s="12">
        <v>10005355</v>
      </c>
      <c r="AC307" s="12">
        <v>111891</v>
      </c>
      <c r="AD307" s="57" t="str">
        <f>_xlfn.XLOOKUP(CONT_SUP[[#This Row],[StaffMemberCode]],StaffMembers!O:O,StaffMembers!R:R)</f>
        <v>Louise Cracknell</v>
      </c>
      <c r="AE307" s="12" t="s">
        <v>1616</v>
      </c>
      <c r="AF307" s="57">
        <f>_xlfn.XLOOKUP(CONT_SUP[[#This Row],[SRG]],SRG[StaffRoleGroupCode],SRG[GrossSalaryFinanceCode])</f>
        <v>625100</v>
      </c>
      <c r="AG307" s="57" t="str">
        <f>_xlfn.XLOOKUP(CONT_SUP[[#This Row],[StaffRoleCode]],ROLES[StaffRoleCode],ROLES[StaffRoleGroupCode])</f>
        <v>ADM</v>
      </c>
      <c r="AH307" s="57" t="str">
        <f>_xlfn.XLOOKUP(CONT_SUP[[#This Row],[StaffRoleCode]],ROLES[StaffRoleCode],ROLES[PayScaleCode])</f>
        <v>NJC_CHE</v>
      </c>
      <c r="AI307" s="12" t="s">
        <v>3125</v>
      </c>
      <c r="AJ307" s="12">
        <v>21</v>
      </c>
      <c r="AK307" s="12" t="s">
        <v>2483</v>
      </c>
      <c r="AM307" s="68" t="s">
        <v>3132</v>
      </c>
      <c r="AN307" s="12" t="s">
        <v>3143</v>
      </c>
      <c r="AO307" s="21">
        <v>46023</v>
      </c>
      <c r="AQ307" s="12">
        <v>37</v>
      </c>
      <c r="AR307" t="b">
        <v>0</v>
      </c>
      <c r="AS307" t="b">
        <v>0</v>
      </c>
      <c r="AT307" s="12" t="s">
        <v>1574</v>
      </c>
    </row>
    <row r="308" spans="1:46" x14ac:dyDescent="0.3">
      <c r="A308" s="57" t="str">
        <f t="shared" si="10"/>
        <v>MLB10005335106107SYS_DEV_MGRSFIN46023</v>
      </c>
      <c r="B308" s="57">
        <f>COUNTIF(CONT_SUP[Unique Contract],CONT_SUP[[#This Row],[Unique Contract]])-1</f>
        <v>0</v>
      </c>
      <c r="C308" s="57">
        <f>IFERROR(IF(FIND(CONT_SUP[[#This Row],[SchoolCode]],_xlfn.XLOOKUP(CONT_SUP[[#This Row],[StaffMemberCode]],MEMBERS[StaffMemberCode],MEMBERS[SchoolCodes]))&gt;0,0,1),1)</f>
        <v>0</v>
      </c>
      <c r="D308" s="57" cm="1">
        <f t="array" ref="D308">IF(_xlfn.XLOOKUP(CONT_SUP[[#This Row],[StaffRoleCode]],ROLES[StaffRoleCode],ROLES[AvailableToAllSchools],1,0,)=TRUE,0,IF(ISERROR(FIND(CONT_SUP[[#This Row],[SchoolCode]],_xlfn.TEXTJOIN(",",TRUE,_xlfn.UNIQUE(IF(ROLES[StaffRoleCode]=CONT_SUP[[#This Row],[StaffRoleCode]],ROLES[SchoolCodes],""))))),1,0))</f>
        <v>0</v>
      </c>
      <c r="E308" s="57" cm="1">
        <f t="array" ref="E30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08" s="57" cm="1">
        <f t="array" ref="F308">IF(_xlfn.XLOOKUP(CONT_SUP[[#This Row],[PayScaleCode]],PAYSCALES[PayScaleCode],PAYSCALES[AvailableToAllSchools],1,0,)=TRUE,0,IF(ISERROR(FIND(CONT_SUP[[#This Row],[SchoolCode]],_xlfn.TEXTJOIN(",",TRUE,_xlfn.UNIQUE(IF(PAYSCALES[PayScaleCode]=CONT_SUP[[#This Row],[PayScaleCode]],PAYSCALES[SchoolCodes],""))))),1,0))</f>
        <v>0</v>
      </c>
      <c r="G308" s="57">
        <f>IF(_xlfn.XLOOKUP(CONT_SUP[[#This Row],[PayScaleGradeCode]],GRADES[PayScaleGradeCode],GRADES[AvailableToAllSchools])=TRUE,0,IFERROR(IF(FIND(CONT_SUP[[#This Row],[SchoolCode]],_xlfn.XLOOKUP(CONT_SUP[[#This Row],[PayScaleGradeCode]],GRADES[PayScaleGradeCode],GRADES[SchoolCodes]))&gt;=1,0,1),1))</f>
        <v>0</v>
      </c>
      <c r="H308" s="57">
        <f>IF(ISERROR(IF((_xlfn.XLOOKUP(CONT_SUP[[#This Row],[PayScaleGradeCode]],GRADES[PayScaleGradeCode],GRADES[PayScaleCode])=CONT_SUP[[#This Row],[PayScaleCode]]),0,1)),1,0)</f>
        <v>0</v>
      </c>
      <c r="I308" s="57" cm="1">
        <f t="array" ref="I308">IF(ISERROR(FIND(CONT_SUP[[#This Row],[PayScalePointCode]],_xlfn.TEXTJOIN(",",TRUE,IF(PSPOINTS[PayScaleCode]=CONT_SUP[[#This Row],[PayScaleCode]],PSPOINTS[PayScalePointCode])))),1,0)</f>
        <v>0</v>
      </c>
      <c r="J308" s="57" cm="1">
        <f t="array" ref="J30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08" s="57">
        <f>IF(_xlfn.XLOOKUP(CONT_SUP[[#This Row],[PayScalePointCode]],PSPOINTS[PayScalePointCode],PSPOINTS[PayScalePointEnabled])=TRUE,0,1)</f>
        <v>0</v>
      </c>
      <c r="L308" s="57" cm="1">
        <f t="array" ref="L308">IF(_xlfn.XLOOKUP(CONT_SUP[[#This Row],[DepartmentCode]],DEPTS[DepartmentCode],DEPTS[AvailableToAllSchools],1,0,)=TRUE,0,IF(ISERROR(FIND(CONT_SUP[[#This Row],[SchoolCode]],_xlfn.TEXTJOIN(",",TRUE,_xlfn.UNIQUE(IF(DEPTS[DepartmentCode]=CONT_SUP[[#This Row],[DepartmentCode]],DEPTS[SchoolCodes],""))))),1,0))</f>
        <v>0</v>
      </c>
      <c r="M308" s="57">
        <f>IFERROR(IF(_xlfn.XLOOKUP(CONT_SUP[[#This Row],[SRG Gross]],FinanceCodesBudget[FinanceCode],FinanceCodesBudget[LedgerCode])=_xlfn.XLOOKUP(CONT_SUP[[#This Row],[DepartmentCode]],DEPTS[DepartmentCode],DEPTS[LedgerCode]),0,1),1)</f>
        <v>0</v>
      </c>
      <c r="N308" s="57" cm="1">
        <f t="array" ref="N308">IF(_xlfn.XLOOKUP(CONT_SUP[[#This Row],[PensionCode]],PENS[PensionCode],PENS[AvailableToAllSchools],1,0,)=TRUE,0,IF(ISERROR(FIND(CONT_SUP[[#This Row],[SchoolCode]],_xlfn.TEXTJOIN(",",TRUE,_xlfn.UNIQUE(IF(PENS[PensionCode]=CONT_SUP[[#This Row],[PensionCode]],PENS[SchoolCodes],""))))),1,0))</f>
        <v>0</v>
      </c>
      <c r="O308" s="57" cm="1">
        <f t="array" ref="O308">IF(_xlfn.XLOOKUP(CONT_SUP[[#This Row],[EquatedWeekPatternCode]],EQW[EquatedWeekPatternCode],EQW[AvailableToAllSchools],1,0,)=TRUE,0,IF(ISERROR(FIND(CONT_SUP[[#This Row],[SchoolCode]],_xlfn.TEXTJOIN(",",TRUE,_xlfn.UNIQUE(IF(EQW[EquatedWeekPatternCode]=CONT_SUP[[#This Row],[EquatedWeekPatternCode]],EQW[SchoolCodes],""))))),1,0))</f>
        <v>0</v>
      </c>
      <c r="P308" s="57">
        <f>1-COUNTIF(ContractTypes[Code],CONT_SUP[[#This Row],[ContractTypeCode]])</f>
        <v>0</v>
      </c>
      <c r="Q308" s="57">
        <f>IF(VLOOKUP(CONT_SUP[[#This Row],[StaffMemberCode]],MEMBERS[[StaffMemberCode]:[ServiceStartDate]],5,0)&gt;CONT_SUP[[#This Row],[DateFrom]],1,0)</f>
        <v>0</v>
      </c>
      <c r="R308" s="57">
        <f>IF(_xlfn.XLOOKUP(CONT_SUP[[#This Row],[StaffMemberCode]],MEMBERS[StaffMemberCode],MEMBERS[ServiceEndDate])="",0,IF(CONT_SUP[[#This Row],[DateTo]]="",1,IF(_xlfn.XLOOKUP(CONT_SUP[[#This Row],[StaffMemberCode]],MEMBERS[StaffMemberCode],MEMBERS[ServiceEndDate])&lt;CONT_SUP[[#This Row],[DateTo]],1,0)))</f>
        <v>0</v>
      </c>
      <c r="S308" s="57">
        <f>IF(ISBLANK(CONT_SUP[[#This Row],[DateTo]]),0,IF(CONT_SUP[[#This Row],[DateFrom]]=CONT_SUP[[#This Row],[DateTo]],0,IF(CONT_SUP[[#This Row],[DateFrom]]&lt;CONT_SUP[[#This Row],[DateTo]],0,1)))</f>
        <v>0</v>
      </c>
      <c r="T308" s="57" cm="1">
        <f t="array" aca="1" ref="T308" ca="1">IF(CELL("format",CONT_SUP[[#This Row],[DateFrom]])="D1",0,1)+IF(CELL("format",CONT_SUP[[#This Row],[DateTo]])="D1",0,1)</f>
        <v>0</v>
      </c>
      <c r="U308" s="57">
        <f>IF(OR(CONT_SUP[[#This Row],[MatEditOnly]]=TRUE,CONT_SUP[[#This Row],[MatEditOnly]]=FALSE),IF(OR(CONT_SUP[[#This Row],[NoIncrement]]=TRUE,CONT_SUP[[#This Row],[NoIncrement]]=FALSE),0,1),1)</f>
        <v>0</v>
      </c>
      <c r="V308" s="57">
        <f>IF(ISBLANK(CONT_SUP[[#This Row],[FundCode]])=TRUE,0,IF(COUNTIF(FUNDS[FundCode],CONT_SUP[[#This Row],[FundCode]])=1,0,1))</f>
        <v>0</v>
      </c>
      <c r="W308" s="57">
        <f>IF(LEN(CONT_SUP[[#This Row],[Notes]])&lt;4000,0,1)</f>
        <v>0</v>
      </c>
      <c r="X308" s="57">
        <f>IF(SUBSTITUTE(TEXT(CONT_SUP[[#This Row],[Reference]],10)," ","")=TEXT(CONT_SUP[[#This Row],[Reference]],10),0,1)</f>
        <v>0</v>
      </c>
      <c r="Y308" s="57">
        <f ca="1">SUM(CONT_SUP[[#This Row],[Duplicate Contract]:[Space in Code]])</f>
        <v>0</v>
      </c>
      <c r="AA308" s="12" t="s">
        <v>2126</v>
      </c>
      <c r="AB308" s="12">
        <v>10005335</v>
      </c>
      <c r="AC308" s="12">
        <v>106107</v>
      </c>
      <c r="AD308" s="57" t="str">
        <f>_xlfn.XLOOKUP(CONT_SUP[[#This Row],[StaffMemberCode]],StaffMembers!O:O,StaffMembers!R:R)</f>
        <v>Adam Hunter</v>
      </c>
      <c r="AE308" s="12" t="s">
        <v>4255</v>
      </c>
      <c r="AF308" s="57">
        <f>_xlfn.XLOOKUP(CONT_SUP[[#This Row],[SRG]],SRG[StaffRoleGroupCode],SRG[GrossSalaryFinanceCode])</f>
        <v>625100</v>
      </c>
      <c r="AG308" s="57" t="str">
        <f>_xlfn.XLOOKUP(CONT_SUP[[#This Row],[StaffRoleCode]],ROLES[StaffRoleCode],ROLES[StaffRoleGroupCode])</f>
        <v>ADM</v>
      </c>
      <c r="AH308" s="57" t="str">
        <f>_xlfn.XLOOKUP(CONT_SUP[[#This Row],[StaffRoleCode]],ROLES[StaffRoleCode],ROLES[PayScaleCode])</f>
        <v>NJC_CHE</v>
      </c>
      <c r="AI308" s="12" t="s">
        <v>3126</v>
      </c>
      <c r="AJ308" s="12">
        <v>28</v>
      </c>
      <c r="AK308" s="12" t="s">
        <v>2483</v>
      </c>
      <c r="AM308" s="68" t="s">
        <v>3132</v>
      </c>
      <c r="AN308" s="12" t="s">
        <v>1702</v>
      </c>
      <c r="AO308" s="21">
        <v>46023</v>
      </c>
      <c r="AQ308" s="12">
        <v>37</v>
      </c>
      <c r="AR308" t="b">
        <v>0</v>
      </c>
      <c r="AS308" t="b">
        <v>0</v>
      </c>
      <c r="AT308" s="12" t="s">
        <v>1574</v>
      </c>
    </row>
    <row r="309" spans="1:46" x14ac:dyDescent="0.3">
      <c r="A309" s="57" t="str">
        <f t="shared" si="10"/>
        <v>MLBZZ_TBC_01OFF_ASTSFIN46023</v>
      </c>
      <c r="B309" s="57">
        <f>COUNTIF(CONT_SUP[Unique Contract],CONT_SUP[[#This Row],[Unique Contract]])-1</f>
        <v>0</v>
      </c>
      <c r="C309" s="57">
        <f>IFERROR(IF(FIND(CONT_SUP[[#This Row],[SchoolCode]],_xlfn.XLOOKUP(CONT_SUP[[#This Row],[StaffMemberCode]],MEMBERS[StaffMemberCode],MEMBERS[SchoolCodes]))&gt;0,0,1),1)</f>
        <v>0</v>
      </c>
      <c r="D309" s="57" cm="1">
        <f t="array" ref="D309">IF(_xlfn.XLOOKUP(CONT_SUP[[#This Row],[StaffRoleCode]],ROLES[StaffRoleCode],ROLES[AvailableToAllSchools],1,0,)=TRUE,0,IF(ISERROR(FIND(CONT_SUP[[#This Row],[SchoolCode]],_xlfn.TEXTJOIN(",",TRUE,_xlfn.UNIQUE(IF(ROLES[StaffRoleCode]=CONT_SUP[[#This Row],[StaffRoleCode]],ROLES[SchoolCodes],""))))),1,0))</f>
        <v>0</v>
      </c>
      <c r="E309" s="57" cm="1">
        <f t="array" ref="E30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09" s="57" cm="1">
        <f t="array" ref="F309">IF(_xlfn.XLOOKUP(CONT_SUP[[#This Row],[PayScaleCode]],PAYSCALES[PayScaleCode],PAYSCALES[AvailableToAllSchools],1,0,)=TRUE,0,IF(ISERROR(FIND(CONT_SUP[[#This Row],[SchoolCode]],_xlfn.TEXTJOIN(",",TRUE,_xlfn.UNIQUE(IF(PAYSCALES[PayScaleCode]=CONT_SUP[[#This Row],[PayScaleCode]],PAYSCALES[SchoolCodes],""))))),1,0))</f>
        <v>0</v>
      </c>
      <c r="G309" s="57">
        <f>IF(_xlfn.XLOOKUP(CONT_SUP[[#This Row],[PayScaleGradeCode]],GRADES[PayScaleGradeCode],GRADES[AvailableToAllSchools])=TRUE,0,IFERROR(IF(FIND(CONT_SUP[[#This Row],[SchoolCode]],_xlfn.XLOOKUP(CONT_SUP[[#This Row],[PayScaleGradeCode]],GRADES[PayScaleGradeCode],GRADES[SchoolCodes]))&gt;=1,0,1),1))</f>
        <v>0</v>
      </c>
      <c r="H309" s="57">
        <f>IF(ISERROR(IF((_xlfn.XLOOKUP(CONT_SUP[[#This Row],[PayScaleGradeCode]],GRADES[PayScaleGradeCode],GRADES[PayScaleCode])=CONT_SUP[[#This Row],[PayScaleCode]]),0,1)),1,0)</f>
        <v>0</v>
      </c>
      <c r="I309" s="57" cm="1">
        <f t="array" ref="I309">IF(ISERROR(FIND(CONT_SUP[[#This Row],[PayScalePointCode]],_xlfn.TEXTJOIN(",",TRUE,IF(PSPOINTS[PayScaleCode]=CONT_SUP[[#This Row],[PayScaleCode]],PSPOINTS[PayScalePointCode])))),1,0)</f>
        <v>0</v>
      </c>
      <c r="J309" s="57" cm="1">
        <f t="array" ref="J30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09" s="57">
        <f>IF(_xlfn.XLOOKUP(CONT_SUP[[#This Row],[PayScalePointCode]],PSPOINTS[PayScalePointCode],PSPOINTS[PayScalePointEnabled])=TRUE,0,1)</f>
        <v>0</v>
      </c>
      <c r="L309" s="57" cm="1">
        <f t="array" ref="L309">IF(_xlfn.XLOOKUP(CONT_SUP[[#This Row],[DepartmentCode]],DEPTS[DepartmentCode],DEPTS[AvailableToAllSchools],1,0,)=TRUE,0,IF(ISERROR(FIND(CONT_SUP[[#This Row],[SchoolCode]],_xlfn.TEXTJOIN(",",TRUE,_xlfn.UNIQUE(IF(DEPTS[DepartmentCode]=CONT_SUP[[#This Row],[DepartmentCode]],DEPTS[SchoolCodes],""))))),1,0))</f>
        <v>0</v>
      </c>
      <c r="M309" s="57">
        <f>IFERROR(IF(_xlfn.XLOOKUP(CONT_SUP[[#This Row],[SRG Gross]],FinanceCodesBudget[FinanceCode],FinanceCodesBudget[LedgerCode])=_xlfn.XLOOKUP(CONT_SUP[[#This Row],[DepartmentCode]],DEPTS[DepartmentCode],DEPTS[LedgerCode]),0,1),1)</f>
        <v>0</v>
      </c>
      <c r="N309" s="57" cm="1">
        <f t="array" ref="N309">IF(_xlfn.XLOOKUP(CONT_SUP[[#This Row],[PensionCode]],PENS[PensionCode],PENS[AvailableToAllSchools],1,0,)=TRUE,0,IF(ISERROR(FIND(CONT_SUP[[#This Row],[SchoolCode]],_xlfn.TEXTJOIN(",",TRUE,_xlfn.UNIQUE(IF(PENS[PensionCode]=CONT_SUP[[#This Row],[PensionCode]],PENS[SchoolCodes],""))))),1,0))</f>
        <v>0</v>
      </c>
      <c r="O309" s="57" cm="1">
        <f t="array" ref="O309">IF(_xlfn.XLOOKUP(CONT_SUP[[#This Row],[EquatedWeekPatternCode]],EQW[EquatedWeekPatternCode],EQW[AvailableToAllSchools],1,0,)=TRUE,0,IF(ISERROR(FIND(CONT_SUP[[#This Row],[SchoolCode]],_xlfn.TEXTJOIN(",",TRUE,_xlfn.UNIQUE(IF(EQW[EquatedWeekPatternCode]=CONT_SUP[[#This Row],[EquatedWeekPatternCode]],EQW[SchoolCodes],""))))),1,0))</f>
        <v>0</v>
      </c>
      <c r="P309" s="57">
        <f>1-COUNTIF(ContractTypes[Code],CONT_SUP[[#This Row],[ContractTypeCode]])</f>
        <v>0</v>
      </c>
      <c r="Q309" s="57">
        <f>IF(VLOOKUP(CONT_SUP[[#This Row],[StaffMemberCode]],MEMBERS[[StaffMemberCode]:[ServiceStartDate]],5,0)&gt;CONT_SUP[[#This Row],[DateFrom]],1,0)</f>
        <v>0</v>
      </c>
      <c r="R309" s="57">
        <f>IF(_xlfn.XLOOKUP(CONT_SUP[[#This Row],[StaffMemberCode]],MEMBERS[StaffMemberCode],MEMBERS[ServiceEndDate])="",0,IF(CONT_SUP[[#This Row],[DateTo]]="",1,IF(_xlfn.XLOOKUP(CONT_SUP[[#This Row],[StaffMemberCode]],MEMBERS[StaffMemberCode],MEMBERS[ServiceEndDate])&lt;CONT_SUP[[#This Row],[DateTo]],1,0)))</f>
        <v>0</v>
      </c>
      <c r="S309" s="57">
        <f>IF(ISBLANK(CONT_SUP[[#This Row],[DateTo]]),0,IF(CONT_SUP[[#This Row],[DateFrom]]=CONT_SUP[[#This Row],[DateTo]],0,IF(CONT_SUP[[#This Row],[DateFrom]]&lt;CONT_SUP[[#This Row],[DateTo]],0,1)))</f>
        <v>0</v>
      </c>
      <c r="T309" s="57" cm="1">
        <f t="array" aca="1" ref="T309" ca="1">IF(CELL("format",CONT_SUP[[#This Row],[DateFrom]])="D1",0,1)+IF(CELL("format",CONT_SUP[[#This Row],[DateTo]])="D1",0,1)</f>
        <v>0</v>
      </c>
      <c r="U309" s="57">
        <f>IF(OR(CONT_SUP[[#This Row],[MatEditOnly]]=TRUE,CONT_SUP[[#This Row],[MatEditOnly]]=FALSE),IF(OR(CONT_SUP[[#This Row],[NoIncrement]]=TRUE,CONT_SUP[[#This Row],[NoIncrement]]=FALSE),0,1),1)</f>
        <v>0</v>
      </c>
      <c r="V309" s="57">
        <f>IF(ISBLANK(CONT_SUP[[#This Row],[FundCode]])=TRUE,0,IF(COUNTIF(FUNDS[FundCode],CONT_SUP[[#This Row],[FundCode]])=1,0,1))</f>
        <v>0</v>
      </c>
      <c r="W309" s="57">
        <f>IF(LEN(CONT_SUP[[#This Row],[Notes]])&lt;4000,0,1)</f>
        <v>0</v>
      </c>
      <c r="X309" s="57">
        <f>IF(SUBSTITUTE(TEXT(CONT_SUP[[#This Row],[Reference]],10)," ","")=TEXT(CONT_SUP[[#This Row],[Reference]],10),0,1)</f>
        <v>0</v>
      </c>
      <c r="Y309" s="57">
        <f ca="1">SUM(CONT_SUP[[#This Row],[Duplicate Contract]:[Space in Code]])</f>
        <v>0</v>
      </c>
      <c r="AA309" s="12" t="s">
        <v>2126</v>
      </c>
      <c r="AB309" s="12" t="s">
        <v>3945</v>
      </c>
      <c r="AD309" s="57" t="str">
        <f>_xlfn.XLOOKUP(CONT_SUP[[#This Row],[StaffMemberCode]],StaffMembers!O:O,StaffMembers!R:R)</f>
        <v>Carla Brizell</v>
      </c>
      <c r="AE309" s="12" t="s">
        <v>4257</v>
      </c>
      <c r="AF309" s="57">
        <f>_xlfn.XLOOKUP(CONT_SUP[[#This Row],[SRG]],SRG[StaffRoleGroupCode],SRG[GrossSalaryFinanceCode])</f>
        <v>625100</v>
      </c>
      <c r="AG309" s="57" t="str">
        <f>_xlfn.XLOOKUP(CONT_SUP[[#This Row],[StaffRoleCode]],ROLES[StaffRoleCode],ROLES[StaffRoleGroupCode])</f>
        <v>ADM</v>
      </c>
      <c r="AH309" s="57" t="str">
        <f>_xlfn.XLOOKUP(CONT_SUP[[#This Row],[StaffRoleCode]],ROLES[StaffRoleCode],ROLES[PayScaleCode])</f>
        <v>NJC_CHE</v>
      </c>
      <c r="AI309" s="12" t="s">
        <v>3121</v>
      </c>
      <c r="AJ309" s="12">
        <v>3</v>
      </c>
      <c r="AK309" s="12" t="s">
        <v>2483</v>
      </c>
      <c r="AM309" s="68" t="s">
        <v>3132</v>
      </c>
      <c r="AN309" s="12" t="s">
        <v>3134</v>
      </c>
      <c r="AO309" s="21">
        <v>46023</v>
      </c>
      <c r="AQ309" s="12">
        <v>18</v>
      </c>
      <c r="AR309" t="b">
        <v>0</v>
      </c>
      <c r="AS309" t="b">
        <v>0</v>
      </c>
      <c r="AT309" s="12" t="s">
        <v>1574</v>
      </c>
    </row>
    <row r="310" spans="1:46" x14ac:dyDescent="0.3">
      <c r="A310" s="57" t="str">
        <f t="shared" si="10"/>
        <v>MLB10013969113672OFF_ASTSFIN46023</v>
      </c>
      <c r="B310" s="57">
        <f>COUNTIF(CONT_SUP[Unique Contract],CONT_SUP[[#This Row],[Unique Contract]])-1</f>
        <v>0</v>
      </c>
      <c r="C310" s="57">
        <f>IFERROR(IF(FIND(CONT_SUP[[#This Row],[SchoolCode]],_xlfn.XLOOKUP(CONT_SUP[[#This Row],[StaffMemberCode]],MEMBERS[StaffMemberCode],MEMBERS[SchoolCodes]))&gt;0,0,1),1)</f>
        <v>0</v>
      </c>
      <c r="D310" s="57" cm="1">
        <f t="array" ref="D310">IF(_xlfn.XLOOKUP(CONT_SUP[[#This Row],[StaffRoleCode]],ROLES[StaffRoleCode],ROLES[AvailableToAllSchools],1,0,)=TRUE,0,IF(ISERROR(FIND(CONT_SUP[[#This Row],[SchoolCode]],_xlfn.TEXTJOIN(",",TRUE,_xlfn.UNIQUE(IF(ROLES[StaffRoleCode]=CONT_SUP[[#This Row],[StaffRoleCode]],ROLES[SchoolCodes],""))))),1,0))</f>
        <v>0</v>
      </c>
      <c r="E310" s="57" cm="1">
        <f t="array" ref="E31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10" s="57" cm="1">
        <f t="array" ref="F310">IF(_xlfn.XLOOKUP(CONT_SUP[[#This Row],[PayScaleCode]],PAYSCALES[PayScaleCode],PAYSCALES[AvailableToAllSchools],1,0,)=TRUE,0,IF(ISERROR(FIND(CONT_SUP[[#This Row],[SchoolCode]],_xlfn.TEXTJOIN(",",TRUE,_xlfn.UNIQUE(IF(PAYSCALES[PayScaleCode]=CONT_SUP[[#This Row],[PayScaleCode]],PAYSCALES[SchoolCodes],""))))),1,0))</f>
        <v>0</v>
      </c>
      <c r="G310" s="57">
        <f>IF(_xlfn.XLOOKUP(CONT_SUP[[#This Row],[PayScaleGradeCode]],GRADES[PayScaleGradeCode],GRADES[AvailableToAllSchools])=TRUE,0,IFERROR(IF(FIND(CONT_SUP[[#This Row],[SchoolCode]],_xlfn.XLOOKUP(CONT_SUP[[#This Row],[PayScaleGradeCode]],GRADES[PayScaleGradeCode],GRADES[SchoolCodes]))&gt;=1,0,1),1))</f>
        <v>0</v>
      </c>
      <c r="H310" s="57">
        <f>IF(ISERROR(IF((_xlfn.XLOOKUP(CONT_SUP[[#This Row],[PayScaleGradeCode]],GRADES[PayScaleGradeCode],GRADES[PayScaleCode])=CONT_SUP[[#This Row],[PayScaleCode]]),0,1)),1,0)</f>
        <v>0</v>
      </c>
      <c r="I310" s="57" cm="1">
        <f t="array" ref="I310">IF(ISERROR(FIND(CONT_SUP[[#This Row],[PayScalePointCode]],_xlfn.TEXTJOIN(",",TRUE,IF(PSPOINTS[PayScaleCode]=CONT_SUP[[#This Row],[PayScaleCode]],PSPOINTS[PayScalePointCode])))),1,0)</f>
        <v>0</v>
      </c>
      <c r="J310" s="57" cm="1">
        <f t="array" ref="J31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10" s="57">
        <f>IF(_xlfn.XLOOKUP(CONT_SUP[[#This Row],[PayScalePointCode]],PSPOINTS[PayScalePointCode],PSPOINTS[PayScalePointEnabled])=TRUE,0,1)</f>
        <v>0</v>
      </c>
      <c r="L310" s="57" cm="1">
        <f t="array" ref="L310">IF(_xlfn.XLOOKUP(CONT_SUP[[#This Row],[DepartmentCode]],DEPTS[DepartmentCode],DEPTS[AvailableToAllSchools],1,0,)=TRUE,0,IF(ISERROR(FIND(CONT_SUP[[#This Row],[SchoolCode]],_xlfn.TEXTJOIN(",",TRUE,_xlfn.UNIQUE(IF(DEPTS[DepartmentCode]=CONT_SUP[[#This Row],[DepartmentCode]],DEPTS[SchoolCodes],""))))),1,0))</f>
        <v>0</v>
      </c>
      <c r="M310" s="57">
        <f>IFERROR(IF(_xlfn.XLOOKUP(CONT_SUP[[#This Row],[SRG Gross]],FinanceCodesBudget[FinanceCode],FinanceCodesBudget[LedgerCode])=_xlfn.XLOOKUP(CONT_SUP[[#This Row],[DepartmentCode]],DEPTS[DepartmentCode],DEPTS[LedgerCode]),0,1),1)</f>
        <v>0</v>
      </c>
      <c r="N310" s="57" cm="1">
        <f t="array" ref="N310">IF(_xlfn.XLOOKUP(CONT_SUP[[#This Row],[PensionCode]],PENS[PensionCode],PENS[AvailableToAllSchools],1,0,)=TRUE,0,IF(ISERROR(FIND(CONT_SUP[[#This Row],[SchoolCode]],_xlfn.TEXTJOIN(",",TRUE,_xlfn.UNIQUE(IF(PENS[PensionCode]=CONT_SUP[[#This Row],[PensionCode]],PENS[SchoolCodes],""))))),1,0))</f>
        <v>0</v>
      </c>
      <c r="O310" s="57" cm="1">
        <f t="array" ref="O310">IF(_xlfn.XLOOKUP(CONT_SUP[[#This Row],[EquatedWeekPatternCode]],EQW[EquatedWeekPatternCode],EQW[AvailableToAllSchools],1,0,)=TRUE,0,IF(ISERROR(FIND(CONT_SUP[[#This Row],[SchoolCode]],_xlfn.TEXTJOIN(",",TRUE,_xlfn.UNIQUE(IF(EQW[EquatedWeekPatternCode]=CONT_SUP[[#This Row],[EquatedWeekPatternCode]],EQW[SchoolCodes],""))))),1,0))</f>
        <v>0</v>
      </c>
      <c r="P310" s="57">
        <f>1-COUNTIF(ContractTypes[Code],CONT_SUP[[#This Row],[ContractTypeCode]])</f>
        <v>0</v>
      </c>
      <c r="Q310" s="57">
        <f>IF(VLOOKUP(CONT_SUP[[#This Row],[StaffMemberCode]],MEMBERS[[StaffMemberCode]:[ServiceStartDate]],5,0)&gt;CONT_SUP[[#This Row],[DateFrom]],1,0)</f>
        <v>0</v>
      </c>
      <c r="R310" s="57">
        <f>IF(_xlfn.XLOOKUP(CONT_SUP[[#This Row],[StaffMemberCode]],MEMBERS[StaffMemberCode],MEMBERS[ServiceEndDate])="",0,IF(CONT_SUP[[#This Row],[DateTo]]="",1,IF(_xlfn.XLOOKUP(CONT_SUP[[#This Row],[StaffMemberCode]],MEMBERS[StaffMemberCode],MEMBERS[ServiceEndDate])&lt;CONT_SUP[[#This Row],[DateTo]],1,0)))</f>
        <v>0</v>
      </c>
      <c r="S310" s="57">
        <f>IF(ISBLANK(CONT_SUP[[#This Row],[DateTo]]),0,IF(CONT_SUP[[#This Row],[DateFrom]]=CONT_SUP[[#This Row],[DateTo]],0,IF(CONT_SUP[[#This Row],[DateFrom]]&lt;CONT_SUP[[#This Row],[DateTo]],0,1)))</f>
        <v>0</v>
      </c>
      <c r="T310" s="57" cm="1">
        <f t="array" aca="1" ref="T310" ca="1">IF(CELL("format",CONT_SUP[[#This Row],[DateFrom]])="D1",0,1)+IF(CELL("format",CONT_SUP[[#This Row],[DateTo]])="D1",0,1)</f>
        <v>0</v>
      </c>
      <c r="U310" s="57">
        <f>IF(OR(CONT_SUP[[#This Row],[MatEditOnly]]=TRUE,CONT_SUP[[#This Row],[MatEditOnly]]=FALSE),IF(OR(CONT_SUP[[#This Row],[NoIncrement]]=TRUE,CONT_SUP[[#This Row],[NoIncrement]]=FALSE),0,1),1)</f>
        <v>0</v>
      </c>
      <c r="V310" s="57">
        <f>IF(ISBLANK(CONT_SUP[[#This Row],[FundCode]])=TRUE,0,IF(COUNTIF(FUNDS[FundCode],CONT_SUP[[#This Row],[FundCode]])=1,0,1))</f>
        <v>0</v>
      </c>
      <c r="W310" s="57">
        <f>IF(LEN(CONT_SUP[[#This Row],[Notes]])&lt;4000,0,1)</f>
        <v>0</v>
      </c>
      <c r="X310" s="57">
        <f>IF(SUBSTITUTE(TEXT(CONT_SUP[[#This Row],[Reference]],10)," ","")=TEXT(CONT_SUP[[#This Row],[Reference]],10),0,1)</f>
        <v>0</v>
      </c>
      <c r="Y310" s="57">
        <f ca="1">SUM(CONT_SUP[[#This Row],[Duplicate Contract]:[Space in Code]])</f>
        <v>0</v>
      </c>
      <c r="AA310" s="12" t="s">
        <v>2126</v>
      </c>
      <c r="AB310" s="12">
        <v>10013969</v>
      </c>
      <c r="AC310" s="12">
        <v>113672</v>
      </c>
      <c r="AD310" s="57" t="str">
        <f>_xlfn.XLOOKUP(CONT_SUP[[#This Row],[StaffMemberCode]],StaffMembers!O:O,StaffMembers!R:R)</f>
        <v>Julie Thorley</v>
      </c>
      <c r="AE310" s="12" t="s">
        <v>4257</v>
      </c>
      <c r="AF310" s="57">
        <f>_xlfn.XLOOKUP(CONT_SUP[[#This Row],[SRG]],SRG[StaffRoleGroupCode],SRG[GrossSalaryFinanceCode])</f>
        <v>625100</v>
      </c>
      <c r="AG310" s="57" t="str">
        <f>_xlfn.XLOOKUP(CONT_SUP[[#This Row],[StaffRoleCode]],ROLES[StaffRoleCode],ROLES[StaffRoleGroupCode])</f>
        <v>ADM</v>
      </c>
      <c r="AH310" s="57" t="str">
        <f>_xlfn.XLOOKUP(CONT_SUP[[#This Row],[StaffRoleCode]],ROLES[StaffRoleCode],ROLES[PayScaleCode])</f>
        <v>NJC_CHE</v>
      </c>
      <c r="AI310" s="12" t="s">
        <v>3121</v>
      </c>
      <c r="AJ310" s="12">
        <v>4</v>
      </c>
      <c r="AK310" s="12" t="s">
        <v>2483</v>
      </c>
      <c r="AM310" s="68" t="s">
        <v>3132</v>
      </c>
      <c r="AN310" s="12" t="s">
        <v>3134</v>
      </c>
      <c r="AO310" s="21">
        <v>46023</v>
      </c>
      <c r="AQ310" s="12">
        <v>15</v>
      </c>
      <c r="AR310" t="b">
        <v>0</v>
      </c>
      <c r="AS310" t="b">
        <v>0</v>
      </c>
      <c r="AT310" s="12" t="s">
        <v>1574</v>
      </c>
    </row>
    <row r="311" spans="1:46" x14ac:dyDescent="0.3">
      <c r="A311" s="57" t="str">
        <f t="shared" si="10"/>
        <v>MLB10013138113532OFF_ASTSFIN46023</v>
      </c>
      <c r="B311" s="57">
        <f>COUNTIF(CONT_SUP[Unique Contract],CONT_SUP[[#This Row],[Unique Contract]])-1</f>
        <v>0</v>
      </c>
      <c r="C311" s="57">
        <f>IFERROR(IF(FIND(CONT_SUP[[#This Row],[SchoolCode]],_xlfn.XLOOKUP(CONT_SUP[[#This Row],[StaffMemberCode]],MEMBERS[StaffMemberCode],MEMBERS[SchoolCodes]))&gt;0,0,1),1)</f>
        <v>0</v>
      </c>
      <c r="D311" s="57" cm="1">
        <f t="array" ref="D311">IF(_xlfn.XLOOKUP(CONT_SUP[[#This Row],[StaffRoleCode]],ROLES[StaffRoleCode],ROLES[AvailableToAllSchools],1,0,)=TRUE,0,IF(ISERROR(FIND(CONT_SUP[[#This Row],[SchoolCode]],_xlfn.TEXTJOIN(",",TRUE,_xlfn.UNIQUE(IF(ROLES[StaffRoleCode]=CONT_SUP[[#This Row],[StaffRoleCode]],ROLES[SchoolCodes],""))))),1,0))</f>
        <v>0</v>
      </c>
      <c r="E311" s="57" cm="1">
        <f t="array" ref="E31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11" s="57" cm="1">
        <f t="array" ref="F311">IF(_xlfn.XLOOKUP(CONT_SUP[[#This Row],[PayScaleCode]],PAYSCALES[PayScaleCode],PAYSCALES[AvailableToAllSchools],1,0,)=TRUE,0,IF(ISERROR(FIND(CONT_SUP[[#This Row],[SchoolCode]],_xlfn.TEXTJOIN(",",TRUE,_xlfn.UNIQUE(IF(PAYSCALES[PayScaleCode]=CONT_SUP[[#This Row],[PayScaleCode]],PAYSCALES[SchoolCodes],""))))),1,0))</f>
        <v>0</v>
      </c>
      <c r="G311" s="57">
        <f>IF(_xlfn.XLOOKUP(CONT_SUP[[#This Row],[PayScaleGradeCode]],GRADES[PayScaleGradeCode],GRADES[AvailableToAllSchools])=TRUE,0,IFERROR(IF(FIND(CONT_SUP[[#This Row],[SchoolCode]],_xlfn.XLOOKUP(CONT_SUP[[#This Row],[PayScaleGradeCode]],GRADES[PayScaleGradeCode],GRADES[SchoolCodes]))&gt;=1,0,1),1))</f>
        <v>0</v>
      </c>
      <c r="H311" s="57">
        <f>IF(ISERROR(IF((_xlfn.XLOOKUP(CONT_SUP[[#This Row],[PayScaleGradeCode]],GRADES[PayScaleGradeCode],GRADES[PayScaleCode])=CONT_SUP[[#This Row],[PayScaleCode]]),0,1)),1,0)</f>
        <v>0</v>
      </c>
      <c r="I311" s="57" cm="1">
        <f t="array" ref="I311">IF(ISERROR(FIND(CONT_SUP[[#This Row],[PayScalePointCode]],_xlfn.TEXTJOIN(",",TRUE,IF(PSPOINTS[PayScaleCode]=CONT_SUP[[#This Row],[PayScaleCode]],PSPOINTS[PayScalePointCode])))),1,0)</f>
        <v>0</v>
      </c>
      <c r="J311" s="57" cm="1">
        <f t="array" ref="J31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11" s="57">
        <f>IF(_xlfn.XLOOKUP(CONT_SUP[[#This Row],[PayScalePointCode]],PSPOINTS[PayScalePointCode],PSPOINTS[PayScalePointEnabled])=TRUE,0,1)</f>
        <v>0</v>
      </c>
      <c r="L311" s="57" cm="1">
        <f t="array" ref="L311">IF(_xlfn.XLOOKUP(CONT_SUP[[#This Row],[DepartmentCode]],DEPTS[DepartmentCode],DEPTS[AvailableToAllSchools],1,0,)=TRUE,0,IF(ISERROR(FIND(CONT_SUP[[#This Row],[SchoolCode]],_xlfn.TEXTJOIN(",",TRUE,_xlfn.UNIQUE(IF(DEPTS[DepartmentCode]=CONT_SUP[[#This Row],[DepartmentCode]],DEPTS[SchoolCodes],""))))),1,0))</f>
        <v>0</v>
      </c>
      <c r="M311" s="57">
        <f>IFERROR(IF(_xlfn.XLOOKUP(CONT_SUP[[#This Row],[SRG Gross]],FinanceCodesBudget[FinanceCode],FinanceCodesBudget[LedgerCode])=_xlfn.XLOOKUP(CONT_SUP[[#This Row],[DepartmentCode]],DEPTS[DepartmentCode],DEPTS[LedgerCode]),0,1),1)</f>
        <v>0</v>
      </c>
      <c r="N311" s="57" cm="1">
        <f t="array" ref="N311">IF(_xlfn.XLOOKUP(CONT_SUP[[#This Row],[PensionCode]],PENS[PensionCode],PENS[AvailableToAllSchools],1,0,)=TRUE,0,IF(ISERROR(FIND(CONT_SUP[[#This Row],[SchoolCode]],_xlfn.TEXTJOIN(",",TRUE,_xlfn.UNIQUE(IF(PENS[PensionCode]=CONT_SUP[[#This Row],[PensionCode]],PENS[SchoolCodes],""))))),1,0))</f>
        <v>0</v>
      </c>
      <c r="O311" s="57" cm="1">
        <f t="array" ref="O311">IF(_xlfn.XLOOKUP(CONT_SUP[[#This Row],[EquatedWeekPatternCode]],EQW[EquatedWeekPatternCode],EQW[AvailableToAllSchools],1,0,)=TRUE,0,IF(ISERROR(FIND(CONT_SUP[[#This Row],[SchoolCode]],_xlfn.TEXTJOIN(",",TRUE,_xlfn.UNIQUE(IF(EQW[EquatedWeekPatternCode]=CONT_SUP[[#This Row],[EquatedWeekPatternCode]],EQW[SchoolCodes],""))))),1,0))</f>
        <v>0</v>
      </c>
      <c r="P311" s="57">
        <f>1-COUNTIF(ContractTypes[Code],CONT_SUP[[#This Row],[ContractTypeCode]])</f>
        <v>0</v>
      </c>
      <c r="Q311" s="57">
        <f>IF(VLOOKUP(CONT_SUP[[#This Row],[StaffMemberCode]],MEMBERS[[StaffMemberCode]:[ServiceStartDate]],5,0)&gt;CONT_SUP[[#This Row],[DateFrom]],1,0)</f>
        <v>0</v>
      </c>
      <c r="R311" s="57">
        <f>IF(_xlfn.XLOOKUP(CONT_SUP[[#This Row],[StaffMemberCode]],MEMBERS[StaffMemberCode],MEMBERS[ServiceEndDate])="",0,IF(CONT_SUP[[#This Row],[DateTo]]="",1,IF(_xlfn.XLOOKUP(CONT_SUP[[#This Row],[StaffMemberCode]],MEMBERS[StaffMemberCode],MEMBERS[ServiceEndDate])&lt;CONT_SUP[[#This Row],[DateTo]],1,0)))</f>
        <v>0</v>
      </c>
      <c r="S311" s="57">
        <f>IF(ISBLANK(CONT_SUP[[#This Row],[DateTo]]),0,IF(CONT_SUP[[#This Row],[DateFrom]]=CONT_SUP[[#This Row],[DateTo]],0,IF(CONT_SUP[[#This Row],[DateFrom]]&lt;CONT_SUP[[#This Row],[DateTo]],0,1)))</f>
        <v>0</v>
      </c>
      <c r="T311" s="57" cm="1">
        <f t="array" aca="1" ref="T311" ca="1">IF(CELL("format",CONT_SUP[[#This Row],[DateFrom]])="D1",0,1)+IF(CELL("format",CONT_SUP[[#This Row],[DateTo]])="D1",0,1)</f>
        <v>0</v>
      </c>
      <c r="U311" s="57">
        <f>IF(OR(CONT_SUP[[#This Row],[MatEditOnly]]=TRUE,CONT_SUP[[#This Row],[MatEditOnly]]=FALSE),IF(OR(CONT_SUP[[#This Row],[NoIncrement]]=TRUE,CONT_SUP[[#This Row],[NoIncrement]]=FALSE),0,1),1)</f>
        <v>0</v>
      </c>
      <c r="V311" s="57">
        <f>IF(ISBLANK(CONT_SUP[[#This Row],[FundCode]])=TRUE,0,IF(COUNTIF(FUNDS[FundCode],CONT_SUP[[#This Row],[FundCode]])=1,0,1))</f>
        <v>0</v>
      </c>
      <c r="W311" s="57">
        <f>IF(LEN(CONT_SUP[[#This Row],[Notes]])&lt;4000,0,1)</f>
        <v>0</v>
      </c>
      <c r="X311" s="57">
        <f>IF(SUBSTITUTE(TEXT(CONT_SUP[[#This Row],[Reference]],10)," ","")=TEXT(CONT_SUP[[#This Row],[Reference]],10),0,1)</f>
        <v>0</v>
      </c>
      <c r="Y311" s="57">
        <f ca="1">SUM(CONT_SUP[[#This Row],[Duplicate Contract]:[Space in Code]])</f>
        <v>0</v>
      </c>
      <c r="AA311" s="12" t="s">
        <v>2126</v>
      </c>
      <c r="AB311" s="12">
        <v>10013138</v>
      </c>
      <c r="AC311" s="12">
        <v>113532</v>
      </c>
      <c r="AD311" s="57" t="str">
        <f>_xlfn.XLOOKUP(CONT_SUP[[#This Row],[StaffMemberCode]],StaffMembers!O:O,StaffMembers!R:R)</f>
        <v>Sarah Stewart</v>
      </c>
      <c r="AE311" s="12" t="s">
        <v>4257</v>
      </c>
      <c r="AF311" s="57">
        <f>_xlfn.XLOOKUP(CONT_SUP[[#This Row],[SRG]],SRG[StaffRoleGroupCode],SRG[GrossSalaryFinanceCode])</f>
        <v>625100</v>
      </c>
      <c r="AG311" s="57" t="str">
        <f>_xlfn.XLOOKUP(CONT_SUP[[#This Row],[StaffRoleCode]],ROLES[StaffRoleCode],ROLES[StaffRoleGroupCode])</f>
        <v>ADM</v>
      </c>
      <c r="AH311" s="57" t="str">
        <f>_xlfn.XLOOKUP(CONT_SUP[[#This Row],[StaffRoleCode]],ROLES[StaffRoleCode],ROLES[PayScaleCode])</f>
        <v>NJC_CHE</v>
      </c>
      <c r="AI311" s="12" t="s">
        <v>3121</v>
      </c>
      <c r="AJ311" s="12">
        <v>4</v>
      </c>
      <c r="AK311" s="12" t="s">
        <v>2483</v>
      </c>
      <c r="AM311" s="68" t="s">
        <v>3132</v>
      </c>
      <c r="AN311" s="12" t="s">
        <v>3134</v>
      </c>
      <c r="AO311" s="21">
        <v>46023</v>
      </c>
      <c r="AQ311" s="12">
        <v>37</v>
      </c>
      <c r="AR311" t="b">
        <v>0</v>
      </c>
      <c r="AS311" t="b">
        <v>0</v>
      </c>
      <c r="AT311" s="12" t="s">
        <v>1574</v>
      </c>
    </row>
    <row r="312" spans="1:46" x14ac:dyDescent="0.3">
      <c r="A312" s="57" t="str">
        <f t="shared" si="10"/>
        <v>MLB10009982114057OFF_ASTSFIN46023</v>
      </c>
      <c r="B312" s="57">
        <f>COUNTIF(CONT_SUP[Unique Contract],CONT_SUP[[#This Row],[Unique Contract]])-1</f>
        <v>0</v>
      </c>
      <c r="C312" s="57">
        <f>IFERROR(IF(FIND(CONT_SUP[[#This Row],[SchoolCode]],_xlfn.XLOOKUP(CONT_SUP[[#This Row],[StaffMemberCode]],MEMBERS[StaffMemberCode],MEMBERS[SchoolCodes]))&gt;0,0,1),1)</f>
        <v>0</v>
      </c>
      <c r="D312" s="57" cm="1">
        <f t="array" ref="D312">IF(_xlfn.XLOOKUP(CONT_SUP[[#This Row],[StaffRoleCode]],ROLES[StaffRoleCode],ROLES[AvailableToAllSchools],1,0,)=TRUE,0,IF(ISERROR(FIND(CONT_SUP[[#This Row],[SchoolCode]],_xlfn.TEXTJOIN(",",TRUE,_xlfn.UNIQUE(IF(ROLES[StaffRoleCode]=CONT_SUP[[#This Row],[StaffRoleCode]],ROLES[SchoolCodes],""))))),1,0))</f>
        <v>0</v>
      </c>
      <c r="E312" s="57" cm="1">
        <f t="array" ref="E31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12" s="57" cm="1">
        <f t="array" ref="F312">IF(_xlfn.XLOOKUP(CONT_SUP[[#This Row],[PayScaleCode]],PAYSCALES[PayScaleCode],PAYSCALES[AvailableToAllSchools],1,0,)=TRUE,0,IF(ISERROR(FIND(CONT_SUP[[#This Row],[SchoolCode]],_xlfn.TEXTJOIN(",",TRUE,_xlfn.UNIQUE(IF(PAYSCALES[PayScaleCode]=CONT_SUP[[#This Row],[PayScaleCode]],PAYSCALES[SchoolCodes],""))))),1,0))</f>
        <v>0</v>
      </c>
      <c r="G312" s="57">
        <f>IF(_xlfn.XLOOKUP(CONT_SUP[[#This Row],[PayScaleGradeCode]],GRADES[PayScaleGradeCode],GRADES[AvailableToAllSchools])=TRUE,0,IFERROR(IF(FIND(CONT_SUP[[#This Row],[SchoolCode]],_xlfn.XLOOKUP(CONT_SUP[[#This Row],[PayScaleGradeCode]],GRADES[PayScaleGradeCode],GRADES[SchoolCodes]))&gt;=1,0,1),1))</f>
        <v>0</v>
      </c>
      <c r="H312" s="57">
        <f>IF(ISERROR(IF((_xlfn.XLOOKUP(CONT_SUP[[#This Row],[PayScaleGradeCode]],GRADES[PayScaleGradeCode],GRADES[PayScaleCode])=CONT_SUP[[#This Row],[PayScaleCode]]),0,1)),1,0)</f>
        <v>0</v>
      </c>
      <c r="I312" s="57" cm="1">
        <f t="array" ref="I312">IF(ISERROR(FIND(CONT_SUP[[#This Row],[PayScalePointCode]],_xlfn.TEXTJOIN(",",TRUE,IF(PSPOINTS[PayScaleCode]=CONT_SUP[[#This Row],[PayScaleCode]],PSPOINTS[PayScalePointCode])))),1,0)</f>
        <v>0</v>
      </c>
      <c r="J312" s="57" cm="1">
        <f t="array" ref="J31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12" s="57">
        <f>IF(_xlfn.XLOOKUP(CONT_SUP[[#This Row],[PayScalePointCode]],PSPOINTS[PayScalePointCode],PSPOINTS[PayScalePointEnabled])=TRUE,0,1)</f>
        <v>0</v>
      </c>
      <c r="L312" s="57" cm="1">
        <f t="array" ref="L312">IF(_xlfn.XLOOKUP(CONT_SUP[[#This Row],[DepartmentCode]],DEPTS[DepartmentCode],DEPTS[AvailableToAllSchools],1,0,)=TRUE,0,IF(ISERROR(FIND(CONT_SUP[[#This Row],[SchoolCode]],_xlfn.TEXTJOIN(",",TRUE,_xlfn.UNIQUE(IF(DEPTS[DepartmentCode]=CONT_SUP[[#This Row],[DepartmentCode]],DEPTS[SchoolCodes],""))))),1,0))</f>
        <v>0</v>
      </c>
      <c r="M312" s="57">
        <f>IFERROR(IF(_xlfn.XLOOKUP(CONT_SUP[[#This Row],[SRG Gross]],FinanceCodesBudget[FinanceCode],FinanceCodesBudget[LedgerCode])=_xlfn.XLOOKUP(CONT_SUP[[#This Row],[DepartmentCode]],DEPTS[DepartmentCode],DEPTS[LedgerCode]),0,1),1)</f>
        <v>0</v>
      </c>
      <c r="N312" s="57" cm="1">
        <f t="array" ref="N312">IF(_xlfn.XLOOKUP(CONT_SUP[[#This Row],[PensionCode]],PENS[PensionCode],PENS[AvailableToAllSchools],1,0,)=TRUE,0,IF(ISERROR(FIND(CONT_SUP[[#This Row],[SchoolCode]],_xlfn.TEXTJOIN(",",TRUE,_xlfn.UNIQUE(IF(PENS[PensionCode]=CONT_SUP[[#This Row],[PensionCode]],PENS[SchoolCodes],""))))),1,0))</f>
        <v>0</v>
      </c>
      <c r="O312" s="57" cm="1">
        <f t="array" ref="O312">IF(_xlfn.XLOOKUP(CONT_SUP[[#This Row],[EquatedWeekPatternCode]],EQW[EquatedWeekPatternCode],EQW[AvailableToAllSchools],1,0,)=TRUE,0,IF(ISERROR(FIND(CONT_SUP[[#This Row],[SchoolCode]],_xlfn.TEXTJOIN(",",TRUE,_xlfn.UNIQUE(IF(EQW[EquatedWeekPatternCode]=CONT_SUP[[#This Row],[EquatedWeekPatternCode]],EQW[SchoolCodes],""))))),1,0))</f>
        <v>0</v>
      </c>
      <c r="P312" s="57">
        <f>1-COUNTIF(ContractTypes[Code],CONT_SUP[[#This Row],[ContractTypeCode]])</f>
        <v>0</v>
      </c>
      <c r="Q312" s="57">
        <f>IF(VLOOKUP(CONT_SUP[[#This Row],[StaffMemberCode]],MEMBERS[[StaffMemberCode]:[ServiceStartDate]],5,0)&gt;CONT_SUP[[#This Row],[DateFrom]],1,0)</f>
        <v>0</v>
      </c>
      <c r="R312" s="57">
        <f>IF(_xlfn.XLOOKUP(CONT_SUP[[#This Row],[StaffMemberCode]],MEMBERS[StaffMemberCode],MEMBERS[ServiceEndDate])="",0,IF(CONT_SUP[[#This Row],[DateTo]]="",1,IF(_xlfn.XLOOKUP(CONT_SUP[[#This Row],[StaffMemberCode]],MEMBERS[StaffMemberCode],MEMBERS[ServiceEndDate])&lt;CONT_SUP[[#This Row],[DateTo]],1,0)))</f>
        <v>0</v>
      </c>
      <c r="S312" s="57">
        <f>IF(ISBLANK(CONT_SUP[[#This Row],[DateTo]]),0,IF(CONT_SUP[[#This Row],[DateFrom]]=CONT_SUP[[#This Row],[DateTo]],0,IF(CONT_SUP[[#This Row],[DateFrom]]&lt;CONT_SUP[[#This Row],[DateTo]],0,1)))</f>
        <v>0</v>
      </c>
      <c r="T312" s="57" cm="1">
        <f t="array" aca="1" ref="T312" ca="1">IF(CELL("format",CONT_SUP[[#This Row],[DateFrom]])="D1",0,1)+IF(CELL("format",CONT_SUP[[#This Row],[DateTo]])="D1",0,1)</f>
        <v>0</v>
      </c>
      <c r="U312" s="57">
        <f>IF(OR(CONT_SUP[[#This Row],[MatEditOnly]]=TRUE,CONT_SUP[[#This Row],[MatEditOnly]]=FALSE),IF(OR(CONT_SUP[[#This Row],[NoIncrement]]=TRUE,CONT_SUP[[#This Row],[NoIncrement]]=FALSE),0,1),1)</f>
        <v>0</v>
      </c>
      <c r="V312" s="57">
        <f>IF(ISBLANK(CONT_SUP[[#This Row],[FundCode]])=TRUE,0,IF(COUNTIF(FUNDS[FundCode],CONT_SUP[[#This Row],[FundCode]])=1,0,1))</f>
        <v>0</v>
      </c>
      <c r="W312" s="57">
        <f>IF(LEN(CONT_SUP[[#This Row],[Notes]])&lt;4000,0,1)</f>
        <v>0</v>
      </c>
      <c r="X312" s="57">
        <f>IF(SUBSTITUTE(TEXT(CONT_SUP[[#This Row],[Reference]],10)," ","")=TEXT(CONT_SUP[[#This Row],[Reference]],10),0,1)</f>
        <v>0</v>
      </c>
      <c r="Y312" s="57">
        <f ca="1">SUM(CONT_SUP[[#This Row],[Duplicate Contract]:[Space in Code]])</f>
        <v>0</v>
      </c>
      <c r="AA312" s="12" t="s">
        <v>2126</v>
      </c>
      <c r="AB312" s="12">
        <v>10009982</v>
      </c>
      <c r="AC312" s="12">
        <v>114057</v>
      </c>
      <c r="AD312" s="57" t="str">
        <f>_xlfn.XLOOKUP(CONT_SUP[[#This Row],[StaffMemberCode]],StaffMembers!O:O,StaffMembers!R:R)</f>
        <v>Hollie Boatman</v>
      </c>
      <c r="AE312" s="12" t="s">
        <v>4257</v>
      </c>
      <c r="AF312" s="57">
        <f>_xlfn.XLOOKUP(CONT_SUP[[#This Row],[SRG]],SRG[StaffRoleGroupCode],SRG[GrossSalaryFinanceCode])</f>
        <v>625100</v>
      </c>
      <c r="AG312" s="57" t="str">
        <f>_xlfn.XLOOKUP(CONT_SUP[[#This Row],[StaffRoleCode]],ROLES[StaffRoleCode],ROLES[StaffRoleGroupCode])</f>
        <v>ADM</v>
      </c>
      <c r="AH312" s="57" t="str">
        <f>_xlfn.XLOOKUP(CONT_SUP[[#This Row],[StaffRoleCode]],ROLES[StaffRoleCode],ROLES[PayScaleCode])</f>
        <v>NJC_CHE</v>
      </c>
      <c r="AI312" s="12" t="s">
        <v>3121</v>
      </c>
      <c r="AJ312" s="12">
        <v>3</v>
      </c>
      <c r="AK312" s="12" t="s">
        <v>2483</v>
      </c>
      <c r="AM312" s="68" t="s">
        <v>3132</v>
      </c>
      <c r="AN312" s="12" t="s">
        <v>3139</v>
      </c>
      <c r="AO312" s="21">
        <v>46023</v>
      </c>
      <c r="AQ312" s="12">
        <v>30</v>
      </c>
      <c r="AR312" t="b">
        <v>0</v>
      </c>
      <c r="AS312" t="b">
        <v>0</v>
      </c>
      <c r="AT312" s="12" t="s">
        <v>1574</v>
      </c>
    </row>
    <row r="313" spans="1:46" x14ac:dyDescent="0.3">
      <c r="A313" s="57" t="str">
        <f t="shared" si="10"/>
        <v>MLB10005344112339SYS_ENG_SNRSFIN46023</v>
      </c>
      <c r="B313" s="57">
        <f>COUNTIF(CONT_SUP[Unique Contract],CONT_SUP[[#This Row],[Unique Contract]])-1</f>
        <v>0</v>
      </c>
      <c r="C313" s="57">
        <f>IFERROR(IF(FIND(CONT_SUP[[#This Row],[SchoolCode]],_xlfn.XLOOKUP(CONT_SUP[[#This Row],[StaffMemberCode]],MEMBERS[StaffMemberCode],MEMBERS[SchoolCodes]))&gt;0,0,1),1)</f>
        <v>0</v>
      </c>
      <c r="D313" s="57" cm="1">
        <f t="array" ref="D313">IF(_xlfn.XLOOKUP(CONT_SUP[[#This Row],[StaffRoleCode]],ROLES[StaffRoleCode],ROLES[AvailableToAllSchools],1,0,)=TRUE,0,IF(ISERROR(FIND(CONT_SUP[[#This Row],[SchoolCode]],_xlfn.TEXTJOIN(",",TRUE,_xlfn.UNIQUE(IF(ROLES[StaffRoleCode]=CONT_SUP[[#This Row],[StaffRoleCode]],ROLES[SchoolCodes],""))))),1,0))</f>
        <v>0</v>
      </c>
      <c r="E313" s="57" cm="1">
        <f t="array" ref="E31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13" s="57" cm="1">
        <f t="array" ref="F313">IF(_xlfn.XLOOKUP(CONT_SUP[[#This Row],[PayScaleCode]],PAYSCALES[PayScaleCode],PAYSCALES[AvailableToAllSchools],1,0,)=TRUE,0,IF(ISERROR(FIND(CONT_SUP[[#This Row],[SchoolCode]],_xlfn.TEXTJOIN(",",TRUE,_xlfn.UNIQUE(IF(PAYSCALES[PayScaleCode]=CONT_SUP[[#This Row],[PayScaleCode]],PAYSCALES[SchoolCodes],""))))),1,0))</f>
        <v>0</v>
      </c>
      <c r="G313" s="57">
        <f>IF(_xlfn.XLOOKUP(CONT_SUP[[#This Row],[PayScaleGradeCode]],GRADES[PayScaleGradeCode],GRADES[AvailableToAllSchools])=TRUE,0,IFERROR(IF(FIND(CONT_SUP[[#This Row],[SchoolCode]],_xlfn.XLOOKUP(CONT_SUP[[#This Row],[PayScaleGradeCode]],GRADES[PayScaleGradeCode],GRADES[SchoolCodes]))&gt;=1,0,1),1))</f>
        <v>0</v>
      </c>
      <c r="H313" s="57">
        <f>IF(ISERROR(IF((_xlfn.XLOOKUP(CONT_SUP[[#This Row],[PayScaleGradeCode]],GRADES[PayScaleGradeCode],GRADES[PayScaleCode])=CONT_SUP[[#This Row],[PayScaleCode]]),0,1)),1,0)</f>
        <v>0</v>
      </c>
      <c r="I313" s="57" cm="1">
        <f t="array" ref="I313">IF(ISERROR(FIND(CONT_SUP[[#This Row],[PayScalePointCode]],_xlfn.TEXTJOIN(",",TRUE,IF(PSPOINTS[PayScaleCode]=CONT_SUP[[#This Row],[PayScaleCode]],PSPOINTS[PayScalePointCode])))),1,0)</f>
        <v>0</v>
      </c>
      <c r="J313" s="57" cm="1">
        <f t="array" ref="J31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13" s="57">
        <f>IF(_xlfn.XLOOKUP(CONT_SUP[[#This Row],[PayScalePointCode]],PSPOINTS[PayScalePointCode],PSPOINTS[PayScalePointEnabled])=TRUE,0,1)</f>
        <v>0</v>
      </c>
      <c r="L313" s="57" cm="1">
        <f t="array" ref="L313">IF(_xlfn.XLOOKUP(CONT_SUP[[#This Row],[DepartmentCode]],DEPTS[DepartmentCode],DEPTS[AvailableToAllSchools],1,0,)=TRUE,0,IF(ISERROR(FIND(CONT_SUP[[#This Row],[SchoolCode]],_xlfn.TEXTJOIN(",",TRUE,_xlfn.UNIQUE(IF(DEPTS[DepartmentCode]=CONT_SUP[[#This Row],[DepartmentCode]],DEPTS[SchoolCodes],""))))),1,0))</f>
        <v>0</v>
      </c>
      <c r="M313" s="57">
        <f>IFERROR(IF(_xlfn.XLOOKUP(CONT_SUP[[#This Row],[SRG Gross]],FinanceCodesBudget[FinanceCode],FinanceCodesBudget[LedgerCode])=_xlfn.XLOOKUP(CONT_SUP[[#This Row],[DepartmentCode]],DEPTS[DepartmentCode],DEPTS[LedgerCode]),0,1),1)</f>
        <v>0</v>
      </c>
      <c r="N313" s="57" cm="1">
        <f t="array" ref="N313">IF(_xlfn.XLOOKUP(CONT_SUP[[#This Row],[PensionCode]],PENS[PensionCode],PENS[AvailableToAllSchools],1,0,)=TRUE,0,IF(ISERROR(FIND(CONT_SUP[[#This Row],[SchoolCode]],_xlfn.TEXTJOIN(",",TRUE,_xlfn.UNIQUE(IF(PENS[PensionCode]=CONT_SUP[[#This Row],[PensionCode]],PENS[SchoolCodes],""))))),1,0))</f>
        <v>0</v>
      </c>
      <c r="O313" s="57" cm="1">
        <f t="array" ref="O313">IF(_xlfn.XLOOKUP(CONT_SUP[[#This Row],[EquatedWeekPatternCode]],EQW[EquatedWeekPatternCode],EQW[AvailableToAllSchools],1,0,)=TRUE,0,IF(ISERROR(FIND(CONT_SUP[[#This Row],[SchoolCode]],_xlfn.TEXTJOIN(",",TRUE,_xlfn.UNIQUE(IF(EQW[EquatedWeekPatternCode]=CONT_SUP[[#This Row],[EquatedWeekPatternCode]],EQW[SchoolCodes],""))))),1,0))</f>
        <v>0</v>
      </c>
      <c r="P313" s="57">
        <f>1-COUNTIF(ContractTypes[Code],CONT_SUP[[#This Row],[ContractTypeCode]])</f>
        <v>0</v>
      </c>
      <c r="Q313" s="57">
        <f>IF(VLOOKUP(CONT_SUP[[#This Row],[StaffMemberCode]],MEMBERS[[StaffMemberCode]:[ServiceStartDate]],5,0)&gt;CONT_SUP[[#This Row],[DateFrom]],1,0)</f>
        <v>0</v>
      </c>
      <c r="R313" s="57">
        <f>IF(_xlfn.XLOOKUP(CONT_SUP[[#This Row],[StaffMemberCode]],MEMBERS[StaffMemberCode],MEMBERS[ServiceEndDate])="",0,IF(CONT_SUP[[#This Row],[DateTo]]="",1,IF(_xlfn.XLOOKUP(CONT_SUP[[#This Row],[StaffMemberCode]],MEMBERS[StaffMemberCode],MEMBERS[ServiceEndDate])&lt;CONT_SUP[[#This Row],[DateTo]],1,0)))</f>
        <v>0</v>
      </c>
      <c r="S313" s="57">
        <f>IF(ISBLANK(CONT_SUP[[#This Row],[DateTo]]),0,IF(CONT_SUP[[#This Row],[DateFrom]]=CONT_SUP[[#This Row],[DateTo]],0,IF(CONT_SUP[[#This Row],[DateFrom]]&lt;CONT_SUP[[#This Row],[DateTo]],0,1)))</f>
        <v>0</v>
      </c>
      <c r="T313" s="57" cm="1">
        <f t="array" aca="1" ref="T313" ca="1">IF(CELL("format",CONT_SUP[[#This Row],[DateFrom]])="D1",0,1)+IF(CELL("format",CONT_SUP[[#This Row],[DateTo]])="D1",0,1)</f>
        <v>0</v>
      </c>
      <c r="U313" s="57">
        <f>IF(OR(CONT_SUP[[#This Row],[MatEditOnly]]=TRUE,CONT_SUP[[#This Row],[MatEditOnly]]=FALSE),IF(OR(CONT_SUP[[#This Row],[NoIncrement]]=TRUE,CONT_SUP[[#This Row],[NoIncrement]]=FALSE),0,1),1)</f>
        <v>0</v>
      </c>
      <c r="V313" s="57">
        <f>IF(ISBLANK(CONT_SUP[[#This Row],[FundCode]])=TRUE,0,IF(COUNTIF(FUNDS[FundCode],CONT_SUP[[#This Row],[FundCode]])=1,0,1))</f>
        <v>0</v>
      </c>
      <c r="W313" s="57">
        <f>IF(LEN(CONT_SUP[[#This Row],[Notes]])&lt;4000,0,1)</f>
        <v>0</v>
      </c>
      <c r="X313" s="57">
        <f>IF(SUBSTITUTE(TEXT(CONT_SUP[[#This Row],[Reference]],10)," ","")=TEXT(CONT_SUP[[#This Row],[Reference]],10),0,1)</f>
        <v>0</v>
      </c>
      <c r="Y313" s="57">
        <f ca="1">SUM(CONT_SUP[[#This Row],[Duplicate Contract]:[Space in Code]])</f>
        <v>0</v>
      </c>
      <c r="AA313" s="12" t="s">
        <v>2126</v>
      </c>
      <c r="AB313" s="12">
        <v>10005344</v>
      </c>
      <c r="AC313" s="12">
        <v>112339</v>
      </c>
      <c r="AD313" s="57" t="str">
        <f>_xlfn.XLOOKUP(CONT_SUP[[#This Row],[StaffMemberCode]],StaffMembers!O:O,StaffMembers!R:R)</f>
        <v>Benjamin Smith</v>
      </c>
      <c r="AE313" s="12" t="s">
        <v>4271</v>
      </c>
      <c r="AF313" s="57">
        <f>_xlfn.XLOOKUP(CONT_SUP[[#This Row],[SRG]],SRG[StaffRoleGroupCode],SRG[GrossSalaryFinanceCode])</f>
        <v>625100</v>
      </c>
      <c r="AG313" s="57" t="str">
        <f>_xlfn.XLOOKUP(CONT_SUP[[#This Row],[StaffRoleCode]],ROLES[StaffRoleCode],ROLES[StaffRoleGroupCode])</f>
        <v>ADM</v>
      </c>
      <c r="AH313" s="57" t="str">
        <f>_xlfn.XLOOKUP(CONT_SUP[[#This Row],[StaffRoleCode]],ROLES[StaffRoleCode],ROLES[PayScaleCode])</f>
        <v>NJC_CHE</v>
      </c>
      <c r="AI313" s="12" t="s">
        <v>3123</v>
      </c>
      <c r="AJ313" s="12">
        <v>10</v>
      </c>
      <c r="AK313" s="12" t="s">
        <v>2483</v>
      </c>
      <c r="AM313" s="68" t="s">
        <v>3132</v>
      </c>
      <c r="AN313" s="12" t="s">
        <v>1702</v>
      </c>
      <c r="AO313" s="21">
        <v>46023</v>
      </c>
      <c r="AQ313" s="12">
        <v>37</v>
      </c>
      <c r="AR313" t="b">
        <v>0</v>
      </c>
      <c r="AS313" t="b">
        <v>0</v>
      </c>
      <c r="AT313" s="12" t="s">
        <v>1574</v>
      </c>
    </row>
    <row r="314" spans="1:46" x14ac:dyDescent="0.3">
      <c r="A314" s="57" t="str">
        <f t="shared" si="10"/>
        <v>MLB10005370115106FIN_OFFSFIN46023</v>
      </c>
      <c r="B314" s="57">
        <f>COUNTIF(CONT_SUP[Unique Contract],CONT_SUP[[#This Row],[Unique Contract]])-1</f>
        <v>0</v>
      </c>
      <c r="C314" s="57">
        <f>IFERROR(IF(FIND(CONT_SUP[[#This Row],[SchoolCode]],_xlfn.XLOOKUP(CONT_SUP[[#This Row],[StaffMemberCode]],MEMBERS[StaffMemberCode],MEMBERS[SchoolCodes]))&gt;0,0,1),1)</f>
        <v>0</v>
      </c>
      <c r="D314" s="57" cm="1">
        <f t="array" ref="D314">IF(_xlfn.XLOOKUP(CONT_SUP[[#This Row],[StaffRoleCode]],ROLES[StaffRoleCode],ROLES[AvailableToAllSchools],1,0,)=TRUE,0,IF(ISERROR(FIND(CONT_SUP[[#This Row],[SchoolCode]],_xlfn.TEXTJOIN(",",TRUE,_xlfn.UNIQUE(IF(ROLES[StaffRoleCode]=CONT_SUP[[#This Row],[StaffRoleCode]],ROLES[SchoolCodes],""))))),1,0))</f>
        <v>0</v>
      </c>
      <c r="E314" s="57" cm="1">
        <f t="array" ref="E31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14" s="57" cm="1">
        <f t="array" ref="F314">IF(_xlfn.XLOOKUP(CONT_SUP[[#This Row],[PayScaleCode]],PAYSCALES[PayScaleCode],PAYSCALES[AvailableToAllSchools],1,0,)=TRUE,0,IF(ISERROR(FIND(CONT_SUP[[#This Row],[SchoolCode]],_xlfn.TEXTJOIN(",",TRUE,_xlfn.UNIQUE(IF(PAYSCALES[PayScaleCode]=CONT_SUP[[#This Row],[PayScaleCode]],PAYSCALES[SchoolCodes],""))))),1,0))</f>
        <v>0</v>
      </c>
      <c r="G314" s="57">
        <f>IF(_xlfn.XLOOKUP(CONT_SUP[[#This Row],[PayScaleGradeCode]],GRADES[PayScaleGradeCode],GRADES[AvailableToAllSchools])=TRUE,0,IFERROR(IF(FIND(CONT_SUP[[#This Row],[SchoolCode]],_xlfn.XLOOKUP(CONT_SUP[[#This Row],[PayScaleGradeCode]],GRADES[PayScaleGradeCode],GRADES[SchoolCodes]))&gt;=1,0,1),1))</f>
        <v>0</v>
      </c>
      <c r="H314" s="57">
        <f>IF(ISERROR(IF((_xlfn.XLOOKUP(CONT_SUP[[#This Row],[PayScaleGradeCode]],GRADES[PayScaleGradeCode],GRADES[PayScaleCode])=CONT_SUP[[#This Row],[PayScaleCode]]),0,1)),1,0)</f>
        <v>0</v>
      </c>
      <c r="I314" s="57" cm="1">
        <f t="array" ref="I314">IF(ISERROR(FIND(CONT_SUP[[#This Row],[PayScalePointCode]],_xlfn.TEXTJOIN(",",TRUE,IF(PSPOINTS[PayScaleCode]=CONT_SUP[[#This Row],[PayScaleCode]],PSPOINTS[PayScalePointCode])))),1,0)</f>
        <v>0</v>
      </c>
      <c r="J314" s="57" cm="1">
        <f t="array" ref="J31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14" s="57">
        <f>IF(_xlfn.XLOOKUP(CONT_SUP[[#This Row],[PayScalePointCode]],PSPOINTS[PayScalePointCode],PSPOINTS[PayScalePointEnabled])=TRUE,0,1)</f>
        <v>0</v>
      </c>
      <c r="L314" s="57" cm="1">
        <f t="array" ref="L314">IF(_xlfn.XLOOKUP(CONT_SUP[[#This Row],[DepartmentCode]],DEPTS[DepartmentCode],DEPTS[AvailableToAllSchools],1,0,)=TRUE,0,IF(ISERROR(FIND(CONT_SUP[[#This Row],[SchoolCode]],_xlfn.TEXTJOIN(",",TRUE,_xlfn.UNIQUE(IF(DEPTS[DepartmentCode]=CONT_SUP[[#This Row],[DepartmentCode]],DEPTS[SchoolCodes],""))))),1,0))</f>
        <v>0</v>
      </c>
      <c r="M314" s="57">
        <f>IFERROR(IF(_xlfn.XLOOKUP(CONT_SUP[[#This Row],[SRG Gross]],FinanceCodesBudget[FinanceCode],FinanceCodesBudget[LedgerCode])=_xlfn.XLOOKUP(CONT_SUP[[#This Row],[DepartmentCode]],DEPTS[DepartmentCode],DEPTS[LedgerCode]),0,1),1)</f>
        <v>0</v>
      </c>
      <c r="N314" s="57" cm="1">
        <f t="array" ref="N314">IF(_xlfn.XLOOKUP(CONT_SUP[[#This Row],[PensionCode]],PENS[PensionCode],PENS[AvailableToAllSchools],1,0,)=TRUE,0,IF(ISERROR(FIND(CONT_SUP[[#This Row],[SchoolCode]],_xlfn.TEXTJOIN(",",TRUE,_xlfn.UNIQUE(IF(PENS[PensionCode]=CONT_SUP[[#This Row],[PensionCode]],PENS[SchoolCodes],""))))),1,0))</f>
        <v>0</v>
      </c>
      <c r="O314" s="57" cm="1">
        <f t="array" ref="O314">IF(_xlfn.XLOOKUP(CONT_SUP[[#This Row],[EquatedWeekPatternCode]],EQW[EquatedWeekPatternCode],EQW[AvailableToAllSchools],1,0,)=TRUE,0,IF(ISERROR(FIND(CONT_SUP[[#This Row],[SchoolCode]],_xlfn.TEXTJOIN(",",TRUE,_xlfn.UNIQUE(IF(EQW[EquatedWeekPatternCode]=CONT_SUP[[#This Row],[EquatedWeekPatternCode]],EQW[SchoolCodes],""))))),1,0))</f>
        <v>0</v>
      </c>
      <c r="P314" s="57">
        <f>1-COUNTIF(ContractTypes[Code],CONT_SUP[[#This Row],[ContractTypeCode]])</f>
        <v>0</v>
      </c>
      <c r="Q314" s="57">
        <f>IF(VLOOKUP(CONT_SUP[[#This Row],[StaffMemberCode]],MEMBERS[[StaffMemberCode]:[ServiceStartDate]],5,0)&gt;CONT_SUP[[#This Row],[DateFrom]],1,0)</f>
        <v>0</v>
      </c>
      <c r="R314" s="57">
        <f>IF(_xlfn.XLOOKUP(CONT_SUP[[#This Row],[StaffMemberCode]],MEMBERS[StaffMemberCode],MEMBERS[ServiceEndDate])="",0,IF(CONT_SUP[[#This Row],[DateTo]]="",1,IF(_xlfn.XLOOKUP(CONT_SUP[[#This Row],[StaffMemberCode]],MEMBERS[StaffMemberCode],MEMBERS[ServiceEndDate])&lt;CONT_SUP[[#This Row],[DateTo]],1,0)))</f>
        <v>0</v>
      </c>
      <c r="S314" s="57">
        <f>IF(ISBLANK(CONT_SUP[[#This Row],[DateTo]]),0,IF(CONT_SUP[[#This Row],[DateFrom]]=CONT_SUP[[#This Row],[DateTo]],0,IF(CONT_SUP[[#This Row],[DateFrom]]&lt;CONT_SUP[[#This Row],[DateTo]],0,1)))</f>
        <v>0</v>
      </c>
      <c r="T314" s="57" cm="1">
        <f t="array" aca="1" ref="T314" ca="1">IF(CELL("format",CONT_SUP[[#This Row],[DateFrom]])="D1",0,1)+IF(CELL("format",CONT_SUP[[#This Row],[DateTo]])="D1",0,1)</f>
        <v>0</v>
      </c>
      <c r="U314" s="57">
        <f>IF(OR(CONT_SUP[[#This Row],[MatEditOnly]]=TRUE,CONT_SUP[[#This Row],[MatEditOnly]]=FALSE),IF(OR(CONT_SUP[[#This Row],[NoIncrement]]=TRUE,CONT_SUP[[#This Row],[NoIncrement]]=FALSE),0,1),1)</f>
        <v>0</v>
      </c>
      <c r="V314" s="57">
        <f>IF(ISBLANK(CONT_SUP[[#This Row],[FundCode]])=TRUE,0,IF(COUNTIF(FUNDS[FundCode],CONT_SUP[[#This Row],[FundCode]])=1,0,1))</f>
        <v>0</v>
      </c>
      <c r="W314" s="57">
        <f>IF(LEN(CONT_SUP[[#This Row],[Notes]])&lt;4000,0,1)</f>
        <v>0</v>
      </c>
      <c r="X314" s="57">
        <f>IF(SUBSTITUTE(TEXT(CONT_SUP[[#This Row],[Reference]],10)," ","")=TEXT(CONT_SUP[[#This Row],[Reference]],10),0,1)</f>
        <v>0</v>
      </c>
      <c r="Y314" s="57">
        <f ca="1">SUM(CONT_SUP[[#This Row],[Duplicate Contract]:[Space in Code]])</f>
        <v>0</v>
      </c>
      <c r="AA314" s="12" t="s">
        <v>2126</v>
      </c>
      <c r="AB314" s="12">
        <v>10005370</v>
      </c>
      <c r="AC314" s="12">
        <v>115106</v>
      </c>
      <c r="AD314" s="57" t="str">
        <f>_xlfn.XLOOKUP(CONT_SUP[[#This Row],[StaffMemberCode]],StaffMembers!O:O,StaffMembers!R:R)</f>
        <v>Sharon Capewell</v>
      </c>
      <c r="AE314" s="12" t="s">
        <v>4245</v>
      </c>
      <c r="AF314" s="57">
        <f>_xlfn.XLOOKUP(CONT_SUP[[#This Row],[SRG]],SRG[StaffRoleGroupCode],SRG[GrossSalaryFinanceCode])</f>
        <v>625100</v>
      </c>
      <c r="AG314" s="57" t="str">
        <f>_xlfn.XLOOKUP(CONT_SUP[[#This Row],[StaffRoleCode]],ROLES[StaffRoleCode],ROLES[StaffRoleGroupCode])</f>
        <v>ADM</v>
      </c>
      <c r="AH314" s="57" t="str">
        <f>_xlfn.XLOOKUP(CONT_SUP[[#This Row],[StaffRoleCode]],ROLES[StaffRoleCode],ROLES[PayScaleCode])</f>
        <v>NJC_CHE</v>
      </c>
      <c r="AI314" s="12" t="s">
        <v>3123</v>
      </c>
      <c r="AJ314" s="12">
        <v>7</v>
      </c>
      <c r="AK314" s="12" t="s">
        <v>2483</v>
      </c>
      <c r="AM314" s="68" t="s">
        <v>1149</v>
      </c>
      <c r="AN314" s="12" t="s">
        <v>3141</v>
      </c>
      <c r="AO314" s="21">
        <v>46023</v>
      </c>
      <c r="AQ314" s="12">
        <v>15</v>
      </c>
      <c r="AR314" t="b">
        <v>0</v>
      </c>
      <c r="AS314" t="b">
        <v>0</v>
      </c>
      <c r="AT314" s="12" t="s">
        <v>1574</v>
      </c>
    </row>
    <row r="315" spans="1:46" x14ac:dyDescent="0.3">
      <c r="A315" s="57" t="str">
        <f t="shared" si="10"/>
        <v>MLB10007477111065CLESPREM46023</v>
      </c>
      <c r="B315" s="57">
        <f>COUNTIF(CONT_SUP[Unique Contract],CONT_SUP[[#This Row],[Unique Contract]])-1</f>
        <v>0</v>
      </c>
      <c r="C315" s="57">
        <f>IFERROR(IF(FIND(CONT_SUP[[#This Row],[SchoolCode]],_xlfn.XLOOKUP(CONT_SUP[[#This Row],[StaffMemberCode]],MEMBERS[StaffMemberCode],MEMBERS[SchoolCodes]))&gt;0,0,1),1)</f>
        <v>0</v>
      </c>
      <c r="D315" s="57" cm="1">
        <f t="array" ref="D315">IF(_xlfn.XLOOKUP(CONT_SUP[[#This Row],[StaffRoleCode]],ROLES[StaffRoleCode],ROLES[AvailableToAllSchools],1,0,)=TRUE,0,IF(ISERROR(FIND(CONT_SUP[[#This Row],[SchoolCode]],_xlfn.TEXTJOIN(",",TRUE,_xlfn.UNIQUE(IF(ROLES[StaffRoleCode]=CONT_SUP[[#This Row],[StaffRoleCode]],ROLES[SchoolCodes],""))))),1,0))</f>
        <v>0</v>
      </c>
      <c r="E315" s="57" cm="1">
        <f t="array" ref="E31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15" s="57" cm="1">
        <f t="array" ref="F315">IF(_xlfn.XLOOKUP(CONT_SUP[[#This Row],[PayScaleCode]],PAYSCALES[PayScaleCode],PAYSCALES[AvailableToAllSchools],1,0,)=TRUE,0,IF(ISERROR(FIND(CONT_SUP[[#This Row],[SchoolCode]],_xlfn.TEXTJOIN(",",TRUE,_xlfn.UNIQUE(IF(PAYSCALES[PayScaleCode]=CONT_SUP[[#This Row],[PayScaleCode]],PAYSCALES[SchoolCodes],""))))),1,0))</f>
        <v>0</v>
      </c>
      <c r="G315" s="57">
        <f>IF(_xlfn.XLOOKUP(CONT_SUP[[#This Row],[PayScaleGradeCode]],GRADES[PayScaleGradeCode],GRADES[AvailableToAllSchools])=TRUE,0,IFERROR(IF(FIND(CONT_SUP[[#This Row],[SchoolCode]],_xlfn.XLOOKUP(CONT_SUP[[#This Row],[PayScaleGradeCode]],GRADES[PayScaleGradeCode],GRADES[SchoolCodes]))&gt;=1,0,1),1))</f>
        <v>0</v>
      </c>
      <c r="H315" s="57">
        <f>IF(ISERROR(IF((_xlfn.XLOOKUP(CONT_SUP[[#This Row],[PayScaleGradeCode]],GRADES[PayScaleGradeCode],GRADES[PayScaleCode])=CONT_SUP[[#This Row],[PayScaleCode]]),0,1)),1,0)</f>
        <v>0</v>
      </c>
      <c r="I315" s="57" cm="1">
        <f t="array" ref="I315">IF(ISERROR(FIND(CONT_SUP[[#This Row],[PayScalePointCode]],_xlfn.TEXTJOIN(",",TRUE,IF(PSPOINTS[PayScaleCode]=CONT_SUP[[#This Row],[PayScaleCode]],PSPOINTS[PayScalePointCode])))),1,0)</f>
        <v>0</v>
      </c>
      <c r="J315" s="57" cm="1">
        <f t="array" ref="J31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15" s="57">
        <f>IF(_xlfn.XLOOKUP(CONT_SUP[[#This Row],[PayScalePointCode]],PSPOINTS[PayScalePointCode],PSPOINTS[PayScalePointEnabled])=TRUE,0,1)</f>
        <v>0</v>
      </c>
      <c r="L315" s="57" cm="1">
        <f t="array" ref="L315">IF(_xlfn.XLOOKUP(CONT_SUP[[#This Row],[DepartmentCode]],DEPTS[DepartmentCode],DEPTS[AvailableToAllSchools],1,0,)=TRUE,0,IF(ISERROR(FIND(CONT_SUP[[#This Row],[SchoolCode]],_xlfn.TEXTJOIN(",",TRUE,_xlfn.UNIQUE(IF(DEPTS[DepartmentCode]=CONT_SUP[[#This Row],[DepartmentCode]],DEPTS[SchoolCodes],""))))),1,0))</f>
        <v>0</v>
      </c>
      <c r="M315" s="57">
        <f>IFERROR(IF(_xlfn.XLOOKUP(CONT_SUP[[#This Row],[SRG Gross]],FinanceCodesBudget[FinanceCode],FinanceCodesBudget[LedgerCode])=_xlfn.XLOOKUP(CONT_SUP[[#This Row],[DepartmentCode]],DEPTS[DepartmentCode],DEPTS[LedgerCode]),0,1),1)</f>
        <v>0</v>
      </c>
      <c r="N315" s="57" cm="1">
        <f t="array" ref="N315">IF(_xlfn.XLOOKUP(CONT_SUP[[#This Row],[PensionCode]],PENS[PensionCode],PENS[AvailableToAllSchools],1,0,)=TRUE,0,IF(ISERROR(FIND(CONT_SUP[[#This Row],[SchoolCode]],_xlfn.TEXTJOIN(",",TRUE,_xlfn.UNIQUE(IF(PENS[PensionCode]=CONT_SUP[[#This Row],[PensionCode]],PENS[SchoolCodes],""))))),1,0))</f>
        <v>0</v>
      </c>
      <c r="O315" s="57" cm="1">
        <f t="array" ref="O315">IF(_xlfn.XLOOKUP(CONT_SUP[[#This Row],[EquatedWeekPatternCode]],EQW[EquatedWeekPatternCode],EQW[AvailableToAllSchools],1,0,)=TRUE,0,IF(ISERROR(FIND(CONT_SUP[[#This Row],[SchoolCode]],_xlfn.TEXTJOIN(",",TRUE,_xlfn.UNIQUE(IF(EQW[EquatedWeekPatternCode]=CONT_SUP[[#This Row],[EquatedWeekPatternCode]],EQW[SchoolCodes],""))))),1,0))</f>
        <v>0</v>
      </c>
      <c r="P315" s="57">
        <f>1-COUNTIF(ContractTypes[Code],CONT_SUP[[#This Row],[ContractTypeCode]])</f>
        <v>0</v>
      </c>
      <c r="Q315" s="57">
        <f>IF(VLOOKUP(CONT_SUP[[#This Row],[StaffMemberCode]],MEMBERS[[StaffMemberCode]:[ServiceStartDate]],5,0)&gt;CONT_SUP[[#This Row],[DateFrom]],1,0)</f>
        <v>0</v>
      </c>
      <c r="R315" s="57">
        <f>IF(_xlfn.XLOOKUP(CONT_SUP[[#This Row],[StaffMemberCode]],MEMBERS[StaffMemberCode],MEMBERS[ServiceEndDate])="",0,IF(CONT_SUP[[#This Row],[DateTo]]="",1,IF(_xlfn.XLOOKUP(CONT_SUP[[#This Row],[StaffMemberCode]],MEMBERS[StaffMemberCode],MEMBERS[ServiceEndDate])&lt;CONT_SUP[[#This Row],[DateTo]],1,0)))</f>
        <v>0</v>
      </c>
      <c r="S315" s="57">
        <f>IF(ISBLANK(CONT_SUP[[#This Row],[DateTo]]),0,IF(CONT_SUP[[#This Row],[DateFrom]]=CONT_SUP[[#This Row],[DateTo]],0,IF(CONT_SUP[[#This Row],[DateFrom]]&lt;CONT_SUP[[#This Row],[DateTo]],0,1)))</f>
        <v>0</v>
      </c>
      <c r="T315" s="57" cm="1">
        <f t="array" aca="1" ref="T315" ca="1">IF(CELL("format",CONT_SUP[[#This Row],[DateFrom]])="D1",0,1)+IF(CELL("format",CONT_SUP[[#This Row],[DateTo]])="D1",0,1)</f>
        <v>0</v>
      </c>
      <c r="U315" s="57">
        <f>IF(OR(CONT_SUP[[#This Row],[MatEditOnly]]=TRUE,CONT_SUP[[#This Row],[MatEditOnly]]=FALSE),IF(OR(CONT_SUP[[#This Row],[NoIncrement]]=TRUE,CONT_SUP[[#This Row],[NoIncrement]]=FALSE),0,1),1)</f>
        <v>0</v>
      </c>
      <c r="V315" s="57">
        <f>IF(ISBLANK(CONT_SUP[[#This Row],[FundCode]])=TRUE,0,IF(COUNTIF(FUNDS[FundCode],CONT_SUP[[#This Row],[FundCode]])=1,0,1))</f>
        <v>0</v>
      </c>
      <c r="W315" s="57">
        <f>IF(LEN(CONT_SUP[[#This Row],[Notes]])&lt;4000,0,1)</f>
        <v>0</v>
      </c>
      <c r="X315" s="57">
        <f>IF(SUBSTITUTE(TEXT(CONT_SUP[[#This Row],[Reference]],10)," ","")=TEXT(CONT_SUP[[#This Row],[Reference]],10),0,1)</f>
        <v>0</v>
      </c>
      <c r="Y315" s="57">
        <f ca="1">SUM(CONT_SUP[[#This Row],[Duplicate Contract]:[Space in Code]])</f>
        <v>0</v>
      </c>
      <c r="AA315" s="12" t="s">
        <v>2126</v>
      </c>
      <c r="AB315" s="12">
        <v>10007477</v>
      </c>
      <c r="AC315" s="12">
        <v>111065</v>
      </c>
      <c r="AD315" s="57" t="str">
        <f>_xlfn.XLOOKUP(CONT_SUP[[#This Row],[StaffMemberCode]],StaffMembers!O:O,StaffMembers!R:R)</f>
        <v>Mariana Ambrus</v>
      </c>
      <c r="AE315" s="12" t="s">
        <v>1190</v>
      </c>
      <c r="AF315" s="57">
        <f>_xlfn.XLOOKUP(CONT_SUP[[#This Row],[SRG]],SRG[StaffRoleGroupCode],SRG[GrossSalaryFinanceCode])</f>
        <v>630100</v>
      </c>
      <c r="AG315" s="57" t="str">
        <f>_xlfn.XLOOKUP(CONT_SUP[[#This Row],[StaffRoleCode]],ROLES[StaffRoleCode],ROLES[StaffRoleGroupCode])</f>
        <v>CLE</v>
      </c>
      <c r="AH315" s="57" t="str">
        <f>_xlfn.XLOOKUP(CONT_SUP[[#This Row],[StaffRoleCode]],ROLES[StaffRoleCode],ROLES[PayScaleCode])</f>
        <v>NJC_CHE</v>
      </c>
      <c r="AI315" s="12" t="s">
        <v>3120</v>
      </c>
      <c r="AJ315" s="12">
        <v>2</v>
      </c>
      <c r="AK315" s="12" t="s">
        <v>2495</v>
      </c>
      <c r="AM315" s="68" t="s">
        <v>3132</v>
      </c>
      <c r="AN315" s="12" t="s">
        <v>3145</v>
      </c>
      <c r="AO315" s="21">
        <v>46023</v>
      </c>
      <c r="AQ315" s="12">
        <v>20</v>
      </c>
      <c r="AR315" t="b">
        <v>0</v>
      </c>
      <c r="AS315" t="b">
        <v>0</v>
      </c>
      <c r="AT315" s="12" t="s">
        <v>1574</v>
      </c>
    </row>
    <row r="316" spans="1:46" x14ac:dyDescent="0.3">
      <c r="A316" s="57" t="str">
        <f t="shared" si="10"/>
        <v>MLB10006257106116CLESPREM46023</v>
      </c>
      <c r="B316" s="57">
        <f>COUNTIF(CONT_SUP[Unique Contract],CONT_SUP[[#This Row],[Unique Contract]])-1</f>
        <v>0</v>
      </c>
      <c r="C316" s="57">
        <f>IFERROR(IF(FIND(CONT_SUP[[#This Row],[SchoolCode]],_xlfn.XLOOKUP(CONT_SUP[[#This Row],[StaffMemberCode]],MEMBERS[StaffMemberCode],MEMBERS[SchoolCodes]))&gt;0,0,1),1)</f>
        <v>0</v>
      </c>
      <c r="D316" s="57" cm="1">
        <f t="array" ref="D316">IF(_xlfn.XLOOKUP(CONT_SUP[[#This Row],[StaffRoleCode]],ROLES[StaffRoleCode],ROLES[AvailableToAllSchools],1,0,)=TRUE,0,IF(ISERROR(FIND(CONT_SUP[[#This Row],[SchoolCode]],_xlfn.TEXTJOIN(",",TRUE,_xlfn.UNIQUE(IF(ROLES[StaffRoleCode]=CONT_SUP[[#This Row],[StaffRoleCode]],ROLES[SchoolCodes],""))))),1,0))</f>
        <v>0</v>
      </c>
      <c r="E316" s="57" cm="1">
        <f t="array" ref="E31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16" s="57" cm="1">
        <f t="array" ref="F316">IF(_xlfn.XLOOKUP(CONT_SUP[[#This Row],[PayScaleCode]],PAYSCALES[PayScaleCode],PAYSCALES[AvailableToAllSchools],1,0,)=TRUE,0,IF(ISERROR(FIND(CONT_SUP[[#This Row],[SchoolCode]],_xlfn.TEXTJOIN(",",TRUE,_xlfn.UNIQUE(IF(PAYSCALES[PayScaleCode]=CONT_SUP[[#This Row],[PayScaleCode]],PAYSCALES[SchoolCodes],""))))),1,0))</f>
        <v>0</v>
      </c>
      <c r="G316" s="57">
        <f>IF(_xlfn.XLOOKUP(CONT_SUP[[#This Row],[PayScaleGradeCode]],GRADES[PayScaleGradeCode],GRADES[AvailableToAllSchools])=TRUE,0,IFERROR(IF(FIND(CONT_SUP[[#This Row],[SchoolCode]],_xlfn.XLOOKUP(CONT_SUP[[#This Row],[PayScaleGradeCode]],GRADES[PayScaleGradeCode],GRADES[SchoolCodes]))&gt;=1,0,1),1))</f>
        <v>0</v>
      </c>
      <c r="H316" s="57">
        <f>IF(ISERROR(IF((_xlfn.XLOOKUP(CONT_SUP[[#This Row],[PayScaleGradeCode]],GRADES[PayScaleGradeCode],GRADES[PayScaleCode])=CONT_SUP[[#This Row],[PayScaleCode]]),0,1)),1,0)</f>
        <v>0</v>
      </c>
      <c r="I316" s="57" cm="1">
        <f t="array" ref="I316">IF(ISERROR(FIND(CONT_SUP[[#This Row],[PayScalePointCode]],_xlfn.TEXTJOIN(",",TRUE,IF(PSPOINTS[PayScaleCode]=CONT_SUP[[#This Row],[PayScaleCode]],PSPOINTS[PayScalePointCode])))),1,0)</f>
        <v>0</v>
      </c>
      <c r="J316" s="57" cm="1">
        <f t="array" ref="J31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16" s="57">
        <f>IF(_xlfn.XLOOKUP(CONT_SUP[[#This Row],[PayScalePointCode]],PSPOINTS[PayScalePointCode],PSPOINTS[PayScalePointEnabled])=TRUE,0,1)</f>
        <v>0</v>
      </c>
      <c r="L316" s="57" cm="1">
        <f t="array" ref="L316">IF(_xlfn.XLOOKUP(CONT_SUP[[#This Row],[DepartmentCode]],DEPTS[DepartmentCode],DEPTS[AvailableToAllSchools],1,0,)=TRUE,0,IF(ISERROR(FIND(CONT_SUP[[#This Row],[SchoolCode]],_xlfn.TEXTJOIN(",",TRUE,_xlfn.UNIQUE(IF(DEPTS[DepartmentCode]=CONT_SUP[[#This Row],[DepartmentCode]],DEPTS[SchoolCodes],""))))),1,0))</f>
        <v>0</v>
      </c>
      <c r="M316" s="57">
        <f>IFERROR(IF(_xlfn.XLOOKUP(CONT_SUP[[#This Row],[SRG Gross]],FinanceCodesBudget[FinanceCode],FinanceCodesBudget[LedgerCode])=_xlfn.XLOOKUP(CONT_SUP[[#This Row],[DepartmentCode]],DEPTS[DepartmentCode],DEPTS[LedgerCode]),0,1),1)</f>
        <v>0</v>
      </c>
      <c r="N316" s="57" cm="1">
        <f t="array" ref="N316">IF(_xlfn.XLOOKUP(CONT_SUP[[#This Row],[PensionCode]],PENS[PensionCode],PENS[AvailableToAllSchools],1,0,)=TRUE,0,IF(ISERROR(FIND(CONT_SUP[[#This Row],[SchoolCode]],_xlfn.TEXTJOIN(",",TRUE,_xlfn.UNIQUE(IF(PENS[PensionCode]=CONT_SUP[[#This Row],[PensionCode]],PENS[SchoolCodes],""))))),1,0))</f>
        <v>0</v>
      </c>
      <c r="O316" s="57" cm="1">
        <f t="array" ref="O316">IF(_xlfn.XLOOKUP(CONT_SUP[[#This Row],[EquatedWeekPatternCode]],EQW[EquatedWeekPatternCode],EQW[AvailableToAllSchools],1,0,)=TRUE,0,IF(ISERROR(FIND(CONT_SUP[[#This Row],[SchoolCode]],_xlfn.TEXTJOIN(",",TRUE,_xlfn.UNIQUE(IF(EQW[EquatedWeekPatternCode]=CONT_SUP[[#This Row],[EquatedWeekPatternCode]],EQW[SchoolCodes],""))))),1,0))</f>
        <v>0</v>
      </c>
      <c r="P316" s="57">
        <f>1-COUNTIF(ContractTypes[Code],CONT_SUP[[#This Row],[ContractTypeCode]])</f>
        <v>0</v>
      </c>
      <c r="Q316" s="57">
        <f>IF(VLOOKUP(CONT_SUP[[#This Row],[StaffMemberCode]],MEMBERS[[StaffMemberCode]:[ServiceStartDate]],5,0)&gt;CONT_SUP[[#This Row],[DateFrom]],1,0)</f>
        <v>0</v>
      </c>
      <c r="R316" s="57">
        <f>IF(_xlfn.XLOOKUP(CONT_SUP[[#This Row],[StaffMemberCode]],MEMBERS[StaffMemberCode],MEMBERS[ServiceEndDate])="",0,IF(CONT_SUP[[#This Row],[DateTo]]="",1,IF(_xlfn.XLOOKUP(CONT_SUP[[#This Row],[StaffMemberCode]],MEMBERS[StaffMemberCode],MEMBERS[ServiceEndDate])&lt;CONT_SUP[[#This Row],[DateTo]],1,0)))</f>
        <v>0</v>
      </c>
      <c r="S316" s="57">
        <f>IF(ISBLANK(CONT_SUP[[#This Row],[DateTo]]),0,IF(CONT_SUP[[#This Row],[DateFrom]]=CONT_SUP[[#This Row],[DateTo]],0,IF(CONT_SUP[[#This Row],[DateFrom]]&lt;CONT_SUP[[#This Row],[DateTo]],0,1)))</f>
        <v>0</v>
      </c>
      <c r="T316" s="57" cm="1">
        <f t="array" aca="1" ref="T316" ca="1">IF(CELL("format",CONT_SUP[[#This Row],[DateFrom]])="D1",0,1)+IF(CELL("format",CONT_SUP[[#This Row],[DateTo]])="D1",0,1)</f>
        <v>0</v>
      </c>
      <c r="U316" s="57">
        <f>IF(OR(CONT_SUP[[#This Row],[MatEditOnly]]=TRUE,CONT_SUP[[#This Row],[MatEditOnly]]=FALSE),IF(OR(CONT_SUP[[#This Row],[NoIncrement]]=TRUE,CONT_SUP[[#This Row],[NoIncrement]]=FALSE),0,1),1)</f>
        <v>0</v>
      </c>
      <c r="V316" s="57">
        <f>IF(ISBLANK(CONT_SUP[[#This Row],[FundCode]])=TRUE,0,IF(COUNTIF(FUNDS[FundCode],CONT_SUP[[#This Row],[FundCode]])=1,0,1))</f>
        <v>0</v>
      </c>
      <c r="W316" s="57">
        <f>IF(LEN(CONT_SUP[[#This Row],[Notes]])&lt;4000,0,1)</f>
        <v>0</v>
      </c>
      <c r="X316" s="57">
        <f>IF(SUBSTITUTE(TEXT(CONT_SUP[[#This Row],[Reference]],10)," ","")=TEXT(CONT_SUP[[#This Row],[Reference]],10),0,1)</f>
        <v>0</v>
      </c>
      <c r="Y316" s="57">
        <f ca="1">SUM(CONT_SUP[[#This Row],[Duplicate Contract]:[Space in Code]])</f>
        <v>0</v>
      </c>
      <c r="AA316" s="12" t="s">
        <v>2126</v>
      </c>
      <c r="AB316" s="12">
        <v>10006257</v>
      </c>
      <c r="AC316" s="12">
        <v>106116</v>
      </c>
      <c r="AD316" s="57" t="str">
        <f>_xlfn.XLOOKUP(CONT_SUP[[#This Row],[StaffMemberCode]],StaffMembers!O:O,StaffMembers!R:R)</f>
        <v>Joanne Heath</v>
      </c>
      <c r="AE316" s="12" t="s">
        <v>1190</v>
      </c>
      <c r="AF316" s="57">
        <f>_xlfn.XLOOKUP(CONT_SUP[[#This Row],[SRG]],SRG[StaffRoleGroupCode],SRG[GrossSalaryFinanceCode])</f>
        <v>630100</v>
      </c>
      <c r="AG316" s="57" t="str">
        <f>_xlfn.XLOOKUP(CONT_SUP[[#This Row],[StaffRoleCode]],ROLES[StaffRoleCode],ROLES[StaffRoleGroupCode])</f>
        <v>CLE</v>
      </c>
      <c r="AH316" s="57" t="str">
        <f>_xlfn.XLOOKUP(CONT_SUP[[#This Row],[StaffRoleCode]],ROLES[StaffRoleCode],ROLES[PayScaleCode])</f>
        <v>NJC_CHE</v>
      </c>
      <c r="AI316" s="12" t="s">
        <v>3120</v>
      </c>
      <c r="AJ316" s="12">
        <v>2</v>
      </c>
      <c r="AK316" s="12" t="s">
        <v>2495</v>
      </c>
      <c r="AM316" s="68" t="s">
        <v>3132</v>
      </c>
      <c r="AN316" s="12" t="s">
        <v>3145</v>
      </c>
      <c r="AO316" s="21">
        <v>46023</v>
      </c>
      <c r="AQ316" s="12">
        <v>20</v>
      </c>
      <c r="AR316" t="b">
        <v>0</v>
      </c>
      <c r="AS316" t="b">
        <v>0</v>
      </c>
      <c r="AT316" s="12" t="s">
        <v>1574</v>
      </c>
    </row>
    <row r="317" spans="1:46" x14ac:dyDescent="0.3">
      <c r="A317" s="57" t="str">
        <f t="shared" si="10"/>
        <v>MLB10007788106113CLE_SUPSPREM46023</v>
      </c>
      <c r="B317" s="57">
        <f>COUNTIF(CONT_SUP[Unique Contract],CONT_SUP[[#This Row],[Unique Contract]])-1</f>
        <v>0</v>
      </c>
      <c r="C317" s="57">
        <f>IFERROR(IF(FIND(CONT_SUP[[#This Row],[SchoolCode]],_xlfn.XLOOKUP(CONT_SUP[[#This Row],[StaffMemberCode]],MEMBERS[StaffMemberCode],MEMBERS[SchoolCodes]))&gt;0,0,1),1)</f>
        <v>0</v>
      </c>
      <c r="D317" s="57" cm="1">
        <f t="array" ref="D317">IF(_xlfn.XLOOKUP(CONT_SUP[[#This Row],[StaffRoleCode]],ROLES[StaffRoleCode],ROLES[AvailableToAllSchools],1,0,)=TRUE,0,IF(ISERROR(FIND(CONT_SUP[[#This Row],[SchoolCode]],_xlfn.TEXTJOIN(",",TRUE,_xlfn.UNIQUE(IF(ROLES[StaffRoleCode]=CONT_SUP[[#This Row],[StaffRoleCode]],ROLES[SchoolCodes],""))))),1,0))</f>
        <v>0</v>
      </c>
      <c r="E317" s="57" cm="1">
        <f t="array" ref="E31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17" s="57" cm="1">
        <f t="array" ref="F317">IF(_xlfn.XLOOKUP(CONT_SUP[[#This Row],[PayScaleCode]],PAYSCALES[PayScaleCode],PAYSCALES[AvailableToAllSchools],1,0,)=TRUE,0,IF(ISERROR(FIND(CONT_SUP[[#This Row],[SchoolCode]],_xlfn.TEXTJOIN(",",TRUE,_xlfn.UNIQUE(IF(PAYSCALES[PayScaleCode]=CONT_SUP[[#This Row],[PayScaleCode]],PAYSCALES[SchoolCodes],""))))),1,0))</f>
        <v>0</v>
      </c>
      <c r="G317" s="57">
        <f>IF(_xlfn.XLOOKUP(CONT_SUP[[#This Row],[PayScaleGradeCode]],GRADES[PayScaleGradeCode],GRADES[AvailableToAllSchools])=TRUE,0,IFERROR(IF(FIND(CONT_SUP[[#This Row],[SchoolCode]],_xlfn.XLOOKUP(CONT_SUP[[#This Row],[PayScaleGradeCode]],GRADES[PayScaleGradeCode],GRADES[SchoolCodes]))&gt;=1,0,1),1))</f>
        <v>0</v>
      </c>
      <c r="H317" s="57">
        <f>IF(ISERROR(IF((_xlfn.XLOOKUP(CONT_SUP[[#This Row],[PayScaleGradeCode]],GRADES[PayScaleGradeCode],GRADES[PayScaleCode])=CONT_SUP[[#This Row],[PayScaleCode]]),0,1)),1,0)</f>
        <v>0</v>
      </c>
      <c r="I317" s="57" cm="1">
        <f t="array" ref="I317">IF(ISERROR(FIND(CONT_SUP[[#This Row],[PayScalePointCode]],_xlfn.TEXTJOIN(",",TRUE,IF(PSPOINTS[PayScaleCode]=CONT_SUP[[#This Row],[PayScaleCode]],PSPOINTS[PayScalePointCode])))),1,0)</f>
        <v>0</v>
      </c>
      <c r="J317" s="57" cm="1">
        <f t="array" ref="J31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17" s="57">
        <f>IF(_xlfn.XLOOKUP(CONT_SUP[[#This Row],[PayScalePointCode]],PSPOINTS[PayScalePointCode],PSPOINTS[PayScalePointEnabled])=TRUE,0,1)</f>
        <v>0</v>
      </c>
      <c r="L317" s="57" cm="1">
        <f t="array" ref="L317">IF(_xlfn.XLOOKUP(CONT_SUP[[#This Row],[DepartmentCode]],DEPTS[DepartmentCode],DEPTS[AvailableToAllSchools],1,0,)=TRUE,0,IF(ISERROR(FIND(CONT_SUP[[#This Row],[SchoolCode]],_xlfn.TEXTJOIN(",",TRUE,_xlfn.UNIQUE(IF(DEPTS[DepartmentCode]=CONT_SUP[[#This Row],[DepartmentCode]],DEPTS[SchoolCodes],""))))),1,0))</f>
        <v>0</v>
      </c>
      <c r="M317" s="57">
        <f>IFERROR(IF(_xlfn.XLOOKUP(CONT_SUP[[#This Row],[SRG Gross]],FinanceCodesBudget[FinanceCode],FinanceCodesBudget[LedgerCode])=_xlfn.XLOOKUP(CONT_SUP[[#This Row],[DepartmentCode]],DEPTS[DepartmentCode],DEPTS[LedgerCode]),0,1),1)</f>
        <v>0</v>
      </c>
      <c r="N317" s="57" cm="1">
        <f t="array" ref="N317">IF(_xlfn.XLOOKUP(CONT_SUP[[#This Row],[PensionCode]],PENS[PensionCode],PENS[AvailableToAllSchools],1,0,)=TRUE,0,IF(ISERROR(FIND(CONT_SUP[[#This Row],[SchoolCode]],_xlfn.TEXTJOIN(",",TRUE,_xlfn.UNIQUE(IF(PENS[PensionCode]=CONT_SUP[[#This Row],[PensionCode]],PENS[SchoolCodes],""))))),1,0))</f>
        <v>0</v>
      </c>
      <c r="O317" s="57" cm="1">
        <f t="array" ref="O317">IF(_xlfn.XLOOKUP(CONT_SUP[[#This Row],[EquatedWeekPatternCode]],EQW[EquatedWeekPatternCode],EQW[AvailableToAllSchools],1,0,)=TRUE,0,IF(ISERROR(FIND(CONT_SUP[[#This Row],[SchoolCode]],_xlfn.TEXTJOIN(",",TRUE,_xlfn.UNIQUE(IF(EQW[EquatedWeekPatternCode]=CONT_SUP[[#This Row],[EquatedWeekPatternCode]],EQW[SchoolCodes],""))))),1,0))</f>
        <v>0</v>
      </c>
      <c r="P317" s="57">
        <f>1-COUNTIF(ContractTypes[Code],CONT_SUP[[#This Row],[ContractTypeCode]])</f>
        <v>0</v>
      </c>
      <c r="Q317" s="57">
        <f>IF(VLOOKUP(CONT_SUP[[#This Row],[StaffMemberCode]],MEMBERS[[StaffMemberCode]:[ServiceStartDate]],5,0)&gt;CONT_SUP[[#This Row],[DateFrom]],1,0)</f>
        <v>0</v>
      </c>
      <c r="R317" s="57">
        <f>IF(_xlfn.XLOOKUP(CONT_SUP[[#This Row],[StaffMemberCode]],MEMBERS[StaffMemberCode],MEMBERS[ServiceEndDate])="",0,IF(CONT_SUP[[#This Row],[DateTo]]="",1,IF(_xlfn.XLOOKUP(CONT_SUP[[#This Row],[StaffMemberCode]],MEMBERS[StaffMemberCode],MEMBERS[ServiceEndDate])&lt;CONT_SUP[[#This Row],[DateTo]],1,0)))</f>
        <v>0</v>
      </c>
      <c r="S317" s="57">
        <f>IF(ISBLANK(CONT_SUP[[#This Row],[DateTo]]),0,IF(CONT_SUP[[#This Row],[DateFrom]]=CONT_SUP[[#This Row],[DateTo]],0,IF(CONT_SUP[[#This Row],[DateFrom]]&lt;CONT_SUP[[#This Row],[DateTo]],0,1)))</f>
        <v>0</v>
      </c>
      <c r="T317" s="57" cm="1">
        <f t="array" aca="1" ref="T317" ca="1">IF(CELL("format",CONT_SUP[[#This Row],[DateFrom]])="D1",0,1)+IF(CELL("format",CONT_SUP[[#This Row],[DateTo]])="D1",0,1)</f>
        <v>0</v>
      </c>
      <c r="U317" s="57">
        <f>IF(OR(CONT_SUP[[#This Row],[MatEditOnly]]=TRUE,CONT_SUP[[#This Row],[MatEditOnly]]=FALSE),IF(OR(CONT_SUP[[#This Row],[NoIncrement]]=TRUE,CONT_SUP[[#This Row],[NoIncrement]]=FALSE),0,1),1)</f>
        <v>0</v>
      </c>
      <c r="V317" s="57">
        <f>IF(ISBLANK(CONT_SUP[[#This Row],[FundCode]])=TRUE,0,IF(COUNTIF(FUNDS[FundCode],CONT_SUP[[#This Row],[FundCode]])=1,0,1))</f>
        <v>0</v>
      </c>
      <c r="W317" s="57">
        <f>IF(LEN(CONT_SUP[[#This Row],[Notes]])&lt;4000,0,1)</f>
        <v>0</v>
      </c>
      <c r="X317" s="57">
        <f>IF(SUBSTITUTE(TEXT(CONT_SUP[[#This Row],[Reference]],10)," ","")=TEXT(CONT_SUP[[#This Row],[Reference]],10),0,1)</f>
        <v>0</v>
      </c>
      <c r="Y317" s="57">
        <f ca="1">SUM(CONT_SUP[[#This Row],[Duplicate Contract]:[Space in Code]])</f>
        <v>0</v>
      </c>
      <c r="AA317" s="12" t="s">
        <v>2126</v>
      </c>
      <c r="AB317" s="12">
        <v>10007788</v>
      </c>
      <c r="AC317" s="12">
        <v>106113</v>
      </c>
      <c r="AD317" s="57" t="str">
        <f>_xlfn.XLOOKUP(CONT_SUP[[#This Row],[StaffMemberCode]],StaffMembers!O:O,StaffMembers!R:R)</f>
        <v>Janet Erlam</v>
      </c>
      <c r="AE317" s="12" t="s">
        <v>4305</v>
      </c>
      <c r="AF317" s="57">
        <f>_xlfn.XLOOKUP(CONT_SUP[[#This Row],[SRG]],SRG[StaffRoleGroupCode],SRG[GrossSalaryFinanceCode])</f>
        <v>630100</v>
      </c>
      <c r="AG317" s="57" t="str">
        <f>_xlfn.XLOOKUP(CONT_SUP[[#This Row],[StaffRoleCode]],ROLES[StaffRoleCode],ROLES[StaffRoleGroupCode])</f>
        <v>CLE</v>
      </c>
      <c r="AH317" s="57" t="str">
        <f>_xlfn.XLOOKUP(CONT_SUP[[#This Row],[StaffRoleCode]],ROLES[StaffRoleCode],ROLES[PayScaleCode])</f>
        <v>NJC_CHE</v>
      </c>
      <c r="AI317" s="12" t="s">
        <v>3121</v>
      </c>
      <c r="AJ317" s="12">
        <v>3</v>
      </c>
      <c r="AK317" s="12" t="s">
        <v>2495</v>
      </c>
      <c r="AM317" s="68" t="s">
        <v>3132</v>
      </c>
      <c r="AN317" s="12" t="s">
        <v>3145</v>
      </c>
      <c r="AO317" s="21">
        <v>46023</v>
      </c>
      <c r="AQ317" s="12">
        <v>20</v>
      </c>
      <c r="AR317" t="b">
        <v>0</v>
      </c>
      <c r="AS317" t="b">
        <v>0</v>
      </c>
      <c r="AT317" s="12" t="s">
        <v>1574</v>
      </c>
    </row>
    <row r="318" spans="1:46" x14ac:dyDescent="0.3">
      <c r="A318" s="57" t="str">
        <f t="shared" si="10"/>
        <v>MLB10014889113807CLESPREM46023</v>
      </c>
      <c r="B318" s="57">
        <f>COUNTIF(CONT_SUP[Unique Contract],CONT_SUP[[#This Row],[Unique Contract]])-1</f>
        <v>0</v>
      </c>
      <c r="C318" s="57">
        <f>IFERROR(IF(FIND(CONT_SUP[[#This Row],[SchoolCode]],_xlfn.XLOOKUP(CONT_SUP[[#This Row],[StaffMemberCode]],MEMBERS[StaffMemberCode],MEMBERS[SchoolCodes]))&gt;0,0,1),1)</f>
        <v>0</v>
      </c>
      <c r="D318" s="57" cm="1">
        <f t="array" ref="D318">IF(_xlfn.XLOOKUP(CONT_SUP[[#This Row],[StaffRoleCode]],ROLES[StaffRoleCode],ROLES[AvailableToAllSchools],1,0,)=TRUE,0,IF(ISERROR(FIND(CONT_SUP[[#This Row],[SchoolCode]],_xlfn.TEXTJOIN(",",TRUE,_xlfn.UNIQUE(IF(ROLES[StaffRoleCode]=CONT_SUP[[#This Row],[StaffRoleCode]],ROLES[SchoolCodes],""))))),1,0))</f>
        <v>0</v>
      </c>
      <c r="E318" s="57" cm="1">
        <f t="array" ref="E31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18" s="57" cm="1">
        <f t="array" ref="F318">IF(_xlfn.XLOOKUP(CONT_SUP[[#This Row],[PayScaleCode]],PAYSCALES[PayScaleCode],PAYSCALES[AvailableToAllSchools],1,0,)=TRUE,0,IF(ISERROR(FIND(CONT_SUP[[#This Row],[SchoolCode]],_xlfn.TEXTJOIN(",",TRUE,_xlfn.UNIQUE(IF(PAYSCALES[PayScaleCode]=CONT_SUP[[#This Row],[PayScaleCode]],PAYSCALES[SchoolCodes],""))))),1,0))</f>
        <v>0</v>
      </c>
      <c r="G318" s="57">
        <f>IF(_xlfn.XLOOKUP(CONT_SUP[[#This Row],[PayScaleGradeCode]],GRADES[PayScaleGradeCode],GRADES[AvailableToAllSchools])=TRUE,0,IFERROR(IF(FIND(CONT_SUP[[#This Row],[SchoolCode]],_xlfn.XLOOKUP(CONT_SUP[[#This Row],[PayScaleGradeCode]],GRADES[PayScaleGradeCode],GRADES[SchoolCodes]))&gt;=1,0,1),1))</f>
        <v>0</v>
      </c>
      <c r="H318" s="57">
        <f>IF(ISERROR(IF((_xlfn.XLOOKUP(CONT_SUP[[#This Row],[PayScaleGradeCode]],GRADES[PayScaleGradeCode],GRADES[PayScaleCode])=CONT_SUP[[#This Row],[PayScaleCode]]),0,1)),1,0)</f>
        <v>0</v>
      </c>
      <c r="I318" s="57" cm="1">
        <f t="array" ref="I318">IF(ISERROR(FIND(CONT_SUP[[#This Row],[PayScalePointCode]],_xlfn.TEXTJOIN(",",TRUE,IF(PSPOINTS[PayScaleCode]=CONT_SUP[[#This Row],[PayScaleCode]],PSPOINTS[PayScalePointCode])))),1,0)</f>
        <v>0</v>
      </c>
      <c r="J318" s="57" cm="1">
        <f t="array" ref="J31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18" s="57">
        <f>IF(_xlfn.XLOOKUP(CONT_SUP[[#This Row],[PayScalePointCode]],PSPOINTS[PayScalePointCode],PSPOINTS[PayScalePointEnabled])=TRUE,0,1)</f>
        <v>0</v>
      </c>
      <c r="L318" s="57" cm="1">
        <f t="array" ref="L318">IF(_xlfn.XLOOKUP(CONT_SUP[[#This Row],[DepartmentCode]],DEPTS[DepartmentCode],DEPTS[AvailableToAllSchools],1,0,)=TRUE,0,IF(ISERROR(FIND(CONT_SUP[[#This Row],[SchoolCode]],_xlfn.TEXTJOIN(",",TRUE,_xlfn.UNIQUE(IF(DEPTS[DepartmentCode]=CONT_SUP[[#This Row],[DepartmentCode]],DEPTS[SchoolCodes],""))))),1,0))</f>
        <v>0</v>
      </c>
      <c r="M318" s="57">
        <f>IFERROR(IF(_xlfn.XLOOKUP(CONT_SUP[[#This Row],[SRG Gross]],FinanceCodesBudget[FinanceCode],FinanceCodesBudget[LedgerCode])=_xlfn.XLOOKUP(CONT_SUP[[#This Row],[DepartmentCode]],DEPTS[DepartmentCode],DEPTS[LedgerCode]),0,1),1)</f>
        <v>0</v>
      </c>
      <c r="N318" s="57" cm="1">
        <f t="array" ref="N318">IF(_xlfn.XLOOKUP(CONT_SUP[[#This Row],[PensionCode]],PENS[PensionCode],PENS[AvailableToAllSchools],1,0,)=TRUE,0,IF(ISERROR(FIND(CONT_SUP[[#This Row],[SchoolCode]],_xlfn.TEXTJOIN(",",TRUE,_xlfn.UNIQUE(IF(PENS[PensionCode]=CONT_SUP[[#This Row],[PensionCode]],PENS[SchoolCodes],""))))),1,0))</f>
        <v>0</v>
      </c>
      <c r="O318" s="57" cm="1">
        <f t="array" ref="O318">IF(_xlfn.XLOOKUP(CONT_SUP[[#This Row],[EquatedWeekPatternCode]],EQW[EquatedWeekPatternCode],EQW[AvailableToAllSchools],1,0,)=TRUE,0,IF(ISERROR(FIND(CONT_SUP[[#This Row],[SchoolCode]],_xlfn.TEXTJOIN(",",TRUE,_xlfn.UNIQUE(IF(EQW[EquatedWeekPatternCode]=CONT_SUP[[#This Row],[EquatedWeekPatternCode]],EQW[SchoolCodes],""))))),1,0))</f>
        <v>0</v>
      </c>
      <c r="P318" s="57">
        <f>1-COUNTIF(ContractTypes[Code],CONT_SUP[[#This Row],[ContractTypeCode]])</f>
        <v>0</v>
      </c>
      <c r="Q318" s="57">
        <f>IF(VLOOKUP(CONT_SUP[[#This Row],[StaffMemberCode]],MEMBERS[[StaffMemberCode]:[ServiceStartDate]],5,0)&gt;CONT_SUP[[#This Row],[DateFrom]],1,0)</f>
        <v>0</v>
      </c>
      <c r="R318" s="57">
        <f>IF(_xlfn.XLOOKUP(CONT_SUP[[#This Row],[StaffMemberCode]],MEMBERS[StaffMemberCode],MEMBERS[ServiceEndDate])="",0,IF(CONT_SUP[[#This Row],[DateTo]]="",1,IF(_xlfn.XLOOKUP(CONT_SUP[[#This Row],[StaffMemberCode]],MEMBERS[StaffMemberCode],MEMBERS[ServiceEndDate])&lt;CONT_SUP[[#This Row],[DateTo]],1,0)))</f>
        <v>0</v>
      </c>
      <c r="S318" s="57">
        <f>IF(ISBLANK(CONT_SUP[[#This Row],[DateTo]]),0,IF(CONT_SUP[[#This Row],[DateFrom]]=CONT_SUP[[#This Row],[DateTo]],0,IF(CONT_SUP[[#This Row],[DateFrom]]&lt;CONT_SUP[[#This Row],[DateTo]],0,1)))</f>
        <v>0</v>
      </c>
      <c r="T318" s="57" cm="1">
        <f t="array" aca="1" ref="T318" ca="1">IF(CELL("format",CONT_SUP[[#This Row],[DateFrom]])="D1",0,1)+IF(CELL("format",CONT_SUP[[#This Row],[DateTo]])="D1",0,1)</f>
        <v>0</v>
      </c>
      <c r="U318" s="57">
        <f>IF(OR(CONT_SUP[[#This Row],[MatEditOnly]]=TRUE,CONT_SUP[[#This Row],[MatEditOnly]]=FALSE),IF(OR(CONT_SUP[[#This Row],[NoIncrement]]=TRUE,CONT_SUP[[#This Row],[NoIncrement]]=FALSE),0,1),1)</f>
        <v>0</v>
      </c>
      <c r="V318" s="57">
        <f>IF(ISBLANK(CONT_SUP[[#This Row],[FundCode]])=TRUE,0,IF(COUNTIF(FUNDS[FundCode],CONT_SUP[[#This Row],[FundCode]])=1,0,1))</f>
        <v>0</v>
      </c>
      <c r="W318" s="57">
        <f>IF(LEN(CONT_SUP[[#This Row],[Notes]])&lt;4000,0,1)</f>
        <v>0</v>
      </c>
      <c r="X318" s="57">
        <f>IF(SUBSTITUTE(TEXT(CONT_SUP[[#This Row],[Reference]],10)," ","")=TEXT(CONT_SUP[[#This Row],[Reference]],10),0,1)</f>
        <v>0</v>
      </c>
      <c r="Y318" s="57">
        <f ca="1">SUM(CONT_SUP[[#This Row],[Duplicate Contract]:[Space in Code]])</f>
        <v>0</v>
      </c>
      <c r="AA318" s="12" t="s">
        <v>2126</v>
      </c>
      <c r="AB318" s="12">
        <v>10014889</v>
      </c>
      <c r="AC318" s="12">
        <v>113807</v>
      </c>
      <c r="AD318" s="57" t="str">
        <f>_xlfn.XLOOKUP(CONT_SUP[[#This Row],[StaffMemberCode]],StaffMembers!O:O,StaffMembers!R:R)</f>
        <v>Caroline Hodnett</v>
      </c>
      <c r="AE318" s="12" t="s">
        <v>1190</v>
      </c>
      <c r="AF318" s="57">
        <f>_xlfn.XLOOKUP(CONT_SUP[[#This Row],[SRG]],SRG[StaffRoleGroupCode],SRG[GrossSalaryFinanceCode])</f>
        <v>630100</v>
      </c>
      <c r="AG318" s="57" t="str">
        <f>_xlfn.XLOOKUP(CONT_SUP[[#This Row],[StaffRoleCode]],ROLES[StaffRoleCode],ROLES[StaffRoleGroupCode])</f>
        <v>CLE</v>
      </c>
      <c r="AH318" s="57" t="str">
        <f>_xlfn.XLOOKUP(CONT_SUP[[#This Row],[StaffRoleCode]],ROLES[StaffRoleCode],ROLES[PayScaleCode])</f>
        <v>NJC_CHE</v>
      </c>
      <c r="AI318" s="12" t="s">
        <v>3120</v>
      </c>
      <c r="AJ318" s="12">
        <v>2</v>
      </c>
      <c r="AK318" s="12" t="s">
        <v>2495</v>
      </c>
      <c r="AM318" s="68" t="s">
        <v>3132</v>
      </c>
      <c r="AN318" s="12" t="s">
        <v>3145</v>
      </c>
      <c r="AO318" s="21">
        <v>46023</v>
      </c>
      <c r="AQ318" s="12">
        <v>20</v>
      </c>
      <c r="AR318" t="b">
        <v>0</v>
      </c>
      <c r="AS318" t="b">
        <v>0</v>
      </c>
      <c r="AT318" s="12" t="s">
        <v>1574</v>
      </c>
    </row>
    <row r="319" spans="1:46" x14ac:dyDescent="0.3">
      <c r="A319" s="57" t="str">
        <f t="shared" si="10"/>
        <v>MLB10013383113124CLESPREM46023</v>
      </c>
      <c r="B319" s="57">
        <f>COUNTIF(CONT_SUP[Unique Contract],CONT_SUP[[#This Row],[Unique Contract]])-1</f>
        <v>0</v>
      </c>
      <c r="C319" s="57">
        <f>IFERROR(IF(FIND(CONT_SUP[[#This Row],[SchoolCode]],_xlfn.XLOOKUP(CONT_SUP[[#This Row],[StaffMemberCode]],MEMBERS[StaffMemberCode],MEMBERS[SchoolCodes]))&gt;0,0,1),1)</f>
        <v>0</v>
      </c>
      <c r="D319" s="57" cm="1">
        <f t="array" ref="D319">IF(_xlfn.XLOOKUP(CONT_SUP[[#This Row],[StaffRoleCode]],ROLES[StaffRoleCode],ROLES[AvailableToAllSchools],1,0,)=TRUE,0,IF(ISERROR(FIND(CONT_SUP[[#This Row],[SchoolCode]],_xlfn.TEXTJOIN(",",TRUE,_xlfn.UNIQUE(IF(ROLES[StaffRoleCode]=CONT_SUP[[#This Row],[StaffRoleCode]],ROLES[SchoolCodes],""))))),1,0))</f>
        <v>0</v>
      </c>
      <c r="E319" s="57" cm="1">
        <f t="array" ref="E31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19" s="57" cm="1">
        <f t="array" ref="F319">IF(_xlfn.XLOOKUP(CONT_SUP[[#This Row],[PayScaleCode]],PAYSCALES[PayScaleCode],PAYSCALES[AvailableToAllSchools],1,0,)=TRUE,0,IF(ISERROR(FIND(CONT_SUP[[#This Row],[SchoolCode]],_xlfn.TEXTJOIN(",",TRUE,_xlfn.UNIQUE(IF(PAYSCALES[PayScaleCode]=CONT_SUP[[#This Row],[PayScaleCode]],PAYSCALES[SchoolCodes],""))))),1,0))</f>
        <v>0</v>
      </c>
      <c r="G319" s="57">
        <f>IF(_xlfn.XLOOKUP(CONT_SUP[[#This Row],[PayScaleGradeCode]],GRADES[PayScaleGradeCode],GRADES[AvailableToAllSchools])=TRUE,0,IFERROR(IF(FIND(CONT_SUP[[#This Row],[SchoolCode]],_xlfn.XLOOKUP(CONT_SUP[[#This Row],[PayScaleGradeCode]],GRADES[PayScaleGradeCode],GRADES[SchoolCodes]))&gt;=1,0,1),1))</f>
        <v>0</v>
      </c>
      <c r="H319" s="57">
        <f>IF(ISERROR(IF((_xlfn.XLOOKUP(CONT_SUP[[#This Row],[PayScaleGradeCode]],GRADES[PayScaleGradeCode],GRADES[PayScaleCode])=CONT_SUP[[#This Row],[PayScaleCode]]),0,1)),1,0)</f>
        <v>0</v>
      </c>
      <c r="I319" s="57" cm="1">
        <f t="array" ref="I319">IF(ISERROR(FIND(CONT_SUP[[#This Row],[PayScalePointCode]],_xlfn.TEXTJOIN(",",TRUE,IF(PSPOINTS[PayScaleCode]=CONT_SUP[[#This Row],[PayScaleCode]],PSPOINTS[PayScalePointCode])))),1,0)</f>
        <v>0</v>
      </c>
      <c r="J319" s="57" cm="1">
        <f t="array" ref="J31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19" s="57">
        <f>IF(_xlfn.XLOOKUP(CONT_SUP[[#This Row],[PayScalePointCode]],PSPOINTS[PayScalePointCode],PSPOINTS[PayScalePointEnabled])=TRUE,0,1)</f>
        <v>0</v>
      </c>
      <c r="L319" s="57" cm="1">
        <f t="array" ref="L319">IF(_xlfn.XLOOKUP(CONT_SUP[[#This Row],[DepartmentCode]],DEPTS[DepartmentCode],DEPTS[AvailableToAllSchools],1,0,)=TRUE,0,IF(ISERROR(FIND(CONT_SUP[[#This Row],[SchoolCode]],_xlfn.TEXTJOIN(",",TRUE,_xlfn.UNIQUE(IF(DEPTS[DepartmentCode]=CONT_SUP[[#This Row],[DepartmentCode]],DEPTS[SchoolCodes],""))))),1,0))</f>
        <v>0</v>
      </c>
      <c r="M319" s="57">
        <f>IFERROR(IF(_xlfn.XLOOKUP(CONT_SUP[[#This Row],[SRG Gross]],FinanceCodesBudget[FinanceCode],FinanceCodesBudget[LedgerCode])=_xlfn.XLOOKUP(CONT_SUP[[#This Row],[DepartmentCode]],DEPTS[DepartmentCode],DEPTS[LedgerCode]),0,1),1)</f>
        <v>0</v>
      </c>
      <c r="N319" s="57" cm="1">
        <f t="array" ref="N319">IF(_xlfn.XLOOKUP(CONT_SUP[[#This Row],[PensionCode]],PENS[PensionCode],PENS[AvailableToAllSchools],1,0,)=TRUE,0,IF(ISERROR(FIND(CONT_SUP[[#This Row],[SchoolCode]],_xlfn.TEXTJOIN(",",TRUE,_xlfn.UNIQUE(IF(PENS[PensionCode]=CONT_SUP[[#This Row],[PensionCode]],PENS[SchoolCodes],""))))),1,0))</f>
        <v>0</v>
      </c>
      <c r="O319" s="57" cm="1">
        <f t="array" ref="O319">IF(_xlfn.XLOOKUP(CONT_SUP[[#This Row],[EquatedWeekPatternCode]],EQW[EquatedWeekPatternCode],EQW[AvailableToAllSchools],1,0,)=TRUE,0,IF(ISERROR(FIND(CONT_SUP[[#This Row],[SchoolCode]],_xlfn.TEXTJOIN(",",TRUE,_xlfn.UNIQUE(IF(EQW[EquatedWeekPatternCode]=CONT_SUP[[#This Row],[EquatedWeekPatternCode]],EQW[SchoolCodes],""))))),1,0))</f>
        <v>0</v>
      </c>
      <c r="P319" s="57">
        <f>1-COUNTIF(ContractTypes[Code],CONT_SUP[[#This Row],[ContractTypeCode]])</f>
        <v>0</v>
      </c>
      <c r="Q319" s="57">
        <f>IF(VLOOKUP(CONT_SUP[[#This Row],[StaffMemberCode]],MEMBERS[[StaffMemberCode]:[ServiceStartDate]],5,0)&gt;CONT_SUP[[#This Row],[DateFrom]],1,0)</f>
        <v>0</v>
      </c>
      <c r="R319" s="57">
        <f>IF(_xlfn.XLOOKUP(CONT_SUP[[#This Row],[StaffMemberCode]],MEMBERS[StaffMemberCode],MEMBERS[ServiceEndDate])="",0,IF(CONT_SUP[[#This Row],[DateTo]]="",1,IF(_xlfn.XLOOKUP(CONT_SUP[[#This Row],[StaffMemberCode]],MEMBERS[StaffMemberCode],MEMBERS[ServiceEndDate])&lt;CONT_SUP[[#This Row],[DateTo]],1,0)))</f>
        <v>0</v>
      </c>
      <c r="S319" s="57">
        <f>IF(ISBLANK(CONT_SUP[[#This Row],[DateTo]]),0,IF(CONT_SUP[[#This Row],[DateFrom]]=CONT_SUP[[#This Row],[DateTo]],0,IF(CONT_SUP[[#This Row],[DateFrom]]&lt;CONT_SUP[[#This Row],[DateTo]],0,1)))</f>
        <v>0</v>
      </c>
      <c r="T319" s="57" cm="1">
        <f t="array" aca="1" ref="T319" ca="1">IF(CELL("format",CONT_SUP[[#This Row],[DateFrom]])="D1",0,1)+IF(CELL("format",CONT_SUP[[#This Row],[DateTo]])="D1",0,1)</f>
        <v>0</v>
      </c>
      <c r="U319" s="57">
        <f>IF(OR(CONT_SUP[[#This Row],[MatEditOnly]]=TRUE,CONT_SUP[[#This Row],[MatEditOnly]]=FALSE),IF(OR(CONT_SUP[[#This Row],[NoIncrement]]=TRUE,CONT_SUP[[#This Row],[NoIncrement]]=FALSE),0,1),1)</f>
        <v>0</v>
      </c>
      <c r="V319" s="57">
        <f>IF(ISBLANK(CONT_SUP[[#This Row],[FundCode]])=TRUE,0,IF(COUNTIF(FUNDS[FundCode],CONT_SUP[[#This Row],[FundCode]])=1,0,1))</f>
        <v>0</v>
      </c>
      <c r="W319" s="57">
        <f>IF(LEN(CONT_SUP[[#This Row],[Notes]])&lt;4000,0,1)</f>
        <v>0</v>
      </c>
      <c r="X319" s="57">
        <f>IF(SUBSTITUTE(TEXT(CONT_SUP[[#This Row],[Reference]],10)," ","")=TEXT(CONT_SUP[[#This Row],[Reference]],10),0,1)</f>
        <v>0</v>
      </c>
      <c r="Y319" s="57">
        <f ca="1">SUM(CONT_SUP[[#This Row],[Duplicate Contract]:[Space in Code]])</f>
        <v>0</v>
      </c>
      <c r="AA319" s="12" t="s">
        <v>2126</v>
      </c>
      <c r="AB319" s="12">
        <v>10013383</v>
      </c>
      <c r="AC319" s="12">
        <v>113124</v>
      </c>
      <c r="AD319" s="57" t="str">
        <f>_xlfn.XLOOKUP(CONT_SUP[[#This Row],[StaffMemberCode]],StaffMembers!O:O,StaffMembers!R:R)</f>
        <v>Clare Shufflebotham</v>
      </c>
      <c r="AE319" s="12" t="s">
        <v>1190</v>
      </c>
      <c r="AF319" s="57">
        <f>_xlfn.XLOOKUP(CONT_SUP[[#This Row],[SRG]],SRG[StaffRoleGroupCode],SRG[GrossSalaryFinanceCode])</f>
        <v>630100</v>
      </c>
      <c r="AG319" s="57" t="str">
        <f>_xlfn.XLOOKUP(CONT_SUP[[#This Row],[StaffRoleCode]],ROLES[StaffRoleCode],ROLES[StaffRoleGroupCode])</f>
        <v>CLE</v>
      </c>
      <c r="AH319" s="57" t="str">
        <f>_xlfn.XLOOKUP(CONT_SUP[[#This Row],[StaffRoleCode]],ROLES[StaffRoleCode],ROLES[PayScaleCode])</f>
        <v>NJC_CHE</v>
      </c>
      <c r="AI319" s="12" t="s">
        <v>3120</v>
      </c>
      <c r="AJ319" s="12">
        <v>2</v>
      </c>
      <c r="AK319" s="12" t="s">
        <v>2495</v>
      </c>
      <c r="AM319" s="68" t="s">
        <v>3132</v>
      </c>
      <c r="AN319" s="12" t="s">
        <v>3145</v>
      </c>
      <c r="AO319" s="21">
        <v>46023</v>
      </c>
      <c r="AQ319" s="12">
        <v>16</v>
      </c>
      <c r="AR319" t="b">
        <v>0</v>
      </c>
      <c r="AS319" t="b">
        <v>0</v>
      </c>
      <c r="AT319" s="12" t="s">
        <v>1574</v>
      </c>
    </row>
    <row r="320" spans="1:46" x14ac:dyDescent="0.3">
      <c r="A320" s="57" t="str">
        <f t="shared" si="10"/>
        <v>MLB10010393107134CLESPREM46023</v>
      </c>
      <c r="B320" s="57">
        <f>COUNTIF(CONT_SUP[Unique Contract],CONT_SUP[[#This Row],[Unique Contract]])-1</f>
        <v>0</v>
      </c>
      <c r="C320" s="57">
        <f>IFERROR(IF(FIND(CONT_SUP[[#This Row],[SchoolCode]],_xlfn.XLOOKUP(CONT_SUP[[#This Row],[StaffMemberCode]],MEMBERS[StaffMemberCode],MEMBERS[SchoolCodes]))&gt;0,0,1),1)</f>
        <v>0</v>
      </c>
      <c r="D320" s="57" cm="1">
        <f t="array" ref="D320">IF(_xlfn.XLOOKUP(CONT_SUP[[#This Row],[StaffRoleCode]],ROLES[StaffRoleCode],ROLES[AvailableToAllSchools],1,0,)=TRUE,0,IF(ISERROR(FIND(CONT_SUP[[#This Row],[SchoolCode]],_xlfn.TEXTJOIN(",",TRUE,_xlfn.UNIQUE(IF(ROLES[StaffRoleCode]=CONT_SUP[[#This Row],[StaffRoleCode]],ROLES[SchoolCodes],""))))),1,0))</f>
        <v>0</v>
      </c>
      <c r="E320" s="57" cm="1">
        <f t="array" ref="E32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20" s="57" cm="1">
        <f t="array" ref="F320">IF(_xlfn.XLOOKUP(CONT_SUP[[#This Row],[PayScaleCode]],PAYSCALES[PayScaleCode],PAYSCALES[AvailableToAllSchools],1,0,)=TRUE,0,IF(ISERROR(FIND(CONT_SUP[[#This Row],[SchoolCode]],_xlfn.TEXTJOIN(",",TRUE,_xlfn.UNIQUE(IF(PAYSCALES[PayScaleCode]=CONT_SUP[[#This Row],[PayScaleCode]],PAYSCALES[SchoolCodes],""))))),1,0))</f>
        <v>0</v>
      </c>
      <c r="G320" s="57">
        <f>IF(_xlfn.XLOOKUP(CONT_SUP[[#This Row],[PayScaleGradeCode]],GRADES[PayScaleGradeCode],GRADES[AvailableToAllSchools])=TRUE,0,IFERROR(IF(FIND(CONT_SUP[[#This Row],[SchoolCode]],_xlfn.XLOOKUP(CONT_SUP[[#This Row],[PayScaleGradeCode]],GRADES[PayScaleGradeCode],GRADES[SchoolCodes]))&gt;=1,0,1),1))</f>
        <v>0</v>
      </c>
      <c r="H320" s="57">
        <f>IF(ISERROR(IF((_xlfn.XLOOKUP(CONT_SUP[[#This Row],[PayScaleGradeCode]],GRADES[PayScaleGradeCode],GRADES[PayScaleCode])=CONT_SUP[[#This Row],[PayScaleCode]]),0,1)),1,0)</f>
        <v>0</v>
      </c>
      <c r="I320" s="57" cm="1">
        <f t="array" ref="I320">IF(ISERROR(FIND(CONT_SUP[[#This Row],[PayScalePointCode]],_xlfn.TEXTJOIN(",",TRUE,IF(PSPOINTS[PayScaleCode]=CONT_SUP[[#This Row],[PayScaleCode]],PSPOINTS[PayScalePointCode])))),1,0)</f>
        <v>0</v>
      </c>
      <c r="J320" s="57" cm="1">
        <f t="array" ref="J32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20" s="57">
        <f>IF(_xlfn.XLOOKUP(CONT_SUP[[#This Row],[PayScalePointCode]],PSPOINTS[PayScalePointCode],PSPOINTS[PayScalePointEnabled])=TRUE,0,1)</f>
        <v>0</v>
      </c>
      <c r="L320" s="57" cm="1">
        <f t="array" ref="L320">IF(_xlfn.XLOOKUP(CONT_SUP[[#This Row],[DepartmentCode]],DEPTS[DepartmentCode],DEPTS[AvailableToAllSchools],1,0,)=TRUE,0,IF(ISERROR(FIND(CONT_SUP[[#This Row],[SchoolCode]],_xlfn.TEXTJOIN(",",TRUE,_xlfn.UNIQUE(IF(DEPTS[DepartmentCode]=CONT_SUP[[#This Row],[DepartmentCode]],DEPTS[SchoolCodes],""))))),1,0))</f>
        <v>0</v>
      </c>
      <c r="M320" s="57">
        <f>IFERROR(IF(_xlfn.XLOOKUP(CONT_SUP[[#This Row],[SRG Gross]],FinanceCodesBudget[FinanceCode],FinanceCodesBudget[LedgerCode])=_xlfn.XLOOKUP(CONT_SUP[[#This Row],[DepartmentCode]],DEPTS[DepartmentCode],DEPTS[LedgerCode]),0,1),1)</f>
        <v>0</v>
      </c>
      <c r="N320" s="57" cm="1">
        <f t="array" ref="N320">IF(_xlfn.XLOOKUP(CONT_SUP[[#This Row],[PensionCode]],PENS[PensionCode],PENS[AvailableToAllSchools],1,0,)=TRUE,0,IF(ISERROR(FIND(CONT_SUP[[#This Row],[SchoolCode]],_xlfn.TEXTJOIN(",",TRUE,_xlfn.UNIQUE(IF(PENS[PensionCode]=CONT_SUP[[#This Row],[PensionCode]],PENS[SchoolCodes],""))))),1,0))</f>
        <v>0</v>
      </c>
      <c r="O320" s="57" cm="1">
        <f t="array" ref="O320">IF(_xlfn.XLOOKUP(CONT_SUP[[#This Row],[EquatedWeekPatternCode]],EQW[EquatedWeekPatternCode],EQW[AvailableToAllSchools],1,0,)=TRUE,0,IF(ISERROR(FIND(CONT_SUP[[#This Row],[SchoolCode]],_xlfn.TEXTJOIN(",",TRUE,_xlfn.UNIQUE(IF(EQW[EquatedWeekPatternCode]=CONT_SUP[[#This Row],[EquatedWeekPatternCode]],EQW[SchoolCodes],""))))),1,0))</f>
        <v>0</v>
      </c>
      <c r="P320" s="57">
        <f>1-COUNTIF(ContractTypes[Code],CONT_SUP[[#This Row],[ContractTypeCode]])</f>
        <v>0</v>
      </c>
      <c r="Q320" s="57">
        <f>IF(VLOOKUP(CONT_SUP[[#This Row],[StaffMemberCode]],MEMBERS[[StaffMemberCode]:[ServiceStartDate]],5,0)&gt;CONT_SUP[[#This Row],[DateFrom]],1,0)</f>
        <v>0</v>
      </c>
      <c r="R320" s="57">
        <f>IF(_xlfn.XLOOKUP(CONT_SUP[[#This Row],[StaffMemberCode]],MEMBERS[StaffMemberCode],MEMBERS[ServiceEndDate])="",0,IF(CONT_SUP[[#This Row],[DateTo]]="",1,IF(_xlfn.XLOOKUP(CONT_SUP[[#This Row],[StaffMemberCode]],MEMBERS[StaffMemberCode],MEMBERS[ServiceEndDate])&lt;CONT_SUP[[#This Row],[DateTo]],1,0)))</f>
        <v>0</v>
      </c>
      <c r="S320" s="57">
        <f>IF(ISBLANK(CONT_SUP[[#This Row],[DateTo]]),0,IF(CONT_SUP[[#This Row],[DateFrom]]=CONT_SUP[[#This Row],[DateTo]],0,IF(CONT_SUP[[#This Row],[DateFrom]]&lt;CONT_SUP[[#This Row],[DateTo]],0,1)))</f>
        <v>0</v>
      </c>
      <c r="T320" s="57" cm="1">
        <f t="array" aca="1" ref="T320" ca="1">IF(CELL("format",CONT_SUP[[#This Row],[DateFrom]])="D1",0,1)+IF(CELL("format",CONT_SUP[[#This Row],[DateTo]])="D1",0,1)</f>
        <v>0</v>
      </c>
      <c r="U320" s="57">
        <f>IF(OR(CONT_SUP[[#This Row],[MatEditOnly]]=TRUE,CONT_SUP[[#This Row],[MatEditOnly]]=FALSE),IF(OR(CONT_SUP[[#This Row],[NoIncrement]]=TRUE,CONT_SUP[[#This Row],[NoIncrement]]=FALSE),0,1),1)</f>
        <v>0</v>
      </c>
      <c r="V320" s="57">
        <f>IF(ISBLANK(CONT_SUP[[#This Row],[FundCode]])=TRUE,0,IF(COUNTIF(FUNDS[FundCode],CONT_SUP[[#This Row],[FundCode]])=1,0,1))</f>
        <v>0</v>
      </c>
      <c r="W320" s="57">
        <f>IF(LEN(CONT_SUP[[#This Row],[Notes]])&lt;4000,0,1)</f>
        <v>0</v>
      </c>
      <c r="X320" s="57">
        <f>IF(SUBSTITUTE(TEXT(CONT_SUP[[#This Row],[Reference]],10)," ","")=TEXT(CONT_SUP[[#This Row],[Reference]],10),0,1)</f>
        <v>0</v>
      </c>
      <c r="Y320" s="57">
        <f ca="1">SUM(CONT_SUP[[#This Row],[Duplicate Contract]:[Space in Code]])</f>
        <v>0</v>
      </c>
      <c r="AA320" s="12" t="s">
        <v>2126</v>
      </c>
      <c r="AB320" s="12">
        <v>10010393</v>
      </c>
      <c r="AC320" s="12">
        <v>107134</v>
      </c>
      <c r="AD320" s="57" t="str">
        <f>_xlfn.XLOOKUP(CONT_SUP[[#This Row],[StaffMemberCode]],StaffMembers!O:O,StaffMembers!R:R)</f>
        <v>Clodagh Rogerson</v>
      </c>
      <c r="AE320" s="12" t="s">
        <v>1190</v>
      </c>
      <c r="AF320" s="57">
        <f>_xlfn.XLOOKUP(CONT_SUP[[#This Row],[SRG]],SRG[StaffRoleGroupCode],SRG[GrossSalaryFinanceCode])</f>
        <v>630100</v>
      </c>
      <c r="AG320" s="57" t="str">
        <f>_xlfn.XLOOKUP(CONT_SUP[[#This Row],[StaffRoleCode]],ROLES[StaffRoleCode],ROLES[StaffRoleGroupCode])</f>
        <v>CLE</v>
      </c>
      <c r="AH320" s="57" t="str">
        <f>_xlfn.XLOOKUP(CONT_SUP[[#This Row],[StaffRoleCode]],ROLES[StaffRoleCode],ROLES[PayScaleCode])</f>
        <v>NJC_CHE</v>
      </c>
      <c r="AI320" s="12" t="s">
        <v>3120</v>
      </c>
      <c r="AJ320" s="12">
        <v>2</v>
      </c>
      <c r="AK320" s="12" t="s">
        <v>2495</v>
      </c>
      <c r="AM320" s="68" t="s">
        <v>3132</v>
      </c>
      <c r="AN320" s="12" t="s">
        <v>3145</v>
      </c>
      <c r="AO320" s="21">
        <v>46023</v>
      </c>
      <c r="AQ320" s="12">
        <v>16</v>
      </c>
      <c r="AR320" t="b">
        <v>0</v>
      </c>
      <c r="AS320" t="b">
        <v>0</v>
      </c>
      <c r="AT320" s="12" t="s">
        <v>1574</v>
      </c>
    </row>
    <row r="321" spans="1:46" x14ac:dyDescent="0.3">
      <c r="A321" s="57" t="str">
        <f t="shared" si="10"/>
        <v>MLB10012679106112CLESPREM46023</v>
      </c>
      <c r="B321" s="57">
        <f>COUNTIF(CONT_SUP[Unique Contract],CONT_SUP[[#This Row],[Unique Contract]])-1</f>
        <v>0</v>
      </c>
      <c r="C321" s="57">
        <f>IFERROR(IF(FIND(CONT_SUP[[#This Row],[SchoolCode]],_xlfn.XLOOKUP(CONT_SUP[[#This Row],[StaffMemberCode]],MEMBERS[StaffMemberCode],MEMBERS[SchoolCodes]))&gt;0,0,1),1)</f>
        <v>0</v>
      </c>
      <c r="D321" s="57" cm="1">
        <f t="array" ref="D321">IF(_xlfn.XLOOKUP(CONT_SUP[[#This Row],[StaffRoleCode]],ROLES[StaffRoleCode],ROLES[AvailableToAllSchools],1,0,)=TRUE,0,IF(ISERROR(FIND(CONT_SUP[[#This Row],[SchoolCode]],_xlfn.TEXTJOIN(",",TRUE,_xlfn.UNIQUE(IF(ROLES[StaffRoleCode]=CONT_SUP[[#This Row],[StaffRoleCode]],ROLES[SchoolCodes],""))))),1,0))</f>
        <v>0</v>
      </c>
      <c r="E321" s="57" cm="1">
        <f t="array" ref="E32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21" s="57" cm="1">
        <f t="array" ref="F321">IF(_xlfn.XLOOKUP(CONT_SUP[[#This Row],[PayScaleCode]],PAYSCALES[PayScaleCode],PAYSCALES[AvailableToAllSchools],1,0,)=TRUE,0,IF(ISERROR(FIND(CONT_SUP[[#This Row],[SchoolCode]],_xlfn.TEXTJOIN(",",TRUE,_xlfn.UNIQUE(IF(PAYSCALES[PayScaleCode]=CONT_SUP[[#This Row],[PayScaleCode]],PAYSCALES[SchoolCodes],""))))),1,0))</f>
        <v>0</v>
      </c>
      <c r="G321" s="57">
        <f>IF(_xlfn.XLOOKUP(CONT_SUP[[#This Row],[PayScaleGradeCode]],GRADES[PayScaleGradeCode],GRADES[AvailableToAllSchools])=TRUE,0,IFERROR(IF(FIND(CONT_SUP[[#This Row],[SchoolCode]],_xlfn.XLOOKUP(CONT_SUP[[#This Row],[PayScaleGradeCode]],GRADES[PayScaleGradeCode],GRADES[SchoolCodes]))&gt;=1,0,1),1))</f>
        <v>0</v>
      </c>
      <c r="H321" s="57">
        <f>IF(ISERROR(IF((_xlfn.XLOOKUP(CONT_SUP[[#This Row],[PayScaleGradeCode]],GRADES[PayScaleGradeCode],GRADES[PayScaleCode])=CONT_SUP[[#This Row],[PayScaleCode]]),0,1)),1,0)</f>
        <v>0</v>
      </c>
      <c r="I321" s="57" cm="1">
        <f t="array" ref="I321">IF(ISERROR(FIND(CONT_SUP[[#This Row],[PayScalePointCode]],_xlfn.TEXTJOIN(",",TRUE,IF(PSPOINTS[PayScaleCode]=CONT_SUP[[#This Row],[PayScaleCode]],PSPOINTS[PayScalePointCode])))),1,0)</f>
        <v>0</v>
      </c>
      <c r="J321" s="57" cm="1">
        <f t="array" ref="J32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21" s="57">
        <f>IF(_xlfn.XLOOKUP(CONT_SUP[[#This Row],[PayScalePointCode]],PSPOINTS[PayScalePointCode],PSPOINTS[PayScalePointEnabled])=TRUE,0,1)</f>
        <v>0</v>
      </c>
      <c r="L321" s="57" cm="1">
        <f t="array" ref="L321">IF(_xlfn.XLOOKUP(CONT_SUP[[#This Row],[DepartmentCode]],DEPTS[DepartmentCode],DEPTS[AvailableToAllSchools],1,0,)=TRUE,0,IF(ISERROR(FIND(CONT_SUP[[#This Row],[SchoolCode]],_xlfn.TEXTJOIN(",",TRUE,_xlfn.UNIQUE(IF(DEPTS[DepartmentCode]=CONT_SUP[[#This Row],[DepartmentCode]],DEPTS[SchoolCodes],""))))),1,0))</f>
        <v>0</v>
      </c>
      <c r="M321" s="57">
        <f>IFERROR(IF(_xlfn.XLOOKUP(CONT_SUP[[#This Row],[SRG Gross]],FinanceCodesBudget[FinanceCode],FinanceCodesBudget[LedgerCode])=_xlfn.XLOOKUP(CONT_SUP[[#This Row],[DepartmentCode]],DEPTS[DepartmentCode],DEPTS[LedgerCode]),0,1),1)</f>
        <v>0</v>
      </c>
      <c r="N321" s="57" cm="1">
        <f t="array" ref="N321">IF(_xlfn.XLOOKUP(CONT_SUP[[#This Row],[PensionCode]],PENS[PensionCode],PENS[AvailableToAllSchools],1,0,)=TRUE,0,IF(ISERROR(FIND(CONT_SUP[[#This Row],[SchoolCode]],_xlfn.TEXTJOIN(",",TRUE,_xlfn.UNIQUE(IF(PENS[PensionCode]=CONT_SUP[[#This Row],[PensionCode]],PENS[SchoolCodes],""))))),1,0))</f>
        <v>0</v>
      </c>
      <c r="O321" s="57" cm="1">
        <f t="array" ref="O321">IF(_xlfn.XLOOKUP(CONT_SUP[[#This Row],[EquatedWeekPatternCode]],EQW[EquatedWeekPatternCode],EQW[AvailableToAllSchools],1,0,)=TRUE,0,IF(ISERROR(FIND(CONT_SUP[[#This Row],[SchoolCode]],_xlfn.TEXTJOIN(",",TRUE,_xlfn.UNIQUE(IF(EQW[EquatedWeekPatternCode]=CONT_SUP[[#This Row],[EquatedWeekPatternCode]],EQW[SchoolCodes],""))))),1,0))</f>
        <v>0</v>
      </c>
      <c r="P321" s="57">
        <f>1-COUNTIF(ContractTypes[Code],CONT_SUP[[#This Row],[ContractTypeCode]])</f>
        <v>0</v>
      </c>
      <c r="Q321" s="57">
        <f>IF(VLOOKUP(CONT_SUP[[#This Row],[StaffMemberCode]],MEMBERS[[StaffMemberCode]:[ServiceStartDate]],5,0)&gt;CONT_SUP[[#This Row],[DateFrom]],1,0)</f>
        <v>0</v>
      </c>
      <c r="R321" s="57">
        <f>IF(_xlfn.XLOOKUP(CONT_SUP[[#This Row],[StaffMemberCode]],MEMBERS[StaffMemberCode],MEMBERS[ServiceEndDate])="",0,IF(CONT_SUP[[#This Row],[DateTo]]="",1,IF(_xlfn.XLOOKUP(CONT_SUP[[#This Row],[StaffMemberCode]],MEMBERS[StaffMemberCode],MEMBERS[ServiceEndDate])&lt;CONT_SUP[[#This Row],[DateTo]],1,0)))</f>
        <v>0</v>
      </c>
      <c r="S321" s="57">
        <f>IF(ISBLANK(CONT_SUP[[#This Row],[DateTo]]),0,IF(CONT_SUP[[#This Row],[DateFrom]]=CONT_SUP[[#This Row],[DateTo]],0,IF(CONT_SUP[[#This Row],[DateFrom]]&lt;CONT_SUP[[#This Row],[DateTo]],0,1)))</f>
        <v>0</v>
      </c>
      <c r="T321" s="57" cm="1">
        <f t="array" aca="1" ref="T321" ca="1">IF(CELL("format",CONT_SUP[[#This Row],[DateFrom]])="D1",0,1)+IF(CELL("format",CONT_SUP[[#This Row],[DateTo]])="D1",0,1)</f>
        <v>0</v>
      </c>
      <c r="U321" s="57">
        <f>IF(OR(CONT_SUP[[#This Row],[MatEditOnly]]=TRUE,CONT_SUP[[#This Row],[MatEditOnly]]=FALSE),IF(OR(CONT_SUP[[#This Row],[NoIncrement]]=TRUE,CONT_SUP[[#This Row],[NoIncrement]]=FALSE),0,1),1)</f>
        <v>0</v>
      </c>
      <c r="V321" s="57">
        <f>IF(ISBLANK(CONT_SUP[[#This Row],[FundCode]])=TRUE,0,IF(COUNTIF(FUNDS[FundCode],CONT_SUP[[#This Row],[FundCode]])=1,0,1))</f>
        <v>0</v>
      </c>
      <c r="W321" s="57">
        <f>IF(LEN(CONT_SUP[[#This Row],[Notes]])&lt;4000,0,1)</f>
        <v>0</v>
      </c>
      <c r="X321" s="57">
        <f>IF(SUBSTITUTE(TEXT(CONT_SUP[[#This Row],[Reference]],10)," ","")=TEXT(CONT_SUP[[#This Row],[Reference]],10),0,1)</f>
        <v>0</v>
      </c>
      <c r="Y321" s="57">
        <f ca="1">SUM(CONT_SUP[[#This Row],[Duplicate Contract]:[Space in Code]])</f>
        <v>0</v>
      </c>
      <c r="AA321" s="12" t="s">
        <v>2126</v>
      </c>
      <c r="AB321" s="12">
        <v>10012679</v>
      </c>
      <c r="AC321" s="12">
        <v>106112</v>
      </c>
      <c r="AD321" s="57" t="str">
        <f>_xlfn.XLOOKUP(CONT_SUP[[#This Row],[StaffMemberCode]],StaffMembers!O:O,StaffMembers!R:R)</f>
        <v>Codie Rogerson</v>
      </c>
      <c r="AE321" s="12" t="s">
        <v>1190</v>
      </c>
      <c r="AF321" s="57">
        <f>_xlfn.XLOOKUP(CONT_SUP[[#This Row],[SRG]],SRG[StaffRoleGroupCode],SRG[GrossSalaryFinanceCode])</f>
        <v>630100</v>
      </c>
      <c r="AG321" s="57" t="str">
        <f>_xlfn.XLOOKUP(CONT_SUP[[#This Row],[StaffRoleCode]],ROLES[StaffRoleCode],ROLES[StaffRoleGroupCode])</f>
        <v>CLE</v>
      </c>
      <c r="AH321" s="57" t="str">
        <f>_xlfn.XLOOKUP(CONT_SUP[[#This Row],[StaffRoleCode]],ROLES[StaffRoleCode],ROLES[PayScaleCode])</f>
        <v>NJC_CHE</v>
      </c>
      <c r="AI321" s="12" t="s">
        <v>3120</v>
      </c>
      <c r="AJ321" s="12">
        <v>2</v>
      </c>
      <c r="AK321" s="12" t="s">
        <v>2495</v>
      </c>
      <c r="AM321" s="68" t="s">
        <v>3132</v>
      </c>
      <c r="AN321" s="12" t="s">
        <v>3145</v>
      </c>
      <c r="AO321" s="21">
        <v>46023</v>
      </c>
      <c r="AQ321" s="12">
        <v>15</v>
      </c>
      <c r="AR321" t="b">
        <v>0</v>
      </c>
      <c r="AS321" t="b">
        <v>0</v>
      </c>
      <c r="AT321" s="12" t="s">
        <v>1574</v>
      </c>
    </row>
    <row r="322" spans="1:46" x14ac:dyDescent="0.3">
      <c r="A322" s="57" t="str">
        <f t="shared" si="10"/>
        <v>MLB10016364107601CLESPREM46023</v>
      </c>
      <c r="B322" s="57">
        <f>COUNTIF(CONT_SUP[Unique Contract],CONT_SUP[[#This Row],[Unique Contract]])-1</f>
        <v>0</v>
      </c>
      <c r="C322" s="57">
        <f>IFERROR(IF(FIND(CONT_SUP[[#This Row],[SchoolCode]],_xlfn.XLOOKUP(CONT_SUP[[#This Row],[StaffMemberCode]],MEMBERS[StaffMemberCode],MEMBERS[SchoolCodes]))&gt;0,0,1),1)</f>
        <v>0</v>
      </c>
      <c r="D322" s="57" cm="1">
        <f t="array" ref="D322">IF(_xlfn.XLOOKUP(CONT_SUP[[#This Row],[StaffRoleCode]],ROLES[StaffRoleCode],ROLES[AvailableToAllSchools],1,0,)=TRUE,0,IF(ISERROR(FIND(CONT_SUP[[#This Row],[SchoolCode]],_xlfn.TEXTJOIN(",",TRUE,_xlfn.UNIQUE(IF(ROLES[StaffRoleCode]=CONT_SUP[[#This Row],[StaffRoleCode]],ROLES[SchoolCodes],""))))),1,0))</f>
        <v>0</v>
      </c>
      <c r="E322" s="57" cm="1">
        <f t="array" ref="E32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22" s="57" cm="1">
        <f t="array" ref="F322">IF(_xlfn.XLOOKUP(CONT_SUP[[#This Row],[PayScaleCode]],PAYSCALES[PayScaleCode],PAYSCALES[AvailableToAllSchools],1,0,)=TRUE,0,IF(ISERROR(FIND(CONT_SUP[[#This Row],[SchoolCode]],_xlfn.TEXTJOIN(",",TRUE,_xlfn.UNIQUE(IF(PAYSCALES[PayScaleCode]=CONT_SUP[[#This Row],[PayScaleCode]],PAYSCALES[SchoolCodes],""))))),1,0))</f>
        <v>0</v>
      </c>
      <c r="G322" s="57">
        <f>IF(_xlfn.XLOOKUP(CONT_SUP[[#This Row],[PayScaleGradeCode]],GRADES[PayScaleGradeCode],GRADES[AvailableToAllSchools])=TRUE,0,IFERROR(IF(FIND(CONT_SUP[[#This Row],[SchoolCode]],_xlfn.XLOOKUP(CONT_SUP[[#This Row],[PayScaleGradeCode]],GRADES[PayScaleGradeCode],GRADES[SchoolCodes]))&gt;=1,0,1),1))</f>
        <v>0</v>
      </c>
      <c r="H322" s="57">
        <f>IF(ISERROR(IF((_xlfn.XLOOKUP(CONT_SUP[[#This Row],[PayScaleGradeCode]],GRADES[PayScaleGradeCode],GRADES[PayScaleCode])=CONT_SUP[[#This Row],[PayScaleCode]]),0,1)),1,0)</f>
        <v>0</v>
      </c>
      <c r="I322" s="57" cm="1">
        <f t="array" ref="I322">IF(ISERROR(FIND(CONT_SUP[[#This Row],[PayScalePointCode]],_xlfn.TEXTJOIN(",",TRUE,IF(PSPOINTS[PayScaleCode]=CONT_SUP[[#This Row],[PayScaleCode]],PSPOINTS[PayScalePointCode])))),1,0)</f>
        <v>0</v>
      </c>
      <c r="J322" s="57" cm="1">
        <f t="array" ref="J32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22" s="57">
        <f>IF(_xlfn.XLOOKUP(CONT_SUP[[#This Row],[PayScalePointCode]],PSPOINTS[PayScalePointCode],PSPOINTS[PayScalePointEnabled])=TRUE,0,1)</f>
        <v>0</v>
      </c>
      <c r="L322" s="57" cm="1">
        <f t="array" ref="L322">IF(_xlfn.XLOOKUP(CONT_SUP[[#This Row],[DepartmentCode]],DEPTS[DepartmentCode],DEPTS[AvailableToAllSchools],1,0,)=TRUE,0,IF(ISERROR(FIND(CONT_SUP[[#This Row],[SchoolCode]],_xlfn.TEXTJOIN(",",TRUE,_xlfn.UNIQUE(IF(DEPTS[DepartmentCode]=CONT_SUP[[#This Row],[DepartmentCode]],DEPTS[SchoolCodes],""))))),1,0))</f>
        <v>0</v>
      </c>
      <c r="M322" s="57">
        <f>IFERROR(IF(_xlfn.XLOOKUP(CONT_SUP[[#This Row],[SRG Gross]],FinanceCodesBudget[FinanceCode],FinanceCodesBudget[LedgerCode])=_xlfn.XLOOKUP(CONT_SUP[[#This Row],[DepartmentCode]],DEPTS[DepartmentCode],DEPTS[LedgerCode]),0,1),1)</f>
        <v>0</v>
      </c>
      <c r="N322" s="57" cm="1">
        <f t="array" ref="N322">IF(_xlfn.XLOOKUP(CONT_SUP[[#This Row],[PensionCode]],PENS[PensionCode],PENS[AvailableToAllSchools],1,0,)=TRUE,0,IF(ISERROR(FIND(CONT_SUP[[#This Row],[SchoolCode]],_xlfn.TEXTJOIN(",",TRUE,_xlfn.UNIQUE(IF(PENS[PensionCode]=CONT_SUP[[#This Row],[PensionCode]],PENS[SchoolCodes],""))))),1,0))</f>
        <v>0</v>
      </c>
      <c r="O322" s="57" cm="1">
        <f t="array" ref="O322">IF(_xlfn.XLOOKUP(CONT_SUP[[#This Row],[EquatedWeekPatternCode]],EQW[EquatedWeekPatternCode],EQW[AvailableToAllSchools],1,0,)=TRUE,0,IF(ISERROR(FIND(CONT_SUP[[#This Row],[SchoolCode]],_xlfn.TEXTJOIN(",",TRUE,_xlfn.UNIQUE(IF(EQW[EquatedWeekPatternCode]=CONT_SUP[[#This Row],[EquatedWeekPatternCode]],EQW[SchoolCodes],""))))),1,0))</f>
        <v>0</v>
      </c>
      <c r="P322" s="57">
        <f>1-COUNTIF(ContractTypes[Code],CONT_SUP[[#This Row],[ContractTypeCode]])</f>
        <v>0</v>
      </c>
      <c r="Q322" s="57">
        <f>IF(VLOOKUP(CONT_SUP[[#This Row],[StaffMemberCode]],MEMBERS[[StaffMemberCode]:[ServiceStartDate]],5,0)&gt;CONT_SUP[[#This Row],[DateFrom]],1,0)</f>
        <v>0</v>
      </c>
      <c r="R322" s="57">
        <f>IF(_xlfn.XLOOKUP(CONT_SUP[[#This Row],[StaffMemberCode]],MEMBERS[StaffMemberCode],MEMBERS[ServiceEndDate])="",0,IF(CONT_SUP[[#This Row],[DateTo]]="",1,IF(_xlfn.XLOOKUP(CONT_SUP[[#This Row],[StaffMemberCode]],MEMBERS[StaffMemberCode],MEMBERS[ServiceEndDate])&lt;CONT_SUP[[#This Row],[DateTo]],1,0)))</f>
        <v>0</v>
      </c>
      <c r="S322" s="57">
        <f>IF(ISBLANK(CONT_SUP[[#This Row],[DateTo]]),0,IF(CONT_SUP[[#This Row],[DateFrom]]=CONT_SUP[[#This Row],[DateTo]],0,IF(CONT_SUP[[#This Row],[DateFrom]]&lt;CONT_SUP[[#This Row],[DateTo]],0,1)))</f>
        <v>0</v>
      </c>
      <c r="T322" s="57" cm="1">
        <f t="array" aca="1" ref="T322" ca="1">IF(CELL("format",CONT_SUP[[#This Row],[DateFrom]])="D1",0,1)+IF(CELL("format",CONT_SUP[[#This Row],[DateTo]])="D1",0,1)</f>
        <v>0</v>
      </c>
      <c r="U322" s="57">
        <f>IF(OR(CONT_SUP[[#This Row],[MatEditOnly]]=TRUE,CONT_SUP[[#This Row],[MatEditOnly]]=FALSE),IF(OR(CONT_SUP[[#This Row],[NoIncrement]]=TRUE,CONT_SUP[[#This Row],[NoIncrement]]=FALSE),0,1),1)</f>
        <v>0</v>
      </c>
      <c r="V322" s="57">
        <f>IF(ISBLANK(CONT_SUP[[#This Row],[FundCode]])=TRUE,0,IF(COUNTIF(FUNDS[FundCode],CONT_SUP[[#This Row],[FundCode]])=1,0,1))</f>
        <v>0</v>
      </c>
      <c r="W322" s="57">
        <f>IF(LEN(CONT_SUP[[#This Row],[Notes]])&lt;4000,0,1)</f>
        <v>0</v>
      </c>
      <c r="X322" s="57">
        <f>IF(SUBSTITUTE(TEXT(CONT_SUP[[#This Row],[Reference]],10)," ","")=TEXT(CONT_SUP[[#This Row],[Reference]],10),0,1)</f>
        <v>0</v>
      </c>
      <c r="Y322" s="57">
        <f ca="1">SUM(CONT_SUP[[#This Row],[Duplicate Contract]:[Space in Code]])</f>
        <v>0</v>
      </c>
      <c r="AA322" s="12" t="s">
        <v>2126</v>
      </c>
      <c r="AB322" s="12">
        <v>10016364</v>
      </c>
      <c r="AC322" s="12">
        <v>107601</v>
      </c>
      <c r="AD322" s="57" t="str">
        <f>_xlfn.XLOOKUP(CONT_SUP[[#This Row],[StaffMemberCode]],StaffMembers!O:O,StaffMembers!R:R)</f>
        <v>Elena Iancu</v>
      </c>
      <c r="AE322" s="12" t="s">
        <v>1190</v>
      </c>
      <c r="AF322" s="57">
        <f>_xlfn.XLOOKUP(CONT_SUP[[#This Row],[SRG]],SRG[StaffRoleGroupCode],SRG[GrossSalaryFinanceCode])</f>
        <v>630100</v>
      </c>
      <c r="AG322" s="57" t="str">
        <f>_xlfn.XLOOKUP(CONT_SUP[[#This Row],[StaffRoleCode]],ROLES[StaffRoleCode],ROLES[StaffRoleGroupCode])</f>
        <v>CLE</v>
      </c>
      <c r="AH322" s="57" t="str">
        <f>_xlfn.XLOOKUP(CONT_SUP[[#This Row],[StaffRoleCode]],ROLES[StaffRoleCode],ROLES[PayScaleCode])</f>
        <v>NJC_CHE</v>
      </c>
      <c r="AI322" s="12" t="s">
        <v>3120</v>
      </c>
      <c r="AJ322" s="12">
        <v>2</v>
      </c>
      <c r="AK322" s="12" t="s">
        <v>2495</v>
      </c>
      <c r="AM322" s="68" t="s">
        <v>3132</v>
      </c>
      <c r="AN322" s="12" t="s">
        <v>3145</v>
      </c>
      <c r="AO322" s="21">
        <v>46023</v>
      </c>
      <c r="AQ322" s="12">
        <v>20</v>
      </c>
      <c r="AR322" t="b">
        <v>0</v>
      </c>
      <c r="AS322" t="b">
        <v>0</v>
      </c>
      <c r="AT322" s="12" t="s">
        <v>1574</v>
      </c>
    </row>
    <row r="323" spans="1:46" x14ac:dyDescent="0.3">
      <c r="A323" s="57" t="str">
        <f t="shared" si="10"/>
        <v>MLB10014500113800CLESPREM46023</v>
      </c>
      <c r="B323" s="57">
        <f>COUNTIF(CONT_SUP[Unique Contract],CONT_SUP[[#This Row],[Unique Contract]])-1</f>
        <v>0</v>
      </c>
      <c r="C323" s="57">
        <f>IFERROR(IF(FIND(CONT_SUP[[#This Row],[SchoolCode]],_xlfn.XLOOKUP(CONT_SUP[[#This Row],[StaffMemberCode]],MEMBERS[StaffMemberCode],MEMBERS[SchoolCodes]))&gt;0,0,1),1)</f>
        <v>0</v>
      </c>
      <c r="D323" s="57" cm="1">
        <f t="array" ref="D323">IF(_xlfn.XLOOKUP(CONT_SUP[[#This Row],[StaffRoleCode]],ROLES[StaffRoleCode],ROLES[AvailableToAllSchools],1,0,)=TRUE,0,IF(ISERROR(FIND(CONT_SUP[[#This Row],[SchoolCode]],_xlfn.TEXTJOIN(",",TRUE,_xlfn.UNIQUE(IF(ROLES[StaffRoleCode]=CONT_SUP[[#This Row],[StaffRoleCode]],ROLES[SchoolCodes],""))))),1,0))</f>
        <v>0</v>
      </c>
      <c r="E323" s="57" cm="1">
        <f t="array" ref="E32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23" s="57" cm="1">
        <f t="array" ref="F323">IF(_xlfn.XLOOKUP(CONT_SUP[[#This Row],[PayScaleCode]],PAYSCALES[PayScaleCode],PAYSCALES[AvailableToAllSchools],1,0,)=TRUE,0,IF(ISERROR(FIND(CONT_SUP[[#This Row],[SchoolCode]],_xlfn.TEXTJOIN(",",TRUE,_xlfn.UNIQUE(IF(PAYSCALES[PayScaleCode]=CONT_SUP[[#This Row],[PayScaleCode]],PAYSCALES[SchoolCodes],""))))),1,0))</f>
        <v>0</v>
      </c>
      <c r="G323" s="57">
        <f>IF(_xlfn.XLOOKUP(CONT_SUP[[#This Row],[PayScaleGradeCode]],GRADES[PayScaleGradeCode],GRADES[AvailableToAllSchools])=TRUE,0,IFERROR(IF(FIND(CONT_SUP[[#This Row],[SchoolCode]],_xlfn.XLOOKUP(CONT_SUP[[#This Row],[PayScaleGradeCode]],GRADES[PayScaleGradeCode],GRADES[SchoolCodes]))&gt;=1,0,1),1))</f>
        <v>0</v>
      </c>
      <c r="H323" s="57">
        <f>IF(ISERROR(IF((_xlfn.XLOOKUP(CONT_SUP[[#This Row],[PayScaleGradeCode]],GRADES[PayScaleGradeCode],GRADES[PayScaleCode])=CONT_SUP[[#This Row],[PayScaleCode]]),0,1)),1,0)</f>
        <v>0</v>
      </c>
      <c r="I323" s="57" cm="1">
        <f t="array" ref="I323">IF(ISERROR(FIND(CONT_SUP[[#This Row],[PayScalePointCode]],_xlfn.TEXTJOIN(",",TRUE,IF(PSPOINTS[PayScaleCode]=CONT_SUP[[#This Row],[PayScaleCode]],PSPOINTS[PayScalePointCode])))),1,0)</f>
        <v>0</v>
      </c>
      <c r="J323" s="57" cm="1">
        <f t="array" ref="J32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23" s="57">
        <f>IF(_xlfn.XLOOKUP(CONT_SUP[[#This Row],[PayScalePointCode]],PSPOINTS[PayScalePointCode],PSPOINTS[PayScalePointEnabled])=TRUE,0,1)</f>
        <v>0</v>
      </c>
      <c r="L323" s="57" cm="1">
        <f t="array" ref="L323">IF(_xlfn.XLOOKUP(CONT_SUP[[#This Row],[DepartmentCode]],DEPTS[DepartmentCode],DEPTS[AvailableToAllSchools],1,0,)=TRUE,0,IF(ISERROR(FIND(CONT_SUP[[#This Row],[SchoolCode]],_xlfn.TEXTJOIN(",",TRUE,_xlfn.UNIQUE(IF(DEPTS[DepartmentCode]=CONT_SUP[[#This Row],[DepartmentCode]],DEPTS[SchoolCodes],""))))),1,0))</f>
        <v>0</v>
      </c>
      <c r="M323" s="57">
        <f>IFERROR(IF(_xlfn.XLOOKUP(CONT_SUP[[#This Row],[SRG Gross]],FinanceCodesBudget[FinanceCode],FinanceCodesBudget[LedgerCode])=_xlfn.XLOOKUP(CONT_SUP[[#This Row],[DepartmentCode]],DEPTS[DepartmentCode],DEPTS[LedgerCode]),0,1),1)</f>
        <v>0</v>
      </c>
      <c r="N323" s="57" cm="1">
        <f t="array" ref="N323">IF(_xlfn.XLOOKUP(CONT_SUP[[#This Row],[PensionCode]],PENS[PensionCode],PENS[AvailableToAllSchools],1,0,)=TRUE,0,IF(ISERROR(FIND(CONT_SUP[[#This Row],[SchoolCode]],_xlfn.TEXTJOIN(",",TRUE,_xlfn.UNIQUE(IF(PENS[PensionCode]=CONT_SUP[[#This Row],[PensionCode]],PENS[SchoolCodes],""))))),1,0))</f>
        <v>0</v>
      </c>
      <c r="O323" s="57" cm="1">
        <f t="array" ref="O323">IF(_xlfn.XLOOKUP(CONT_SUP[[#This Row],[EquatedWeekPatternCode]],EQW[EquatedWeekPatternCode],EQW[AvailableToAllSchools],1,0,)=TRUE,0,IF(ISERROR(FIND(CONT_SUP[[#This Row],[SchoolCode]],_xlfn.TEXTJOIN(",",TRUE,_xlfn.UNIQUE(IF(EQW[EquatedWeekPatternCode]=CONT_SUP[[#This Row],[EquatedWeekPatternCode]],EQW[SchoolCodes],""))))),1,0))</f>
        <v>0</v>
      </c>
      <c r="P323" s="57">
        <f>1-COUNTIF(ContractTypes[Code],CONT_SUP[[#This Row],[ContractTypeCode]])</f>
        <v>0</v>
      </c>
      <c r="Q323" s="57">
        <f>IF(VLOOKUP(CONT_SUP[[#This Row],[StaffMemberCode]],MEMBERS[[StaffMemberCode]:[ServiceStartDate]],5,0)&gt;CONT_SUP[[#This Row],[DateFrom]],1,0)</f>
        <v>0</v>
      </c>
      <c r="R323" s="57">
        <f>IF(_xlfn.XLOOKUP(CONT_SUP[[#This Row],[StaffMemberCode]],MEMBERS[StaffMemberCode],MEMBERS[ServiceEndDate])="",0,IF(CONT_SUP[[#This Row],[DateTo]]="",1,IF(_xlfn.XLOOKUP(CONT_SUP[[#This Row],[StaffMemberCode]],MEMBERS[StaffMemberCode],MEMBERS[ServiceEndDate])&lt;CONT_SUP[[#This Row],[DateTo]],1,0)))</f>
        <v>0</v>
      </c>
      <c r="S323" s="57">
        <f>IF(ISBLANK(CONT_SUP[[#This Row],[DateTo]]),0,IF(CONT_SUP[[#This Row],[DateFrom]]=CONT_SUP[[#This Row],[DateTo]],0,IF(CONT_SUP[[#This Row],[DateFrom]]&lt;CONT_SUP[[#This Row],[DateTo]],0,1)))</f>
        <v>0</v>
      </c>
      <c r="T323" s="57" cm="1">
        <f t="array" aca="1" ref="T323" ca="1">IF(CELL("format",CONT_SUP[[#This Row],[DateFrom]])="D1",0,1)+IF(CELL("format",CONT_SUP[[#This Row],[DateTo]])="D1",0,1)</f>
        <v>0</v>
      </c>
      <c r="U323" s="57">
        <f>IF(OR(CONT_SUP[[#This Row],[MatEditOnly]]=TRUE,CONT_SUP[[#This Row],[MatEditOnly]]=FALSE),IF(OR(CONT_SUP[[#This Row],[NoIncrement]]=TRUE,CONT_SUP[[#This Row],[NoIncrement]]=FALSE),0,1),1)</f>
        <v>0</v>
      </c>
      <c r="V323" s="57">
        <f>IF(ISBLANK(CONT_SUP[[#This Row],[FundCode]])=TRUE,0,IF(COUNTIF(FUNDS[FundCode],CONT_SUP[[#This Row],[FundCode]])=1,0,1))</f>
        <v>0</v>
      </c>
      <c r="W323" s="57">
        <f>IF(LEN(CONT_SUP[[#This Row],[Notes]])&lt;4000,0,1)</f>
        <v>0</v>
      </c>
      <c r="X323" s="57">
        <f>IF(SUBSTITUTE(TEXT(CONT_SUP[[#This Row],[Reference]],10)," ","")=TEXT(CONT_SUP[[#This Row],[Reference]],10),0,1)</f>
        <v>0</v>
      </c>
      <c r="Y323" s="57">
        <f ca="1">SUM(CONT_SUP[[#This Row],[Duplicate Contract]:[Space in Code]])</f>
        <v>0</v>
      </c>
      <c r="AA323" s="12" t="s">
        <v>2126</v>
      </c>
      <c r="AB323" s="12">
        <v>10014500</v>
      </c>
      <c r="AC323" s="12">
        <v>113800</v>
      </c>
      <c r="AD323" s="57" t="str">
        <f>_xlfn.XLOOKUP(CONT_SUP[[#This Row],[StaffMemberCode]],StaffMembers!O:O,StaffMembers!R:R)</f>
        <v>Levi Rhodes-McKenzie</v>
      </c>
      <c r="AE323" s="12" t="s">
        <v>1190</v>
      </c>
      <c r="AF323" s="57">
        <f>_xlfn.XLOOKUP(CONT_SUP[[#This Row],[SRG]],SRG[StaffRoleGroupCode],SRG[GrossSalaryFinanceCode])</f>
        <v>630100</v>
      </c>
      <c r="AG323" s="57" t="str">
        <f>_xlfn.XLOOKUP(CONT_SUP[[#This Row],[StaffRoleCode]],ROLES[StaffRoleCode],ROLES[StaffRoleGroupCode])</f>
        <v>CLE</v>
      </c>
      <c r="AH323" s="57" t="str">
        <f>_xlfn.XLOOKUP(CONT_SUP[[#This Row],[StaffRoleCode]],ROLES[StaffRoleCode],ROLES[PayScaleCode])</f>
        <v>NJC_CHE</v>
      </c>
      <c r="AI323" s="12" t="s">
        <v>3120</v>
      </c>
      <c r="AJ323" s="12">
        <v>2</v>
      </c>
      <c r="AK323" s="12" t="s">
        <v>2495</v>
      </c>
      <c r="AM323" s="68" t="s">
        <v>3132</v>
      </c>
      <c r="AN323" s="12" t="s">
        <v>3145</v>
      </c>
      <c r="AO323" s="21">
        <v>46023</v>
      </c>
      <c r="AQ323" s="12">
        <v>16</v>
      </c>
      <c r="AR323" t="b">
        <v>0</v>
      </c>
      <c r="AS323" t="b">
        <v>0</v>
      </c>
      <c r="AT323" s="12" t="s">
        <v>1574</v>
      </c>
    </row>
    <row r="324" spans="1:46" x14ac:dyDescent="0.3">
      <c r="A324" s="57" t="str">
        <f t="shared" si="10"/>
        <v>MLB10013677106123CLESPREM46023</v>
      </c>
      <c r="B324" s="57">
        <f>COUNTIF(CONT_SUP[Unique Contract],CONT_SUP[[#This Row],[Unique Contract]])-1</f>
        <v>0</v>
      </c>
      <c r="C324" s="57">
        <f>IFERROR(IF(FIND(CONT_SUP[[#This Row],[SchoolCode]],_xlfn.XLOOKUP(CONT_SUP[[#This Row],[StaffMemberCode]],MEMBERS[StaffMemberCode],MEMBERS[SchoolCodes]))&gt;0,0,1),1)</f>
        <v>0</v>
      </c>
      <c r="D324" s="57" cm="1">
        <f t="array" ref="D324">IF(_xlfn.XLOOKUP(CONT_SUP[[#This Row],[StaffRoleCode]],ROLES[StaffRoleCode],ROLES[AvailableToAllSchools],1,0,)=TRUE,0,IF(ISERROR(FIND(CONT_SUP[[#This Row],[SchoolCode]],_xlfn.TEXTJOIN(",",TRUE,_xlfn.UNIQUE(IF(ROLES[StaffRoleCode]=CONT_SUP[[#This Row],[StaffRoleCode]],ROLES[SchoolCodes],""))))),1,0))</f>
        <v>0</v>
      </c>
      <c r="E324" s="57" cm="1">
        <f t="array" ref="E32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24" s="57" cm="1">
        <f t="array" ref="F324">IF(_xlfn.XLOOKUP(CONT_SUP[[#This Row],[PayScaleCode]],PAYSCALES[PayScaleCode],PAYSCALES[AvailableToAllSchools],1,0,)=TRUE,0,IF(ISERROR(FIND(CONT_SUP[[#This Row],[SchoolCode]],_xlfn.TEXTJOIN(",",TRUE,_xlfn.UNIQUE(IF(PAYSCALES[PayScaleCode]=CONT_SUP[[#This Row],[PayScaleCode]],PAYSCALES[SchoolCodes],""))))),1,0))</f>
        <v>0</v>
      </c>
      <c r="G324" s="57">
        <f>IF(_xlfn.XLOOKUP(CONT_SUP[[#This Row],[PayScaleGradeCode]],GRADES[PayScaleGradeCode],GRADES[AvailableToAllSchools])=TRUE,0,IFERROR(IF(FIND(CONT_SUP[[#This Row],[SchoolCode]],_xlfn.XLOOKUP(CONT_SUP[[#This Row],[PayScaleGradeCode]],GRADES[PayScaleGradeCode],GRADES[SchoolCodes]))&gt;=1,0,1),1))</f>
        <v>0</v>
      </c>
      <c r="H324" s="57">
        <f>IF(ISERROR(IF((_xlfn.XLOOKUP(CONT_SUP[[#This Row],[PayScaleGradeCode]],GRADES[PayScaleGradeCode],GRADES[PayScaleCode])=CONT_SUP[[#This Row],[PayScaleCode]]),0,1)),1,0)</f>
        <v>0</v>
      </c>
      <c r="I324" s="57" cm="1">
        <f t="array" ref="I324">IF(ISERROR(FIND(CONT_SUP[[#This Row],[PayScalePointCode]],_xlfn.TEXTJOIN(",",TRUE,IF(PSPOINTS[PayScaleCode]=CONT_SUP[[#This Row],[PayScaleCode]],PSPOINTS[PayScalePointCode])))),1,0)</f>
        <v>0</v>
      </c>
      <c r="J324" s="57" cm="1">
        <f t="array" ref="J32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24" s="57">
        <f>IF(_xlfn.XLOOKUP(CONT_SUP[[#This Row],[PayScalePointCode]],PSPOINTS[PayScalePointCode],PSPOINTS[PayScalePointEnabled])=TRUE,0,1)</f>
        <v>0</v>
      </c>
      <c r="L324" s="57" cm="1">
        <f t="array" ref="L324">IF(_xlfn.XLOOKUP(CONT_SUP[[#This Row],[DepartmentCode]],DEPTS[DepartmentCode],DEPTS[AvailableToAllSchools],1,0,)=TRUE,0,IF(ISERROR(FIND(CONT_SUP[[#This Row],[SchoolCode]],_xlfn.TEXTJOIN(",",TRUE,_xlfn.UNIQUE(IF(DEPTS[DepartmentCode]=CONT_SUP[[#This Row],[DepartmentCode]],DEPTS[SchoolCodes],""))))),1,0))</f>
        <v>0</v>
      </c>
      <c r="M324" s="57">
        <f>IFERROR(IF(_xlfn.XLOOKUP(CONT_SUP[[#This Row],[SRG Gross]],FinanceCodesBudget[FinanceCode],FinanceCodesBudget[LedgerCode])=_xlfn.XLOOKUP(CONT_SUP[[#This Row],[DepartmentCode]],DEPTS[DepartmentCode],DEPTS[LedgerCode]),0,1),1)</f>
        <v>0</v>
      </c>
      <c r="N324" s="57" cm="1">
        <f t="array" ref="N324">IF(_xlfn.XLOOKUP(CONT_SUP[[#This Row],[PensionCode]],PENS[PensionCode],PENS[AvailableToAllSchools],1,0,)=TRUE,0,IF(ISERROR(FIND(CONT_SUP[[#This Row],[SchoolCode]],_xlfn.TEXTJOIN(",",TRUE,_xlfn.UNIQUE(IF(PENS[PensionCode]=CONT_SUP[[#This Row],[PensionCode]],PENS[SchoolCodes],""))))),1,0))</f>
        <v>0</v>
      </c>
      <c r="O324" s="57" cm="1">
        <f t="array" ref="O324">IF(_xlfn.XLOOKUP(CONT_SUP[[#This Row],[EquatedWeekPatternCode]],EQW[EquatedWeekPatternCode],EQW[AvailableToAllSchools],1,0,)=TRUE,0,IF(ISERROR(FIND(CONT_SUP[[#This Row],[SchoolCode]],_xlfn.TEXTJOIN(",",TRUE,_xlfn.UNIQUE(IF(EQW[EquatedWeekPatternCode]=CONT_SUP[[#This Row],[EquatedWeekPatternCode]],EQW[SchoolCodes],""))))),1,0))</f>
        <v>0</v>
      </c>
      <c r="P324" s="57">
        <f>1-COUNTIF(ContractTypes[Code],CONT_SUP[[#This Row],[ContractTypeCode]])</f>
        <v>0</v>
      </c>
      <c r="Q324" s="57">
        <f>IF(VLOOKUP(CONT_SUP[[#This Row],[StaffMemberCode]],MEMBERS[[StaffMemberCode]:[ServiceStartDate]],5,0)&gt;CONT_SUP[[#This Row],[DateFrom]],1,0)</f>
        <v>0</v>
      </c>
      <c r="R324" s="57">
        <f>IF(_xlfn.XLOOKUP(CONT_SUP[[#This Row],[StaffMemberCode]],MEMBERS[StaffMemberCode],MEMBERS[ServiceEndDate])="",0,IF(CONT_SUP[[#This Row],[DateTo]]="",1,IF(_xlfn.XLOOKUP(CONT_SUP[[#This Row],[StaffMemberCode]],MEMBERS[StaffMemberCode],MEMBERS[ServiceEndDate])&lt;CONT_SUP[[#This Row],[DateTo]],1,0)))</f>
        <v>0</v>
      </c>
      <c r="S324" s="57">
        <f>IF(ISBLANK(CONT_SUP[[#This Row],[DateTo]]),0,IF(CONT_SUP[[#This Row],[DateFrom]]=CONT_SUP[[#This Row],[DateTo]],0,IF(CONT_SUP[[#This Row],[DateFrom]]&lt;CONT_SUP[[#This Row],[DateTo]],0,1)))</f>
        <v>0</v>
      </c>
      <c r="T324" s="57" cm="1">
        <f t="array" aca="1" ref="T324" ca="1">IF(CELL("format",CONT_SUP[[#This Row],[DateFrom]])="D1",0,1)+IF(CELL("format",CONT_SUP[[#This Row],[DateTo]])="D1",0,1)</f>
        <v>0</v>
      </c>
      <c r="U324" s="57">
        <f>IF(OR(CONT_SUP[[#This Row],[MatEditOnly]]=TRUE,CONT_SUP[[#This Row],[MatEditOnly]]=FALSE),IF(OR(CONT_SUP[[#This Row],[NoIncrement]]=TRUE,CONT_SUP[[#This Row],[NoIncrement]]=FALSE),0,1),1)</f>
        <v>0</v>
      </c>
      <c r="V324" s="57">
        <f>IF(ISBLANK(CONT_SUP[[#This Row],[FundCode]])=TRUE,0,IF(COUNTIF(FUNDS[FundCode],CONT_SUP[[#This Row],[FundCode]])=1,0,1))</f>
        <v>0</v>
      </c>
      <c r="W324" s="57">
        <f>IF(LEN(CONT_SUP[[#This Row],[Notes]])&lt;4000,0,1)</f>
        <v>0</v>
      </c>
      <c r="X324" s="57">
        <f>IF(SUBSTITUTE(TEXT(CONT_SUP[[#This Row],[Reference]],10)," ","")=TEXT(CONT_SUP[[#This Row],[Reference]],10),0,1)</f>
        <v>0</v>
      </c>
      <c r="Y324" s="57">
        <f ca="1">SUM(CONT_SUP[[#This Row],[Duplicate Contract]:[Space in Code]])</f>
        <v>0</v>
      </c>
      <c r="AA324" s="12" t="s">
        <v>2126</v>
      </c>
      <c r="AB324" s="12">
        <v>10013677</v>
      </c>
      <c r="AC324" s="12">
        <v>106123</v>
      </c>
      <c r="AD324" s="57" t="str">
        <f>_xlfn.XLOOKUP(CONT_SUP[[#This Row],[StaffMemberCode]],StaffMembers!O:O,StaffMembers!R:R)</f>
        <v>Shirley Rogerson</v>
      </c>
      <c r="AE324" s="12" t="s">
        <v>1190</v>
      </c>
      <c r="AF324" s="57">
        <f>_xlfn.XLOOKUP(CONT_SUP[[#This Row],[SRG]],SRG[StaffRoleGroupCode],SRG[GrossSalaryFinanceCode])</f>
        <v>630100</v>
      </c>
      <c r="AG324" s="57" t="str">
        <f>_xlfn.XLOOKUP(CONT_SUP[[#This Row],[StaffRoleCode]],ROLES[StaffRoleCode],ROLES[StaffRoleGroupCode])</f>
        <v>CLE</v>
      </c>
      <c r="AH324" s="57" t="str">
        <f>_xlfn.XLOOKUP(CONT_SUP[[#This Row],[StaffRoleCode]],ROLES[StaffRoleCode],ROLES[PayScaleCode])</f>
        <v>NJC_CHE</v>
      </c>
      <c r="AI324" s="12" t="s">
        <v>3120</v>
      </c>
      <c r="AJ324" s="12">
        <v>2</v>
      </c>
      <c r="AK324" s="12" t="s">
        <v>2495</v>
      </c>
      <c r="AM324" s="68" t="s">
        <v>3132</v>
      </c>
      <c r="AN324" s="12" t="s">
        <v>3145</v>
      </c>
      <c r="AO324" s="21">
        <v>46023</v>
      </c>
      <c r="AQ324" s="12">
        <v>15</v>
      </c>
      <c r="AR324" t="b">
        <v>0</v>
      </c>
      <c r="AS324" t="b">
        <v>0</v>
      </c>
      <c r="AT324" s="12" t="s">
        <v>1574</v>
      </c>
    </row>
    <row r="325" spans="1:46" x14ac:dyDescent="0.3">
      <c r="A325" s="57" t="str">
        <f t="shared" si="10"/>
        <v>MLB10005351106126CLESPREM46023</v>
      </c>
      <c r="B325" s="57">
        <f>COUNTIF(CONT_SUP[Unique Contract],CONT_SUP[[#This Row],[Unique Contract]])-1</f>
        <v>0</v>
      </c>
      <c r="C325" s="57">
        <f>IFERROR(IF(FIND(CONT_SUP[[#This Row],[SchoolCode]],_xlfn.XLOOKUP(CONT_SUP[[#This Row],[StaffMemberCode]],MEMBERS[StaffMemberCode],MEMBERS[SchoolCodes]))&gt;0,0,1),1)</f>
        <v>0</v>
      </c>
      <c r="D325" s="57" cm="1">
        <f t="array" ref="D325">IF(_xlfn.XLOOKUP(CONT_SUP[[#This Row],[StaffRoleCode]],ROLES[StaffRoleCode],ROLES[AvailableToAllSchools],1,0,)=TRUE,0,IF(ISERROR(FIND(CONT_SUP[[#This Row],[SchoolCode]],_xlfn.TEXTJOIN(",",TRUE,_xlfn.UNIQUE(IF(ROLES[StaffRoleCode]=CONT_SUP[[#This Row],[StaffRoleCode]],ROLES[SchoolCodes],""))))),1,0))</f>
        <v>0</v>
      </c>
      <c r="E325" s="57" cm="1">
        <f t="array" ref="E32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25" s="57" cm="1">
        <f t="array" ref="F325">IF(_xlfn.XLOOKUP(CONT_SUP[[#This Row],[PayScaleCode]],PAYSCALES[PayScaleCode],PAYSCALES[AvailableToAllSchools],1,0,)=TRUE,0,IF(ISERROR(FIND(CONT_SUP[[#This Row],[SchoolCode]],_xlfn.TEXTJOIN(",",TRUE,_xlfn.UNIQUE(IF(PAYSCALES[PayScaleCode]=CONT_SUP[[#This Row],[PayScaleCode]],PAYSCALES[SchoolCodes],""))))),1,0))</f>
        <v>0</v>
      </c>
      <c r="G325" s="57">
        <f>IF(_xlfn.XLOOKUP(CONT_SUP[[#This Row],[PayScaleGradeCode]],GRADES[PayScaleGradeCode],GRADES[AvailableToAllSchools])=TRUE,0,IFERROR(IF(FIND(CONT_SUP[[#This Row],[SchoolCode]],_xlfn.XLOOKUP(CONT_SUP[[#This Row],[PayScaleGradeCode]],GRADES[PayScaleGradeCode],GRADES[SchoolCodes]))&gt;=1,0,1),1))</f>
        <v>0</v>
      </c>
      <c r="H325" s="57">
        <f>IF(ISERROR(IF((_xlfn.XLOOKUP(CONT_SUP[[#This Row],[PayScaleGradeCode]],GRADES[PayScaleGradeCode],GRADES[PayScaleCode])=CONT_SUP[[#This Row],[PayScaleCode]]),0,1)),1,0)</f>
        <v>0</v>
      </c>
      <c r="I325" s="57" cm="1">
        <f t="array" ref="I325">IF(ISERROR(FIND(CONT_SUP[[#This Row],[PayScalePointCode]],_xlfn.TEXTJOIN(",",TRUE,IF(PSPOINTS[PayScaleCode]=CONT_SUP[[#This Row],[PayScaleCode]],PSPOINTS[PayScalePointCode])))),1,0)</f>
        <v>0</v>
      </c>
      <c r="J325" s="57" cm="1">
        <f t="array" ref="J32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25" s="57">
        <f>IF(_xlfn.XLOOKUP(CONT_SUP[[#This Row],[PayScalePointCode]],PSPOINTS[PayScalePointCode],PSPOINTS[PayScalePointEnabled])=TRUE,0,1)</f>
        <v>0</v>
      </c>
      <c r="L325" s="57" cm="1">
        <f t="array" ref="L325">IF(_xlfn.XLOOKUP(CONT_SUP[[#This Row],[DepartmentCode]],DEPTS[DepartmentCode],DEPTS[AvailableToAllSchools],1,0,)=TRUE,0,IF(ISERROR(FIND(CONT_SUP[[#This Row],[SchoolCode]],_xlfn.TEXTJOIN(",",TRUE,_xlfn.UNIQUE(IF(DEPTS[DepartmentCode]=CONT_SUP[[#This Row],[DepartmentCode]],DEPTS[SchoolCodes],""))))),1,0))</f>
        <v>0</v>
      </c>
      <c r="M325" s="57">
        <f>IFERROR(IF(_xlfn.XLOOKUP(CONT_SUP[[#This Row],[SRG Gross]],FinanceCodesBudget[FinanceCode],FinanceCodesBudget[LedgerCode])=_xlfn.XLOOKUP(CONT_SUP[[#This Row],[DepartmentCode]],DEPTS[DepartmentCode],DEPTS[LedgerCode]),0,1),1)</f>
        <v>0</v>
      </c>
      <c r="N325" s="57" cm="1">
        <f t="array" ref="N325">IF(_xlfn.XLOOKUP(CONT_SUP[[#This Row],[PensionCode]],PENS[PensionCode],PENS[AvailableToAllSchools],1,0,)=TRUE,0,IF(ISERROR(FIND(CONT_SUP[[#This Row],[SchoolCode]],_xlfn.TEXTJOIN(",",TRUE,_xlfn.UNIQUE(IF(PENS[PensionCode]=CONT_SUP[[#This Row],[PensionCode]],PENS[SchoolCodes],""))))),1,0))</f>
        <v>0</v>
      </c>
      <c r="O325" s="57" cm="1">
        <f t="array" ref="O325">IF(_xlfn.XLOOKUP(CONT_SUP[[#This Row],[EquatedWeekPatternCode]],EQW[EquatedWeekPatternCode],EQW[AvailableToAllSchools],1,0,)=TRUE,0,IF(ISERROR(FIND(CONT_SUP[[#This Row],[SchoolCode]],_xlfn.TEXTJOIN(",",TRUE,_xlfn.UNIQUE(IF(EQW[EquatedWeekPatternCode]=CONT_SUP[[#This Row],[EquatedWeekPatternCode]],EQW[SchoolCodes],""))))),1,0))</f>
        <v>0</v>
      </c>
      <c r="P325" s="57">
        <f>1-COUNTIF(ContractTypes[Code],CONT_SUP[[#This Row],[ContractTypeCode]])</f>
        <v>0</v>
      </c>
      <c r="Q325" s="57">
        <f>IF(VLOOKUP(CONT_SUP[[#This Row],[StaffMemberCode]],MEMBERS[[StaffMemberCode]:[ServiceStartDate]],5,0)&gt;CONT_SUP[[#This Row],[DateFrom]],1,0)</f>
        <v>0</v>
      </c>
      <c r="R325" s="57">
        <f>IF(_xlfn.XLOOKUP(CONT_SUP[[#This Row],[StaffMemberCode]],MEMBERS[StaffMemberCode],MEMBERS[ServiceEndDate])="",0,IF(CONT_SUP[[#This Row],[DateTo]]="",1,IF(_xlfn.XLOOKUP(CONT_SUP[[#This Row],[StaffMemberCode]],MEMBERS[StaffMemberCode],MEMBERS[ServiceEndDate])&lt;CONT_SUP[[#This Row],[DateTo]],1,0)))</f>
        <v>0</v>
      </c>
      <c r="S325" s="57">
        <f>IF(ISBLANK(CONT_SUP[[#This Row],[DateTo]]),0,IF(CONT_SUP[[#This Row],[DateFrom]]=CONT_SUP[[#This Row],[DateTo]],0,IF(CONT_SUP[[#This Row],[DateFrom]]&lt;CONT_SUP[[#This Row],[DateTo]],0,1)))</f>
        <v>0</v>
      </c>
      <c r="T325" s="57" cm="1">
        <f t="array" aca="1" ref="T325" ca="1">IF(CELL("format",CONT_SUP[[#This Row],[DateFrom]])="D1",0,1)+IF(CELL("format",CONT_SUP[[#This Row],[DateTo]])="D1",0,1)</f>
        <v>0</v>
      </c>
      <c r="U325" s="57">
        <f>IF(OR(CONT_SUP[[#This Row],[MatEditOnly]]=TRUE,CONT_SUP[[#This Row],[MatEditOnly]]=FALSE),IF(OR(CONT_SUP[[#This Row],[NoIncrement]]=TRUE,CONT_SUP[[#This Row],[NoIncrement]]=FALSE),0,1),1)</f>
        <v>0</v>
      </c>
      <c r="V325" s="57">
        <f>IF(ISBLANK(CONT_SUP[[#This Row],[FundCode]])=TRUE,0,IF(COUNTIF(FUNDS[FundCode],CONT_SUP[[#This Row],[FundCode]])=1,0,1))</f>
        <v>0</v>
      </c>
      <c r="W325" s="57">
        <f>IF(LEN(CONT_SUP[[#This Row],[Notes]])&lt;4000,0,1)</f>
        <v>0</v>
      </c>
      <c r="X325" s="57">
        <f>IF(SUBSTITUTE(TEXT(CONT_SUP[[#This Row],[Reference]],10)," ","")=TEXT(CONT_SUP[[#This Row],[Reference]],10),0,1)</f>
        <v>0</v>
      </c>
      <c r="Y325" s="57">
        <f ca="1">SUM(CONT_SUP[[#This Row],[Duplicate Contract]:[Space in Code]])</f>
        <v>0</v>
      </c>
      <c r="AA325" s="12" t="s">
        <v>2126</v>
      </c>
      <c r="AB325" s="12">
        <v>10005351</v>
      </c>
      <c r="AC325" s="12">
        <v>106126</v>
      </c>
      <c r="AD325" s="57" t="str">
        <f>_xlfn.XLOOKUP(CONT_SUP[[#This Row],[StaffMemberCode]],StaffMembers!O:O,StaffMembers!R:R)</f>
        <v>Lisa Murrell</v>
      </c>
      <c r="AE325" s="12" t="s">
        <v>1190</v>
      </c>
      <c r="AF325" s="57">
        <f>_xlfn.XLOOKUP(CONT_SUP[[#This Row],[SRG]],SRG[StaffRoleGroupCode],SRG[GrossSalaryFinanceCode])</f>
        <v>630100</v>
      </c>
      <c r="AG325" s="57" t="str">
        <f>_xlfn.XLOOKUP(CONT_SUP[[#This Row],[StaffRoleCode]],ROLES[StaffRoleCode],ROLES[StaffRoleGroupCode])</f>
        <v>CLE</v>
      </c>
      <c r="AH325" s="57" t="str">
        <f>_xlfn.XLOOKUP(CONT_SUP[[#This Row],[StaffRoleCode]],ROLES[StaffRoleCode],ROLES[PayScaleCode])</f>
        <v>NJC_CHE</v>
      </c>
      <c r="AI325" s="12" t="s">
        <v>3120</v>
      </c>
      <c r="AJ325" s="12">
        <v>2</v>
      </c>
      <c r="AK325" s="12" t="s">
        <v>2495</v>
      </c>
      <c r="AM325" s="68" t="s">
        <v>3132</v>
      </c>
      <c r="AN325" s="12" t="s">
        <v>3145</v>
      </c>
      <c r="AO325" s="21">
        <v>46023</v>
      </c>
      <c r="AQ325" s="12">
        <v>15</v>
      </c>
      <c r="AR325" t="b">
        <v>0</v>
      </c>
      <c r="AS325" t="b">
        <v>0</v>
      </c>
      <c r="AT325" s="12" t="s">
        <v>1574</v>
      </c>
    </row>
    <row r="326" spans="1:46" x14ac:dyDescent="0.3">
      <c r="A326" s="57" t="str">
        <f t="shared" si="10"/>
        <v>MLB10005346106120CLESPREM46023</v>
      </c>
      <c r="B326" s="57">
        <f>COUNTIF(CONT_SUP[Unique Contract],CONT_SUP[[#This Row],[Unique Contract]])-1</f>
        <v>0</v>
      </c>
      <c r="C326" s="57">
        <f>IFERROR(IF(FIND(CONT_SUP[[#This Row],[SchoolCode]],_xlfn.XLOOKUP(CONT_SUP[[#This Row],[StaffMemberCode]],MEMBERS[StaffMemberCode],MEMBERS[SchoolCodes]))&gt;0,0,1),1)</f>
        <v>0</v>
      </c>
      <c r="D326" s="57" cm="1">
        <f t="array" ref="D326">IF(_xlfn.XLOOKUP(CONT_SUP[[#This Row],[StaffRoleCode]],ROLES[StaffRoleCode],ROLES[AvailableToAllSchools],1,0,)=TRUE,0,IF(ISERROR(FIND(CONT_SUP[[#This Row],[SchoolCode]],_xlfn.TEXTJOIN(",",TRUE,_xlfn.UNIQUE(IF(ROLES[StaffRoleCode]=CONT_SUP[[#This Row],[StaffRoleCode]],ROLES[SchoolCodes],""))))),1,0))</f>
        <v>0</v>
      </c>
      <c r="E326" s="57" cm="1">
        <f t="array" ref="E32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26" s="57" cm="1">
        <f t="array" ref="F326">IF(_xlfn.XLOOKUP(CONT_SUP[[#This Row],[PayScaleCode]],PAYSCALES[PayScaleCode],PAYSCALES[AvailableToAllSchools],1,0,)=TRUE,0,IF(ISERROR(FIND(CONT_SUP[[#This Row],[SchoolCode]],_xlfn.TEXTJOIN(",",TRUE,_xlfn.UNIQUE(IF(PAYSCALES[PayScaleCode]=CONT_SUP[[#This Row],[PayScaleCode]],PAYSCALES[SchoolCodes],""))))),1,0))</f>
        <v>0</v>
      </c>
      <c r="G326" s="57">
        <f>IF(_xlfn.XLOOKUP(CONT_SUP[[#This Row],[PayScaleGradeCode]],GRADES[PayScaleGradeCode],GRADES[AvailableToAllSchools])=TRUE,0,IFERROR(IF(FIND(CONT_SUP[[#This Row],[SchoolCode]],_xlfn.XLOOKUP(CONT_SUP[[#This Row],[PayScaleGradeCode]],GRADES[PayScaleGradeCode],GRADES[SchoolCodes]))&gt;=1,0,1),1))</f>
        <v>0</v>
      </c>
      <c r="H326" s="57">
        <f>IF(ISERROR(IF((_xlfn.XLOOKUP(CONT_SUP[[#This Row],[PayScaleGradeCode]],GRADES[PayScaleGradeCode],GRADES[PayScaleCode])=CONT_SUP[[#This Row],[PayScaleCode]]),0,1)),1,0)</f>
        <v>0</v>
      </c>
      <c r="I326" s="57" cm="1">
        <f t="array" ref="I326">IF(ISERROR(FIND(CONT_SUP[[#This Row],[PayScalePointCode]],_xlfn.TEXTJOIN(",",TRUE,IF(PSPOINTS[PayScaleCode]=CONT_SUP[[#This Row],[PayScaleCode]],PSPOINTS[PayScalePointCode])))),1,0)</f>
        <v>0</v>
      </c>
      <c r="J326" s="57" cm="1">
        <f t="array" ref="J32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26" s="57">
        <f>IF(_xlfn.XLOOKUP(CONT_SUP[[#This Row],[PayScalePointCode]],PSPOINTS[PayScalePointCode],PSPOINTS[PayScalePointEnabled])=TRUE,0,1)</f>
        <v>0</v>
      </c>
      <c r="L326" s="57" cm="1">
        <f t="array" ref="L326">IF(_xlfn.XLOOKUP(CONT_SUP[[#This Row],[DepartmentCode]],DEPTS[DepartmentCode],DEPTS[AvailableToAllSchools],1,0,)=TRUE,0,IF(ISERROR(FIND(CONT_SUP[[#This Row],[SchoolCode]],_xlfn.TEXTJOIN(",",TRUE,_xlfn.UNIQUE(IF(DEPTS[DepartmentCode]=CONT_SUP[[#This Row],[DepartmentCode]],DEPTS[SchoolCodes],""))))),1,0))</f>
        <v>0</v>
      </c>
      <c r="M326" s="57">
        <f>IFERROR(IF(_xlfn.XLOOKUP(CONT_SUP[[#This Row],[SRG Gross]],FinanceCodesBudget[FinanceCode],FinanceCodesBudget[LedgerCode])=_xlfn.XLOOKUP(CONT_SUP[[#This Row],[DepartmentCode]],DEPTS[DepartmentCode],DEPTS[LedgerCode]),0,1),1)</f>
        <v>0</v>
      </c>
      <c r="N326" s="57" cm="1">
        <f t="array" ref="N326">IF(_xlfn.XLOOKUP(CONT_SUP[[#This Row],[PensionCode]],PENS[PensionCode],PENS[AvailableToAllSchools],1,0,)=TRUE,0,IF(ISERROR(FIND(CONT_SUP[[#This Row],[SchoolCode]],_xlfn.TEXTJOIN(",",TRUE,_xlfn.UNIQUE(IF(PENS[PensionCode]=CONT_SUP[[#This Row],[PensionCode]],PENS[SchoolCodes],""))))),1,0))</f>
        <v>0</v>
      </c>
      <c r="O326" s="57" cm="1">
        <f t="array" ref="O326">IF(_xlfn.XLOOKUP(CONT_SUP[[#This Row],[EquatedWeekPatternCode]],EQW[EquatedWeekPatternCode],EQW[AvailableToAllSchools],1,0,)=TRUE,0,IF(ISERROR(FIND(CONT_SUP[[#This Row],[SchoolCode]],_xlfn.TEXTJOIN(",",TRUE,_xlfn.UNIQUE(IF(EQW[EquatedWeekPatternCode]=CONT_SUP[[#This Row],[EquatedWeekPatternCode]],EQW[SchoolCodes],""))))),1,0))</f>
        <v>0</v>
      </c>
      <c r="P326" s="57">
        <f>1-COUNTIF(ContractTypes[Code],CONT_SUP[[#This Row],[ContractTypeCode]])</f>
        <v>0</v>
      </c>
      <c r="Q326" s="57">
        <f>IF(VLOOKUP(CONT_SUP[[#This Row],[StaffMemberCode]],MEMBERS[[StaffMemberCode]:[ServiceStartDate]],5,0)&gt;CONT_SUP[[#This Row],[DateFrom]],1,0)</f>
        <v>0</v>
      </c>
      <c r="R326" s="57">
        <f>IF(_xlfn.XLOOKUP(CONT_SUP[[#This Row],[StaffMemberCode]],MEMBERS[StaffMemberCode],MEMBERS[ServiceEndDate])="",0,IF(CONT_SUP[[#This Row],[DateTo]]="",1,IF(_xlfn.XLOOKUP(CONT_SUP[[#This Row],[StaffMemberCode]],MEMBERS[StaffMemberCode],MEMBERS[ServiceEndDate])&lt;CONT_SUP[[#This Row],[DateTo]],1,0)))</f>
        <v>0</v>
      </c>
      <c r="S326" s="57">
        <f>IF(ISBLANK(CONT_SUP[[#This Row],[DateTo]]),0,IF(CONT_SUP[[#This Row],[DateFrom]]=CONT_SUP[[#This Row],[DateTo]],0,IF(CONT_SUP[[#This Row],[DateFrom]]&lt;CONT_SUP[[#This Row],[DateTo]],0,1)))</f>
        <v>0</v>
      </c>
      <c r="T326" s="57" cm="1">
        <f t="array" aca="1" ref="T326" ca="1">IF(CELL("format",CONT_SUP[[#This Row],[DateFrom]])="D1",0,1)+IF(CELL("format",CONT_SUP[[#This Row],[DateTo]])="D1",0,1)</f>
        <v>0</v>
      </c>
      <c r="U326" s="57">
        <f>IF(OR(CONT_SUP[[#This Row],[MatEditOnly]]=TRUE,CONT_SUP[[#This Row],[MatEditOnly]]=FALSE),IF(OR(CONT_SUP[[#This Row],[NoIncrement]]=TRUE,CONT_SUP[[#This Row],[NoIncrement]]=FALSE),0,1),1)</f>
        <v>0</v>
      </c>
      <c r="V326" s="57">
        <f>IF(ISBLANK(CONT_SUP[[#This Row],[FundCode]])=TRUE,0,IF(COUNTIF(FUNDS[FundCode],CONT_SUP[[#This Row],[FundCode]])=1,0,1))</f>
        <v>0</v>
      </c>
      <c r="W326" s="57">
        <f>IF(LEN(CONT_SUP[[#This Row],[Notes]])&lt;4000,0,1)</f>
        <v>0</v>
      </c>
      <c r="X326" s="57">
        <f>IF(SUBSTITUTE(TEXT(CONT_SUP[[#This Row],[Reference]],10)," ","")=TEXT(CONT_SUP[[#This Row],[Reference]],10),0,1)</f>
        <v>0</v>
      </c>
      <c r="Y326" s="57">
        <f ca="1">SUM(CONT_SUP[[#This Row],[Duplicate Contract]:[Space in Code]])</f>
        <v>0</v>
      </c>
      <c r="AA326" s="12" t="s">
        <v>2126</v>
      </c>
      <c r="AB326" s="12">
        <v>10005346</v>
      </c>
      <c r="AC326" s="12">
        <v>106120</v>
      </c>
      <c r="AD326" s="57" t="str">
        <f>_xlfn.XLOOKUP(CONT_SUP[[#This Row],[StaffMemberCode]],StaffMembers!O:O,StaffMembers!R:R)</f>
        <v>Stacey Smith</v>
      </c>
      <c r="AE326" s="12" t="s">
        <v>1190</v>
      </c>
      <c r="AF326" s="57">
        <f>_xlfn.XLOOKUP(CONT_SUP[[#This Row],[SRG]],SRG[StaffRoleGroupCode],SRG[GrossSalaryFinanceCode])</f>
        <v>630100</v>
      </c>
      <c r="AG326" s="57" t="str">
        <f>_xlfn.XLOOKUP(CONT_SUP[[#This Row],[StaffRoleCode]],ROLES[StaffRoleCode],ROLES[StaffRoleGroupCode])</f>
        <v>CLE</v>
      </c>
      <c r="AH326" s="57" t="str">
        <f>_xlfn.XLOOKUP(CONT_SUP[[#This Row],[StaffRoleCode]],ROLES[StaffRoleCode],ROLES[PayScaleCode])</f>
        <v>NJC_CHE</v>
      </c>
      <c r="AI326" s="12" t="s">
        <v>3120</v>
      </c>
      <c r="AJ326" s="12">
        <v>2</v>
      </c>
      <c r="AK326" s="12" t="s">
        <v>2495</v>
      </c>
      <c r="AM326" s="68" t="s">
        <v>3132</v>
      </c>
      <c r="AN326" s="12" t="s">
        <v>3145</v>
      </c>
      <c r="AO326" s="21">
        <v>46023</v>
      </c>
      <c r="AQ326" s="12">
        <v>20</v>
      </c>
      <c r="AR326" t="b">
        <v>0</v>
      </c>
      <c r="AS326" t="b">
        <v>0</v>
      </c>
      <c r="AT326" s="12" t="s">
        <v>1574</v>
      </c>
    </row>
    <row r="327" spans="1:46" x14ac:dyDescent="0.3">
      <c r="A327" s="57" t="str">
        <f t="shared" si="10"/>
        <v>MLB10005354106129CLESPREM46023</v>
      </c>
      <c r="B327" s="57">
        <f>COUNTIF(CONT_SUP[Unique Contract],CONT_SUP[[#This Row],[Unique Contract]])-1</f>
        <v>0</v>
      </c>
      <c r="C327" s="57">
        <f>IFERROR(IF(FIND(CONT_SUP[[#This Row],[SchoolCode]],_xlfn.XLOOKUP(CONT_SUP[[#This Row],[StaffMemberCode]],MEMBERS[StaffMemberCode],MEMBERS[SchoolCodes]))&gt;0,0,1),1)</f>
        <v>0</v>
      </c>
      <c r="D327" s="57" cm="1">
        <f t="array" ref="D327">IF(_xlfn.XLOOKUP(CONT_SUP[[#This Row],[StaffRoleCode]],ROLES[StaffRoleCode],ROLES[AvailableToAllSchools],1,0,)=TRUE,0,IF(ISERROR(FIND(CONT_SUP[[#This Row],[SchoolCode]],_xlfn.TEXTJOIN(",",TRUE,_xlfn.UNIQUE(IF(ROLES[StaffRoleCode]=CONT_SUP[[#This Row],[StaffRoleCode]],ROLES[SchoolCodes],""))))),1,0))</f>
        <v>0</v>
      </c>
      <c r="E327" s="57" cm="1">
        <f t="array" ref="E32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27" s="57" cm="1">
        <f t="array" ref="F327">IF(_xlfn.XLOOKUP(CONT_SUP[[#This Row],[PayScaleCode]],PAYSCALES[PayScaleCode],PAYSCALES[AvailableToAllSchools],1,0,)=TRUE,0,IF(ISERROR(FIND(CONT_SUP[[#This Row],[SchoolCode]],_xlfn.TEXTJOIN(",",TRUE,_xlfn.UNIQUE(IF(PAYSCALES[PayScaleCode]=CONT_SUP[[#This Row],[PayScaleCode]],PAYSCALES[SchoolCodes],""))))),1,0))</f>
        <v>0</v>
      </c>
      <c r="G327" s="57">
        <f>IF(_xlfn.XLOOKUP(CONT_SUP[[#This Row],[PayScaleGradeCode]],GRADES[PayScaleGradeCode],GRADES[AvailableToAllSchools])=TRUE,0,IFERROR(IF(FIND(CONT_SUP[[#This Row],[SchoolCode]],_xlfn.XLOOKUP(CONT_SUP[[#This Row],[PayScaleGradeCode]],GRADES[PayScaleGradeCode],GRADES[SchoolCodes]))&gt;=1,0,1),1))</f>
        <v>0</v>
      </c>
      <c r="H327" s="57">
        <f>IF(ISERROR(IF((_xlfn.XLOOKUP(CONT_SUP[[#This Row],[PayScaleGradeCode]],GRADES[PayScaleGradeCode],GRADES[PayScaleCode])=CONT_SUP[[#This Row],[PayScaleCode]]),0,1)),1,0)</f>
        <v>0</v>
      </c>
      <c r="I327" s="57" cm="1">
        <f t="array" ref="I327">IF(ISERROR(FIND(CONT_SUP[[#This Row],[PayScalePointCode]],_xlfn.TEXTJOIN(",",TRUE,IF(PSPOINTS[PayScaleCode]=CONT_SUP[[#This Row],[PayScaleCode]],PSPOINTS[PayScalePointCode])))),1,0)</f>
        <v>0</v>
      </c>
      <c r="J327" s="57" cm="1">
        <f t="array" ref="J32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27" s="57">
        <f>IF(_xlfn.XLOOKUP(CONT_SUP[[#This Row],[PayScalePointCode]],PSPOINTS[PayScalePointCode],PSPOINTS[PayScalePointEnabled])=TRUE,0,1)</f>
        <v>0</v>
      </c>
      <c r="L327" s="57" cm="1">
        <f t="array" ref="L327">IF(_xlfn.XLOOKUP(CONT_SUP[[#This Row],[DepartmentCode]],DEPTS[DepartmentCode],DEPTS[AvailableToAllSchools],1,0,)=TRUE,0,IF(ISERROR(FIND(CONT_SUP[[#This Row],[SchoolCode]],_xlfn.TEXTJOIN(",",TRUE,_xlfn.UNIQUE(IF(DEPTS[DepartmentCode]=CONT_SUP[[#This Row],[DepartmentCode]],DEPTS[SchoolCodes],""))))),1,0))</f>
        <v>0</v>
      </c>
      <c r="M327" s="57">
        <f>IFERROR(IF(_xlfn.XLOOKUP(CONT_SUP[[#This Row],[SRG Gross]],FinanceCodesBudget[FinanceCode],FinanceCodesBudget[LedgerCode])=_xlfn.XLOOKUP(CONT_SUP[[#This Row],[DepartmentCode]],DEPTS[DepartmentCode],DEPTS[LedgerCode]),0,1),1)</f>
        <v>0</v>
      </c>
      <c r="N327" s="57" cm="1">
        <f t="array" ref="N327">IF(_xlfn.XLOOKUP(CONT_SUP[[#This Row],[PensionCode]],PENS[PensionCode],PENS[AvailableToAllSchools],1,0,)=TRUE,0,IF(ISERROR(FIND(CONT_SUP[[#This Row],[SchoolCode]],_xlfn.TEXTJOIN(",",TRUE,_xlfn.UNIQUE(IF(PENS[PensionCode]=CONT_SUP[[#This Row],[PensionCode]],PENS[SchoolCodes],""))))),1,0))</f>
        <v>0</v>
      </c>
      <c r="O327" s="57" cm="1">
        <f t="array" ref="O327">IF(_xlfn.XLOOKUP(CONT_SUP[[#This Row],[EquatedWeekPatternCode]],EQW[EquatedWeekPatternCode],EQW[AvailableToAllSchools],1,0,)=TRUE,0,IF(ISERROR(FIND(CONT_SUP[[#This Row],[SchoolCode]],_xlfn.TEXTJOIN(",",TRUE,_xlfn.UNIQUE(IF(EQW[EquatedWeekPatternCode]=CONT_SUP[[#This Row],[EquatedWeekPatternCode]],EQW[SchoolCodes],""))))),1,0))</f>
        <v>0</v>
      </c>
      <c r="P327" s="57">
        <f>1-COUNTIF(ContractTypes[Code],CONT_SUP[[#This Row],[ContractTypeCode]])</f>
        <v>0</v>
      </c>
      <c r="Q327" s="57">
        <f>IF(VLOOKUP(CONT_SUP[[#This Row],[StaffMemberCode]],MEMBERS[[StaffMemberCode]:[ServiceStartDate]],5,0)&gt;CONT_SUP[[#This Row],[DateFrom]],1,0)</f>
        <v>0</v>
      </c>
      <c r="R327" s="57">
        <f>IF(_xlfn.XLOOKUP(CONT_SUP[[#This Row],[StaffMemberCode]],MEMBERS[StaffMemberCode],MEMBERS[ServiceEndDate])="",0,IF(CONT_SUP[[#This Row],[DateTo]]="",1,IF(_xlfn.XLOOKUP(CONT_SUP[[#This Row],[StaffMemberCode]],MEMBERS[StaffMemberCode],MEMBERS[ServiceEndDate])&lt;CONT_SUP[[#This Row],[DateTo]],1,0)))</f>
        <v>0</v>
      </c>
      <c r="S327" s="57">
        <f>IF(ISBLANK(CONT_SUP[[#This Row],[DateTo]]),0,IF(CONT_SUP[[#This Row],[DateFrom]]=CONT_SUP[[#This Row],[DateTo]],0,IF(CONT_SUP[[#This Row],[DateFrom]]&lt;CONT_SUP[[#This Row],[DateTo]],0,1)))</f>
        <v>0</v>
      </c>
      <c r="T327" s="57" cm="1">
        <f t="array" aca="1" ref="T327" ca="1">IF(CELL("format",CONT_SUP[[#This Row],[DateFrom]])="D1",0,1)+IF(CELL("format",CONT_SUP[[#This Row],[DateTo]])="D1",0,1)</f>
        <v>0</v>
      </c>
      <c r="U327" s="57">
        <f>IF(OR(CONT_SUP[[#This Row],[MatEditOnly]]=TRUE,CONT_SUP[[#This Row],[MatEditOnly]]=FALSE),IF(OR(CONT_SUP[[#This Row],[NoIncrement]]=TRUE,CONT_SUP[[#This Row],[NoIncrement]]=FALSE),0,1),1)</f>
        <v>0</v>
      </c>
      <c r="V327" s="57">
        <f>IF(ISBLANK(CONT_SUP[[#This Row],[FundCode]])=TRUE,0,IF(COUNTIF(FUNDS[FundCode],CONT_SUP[[#This Row],[FundCode]])=1,0,1))</f>
        <v>0</v>
      </c>
      <c r="W327" s="57">
        <f>IF(LEN(CONT_SUP[[#This Row],[Notes]])&lt;4000,0,1)</f>
        <v>0</v>
      </c>
      <c r="X327" s="57">
        <f>IF(SUBSTITUTE(TEXT(CONT_SUP[[#This Row],[Reference]],10)," ","")=TEXT(CONT_SUP[[#This Row],[Reference]],10),0,1)</f>
        <v>0</v>
      </c>
      <c r="Y327" s="57">
        <f ca="1">SUM(CONT_SUP[[#This Row],[Duplicate Contract]:[Space in Code]])</f>
        <v>0</v>
      </c>
      <c r="AA327" s="12" t="s">
        <v>2126</v>
      </c>
      <c r="AB327" s="12">
        <v>10005354</v>
      </c>
      <c r="AC327" s="12">
        <v>106129</v>
      </c>
      <c r="AD327" s="57" t="str">
        <f>_xlfn.XLOOKUP(CONT_SUP[[#This Row],[StaffMemberCode]],StaffMembers!O:O,StaffMembers!R:R)</f>
        <v>Lorraine Murphy</v>
      </c>
      <c r="AE327" s="12" t="s">
        <v>1190</v>
      </c>
      <c r="AF327" s="57">
        <f>_xlfn.XLOOKUP(CONT_SUP[[#This Row],[SRG]],SRG[StaffRoleGroupCode],SRG[GrossSalaryFinanceCode])</f>
        <v>630100</v>
      </c>
      <c r="AG327" s="57" t="str">
        <f>_xlfn.XLOOKUP(CONT_SUP[[#This Row],[StaffRoleCode]],ROLES[StaffRoleCode],ROLES[StaffRoleGroupCode])</f>
        <v>CLE</v>
      </c>
      <c r="AH327" s="57" t="str">
        <f>_xlfn.XLOOKUP(CONT_SUP[[#This Row],[StaffRoleCode]],ROLES[StaffRoleCode],ROLES[PayScaleCode])</f>
        <v>NJC_CHE</v>
      </c>
      <c r="AI327" s="12" t="s">
        <v>3120</v>
      </c>
      <c r="AJ327" s="12">
        <v>2</v>
      </c>
      <c r="AK327" s="12" t="s">
        <v>2495</v>
      </c>
      <c r="AM327" s="68" t="s">
        <v>1149</v>
      </c>
      <c r="AN327" s="12" t="s">
        <v>3145</v>
      </c>
      <c r="AO327" s="21">
        <v>46023</v>
      </c>
      <c r="AQ327" s="12">
        <v>15</v>
      </c>
      <c r="AR327" t="b">
        <v>0</v>
      </c>
      <c r="AS327" t="b">
        <v>0</v>
      </c>
      <c r="AT327" s="12" t="s">
        <v>1574</v>
      </c>
    </row>
    <row r="328" spans="1:46" x14ac:dyDescent="0.3">
      <c r="A328" s="57" t="str">
        <f t="shared" si="10"/>
        <v>MLB10007246112858KS_LMSESS46023</v>
      </c>
      <c r="B328" s="57">
        <f>COUNTIF(CONT_SUP[Unique Contract],CONT_SUP[[#This Row],[Unique Contract]])-1</f>
        <v>0</v>
      </c>
      <c r="C328" s="57">
        <f>IFERROR(IF(FIND(CONT_SUP[[#This Row],[SchoolCode]],_xlfn.XLOOKUP(CONT_SUP[[#This Row],[StaffMemberCode]],MEMBERS[StaffMemberCode],MEMBERS[SchoolCodes]))&gt;0,0,1),1)</f>
        <v>0</v>
      </c>
      <c r="D328" s="57" cm="1">
        <f t="array" ref="D328">IF(_xlfn.XLOOKUP(CONT_SUP[[#This Row],[StaffRoleCode]],ROLES[StaffRoleCode],ROLES[AvailableToAllSchools],1,0,)=TRUE,0,IF(ISERROR(FIND(CONT_SUP[[#This Row],[SchoolCode]],_xlfn.TEXTJOIN(",",TRUE,_xlfn.UNIQUE(IF(ROLES[StaffRoleCode]=CONT_SUP[[#This Row],[StaffRoleCode]],ROLES[SchoolCodes],""))))),1,0))</f>
        <v>0</v>
      </c>
      <c r="E328" s="57" cm="1">
        <f t="array" ref="E32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28" s="57" cm="1">
        <f t="array" ref="F328">IF(_xlfn.XLOOKUP(CONT_SUP[[#This Row],[PayScaleCode]],PAYSCALES[PayScaleCode],PAYSCALES[AvailableToAllSchools],1,0,)=TRUE,0,IF(ISERROR(FIND(CONT_SUP[[#This Row],[SchoolCode]],_xlfn.TEXTJOIN(",",TRUE,_xlfn.UNIQUE(IF(PAYSCALES[PayScaleCode]=CONT_SUP[[#This Row],[PayScaleCode]],PAYSCALES[SchoolCodes],""))))),1,0))</f>
        <v>0</v>
      </c>
      <c r="G328" s="57">
        <f>IF(_xlfn.XLOOKUP(CONT_SUP[[#This Row],[PayScaleGradeCode]],GRADES[PayScaleGradeCode],GRADES[AvailableToAllSchools])=TRUE,0,IFERROR(IF(FIND(CONT_SUP[[#This Row],[SchoolCode]],_xlfn.XLOOKUP(CONT_SUP[[#This Row],[PayScaleGradeCode]],GRADES[PayScaleGradeCode],GRADES[SchoolCodes]))&gt;=1,0,1),1))</f>
        <v>0</v>
      </c>
      <c r="H328" s="57">
        <f>IF(ISERROR(IF((_xlfn.XLOOKUP(CONT_SUP[[#This Row],[PayScaleGradeCode]],GRADES[PayScaleGradeCode],GRADES[PayScaleCode])=CONT_SUP[[#This Row],[PayScaleCode]]),0,1)),1,0)</f>
        <v>0</v>
      </c>
      <c r="I328" s="57" cm="1">
        <f t="array" ref="I328">IF(ISERROR(FIND(CONT_SUP[[#This Row],[PayScalePointCode]],_xlfn.TEXTJOIN(",",TRUE,IF(PSPOINTS[PayScaleCode]=CONT_SUP[[#This Row],[PayScaleCode]],PSPOINTS[PayScalePointCode])))),1,0)</f>
        <v>0</v>
      </c>
      <c r="J328" s="57" cm="1">
        <f t="array" ref="J32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28" s="57">
        <f>IF(_xlfn.XLOOKUP(CONT_SUP[[#This Row],[PayScalePointCode]],PSPOINTS[PayScalePointCode],PSPOINTS[PayScalePointEnabled])=TRUE,0,1)</f>
        <v>0</v>
      </c>
      <c r="L328" s="57" cm="1">
        <f t="array" ref="L328">IF(_xlfn.XLOOKUP(CONT_SUP[[#This Row],[DepartmentCode]],DEPTS[DepartmentCode],DEPTS[AvailableToAllSchools],1,0,)=TRUE,0,IF(ISERROR(FIND(CONT_SUP[[#This Row],[SchoolCode]],_xlfn.TEXTJOIN(",",TRUE,_xlfn.UNIQUE(IF(DEPTS[DepartmentCode]=CONT_SUP[[#This Row],[DepartmentCode]],DEPTS[SchoolCodes],""))))),1,0))</f>
        <v>0</v>
      </c>
      <c r="M328" s="57">
        <f>IFERROR(IF(_xlfn.XLOOKUP(CONT_SUP[[#This Row],[SRG Gross]],FinanceCodesBudget[FinanceCode],FinanceCodesBudget[LedgerCode])=_xlfn.XLOOKUP(CONT_SUP[[#This Row],[DepartmentCode]],DEPTS[DepartmentCode],DEPTS[LedgerCode]),0,1),1)</f>
        <v>0</v>
      </c>
      <c r="N328" s="57" cm="1">
        <f t="array" ref="N328">IF(_xlfn.XLOOKUP(CONT_SUP[[#This Row],[PensionCode]],PENS[PensionCode],PENS[AvailableToAllSchools],1,0,)=TRUE,0,IF(ISERROR(FIND(CONT_SUP[[#This Row],[SchoolCode]],_xlfn.TEXTJOIN(",",TRUE,_xlfn.UNIQUE(IF(PENS[PensionCode]=CONT_SUP[[#This Row],[PensionCode]],PENS[SchoolCodes],""))))),1,0))</f>
        <v>0</v>
      </c>
      <c r="O328" s="57" cm="1">
        <f t="array" ref="O328">IF(_xlfn.XLOOKUP(CONT_SUP[[#This Row],[EquatedWeekPatternCode]],EQW[EquatedWeekPatternCode],EQW[AvailableToAllSchools],1,0,)=TRUE,0,IF(ISERROR(FIND(CONT_SUP[[#This Row],[SchoolCode]],_xlfn.TEXTJOIN(",",TRUE,_xlfn.UNIQUE(IF(EQW[EquatedWeekPatternCode]=CONT_SUP[[#This Row],[EquatedWeekPatternCode]],EQW[SchoolCodes],""))))),1,0))</f>
        <v>0</v>
      </c>
      <c r="P328" s="57">
        <f>1-COUNTIF(ContractTypes[Code],CONT_SUP[[#This Row],[ContractTypeCode]])</f>
        <v>0</v>
      </c>
      <c r="Q328" s="57">
        <f>IF(VLOOKUP(CONT_SUP[[#This Row],[StaffMemberCode]],MEMBERS[[StaffMemberCode]:[ServiceStartDate]],5,0)&gt;CONT_SUP[[#This Row],[DateFrom]],1,0)</f>
        <v>0</v>
      </c>
      <c r="R328" s="57">
        <f>IF(_xlfn.XLOOKUP(CONT_SUP[[#This Row],[StaffMemberCode]],MEMBERS[StaffMemberCode],MEMBERS[ServiceEndDate])="",0,IF(CONT_SUP[[#This Row],[DateTo]]="",1,IF(_xlfn.XLOOKUP(CONT_SUP[[#This Row],[StaffMemberCode]],MEMBERS[StaffMemberCode],MEMBERS[ServiceEndDate])&lt;CONT_SUP[[#This Row],[DateTo]],1,0)))</f>
        <v>0</v>
      </c>
      <c r="S328" s="57">
        <f>IF(ISBLANK(CONT_SUP[[#This Row],[DateTo]]),0,IF(CONT_SUP[[#This Row],[DateFrom]]=CONT_SUP[[#This Row],[DateTo]],0,IF(CONT_SUP[[#This Row],[DateFrom]]&lt;CONT_SUP[[#This Row],[DateTo]],0,1)))</f>
        <v>0</v>
      </c>
      <c r="T328" s="57" cm="1">
        <f t="array" aca="1" ref="T328" ca="1">IF(CELL("format",CONT_SUP[[#This Row],[DateFrom]])="D1",0,1)+IF(CELL("format",CONT_SUP[[#This Row],[DateTo]])="D1",0,1)</f>
        <v>0</v>
      </c>
      <c r="U328" s="57">
        <f>IF(OR(CONT_SUP[[#This Row],[MatEditOnly]]=TRUE,CONT_SUP[[#This Row],[MatEditOnly]]=FALSE),IF(OR(CONT_SUP[[#This Row],[NoIncrement]]=TRUE,CONT_SUP[[#This Row],[NoIncrement]]=FALSE),0,1),1)</f>
        <v>0</v>
      </c>
      <c r="V328" s="57">
        <f>IF(ISBLANK(CONT_SUP[[#This Row],[FundCode]])=TRUE,0,IF(COUNTIF(FUNDS[FundCode],CONT_SUP[[#This Row],[FundCode]])=1,0,1))</f>
        <v>0</v>
      </c>
      <c r="W328" s="57">
        <f>IF(LEN(CONT_SUP[[#This Row],[Notes]])&lt;4000,0,1)</f>
        <v>0</v>
      </c>
      <c r="X328" s="57">
        <f>IF(SUBSTITUTE(TEXT(CONT_SUP[[#This Row],[Reference]],10)," ","")=TEXT(CONT_SUP[[#This Row],[Reference]],10),0,1)</f>
        <v>0</v>
      </c>
      <c r="Y328" s="57">
        <f ca="1">SUM(CONT_SUP[[#This Row],[Duplicate Contract]:[Space in Code]])</f>
        <v>0</v>
      </c>
      <c r="AA328" s="12" t="s">
        <v>2126</v>
      </c>
      <c r="AB328" s="12">
        <v>10007246</v>
      </c>
      <c r="AC328" s="12">
        <v>112858</v>
      </c>
      <c r="AD328" s="57" t="str">
        <f>_xlfn.XLOOKUP(CONT_SUP[[#This Row],[StaffMemberCode]],StaffMembers!O:O,StaffMembers!R:R)</f>
        <v>Jordanne Tuplin</v>
      </c>
      <c r="AE328" s="12" t="s">
        <v>4195</v>
      </c>
      <c r="AF328" s="57">
        <f>_xlfn.XLOOKUP(CONT_SUP[[#This Row],[SRG]],SRG[StaffRoleGroupCode],SRG[GrossSalaryFinanceCode])</f>
        <v>619100</v>
      </c>
      <c r="AG328" s="57" t="str">
        <f>_xlfn.XLOOKUP(CONT_SUP[[#This Row],[StaffRoleCode]],ROLES[StaffRoleCode],ROLES[StaffRoleGroupCode])</f>
        <v>EDS</v>
      </c>
      <c r="AH328" s="57" t="str">
        <f>_xlfn.XLOOKUP(CONT_SUP[[#This Row],[StaffRoleCode]],ROLES[StaffRoleCode],ROLES[PayScaleCode])</f>
        <v>NJC_CHE</v>
      </c>
      <c r="AI328" s="12" t="s">
        <v>3124</v>
      </c>
      <c r="AJ328" s="12">
        <v>14</v>
      </c>
      <c r="AK328" s="12" t="s">
        <v>2482</v>
      </c>
      <c r="AM328" s="68" t="s">
        <v>3132</v>
      </c>
      <c r="AN328" s="12" t="s">
        <v>3135</v>
      </c>
      <c r="AO328" s="21">
        <v>46023</v>
      </c>
      <c r="AQ328" s="12">
        <v>37</v>
      </c>
      <c r="AR328" t="b">
        <v>0</v>
      </c>
      <c r="AS328" t="b">
        <v>0</v>
      </c>
      <c r="AT328" s="12" t="s">
        <v>1574</v>
      </c>
    </row>
    <row r="329" spans="1:46" x14ac:dyDescent="0.3">
      <c r="A329" s="57" t="str">
        <f t="shared" si="10"/>
        <v>MLB10009923112124KS_LMSESS46023</v>
      </c>
      <c r="B329" s="57">
        <f>COUNTIF(CONT_SUP[Unique Contract],CONT_SUP[[#This Row],[Unique Contract]])-1</f>
        <v>0</v>
      </c>
      <c r="C329" s="57">
        <f>IFERROR(IF(FIND(CONT_SUP[[#This Row],[SchoolCode]],_xlfn.XLOOKUP(CONT_SUP[[#This Row],[StaffMemberCode]],MEMBERS[StaffMemberCode],MEMBERS[SchoolCodes]))&gt;0,0,1),1)</f>
        <v>0</v>
      </c>
      <c r="D329" s="57" cm="1">
        <f t="array" ref="D329">IF(_xlfn.XLOOKUP(CONT_SUP[[#This Row],[StaffRoleCode]],ROLES[StaffRoleCode],ROLES[AvailableToAllSchools],1,0,)=TRUE,0,IF(ISERROR(FIND(CONT_SUP[[#This Row],[SchoolCode]],_xlfn.TEXTJOIN(",",TRUE,_xlfn.UNIQUE(IF(ROLES[StaffRoleCode]=CONT_SUP[[#This Row],[StaffRoleCode]],ROLES[SchoolCodes],""))))),1,0))</f>
        <v>0</v>
      </c>
      <c r="E329" s="57" cm="1">
        <f t="array" ref="E32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29" s="57" cm="1">
        <f t="array" ref="F329">IF(_xlfn.XLOOKUP(CONT_SUP[[#This Row],[PayScaleCode]],PAYSCALES[PayScaleCode],PAYSCALES[AvailableToAllSchools],1,0,)=TRUE,0,IF(ISERROR(FIND(CONT_SUP[[#This Row],[SchoolCode]],_xlfn.TEXTJOIN(",",TRUE,_xlfn.UNIQUE(IF(PAYSCALES[PayScaleCode]=CONT_SUP[[#This Row],[PayScaleCode]],PAYSCALES[SchoolCodes],""))))),1,0))</f>
        <v>0</v>
      </c>
      <c r="G329" s="57">
        <f>IF(_xlfn.XLOOKUP(CONT_SUP[[#This Row],[PayScaleGradeCode]],GRADES[PayScaleGradeCode],GRADES[AvailableToAllSchools])=TRUE,0,IFERROR(IF(FIND(CONT_SUP[[#This Row],[SchoolCode]],_xlfn.XLOOKUP(CONT_SUP[[#This Row],[PayScaleGradeCode]],GRADES[PayScaleGradeCode],GRADES[SchoolCodes]))&gt;=1,0,1),1))</f>
        <v>0</v>
      </c>
      <c r="H329" s="57">
        <f>IF(ISERROR(IF((_xlfn.XLOOKUP(CONT_SUP[[#This Row],[PayScaleGradeCode]],GRADES[PayScaleGradeCode],GRADES[PayScaleCode])=CONT_SUP[[#This Row],[PayScaleCode]]),0,1)),1,0)</f>
        <v>0</v>
      </c>
      <c r="I329" s="57" cm="1">
        <f t="array" ref="I329">IF(ISERROR(FIND(CONT_SUP[[#This Row],[PayScalePointCode]],_xlfn.TEXTJOIN(",",TRUE,IF(PSPOINTS[PayScaleCode]=CONT_SUP[[#This Row],[PayScaleCode]],PSPOINTS[PayScalePointCode])))),1,0)</f>
        <v>0</v>
      </c>
      <c r="J329" s="57" cm="1">
        <f t="array" ref="J32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29" s="57">
        <f>IF(_xlfn.XLOOKUP(CONT_SUP[[#This Row],[PayScalePointCode]],PSPOINTS[PayScalePointCode],PSPOINTS[PayScalePointEnabled])=TRUE,0,1)</f>
        <v>0</v>
      </c>
      <c r="L329" s="57" cm="1">
        <f t="array" ref="L329">IF(_xlfn.XLOOKUP(CONT_SUP[[#This Row],[DepartmentCode]],DEPTS[DepartmentCode],DEPTS[AvailableToAllSchools],1,0,)=TRUE,0,IF(ISERROR(FIND(CONT_SUP[[#This Row],[SchoolCode]],_xlfn.TEXTJOIN(",",TRUE,_xlfn.UNIQUE(IF(DEPTS[DepartmentCode]=CONT_SUP[[#This Row],[DepartmentCode]],DEPTS[SchoolCodes],""))))),1,0))</f>
        <v>0</v>
      </c>
      <c r="M329" s="57">
        <f>IFERROR(IF(_xlfn.XLOOKUP(CONT_SUP[[#This Row],[SRG Gross]],FinanceCodesBudget[FinanceCode],FinanceCodesBudget[LedgerCode])=_xlfn.XLOOKUP(CONT_SUP[[#This Row],[DepartmentCode]],DEPTS[DepartmentCode],DEPTS[LedgerCode]),0,1),1)</f>
        <v>0</v>
      </c>
      <c r="N329" s="57" cm="1">
        <f t="array" ref="N329">IF(_xlfn.XLOOKUP(CONT_SUP[[#This Row],[PensionCode]],PENS[PensionCode],PENS[AvailableToAllSchools],1,0,)=TRUE,0,IF(ISERROR(FIND(CONT_SUP[[#This Row],[SchoolCode]],_xlfn.TEXTJOIN(",",TRUE,_xlfn.UNIQUE(IF(PENS[PensionCode]=CONT_SUP[[#This Row],[PensionCode]],PENS[SchoolCodes],""))))),1,0))</f>
        <v>0</v>
      </c>
      <c r="O329" s="57" cm="1">
        <f t="array" ref="O329">IF(_xlfn.XLOOKUP(CONT_SUP[[#This Row],[EquatedWeekPatternCode]],EQW[EquatedWeekPatternCode],EQW[AvailableToAllSchools],1,0,)=TRUE,0,IF(ISERROR(FIND(CONT_SUP[[#This Row],[SchoolCode]],_xlfn.TEXTJOIN(",",TRUE,_xlfn.UNIQUE(IF(EQW[EquatedWeekPatternCode]=CONT_SUP[[#This Row],[EquatedWeekPatternCode]],EQW[SchoolCodes],""))))),1,0))</f>
        <v>0</v>
      </c>
      <c r="P329" s="57">
        <f>1-COUNTIF(ContractTypes[Code],CONT_SUP[[#This Row],[ContractTypeCode]])</f>
        <v>0</v>
      </c>
      <c r="Q329" s="57">
        <f>IF(VLOOKUP(CONT_SUP[[#This Row],[StaffMemberCode]],MEMBERS[[StaffMemberCode]:[ServiceStartDate]],5,0)&gt;CONT_SUP[[#This Row],[DateFrom]],1,0)</f>
        <v>0</v>
      </c>
      <c r="R329" s="57">
        <f>IF(_xlfn.XLOOKUP(CONT_SUP[[#This Row],[StaffMemberCode]],MEMBERS[StaffMemberCode],MEMBERS[ServiceEndDate])="",0,IF(CONT_SUP[[#This Row],[DateTo]]="",1,IF(_xlfn.XLOOKUP(CONT_SUP[[#This Row],[StaffMemberCode]],MEMBERS[StaffMemberCode],MEMBERS[ServiceEndDate])&lt;CONT_SUP[[#This Row],[DateTo]],1,0)))</f>
        <v>0</v>
      </c>
      <c r="S329" s="57">
        <f>IF(ISBLANK(CONT_SUP[[#This Row],[DateTo]]),0,IF(CONT_SUP[[#This Row],[DateFrom]]=CONT_SUP[[#This Row],[DateTo]],0,IF(CONT_SUP[[#This Row],[DateFrom]]&lt;CONT_SUP[[#This Row],[DateTo]],0,1)))</f>
        <v>0</v>
      </c>
      <c r="T329" s="57" cm="1">
        <f t="array" aca="1" ref="T329" ca="1">IF(CELL("format",CONT_SUP[[#This Row],[DateFrom]])="D1",0,1)+IF(CELL("format",CONT_SUP[[#This Row],[DateTo]])="D1",0,1)</f>
        <v>0</v>
      </c>
      <c r="U329" s="57">
        <f>IF(OR(CONT_SUP[[#This Row],[MatEditOnly]]=TRUE,CONT_SUP[[#This Row],[MatEditOnly]]=FALSE),IF(OR(CONT_SUP[[#This Row],[NoIncrement]]=TRUE,CONT_SUP[[#This Row],[NoIncrement]]=FALSE),0,1),1)</f>
        <v>0</v>
      </c>
      <c r="V329" s="57">
        <f>IF(ISBLANK(CONT_SUP[[#This Row],[FundCode]])=TRUE,0,IF(COUNTIF(FUNDS[FundCode],CONT_SUP[[#This Row],[FundCode]])=1,0,1))</f>
        <v>0</v>
      </c>
      <c r="W329" s="57">
        <f>IF(LEN(CONT_SUP[[#This Row],[Notes]])&lt;4000,0,1)</f>
        <v>0</v>
      </c>
      <c r="X329" s="57">
        <f>IF(SUBSTITUTE(TEXT(CONT_SUP[[#This Row],[Reference]],10)," ","")=TEXT(CONT_SUP[[#This Row],[Reference]],10),0,1)</f>
        <v>0</v>
      </c>
      <c r="Y329" s="57">
        <f ca="1">SUM(CONT_SUP[[#This Row],[Duplicate Contract]:[Space in Code]])</f>
        <v>0</v>
      </c>
      <c r="AA329" s="12" t="s">
        <v>2126</v>
      </c>
      <c r="AB329" s="12">
        <v>10009923</v>
      </c>
      <c r="AC329" s="12">
        <v>112124</v>
      </c>
      <c r="AD329" s="57" t="str">
        <f>_xlfn.XLOOKUP(CONT_SUP[[#This Row],[StaffMemberCode]],StaffMembers!O:O,StaffMembers!R:R)</f>
        <v>Laura Kirk-Bradshaw</v>
      </c>
      <c r="AE329" s="12" t="s">
        <v>4195</v>
      </c>
      <c r="AF329" s="57">
        <f>_xlfn.XLOOKUP(CONT_SUP[[#This Row],[SRG]],SRG[StaffRoleGroupCode],SRG[GrossSalaryFinanceCode])</f>
        <v>619100</v>
      </c>
      <c r="AG329" s="57" t="str">
        <f>_xlfn.XLOOKUP(CONT_SUP[[#This Row],[StaffRoleCode]],ROLES[StaffRoleCode],ROLES[StaffRoleGroupCode])</f>
        <v>EDS</v>
      </c>
      <c r="AH329" s="57" t="str">
        <f>_xlfn.XLOOKUP(CONT_SUP[[#This Row],[StaffRoleCode]],ROLES[StaffRoleCode],ROLES[PayScaleCode])</f>
        <v>NJC_CHE</v>
      </c>
      <c r="AI329" s="12" t="s">
        <v>3124</v>
      </c>
      <c r="AJ329" s="12">
        <v>14</v>
      </c>
      <c r="AK329" s="12" t="s">
        <v>2482</v>
      </c>
      <c r="AM329" s="68" t="s">
        <v>3132</v>
      </c>
      <c r="AN329" s="12" t="s">
        <v>3135</v>
      </c>
      <c r="AO329" s="21">
        <v>46023</v>
      </c>
      <c r="AQ329" s="12">
        <v>28.75</v>
      </c>
      <c r="AR329" t="b">
        <v>0</v>
      </c>
      <c r="AS329" t="b">
        <v>0</v>
      </c>
      <c r="AT329" s="12" t="s">
        <v>1574</v>
      </c>
    </row>
    <row r="330" spans="1:46" x14ac:dyDescent="0.3">
      <c r="A330" s="57" t="str">
        <f t="shared" si="10"/>
        <v>MLB10007477108693MDASESS46023</v>
      </c>
      <c r="B330" s="57">
        <f>COUNTIF(CONT_SUP[Unique Contract],CONT_SUP[[#This Row],[Unique Contract]])-1</f>
        <v>0</v>
      </c>
      <c r="C330" s="57">
        <f>IFERROR(IF(FIND(CONT_SUP[[#This Row],[SchoolCode]],_xlfn.XLOOKUP(CONT_SUP[[#This Row],[StaffMemberCode]],MEMBERS[StaffMemberCode],MEMBERS[SchoolCodes]))&gt;0,0,1),1)</f>
        <v>0</v>
      </c>
      <c r="D330" s="57" cm="1">
        <f t="array" ref="D330">IF(_xlfn.XLOOKUP(CONT_SUP[[#This Row],[StaffRoleCode]],ROLES[StaffRoleCode],ROLES[AvailableToAllSchools],1,0,)=TRUE,0,IF(ISERROR(FIND(CONT_SUP[[#This Row],[SchoolCode]],_xlfn.TEXTJOIN(",",TRUE,_xlfn.UNIQUE(IF(ROLES[StaffRoleCode]=CONT_SUP[[#This Row],[StaffRoleCode]],ROLES[SchoolCodes],""))))),1,0))</f>
        <v>0</v>
      </c>
      <c r="E330" s="57" cm="1">
        <f t="array" ref="E33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30" s="57" cm="1">
        <f t="array" ref="F330">IF(_xlfn.XLOOKUP(CONT_SUP[[#This Row],[PayScaleCode]],PAYSCALES[PayScaleCode],PAYSCALES[AvailableToAllSchools],1,0,)=TRUE,0,IF(ISERROR(FIND(CONT_SUP[[#This Row],[SchoolCode]],_xlfn.TEXTJOIN(",",TRUE,_xlfn.UNIQUE(IF(PAYSCALES[PayScaleCode]=CONT_SUP[[#This Row],[PayScaleCode]],PAYSCALES[SchoolCodes],""))))),1,0))</f>
        <v>0</v>
      </c>
      <c r="G330" s="57">
        <f>IF(_xlfn.XLOOKUP(CONT_SUP[[#This Row],[PayScaleGradeCode]],GRADES[PayScaleGradeCode],GRADES[AvailableToAllSchools])=TRUE,0,IFERROR(IF(FIND(CONT_SUP[[#This Row],[SchoolCode]],_xlfn.XLOOKUP(CONT_SUP[[#This Row],[PayScaleGradeCode]],GRADES[PayScaleGradeCode],GRADES[SchoolCodes]))&gt;=1,0,1),1))</f>
        <v>0</v>
      </c>
      <c r="H330" s="57">
        <f>IF(ISERROR(IF((_xlfn.XLOOKUP(CONT_SUP[[#This Row],[PayScaleGradeCode]],GRADES[PayScaleGradeCode],GRADES[PayScaleCode])=CONT_SUP[[#This Row],[PayScaleCode]]),0,1)),1,0)</f>
        <v>0</v>
      </c>
      <c r="I330" s="57" cm="1">
        <f t="array" ref="I330">IF(ISERROR(FIND(CONT_SUP[[#This Row],[PayScalePointCode]],_xlfn.TEXTJOIN(",",TRUE,IF(PSPOINTS[PayScaleCode]=CONT_SUP[[#This Row],[PayScaleCode]],PSPOINTS[PayScalePointCode])))),1,0)</f>
        <v>0</v>
      </c>
      <c r="J330" s="57" cm="1">
        <f t="array" ref="J33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30" s="57">
        <f>IF(_xlfn.XLOOKUP(CONT_SUP[[#This Row],[PayScalePointCode]],PSPOINTS[PayScalePointCode],PSPOINTS[PayScalePointEnabled])=TRUE,0,1)</f>
        <v>0</v>
      </c>
      <c r="L330" s="57" cm="1">
        <f t="array" ref="L330">IF(_xlfn.XLOOKUP(CONT_SUP[[#This Row],[DepartmentCode]],DEPTS[DepartmentCode],DEPTS[AvailableToAllSchools],1,0,)=TRUE,0,IF(ISERROR(FIND(CONT_SUP[[#This Row],[SchoolCode]],_xlfn.TEXTJOIN(",",TRUE,_xlfn.UNIQUE(IF(DEPTS[DepartmentCode]=CONT_SUP[[#This Row],[DepartmentCode]],DEPTS[SchoolCodes],""))))),1,0))</f>
        <v>0</v>
      </c>
      <c r="M330" s="57">
        <f>IFERROR(IF(_xlfn.XLOOKUP(CONT_SUP[[#This Row],[SRG Gross]],FinanceCodesBudget[FinanceCode],FinanceCodesBudget[LedgerCode])=_xlfn.XLOOKUP(CONT_SUP[[#This Row],[DepartmentCode]],DEPTS[DepartmentCode],DEPTS[LedgerCode]),0,1),1)</f>
        <v>0</v>
      </c>
      <c r="N330" s="57" cm="1">
        <f t="array" ref="N330">IF(_xlfn.XLOOKUP(CONT_SUP[[#This Row],[PensionCode]],PENS[PensionCode],PENS[AvailableToAllSchools],1,0,)=TRUE,0,IF(ISERROR(FIND(CONT_SUP[[#This Row],[SchoolCode]],_xlfn.TEXTJOIN(",",TRUE,_xlfn.UNIQUE(IF(PENS[PensionCode]=CONT_SUP[[#This Row],[PensionCode]],PENS[SchoolCodes],""))))),1,0))</f>
        <v>0</v>
      </c>
      <c r="O330" s="57" cm="1">
        <f t="array" ref="O330">IF(_xlfn.XLOOKUP(CONT_SUP[[#This Row],[EquatedWeekPatternCode]],EQW[EquatedWeekPatternCode],EQW[AvailableToAllSchools],1,0,)=TRUE,0,IF(ISERROR(FIND(CONT_SUP[[#This Row],[SchoolCode]],_xlfn.TEXTJOIN(",",TRUE,_xlfn.UNIQUE(IF(EQW[EquatedWeekPatternCode]=CONT_SUP[[#This Row],[EquatedWeekPatternCode]],EQW[SchoolCodes],""))))),1,0))</f>
        <v>0</v>
      </c>
      <c r="P330" s="57">
        <f>1-COUNTIF(ContractTypes[Code],CONT_SUP[[#This Row],[ContractTypeCode]])</f>
        <v>0</v>
      </c>
      <c r="Q330" s="57">
        <f>IF(VLOOKUP(CONT_SUP[[#This Row],[StaffMemberCode]],MEMBERS[[StaffMemberCode]:[ServiceStartDate]],5,0)&gt;CONT_SUP[[#This Row],[DateFrom]],1,0)</f>
        <v>0</v>
      </c>
      <c r="R330" s="57">
        <f>IF(_xlfn.XLOOKUP(CONT_SUP[[#This Row],[StaffMemberCode]],MEMBERS[StaffMemberCode],MEMBERS[ServiceEndDate])="",0,IF(CONT_SUP[[#This Row],[DateTo]]="",1,IF(_xlfn.XLOOKUP(CONT_SUP[[#This Row],[StaffMemberCode]],MEMBERS[StaffMemberCode],MEMBERS[ServiceEndDate])&lt;CONT_SUP[[#This Row],[DateTo]],1,0)))</f>
        <v>0</v>
      </c>
      <c r="S330" s="57">
        <f>IF(ISBLANK(CONT_SUP[[#This Row],[DateTo]]),0,IF(CONT_SUP[[#This Row],[DateFrom]]=CONT_SUP[[#This Row],[DateTo]],0,IF(CONT_SUP[[#This Row],[DateFrom]]&lt;CONT_SUP[[#This Row],[DateTo]],0,1)))</f>
        <v>0</v>
      </c>
      <c r="T330" s="57" cm="1">
        <f t="array" aca="1" ref="T330" ca="1">IF(CELL("format",CONT_SUP[[#This Row],[DateFrom]])="D1",0,1)+IF(CELL("format",CONT_SUP[[#This Row],[DateTo]])="D1",0,1)</f>
        <v>0</v>
      </c>
      <c r="U330" s="57">
        <f>IF(OR(CONT_SUP[[#This Row],[MatEditOnly]]=TRUE,CONT_SUP[[#This Row],[MatEditOnly]]=FALSE),IF(OR(CONT_SUP[[#This Row],[NoIncrement]]=TRUE,CONT_SUP[[#This Row],[NoIncrement]]=FALSE),0,1),1)</f>
        <v>0</v>
      </c>
      <c r="V330" s="57">
        <f>IF(ISBLANK(CONT_SUP[[#This Row],[FundCode]])=TRUE,0,IF(COUNTIF(FUNDS[FundCode],CONT_SUP[[#This Row],[FundCode]])=1,0,1))</f>
        <v>0</v>
      </c>
      <c r="W330" s="57">
        <f>IF(LEN(CONT_SUP[[#This Row],[Notes]])&lt;4000,0,1)</f>
        <v>0</v>
      </c>
      <c r="X330" s="57">
        <f>IF(SUBSTITUTE(TEXT(CONT_SUP[[#This Row],[Reference]],10)," ","")=TEXT(CONT_SUP[[#This Row],[Reference]],10),0,1)</f>
        <v>0</v>
      </c>
      <c r="Y330" s="57">
        <f ca="1">SUM(CONT_SUP[[#This Row],[Duplicate Contract]:[Space in Code]])</f>
        <v>0</v>
      </c>
      <c r="AA330" s="12" t="s">
        <v>2126</v>
      </c>
      <c r="AB330" s="12">
        <v>10007477</v>
      </c>
      <c r="AC330" s="12">
        <v>108693</v>
      </c>
      <c r="AD330" s="57" t="str">
        <f>_xlfn.XLOOKUP(CONT_SUP[[#This Row],[StaffMemberCode]],StaffMembers!O:O,StaffMembers!R:R)</f>
        <v>Mariana Ambrus</v>
      </c>
      <c r="AE330" s="12" t="s">
        <v>4307</v>
      </c>
      <c r="AF330" s="57">
        <f>_xlfn.XLOOKUP(CONT_SUP[[#This Row],[SRG]],SRG[StaffRoleGroupCode],SRG[GrossSalaryFinanceCode])</f>
        <v>635100</v>
      </c>
      <c r="AG330" s="57" t="str">
        <f>_xlfn.XLOOKUP(CONT_SUP[[#This Row],[StaffRoleCode]],ROLES[StaffRoleCode],ROLES[StaffRoleGroupCode])</f>
        <v>MDS</v>
      </c>
      <c r="AH330" s="57" t="str">
        <f>_xlfn.XLOOKUP(CONT_SUP[[#This Row],[StaffRoleCode]],ROLES[StaffRoleCode],ROLES[PayScaleCode])</f>
        <v>NJC_CHE</v>
      </c>
      <c r="AI330" s="12" t="s">
        <v>3120</v>
      </c>
      <c r="AJ330" s="12">
        <v>2</v>
      </c>
      <c r="AK330" s="12" t="s">
        <v>2482</v>
      </c>
      <c r="AM330" s="68" t="s">
        <v>3132</v>
      </c>
      <c r="AN330" s="12" t="s">
        <v>3134</v>
      </c>
      <c r="AO330" s="21">
        <v>46023</v>
      </c>
      <c r="AQ330" s="12">
        <v>16</v>
      </c>
      <c r="AR330" t="b">
        <v>0</v>
      </c>
      <c r="AS330" t="b">
        <v>0</v>
      </c>
      <c r="AT330" s="12" t="s">
        <v>1574</v>
      </c>
    </row>
    <row r="331" spans="1:46" x14ac:dyDescent="0.3">
      <c r="A331" s="57" t="str">
        <f t="shared" ref="A331:A351" si="11">AA331&amp;AB331&amp;AC331&amp;AE331&amp;AK331&amp;AO331</f>
        <v>MLB10015721110923ATT_MGRSESS46023</v>
      </c>
      <c r="B331" s="57">
        <f>COUNTIF(CONT_SUP[Unique Contract],CONT_SUP[[#This Row],[Unique Contract]])-1</f>
        <v>0</v>
      </c>
      <c r="C331" s="57">
        <f>IFERROR(IF(FIND(CONT_SUP[[#This Row],[SchoolCode]],_xlfn.XLOOKUP(CONT_SUP[[#This Row],[StaffMemberCode]],MEMBERS[StaffMemberCode],MEMBERS[SchoolCodes]))&gt;0,0,1),1)</f>
        <v>0</v>
      </c>
      <c r="D331" s="57" cm="1">
        <f t="array" ref="D331">IF(_xlfn.XLOOKUP(CONT_SUP[[#This Row],[StaffRoleCode]],ROLES[StaffRoleCode],ROLES[AvailableToAllSchools],1,0,)=TRUE,0,IF(ISERROR(FIND(CONT_SUP[[#This Row],[SchoolCode]],_xlfn.TEXTJOIN(",",TRUE,_xlfn.UNIQUE(IF(ROLES[StaffRoleCode]=CONT_SUP[[#This Row],[StaffRoleCode]],ROLES[SchoolCodes],""))))),1,0))</f>
        <v>0</v>
      </c>
      <c r="E331" s="57" cm="1">
        <f t="array" ref="E33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31" s="57" cm="1">
        <f t="array" ref="F331">IF(_xlfn.XLOOKUP(CONT_SUP[[#This Row],[PayScaleCode]],PAYSCALES[PayScaleCode],PAYSCALES[AvailableToAllSchools],1,0,)=TRUE,0,IF(ISERROR(FIND(CONT_SUP[[#This Row],[SchoolCode]],_xlfn.TEXTJOIN(",",TRUE,_xlfn.UNIQUE(IF(PAYSCALES[PayScaleCode]=CONT_SUP[[#This Row],[PayScaleCode]],PAYSCALES[SchoolCodes],""))))),1,0))</f>
        <v>0</v>
      </c>
      <c r="G331" s="57">
        <f>IF(_xlfn.XLOOKUP(CONT_SUP[[#This Row],[PayScaleGradeCode]],GRADES[PayScaleGradeCode],GRADES[AvailableToAllSchools])=TRUE,0,IFERROR(IF(FIND(CONT_SUP[[#This Row],[SchoolCode]],_xlfn.XLOOKUP(CONT_SUP[[#This Row],[PayScaleGradeCode]],GRADES[PayScaleGradeCode],GRADES[SchoolCodes]))&gt;=1,0,1),1))</f>
        <v>0</v>
      </c>
      <c r="H331" s="57">
        <f>IF(ISERROR(IF((_xlfn.XLOOKUP(CONT_SUP[[#This Row],[PayScaleGradeCode]],GRADES[PayScaleGradeCode],GRADES[PayScaleCode])=CONT_SUP[[#This Row],[PayScaleCode]]),0,1)),1,0)</f>
        <v>0</v>
      </c>
      <c r="I331" s="57" cm="1">
        <f t="array" ref="I331">IF(ISERROR(FIND(CONT_SUP[[#This Row],[PayScalePointCode]],_xlfn.TEXTJOIN(",",TRUE,IF(PSPOINTS[PayScaleCode]=CONT_SUP[[#This Row],[PayScaleCode]],PSPOINTS[PayScalePointCode])))),1,0)</f>
        <v>0</v>
      </c>
      <c r="J331" s="57" cm="1">
        <f t="array" ref="J33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31" s="57">
        <f>IF(_xlfn.XLOOKUP(CONT_SUP[[#This Row],[PayScalePointCode]],PSPOINTS[PayScalePointCode],PSPOINTS[PayScalePointEnabled])=TRUE,0,1)</f>
        <v>0</v>
      </c>
      <c r="L331" s="57" cm="1">
        <f t="array" ref="L331">IF(_xlfn.XLOOKUP(CONT_SUP[[#This Row],[DepartmentCode]],DEPTS[DepartmentCode],DEPTS[AvailableToAllSchools],1,0,)=TRUE,0,IF(ISERROR(FIND(CONT_SUP[[#This Row],[SchoolCode]],_xlfn.TEXTJOIN(",",TRUE,_xlfn.UNIQUE(IF(DEPTS[DepartmentCode]=CONT_SUP[[#This Row],[DepartmentCode]],DEPTS[SchoolCodes],""))))),1,0))</f>
        <v>0</v>
      </c>
      <c r="M331" s="57">
        <f>IFERROR(IF(_xlfn.XLOOKUP(CONT_SUP[[#This Row],[SRG Gross]],FinanceCodesBudget[FinanceCode],FinanceCodesBudget[LedgerCode])=_xlfn.XLOOKUP(CONT_SUP[[#This Row],[DepartmentCode]],DEPTS[DepartmentCode],DEPTS[LedgerCode]),0,1),1)</f>
        <v>0</v>
      </c>
      <c r="N331" s="57" cm="1">
        <f t="array" ref="N331">IF(_xlfn.XLOOKUP(CONT_SUP[[#This Row],[PensionCode]],PENS[PensionCode],PENS[AvailableToAllSchools],1,0,)=TRUE,0,IF(ISERROR(FIND(CONT_SUP[[#This Row],[SchoolCode]],_xlfn.TEXTJOIN(",",TRUE,_xlfn.UNIQUE(IF(PENS[PensionCode]=CONT_SUP[[#This Row],[PensionCode]],PENS[SchoolCodes],""))))),1,0))</f>
        <v>0</v>
      </c>
      <c r="O331" s="57" cm="1">
        <f t="array" ref="O331">IF(_xlfn.XLOOKUP(CONT_SUP[[#This Row],[EquatedWeekPatternCode]],EQW[EquatedWeekPatternCode],EQW[AvailableToAllSchools],1,0,)=TRUE,0,IF(ISERROR(FIND(CONT_SUP[[#This Row],[SchoolCode]],_xlfn.TEXTJOIN(",",TRUE,_xlfn.UNIQUE(IF(EQW[EquatedWeekPatternCode]=CONT_SUP[[#This Row],[EquatedWeekPatternCode]],EQW[SchoolCodes],""))))),1,0))</f>
        <v>0</v>
      </c>
      <c r="P331" s="57">
        <f>1-COUNTIF(ContractTypes[Code],CONT_SUP[[#This Row],[ContractTypeCode]])</f>
        <v>0</v>
      </c>
      <c r="Q331" s="57">
        <f>IF(VLOOKUP(CONT_SUP[[#This Row],[StaffMemberCode]],MEMBERS[[StaffMemberCode]:[ServiceStartDate]],5,0)&gt;CONT_SUP[[#This Row],[DateFrom]],1,0)</f>
        <v>0</v>
      </c>
      <c r="R331" s="57">
        <f>IF(_xlfn.XLOOKUP(CONT_SUP[[#This Row],[StaffMemberCode]],MEMBERS[StaffMemberCode],MEMBERS[ServiceEndDate])="",0,IF(CONT_SUP[[#This Row],[DateTo]]="",1,IF(_xlfn.XLOOKUP(CONT_SUP[[#This Row],[StaffMemberCode]],MEMBERS[StaffMemberCode],MEMBERS[ServiceEndDate])&lt;CONT_SUP[[#This Row],[DateTo]],1,0)))</f>
        <v>0</v>
      </c>
      <c r="S331" s="57">
        <f>IF(ISBLANK(CONT_SUP[[#This Row],[DateTo]]),0,IF(CONT_SUP[[#This Row],[DateFrom]]=CONT_SUP[[#This Row],[DateTo]],0,IF(CONT_SUP[[#This Row],[DateFrom]]&lt;CONT_SUP[[#This Row],[DateTo]],0,1)))</f>
        <v>0</v>
      </c>
      <c r="T331" s="57" cm="1">
        <f t="array" aca="1" ref="T331" ca="1">IF(CELL("format",CONT_SUP[[#This Row],[DateFrom]])="D1",0,1)+IF(CELL("format",CONT_SUP[[#This Row],[DateTo]])="D1",0,1)</f>
        <v>0</v>
      </c>
      <c r="U331" s="57">
        <f>IF(OR(CONT_SUP[[#This Row],[MatEditOnly]]=TRUE,CONT_SUP[[#This Row],[MatEditOnly]]=FALSE),IF(OR(CONT_SUP[[#This Row],[NoIncrement]]=TRUE,CONT_SUP[[#This Row],[NoIncrement]]=FALSE),0,1),1)</f>
        <v>0</v>
      </c>
      <c r="V331" s="57">
        <f>IF(ISBLANK(CONT_SUP[[#This Row],[FundCode]])=TRUE,0,IF(COUNTIF(FUNDS[FundCode],CONT_SUP[[#This Row],[FundCode]])=1,0,1))</f>
        <v>0</v>
      </c>
      <c r="W331" s="57">
        <f>IF(LEN(CONT_SUP[[#This Row],[Notes]])&lt;4000,0,1)</f>
        <v>0</v>
      </c>
      <c r="X331" s="57">
        <f>IF(SUBSTITUTE(TEXT(CONT_SUP[[#This Row],[Reference]],10)," ","")=TEXT(CONT_SUP[[#This Row],[Reference]],10),0,1)</f>
        <v>0</v>
      </c>
      <c r="Y331" s="57">
        <f ca="1">SUM(CONT_SUP[[#This Row],[Duplicate Contract]:[Space in Code]])</f>
        <v>0</v>
      </c>
      <c r="AA331" s="12" t="s">
        <v>2126</v>
      </c>
      <c r="AB331" s="12">
        <v>10015721</v>
      </c>
      <c r="AC331" s="12">
        <v>110923</v>
      </c>
      <c r="AD331" s="57" t="str">
        <f>_xlfn.XLOOKUP(CONT_SUP[[#This Row],[StaffMemberCode]],StaffMembers!O:O,StaffMembers!R:R)</f>
        <v>Lucy Kennedy-Chalk</v>
      </c>
      <c r="AE331" s="12" t="s">
        <v>4177</v>
      </c>
      <c r="AF331" s="57">
        <f>_xlfn.XLOOKUP(CONT_SUP[[#This Row],[SRG]],SRG[StaffRoleGroupCode],SRG[GrossSalaryFinanceCode])</f>
        <v>619100</v>
      </c>
      <c r="AG331" s="57" t="str">
        <f>_xlfn.XLOOKUP(CONT_SUP[[#This Row],[StaffRoleCode]],ROLES[StaffRoleCode],ROLES[StaffRoleGroupCode])</f>
        <v>EDS</v>
      </c>
      <c r="AH331" s="57" t="str">
        <f>_xlfn.XLOOKUP(CONT_SUP[[#This Row],[StaffRoleCode]],ROLES[StaffRoleCode],ROLES[PayScaleCode])</f>
        <v>NJC_CHE</v>
      </c>
      <c r="AI331" s="12" t="s">
        <v>3123</v>
      </c>
      <c r="AJ331" s="12">
        <v>7</v>
      </c>
      <c r="AK331" s="12" t="s">
        <v>2482</v>
      </c>
      <c r="AM331" s="68" t="s">
        <v>3132</v>
      </c>
      <c r="AN331" s="12" t="s">
        <v>3134</v>
      </c>
      <c r="AO331" s="21">
        <v>46023</v>
      </c>
      <c r="AQ331" s="12">
        <v>18</v>
      </c>
      <c r="AR331" t="b">
        <v>0</v>
      </c>
      <c r="AS331" t="b">
        <v>0</v>
      </c>
      <c r="AT331" s="12" t="s">
        <v>1574</v>
      </c>
    </row>
    <row r="332" spans="1:46" x14ac:dyDescent="0.3">
      <c r="A332" s="57" t="str">
        <f t="shared" si="11"/>
        <v>MLB10014962112123ATT_MGRSESS46023</v>
      </c>
      <c r="B332" s="57">
        <f>COUNTIF(CONT_SUP[Unique Contract],CONT_SUP[[#This Row],[Unique Contract]])-1</f>
        <v>0</v>
      </c>
      <c r="C332" s="57">
        <f>IFERROR(IF(FIND(CONT_SUP[[#This Row],[SchoolCode]],_xlfn.XLOOKUP(CONT_SUP[[#This Row],[StaffMemberCode]],MEMBERS[StaffMemberCode],MEMBERS[SchoolCodes]))&gt;0,0,1),1)</f>
        <v>0</v>
      </c>
      <c r="D332" s="57" cm="1">
        <f t="array" ref="D332">IF(_xlfn.XLOOKUP(CONT_SUP[[#This Row],[StaffRoleCode]],ROLES[StaffRoleCode],ROLES[AvailableToAllSchools],1,0,)=TRUE,0,IF(ISERROR(FIND(CONT_SUP[[#This Row],[SchoolCode]],_xlfn.TEXTJOIN(",",TRUE,_xlfn.UNIQUE(IF(ROLES[StaffRoleCode]=CONT_SUP[[#This Row],[StaffRoleCode]],ROLES[SchoolCodes],""))))),1,0))</f>
        <v>0</v>
      </c>
      <c r="E332" s="57" cm="1">
        <f t="array" ref="E33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32" s="57" cm="1">
        <f t="array" ref="F332">IF(_xlfn.XLOOKUP(CONT_SUP[[#This Row],[PayScaleCode]],PAYSCALES[PayScaleCode],PAYSCALES[AvailableToAllSchools],1,0,)=TRUE,0,IF(ISERROR(FIND(CONT_SUP[[#This Row],[SchoolCode]],_xlfn.TEXTJOIN(",",TRUE,_xlfn.UNIQUE(IF(PAYSCALES[PayScaleCode]=CONT_SUP[[#This Row],[PayScaleCode]],PAYSCALES[SchoolCodes],""))))),1,0))</f>
        <v>0</v>
      </c>
      <c r="G332" s="57">
        <f>IF(_xlfn.XLOOKUP(CONT_SUP[[#This Row],[PayScaleGradeCode]],GRADES[PayScaleGradeCode],GRADES[AvailableToAllSchools])=TRUE,0,IFERROR(IF(FIND(CONT_SUP[[#This Row],[SchoolCode]],_xlfn.XLOOKUP(CONT_SUP[[#This Row],[PayScaleGradeCode]],GRADES[PayScaleGradeCode],GRADES[SchoolCodes]))&gt;=1,0,1),1))</f>
        <v>0</v>
      </c>
      <c r="H332" s="57">
        <f>IF(ISERROR(IF((_xlfn.XLOOKUP(CONT_SUP[[#This Row],[PayScaleGradeCode]],GRADES[PayScaleGradeCode],GRADES[PayScaleCode])=CONT_SUP[[#This Row],[PayScaleCode]]),0,1)),1,0)</f>
        <v>0</v>
      </c>
      <c r="I332" s="57" cm="1">
        <f t="array" ref="I332">IF(ISERROR(FIND(CONT_SUP[[#This Row],[PayScalePointCode]],_xlfn.TEXTJOIN(",",TRUE,IF(PSPOINTS[PayScaleCode]=CONT_SUP[[#This Row],[PayScaleCode]],PSPOINTS[PayScalePointCode])))),1,0)</f>
        <v>0</v>
      </c>
      <c r="J332" s="57" cm="1">
        <f t="array" ref="J33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32" s="57">
        <f>IF(_xlfn.XLOOKUP(CONT_SUP[[#This Row],[PayScalePointCode]],PSPOINTS[PayScalePointCode],PSPOINTS[PayScalePointEnabled])=TRUE,0,1)</f>
        <v>0</v>
      </c>
      <c r="L332" s="57" cm="1">
        <f t="array" ref="L332">IF(_xlfn.XLOOKUP(CONT_SUP[[#This Row],[DepartmentCode]],DEPTS[DepartmentCode],DEPTS[AvailableToAllSchools],1,0,)=TRUE,0,IF(ISERROR(FIND(CONT_SUP[[#This Row],[SchoolCode]],_xlfn.TEXTJOIN(",",TRUE,_xlfn.UNIQUE(IF(DEPTS[DepartmentCode]=CONT_SUP[[#This Row],[DepartmentCode]],DEPTS[SchoolCodes],""))))),1,0))</f>
        <v>0</v>
      </c>
      <c r="M332" s="57">
        <f>IFERROR(IF(_xlfn.XLOOKUP(CONT_SUP[[#This Row],[SRG Gross]],FinanceCodesBudget[FinanceCode],FinanceCodesBudget[LedgerCode])=_xlfn.XLOOKUP(CONT_SUP[[#This Row],[DepartmentCode]],DEPTS[DepartmentCode],DEPTS[LedgerCode]),0,1),1)</f>
        <v>0</v>
      </c>
      <c r="N332" s="57" cm="1">
        <f t="array" ref="N332">IF(_xlfn.XLOOKUP(CONT_SUP[[#This Row],[PensionCode]],PENS[PensionCode],PENS[AvailableToAllSchools],1,0,)=TRUE,0,IF(ISERROR(FIND(CONT_SUP[[#This Row],[SchoolCode]],_xlfn.TEXTJOIN(",",TRUE,_xlfn.UNIQUE(IF(PENS[PensionCode]=CONT_SUP[[#This Row],[PensionCode]],PENS[SchoolCodes],""))))),1,0))</f>
        <v>0</v>
      </c>
      <c r="O332" s="57" cm="1">
        <f t="array" ref="O332">IF(_xlfn.XLOOKUP(CONT_SUP[[#This Row],[EquatedWeekPatternCode]],EQW[EquatedWeekPatternCode],EQW[AvailableToAllSchools],1,0,)=TRUE,0,IF(ISERROR(FIND(CONT_SUP[[#This Row],[SchoolCode]],_xlfn.TEXTJOIN(",",TRUE,_xlfn.UNIQUE(IF(EQW[EquatedWeekPatternCode]=CONT_SUP[[#This Row],[EquatedWeekPatternCode]],EQW[SchoolCodes],""))))),1,0))</f>
        <v>0</v>
      </c>
      <c r="P332" s="57">
        <f>1-COUNTIF(ContractTypes[Code],CONT_SUP[[#This Row],[ContractTypeCode]])</f>
        <v>0</v>
      </c>
      <c r="Q332" s="57">
        <f>IF(VLOOKUP(CONT_SUP[[#This Row],[StaffMemberCode]],MEMBERS[[StaffMemberCode]:[ServiceStartDate]],5,0)&gt;CONT_SUP[[#This Row],[DateFrom]],1,0)</f>
        <v>0</v>
      </c>
      <c r="R332" s="57">
        <f>IF(_xlfn.XLOOKUP(CONT_SUP[[#This Row],[StaffMemberCode]],MEMBERS[StaffMemberCode],MEMBERS[ServiceEndDate])="",0,IF(CONT_SUP[[#This Row],[DateTo]]="",1,IF(_xlfn.XLOOKUP(CONT_SUP[[#This Row],[StaffMemberCode]],MEMBERS[StaffMemberCode],MEMBERS[ServiceEndDate])&lt;CONT_SUP[[#This Row],[DateTo]],1,0)))</f>
        <v>0</v>
      </c>
      <c r="S332" s="57">
        <f>IF(ISBLANK(CONT_SUP[[#This Row],[DateTo]]),0,IF(CONT_SUP[[#This Row],[DateFrom]]=CONT_SUP[[#This Row],[DateTo]],0,IF(CONT_SUP[[#This Row],[DateFrom]]&lt;CONT_SUP[[#This Row],[DateTo]],0,1)))</f>
        <v>0</v>
      </c>
      <c r="T332" s="57" cm="1">
        <f t="array" aca="1" ref="T332" ca="1">IF(CELL("format",CONT_SUP[[#This Row],[DateFrom]])="D1",0,1)+IF(CELL("format",CONT_SUP[[#This Row],[DateTo]])="D1",0,1)</f>
        <v>0</v>
      </c>
      <c r="U332" s="57">
        <f>IF(OR(CONT_SUP[[#This Row],[MatEditOnly]]=TRUE,CONT_SUP[[#This Row],[MatEditOnly]]=FALSE),IF(OR(CONT_SUP[[#This Row],[NoIncrement]]=TRUE,CONT_SUP[[#This Row],[NoIncrement]]=FALSE),0,1),1)</f>
        <v>0</v>
      </c>
      <c r="V332" s="57">
        <f>IF(ISBLANK(CONT_SUP[[#This Row],[FundCode]])=TRUE,0,IF(COUNTIF(FUNDS[FundCode],CONT_SUP[[#This Row],[FundCode]])=1,0,1))</f>
        <v>0</v>
      </c>
      <c r="W332" s="57">
        <f>IF(LEN(CONT_SUP[[#This Row],[Notes]])&lt;4000,0,1)</f>
        <v>0</v>
      </c>
      <c r="X332" s="57">
        <f>IF(SUBSTITUTE(TEXT(CONT_SUP[[#This Row],[Reference]],10)," ","")=TEXT(CONT_SUP[[#This Row],[Reference]],10),0,1)</f>
        <v>0</v>
      </c>
      <c r="Y332" s="57">
        <f ca="1">SUM(CONT_SUP[[#This Row],[Duplicate Contract]:[Space in Code]])</f>
        <v>0</v>
      </c>
      <c r="AA332" s="12" t="s">
        <v>2126</v>
      </c>
      <c r="AB332" s="12">
        <v>10014962</v>
      </c>
      <c r="AC332" s="12">
        <v>112123</v>
      </c>
      <c r="AD332" s="57" t="str">
        <f>_xlfn.XLOOKUP(CONT_SUP[[#This Row],[StaffMemberCode]],StaffMembers!O:O,StaffMembers!R:R)</f>
        <v>Victoria Roberts</v>
      </c>
      <c r="AE332" s="12" t="s">
        <v>4177</v>
      </c>
      <c r="AF332" s="57">
        <f>_xlfn.XLOOKUP(CONT_SUP[[#This Row],[SRG]],SRG[StaffRoleGroupCode],SRG[GrossSalaryFinanceCode])</f>
        <v>619100</v>
      </c>
      <c r="AG332" s="57" t="str">
        <f>_xlfn.XLOOKUP(CONT_SUP[[#This Row],[StaffRoleCode]],ROLES[StaffRoleCode],ROLES[StaffRoleGroupCode])</f>
        <v>EDS</v>
      </c>
      <c r="AH332" s="57" t="str">
        <f>_xlfn.XLOOKUP(CONT_SUP[[#This Row],[StaffRoleCode]],ROLES[StaffRoleCode],ROLES[PayScaleCode])</f>
        <v>NJC_CHE</v>
      </c>
      <c r="AI332" s="12" t="s">
        <v>3123</v>
      </c>
      <c r="AJ332" s="12">
        <v>7</v>
      </c>
      <c r="AK332" s="12" t="s">
        <v>2482</v>
      </c>
      <c r="AM332" s="68" t="s">
        <v>3132</v>
      </c>
      <c r="AN332" s="12" t="s">
        <v>3134</v>
      </c>
      <c r="AO332" s="21">
        <v>46023</v>
      </c>
      <c r="AQ332" s="12">
        <v>20</v>
      </c>
      <c r="AR332" t="b">
        <v>0</v>
      </c>
      <c r="AS332" t="b">
        <v>0</v>
      </c>
      <c r="AT332" s="12" t="s">
        <v>1574</v>
      </c>
    </row>
    <row r="333" spans="1:46" x14ac:dyDescent="0.3">
      <c r="A333" s="57" t="str">
        <f t="shared" si="11"/>
        <v>MLB10014576108748COV_SUPSESS46023</v>
      </c>
      <c r="B333" s="57">
        <f>COUNTIF(CONT_SUP[Unique Contract],CONT_SUP[[#This Row],[Unique Contract]])-1</f>
        <v>0</v>
      </c>
      <c r="C333" s="57">
        <f>IFERROR(IF(FIND(CONT_SUP[[#This Row],[SchoolCode]],_xlfn.XLOOKUP(CONT_SUP[[#This Row],[StaffMemberCode]],MEMBERS[StaffMemberCode],MEMBERS[SchoolCodes]))&gt;0,0,1),1)</f>
        <v>0</v>
      </c>
      <c r="D333" s="57" cm="1">
        <f t="array" ref="D333">IF(_xlfn.XLOOKUP(CONT_SUP[[#This Row],[StaffRoleCode]],ROLES[StaffRoleCode],ROLES[AvailableToAllSchools],1,0,)=TRUE,0,IF(ISERROR(FIND(CONT_SUP[[#This Row],[SchoolCode]],_xlfn.TEXTJOIN(",",TRUE,_xlfn.UNIQUE(IF(ROLES[StaffRoleCode]=CONT_SUP[[#This Row],[StaffRoleCode]],ROLES[SchoolCodes],""))))),1,0))</f>
        <v>0</v>
      </c>
      <c r="E333" s="57" cm="1">
        <f t="array" ref="E33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33" s="57" cm="1">
        <f t="array" ref="F333">IF(_xlfn.XLOOKUP(CONT_SUP[[#This Row],[PayScaleCode]],PAYSCALES[PayScaleCode],PAYSCALES[AvailableToAllSchools],1,0,)=TRUE,0,IF(ISERROR(FIND(CONT_SUP[[#This Row],[SchoolCode]],_xlfn.TEXTJOIN(",",TRUE,_xlfn.UNIQUE(IF(PAYSCALES[PayScaleCode]=CONT_SUP[[#This Row],[PayScaleCode]],PAYSCALES[SchoolCodes],""))))),1,0))</f>
        <v>0</v>
      </c>
      <c r="G333" s="57">
        <f>IF(_xlfn.XLOOKUP(CONT_SUP[[#This Row],[PayScaleGradeCode]],GRADES[PayScaleGradeCode],GRADES[AvailableToAllSchools])=TRUE,0,IFERROR(IF(FIND(CONT_SUP[[#This Row],[SchoolCode]],_xlfn.XLOOKUP(CONT_SUP[[#This Row],[PayScaleGradeCode]],GRADES[PayScaleGradeCode],GRADES[SchoolCodes]))&gt;=1,0,1),1))</f>
        <v>0</v>
      </c>
      <c r="H333" s="57">
        <f>IF(ISERROR(IF((_xlfn.XLOOKUP(CONT_SUP[[#This Row],[PayScaleGradeCode]],GRADES[PayScaleGradeCode],GRADES[PayScaleCode])=CONT_SUP[[#This Row],[PayScaleCode]]),0,1)),1,0)</f>
        <v>0</v>
      </c>
      <c r="I333" s="57" cm="1">
        <f t="array" ref="I333">IF(ISERROR(FIND(CONT_SUP[[#This Row],[PayScalePointCode]],_xlfn.TEXTJOIN(",",TRUE,IF(PSPOINTS[PayScaleCode]=CONT_SUP[[#This Row],[PayScaleCode]],PSPOINTS[PayScalePointCode])))),1,0)</f>
        <v>0</v>
      </c>
      <c r="J333" s="57" cm="1">
        <f t="array" ref="J33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33" s="57">
        <f>IF(_xlfn.XLOOKUP(CONT_SUP[[#This Row],[PayScalePointCode]],PSPOINTS[PayScalePointCode],PSPOINTS[PayScalePointEnabled])=TRUE,0,1)</f>
        <v>0</v>
      </c>
      <c r="L333" s="57" cm="1">
        <f t="array" ref="L333">IF(_xlfn.XLOOKUP(CONT_SUP[[#This Row],[DepartmentCode]],DEPTS[DepartmentCode],DEPTS[AvailableToAllSchools],1,0,)=TRUE,0,IF(ISERROR(FIND(CONT_SUP[[#This Row],[SchoolCode]],_xlfn.TEXTJOIN(",",TRUE,_xlfn.UNIQUE(IF(DEPTS[DepartmentCode]=CONT_SUP[[#This Row],[DepartmentCode]],DEPTS[SchoolCodes],""))))),1,0))</f>
        <v>0</v>
      </c>
      <c r="M333" s="57">
        <f>IFERROR(IF(_xlfn.XLOOKUP(CONT_SUP[[#This Row],[SRG Gross]],FinanceCodesBudget[FinanceCode],FinanceCodesBudget[LedgerCode])=_xlfn.XLOOKUP(CONT_SUP[[#This Row],[DepartmentCode]],DEPTS[DepartmentCode],DEPTS[LedgerCode]),0,1),1)</f>
        <v>0</v>
      </c>
      <c r="N333" s="57" cm="1">
        <f t="array" ref="N333">IF(_xlfn.XLOOKUP(CONT_SUP[[#This Row],[PensionCode]],PENS[PensionCode],PENS[AvailableToAllSchools],1,0,)=TRUE,0,IF(ISERROR(FIND(CONT_SUP[[#This Row],[SchoolCode]],_xlfn.TEXTJOIN(",",TRUE,_xlfn.UNIQUE(IF(PENS[PensionCode]=CONT_SUP[[#This Row],[PensionCode]],PENS[SchoolCodes],""))))),1,0))</f>
        <v>0</v>
      </c>
      <c r="O333" s="57" cm="1">
        <f t="array" ref="O333">IF(_xlfn.XLOOKUP(CONT_SUP[[#This Row],[EquatedWeekPatternCode]],EQW[EquatedWeekPatternCode],EQW[AvailableToAllSchools],1,0,)=TRUE,0,IF(ISERROR(FIND(CONT_SUP[[#This Row],[SchoolCode]],_xlfn.TEXTJOIN(",",TRUE,_xlfn.UNIQUE(IF(EQW[EquatedWeekPatternCode]=CONT_SUP[[#This Row],[EquatedWeekPatternCode]],EQW[SchoolCodes],""))))),1,0))</f>
        <v>0</v>
      </c>
      <c r="P333" s="57">
        <f>1-COUNTIF(ContractTypes[Code],CONT_SUP[[#This Row],[ContractTypeCode]])</f>
        <v>0</v>
      </c>
      <c r="Q333" s="57">
        <f>IF(VLOOKUP(CONT_SUP[[#This Row],[StaffMemberCode]],MEMBERS[[StaffMemberCode]:[ServiceStartDate]],5,0)&gt;CONT_SUP[[#This Row],[DateFrom]],1,0)</f>
        <v>0</v>
      </c>
      <c r="R333" s="57">
        <f>IF(_xlfn.XLOOKUP(CONT_SUP[[#This Row],[StaffMemberCode]],MEMBERS[StaffMemberCode],MEMBERS[ServiceEndDate])="",0,IF(CONT_SUP[[#This Row],[DateTo]]="",1,IF(_xlfn.XLOOKUP(CONT_SUP[[#This Row],[StaffMemberCode]],MEMBERS[StaffMemberCode],MEMBERS[ServiceEndDate])&lt;CONT_SUP[[#This Row],[DateTo]],1,0)))</f>
        <v>0</v>
      </c>
      <c r="S333" s="57">
        <f>IF(ISBLANK(CONT_SUP[[#This Row],[DateTo]]),0,IF(CONT_SUP[[#This Row],[DateFrom]]=CONT_SUP[[#This Row],[DateTo]],0,IF(CONT_SUP[[#This Row],[DateFrom]]&lt;CONT_SUP[[#This Row],[DateTo]],0,1)))</f>
        <v>0</v>
      </c>
      <c r="T333" s="57" cm="1">
        <f t="array" aca="1" ref="T333" ca="1">IF(CELL("format",CONT_SUP[[#This Row],[DateFrom]])="D1",0,1)+IF(CELL("format",CONT_SUP[[#This Row],[DateTo]])="D1",0,1)</f>
        <v>0</v>
      </c>
      <c r="U333" s="57">
        <f>IF(OR(CONT_SUP[[#This Row],[MatEditOnly]]=TRUE,CONT_SUP[[#This Row],[MatEditOnly]]=FALSE),IF(OR(CONT_SUP[[#This Row],[NoIncrement]]=TRUE,CONT_SUP[[#This Row],[NoIncrement]]=FALSE),0,1),1)</f>
        <v>0</v>
      </c>
      <c r="V333" s="57">
        <f>IF(ISBLANK(CONT_SUP[[#This Row],[FundCode]])=TRUE,0,IF(COUNTIF(FUNDS[FundCode],CONT_SUP[[#This Row],[FundCode]])=1,0,1))</f>
        <v>0</v>
      </c>
      <c r="W333" s="57">
        <f>IF(LEN(CONT_SUP[[#This Row],[Notes]])&lt;4000,0,1)</f>
        <v>0</v>
      </c>
      <c r="X333" s="57">
        <f>IF(SUBSTITUTE(TEXT(CONT_SUP[[#This Row],[Reference]],10)," ","")=TEXT(CONT_SUP[[#This Row],[Reference]],10),0,1)</f>
        <v>0</v>
      </c>
      <c r="Y333" s="57">
        <f ca="1">SUM(CONT_SUP[[#This Row],[Duplicate Contract]:[Space in Code]])</f>
        <v>0</v>
      </c>
      <c r="AA333" s="12" t="s">
        <v>2126</v>
      </c>
      <c r="AB333" s="12">
        <v>10014576</v>
      </c>
      <c r="AC333" s="12">
        <v>108748</v>
      </c>
      <c r="AD333" s="57" t="str">
        <f>_xlfn.XLOOKUP(CONT_SUP[[#This Row],[StaffMemberCode]],StaffMembers!O:O,StaffMembers!R:R)</f>
        <v>Rebecca Mellor</v>
      </c>
      <c r="AE333" s="12" t="s">
        <v>4183</v>
      </c>
      <c r="AF333" s="57">
        <f>_xlfn.XLOOKUP(CONT_SUP[[#This Row],[SRG]],SRG[StaffRoleGroupCode],SRG[GrossSalaryFinanceCode])</f>
        <v>619100</v>
      </c>
      <c r="AG333" s="57" t="str">
        <f>_xlfn.XLOOKUP(CONT_SUP[[#This Row],[StaffRoleCode]],ROLES[StaffRoleCode],ROLES[StaffRoleGroupCode])</f>
        <v>EDS</v>
      </c>
      <c r="AH333" s="57" t="str">
        <f>_xlfn.XLOOKUP(CONT_SUP[[#This Row],[StaffRoleCode]],ROLES[StaffRoleCode],ROLES[PayScaleCode])</f>
        <v>NJC_CHE</v>
      </c>
      <c r="AI333" s="12" t="s">
        <v>3123</v>
      </c>
      <c r="AJ333" s="12">
        <v>7</v>
      </c>
      <c r="AK333" s="12" t="s">
        <v>2482</v>
      </c>
      <c r="AM333" s="68" t="s">
        <v>3132</v>
      </c>
      <c r="AN333" s="12" t="s">
        <v>3134</v>
      </c>
      <c r="AO333" s="21">
        <v>46023</v>
      </c>
      <c r="AQ333" s="12">
        <v>14.8</v>
      </c>
      <c r="AR333" t="b">
        <v>0</v>
      </c>
      <c r="AS333" t="b">
        <v>0</v>
      </c>
      <c r="AT333" s="12" t="s">
        <v>1573</v>
      </c>
    </row>
    <row r="334" spans="1:46" x14ac:dyDescent="0.3">
      <c r="A334" s="57" t="str">
        <f t="shared" si="11"/>
        <v>MLB10005356106132COV_SUPSESS46023</v>
      </c>
      <c r="B334" s="57">
        <f>COUNTIF(CONT_SUP[Unique Contract],CONT_SUP[[#This Row],[Unique Contract]])-1</f>
        <v>0</v>
      </c>
      <c r="C334" s="57">
        <f>IFERROR(IF(FIND(CONT_SUP[[#This Row],[SchoolCode]],_xlfn.XLOOKUP(CONT_SUP[[#This Row],[StaffMemberCode]],MEMBERS[StaffMemberCode],MEMBERS[SchoolCodes]))&gt;0,0,1),1)</f>
        <v>0</v>
      </c>
      <c r="D334" s="57" cm="1">
        <f t="array" ref="D334">IF(_xlfn.XLOOKUP(CONT_SUP[[#This Row],[StaffRoleCode]],ROLES[StaffRoleCode],ROLES[AvailableToAllSchools],1,0,)=TRUE,0,IF(ISERROR(FIND(CONT_SUP[[#This Row],[SchoolCode]],_xlfn.TEXTJOIN(",",TRUE,_xlfn.UNIQUE(IF(ROLES[StaffRoleCode]=CONT_SUP[[#This Row],[StaffRoleCode]],ROLES[SchoolCodes],""))))),1,0))</f>
        <v>0</v>
      </c>
      <c r="E334" s="57" cm="1">
        <f t="array" ref="E33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34" s="57" cm="1">
        <f t="array" ref="F334">IF(_xlfn.XLOOKUP(CONT_SUP[[#This Row],[PayScaleCode]],PAYSCALES[PayScaleCode],PAYSCALES[AvailableToAllSchools],1,0,)=TRUE,0,IF(ISERROR(FIND(CONT_SUP[[#This Row],[SchoolCode]],_xlfn.TEXTJOIN(",",TRUE,_xlfn.UNIQUE(IF(PAYSCALES[PayScaleCode]=CONT_SUP[[#This Row],[PayScaleCode]],PAYSCALES[SchoolCodes],""))))),1,0))</f>
        <v>0</v>
      </c>
      <c r="G334" s="57">
        <f>IF(_xlfn.XLOOKUP(CONT_SUP[[#This Row],[PayScaleGradeCode]],GRADES[PayScaleGradeCode],GRADES[AvailableToAllSchools])=TRUE,0,IFERROR(IF(FIND(CONT_SUP[[#This Row],[SchoolCode]],_xlfn.XLOOKUP(CONT_SUP[[#This Row],[PayScaleGradeCode]],GRADES[PayScaleGradeCode],GRADES[SchoolCodes]))&gt;=1,0,1),1))</f>
        <v>0</v>
      </c>
      <c r="H334" s="57">
        <f>IF(ISERROR(IF((_xlfn.XLOOKUP(CONT_SUP[[#This Row],[PayScaleGradeCode]],GRADES[PayScaleGradeCode],GRADES[PayScaleCode])=CONT_SUP[[#This Row],[PayScaleCode]]),0,1)),1,0)</f>
        <v>0</v>
      </c>
      <c r="I334" s="57" cm="1">
        <f t="array" ref="I334">IF(ISERROR(FIND(CONT_SUP[[#This Row],[PayScalePointCode]],_xlfn.TEXTJOIN(",",TRUE,IF(PSPOINTS[PayScaleCode]=CONT_SUP[[#This Row],[PayScaleCode]],PSPOINTS[PayScalePointCode])))),1,0)</f>
        <v>0</v>
      </c>
      <c r="J334" s="57" cm="1">
        <f t="array" ref="J33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34" s="57">
        <f>IF(_xlfn.XLOOKUP(CONT_SUP[[#This Row],[PayScalePointCode]],PSPOINTS[PayScalePointCode],PSPOINTS[PayScalePointEnabled])=TRUE,0,1)</f>
        <v>0</v>
      </c>
      <c r="L334" s="57" cm="1">
        <f t="array" ref="L334">IF(_xlfn.XLOOKUP(CONT_SUP[[#This Row],[DepartmentCode]],DEPTS[DepartmentCode],DEPTS[AvailableToAllSchools],1,0,)=TRUE,0,IF(ISERROR(FIND(CONT_SUP[[#This Row],[SchoolCode]],_xlfn.TEXTJOIN(",",TRUE,_xlfn.UNIQUE(IF(DEPTS[DepartmentCode]=CONT_SUP[[#This Row],[DepartmentCode]],DEPTS[SchoolCodes],""))))),1,0))</f>
        <v>0</v>
      </c>
      <c r="M334" s="57">
        <f>IFERROR(IF(_xlfn.XLOOKUP(CONT_SUP[[#This Row],[SRG Gross]],FinanceCodesBudget[FinanceCode],FinanceCodesBudget[LedgerCode])=_xlfn.XLOOKUP(CONT_SUP[[#This Row],[DepartmentCode]],DEPTS[DepartmentCode],DEPTS[LedgerCode]),0,1),1)</f>
        <v>0</v>
      </c>
      <c r="N334" s="57" cm="1">
        <f t="array" ref="N334">IF(_xlfn.XLOOKUP(CONT_SUP[[#This Row],[PensionCode]],PENS[PensionCode],PENS[AvailableToAllSchools],1,0,)=TRUE,0,IF(ISERROR(FIND(CONT_SUP[[#This Row],[SchoolCode]],_xlfn.TEXTJOIN(",",TRUE,_xlfn.UNIQUE(IF(PENS[PensionCode]=CONT_SUP[[#This Row],[PensionCode]],PENS[SchoolCodes],""))))),1,0))</f>
        <v>0</v>
      </c>
      <c r="O334" s="57" cm="1">
        <f t="array" ref="O334">IF(_xlfn.XLOOKUP(CONT_SUP[[#This Row],[EquatedWeekPatternCode]],EQW[EquatedWeekPatternCode],EQW[AvailableToAllSchools],1,0,)=TRUE,0,IF(ISERROR(FIND(CONT_SUP[[#This Row],[SchoolCode]],_xlfn.TEXTJOIN(",",TRUE,_xlfn.UNIQUE(IF(EQW[EquatedWeekPatternCode]=CONT_SUP[[#This Row],[EquatedWeekPatternCode]],EQW[SchoolCodes],""))))),1,0))</f>
        <v>0</v>
      </c>
      <c r="P334" s="57">
        <f>1-COUNTIF(ContractTypes[Code],CONT_SUP[[#This Row],[ContractTypeCode]])</f>
        <v>0</v>
      </c>
      <c r="Q334" s="57">
        <f>IF(VLOOKUP(CONT_SUP[[#This Row],[StaffMemberCode]],MEMBERS[[StaffMemberCode]:[ServiceStartDate]],5,0)&gt;CONT_SUP[[#This Row],[DateFrom]],1,0)</f>
        <v>0</v>
      </c>
      <c r="R334" s="57">
        <f>IF(_xlfn.XLOOKUP(CONT_SUP[[#This Row],[StaffMemberCode]],MEMBERS[StaffMemberCode],MEMBERS[ServiceEndDate])="",0,IF(CONT_SUP[[#This Row],[DateTo]]="",1,IF(_xlfn.XLOOKUP(CONT_SUP[[#This Row],[StaffMemberCode]],MEMBERS[StaffMemberCode],MEMBERS[ServiceEndDate])&lt;CONT_SUP[[#This Row],[DateTo]],1,0)))</f>
        <v>0</v>
      </c>
      <c r="S334" s="57">
        <f>IF(ISBLANK(CONT_SUP[[#This Row],[DateTo]]),0,IF(CONT_SUP[[#This Row],[DateFrom]]=CONT_SUP[[#This Row],[DateTo]],0,IF(CONT_SUP[[#This Row],[DateFrom]]&lt;CONT_SUP[[#This Row],[DateTo]],0,1)))</f>
        <v>0</v>
      </c>
      <c r="T334" s="57" cm="1">
        <f t="array" aca="1" ref="T334" ca="1">IF(CELL("format",CONT_SUP[[#This Row],[DateFrom]])="D1",0,1)+IF(CELL("format",CONT_SUP[[#This Row],[DateTo]])="D1",0,1)</f>
        <v>0</v>
      </c>
      <c r="U334" s="57">
        <f>IF(OR(CONT_SUP[[#This Row],[MatEditOnly]]=TRUE,CONT_SUP[[#This Row],[MatEditOnly]]=FALSE),IF(OR(CONT_SUP[[#This Row],[NoIncrement]]=TRUE,CONT_SUP[[#This Row],[NoIncrement]]=FALSE),0,1),1)</f>
        <v>0</v>
      </c>
      <c r="V334" s="57">
        <f>IF(ISBLANK(CONT_SUP[[#This Row],[FundCode]])=TRUE,0,IF(COUNTIF(FUNDS[FundCode],CONT_SUP[[#This Row],[FundCode]])=1,0,1))</f>
        <v>0</v>
      </c>
      <c r="W334" s="57">
        <f>IF(LEN(CONT_SUP[[#This Row],[Notes]])&lt;4000,0,1)</f>
        <v>0</v>
      </c>
      <c r="X334" s="57">
        <f>IF(SUBSTITUTE(TEXT(CONT_SUP[[#This Row],[Reference]],10)," ","")=TEXT(CONT_SUP[[#This Row],[Reference]],10),0,1)</f>
        <v>0</v>
      </c>
      <c r="Y334" s="57">
        <f ca="1">SUM(CONT_SUP[[#This Row],[Duplicate Contract]:[Space in Code]])</f>
        <v>0</v>
      </c>
      <c r="AA334" s="12" t="s">
        <v>2126</v>
      </c>
      <c r="AB334" s="12">
        <v>10005356</v>
      </c>
      <c r="AC334" s="12">
        <v>106132</v>
      </c>
      <c r="AD334" s="57" t="str">
        <f>_xlfn.XLOOKUP(CONT_SUP[[#This Row],[StaffMemberCode]],StaffMembers!O:O,StaffMembers!R:R)</f>
        <v>Paul Sides</v>
      </c>
      <c r="AE334" s="12" t="s">
        <v>4183</v>
      </c>
      <c r="AF334" s="57">
        <f>_xlfn.XLOOKUP(CONT_SUP[[#This Row],[SRG]],SRG[StaffRoleGroupCode],SRG[GrossSalaryFinanceCode])</f>
        <v>619100</v>
      </c>
      <c r="AG334" s="57" t="str">
        <f>_xlfn.XLOOKUP(CONT_SUP[[#This Row],[StaffRoleCode]],ROLES[StaffRoleCode],ROLES[StaffRoleGroupCode])</f>
        <v>EDS</v>
      </c>
      <c r="AH334" s="57" t="str">
        <f>_xlfn.XLOOKUP(CONT_SUP[[#This Row],[StaffRoleCode]],ROLES[StaffRoleCode],ROLES[PayScaleCode])</f>
        <v>NJC_CHE</v>
      </c>
      <c r="AI334" s="12" t="s">
        <v>3123</v>
      </c>
      <c r="AJ334" s="12">
        <v>11</v>
      </c>
      <c r="AK334" s="12" t="s">
        <v>2482</v>
      </c>
      <c r="AM334" s="68" t="s">
        <v>3132</v>
      </c>
      <c r="AN334" s="12" t="s">
        <v>3134</v>
      </c>
      <c r="AO334" s="21">
        <v>46023</v>
      </c>
      <c r="AQ334" s="12">
        <v>31.25</v>
      </c>
      <c r="AR334" t="b">
        <v>0</v>
      </c>
      <c r="AS334" t="b">
        <v>0</v>
      </c>
      <c r="AT334" s="12" t="s">
        <v>1574</v>
      </c>
    </row>
    <row r="335" spans="1:46" x14ac:dyDescent="0.3">
      <c r="A335" s="57" t="str">
        <f t="shared" si="11"/>
        <v>MLB10005308106075COV_SUPSESS46023</v>
      </c>
      <c r="B335" s="57">
        <f>COUNTIF(CONT_SUP[Unique Contract],CONT_SUP[[#This Row],[Unique Contract]])-1</f>
        <v>0</v>
      </c>
      <c r="C335" s="57">
        <f>IFERROR(IF(FIND(CONT_SUP[[#This Row],[SchoolCode]],_xlfn.XLOOKUP(CONT_SUP[[#This Row],[StaffMemberCode]],MEMBERS[StaffMemberCode],MEMBERS[SchoolCodes]))&gt;0,0,1),1)</f>
        <v>0</v>
      </c>
      <c r="D335" s="57" cm="1">
        <f t="array" ref="D335">IF(_xlfn.XLOOKUP(CONT_SUP[[#This Row],[StaffRoleCode]],ROLES[StaffRoleCode],ROLES[AvailableToAllSchools],1,0,)=TRUE,0,IF(ISERROR(FIND(CONT_SUP[[#This Row],[SchoolCode]],_xlfn.TEXTJOIN(",",TRUE,_xlfn.UNIQUE(IF(ROLES[StaffRoleCode]=CONT_SUP[[#This Row],[StaffRoleCode]],ROLES[SchoolCodes],""))))),1,0))</f>
        <v>0</v>
      </c>
      <c r="E335" s="57" cm="1">
        <f t="array" ref="E33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35" s="57" cm="1">
        <f t="array" ref="F335">IF(_xlfn.XLOOKUP(CONT_SUP[[#This Row],[PayScaleCode]],PAYSCALES[PayScaleCode],PAYSCALES[AvailableToAllSchools],1,0,)=TRUE,0,IF(ISERROR(FIND(CONT_SUP[[#This Row],[SchoolCode]],_xlfn.TEXTJOIN(",",TRUE,_xlfn.UNIQUE(IF(PAYSCALES[PayScaleCode]=CONT_SUP[[#This Row],[PayScaleCode]],PAYSCALES[SchoolCodes],""))))),1,0))</f>
        <v>0</v>
      </c>
      <c r="G335" s="57">
        <f>IF(_xlfn.XLOOKUP(CONT_SUP[[#This Row],[PayScaleGradeCode]],GRADES[PayScaleGradeCode],GRADES[AvailableToAllSchools])=TRUE,0,IFERROR(IF(FIND(CONT_SUP[[#This Row],[SchoolCode]],_xlfn.XLOOKUP(CONT_SUP[[#This Row],[PayScaleGradeCode]],GRADES[PayScaleGradeCode],GRADES[SchoolCodes]))&gt;=1,0,1),1))</f>
        <v>0</v>
      </c>
      <c r="H335" s="57">
        <f>IF(ISERROR(IF((_xlfn.XLOOKUP(CONT_SUP[[#This Row],[PayScaleGradeCode]],GRADES[PayScaleGradeCode],GRADES[PayScaleCode])=CONT_SUP[[#This Row],[PayScaleCode]]),0,1)),1,0)</f>
        <v>0</v>
      </c>
      <c r="I335" s="57" cm="1">
        <f t="array" ref="I335">IF(ISERROR(FIND(CONT_SUP[[#This Row],[PayScalePointCode]],_xlfn.TEXTJOIN(",",TRUE,IF(PSPOINTS[PayScaleCode]=CONT_SUP[[#This Row],[PayScaleCode]],PSPOINTS[PayScalePointCode])))),1,0)</f>
        <v>0</v>
      </c>
      <c r="J335" s="57" cm="1">
        <f t="array" ref="J33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35" s="57">
        <f>IF(_xlfn.XLOOKUP(CONT_SUP[[#This Row],[PayScalePointCode]],PSPOINTS[PayScalePointCode],PSPOINTS[PayScalePointEnabled])=TRUE,0,1)</f>
        <v>0</v>
      </c>
      <c r="L335" s="57" cm="1">
        <f t="array" ref="L335">IF(_xlfn.XLOOKUP(CONT_SUP[[#This Row],[DepartmentCode]],DEPTS[DepartmentCode],DEPTS[AvailableToAllSchools],1,0,)=TRUE,0,IF(ISERROR(FIND(CONT_SUP[[#This Row],[SchoolCode]],_xlfn.TEXTJOIN(",",TRUE,_xlfn.UNIQUE(IF(DEPTS[DepartmentCode]=CONT_SUP[[#This Row],[DepartmentCode]],DEPTS[SchoolCodes],""))))),1,0))</f>
        <v>0</v>
      </c>
      <c r="M335" s="57">
        <f>IFERROR(IF(_xlfn.XLOOKUP(CONT_SUP[[#This Row],[SRG Gross]],FinanceCodesBudget[FinanceCode],FinanceCodesBudget[LedgerCode])=_xlfn.XLOOKUP(CONT_SUP[[#This Row],[DepartmentCode]],DEPTS[DepartmentCode],DEPTS[LedgerCode]),0,1),1)</f>
        <v>0</v>
      </c>
      <c r="N335" s="57" cm="1">
        <f t="array" ref="N335">IF(_xlfn.XLOOKUP(CONT_SUP[[#This Row],[PensionCode]],PENS[PensionCode],PENS[AvailableToAllSchools],1,0,)=TRUE,0,IF(ISERROR(FIND(CONT_SUP[[#This Row],[SchoolCode]],_xlfn.TEXTJOIN(",",TRUE,_xlfn.UNIQUE(IF(PENS[PensionCode]=CONT_SUP[[#This Row],[PensionCode]],PENS[SchoolCodes],""))))),1,0))</f>
        <v>0</v>
      </c>
      <c r="O335" s="57" cm="1">
        <f t="array" ref="O335">IF(_xlfn.XLOOKUP(CONT_SUP[[#This Row],[EquatedWeekPatternCode]],EQW[EquatedWeekPatternCode],EQW[AvailableToAllSchools],1,0,)=TRUE,0,IF(ISERROR(FIND(CONT_SUP[[#This Row],[SchoolCode]],_xlfn.TEXTJOIN(",",TRUE,_xlfn.UNIQUE(IF(EQW[EquatedWeekPatternCode]=CONT_SUP[[#This Row],[EquatedWeekPatternCode]],EQW[SchoolCodes],""))))),1,0))</f>
        <v>0</v>
      </c>
      <c r="P335" s="57">
        <f>1-COUNTIF(ContractTypes[Code],CONT_SUP[[#This Row],[ContractTypeCode]])</f>
        <v>0</v>
      </c>
      <c r="Q335" s="57">
        <f>IF(VLOOKUP(CONT_SUP[[#This Row],[StaffMemberCode]],MEMBERS[[StaffMemberCode]:[ServiceStartDate]],5,0)&gt;CONT_SUP[[#This Row],[DateFrom]],1,0)</f>
        <v>0</v>
      </c>
      <c r="R335" s="57">
        <f>IF(_xlfn.XLOOKUP(CONT_SUP[[#This Row],[StaffMemberCode]],MEMBERS[StaffMemberCode],MEMBERS[ServiceEndDate])="",0,IF(CONT_SUP[[#This Row],[DateTo]]="",1,IF(_xlfn.XLOOKUP(CONT_SUP[[#This Row],[StaffMemberCode]],MEMBERS[StaffMemberCode],MEMBERS[ServiceEndDate])&lt;CONT_SUP[[#This Row],[DateTo]],1,0)))</f>
        <v>0</v>
      </c>
      <c r="S335" s="57">
        <f>IF(ISBLANK(CONT_SUP[[#This Row],[DateTo]]),0,IF(CONT_SUP[[#This Row],[DateFrom]]=CONT_SUP[[#This Row],[DateTo]],0,IF(CONT_SUP[[#This Row],[DateFrom]]&lt;CONT_SUP[[#This Row],[DateTo]],0,1)))</f>
        <v>0</v>
      </c>
      <c r="T335" s="57" cm="1">
        <f t="array" aca="1" ref="T335" ca="1">IF(CELL("format",CONT_SUP[[#This Row],[DateFrom]])="D1",0,1)+IF(CELL("format",CONT_SUP[[#This Row],[DateTo]])="D1",0,1)</f>
        <v>0</v>
      </c>
      <c r="U335" s="57">
        <f>IF(OR(CONT_SUP[[#This Row],[MatEditOnly]]=TRUE,CONT_SUP[[#This Row],[MatEditOnly]]=FALSE),IF(OR(CONT_SUP[[#This Row],[NoIncrement]]=TRUE,CONT_SUP[[#This Row],[NoIncrement]]=FALSE),0,1),1)</f>
        <v>0</v>
      </c>
      <c r="V335" s="57">
        <f>IF(ISBLANK(CONT_SUP[[#This Row],[FundCode]])=TRUE,0,IF(COUNTIF(FUNDS[FundCode],CONT_SUP[[#This Row],[FundCode]])=1,0,1))</f>
        <v>0</v>
      </c>
      <c r="W335" s="57">
        <f>IF(LEN(CONT_SUP[[#This Row],[Notes]])&lt;4000,0,1)</f>
        <v>0</v>
      </c>
      <c r="X335" s="57">
        <f>IF(SUBSTITUTE(TEXT(CONT_SUP[[#This Row],[Reference]],10)," ","")=TEXT(CONT_SUP[[#This Row],[Reference]],10),0,1)</f>
        <v>0</v>
      </c>
      <c r="Y335" s="57">
        <f ca="1">SUM(CONT_SUP[[#This Row],[Duplicate Contract]:[Space in Code]])</f>
        <v>0</v>
      </c>
      <c r="AA335" s="12" t="s">
        <v>2126</v>
      </c>
      <c r="AB335" s="12">
        <v>10005308</v>
      </c>
      <c r="AC335" s="12">
        <v>106075</v>
      </c>
      <c r="AD335" s="57" t="str">
        <f>_xlfn.XLOOKUP(CONT_SUP[[#This Row],[StaffMemberCode]],StaffMembers!O:O,StaffMembers!R:R)</f>
        <v>Rachel Cotton-Jones</v>
      </c>
      <c r="AE335" s="12" t="s">
        <v>4183</v>
      </c>
      <c r="AF335" s="57">
        <f>_xlfn.XLOOKUP(CONT_SUP[[#This Row],[SRG]],SRG[StaffRoleGroupCode],SRG[GrossSalaryFinanceCode])</f>
        <v>619100</v>
      </c>
      <c r="AG335" s="57" t="str">
        <f>_xlfn.XLOOKUP(CONT_SUP[[#This Row],[StaffRoleCode]],ROLES[StaffRoleCode],ROLES[StaffRoleGroupCode])</f>
        <v>EDS</v>
      </c>
      <c r="AH335" s="57" t="str">
        <f>_xlfn.XLOOKUP(CONT_SUP[[#This Row],[StaffRoleCode]],ROLES[StaffRoleCode],ROLES[PayScaleCode])</f>
        <v>NJC_CHE</v>
      </c>
      <c r="AI335" s="12" t="s">
        <v>3123</v>
      </c>
      <c r="AJ335" s="12">
        <v>11</v>
      </c>
      <c r="AK335" s="12" t="s">
        <v>2482</v>
      </c>
      <c r="AM335" s="68" t="s">
        <v>3132</v>
      </c>
      <c r="AN335" s="12" t="s">
        <v>3134</v>
      </c>
      <c r="AO335" s="21">
        <v>46023</v>
      </c>
      <c r="AQ335" s="12">
        <v>18.75</v>
      </c>
      <c r="AR335" t="b">
        <v>0</v>
      </c>
      <c r="AS335" t="b">
        <v>0</v>
      </c>
      <c r="AT335" s="12" t="s">
        <v>1573</v>
      </c>
    </row>
    <row r="336" spans="1:46" x14ac:dyDescent="0.3">
      <c r="A336" s="57" t="str">
        <f t="shared" si="11"/>
        <v>MLB10015812107931COV_SUPSESS46023</v>
      </c>
      <c r="B336" s="57">
        <f>COUNTIF(CONT_SUP[Unique Contract],CONT_SUP[[#This Row],[Unique Contract]])-1</f>
        <v>0</v>
      </c>
      <c r="C336" s="57">
        <f>IFERROR(IF(FIND(CONT_SUP[[#This Row],[SchoolCode]],_xlfn.XLOOKUP(CONT_SUP[[#This Row],[StaffMemberCode]],MEMBERS[StaffMemberCode],MEMBERS[SchoolCodes]))&gt;0,0,1),1)</f>
        <v>0</v>
      </c>
      <c r="D336" s="57" cm="1">
        <f t="array" ref="D336">IF(_xlfn.XLOOKUP(CONT_SUP[[#This Row],[StaffRoleCode]],ROLES[StaffRoleCode],ROLES[AvailableToAllSchools],1,0,)=TRUE,0,IF(ISERROR(FIND(CONT_SUP[[#This Row],[SchoolCode]],_xlfn.TEXTJOIN(",",TRUE,_xlfn.UNIQUE(IF(ROLES[StaffRoleCode]=CONT_SUP[[#This Row],[StaffRoleCode]],ROLES[SchoolCodes],""))))),1,0))</f>
        <v>0</v>
      </c>
      <c r="E336" s="57" cm="1">
        <f t="array" ref="E33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36" s="57" cm="1">
        <f t="array" ref="F336">IF(_xlfn.XLOOKUP(CONT_SUP[[#This Row],[PayScaleCode]],PAYSCALES[PayScaleCode],PAYSCALES[AvailableToAllSchools],1,0,)=TRUE,0,IF(ISERROR(FIND(CONT_SUP[[#This Row],[SchoolCode]],_xlfn.TEXTJOIN(",",TRUE,_xlfn.UNIQUE(IF(PAYSCALES[PayScaleCode]=CONT_SUP[[#This Row],[PayScaleCode]],PAYSCALES[SchoolCodes],""))))),1,0))</f>
        <v>0</v>
      </c>
      <c r="G336" s="57">
        <f>IF(_xlfn.XLOOKUP(CONT_SUP[[#This Row],[PayScaleGradeCode]],GRADES[PayScaleGradeCode],GRADES[AvailableToAllSchools])=TRUE,0,IFERROR(IF(FIND(CONT_SUP[[#This Row],[SchoolCode]],_xlfn.XLOOKUP(CONT_SUP[[#This Row],[PayScaleGradeCode]],GRADES[PayScaleGradeCode],GRADES[SchoolCodes]))&gt;=1,0,1),1))</f>
        <v>0</v>
      </c>
      <c r="H336" s="57">
        <f>IF(ISERROR(IF((_xlfn.XLOOKUP(CONT_SUP[[#This Row],[PayScaleGradeCode]],GRADES[PayScaleGradeCode],GRADES[PayScaleCode])=CONT_SUP[[#This Row],[PayScaleCode]]),0,1)),1,0)</f>
        <v>0</v>
      </c>
      <c r="I336" s="57" cm="1">
        <f t="array" ref="I336">IF(ISERROR(FIND(CONT_SUP[[#This Row],[PayScalePointCode]],_xlfn.TEXTJOIN(",",TRUE,IF(PSPOINTS[PayScaleCode]=CONT_SUP[[#This Row],[PayScaleCode]],PSPOINTS[PayScalePointCode])))),1,0)</f>
        <v>0</v>
      </c>
      <c r="J336" s="57" cm="1">
        <f t="array" ref="J33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36" s="57">
        <f>IF(_xlfn.XLOOKUP(CONT_SUP[[#This Row],[PayScalePointCode]],PSPOINTS[PayScalePointCode],PSPOINTS[PayScalePointEnabled])=TRUE,0,1)</f>
        <v>0</v>
      </c>
      <c r="L336" s="57" cm="1">
        <f t="array" ref="L336">IF(_xlfn.XLOOKUP(CONT_SUP[[#This Row],[DepartmentCode]],DEPTS[DepartmentCode],DEPTS[AvailableToAllSchools],1,0,)=TRUE,0,IF(ISERROR(FIND(CONT_SUP[[#This Row],[SchoolCode]],_xlfn.TEXTJOIN(",",TRUE,_xlfn.UNIQUE(IF(DEPTS[DepartmentCode]=CONT_SUP[[#This Row],[DepartmentCode]],DEPTS[SchoolCodes],""))))),1,0))</f>
        <v>0</v>
      </c>
      <c r="M336" s="57">
        <f>IFERROR(IF(_xlfn.XLOOKUP(CONT_SUP[[#This Row],[SRG Gross]],FinanceCodesBudget[FinanceCode],FinanceCodesBudget[LedgerCode])=_xlfn.XLOOKUP(CONT_SUP[[#This Row],[DepartmentCode]],DEPTS[DepartmentCode],DEPTS[LedgerCode]),0,1),1)</f>
        <v>0</v>
      </c>
      <c r="N336" s="57" cm="1">
        <f t="array" ref="N336">IF(_xlfn.XLOOKUP(CONT_SUP[[#This Row],[PensionCode]],PENS[PensionCode],PENS[AvailableToAllSchools],1,0,)=TRUE,0,IF(ISERROR(FIND(CONT_SUP[[#This Row],[SchoolCode]],_xlfn.TEXTJOIN(",",TRUE,_xlfn.UNIQUE(IF(PENS[PensionCode]=CONT_SUP[[#This Row],[PensionCode]],PENS[SchoolCodes],""))))),1,0))</f>
        <v>0</v>
      </c>
      <c r="O336" s="57" cm="1">
        <f t="array" ref="O336">IF(_xlfn.XLOOKUP(CONT_SUP[[#This Row],[EquatedWeekPatternCode]],EQW[EquatedWeekPatternCode],EQW[AvailableToAllSchools],1,0,)=TRUE,0,IF(ISERROR(FIND(CONT_SUP[[#This Row],[SchoolCode]],_xlfn.TEXTJOIN(",",TRUE,_xlfn.UNIQUE(IF(EQW[EquatedWeekPatternCode]=CONT_SUP[[#This Row],[EquatedWeekPatternCode]],EQW[SchoolCodes],""))))),1,0))</f>
        <v>0</v>
      </c>
      <c r="P336" s="57">
        <f>1-COUNTIF(ContractTypes[Code],CONT_SUP[[#This Row],[ContractTypeCode]])</f>
        <v>0</v>
      </c>
      <c r="Q336" s="57">
        <f>IF(VLOOKUP(CONT_SUP[[#This Row],[StaffMemberCode]],MEMBERS[[StaffMemberCode]:[ServiceStartDate]],5,0)&gt;CONT_SUP[[#This Row],[DateFrom]],1,0)</f>
        <v>0</v>
      </c>
      <c r="R336" s="57">
        <f>IF(_xlfn.XLOOKUP(CONT_SUP[[#This Row],[StaffMemberCode]],MEMBERS[StaffMemberCode],MEMBERS[ServiceEndDate])="",0,IF(CONT_SUP[[#This Row],[DateTo]]="",1,IF(_xlfn.XLOOKUP(CONT_SUP[[#This Row],[StaffMemberCode]],MEMBERS[StaffMemberCode],MEMBERS[ServiceEndDate])&lt;CONT_SUP[[#This Row],[DateTo]],1,0)))</f>
        <v>0</v>
      </c>
      <c r="S336" s="57">
        <f>IF(ISBLANK(CONT_SUP[[#This Row],[DateTo]]),0,IF(CONT_SUP[[#This Row],[DateFrom]]=CONT_SUP[[#This Row],[DateTo]],0,IF(CONT_SUP[[#This Row],[DateFrom]]&lt;CONT_SUP[[#This Row],[DateTo]],0,1)))</f>
        <v>0</v>
      </c>
      <c r="T336" s="57" cm="1">
        <f t="array" aca="1" ref="T336" ca="1">IF(CELL("format",CONT_SUP[[#This Row],[DateFrom]])="D1",0,1)+IF(CELL("format",CONT_SUP[[#This Row],[DateTo]])="D1",0,1)</f>
        <v>0</v>
      </c>
      <c r="U336" s="57">
        <f>IF(OR(CONT_SUP[[#This Row],[MatEditOnly]]=TRUE,CONT_SUP[[#This Row],[MatEditOnly]]=FALSE),IF(OR(CONT_SUP[[#This Row],[NoIncrement]]=TRUE,CONT_SUP[[#This Row],[NoIncrement]]=FALSE),0,1),1)</f>
        <v>0</v>
      </c>
      <c r="V336" s="57">
        <f>IF(ISBLANK(CONT_SUP[[#This Row],[FundCode]])=TRUE,0,IF(COUNTIF(FUNDS[FundCode],CONT_SUP[[#This Row],[FundCode]])=1,0,1))</f>
        <v>0</v>
      </c>
      <c r="W336" s="57">
        <f>IF(LEN(CONT_SUP[[#This Row],[Notes]])&lt;4000,0,1)</f>
        <v>0</v>
      </c>
      <c r="X336" s="57">
        <f>IF(SUBSTITUTE(TEXT(CONT_SUP[[#This Row],[Reference]],10)," ","")=TEXT(CONT_SUP[[#This Row],[Reference]],10),0,1)</f>
        <v>0</v>
      </c>
      <c r="Y336" s="57">
        <f ca="1">SUM(CONT_SUP[[#This Row],[Duplicate Contract]:[Space in Code]])</f>
        <v>0</v>
      </c>
      <c r="AA336" s="12" t="s">
        <v>2126</v>
      </c>
      <c r="AB336" s="12">
        <v>10015812</v>
      </c>
      <c r="AC336" s="12">
        <v>107931</v>
      </c>
      <c r="AD336" s="57" t="str">
        <f>_xlfn.XLOOKUP(CONT_SUP[[#This Row],[StaffMemberCode]],StaffMembers!O:O,StaffMembers!R:R)</f>
        <v>Jasmine Hope</v>
      </c>
      <c r="AE336" s="12" t="s">
        <v>4183</v>
      </c>
      <c r="AF336" s="57">
        <f>_xlfn.XLOOKUP(CONT_SUP[[#This Row],[SRG]],SRG[StaffRoleGroupCode],SRG[GrossSalaryFinanceCode])</f>
        <v>619100</v>
      </c>
      <c r="AG336" s="57" t="str">
        <f>_xlfn.XLOOKUP(CONT_SUP[[#This Row],[StaffRoleCode]],ROLES[StaffRoleCode],ROLES[StaffRoleGroupCode])</f>
        <v>EDS</v>
      </c>
      <c r="AH336" s="57" t="str">
        <f>_xlfn.XLOOKUP(CONT_SUP[[#This Row],[StaffRoleCode]],ROLES[StaffRoleCode],ROLES[PayScaleCode])</f>
        <v>NJC_CHE</v>
      </c>
      <c r="AI336" s="12" t="s">
        <v>3123</v>
      </c>
      <c r="AJ336" s="12">
        <v>7</v>
      </c>
      <c r="AK336" s="12" t="s">
        <v>2482</v>
      </c>
      <c r="AM336" s="68" t="s">
        <v>3132</v>
      </c>
      <c r="AN336" s="12" t="s">
        <v>3135</v>
      </c>
      <c r="AO336" s="21">
        <v>46023</v>
      </c>
      <c r="AQ336" s="12">
        <v>37</v>
      </c>
      <c r="AR336" t="b">
        <v>0</v>
      </c>
      <c r="AS336" t="b">
        <v>0</v>
      </c>
      <c r="AT336" s="12" t="s">
        <v>1574</v>
      </c>
    </row>
    <row r="337" spans="1:46" x14ac:dyDescent="0.3">
      <c r="A337" s="57" t="str">
        <f t="shared" si="11"/>
        <v>MLB10006192114241DDSLSESS46023</v>
      </c>
      <c r="B337" s="57">
        <f>COUNTIF(CONT_SUP[Unique Contract],CONT_SUP[[#This Row],[Unique Contract]])-1</f>
        <v>0</v>
      </c>
      <c r="C337" s="57">
        <f>IFERROR(IF(FIND(CONT_SUP[[#This Row],[SchoolCode]],_xlfn.XLOOKUP(CONT_SUP[[#This Row],[StaffMemberCode]],MEMBERS[StaffMemberCode],MEMBERS[SchoolCodes]))&gt;0,0,1),1)</f>
        <v>0</v>
      </c>
      <c r="D337" s="57" cm="1">
        <f t="array" ref="D337">IF(_xlfn.XLOOKUP(CONT_SUP[[#This Row],[StaffRoleCode]],ROLES[StaffRoleCode],ROLES[AvailableToAllSchools],1,0,)=TRUE,0,IF(ISERROR(FIND(CONT_SUP[[#This Row],[SchoolCode]],_xlfn.TEXTJOIN(",",TRUE,_xlfn.UNIQUE(IF(ROLES[StaffRoleCode]=CONT_SUP[[#This Row],[StaffRoleCode]],ROLES[SchoolCodes],""))))),1,0))</f>
        <v>0</v>
      </c>
      <c r="E337" s="57" cm="1">
        <f t="array" ref="E33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37" s="57" cm="1">
        <f t="array" ref="F337">IF(_xlfn.XLOOKUP(CONT_SUP[[#This Row],[PayScaleCode]],PAYSCALES[PayScaleCode],PAYSCALES[AvailableToAllSchools],1,0,)=TRUE,0,IF(ISERROR(FIND(CONT_SUP[[#This Row],[SchoolCode]],_xlfn.TEXTJOIN(",",TRUE,_xlfn.UNIQUE(IF(PAYSCALES[PayScaleCode]=CONT_SUP[[#This Row],[PayScaleCode]],PAYSCALES[SchoolCodes],""))))),1,0))</f>
        <v>0</v>
      </c>
      <c r="G337" s="57">
        <f>IF(_xlfn.XLOOKUP(CONT_SUP[[#This Row],[PayScaleGradeCode]],GRADES[PayScaleGradeCode],GRADES[AvailableToAllSchools])=TRUE,0,IFERROR(IF(FIND(CONT_SUP[[#This Row],[SchoolCode]],_xlfn.XLOOKUP(CONT_SUP[[#This Row],[PayScaleGradeCode]],GRADES[PayScaleGradeCode],GRADES[SchoolCodes]))&gt;=1,0,1),1))</f>
        <v>0</v>
      </c>
      <c r="H337" s="57">
        <f>IF(ISERROR(IF((_xlfn.XLOOKUP(CONT_SUP[[#This Row],[PayScaleGradeCode]],GRADES[PayScaleGradeCode],GRADES[PayScaleCode])=CONT_SUP[[#This Row],[PayScaleCode]]),0,1)),1,0)</f>
        <v>0</v>
      </c>
      <c r="I337" s="57" cm="1">
        <f t="array" ref="I337">IF(ISERROR(FIND(CONT_SUP[[#This Row],[PayScalePointCode]],_xlfn.TEXTJOIN(",",TRUE,IF(PSPOINTS[PayScaleCode]=CONT_SUP[[#This Row],[PayScaleCode]],PSPOINTS[PayScalePointCode])))),1,0)</f>
        <v>0</v>
      </c>
      <c r="J337" s="57" cm="1">
        <f t="array" ref="J33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37" s="57">
        <f>IF(_xlfn.XLOOKUP(CONT_SUP[[#This Row],[PayScalePointCode]],PSPOINTS[PayScalePointCode],PSPOINTS[PayScalePointEnabled])=TRUE,0,1)</f>
        <v>0</v>
      </c>
      <c r="L337" s="57" cm="1">
        <f t="array" ref="L337">IF(_xlfn.XLOOKUP(CONT_SUP[[#This Row],[DepartmentCode]],DEPTS[DepartmentCode],DEPTS[AvailableToAllSchools],1,0,)=TRUE,0,IF(ISERROR(FIND(CONT_SUP[[#This Row],[SchoolCode]],_xlfn.TEXTJOIN(",",TRUE,_xlfn.UNIQUE(IF(DEPTS[DepartmentCode]=CONT_SUP[[#This Row],[DepartmentCode]],DEPTS[SchoolCodes],""))))),1,0))</f>
        <v>0</v>
      </c>
      <c r="M337" s="57">
        <f>IFERROR(IF(_xlfn.XLOOKUP(CONT_SUP[[#This Row],[SRG Gross]],FinanceCodesBudget[FinanceCode],FinanceCodesBudget[LedgerCode])=_xlfn.XLOOKUP(CONT_SUP[[#This Row],[DepartmentCode]],DEPTS[DepartmentCode],DEPTS[LedgerCode]),0,1),1)</f>
        <v>0</v>
      </c>
      <c r="N337" s="57" cm="1">
        <f t="array" ref="N337">IF(_xlfn.XLOOKUP(CONT_SUP[[#This Row],[PensionCode]],PENS[PensionCode],PENS[AvailableToAllSchools],1,0,)=TRUE,0,IF(ISERROR(FIND(CONT_SUP[[#This Row],[SchoolCode]],_xlfn.TEXTJOIN(",",TRUE,_xlfn.UNIQUE(IF(PENS[PensionCode]=CONT_SUP[[#This Row],[PensionCode]],PENS[SchoolCodes],""))))),1,0))</f>
        <v>0</v>
      </c>
      <c r="O337" s="57" cm="1">
        <f t="array" ref="O337">IF(_xlfn.XLOOKUP(CONT_SUP[[#This Row],[EquatedWeekPatternCode]],EQW[EquatedWeekPatternCode],EQW[AvailableToAllSchools],1,0,)=TRUE,0,IF(ISERROR(FIND(CONT_SUP[[#This Row],[SchoolCode]],_xlfn.TEXTJOIN(",",TRUE,_xlfn.UNIQUE(IF(EQW[EquatedWeekPatternCode]=CONT_SUP[[#This Row],[EquatedWeekPatternCode]],EQW[SchoolCodes],""))))),1,0))</f>
        <v>0</v>
      </c>
      <c r="P337" s="57">
        <f>1-COUNTIF(ContractTypes[Code],CONT_SUP[[#This Row],[ContractTypeCode]])</f>
        <v>0</v>
      </c>
      <c r="Q337" s="57">
        <f>IF(VLOOKUP(CONT_SUP[[#This Row],[StaffMemberCode]],MEMBERS[[StaffMemberCode]:[ServiceStartDate]],5,0)&gt;CONT_SUP[[#This Row],[DateFrom]],1,0)</f>
        <v>0</v>
      </c>
      <c r="R337" s="57">
        <f>IF(_xlfn.XLOOKUP(CONT_SUP[[#This Row],[StaffMemberCode]],MEMBERS[StaffMemberCode],MEMBERS[ServiceEndDate])="",0,IF(CONT_SUP[[#This Row],[DateTo]]="",1,IF(_xlfn.XLOOKUP(CONT_SUP[[#This Row],[StaffMemberCode]],MEMBERS[StaffMemberCode],MEMBERS[ServiceEndDate])&lt;CONT_SUP[[#This Row],[DateTo]],1,0)))</f>
        <v>0</v>
      </c>
      <c r="S337" s="57">
        <f>IF(ISBLANK(CONT_SUP[[#This Row],[DateTo]]),0,IF(CONT_SUP[[#This Row],[DateFrom]]=CONT_SUP[[#This Row],[DateTo]],0,IF(CONT_SUP[[#This Row],[DateFrom]]&lt;CONT_SUP[[#This Row],[DateTo]],0,1)))</f>
        <v>0</v>
      </c>
      <c r="T337" s="57" cm="1">
        <f t="array" aca="1" ref="T337" ca="1">IF(CELL("format",CONT_SUP[[#This Row],[DateFrom]])="D1",0,1)+IF(CELL("format",CONT_SUP[[#This Row],[DateTo]])="D1",0,1)</f>
        <v>0</v>
      </c>
      <c r="U337" s="57">
        <f>IF(OR(CONT_SUP[[#This Row],[MatEditOnly]]=TRUE,CONT_SUP[[#This Row],[MatEditOnly]]=FALSE),IF(OR(CONT_SUP[[#This Row],[NoIncrement]]=TRUE,CONT_SUP[[#This Row],[NoIncrement]]=FALSE),0,1),1)</f>
        <v>0</v>
      </c>
      <c r="V337" s="57">
        <f>IF(ISBLANK(CONT_SUP[[#This Row],[FundCode]])=TRUE,0,IF(COUNTIF(FUNDS[FundCode],CONT_SUP[[#This Row],[FundCode]])=1,0,1))</f>
        <v>0</v>
      </c>
      <c r="W337" s="57">
        <f>IF(LEN(CONT_SUP[[#This Row],[Notes]])&lt;4000,0,1)</f>
        <v>0</v>
      </c>
      <c r="X337" s="57">
        <f>IF(SUBSTITUTE(TEXT(CONT_SUP[[#This Row],[Reference]],10)," ","")=TEXT(CONT_SUP[[#This Row],[Reference]],10),0,1)</f>
        <v>0</v>
      </c>
      <c r="Y337" s="57">
        <f ca="1">SUM(CONT_SUP[[#This Row],[Duplicate Contract]:[Space in Code]])</f>
        <v>0</v>
      </c>
      <c r="AA337" s="12" t="s">
        <v>2126</v>
      </c>
      <c r="AB337" s="12">
        <v>10006192</v>
      </c>
      <c r="AC337" s="12">
        <v>114241</v>
      </c>
      <c r="AD337" s="57" t="str">
        <f>_xlfn.XLOOKUP(CONT_SUP[[#This Row],[StaffMemberCode]],StaffMembers!O:O,StaffMembers!R:R)</f>
        <v>Angela Nicholson</v>
      </c>
      <c r="AE337" s="12" t="s">
        <v>4185</v>
      </c>
      <c r="AF337" s="57">
        <f>_xlfn.XLOOKUP(CONT_SUP[[#This Row],[SRG]],SRG[StaffRoleGroupCode],SRG[GrossSalaryFinanceCode])</f>
        <v>619100</v>
      </c>
      <c r="AG337" s="57" t="str">
        <f>_xlfn.XLOOKUP(CONT_SUP[[#This Row],[StaffRoleCode]],ROLES[StaffRoleCode],ROLES[StaffRoleGroupCode])</f>
        <v>EDS</v>
      </c>
      <c r="AH337" s="57" t="str">
        <f>_xlfn.XLOOKUP(CONT_SUP[[#This Row],[StaffRoleCode]],ROLES[StaffRoleCode],ROLES[PayScaleCode])</f>
        <v>NJC_CHE</v>
      </c>
      <c r="AI337" s="12" t="s">
        <v>3126</v>
      </c>
      <c r="AJ337" s="12">
        <v>25</v>
      </c>
      <c r="AK337" s="12" t="s">
        <v>2482</v>
      </c>
      <c r="AM337" s="68" t="s">
        <v>3132</v>
      </c>
      <c r="AN337" s="12" t="s">
        <v>3135</v>
      </c>
      <c r="AO337" s="21">
        <v>46023</v>
      </c>
      <c r="AQ337" s="12">
        <v>37</v>
      </c>
      <c r="AR337" t="b">
        <v>0</v>
      </c>
      <c r="AS337" t="b">
        <v>0</v>
      </c>
      <c r="AT337" s="12" t="s">
        <v>1574</v>
      </c>
    </row>
    <row r="338" spans="1:46" x14ac:dyDescent="0.3">
      <c r="A338" s="57" t="str">
        <f t="shared" si="11"/>
        <v>MLB10006093109646INC_UNIT_MGRSESS46023</v>
      </c>
      <c r="B338" s="57">
        <f>COUNTIF(CONT_SUP[Unique Contract],CONT_SUP[[#This Row],[Unique Contract]])-1</f>
        <v>0</v>
      </c>
      <c r="C338" s="57">
        <f>IFERROR(IF(FIND(CONT_SUP[[#This Row],[SchoolCode]],_xlfn.XLOOKUP(CONT_SUP[[#This Row],[StaffMemberCode]],MEMBERS[StaffMemberCode],MEMBERS[SchoolCodes]))&gt;0,0,1),1)</f>
        <v>0</v>
      </c>
      <c r="D338" s="57" cm="1">
        <f t="array" ref="D338">IF(_xlfn.XLOOKUP(CONT_SUP[[#This Row],[StaffRoleCode]],ROLES[StaffRoleCode],ROLES[AvailableToAllSchools],1,0,)=TRUE,0,IF(ISERROR(FIND(CONT_SUP[[#This Row],[SchoolCode]],_xlfn.TEXTJOIN(",",TRUE,_xlfn.UNIQUE(IF(ROLES[StaffRoleCode]=CONT_SUP[[#This Row],[StaffRoleCode]],ROLES[SchoolCodes],""))))),1,0))</f>
        <v>0</v>
      </c>
      <c r="E338" s="57" cm="1">
        <f t="array" ref="E33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38" s="57" cm="1">
        <f t="array" ref="F338">IF(_xlfn.XLOOKUP(CONT_SUP[[#This Row],[PayScaleCode]],PAYSCALES[PayScaleCode],PAYSCALES[AvailableToAllSchools],1,0,)=TRUE,0,IF(ISERROR(FIND(CONT_SUP[[#This Row],[SchoolCode]],_xlfn.TEXTJOIN(",",TRUE,_xlfn.UNIQUE(IF(PAYSCALES[PayScaleCode]=CONT_SUP[[#This Row],[PayScaleCode]],PAYSCALES[SchoolCodes],""))))),1,0))</f>
        <v>0</v>
      </c>
      <c r="G338" s="57">
        <f>IF(_xlfn.XLOOKUP(CONT_SUP[[#This Row],[PayScaleGradeCode]],GRADES[PayScaleGradeCode],GRADES[AvailableToAllSchools])=TRUE,0,IFERROR(IF(FIND(CONT_SUP[[#This Row],[SchoolCode]],_xlfn.XLOOKUP(CONT_SUP[[#This Row],[PayScaleGradeCode]],GRADES[PayScaleGradeCode],GRADES[SchoolCodes]))&gt;=1,0,1),1))</f>
        <v>0</v>
      </c>
      <c r="H338" s="57">
        <f>IF(ISERROR(IF((_xlfn.XLOOKUP(CONT_SUP[[#This Row],[PayScaleGradeCode]],GRADES[PayScaleGradeCode],GRADES[PayScaleCode])=CONT_SUP[[#This Row],[PayScaleCode]]),0,1)),1,0)</f>
        <v>0</v>
      </c>
      <c r="I338" s="57" cm="1">
        <f t="array" ref="I338">IF(ISERROR(FIND(CONT_SUP[[#This Row],[PayScalePointCode]],_xlfn.TEXTJOIN(",",TRUE,IF(PSPOINTS[PayScaleCode]=CONT_SUP[[#This Row],[PayScaleCode]],PSPOINTS[PayScalePointCode])))),1,0)</f>
        <v>0</v>
      </c>
      <c r="J338" s="57" cm="1">
        <f t="array" ref="J33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38" s="57">
        <f>IF(_xlfn.XLOOKUP(CONT_SUP[[#This Row],[PayScalePointCode]],PSPOINTS[PayScalePointCode],PSPOINTS[PayScalePointEnabled])=TRUE,0,1)</f>
        <v>0</v>
      </c>
      <c r="L338" s="57" cm="1">
        <f t="array" ref="L338">IF(_xlfn.XLOOKUP(CONT_SUP[[#This Row],[DepartmentCode]],DEPTS[DepartmentCode],DEPTS[AvailableToAllSchools],1,0,)=TRUE,0,IF(ISERROR(FIND(CONT_SUP[[#This Row],[SchoolCode]],_xlfn.TEXTJOIN(",",TRUE,_xlfn.UNIQUE(IF(DEPTS[DepartmentCode]=CONT_SUP[[#This Row],[DepartmentCode]],DEPTS[SchoolCodes],""))))),1,0))</f>
        <v>0</v>
      </c>
      <c r="M338" s="57">
        <f>IFERROR(IF(_xlfn.XLOOKUP(CONT_SUP[[#This Row],[SRG Gross]],FinanceCodesBudget[FinanceCode],FinanceCodesBudget[LedgerCode])=_xlfn.XLOOKUP(CONT_SUP[[#This Row],[DepartmentCode]],DEPTS[DepartmentCode],DEPTS[LedgerCode]),0,1),1)</f>
        <v>0</v>
      </c>
      <c r="N338" s="57" cm="1">
        <f t="array" ref="N338">IF(_xlfn.XLOOKUP(CONT_SUP[[#This Row],[PensionCode]],PENS[PensionCode],PENS[AvailableToAllSchools],1,0,)=TRUE,0,IF(ISERROR(FIND(CONT_SUP[[#This Row],[SchoolCode]],_xlfn.TEXTJOIN(",",TRUE,_xlfn.UNIQUE(IF(PENS[PensionCode]=CONT_SUP[[#This Row],[PensionCode]],PENS[SchoolCodes],""))))),1,0))</f>
        <v>0</v>
      </c>
      <c r="O338" s="57" cm="1">
        <f t="array" ref="O338">IF(_xlfn.XLOOKUP(CONT_SUP[[#This Row],[EquatedWeekPatternCode]],EQW[EquatedWeekPatternCode],EQW[AvailableToAllSchools],1,0,)=TRUE,0,IF(ISERROR(FIND(CONT_SUP[[#This Row],[SchoolCode]],_xlfn.TEXTJOIN(",",TRUE,_xlfn.UNIQUE(IF(EQW[EquatedWeekPatternCode]=CONT_SUP[[#This Row],[EquatedWeekPatternCode]],EQW[SchoolCodes],""))))),1,0))</f>
        <v>0</v>
      </c>
      <c r="P338" s="57">
        <f>1-COUNTIF(ContractTypes[Code],CONT_SUP[[#This Row],[ContractTypeCode]])</f>
        <v>0</v>
      </c>
      <c r="Q338" s="57">
        <f>IF(VLOOKUP(CONT_SUP[[#This Row],[StaffMemberCode]],MEMBERS[[StaffMemberCode]:[ServiceStartDate]],5,0)&gt;CONT_SUP[[#This Row],[DateFrom]],1,0)</f>
        <v>0</v>
      </c>
      <c r="R338" s="57">
        <f>IF(_xlfn.XLOOKUP(CONT_SUP[[#This Row],[StaffMemberCode]],MEMBERS[StaffMemberCode],MEMBERS[ServiceEndDate])="",0,IF(CONT_SUP[[#This Row],[DateTo]]="",1,IF(_xlfn.XLOOKUP(CONT_SUP[[#This Row],[StaffMemberCode]],MEMBERS[StaffMemberCode],MEMBERS[ServiceEndDate])&lt;CONT_SUP[[#This Row],[DateTo]],1,0)))</f>
        <v>0</v>
      </c>
      <c r="S338" s="57">
        <f>IF(ISBLANK(CONT_SUP[[#This Row],[DateTo]]),0,IF(CONT_SUP[[#This Row],[DateFrom]]=CONT_SUP[[#This Row],[DateTo]],0,IF(CONT_SUP[[#This Row],[DateFrom]]&lt;CONT_SUP[[#This Row],[DateTo]],0,1)))</f>
        <v>0</v>
      </c>
      <c r="T338" s="57" cm="1">
        <f t="array" aca="1" ref="T338" ca="1">IF(CELL("format",CONT_SUP[[#This Row],[DateFrom]])="D1",0,1)+IF(CELL("format",CONT_SUP[[#This Row],[DateTo]])="D1",0,1)</f>
        <v>0</v>
      </c>
      <c r="U338" s="57">
        <f>IF(OR(CONT_SUP[[#This Row],[MatEditOnly]]=TRUE,CONT_SUP[[#This Row],[MatEditOnly]]=FALSE),IF(OR(CONT_SUP[[#This Row],[NoIncrement]]=TRUE,CONT_SUP[[#This Row],[NoIncrement]]=FALSE),0,1),1)</f>
        <v>0</v>
      </c>
      <c r="V338" s="57">
        <f>IF(ISBLANK(CONT_SUP[[#This Row],[FundCode]])=TRUE,0,IF(COUNTIF(FUNDS[FundCode],CONT_SUP[[#This Row],[FundCode]])=1,0,1))</f>
        <v>0</v>
      </c>
      <c r="W338" s="57">
        <f>IF(LEN(CONT_SUP[[#This Row],[Notes]])&lt;4000,0,1)</f>
        <v>0</v>
      </c>
      <c r="X338" s="57">
        <f>IF(SUBSTITUTE(TEXT(CONT_SUP[[#This Row],[Reference]],10)," ","")=TEXT(CONT_SUP[[#This Row],[Reference]],10),0,1)</f>
        <v>0</v>
      </c>
      <c r="Y338" s="57">
        <f ca="1">SUM(CONT_SUP[[#This Row],[Duplicate Contract]:[Space in Code]])</f>
        <v>0</v>
      </c>
      <c r="AA338" s="12" t="s">
        <v>2126</v>
      </c>
      <c r="AB338" s="12">
        <v>10006093</v>
      </c>
      <c r="AC338" s="12">
        <v>109646</v>
      </c>
      <c r="AD338" s="57" t="str">
        <f>_xlfn.XLOOKUP(CONT_SUP[[#This Row],[StaffMemberCode]],StaffMembers!O:O,StaffMembers!R:R)</f>
        <v>Pamela Cleary</v>
      </c>
      <c r="AE338" s="12" t="s">
        <v>4191</v>
      </c>
      <c r="AF338" s="57">
        <f>_xlfn.XLOOKUP(CONT_SUP[[#This Row],[SRG]],SRG[StaffRoleGroupCode],SRG[GrossSalaryFinanceCode])</f>
        <v>619100</v>
      </c>
      <c r="AG338" s="57" t="str">
        <f>_xlfn.XLOOKUP(CONT_SUP[[#This Row],[StaffRoleCode]],ROLES[StaffRoleCode],ROLES[StaffRoleGroupCode])</f>
        <v>EDS</v>
      </c>
      <c r="AH338" s="57" t="str">
        <f>_xlfn.XLOOKUP(CONT_SUP[[#This Row],[StaffRoleCode]],ROLES[StaffRoleCode],ROLES[PayScaleCode])</f>
        <v>NJC_CHE</v>
      </c>
      <c r="AI338" s="12" t="s">
        <v>3125</v>
      </c>
      <c r="AJ338" s="12">
        <v>20</v>
      </c>
      <c r="AK338" s="12" t="s">
        <v>2482</v>
      </c>
      <c r="AM338" s="68" t="s">
        <v>3132</v>
      </c>
      <c r="AN338" s="12" t="s">
        <v>3134</v>
      </c>
      <c r="AO338" s="21">
        <v>46023</v>
      </c>
      <c r="AQ338" s="12">
        <v>7.5</v>
      </c>
      <c r="AR338" t="b">
        <v>0</v>
      </c>
      <c r="AS338" t="b">
        <v>0</v>
      </c>
      <c r="AT338" s="12" t="s">
        <v>1574</v>
      </c>
    </row>
    <row r="339" spans="1:46" x14ac:dyDescent="0.3">
      <c r="A339" s="57" t="str">
        <f t="shared" si="11"/>
        <v>MLB10011150106096INC_UNIT_MGRSESS46023</v>
      </c>
      <c r="B339" s="57">
        <f>COUNTIF(CONT_SUP[Unique Contract],CONT_SUP[[#This Row],[Unique Contract]])-1</f>
        <v>0</v>
      </c>
      <c r="C339" s="57">
        <f>IFERROR(IF(FIND(CONT_SUP[[#This Row],[SchoolCode]],_xlfn.XLOOKUP(CONT_SUP[[#This Row],[StaffMemberCode]],MEMBERS[StaffMemberCode],MEMBERS[SchoolCodes]))&gt;0,0,1),1)</f>
        <v>0</v>
      </c>
      <c r="D339" s="57" cm="1">
        <f t="array" ref="D339">IF(_xlfn.XLOOKUP(CONT_SUP[[#This Row],[StaffRoleCode]],ROLES[StaffRoleCode],ROLES[AvailableToAllSchools],1,0,)=TRUE,0,IF(ISERROR(FIND(CONT_SUP[[#This Row],[SchoolCode]],_xlfn.TEXTJOIN(",",TRUE,_xlfn.UNIQUE(IF(ROLES[StaffRoleCode]=CONT_SUP[[#This Row],[StaffRoleCode]],ROLES[SchoolCodes],""))))),1,0))</f>
        <v>0</v>
      </c>
      <c r="E339" s="57" cm="1">
        <f t="array" ref="E33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39" s="57" cm="1">
        <f t="array" ref="F339">IF(_xlfn.XLOOKUP(CONT_SUP[[#This Row],[PayScaleCode]],PAYSCALES[PayScaleCode],PAYSCALES[AvailableToAllSchools],1,0,)=TRUE,0,IF(ISERROR(FIND(CONT_SUP[[#This Row],[SchoolCode]],_xlfn.TEXTJOIN(",",TRUE,_xlfn.UNIQUE(IF(PAYSCALES[PayScaleCode]=CONT_SUP[[#This Row],[PayScaleCode]],PAYSCALES[SchoolCodes],""))))),1,0))</f>
        <v>0</v>
      </c>
      <c r="G339" s="57">
        <f>IF(_xlfn.XLOOKUP(CONT_SUP[[#This Row],[PayScaleGradeCode]],GRADES[PayScaleGradeCode],GRADES[AvailableToAllSchools])=TRUE,0,IFERROR(IF(FIND(CONT_SUP[[#This Row],[SchoolCode]],_xlfn.XLOOKUP(CONT_SUP[[#This Row],[PayScaleGradeCode]],GRADES[PayScaleGradeCode],GRADES[SchoolCodes]))&gt;=1,0,1),1))</f>
        <v>0</v>
      </c>
      <c r="H339" s="57">
        <f>IF(ISERROR(IF((_xlfn.XLOOKUP(CONT_SUP[[#This Row],[PayScaleGradeCode]],GRADES[PayScaleGradeCode],GRADES[PayScaleCode])=CONT_SUP[[#This Row],[PayScaleCode]]),0,1)),1,0)</f>
        <v>0</v>
      </c>
      <c r="I339" s="57" cm="1">
        <f t="array" ref="I339">IF(ISERROR(FIND(CONT_SUP[[#This Row],[PayScalePointCode]],_xlfn.TEXTJOIN(",",TRUE,IF(PSPOINTS[PayScaleCode]=CONT_SUP[[#This Row],[PayScaleCode]],PSPOINTS[PayScalePointCode])))),1,0)</f>
        <v>0</v>
      </c>
      <c r="J339" s="57" cm="1">
        <f t="array" ref="J33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39" s="57">
        <f>IF(_xlfn.XLOOKUP(CONT_SUP[[#This Row],[PayScalePointCode]],PSPOINTS[PayScalePointCode],PSPOINTS[PayScalePointEnabled])=TRUE,0,1)</f>
        <v>0</v>
      </c>
      <c r="L339" s="57" cm="1">
        <f t="array" ref="L339">IF(_xlfn.XLOOKUP(CONT_SUP[[#This Row],[DepartmentCode]],DEPTS[DepartmentCode],DEPTS[AvailableToAllSchools],1,0,)=TRUE,0,IF(ISERROR(FIND(CONT_SUP[[#This Row],[SchoolCode]],_xlfn.TEXTJOIN(",",TRUE,_xlfn.UNIQUE(IF(DEPTS[DepartmentCode]=CONT_SUP[[#This Row],[DepartmentCode]],DEPTS[SchoolCodes],""))))),1,0))</f>
        <v>0</v>
      </c>
      <c r="M339" s="57">
        <f>IFERROR(IF(_xlfn.XLOOKUP(CONT_SUP[[#This Row],[SRG Gross]],FinanceCodesBudget[FinanceCode],FinanceCodesBudget[LedgerCode])=_xlfn.XLOOKUP(CONT_SUP[[#This Row],[DepartmentCode]],DEPTS[DepartmentCode],DEPTS[LedgerCode]),0,1),1)</f>
        <v>0</v>
      </c>
      <c r="N339" s="57" cm="1">
        <f t="array" ref="N339">IF(_xlfn.XLOOKUP(CONT_SUP[[#This Row],[PensionCode]],PENS[PensionCode],PENS[AvailableToAllSchools],1,0,)=TRUE,0,IF(ISERROR(FIND(CONT_SUP[[#This Row],[SchoolCode]],_xlfn.TEXTJOIN(",",TRUE,_xlfn.UNIQUE(IF(PENS[PensionCode]=CONT_SUP[[#This Row],[PensionCode]],PENS[SchoolCodes],""))))),1,0))</f>
        <v>0</v>
      </c>
      <c r="O339" s="57" cm="1">
        <f t="array" ref="O339">IF(_xlfn.XLOOKUP(CONT_SUP[[#This Row],[EquatedWeekPatternCode]],EQW[EquatedWeekPatternCode],EQW[AvailableToAllSchools],1,0,)=TRUE,0,IF(ISERROR(FIND(CONT_SUP[[#This Row],[SchoolCode]],_xlfn.TEXTJOIN(",",TRUE,_xlfn.UNIQUE(IF(EQW[EquatedWeekPatternCode]=CONT_SUP[[#This Row],[EquatedWeekPatternCode]],EQW[SchoolCodes],""))))),1,0))</f>
        <v>0</v>
      </c>
      <c r="P339" s="57">
        <f>1-COUNTIF(ContractTypes[Code],CONT_SUP[[#This Row],[ContractTypeCode]])</f>
        <v>0</v>
      </c>
      <c r="Q339" s="57">
        <f>IF(VLOOKUP(CONT_SUP[[#This Row],[StaffMemberCode]],MEMBERS[[StaffMemberCode]:[ServiceStartDate]],5,0)&gt;CONT_SUP[[#This Row],[DateFrom]],1,0)</f>
        <v>0</v>
      </c>
      <c r="R339" s="57">
        <f>IF(_xlfn.XLOOKUP(CONT_SUP[[#This Row],[StaffMemberCode]],MEMBERS[StaffMemberCode],MEMBERS[ServiceEndDate])="",0,IF(CONT_SUP[[#This Row],[DateTo]]="",1,IF(_xlfn.XLOOKUP(CONT_SUP[[#This Row],[StaffMemberCode]],MEMBERS[StaffMemberCode],MEMBERS[ServiceEndDate])&lt;CONT_SUP[[#This Row],[DateTo]],1,0)))</f>
        <v>0</v>
      </c>
      <c r="S339" s="57">
        <f>IF(ISBLANK(CONT_SUP[[#This Row],[DateTo]]),0,IF(CONT_SUP[[#This Row],[DateFrom]]=CONT_SUP[[#This Row],[DateTo]],0,IF(CONT_SUP[[#This Row],[DateFrom]]&lt;CONT_SUP[[#This Row],[DateTo]],0,1)))</f>
        <v>0</v>
      </c>
      <c r="T339" s="57" cm="1">
        <f t="array" aca="1" ref="T339" ca="1">IF(CELL("format",CONT_SUP[[#This Row],[DateFrom]])="D1",0,1)+IF(CELL("format",CONT_SUP[[#This Row],[DateTo]])="D1",0,1)</f>
        <v>0</v>
      </c>
      <c r="U339" s="57">
        <f>IF(OR(CONT_SUP[[#This Row],[MatEditOnly]]=TRUE,CONT_SUP[[#This Row],[MatEditOnly]]=FALSE),IF(OR(CONT_SUP[[#This Row],[NoIncrement]]=TRUE,CONT_SUP[[#This Row],[NoIncrement]]=FALSE),0,1),1)</f>
        <v>0</v>
      </c>
      <c r="V339" s="57">
        <f>IF(ISBLANK(CONT_SUP[[#This Row],[FundCode]])=TRUE,0,IF(COUNTIF(FUNDS[FundCode],CONT_SUP[[#This Row],[FundCode]])=1,0,1))</f>
        <v>0</v>
      </c>
      <c r="W339" s="57">
        <f>IF(LEN(CONT_SUP[[#This Row],[Notes]])&lt;4000,0,1)</f>
        <v>0</v>
      </c>
      <c r="X339" s="57">
        <f>IF(SUBSTITUTE(TEXT(CONT_SUP[[#This Row],[Reference]],10)," ","")=TEXT(CONT_SUP[[#This Row],[Reference]],10),0,1)</f>
        <v>0</v>
      </c>
      <c r="Y339" s="57">
        <f ca="1">SUM(CONT_SUP[[#This Row],[Duplicate Contract]:[Space in Code]])</f>
        <v>0</v>
      </c>
      <c r="AA339" s="12" t="s">
        <v>2126</v>
      </c>
      <c r="AB339" s="12">
        <v>10011150</v>
      </c>
      <c r="AC339" s="12">
        <v>106096</v>
      </c>
      <c r="AD339" s="57" t="str">
        <f>_xlfn.XLOOKUP(CONT_SUP[[#This Row],[StaffMemberCode]],StaffMembers!O:O,StaffMembers!R:R)</f>
        <v>Liam Potts</v>
      </c>
      <c r="AE339" s="12" t="s">
        <v>4191</v>
      </c>
      <c r="AF339" s="57">
        <f>_xlfn.XLOOKUP(CONT_SUP[[#This Row],[SRG]],SRG[StaffRoleGroupCode],SRG[GrossSalaryFinanceCode])</f>
        <v>619100</v>
      </c>
      <c r="AG339" s="57" t="str">
        <f>_xlfn.XLOOKUP(CONT_SUP[[#This Row],[StaffRoleCode]],ROLES[StaffRoleCode],ROLES[StaffRoleGroupCode])</f>
        <v>EDS</v>
      </c>
      <c r="AH339" s="57" t="str">
        <f>_xlfn.XLOOKUP(CONT_SUP[[#This Row],[StaffRoleCode]],ROLES[StaffRoleCode],ROLES[PayScaleCode])</f>
        <v>NJC_CHE</v>
      </c>
      <c r="AI339" s="12" t="s">
        <v>3125</v>
      </c>
      <c r="AJ339" s="12">
        <v>18</v>
      </c>
      <c r="AK339" s="12" t="s">
        <v>2482</v>
      </c>
      <c r="AM339" s="68" t="s">
        <v>3132</v>
      </c>
      <c r="AN339" s="12" t="s">
        <v>3135</v>
      </c>
      <c r="AO339" s="21">
        <v>46023</v>
      </c>
      <c r="AQ339" s="12">
        <v>37</v>
      </c>
      <c r="AR339" t="b">
        <v>0</v>
      </c>
      <c r="AS339" t="b">
        <v>0</v>
      </c>
      <c r="AT339" s="12" t="s">
        <v>1574</v>
      </c>
    </row>
    <row r="340" spans="1:46" x14ac:dyDescent="0.3">
      <c r="A340" s="57" t="str">
        <f t="shared" si="11"/>
        <v>MLB10005366107721KS_ADMSESS46023</v>
      </c>
      <c r="B340" s="57">
        <f>COUNTIF(CONT_SUP[Unique Contract],CONT_SUP[[#This Row],[Unique Contract]])-1</f>
        <v>0</v>
      </c>
      <c r="C340" s="57">
        <f>IFERROR(IF(FIND(CONT_SUP[[#This Row],[SchoolCode]],_xlfn.XLOOKUP(CONT_SUP[[#This Row],[StaffMemberCode]],MEMBERS[StaffMemberCode],MEMBERS[SchoolCodes]))&gt;0,0,1),1)</f>
        <v>0</v>
      </c>
      <c r="D340" s="57" cm="1">
        <f t="array" ref="D340">IF(_xlfn.XLOOKUP(CONT_SUP[[#This Row],[StaffRoleCode]],ROLES[StaffRoleCode],ROLES[AvailableToAllSchools],1,0,)=TRUE,0,IF(ISERROR(FIND(CONT_SUP[[#This Row],[SchoolCode]],_xlfn.TEXTJOIN(",",TRUE,_xlfn.UNIQUE(IF(ROLES[StaffRoleCode]=CONT_SUP[[#This Row],[StaffRoleCode]],ROLES[SchoolCodes],""))))),1,0))</f>
        <v>0</v>
      </c>
      <c r="E340" s="57" cm="1">
        <f t="array" ref="E34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40" s="57" cm="1">
        <f t="array" ref="F340">IF(_xlfn.XLOOKUP(CONT_SUP[[#This Row],[PayScaleCode]],PAYSCALES[PayScaleCode],PAYSCALES[AvailableToAllSchools],1,0,)=TRUE,0,IF(ISERROR(FIND(CONT_SUP[[#This Row],[SchoolCode]],_xlfn.TEXTJOIN(",",TRUE,_xlfn.UNIQUE(IF(PAYSCALES[PayScaleCode]=CONT_SUP[[#This Row],[PayScaleCode]],PAYSCALES[SchoolCodes],""))))),1,0))</f>
        <v>0</v>
      </c>
      <c r="G340" s="57">
        <f>IF(_xlfn.XLOOKUP(CONT_SUP[[#This Row],[PayScaleGradeCode]],GRADES[PayScaleGradeCode],GRADES[AvailableToAllSchools])=TRUE,0,IFERROR(IF(FIND(CONT_SUP[[#This Row],[SchoolCode]],_xlfn.XLOOKUP(CONT_SUP[[#This Row],[PayScaleGradeCode]],GRADES[PayScaleGradeCode],GRADES[SchoolCodes]))&gt;=1,0,1),1))</f>
        <v>0</v>
      </c>
      <c r="H340" s="57">
        <f>IF(ISERROR(IF((_xlfn.XLOOKUP(CONT_SUP[[#This Row],[PayScaleGradeCode]],GRADES[PayScaleGradeCode],GRADES[PayScaleCode])=CONT_SUP[[#This Row],[PayScaleCode]]),0,1)),1,0)</f>
        <v>0</v>
      </c>
      <c r="I340" s="57" cm="1">
        <f t="array" ref="I340">IF(ISERROR(FIND(CONT_SUP[[#This Row],[PayScalePointCode]],_xlfn.TEXTJOIN(",",TRUE,IF(PSPOINTS[PayScaleCode]=CONT_SUP[[#This Row],[PayScaleCode]],PSPOINTS[PayScalePointCode])))),1,0)</f>
        <v>0</v>
      </c>
      <c r="J340" s="57" cm="1">
        <f t="array" ref="J34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40" s="57">
        <f>IF(_xlfn.XLOOKUP(CONT_SUP[[#This Row],[PayScalePointCode]],PSPOINTS[PayScalePointCode],PSPOINTS[PayScalePointEnabled])=TRUE,0,1)</f>
        <v>0</v>
      </c>
      <c r="L340" s="57" cm="1">
        <f t="array" ref="L340">IF(_xlfn.XLOOKUP(CONT_SUP[[#This Row],[DepartmentCode]],DEPTS[DepartmentCode],DEPTS[AvailableToAllSchools],1,0,)=TRUE,0,IF(ISERROR(FIND(CONT_SUP[[#This Row],[SchoolCode]],_xlfn.TEXTJOIN(",",TRUE,_xlfn.UNIQUE(IF(DEPTS[DepartmentCode]=CONT_SUP[[#This Row],[DepartmentCode]],DEPTS[SchoolCodes],""))))),1,0))</f>
        <v>0</v>
      </c>
      <c r="M340" s="57">
        <f>IFERROR(IF(_xlfn.XLOOKUP(CONT_SUP[[#This Row],[SRG Gross]],FinanceCodesBudget[FinanceCode],FinanceCodesBudget[LedgerCode])=_xlfn.XLOOKUP(CONT_SUP[[#This Row],[DepartmentCode]],DEPTS[DepartmentCode],DEPTS[LedgerCode]),0,1),1)</f>
        <v>0</v>
      </c>
      <c r="N340" s="57" cm="1">
        <f t="array" ref="N340">IF(_xlfn.XLOOKUP(CONT_SUP[[#This Row],[PensionCode]],PENS[PensionCode],PENS[AvailableToAllSchools],1,0,)=TRUE,0,IF(ISERROR(FIND(CONT_SUP[[#This Row],[SchoolCode]],_xlfn.TEXTJOIN(",",TRUE,_xlfn.UNIQUE(IF(PENS[PensionCode]=CONT_SUP[[#This Row],[PensionCode]],PENS[SchoolCodes],""))))),1,0))</f>
        <v>0</v>
      </c>
      <c r="O340" s="57" cm="1">
        <f t="array" ref="O340">IF(_xlfn.XLOOKUP(CONT_SUP[[#This Row],[EquatedWeekPatternCode]],EQW[EquatedWeekPatternCode],EQW[AvailableToAllSchools],1,0,)=TRUE,0,IF(ISERROR(FIND(CONT_SUP[[#This Row],[SchoolCode]],_xlfn.TEXTJOIN(",",TRUE,_xlfn.UNIQUE(IF(EQW[EquatedWeekPatternCode]=CONT_SUP[[#This Row],[EquatedWeekPatternCode]],EQW[SchoolCodes],""))))),1,0))</f>
        <v>0</v>
      </c>
      <c r="P340" s="57">
        <f>1-COUNTIF(ContractTypes[Code],CONT_SUP[[#This Row],[ContractTypeCode]])</f>
        <v>0</v>
      </c>
      <c r="Q340" s="57">
        <f>IF(VLOOKUP(CONT_SUP[[#This Row],[StaffMemberCode]],MEMBERS[[StaffMemberCode]:[ServiceStartDate]],5,0)&gt;CONT_SUP[[#This Row],[DateFrom]],1,0)</f>
        <v>0</v>
      </c>
      <c r="R340" s="57">
        <f>IF(_xlfn.XLOOKUP(CONT_SUP[[#This Row],[StaffMemberCode]],MEMBERS[StaffMemberCode],MEMBERS[ServiceEndDate])="",0,IF(CONT_SUP[[#This Row],[DateTo]]="",1,IF(_xlfn.XLOOKUP(CONT_SUP[[#This Row],[StaffMemberCode]],MEMBERS[StaffMemberCode],MEMBERS[ServiceEndDate])&lt;CONT_SUP[[#This Row],[DateTo]],1,0)))</f>
        <v>0</v>
      </c>
      <c r="S340" s="57">
        <f>IF(ISBLANK(CONT_SUP[[#This Row],[DateTo]]),0,IF(CONT_SUP[[#This Row],[DateFrom]]=CONT_SUP[[#This Row],[DateTo]],0,IF(CONT_SUP[[#This Row],[DateFrom]]&lt;CONT_SUP[[#This Row],[DateTo]],0,1)))</f>
        <v>0</v>
      </c>
      <c r="T340" s="57" cm="1">
        <f t="array" aca="1" ref="T340" ca="1">IF(CELL("format",CONT_SUP[[#This Row],[DateFrom]])="D1",0,1)+IF(CELL("format",CONT_SUP[[#This Row],[DateTo]])="D1",0,1)</f>
        <v>0</v>
      </c>
      <c r="U340" s="57">
        <f>IF(OR(CONT_SUP[[#This Row],[MatEditOnly]]=TRUE,CONT_SUP[[#This Row],[MatEditOnly]]=FALSE),IF(OR(CONT_SUP[[#This Row],[NoIncrement]]=TRUE,CONT_SUP[[#This Row],[NoIncrement]]=FALSE),0,1),1)</f>
        <v>0</v>
      </c>
      <c r="V340" s="57">
        <f>IF(ISBLANK(CONT_SUP[[#This Row],[FundCode]])=TRUE,0,IF(COUNTIF(FUNDS[FundCode],CONT_SUP[[#This Row],[FundCode]])=1,0,1))</f>
        <v>0</v>
      </c>
      <c r="W340" s="57">
        <f>IF(LEN(CONT_SUP[[#This Row],[Notes]])&lt;4000,0,1)</f>
        <v>0</v>
      </c>
      <c r="X340" s="57">
        <f>IF(SUBSTITUTE(TEXT(CONT_SUP[[#This Row],[Reference]],10)," ","")=TEXT(CONT_SUP[[#This Row],[Reference]],10),0,1)</f>
        <v>0</v>
      </c>
      <c r="Y340" s="57">
        <f ca="1">SUM(CONT_SUP[[#This Row],[Duplicate Contract]:[Space in Code]])</f>
        <v>0</v>
      </c>
      <c r="AA340" s="12" t="s">
        <v>2126</v>
      </c>
      <c r="AB340" s="12">
        <v>10005366</v>
      </c>
      <c r="AC340" s="12">
        <v>107721</v>
      </c>
      <c r="AD340" s="57" t="str">
        <f>_xlfn.XLOOKUP(CONT_SUP[[#This Row],[StaffMemberCode]],StaffMembers!O:O,StaffMembers!R:R)</f>
        <v>Helen Wise</v>
      </c>
      <c r="AE340" s="12" t="s">
        <v>4193</v>
      </c>
      <c r="AF340" s="57">
        <f>_xlfn.XLOOKUP(CONT_SUP[[#This Row],[SRG]],SRG[StaffRoleGroupCode],SRG[GrossSalaryFinanceCode])</f>
        <v>619100</v>
      </c>
      <c r="AG340" s="57" t="str">
        <f>_xlfn.XLOOKUP(CONT_SUP[[#This Row],[StaffRoleCode]],ROLES[StaffRoleCode],ROLES[StaffRoleGroupCode])</f>
        <v>EDS</v>
      </c>
      <c r="AH340" s="57" t="str">
        <f>_xlfn.XLOOKUP(CONT_SUP[[#This Row],[StaffRoleCode]],ROLES[StaffRoleCode],ROLES[PayScaleCode])</f>
        <v>NJC_CHE</v>
      </c>
      <c r="AI340" s="12" t="s">
        <v>3122</v>
      </c>
      <c r="AJ340" s="12">
        <v>5</v>
      </c>
      <c r="AK340" s="12" t="s">
        <v>2482</v>
      </c>
      <c r="AM340" s="68" t="s">
        <v>3132</v>
      </c>
      <c r="AN340" s="12" t="s">
        <v>3134</v>
      </c>
      <c r="AO340" s="21">
        <v>46023</v>
      </c>
      <c r="AQ340" s="12">
        <v>27.5</v>
      </c>
      <c r="AR340" t="b">
        <v>0</v>
      </c>
      <c r="AS340" t="b">
        <v>0</v>
      </c>
      <c r="AT340" s="12" t="s">
        <v>1574</v>
      </c>
    </row>
    <row r="341" spans="1:46" x14ac:dyDescent="0.3">
      <c r="A341" s="57" t="str">
        <f t="shared" si="11"/>
        <v>MLB10012792110998KS_ADMSESS46023</v>
      </c>
      <c r="B341" s="57">
        <f>COUNTIF(CONT_SUP[Unique Contract],CONT_SUP[[#This Row],[Unique Contract]])-1</f>
        <v>0</v>
      </c>
      <c r="C341" s="57">
        <f>IFERROR(IF(FIND(CONT_SUP[[#This Row],[SchoolCode]],_xlfn.XLOOKUP(CONT_SUP[[#This Row],[StaffMemberCode]],MEMBERS[StaffMemberCode],MEMBERS[SchoolCodes]))&gt;0,0,1),1)</f>
        <v>0</v>
      </c>
      <c r="D341" s="57" cm="1">
        <f t="array" ref="D341">IF(_xlfn.XLOOKUP(CONT_SUP[[#This Row],[StaffRoleCode]],ROLES[StaffRoleCode],ROLES[AvailableToAllSchools],1,0,)=TRUE,0,IF(ISERROR(FIND(CONT_SUP[[#This Row],[SchoolCode]],_xlfn.TEXTJOIN(",",TRUE,_xlfn.UNIQUE(IF(ROLES[StaffRoleCode]=CONT_SUP[[#This Row],[StaffRoleCode]],ROLES[SchoolCodes],""))))),1,0))</f>
        <v>0</v>
      </c>
      <c r="E341" s="57" cm="1">
        <f t="array" ref="E34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41" s="57" cm="1">
        <f t="array" ref="F341">IF(_xlfn.XLOOKUP(CONT_SUP[[#This Row],[PayScaleCode]],PAYSCALES[PayScaleCode],PAYSCALES[AvailableToAllSchools],1,0,)=TRUE,0,IF(ISERROR(FIND(CONT_SUP[[#This Row],[SchoolCode]],_xlfn.TEXTJOIN(",",TRUE,_xlfn.UNIQUE(IF(PAYSCALES[PayScaleCode]=CONT_SUP[[#This Row],[PayScaleCode]],PAYSCALES[SchoolCodes],""))))),1,0))</f>
        <v>0</v>
      </c>
      <c r="G341" s="57">
        <f>IF(_xlfn.XLOOKUP(CONT_SUP[[#This Row],[PayScaleGradeCode]],GRADES[PayScaleGradeCode],GRADES[AvailableToAllSchools])=TRUE,0,IFERROR(IF(FIND(CONT_SUP[[#This Row],[SchoolCode]],_xlfn.XLOOKUP(CONT_SUP[[#This Row],[PayScaleGradeCode]],GRADES[PayScaleGradeCode],GRADES[SchoolCodes]))&gt;=1,0,1),1))</f>
        <v>0</v>
      </c>
      <c r="H341" s="57">
        <f>IF(ISERROR(IF((_xlfn.XLOOKUP(CONT_SUP[[#This Row],[PayScaleGradeCode]],GRADES[PayScaleGradeCode],GRADES[PayScaleCode])=CONT_SUP[[#This Row],[PayScaleCode]]),0,1)),1,0)</f>
        <v>0</v>
      </c>
      <c r="I341" s="57" cm="1">
        <f t="array" ref="I341">IF(ISERROR(FIND(CONT_SUP[[#This Row],[PayScalePointCode]],_xlfn.TEXTJOIN(",",TRUE,IF(PSPOINTS[PayScaleCode]=CONT_SUP[[#This Row],[PayScaleCode]],PSPOINTS[PayScalePointCode])))),1,0)</f>
        <v>0</v>
      </c>
      <c r="J341" s="57" cm="1">
        <f t="array" ref="J34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41" s="57">
        <f>IF(_xlfn.XLOOKUP(CONT_SUP[[#This Row],[PayScalePointCode]],PSPOINTS[PayScalePointCode],PSPOINTS[PayScalePointEnabled])=TRUE,0,1)</f>
        <v>0</v>
      </c>
      <c r="L341" s="57" cm="1">
        <f t="array" ref="L341">IF(_xlfn.XLOOKUP(CONT_SUP[[#This Row],[DepartmentCode]],DEPTS[DepartmentCode],DEPTS[AvailableToAllSchools],1,0,)=TRUE,0,IF(ISERROR(FIND(CONT_SUP[[#This Row],[SchoolCode]],_xlfn.TEXTJOIN(",",TRUE,_xlfn.UNIQUE(IF(DEPTS[DepartmentCode]=CONT_SUP[[#This Row],[DepartmentCode]],DEPTS[SchoolCodes],""))))),1,0))</f>
        <v>0</v>
      </c>
      <c r="M341" s="57">
        <f>IFERROR(IF(_xlfn.XLOOKUP(CONT_SUP[[#This Row],[SRG Gross]],FinanceCodesBudget[FinanceCode],FinanceCodesBudget[LedgerCode])=_xlfn.XLOOKUP(CONT_SUP[[#This Row],[DepartmentCode]],DEPTS[DepartmentCode],DEPTS[LedgerCode]),0,1),1)</f>
        <v>0</v>
      </c>
      <c r="N341" s="57" cm="1">
        <f t="array" ref="N341">IF(_xlfn.XLOOKUP(CONT_SUP[[#This Row],[PensionCode]],PENS[PensionCode],PENS[AvailableToAllSchools],1,0,)=TRUE,0,IF(ISERROR(FIND(CONT_SUP[[#This Row],[SchoolCode]],_xlfn.TEXTJOIN(",",TRUE,_xlfn.UNIQUE(IF(PENS[PensionCode]=CONT_SUP[[#This Row],[PensionCode]],PENS[SchoolCodes],""))))),1,0))</f>
        <v>0</v>
      </c>
      <c r="O341" s="57" cm="1">
        <f t="array" ref="O341">IF(_xlfn.XLOOKUP(CONT_SUP[[#This Row],[EquatedWeekPatternCode]],EQW[EquatedWeekPatternCode],EQW[AvailableToAllSchools],1,0,)=TRUE,0,IF(ISERROR(FIND(CONT_SUP[[#This Row],[SchoolCode]],_xlfn.TEXTJOIN(",",TRUE,_xlfn.UNIQUE(IF(EQW[EquatedWeekPatternCode]=CONT_SUP[[#This Row],[EquatedWeekPatternCode]],EQW[SchoolCodes],""))))),1,0))</f>
        <v>0</v>
      </c>
      <c r="P341" s="57">
        <f>1-COUNTIF(ContractTypes[Code],CONT_SUP[[#This Row],[ContractTypeCode]])</f>
        <v>0</v>
      </c>
      <c r="Q341" s="57">
        <f>IF(VLOOKUP(CONT_SUP[[#This Row],[StaffMemberCode]],MEMBERS[[StaffMemberCode]:[ServiceStartDate]],5,0)&gt;CONT_SUP[[#This Row],[DateFrom]],1,0)</f>
        <v>0</v>
      </c>
      <c r="R341" s="57">
        <f>IF(_xlfn.XLOOKUP(CONT_SUP[[#This Row],[StaffMemberCode]],MEMBERS[StaffMemberCode],MEMBERS[ServiceEndDate])="",0,IF(CONT_SUP[[#This Row],[DateTo]]="",1,IF(_xlfn.XLOOKUP(CONT_SUP[[#This Row],[StaffMemberCode]],MEMBERS[StaffMemberCode],MEMBERS[ServiceEndDate])&lt;CONT_SUP[[#This Row],[DateTo]],1,0)))</f>
        <v>0</v>
      </c>
      <c r="S341" s="57">
        <f>IF(ISBLANK(CONT_SUP[[#This Row],[DateTo]]),0,IF(CONT_SUP[[#This Row],[DateFrom]]=CONT_SUP[[#This Row],[DateTo]],0,IF(CONT_SUP[[#This Row],[DateFrom]]&lt;CONT_SUP[[#This Row],[DateTo]],0,1)))</f>
        <v>0</v>
      </c>
      <c r="T341" s="57" cm="1">
        <f t="array" aca="1" ref="T341" ca="1">IF(CELL("format",CONT_SUP[[#This Row],[DateFrom]])="D1",0,1)+IF(CELL("format",CONT_SUP[[#This Row],[DateTo]])="D1",0,1)</f>
        <v>0</v>
      </c>
      <c r="U341" s="57">
        <f>IF(OR(CONT_SUP[[#This Row],[MatEditOnly]]=TRUE,CONT_SUP[[#This Row],[MatEditOnly]]=FALSE),IF(OR(CONT_SUP[[#This Row],[NoIncrement]]=TRUE,CONT_SUP[[#This Row],[NoIncrement]]=FALSE),0,1),1)</f>
        <v>0</v>
      </c>
      <c r="V341" s="57">
        <f>IF(ISBLANK(CONT_SUP[[#This Row],[FundCode]])=TRUE,0,IF(COUNTIF(FUNDS[FundCode],CONT_SUP[[#This Row],[FundCode]])=1,0,1))</f>
        <v>0</v>
      </c>
      <c r="W341" s="57">
        <f>IF(LEN(CONT_SUP[[#This Row],[Notes]])&lt;4000,0,1)</f>
        <v>0</v>
      </c>
      <c r="X341" s="57">
        <f>IF(SUBSTITUTE(TEXT(CONT_SUP[[#This Row],[Reference]],10)," ","")=TEXT(CONT_SUP[[#This Row],[Reference]],10),0,1)</f>
        <v>0</v>
      </c>
      <c r="Y341" s="57">
        <f ca="1">SUM(CONT_SUP[[#This Row],[Duplicate Contract]:[Space in Code]])</f>
        <v>0</v>
      </c>
      <c r="AA341" s="12" t="s">
        <v>2126</v>
      </c>
      <c r="AB341" s="12">
        <v>10012792</v>
      </c>
      <c r="AC341" s="12">
        <v>110998</v>
      </c>
      <c r="AD341" s="57" t="str">
        <f>_xlfn.XLOOKUP(CONT_SUP[[#This Row],[StaffMemberCode]],StaffMembers!O:O,StaffMembers!R:R)</f>
        <v>Rachel Kelly</v>
      </c>
      <c r="AE341" s="12" t="s">
        <v>4193</v>
      </c>
      <c r="AF341" s="57">
        <f>_xlfn.XLOOKUP(CONT_SUP[[#This Row],[SRG]],SRG[StaffRoleGroupCode],SRG[GrossSalaryFinanceCode])</f>
        <v>619100</v>
      </c>
      <c r="AG341" s="57" t="str">
        <f>_xlfn.XLOOKUP(CONT_SUP[[#This Row],[StaffRoleCode]],ROLES[StaffRoleCode],ROLES[StaffRoleGroupCode])</f>
        <v>EDS</v>
      </c>
      <c r="AH341" s="57" t="str">
        <f>_xlfn.XLOOKUP(CONT_SUP[[#This Row],[StaffRoleCode]],ROLES[StaffRoleCode],ROLES[PayScaleCode])</f>
        <v>NJC_CHE</v>
      </c>
      <c r="AI341" s="12" t="s">
        <v>3122</v>
      </c>
      <c r="AJ341" s="12">
        <v>6</v>
      </c>
      <c r="AK341" s="12" t="s">
        <v>2482</v>
      </c>
      <c r="AM341" s="68" t="s">
        <v>3132</v>
      </c>
      <c r="AN341" s="12" t="s">
        <v>3135</v>
      </c>
      <c r="AO341" s="21">
        <v>46023</v>
      </c>
      <c r="AQ341" s="12">
        <v>37</v>
      </c>
      <c r="AR341" t="b">
        <v>0</v>
      </c>
      <c r="AS341" t="b">
        <v>0</v>
      </c>
      <c r="AT341" s="12" t="s">
        <v>1574</v>
      </c>
    </row>
    <row r="342" spans="1:46" x14ac:dyDescent="0.3">
      <c r="A342" s="57" t="str">
        <f t="shared" si="11"/>
        <v>MLB10005333106105KS_ADMSESS46023</v>
      </c>
      <c r="B342" s="57">
        <f>COUNTIF(CONT_SUP[Unique Contract],CONT_SUP[[#This Row],[Unique Contract]])-1</f>
        <v>0</v>
      </c>
      <c r="C342" s="57">
        <f>IFERROR(IF(FIND(CONT_SUP[[#This Row],[SchoolCode]],_xlfn.XLOOKUP(CONT_SUP[[#This Row],[StaffMemberCode]],MEMBERS[StaffMemberCode],MEMBERS[SchoolCodes]))&gt;0,0,1),1)</f>
        <v>0</v>
      </c>
      <c r="D342" s="57" cm="1">
        <f t="array" ref="D342">IF(_xlfn.XLOOKUP(CONT_SUP[[#This Row],[StaffRoleCode]],ROLES[StaffRoleCode],ROLES[AvailableToAllSchools],1,0,)=TRUE,0,IF(ISERROR(FIND(CONT_SUP[[#This Row],[SchoolCode]],_xlfn.TEXTJOIN(",",TRUE,_xlfn.UNIQUE(IF(ROLES[StaffRoleCode]=CONT_SUP[[#This Row],[StaffRoleCode]],ROLES[SchoolCodes],""))))),1,0))</f>
        <v>0</v>
      </c>
      <c r="E342" s="57" cm="1">
        <f t="array" ref="E34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42" s="57" cm="1">
        <f t="array" ref="F342">IF(_xlfn.XLOOKUP(CONT_SUP[[#This Row],[PayScaleCode]],PAYSCALES[PayScaleCode],PAYSCALES[AvailableToAllSchools],1,0,)=TRUE,0,IF(ISERROR(FIND(CONT_SUP[[#This Row],[SchoolCode]],_xlfn.TEXTJOIN(",",TRUE,_xlfn.UNIQUE(IF(PAYSCALES[PayScaleCode]=CONT_SUP[[#This Row],[PayScaleCode]],PAYSCALES[SchoolCodes],""))))),1,0))</f>
        <v>0</v>
      </c>
      <c r="G342" s="57">
        <f>IF(_xlfn.XLOOKUP(CONT_SUP[[#This Row],[PayScaleGradeCode]],GRADES[PayScaleGradeCode],GRADES[AvailableToAllSchools])=TRUE,0,IFERROR(IF(FIND(CONT_SUP[[#This Row],[SchoolCode]],_xlfn.XLOOKUP(CONT_SUP[[#This Row],[PayScaleGradeCode]],GRADES[PayScaleGradeCode],GRADES[SchoolCodes]))&gt;=1,0,1),1))</f>
        <v>0</v>
      </c>
      <c r="H342" s="57">
        <f>IF(ISERROR(IF((_xlfn.XLOOKUP(CONT_SUP[[#This Row],[PayScaleGradeCode]],GRADES[PayScaleGradeCode],GRADES[PayScaleCode])=CONT_SUP[[#This Row],[PayScaleCode]]),0,1)),1,0)</f>
        <v>0</v>
      </c>
      <c r="I342" s="57" cm="1">
        <f t="array" ref="I342">IF(ISERROR(FIND(CONT_SUP[[#This Row],[PayScalePointCode]],_xlfn.TEXTJOIN(",",TRUE,IF(PSPOINTS[PayScaleCode]=CONT_SUP[[#This Row],[PayScaleCode]],PSPOINTS[PayScalePointCode])))),1,0)</f>
        <v>0</v>
      </c>
      <c r="J342" s="57" cm="1">
        <f t="array" ref="J34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42" s="57">
        <f>IF(_xlfn.XLOOKUP(CONT_SUP[[#This Row],[PayScalePointCode]],PSPOINTS[PayScalePointCode],PSPOINTS[PayScalePointEnabled])=TRUE,0,1)</f>
        <v>0</v>
      </c>
      <c r="L342" s="57" cm="1">
        <f t="array" ref="L342">IF(_xlfn.XLOOKUP(CONT_SUP[[#This Row],[DepartmentCode]],DEPTS[DepartmentCode],DEPTS[AvailableToAllSchools],1,0,)=TRUE,0,IF(ISERROR(FIND(CONT_SUP[[#This Row],[SchoolCode]],_xlfn.TEXTJOIN(",",TRUE,_xlfn.UNIQUE(IF(DEPTS[DepartmentCode]=CONT_SUP[[#This Row],[DepartmentCode]],DEPTS[SchoolCodes],""))))),1,0))</f>
        <v>0</v>
      </c>
      <c r="M342" s="57">
        <f>IFERROR(IF(_xlfn.XLOOKUP(CONT_SUP[[#This Row],[SRG Gross]],FinanceCodesBudget[FinanceCode],FinanceCodesBudget[LedgerCode])=_xlfn.XLOOKUP(CONT_SUP[[#This Row],[DepartmentCode]],DEPTS[DepartmentCode],DEPTS[LedgerCode]),0,1),1)</f>
        <v>0</v>
      </c>
      <c r="N342" s="57" cm="1">
        <f t="array" ref="N342">IF(_xlfn.XLOOKUP(CONT_SUP[[#This Row],[PensionCode]],PENS[PensionCode],PENS[AvailableToAllSchools],1,0,)=TRUE,0,IF(ISERROR(FIND(CONT_SUP[[#This Row],[SchoolCode]],_xlfn.TEXTJOIN(",",TRUE,_xlfn.UNIQUE(IF(PENS[PensionCode]=CONT_SUP[[#This Row],[PensionCode]],PENS[SchoolCodes],""))))),1,0))</f>
        <v>0</v>
      </c>
      <c r="O342" s="57" cm="1">
        <f t="array" ref="O342">IF(_xlfn.XLOOKUP(CONT_SUP[[#This Row],[EquatedWeekPatternCode]],EQW[EquatedWeekPatternCode],EQW[AvailableToAllSchools],1,0,)=TRUE,0,IF(ISERROR(FIND(CONT_SUP[[#This Row],[SchoolCode]],_xlfn.TEXTJOIN(",",TRUE,_xlfn.UNIQUE(IF(EQW[EquatedWeekPatternCode]=CONT_SUP[[#This Row],[EquatedWeekPatternCode]],EQW[SchoolCodes],""))))),1,0))</f>
        <v>0</v>
      </c>
      <c r="P342" s="57">
        <f>1-COUNTIF(ContractTypes[Code],CONT_SUP[[#This Row],[ContractTypeCode]])</f>
        <v>0</v>
      </c>
      <c r="Q342" s="57">
        <f>IF(VLOOKUP(CONT_SUP[[#This Row],[StaffMemberCode]],MEMBERS[[StaffMemberCode]:[ServiceStartDate]],5,0)&gt;CONT_SUP[[#This Row],[DateFrom]],1,0)</f>
        <v>0</v>
      </c>
      <c r="R342" s="57">
        <f>IF(_xlfn.XLOOKUP(CONT_SUP[[#This Row],[StaffMemberCode]],MEMBERS[StaffMemberCode],MEMBERS[ServiceEndDate])="",0,IF(CONT_SUP[[#This Row],[DateTo]]="",1,IF(_xlfn.XLOOKUP(CONT_SUP[[#This Row],[StaffMemberCode]],MEMBERS[StaffMemberCode],MEMBERS[ServiceEndDate])&lt;CONT_SUP[[#This Row],[DateTo]],1,0)))</f>
        <v>0</v>
      </c>
      <c r="S342" s="57">
        <f>IF(ISBLANK(CONT_SUP[[#This Row],[DateTo]]),0,IF(CONT_SUP[[#This Row],[DateFrom]]=CONT_SUP[[#This Row],[DateTo]],0,IF(CONT_SUP[[#This Row],[DateFrom]]&lt;CONT_SUP[[#This Row],[DateTo]],0,1)))</f>
        <v>0</v>
      </c>
      <c r="T342" s="57" cm="1">
        <f t="array" aca="1" ref="T342" ca="1">IF(CELL("format",CONT_SUP[[#This Row],[DateFrom]])="D1",0,1)+IF(CELL("format",CONT_SUP[[#This Row],[DateTo]])="D1",0,1)</f>
        <v>0</v>
      </c>
      <c r="U342" s="57">
        <f>IF(OR(CONT_SUP[[#This Row],[MatEditOnly]]=TRUE,CONT_SUP[[#This Row],[MatEditOnly]]=FALSE),IF(OR(CONT_SUP[[#This Row],[NoIncrement]]=TRUE,CONT_SUP[[#This Row],[NoIncrement]]=FALSE),0,1),1)</f>
        <v>0</v>
      </c>
      <c r="V342" s="57">
        <f>IF(ISBLANK(CONT_SUP[[#This Row],[FundCode]])=TRUE,0,IF(COUNTIF(FUNDS[FundCode],CONT_SUP[[#This Row],[FundCode]])=1,0,1))</f>
        <v>0</v>
      </c>
      <c r="W342" s="57">
        <f>IF(LEN(CONT_SUP[[#This Row],[Notes]])&lt;4000,0,1)</f>
        <v>0</v>
      </c>
      <c r="X342" s="57">
        <f>IF(SUBSTITUTE(TEXT(CONT_SUP[[#This Row],[Reference]],10)," ","")=TEXT(CONT_SUP[[#This Row],[Reference]],10),0,1)</f>
        <v>0</v>
      </c>
      <c r="Y342" s="57">
        <f ca="1">SUM(CONT_SUP[[#This Row],[Duplicate Contract]:[Space in Code]])</f>
        <v>0</v>
      </c>
      <c r="AA342" s="12" t="s">
        <v>2126</v>
      </c>
      <c r="AB342" s="12">
        <v>10005333</v>
      </c>
      <c r="AC342" s="12">
        <v>106105</v>
      </c>
      <c r="AD342" s="57" t="str">
        <f>_xlfn.XLOOKUP(CONT_SUP[[#This Row],[StaffMemberCode]],StaffMembers!O:O,StaffMembers!R:R)</f>
        <v>Alison Green</v>
      </c>
      <c r="AE342" s="12" t="s">
        <v>4193</v>
      </c>
      <c r="AF342" s="57">
        <f>_xlfn.XLOOKUP(CONT_SUP[[#This Row],[SRG]],SRG[StaffRoleGroupCode],SRG[GrossSalaryFinanceCode])</f>
        <v>619100</v>
      </c>
      <c r="AG342" s="57" t="str">
        <f>_xlfn.XLOOKUP(CONT_SUP[[#This Row],[StaffRoleCode]],ROLES[StaffRoleCode],ROLES[StaffRoleGroupCode])</f>
        <v>EDS</v>
      </c>
      <c r="AH342" s="57" t="str">
        <f>_xlfn.XLOOKUP(CONT_SUP[[#This Row],[StaffRoleCode]],ROLES[StaffRoleCode],ROLES[PayScaleCode])</f>
        <v>NJC_CHE</v>
      </c>
      <c r="AI342" s="12" t="s">
        <v>3122</v>
      </c>
      <c r="AJ342" s="12">
        <v>6</v>
      </c>
      <c r="AK342" s="12" t="s">
        <v>2482</v>
      </c>
      <c r="AM342" s="68" t="s">
        <v>3132</v>
      </c>
      <c r="AN342" s="12" t="s">
        <v>3135</v>
      </c>
      <c r="AO342" s="21">
        <v>46023</v>
      </c>
      <c r="AQ342" s="12">
        <v>37</v>
      </c>
      <c r="AR342" t="b">
        <v>0</v>
      </c>
      <c r="AS342" t="b">
        <v>0</v>
      </c>
      <c r="AT342" s="12" t="s">
        <v>1574</v>
      </c>
    </row>
    <row r="343" spans="1:46" x14ac:dyDescent="0.3">
      <c r="A343" s="57" t="str">
        <f t="shared" si="11"/>
        <v>MLB10011991106078KS_LMSESS46023</v>
      </c>
      <c r="B343" s="57">
        <f>COUNTIF(CONT_SUP[Unique Contract],CONT_SUP[[#This Row],[Unique Contract]])-1</f>
        <v>0</v>
      </c>
      <c r="C343" s="57">
        <f>IFERROR(IF(FIND(CONT_SUP[[#This Row],[SchoolCode]],_xlfn.XLOOKUP(CONT_SUP[[#This Row],[StaffMemberCode]],MEMBERS[StaffMemberCode],MEMBERS[SchoolCodes]))&gt;0,0,1),1)</f>
        <v>0</v>
      </c>
      <c r="D343" s="57" cm="1">
        <f t="array" ref="D343">IF(_xlfn.XLOOKUP(CONT_SUP[[#This Row],[StaffRoleCode]],ROLES[StaffRoleCode],ROLES[AvailableToAllSchools],1,0,)=TRUE,0,IF(ISERROR(FIND(CONT_SUP[[#This Row],[SchoolCode]],_xlfn.TEXTJOIN(",",TRUE,_xlfn.UNIQUE(IF(ROLES[StaffRoleCode]=CONT_SUP[[#This Row],[StaffRoleCode]],ROLES[SchoolCodes],""))))),1,0))</f>
        <v>0</v>
      </c>
      <c r="E343" s="57" cm="1">
        <f t="array" ref="E34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43" s="57" cm="1">
        <f t="array" ref="F343">IF(_xlfn.XLOOKUP(CONT_SUP[[#This Row],[PayScaleCode]],PAYSCALES[PayScaleCode],PAYSCALES[AvailableToAllSchools],1,0,)=TRUE,0,IF(ISERROR(FIND(CONT_SUP[[#This Row],[SchoolCode]],_xlfn.TEXTJOIN(",",TRUE,_xlfn.UNIQUE(IF(PAYSCALES[PayScaleCode]=CONT_SUP[[#This Row],[PayScaleCode]],PAYSCALES[SchoolCodes],""))))),1,0))</f>
        <v>0</v>
      </c>
      <c r="G343" s="57">
        <f>IF(_xlfn.XLOOKUP(CONT_SUP[[#This Row],[PayScaleGradeCode]],GRADES[PayScaleGradeCode],GRADES[AvailableToAllSchools])=TRUE,0,IFERROR(IF(FIND(CONT_SUP[[#This Row],[SchoolCode]],_xlfn.XLOOKUP(CONT_SUP[[#This Row],[PayScaleGradeCode]],GRADES[PayScaleGradeCode],GRADES[SchoolCodes]))&gt;=1,0,1),1))</f>
        <v>0</v>
      </c>
      <c r="H343" s="57">
        <f>IF(ISERROR(IF((_xlfn.XLOOKUP(CONT_SUP[[#This Row],[PayScaleGradeCode]],GRADES[PayScaleGradeCode],GRADES[PayScaleCode])=CONT_SUP[[#This Row],[PayScaleCode]]),0,1)),1,0)</f>
        <v>0</v>
      </c>
      <c r="I343" s="57" cm="1">
        <f t="array" ref="I343">IF(ISERROR(FIND(CONT_SUP[[#This Row],[PayScalePointCode]],_xlfn.TEXTJOIN(",",TRUE,IF(PSPOINTS[PayScaleCode]=CONT_SUP[[#This Row],[PayScaleCode]],PSPOINTS[PayScalePointCode])))),1,0)</f>
        <v>0</v>
      </c>
      <c r="J343" s="57" cm="1">
        <f t="array" ref="J34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43" s="57">
        <f>IF(_xlfn.XLOOKUP(CONT_SUP[[#This Row],[PayScalePointCode]],PSPOINTS[PayScalePointCode],PSPOINTS[PayScalePointEnabled])=TRUE,0,1)</f>
        <v>0</v>
      </c>
      <c r="L343" s="57" cm="1">
        <f t="array" ref="L343">IF(_xlfn.XLOOKUP(CONT_SUP[[#This Row],[DepartmentCode]],DEPTS[DepartmentCode],DEPTS[AvailableToAllSchools],1,0,)=TRUE,0,IF(ISERROR(FIND(CONT_SUP[[#This Row],[SchoolCode]],_xlfn.TEXTJOIN(",",TRUE,_xlfn.UNIQUE(IF(DEPTS[DepartmentCode]=CONT_SUP[[#This Row],[DepartmentCode]],DEPTS[SchoolCodes],""))))),1,0))</f>
        <v>0</v>
      </c>
      <c r="M343" s="57">
        <f>IFERROR(IF(_xlfn.XLOOKUP(CONT_SUP[[#This Row],[SRG Gross]],FinanceCodesBudget[FinanceCode],FinanceCodesBudget[LedgerCode])=_xlfn.XLOOKUP(CONT_SUP[[#This Row],[DepartmentCode]],DEPTS[DepartmentCode],DEPTS[LedgerCode]),0,1),1)</f>
        <v>0</v>
      </c>
      <c r="N343" s="57" cm="1">
        <f t="array" ref="N343">IF(_xlfn.XLOOKUP(CONT_SUP[[#This Row],[PensionCode]],PENS[PensionCode],PENS[AvailableToAllSchools],1,0,)=TRUE,0,IF(ISERROR(FIND(CONT_SUP[[#This Row],[SchoolCode]],_xlfn.TEXTJOIN(",",TRUE,_xlfn.UNIQUE(IF(PENS[PensionCode]=CONT_SUP[[#This Row],[PensionCode]],PENS[SchoolCodes],""))))),1,0))</f>
        <v>0</v>
      </c>
      <c r="O343" s="57" cm="1">
        <f t="array" ref="O343">IF(_xlfn.XLOOKUP(CONT_SUP[[#This Row],[EquatedWeekPatternCode]],EQW[EquatedWeekPatternCode],EQW[AvailableToAllSchools],1,0,)=TRUE,0,IF(ISERROR(FIND(CONT_SUP[[#This Row],[SchoolCode]],_xlfn.TEXTJOIN(",",TRUE,_xlfn.UNIQUE(IF(EQW[EquatedWeekPatternCode]=CONT_SUP[[#This Row],[EquatedWeekPatternCode]],EQW[SchoolCodes],""))))),1,0))</f>
        <v>0</v>
      </c>
      <c r="P343" s="57">
        <f>1-COUNTIF(ContractTypes[Code],CONT_SUP[[#This Row],[ContractTypeCode]])</f>
        <v>0</v>
      </c>
      <c r="Q343" s="57">
        <f>IF(VLOOKUP(CONT_SUP[[#This Row],[StaffMemberCode]],MEMBERS[[StaffMemberCode]:[ServiceStartDate]],5,0)&gt;CONT_SUP[[#This Row],[DateFrom]],1,0)</f>
        <v>0</v>
      </c>
      <c r="R343" s="57">
        <f>IF(_xlfn.XLOOKUP(CONT_SUP[[#This Row],[StaffMemberCode]],MEMBERS[StaffMemberCode],MEMBERS[ServiceEndDate])="",0,IF(CONT_SUP[[#This Row],[DateTo]]="",1,IF(_xlfn.XLOOKUP(CONT_SUP[[#This Row],[StaffMemberCode]],MEMBERS[StaffMemberCode],MEMBERS[ServiceEndDate])&lt;CONT_SUP[[#This Row],[DateTo]],1,0)))</f>
        <v>0</v>
      </c>
      <c r="S343" s="57">
        <f>IF(ISBLANK(CONT_SUP[[#This Row],[DateTo]]),0,IF(CONT_SUP[[#This Row],[DateFrom]]=CONT_SUP[[#This Row],[DateTo]],0,IF(CONT_SUP[[#This Row],[DateFrom]]&lt;CONT_SUP[[#This Row],[DateTo]],0,1)))</f>
        <v>0</v>
      </c>
      <c r="T343" s="57" cm="1">
        <f t="array" aca="1" ref="T343" ca="1">IF(CELL("format",CONT_SUP[[#This Row],[DateFrom]])="D1",0,1)+IF(CELL("format",CONT_SUP[[#This Row],[DateTo]])="D1",0,1)</f>
        <v>0</v>
      </c>
      <c r="U343" s="57">
        <f>IF(OR(CONT_SUP[[#This Row],[MatEditOnly]]=TRUE,CONT_SUP[[#This Row],[MatEditOnly]]=FALSE),IF(OR(CONT_SUP[[#This Row],[NoIncrement]]=TRUE,CONT_SUP[[#This Row],[NoIncrement]]=FALSE),0,1),1)</f>
        <v>0</v>
      </c>
      <c r="V343" s="57">
        <f>IF(ISBLANK(CONT_SUP[[#This Row],[FundCode]])=TRUE,0,IF(COUNTIF(FUNDS[FundCode],CONT_SUP[[#This Row],[FundCode]])=1,0,1))</f>
        <v>0</v>
      </c>
      <c r="W343" s="57">
        <f>IF(LEN(CONT_SUP[[#This Row],[Notes]])&lt;4000,0,1)</f>
        <v>0</v>
      </c>
      <c r="X343" s="57">
        <f>IF(SUBSTITUTE(TEXT(CONT_SUP[[#This Row],[Reference]],10)," ","")=TEXT(CONT_SUP[[#This Row],[Reference]],10),0,1)</f>
        <v>0</v>
      </c>
      <c r="Y343" s="57">
        <f ca="1">SUM(CONT_SUP[[#This Row],[Duplicate Contract]:[Space in Code]])</f>
        <v>0</v>
      </c>
      <c r="AA343" s="12" t="s">
        <v>2126</v>
      </c>
      <c r="AB343" s="12">
        <v>10011991</v>
      </c>
      <c r="AC343" s="12">
        <v>106078</v>
      </c>
      <c r="AD343" s="57" t="str">
        <f>_xlfn.XLOOKUP(CONT_SUP[[#This Row],[StaffMemberCode]],StaffMembers!O:O,StaffMembers!R:R)</f>
        <v>Amanda Arnold</v>
      </c>
      <c r="AE343" s="12" t="s">
        <v>4195</v>
      </c>
      <c r="AF343" s="57">
        <f>_xlfn.XLOOKUP(CONT_SUP[[#This Row],[SRG]],SRG[StaffRoleGroupCode],SRG[GrossSalaryFinanceCode])</f>
        <v>619100</v>
      </c>
      <c r="AG343" s="57" t="str">
        <f>_xlfn.XLOOKUP(CONT_SUP[[#This Row],[StaffRoleCode]],ROLES[StaffRoleCode],ROLES[StaffRoleGroupCode])</f>
        <v>EDS</v>
      </c>
      <c r="AH343" s="57" t="str">
        <f>_xlfn.XLOOKUP(CONT_SUP[[#This Row],[StaffRoleCode]],ROLES[StaffRoleCode],ROLES[PayScaleCode])</f>
        <v>NJC_CHE</v>
      </c>
      <c r="AI343" s="12" t="s">
        <v>3124</v>
      </c>
      <c r="AJ343" s="12">
        <v>12</v>
      </c>
      <c r="AK343" s="12" t="s">
        <v>2482</v>
      </c>
      <c r="AM343" s="68" t="s">
        <v>3132</v>
      </c>
      <c r="AN343" s="12" t="s">
        <v>3135</v>
      </c>
      <c r="AO343" s="21">
        <v>46023</v>
      </c>
      <c r="AQ343" s="12">
        <v>37</v>
      </c>
      <c r="AR343" t="b">
        <v>0</v>
      </c>
      <c r="AS343" t="b">
        <v>0</v>
      </c>
      <c r="AT343" s="12" t="s">
        <v>1574</v>
      </c>
    </row>
    <row r="344" spans="1:46" x14ac:dyDescent="0.3">
      <c r="A344" s="57" t="str">
        <f t="shared" si="11"/>
        <v>MLB10014574107064KS_LMSESS46023</v>
      </c>
      <c r="B344" s="57">
        <f>COUNTIF(CONT_SUP[Unique Contract],CONT_SUP[[#This Row],[Unique Contract]])-1</f>
        <v>0</v>
      </c>
      <c r="C344" s="57">
        <f>IFERROR(IF(FIND(CONT_SUP[[#This Row],[SchoolCode]],_xlfn.XLOOKUP(CONT_SUP[[#This Row],[StaffMemberCode]],MEMBERS[StaffMemberCode],MEMBERS[SchoolCodes]))&gt;0,0,1),1)</f>
        <v>0</v>
      </c>
      <c r="D344" s="57" cm="1">
        <f t="array" ref="D344">IF(_xlfn.XLOOKUP(CONT_SUP[[#This Row],[StaffRoleCode]],ROLES[StaffRoleCode],ROLES[AvailableToAllSchools],1,0,)=TRUE,0,IF(ISERROR(FIND(CONT_SUP[[#This Row],[SchoolCode]],_xlfn.TEXTJOIN(",",TRUE,_xlfn.UNIQUE(IF(ROLES[StaffRoleCode]=CONT_SUP[[#This Row],[StaffRoleCode]],ROLES[SchoolCodes],""))))),1,0))</f>
        <v>0</v>
      </c>
      <c r="E344" s="57" cm="1">
        <f t="array" ref="E34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44" s="57" cm="1">
        <f t="array" ref="F344">IF(_xlfn.XLOOKUP(CONT_SUP[[#This Row],[PayScaleCode]],PAYSCALES[PayScaleCode],PAYSCALES[AvailableToAllSchools],1,0,)=TRUE,0,IF(ISERROR(FIND(CONT_SUP[[#This Row],[SchoolCode]],_xlfn.TEXTJOIN(",",TRUE,_xlfn.UNIQUE(IF(PAYSCALES[PayScaleCode]=CONT_SUP[[#This Row],[PayScaleCode]],PAYSCALES[SchoolCodes],""))))),1,0))</f>
        <v>0</v>
      </c>
      <c r="G344" s="57">
        <f>IF(_xlfn.XLOOKUP(CONT_SUP[[#This Row],[PayScaleGradeCode]],GRADES[PayScaleGradeCode],GRADES[AvailableToAllSchools])=TRUE,0,IFERROR(IF(FIND(CONT_SUP[[#This Row],[SchoolCode]],_xlfn.XLOOKUP(CONT_SUP[[#This Row],[PayScaleGradeCode]],GRADES[PayScaleGradeCode],GRADES[SchoolCodes]))&gt;=1,0,1),1))</f>
        <v>0</v>
      </c>
      <c r="H344" s="57">
        <f>IF(ISERROR(IF((_xlfn.XLOOKUP(CONT_SUP[[#This Row],[PayScaleGradeCode]],GRADES[PayScaleGradeCode],GRADES[PayScaleCode])=CONT_SUP[[#This Row],[PayScaleCode]]),0,1)),1,0)</f>
        <v>0</v>
      </c>
      <c r="I344" s="57" cm="1">
        <f t="array" ref="I344">IF(ISERROR(FIND(CONT_SUP[[#This Row],[PayScalePointCode]],_xlfn.TEXTJOIN(",",TRUE,IF(PSPOINTS[PayScaleCode]=CONT_SUP[[#This Row],[PayScaleCode]],PSPOINTS[PayScalePointCode])))),1,0)</f>
        <v>0</v>
      </c>
      <c r="J344" s="57" cm="1">
        <f t="array" ref="J34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44" s="57">
        <f>IF(_xlfn.XLOOKUP(CONT_SUP[[#This Row],[PayScalePointCode]],PSPOINTS[PayScalePointCode],PSPOINTS[PayScalePointEnabled])=TRUE,0,1)</f>
        <v>0</v>
      </c>
      <c r="L344" s="57" cm="1">
        <f t="array" ref="L344">IF(_xlfn.XLOOKUP(CONT_SUP[[#This Row],[DepartmentCode]],DEPTS[DepartmentCode],DEPTS[AvailableToAllSchools],1,0,)=TRUE,0,IF(ISERROR(FIND(CONT_SUP[[#This Row],[SchoolCode]],_xlfn.TEXTJOIN(",",TRUE,_xlfn.UNIQUE(IF(DEPTS[DepartmentCode]=CONT_SUP[[#This Row],[DepartmentCode]],DEPTS[SchoolCodes],""))))),1,0))</f>
        <v>0</v>
      </c>
      <c r="M344" s="57">
        <f>IFERROR(IF(_xlfn.XLOOKUP(CONT_SUP[[#This Row],[SRG Gross]],FinanceCodesBudget[FinanceCode],FinanceCodesBudget[LedgerCode])=_xlfn.XLOOKUP(CONT_SUP[[#This Row],[DepartmentCode]],DEPTS[DepartmentCode],DEPTS[LedgerCode]),0,1),1)</f>
        <v>0</v>
      </c>
      <c r="N344" s="57" cm="1">
        <f t="array" ref="N344">IF(_xlfn.XLOOKUP(CONT_SUP[[#This Row],[PensionCode]],PENS[PensionCode],PENS[AvailableToAllSchools],1,0,)=TRUE,0,IF(ISERROR(FIND(CONT_SUP[[#This Row],[SchoolCode]],_xlfn.TEXTJOIN(",",TRUE,_xlfn.UNIQUE(IF(PENS[PensionCode]=CONT_SUP[[#This Row],[PensionCode]],PENS[SchoolCodes],""))))),1,0))</f>
        <v>0</v>
      </c>
      <c r="O344" s="57" cm="1">
        <f t="array" ref="O344">IF(_xlfn.XLOOKUP(CONT_SUP[[#This Row],[EquatedWeekPatternCode]],EQW[EquatedWeekPatternCode],EQW[AvailableToAllSchools],1,0,)=TRUE,0,IF(ISERROR(FIND(CONT_SUP[[#This Row],[SchoolCode]],_xlfn.TEXTJOIN(",",TRUE,_xlfn.UNIQUE(IF(EQW[EquatedWeekPatternCode]=CONT_SUP[[#This Row],[EquatedWeekPatternCode]],EQW[SchoolCodes],""))))),1,0))</f>
        <v>0</v>
      </c>
      <c r="P344" s="57">
        <f>1-COUNTIF(ContractTypes[Code],CONT_SUP[[#This Row],[ContractTypeCode]])</f>
        <v>0</v>
      </c>
      <c r="Q344" s="57">
        <f>IF(VLOOKUP(CONT_SUP[[#This Row],[StaffMemberCode]],MEMBERS[[StaffMemberCode]:[ServiceStartDate]],5,0)&gt;CONT_SUP[[#This Row],[DateFrom]],1,0)</f>
        <v>0</v>
      </c>
      <c r="R344" s="57">
        <f>IF(_xlfn.XLOOKUP(CONT_SUP[[#This Row],[StaffMemberCode]],MEMBERS[StaffMemberCode],MEMBERS[ServiceEndDate])="",0,IF(CONT_SUP[[#This Row],[DateTo]]="",1,IF(_xlfn.XLOOKUP(CONT_SUP[[#This Row],[StaffMemberCode]],MEMBERS[StaffMemberCode],MEMBERS[ServiceEndDate])&lt;CONT_SUP[[#This Row],[DateTo]],1,0)))</f>
        <v>0</v>
      </c>
      <c r="S344" s="57">
        <f>IF(ISBLANK(CONT_SUP[[#This Row],[DateTo]]),0,IF(CONT_SUP[[#This Row],[DateFrom]]=CONT_SUP[[#This Row],[DateTo]],0,IF(CONT_SUP[[#This Row],[DateFrom]]&lt;CONT_SUP[[#This Row],[DateTo]],0,1)))</f>
        <v>0</v>
      </c>
      <c r="T344" s="57" cm="1">
        <f t="array" aca="1" ref="T344" ca="1">IF(CELL("format",CONT_SUP[[#This Row],[DateFrom]])="D1",0,1)+IF(CELL("format",CONT_SUP[[#This Row],[DateTo]])="D1",0,1)</f>
        <v>0</v>
      </c>
      <c r="U344" s="57">
        <f>IF(OR(CONT_SUP[[#This Row],[MatEditOnly]]=TRUE,CONT_SUP[[#This Row],[MatEditOnly]]=FALSE),IF(OR(CONT_SUP[[#This Row],[NoIncrement]]=TRUE,CONT_SUP[[#This Row],[NoIncrement]]=FALSE),0,1),1)</f>
        <v>0</v>
      </c>
      <c r="V344" s="57">
        <f>IF(ISBLANK(CONT_SUP[[#This Row],[FundCode]])=TRUE,0,IF(COUNTIF(FUNDS[FundCode],CONT_SUP[[#This Row],[FundCode]])=1,0,1))</f>
        <v>0</v>
      </c>
      <c r="W344" s="57">
        <f>IF(LEN(CONT_SUP[[#This Row],[Notes]])&lt;4000,0,1)</f>
        <v>0</v>
      </c>
      <c r="X344" s="57">
        <f>IF(SUBSTITUTE(TEXT(CONT_SUP[[#This Row],[Reference]],10)," ","")=TEXT(CONT_SUP[[#This Row],[Reference]],10),0,1)</f>
        <v>0</v>
      </c>
      <c r="Y344" s="57">
        <f ca="1">SUM(CONT_SUP[[#This Row],[Duplicate Contract]:[Space in Code]])</f>
        <v>0</v>
      </c>
      <c r="AA344" s="12" t="s">
        <v>2126</v>
      </c>
      <c r="AB344" s="12">
        <v>10014574</v>
      </c>
      <c r="AC344" s="12">
        <v>107064</v>
      </c>
      <c r="AD344" s="57" t="str">
        <f>_xlfn.XLOOKUP(CONT_SUP[[#This Row],[StaffMemberCode]],StaffMembers!O:O,StaffMembers!R:R)</f>
        <v>Nathan Watson</v>
      </c>
      <c r="AE344" s="12" t="s">
        <v>4195</v>
      </c>
      <c r="AF344" s="57">
        <f>_xlfn.XLOOKUP(CONT_SUP[[#This Row],[SRG]],SRG[StaffRoleGroupCode],SRG[GrossSalaryFinanceCode])</f>
        <v>619100</v>
      </c>
      <c r="AG344" s="57" t="str">
        <f>_xlfn.XLOOKUP(CONT_SUP[[#This Row],[StaffRoleCode]],ROLES[StaffRoleCode],ROLES[StaffRoleGroupCode])</f>
        <v>EDS</v>
      </c>
      <c r="AH344" s="57" t="str">
        <f>_xlfn.XLOOKUP(CONT_SUP[[#This Row],[StaffRoleCode]],ROLES[StaffRoleCode],ROLES[PayScaleCode])</f>
        <v>NJC_CHE</v>
      </c>
      <c r="AI344" s="12" t="s">
        <v>3124</v>
      </c>
      <c r="AJ344" s="12">
        <v>15</v>
      </c>
      <c r="AK344" s="12" t="s">
        <v>2482</v>
      </c>
      <c r="AM344" s="68" t="s">
        <v>3132</v>
      </c>
      <c r="AN344" s="12" t="s">
        <v>3135</v>
      </c>
      <c r="AO344" s="21">
        <v>46023</v>
      </c>
      <c r="AQ344" s="12">
        <v>37</v>
      </c>
      <c r="AR344" t="b">
        <v>0</v>
      </c>
      <c r="AS344" t="b">
        <v>0</v>
      </c>
      <c r="AT344" s="12" t="s">
        <v>1574</v>
      </c>
    </row>
    <row r="345" spans="1:46" x14ac:dyDescent="0.3">
      <c r="A345" s="57" t="str">
        <f t="shared" si="11"/>
        <v>MLB10009124109671KS_LMSESS46023</v>
      </c>
      <c r="B345" s="57">
        <f>COUNTIF(CONT_SUP[Unique Contract],CONT_SUP[[#This Row],[Unique Contract]])-1</f>
        <v>0</v>
      </c>
      <c r="C345" s="57">
        <f>IFERROR(IF(FIND(CONT_SUP[[#This Row],[SchoolCode]],_xlfn.XLOOKUP(CONT_SUP[[#This Row],[StaffMemberCode]],MEMBERS[StaffMemberCode],MEMBERS[SchoolCodes]))&gt;0,0,1),1)</f>
        <v>0</v>
      </c>
      <c r="D345" s="57" cm="1">
        <f t="array" ref="D345">IF(_xlfn.XLOOKUP(CONT_SUP[[#This Row],[StaffRoleCode]],ROLES[StaffRoleCode],ROLES[AvailableToAllSchools],1,0,)=TRUE,0,IF(ISERROR(FIND(CONT_SUP[[#This Row],[SchoolCode]],_xlfn.TEXTJOIN(",",TRUE,_xlfn.UNIQUE(IF(ROLES[StaffRoleCode]=CONT_SUP[[#This Row],[StaffRoleCode]],ROLES[SchoolCodes],""))))),1,0))</f>
        <v>0</v>
      </c>
      <c r="E345" s="57" cm="1">
        <f t="array" ref="E34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45" s="57" cm="1">
        <f t="array" ref="F345">IF(_xlfn.XLOOKUP(CONT_SUP[[#This Row],[PayScaleCode]],PAYSCALES[PayScaleCode],PAYSCALES[AvailableToAllSchools],1,0,)=TRUE,0,IF(ISERROR(FIND(CONT_SUP[[#This Row],[SchoolCode]],_xlfn.TEXTJOIN(",",TRUE,_xlfn.UNIQUE(IF(PAYSCALES[PayScaleCode]=CONT_SUP[[#This Row],[PayScaleCode]],PAYSCALES[SchoolCodes],""))))),1,0))</f>
        <v>0</v>
      </c>
      <c r="G345" s="57">
        <f>IF(_xlfn.XLOOKUP(CONT_SUP[[#This Row],[PayScaleGradeCode]],GRADES[PayScaleGradeCode],GRADES[AvailableToAllSchools])=TRUE,0,IFERROR(IF(FIND(CONT_SUP[[#This Row],[SchoolCode]],_xlfn.XLOOKUP(CONT_SUP[[#This Row],[PayScaleGradeCode]],GRADES[PayScaleGradeCode],GRADES[SchoolCodes]))&gt;=1,0,1),1))</f>
        <v>0</v>
      </c>
      <c r="H345" s="57">
        <f>IF(ISERROR(IF((_xlfn.XLOOKUP(CONT_SUP[[#This Row],[PayScaleGradeCode]],GRADES[PayScaleGradeCode],GRADES[PayScaleCode])=CONT_SUP[[#This Row],[PayScaleCode]]),0,1)),1,0)</f>
        <v>0</v>
      </c>
      <c r="I345" s="57" cm="1">
        <f t="array" ref="I345">IF(ISERROR(FIND(CONT_SUP[[#This Row],[PayScalePointCode]],_xlfn.TEXTJOIN(",",TRUE,IF(PSPOINTS[PayScaleCode]=CONT_SUP[[#This Row],[PayScaleCode]],PSPOINTS[PayScalePointCode])))),1,0)</f>
        <v>0</v>
      </c>
      <c r="J345" s="57" cm="1">
        <f t="array" ref="J34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45" s="57">
        <f>IF(_xlfn.XLOOKUP(CONT_SUP[[#This Row],[PayScalePointCode]],PSPOINTS[PayScalePointCode],PSPOINTS[PayScalePointEnabled])=TRUE,0,1)</f>
        <v>0</v>
      </c>
      <c r="L345" s="57" cm="1">
        <f t="array" ref="L345">IF(_xlfn.XLOOKUP(CONT_SUP[[#This Row],[DepartmentCode]],DEPTS[DepartmentCode],DEPTS[AvailableToAllSchools],1,0,)=TRUE,0,IF(ISERROR(FIND(CONT_SUP[[#This Row],[SchoolCode]],_xlfn.TEXTJOIN(",",TRUE,_xlfn.UNIQUE(IF(DEPTS[DepartmentCode]=CONT_SUP[[#This Row],[DepartmentCode]],DEPTS[SchoolCodes],""))))),1,0))</f>
        <v>0</v>
      </c>
      <c r="M345" s="57">
        <f>IFERROR(IF(_xlfn.XLOOKUP(CONT_SUP[[#This Row],[SRG Gross]],FinanceCodesBudget[FinanceCode],FinanceCodesBudget[LedgerCode])=_xlfn.XLOOKUP(CONT_SUP[[#This Row],[DepartmentCode]],DEPTS[DepartmentCode],DEPTS[LedgerCode]),0,1),1)</f>
        <v>0</v>
      </c>
      <c r="N345" s="57" cm="1">
        <f t="array" ref="N345">IF(_xlfn.XLOOKUP(CONT_SUP[[#This Row],[PensionCode]],PENS[PensionCode],PENS[AvailableToAllSchools],1,0,)=TRUE,0,IF(ISERROR(FIND(CONT_SUP[[#This Row],[SchoolCode]],_xlfn.TEXTJOIN(",",TRUE,_xlfn.UNIQUE(IF(PENS[PensionCode]=CONT_SUP[[#This Row],[PensionCode]],PENS[SchoolCodes],""))))),1,0))</f>
        <v>0</v>
      </c>
      <c r="O345" s="57" cm="1">
        <f t="array" ref="O345">IF(_xlfn.XLOOKUP(CONT_SUP[[#This Row],[EquatedWeekPatternCode]],EQW[EquatedWeekPatternCode],EQW[AvailableToAllSchools],1,0,)=TRUE,0,IF(ISERROR(FIND(CONT_SUP[[#This Row],[SchoolCode]],_xlfn.TEXTJOIN(",",TRUE,_xlfn.UNIQUE(IF(EQW[EquatedWeekPatternCode]=CONT_SUP[[#This Row],[EquatedWeekPatternCode]],EQW[SchoolCodes],""))))),1,0))</f>
        <v>0</v>
      </c>
      <c r="P345" s="57">
        <f>1-COUNTIF(ContractTypes[Code],CONT_SUP[[#This Row],[ContractTypeCode]])</f>
        <v>0</v>
      </c>
      <c r="Q345" s="57">
        <f>IF(VLOOKUP(CONT_SUP[[#This Row],[StaffMemberCode]],MEMBERS[[StaffMemberCode]:[ServiceStartDate]],5,0)&gt;CONT_SUP[[#This Row],[DateFrom]],1,0)</f>
        <v>0</v>
      </c>
      <c r="R345" s="57">
        <f>IF(_xlfn.XLOOKUP(CONT_SUP[[#This Row],[StaffMemberCode]],MEMBERS[StaffMemberCode],MEMBERS[ServiceEndDate])="",0,IF(CONT_SUP[[#This Row],[DateTo]]="",1,IF(_xlfn.XLOOKUP(CONT_SUP[[#This Row],[StaffMemberCode]],MEMBERS[StaffMemberCode],MEMBERS[ServiceEndDate])&lt;CONT_SUP[[#This Row],[DateTo]],1,0)))</f>
        <v>0</v>
      </c>
      <c r="S345" s="57">
        <f>IF(ISBLANK(CONT_SUP[[#This Row],[DateTo]]),0,IF(CONT_SUP[[#This Row],[DateFrom]]=CONT_SUP[[#This Row],[DateTo]],0,IF(CONT_SUP[[#This Row],[DateFrom]]&lt;CONT_SUP[[#This Row],[DateTo]],0,1)))</f>
        <v>0</v>
      </c>
      <c r="T345" s="57" cm="1">
        <f t="array" aca="1" ref="T345" ca="1">IF(CELL("format",CONT_SUP[[#This Row],[DateFrom]])="D1",0,1)+IF(CELL("format",CONT_SUP[[#This Row],[DateTo]])="D1",0,1)</f>
        <v>0</v>
      </c>
      <c r="U345" s="57">
        <f>IF(OR(CONT_SUP[[#This Row],[MatEditOnly]]=TRUE,CONT_SUP[[#This Row],[MatEditOnly]]=FALSE),IF(OR(CONT_SUP[[#This Row],[NoIncrement]]=TRUE,CONT_SUP[[#This Row],[NoIncrement]]=FALSE),0,1),1)</f>
        <v>0</v>
      </c>
      <c r="V345" s="57">
        <f>IF(ISBLANK(CONT_SUP[[#This Row],[FundCode]])=TRUE,0,IF(COUNTIF(FUNDS[FundCode],CONT_SUP[[#This Row],[FundCode]])=1,0,1))</f>
        <v>0</v>
      </c>
      <c r="W345" s="57">
        <f>IF(LEN(CONT_SUP[[#This Row],[Notes]])&lt;4000,0,1)</f>
        <v>0</v>
      </c>
      <c r="X345" s="57">
        <f>IF(SUBSTITUTE(TEXT(CONT_SUP[[#This Row],[Reference]],10)," ","")=TEXT(CONT_SUP[[#This Row],[Reference]],10),0,1)</f>
        <v>0</v>
      </c>
      <c r="Y345" s="57">
        <f ca="1">SUM(CONT_SUP[[#This Row],[Duplicate Contract]:[Space in Code]])</f>
        <v>0</v>
      </c>
      <c r="AA345" s="12" t="s">
        <v>2126</v>
      </c>
      <c r="AB345" s="12">
        <v>10009124</v>
      </c>
      <c r="AC345" s="12">
        <v>109671</v>
      </c>
      <c r="AD345" s="57" t="str">
        <f>_xlfn.XLOOKUP(CONT_SUP[[#This Row],[StaffMemberCode]],StaffMembers!O:O,StaffMembers!R:R)</f>
        <v>Judith Teasdale</v>
      </c>
      <c r="AE345" s="12" t="s">
        <v>4195</v>
      </c>
      <c r="AF345" s="57">
        <f>_xlfn.XLOOKUP(CONT_SUP[[#This Row],[SRG]],SRG[StaffRoleGroupCode],SRG[GrossSalaryFinanceCode])</f>
        <v>619100</v>
      </c>
      <c r="AG345" s="57" t="str">
        <f>_xlfn.XLOOKUP(CONT_SUP[[#This Row],[StaffRoleCode]],ROLES[StaffRoleCode],ROLES[StaffRoleGroupCode])</f>
        <v>EDS</v>
      </c>
      <c r="AH345" s="57" t="str">
        <f>_xlfn.XLOOKUP(CONT_SUP[[#This Row],[StaffRoleCode]],ROLES[StaffRoleCode],ROLES[PayScaleCode])</f>
        <v>NJC_CHE</v>
      </c>
      <c r="AI345" s="12" t="s">
        <v>3124</v>
      </c>
      <c r="AJ345" s="12">
        <v>17</v>
      </c>
      <c r="AK345" s="12" t="s">
        <v>2482</v>
      </c>
      <c r="AM345" s="68" t="s">
        <v>3132</v>
      </c>
      <c r="AN345" s="12" t="s">
        <v>3135</v>
      </c>
      <c r="AO345" s="21">
        <v>46023</v>
      </c>
      <c r="AQ345" s="12">
        <v>37</v>
      </c>
      <c r="AR345" t="b">
        <v>0</v>
      </c>
      <c r="AS345" t="b">
        <v>0</v>
      </c>
      <c r="AT345" s="12" t="s">
        <v>1574</v>
      </c>
    </row>
    <row r="346" spans="1:46" x14ac:dyDescent="0.3">
      <c r="A346" s="57" t="str">
        <f t="shared" si="11"/>
        <v>MLB10014615106824LEA_MENSESS46023</v>
      </c>
      <c r="B346" s="57">
        <f>COUNTIF(CONT_SUP[Unique Contract],CONT_SUP[[#This Row],[Unique Contract]])-1</f>
        <v>0</v>
      </c>
      <c r="C346" s="57">
        <f>IFERROR(IF(FIND(CONT_SUP[[#This Row],[SchoolCode]],_xlfn.XLOOKUP(CONT_SUP[[#This Row],[StaffMemberCode]],MEMBERS[StaffMemberCode],MEMBERS[SchoolCodes]))&gt;0,0,1),1)</f>
        <v>0</v>
      </c>
      <c r="D346" s="57" cm="1">
        <f t="array" ref="D346">IF(_xlfn.XLOOKUP(CONT_SUP[[#This Row],[StaffRoleCode]],ROLES[StaffRoleCode],ROLES[AvailableToAllSchools],1,0,)=TRUE,0,IF(ISERROR(FIND(CONT_SUP[[#This Row],[SchoolCode]],_xlfn.TEXTJOIN(",",TRUE,_xlfn.UNIQUE(IF(ROLES[StaffRoleCode]=CONT_SUP[[#This Row],[StaffRoleCode]],ROLES[SchoolCodes],""))))),1,0))</f>
        <v>0</v>
      </c>
      <c r="E346" s="57" cm="1">
        <f t="array" ref="E34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46" s="57" cm="1">
        <f t="array" ref="F346">IF(_xlfn.XLOOKUP(CONT_SUP[[#This Row],[PayScaleCode]],PAYSCALES[PayScaleCode],PAYSCALES[AvailableToAllSchools],1,0,)=TRUE,0,IF(ISERROR(FIND(CONT_SUP[[#This Row],[SchoolCode]],_xlfn.TEXTJOIN(",",TRUE,_xlfn.UNIQUE(IF(PAYSCALES[PayScaleCode]=CONT_SUP[[#This Row],[PayScaleCode]],PAYSCALES[SchoolCodes],""))))),1,0))</f>
        <v>0</v>
      </c>
      <c r="G346" s="57">
        <f>IF(_xlfn.XLOOKUP(CONT_SUP[[#This Row],[PayScaleGradeCode]],GRADES[PayScaleGradeCode],GRADES[AvailableToAllSchools])=TRUE,0,IFERROR(IF(FIND(CONT_SUP[[#This Row],[SchoolCode]],_xlfn.XLOOKUP(CONT_SUP[[#This Row],[PayScaleGradeCode]],GRADES[PayScaleGradeCode],GRADES[SchoolCodes]))&gt;=1,0,1),1))</f>
        <v>0</v>
      </c>
      <c r="H346" s="57">
        <f>IF(ISERROR(IF((_xlfn.XLOOKUP(CONT_SUP[[#This Row],[PayScaleGradeCode]],GRADES[PayScaleGradeCode],GRADES[PayScaleCode])=CONT_SUP[[#This Row],[PayScaleCode]]),0,1)),1,0)</f>
        <v>0</v>
      </c>
      <c r="I346" s="57" cm="1">
        <f t="array" ref="I346">IF(ISERROR(FIND(CONT_SUP[[#This Row],[PayScalePointCode]],_xlfn.TEXTJOIN(",",TRUE,IF(PSPOINTS[PayScaleCode]=CONT_SUP[[#This Row],[PayScaleCode]],PSPOINTS[PayScalePointCode])))),1,0)</f>
        <v>0</v>
      </c>
      <c r="J346" s="57" cm="1">
        <f t="array" ref="J34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46" s="57">
        <f>IF(_xlfn.XLOOKUP(CONT_SUP[[#This Row],[PayScalePointCode]],PSPOINTS[PayScalePointCode],PSPOINTS[PayScalePointEnabled])=TRUE,0,1)</f>
        <v>0</v>
      </c>
      <c r="L346" s="57" cm="1">
        <f t="array" ref="L346">IF(_xlfn.XLOOKUP(CONT_SUP[[#This Row],[DepartmentCode]],DEPTS[DepartmentCode],DEPTS[AvailableToAllSchools],1,0,)=TRUE,0,IF(ISERROR(FIND(CONT_SUP[[#This Row],[SchoolCode]],_xlfn.TEXTJOIN(",",TRUE,_xlfn.UNIQUE(IF(DEPTS[DepartmentCode]=CONT_SUP[[#This Row],[DepartmentCode]],DEPTS[SchoolCodes],""))))),1,0))</f>
        <v>0</v>
      </c>
      <c r="M346" s="57">
        <f>IFERROR(IF(_xlfn.XLOOKUP(CONT_SUP[[#This Row],[SRG Gross]],FinanceCodesBudget[FinanceCode],FinanceCodesBudget[LedgerCode])=_xlfn.XLOOKUP(CONT_SUP[[#This Row],[DepartmentCode]],DEPTS[DepartmentCode],DEPTS[LedgerCode]),0,1),1)</f>
        <v>0</v>
      </c>
      <c r="N346" s="57" cm="1">
        <f t="array" ref="N346">IF(_xlfn.XLOOKUP(CONT_SUP[[#This Row],[PensionCode]],PENS[PensionCode],PENS[AvailableToAllSchools],1,0,)=TRUE,0,IF(ISERROR(FIND(CONT_SUP[[#This Row],[SchoolCode]],_xlfn.TEXTJOIN(",",TRUE,_xlfn.UNIQUE(IF(PENS[PensionCode]=CONT_SUP[[#This Row],[PensionCode]],PENS[SchoolCodes],""))))),1,0))</f>
        <v>0</v>
      </c>
      <c r="O346" s="57" cm="1">
        <f t="array" ref="O346">IF(_xlfn.XLOOKUP(CONT_SUP[[#This Row],[EquatedWeekPatternCode]],EQW[EquatedWeekPatternCode],EQW[AvailableToAllSchools],1,0,)=TRUE,0,IF(ISERROR(FIND(CONT_SUP[[#This Row],[SchoolCode]],_xlfn.TEXTJOIN(",",TRUE,_xlfn.UNIQUE(IF(EQW[EquatedWeekPatternCode]=CONT_SUP[[#This Row],[EquatedWeekPatternCode]],EQW[SchoolCodes],""))))),1,0))</f>
        <v>0</v>
      </c>
      <c r="P346" s="57">
        <f>1-COUNTIF(ContractTypes[Code],CONT_SUP[[#This Row],[ContractTypeCode]])</f>
        <v>0</v>
      </c>
      <c r="Q346" s="57">
        <f>IF(VLOOKUP(CONT_SUP[[#This Row],[StaffMemberCode]],MEMBERS[[StaffMemberCode]:[ServiceStartDate]],5,0)&gt;CONT_SUP[[#This Row],[DateFrom]],1,0)</f>
        <v>0</v>
      </c>
      <c r="R346" s="57">
        <f>IF(_xlfn.XLOOKUP(CONT_SUP[[#This Row],[StaffMemberCode]],MEMBERS[StaffMemberCode],MEMBERS[ServiceEndDate])="",0,IF(CONT_SUP[[#This Row],[DateTo]]="",1,IF(_xlfn.XLOOKUP(CONT_SUP[[#This Row],[StaffMemberCode]],MEMBERS[StaffMemberCode],MEMBERS[ServiceEndDate])&lt;CONT_SUP[[#This Row],[DateTo]],1,0)))</f>
        <v>0</v>
      </c>
      <c r="S346" s="57">
        <f>IF(ISBLANK(CONT_SUP[[#This Row],[DateTo]]),0,IF(CONT_SUP[[#This Row],[DateFrom]]=CONT_SUP[[#This Row],[DateTo]],0,IF(CONT_SUP[[#This Row],[DateFrom]]&lt;CONT_SUP[[#This Row],[DateTo]],0,1)))</f>
        <v>0</v>
      </c>
      <c r="T346" s="57" cm="1">
        <f t="array" aca="1" ref="T346" ca="1">IF(CELL("format",CONT_SUP[[#This Row],[DateFrom]])="D1",0,1)+IF(CELL("format",CONT_SUP[[#This Row],[DateTo]])="D1",0,1)</f>
        <v>0</v>
      </c>
      <c r="U346" s="57">
        <f>IF(OR(CONT_SUP[[#This Row],[MatEditOnly]]=TRUE,CONT_SUP[[#This Row],[MatEditOnly]]=FALSE),IF(OR(CONT_SUP[[#This Row],[NoIncrement]]=TRUE,CONT_SUP[[#This Row],[NoIncrement]]=FALSE),0,1),1)</f>
        <v>0</v>
      </c>
      <c r="V346" s="57">
        <f>IF(ISBLANK(CONT_SUP[[#This Row],[FundCode]])=TRUE,0,IF(COUNTIF(FUNDS[FundCode],CONT_SUP[[#This Row],[FundCode]])=1,0,1))</f>
        <v>0</v>
      </c>
      <c r="W346" s="57">
        <f>IF(LEN(CONT_SUP[[#This Row],[Notes]])&lt;4000,0,1)</f>
        <v>0</v>
      </c>
      <c r="X346" s="57">
        <f>IF(SUBSTITUTE(TEXT(CONT_SUP[[#This Row],[Reference]],10)," ","")=TEXT(CONT_SUP[[#This Row],[Reference]],10),0,1)</f>
        <v>0</v>
      </c>
      <c r="Y346" s="57">
        <f ca="1">SUM(CONT_SUP[[#This Row],[Duplicate Contract]:[Space in Code]])</f>
        <v>0</v>
      </c>
      <c r="AA346" s="12" t="s">
        <v>2126</v>
      </c>
      <c r="AB346" s="12">
        <v>10014615</v>
      </c>
      <c r="AC346" s="12">
        <v>106824</v>
      </c>
      <c r="AD346" s="57" t="str">
        <f>_xlfn.XLOOKUP(CONT_SUP[[#This Row],[StaffMemberCode]],StaffMembers!O:O,StaffMembers!R:R)</f>
        <v>Stephanie Palin</v>
      </c>
      <c r="AE346" s="12" t="s">
        <v>4199</v>
      </c>
      <c r="AF346" s="57">
        <f>_xlfn.XLOOKUP(CONT_SUP[[#This Row],[SRG]],SRG[StaffRoleGroupCode],SRG[GrossSalaryFinanceCode])</f>
        <v>619100</v>
      </c>
      <c r="AG346" s="57" t="str">
        <f>_xlfn.XLOOKUP(CONT_SUP[[#This Row],[StaffRoleCode]],ROLES[StaffRoleCode],ROLES[StaffRoleGroupCode])</f>
        <v>EDS</v>
      </c>
      <c r="AH346" s="57" t="str">
        <f>_xlfn.XLOOKUP(CONT_SUP[[#This Row],[StaffRoleCode]],ROLES[StaffRoleCode],ROLES[PayScaleCode])</f>
        <v>NJC_CHE</v>
      </c>
      <c r="AI346" s="12" t="s">
        <v>3124</v>
      </c>
      <c r="AJ346" s="12">
        <v>12</v>
      </c>
      <c r="AK346" s="12" t="s">
        <v>2482</v>
      </c>
      <c r="AM346" s="68" t="s">
        <v>3132</v>
      </c>
      <c r="AN346" s="12" t="s">
        <v>3134</v>
      </c>
      <c r="AO346" s="21">
        <v>46023</v>
      </c>
      <c r="AQ346" s="12">
        <v>37</v>
      </c>
      <c r="AR346" t="b">
        <v>0</v>
      </c>
      <c r="AS346" t="b">
        <v>0</v>
      </c>
      <c r="AT346" s="12" t="s">
        <v>1574</v>
      </c>
    </row>
    <row r="347" spans="1:46" x14ac:dyDescent="0.3">
      <c r="A347" s="57" t="str">
        <f t="shared" si="11"/>
        <v>MLB10011990110352APPSESS46023</v>
      </c>
      <c r="B347" s="57">
        <f>COUNTIF(CONT_SUP[Unique Contract],CONT_SUP[[#This Row],[Unique Contract]])-1</f>
        <v>0</v>
      </c>
      <c r="C347" s="57">
        <f>IFERROR(IF(FIND(CONT_SUP[[#This Row],[SchoolCode]],_xlfn.XLOOKUP(CONT_SUP[[#This Row],[StaffMemberCode]],MEMBERS[StaffMemberCode],MEMBERS[SchoolCodes]))&gt;0,0,1),1)</f>
        <v>0</v>
      </c>
      <c r="D347" s="57" cm="1">
        <f t="array" ref="D347">IF(_xlfn.XLOOKUP(CONT_SUP[[#This Row],[StaffRoleCode]],ROLES[StaffRoleCode],ROLES[AvailableToAllSchools],1,0,)=TRUE,0,IF(ISERROR(FIND(CONT_SUP[[#This Row],[SchoolCode]],_xlfn.TEXTJOIN(",",TRUE,_xlfn.UNIQUE(IF(ROLES[StaffRoleCode]=CONT_SUP[[#This Row],[StaffRoleCode]],ROLES[SchoolCodes],""))))),1,0))</f>
        <v>0</v>
      </c>
      <c r="E347" s="57" cm="1">
        <f t="array" ref="E34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47" s="57" cm="1">
        <f t="array" ref="F347">IF(_xlfn.XLOOKUP(CONT_SUP[[#This Row],[PayScaleCode]],PAYSCALES[PayScaleCode],PAYSCALES[AvailableToAllSchools],1,0,)=TRUE,0,IF(ISERROR(FIND(CONT_SUP[[#This Row],[SchoolCode]],_xlfn.TEXTJOIN(",",TRUE,_xlfn.UNIQUE(IF(PAYSCALES[PayScaleCode]=CONT_SUP[[#This Row],[PayScaleCode]],PAYSCALES[SchoolCodes],""))))),1,0))</f>
        <v>0</v>
      </c>
      <c r="G347" s="57">
        <f>IF(_xlfn.XLOOKUP(CONT_SUP[[#This Row],[PayScaleGradeCode]],GRADES[PayScaleGradeCode],GRADES[AvailableToAllSchools])=TRUE,0,IFERROR(IF(FIND(CONT_SUP[[#This Row],[SchoolCode]],_xlfn.XLOOKUP(CONT_SUP[[#This Row],[PayScaleGradeCode]],GRADES[PayScaleGradeCode],GRADES[SchoolCodes]))&gt;=1,0,1),1))</f>
        <v>0</v>
      </c>
      <c r="H347" s="57">
        <f>IF(ISERROR(IF((_xlfn.XLOOKUP(CONT_SUP[[#This Row],[PayScaleGradeCode]],GRADES[PayScaleGradeCode],GRADES[PayScaleCode])=CONT_SUP[[#This Row],[PayScaleCode]]),0,1)),1,0)</f>
        <v>0</v>
      </c>
      <c r="I347" s="57" cm="1">
        <f t="array" ref="I347">IF(ISERROR(FIND(CONT_SUP[[#This Row],[PayScalePointCode]],_xlfn.TEXTJOIN(",",TRUE,IF(PSPOINTS[PayScaleCode]=CONT_SUP[[#This Row],[PayScaleCode]],PSPOINTS[PayScalePointCode])))),1,0)</f>
        <v>0</v>
      </c>
      <c r="J347" s="57" cm="1">
        <f t="array" ref="J34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47" s="57">
        <f>IF(_xlfn.XLOOKUP(CONT_SUP[[#This Row],[PayScalePointCode]],PSPOINTS[PayScalePointCode],PSPOINTS[PayScalePointEnabled])=TRUE,0,1)</f>
        <v>0</v>
      </c>
      <c r="L347" s="57" cm="1">
        <f t="array" ref="L347">IF(_xlfn.XLOOKUP(CONT_SUP[[#This Row],[DepartmentCode]],DEPTS[DepartmentCode],DEPTS[AvailableToAllSchools],1,0,)=TRUE,0,IF(ISERROR(FIND(CONT_SUP[[#This Row],[SchoolCode]],_xlfn.TEXTJOIN(",",TRUE,_xlfn.UNIQUE(IF(DEPTS[DepartmentCode]=CONT_SUP[[#This Row],[DepartmentCode]],DEPTS[SchoolCodes],""))))),1,0))</f>
        <v>0</v>
      </c>
      <c r="M347" s="57">
        <f>IFERROR(IF(_xlfn.XLOOKUP(CONT_SUP[[#This Row],[SRG Gross]],FinanceCodesBudget[FinanceCode],FinanceCodesBudget[LedgerCode])=_xlfn.XLOOKUP(CONT_SUP[[#This Row],[DepartmentCode]],DEPTS[DepartmentCode],DEPTS[LedgerCode]),0,1),1)</f>
        <v>0</v>
      </c>
      <c r="N347" s="57" cm="1">
        <f t="array" ref="N347">IF(_xlfn.XLOOKUP(CONT_SUP[[#This Row],[PensionCode]],PENS[PensionCode],PENS[AvailableToAllSchools],1,0,)=TRUE,0,IF(ISERROR(FIND(CONT_SUP[[#This Row],[SchoolCode]],_xlfn.TEXTJOIN(",",TRUE,_xlfn.UNIQUE(IF(PENS[PensionCode]=CONT_SUP[[#This Row],[PensionCode]],PENS[SchoolCodes],""))))),1,0))</f>
        <v>0</v>
      </c>
      <c r="O347" s="57" cm="1">
        <f t="array" ref="O347">IF(_xlfn.XLOOKUP(CONT_SUP[[#This Row],[EquatedWeekPatternCode]],EQW[EquatedWeekPatternCode],EQW[AvailableToAllSchools],1,0,)=TRUE,0,IF(ISERROR(FIND(CONT_SUP[[#This Row],[SchoolCode]],_xlfn.TEXTJOIN(",",TRUE,_xlfn.UNIQUE(IF(EQW[EquatedWeekPatternCode]=CONT_SUP[[#This Row],[EquatedWeekPatternCode]],EQW[SchoolCodes],""))))),1,0))</f>
        <v>0</v>
      </c>
      <c r="P347" s="57">
        <f>1-COUNTIF(ContractTypes[Code],CONT_SUP[[#This Row],[ContractTypeCode]])</f>
        <v>0</v>
      </c>
      <c r="Q347" s="57">
        <f>IF(VLOOKUP(CONT_SUP[[#This Row],[StaffMemberCode]],MEMBERS[[StaffMemberCode]:[ServiceStartDate]],5,0)&gt;CONT_SUP[[#This Row],[DateFrom]],1,0)</f>
        <v>0</v>
      </c>
      <c r="R347" s="57">
        <f>IF(_xlfn.XLOOKUP(CONT_SUP[[#This Row],[StaffMemberCode]],MEMBERS[StaffMemberCode],MEMBERS[ServiceEndDate])="",0,IF(CONT_SUP[[#This Row],[DateTo]]="",1,IF(_xlfn.XLOOKUP(CONT_SUP[[#This Row],[StaffMemberCode]],MEMBERS[StaffMemberCode],MEMBERS[ServiceEndDate])&lt;CONT_SUP[[#This Row],[DateTo]],1,0)))</f>
        <v>0</v>
      </c>
      <c r="S347" s="57">
        <f>IF(ISBLANK(CONT_SUP[[#This Row],[DateTo]]),0,IF(CONT_SUP[[#This Row],[DateFrom]]=CONT_SUP[[#This Row],[DateTo]],0,IF(CONT_SUP[[#This Row],[DateFrom]]&lt;CONT_SUP[[#This Row],[DateTo]],0,1)))</f>
        <v>0</v>
      </c>
      <c r="T347" s="57" cm="1">
        <f t="array" aca="1" ref="T347" ca="1">IF(CELL("format",CONT_SUP[[#This Row],[DateFrom]])="D1",0,1)+IF(CELL("format",CONT_SUP[[#This Row],[DateTo]])="D1",0,1)</f>
        <v>0</v>
      </c>
      <c r="U347" s="57">
        <f>IF(OR(CONT_SUP[[#This Row],[MatEditOnly]]=TRUE,CONT_SUP[[#This Row],[MatEditOnly]]=FALSE),IF(OR(CONT_SUP[[#This Row],[NoIncrement]]=TRUE,CONT_SUP[[#This Row],[NoIncrement]]=FALSE),0,1),1)</f>
        <v>0</v>
      </c>
      <c r="V347" s="57">
        <f>IF(ISBLANK(CONT_SUP[[#This Row],[FundCode]])=TRUE,0,IF(COUNTIF(FUNDS[FundCode],CONT_SUP[[#This Row],[FundCode]])=1,0,1))</f>
        <v>0</v>
      </c>
      <c r="W347" s="57">
        <f>IF(LEN(CONT_SUP[[#This Row],[Notes]])&lt;4000,0,1)</f>
        <v>0</v>
      </c>
      <c r="X347" s="57">
        <f>IF(SUBSTITUTE(TEXT(CONT_SUP[[#This Row],[Reference]],10)," ","")=TEXT(CONT_SUP[[#This Row],[Reference]],10),0,1)</f>
        <v>0</v>
      </c>
      <c r="Y347" s="57">
        <f ca="1">SUM(CONT_SUP[[#This Row],[Duplicate Contract]:[Space in Code]])</f>
        <v>0</v>
      </c>
      <c r="AA347" s="12" t="s">
        <v>2126</v>
      </c>
      <c r="AB347" s="12">
        <v>10011990</v>
      </c>
      <c r="AC347" s="12">
        <v>110352</v>
      </c>
      <c r="AD347" s="57" t="str">
        <f>_xlfn.XLOOKUP(CONT_SUP[[#This Row],[StaffMemberCode]],StaffMembers!O:O,StaffMembers!R:R)</f>
        <v>Bradley Hollinshead</v>
      </c>
      <c r="AE347" s="12" t="s">
        <v>4162</v>
      </c>
      <c r="AF347" s="57">
        <f>_xlfn.XLOOKUP(CONT_SUP[[#This Row],[SRG]],SRG[StaffRoleGroupCode],SRG[GrossSalaryFinanceCode])</f>
        <v>619100</v>
      </c>
      <c r="AG347" s="57" t="str">
        <f>_xlfn.XLOOKUP(CONT_SUP[[#This Row],[StaffRoleCode]],ROLES[StaffRoleCode],ROLES[StaffRoleGroupCode])</f>
        <v>EDS</v>
      </c>
      <c r="AH347" s="57" t="str">
        <f>_xlfn.XLOOKUP(CONT_SUP[[#This Row],[StaffRoleCode]],ROLES[StaffRoleCode],ROLES[PayScaleCode])</f>
        <v>APP_NMW</v>
      </c>
      <c r="AI347" s="12" t="s">
        <v>1601</v>
      </c>
      <c r="AJ347" s="12" t="s">
        <v>1605</v>
      </c>
      <c r="AK347" s="12" t="s">
        <v>2482</v>
      </c>
      <c r="AM347" s="68" t="s">
        <v>3132</v>
      </c>
      <c r="AN347" s="12" t="s">
        <v>3135</v>
      </c>
      <c r="AO347" s="21">
        <v>46023</v>
      </c>
      <c r="AQ347" s="12">
        <v>37</v>
      </c>
      <c r="AR347" t="b">
        <v>0</v>
      </c>
      <c r="AS347" t="b">
        <v>0</v>
      </c>
      <c r="AT347" s="12" t="s">
        <v>4162</v>
      </c>
    </row>
    <row r="348" spans="1:46" x14ac:dyDescent="0.3">
      <c r="A348" s="57" t="str">
        <f t="shared" si="11"/>
        <v>MLB10013228112090ROOM_SUPSESS46023</v>
      </c>
      <c r="B348" s="57">
        <f>COUNTIF(CONT_SUP[Unique Contract],CONT_SUP[[#This Row],[Unique Contract]])-1</f>
        <v>0</v>
      </c>
      <c r="C348" s="57">
        <f>IFERROR(IF(FIND(CONT_SUP[[#This Row],[SchoolCode]],_xlfn.XLOOKUP(CONT_SUP[[#This Row],[StaffMemberCode]],MEMBERS[StaffMemberCode],MEMBERS[SchoolCodes]))&gt;0,0,1),1)</f>
        <v>0</v>
      </c>
      <c r="D348" s="57" cm="1">
        <f t="array" ref="D348">IF(_xlfn.XLOOKUP(CONT_SUP[[#This Row],[StaffRoleCode]],ROLES[StaffRoleCode],ROLES[AvailableToAllSchools],1,0,)=TRUE,0,IF(ISERROR(FIND(CONT_SUP[[#This Row],[SchoolCode]],_xlfn.TEXTJOIN(",",TRUE,_xlfn.UNIQUE(IF(ROLES[StaffRoleCode]=CONT_SUP[[#This Row],[StaffRoleCode]],ROLES[SchoolCodes],""))))),1,0))</f>
        <v>0</v>
      </c>
      <c r="E348" s="57" cm="1">
        <f t="array" ref="E34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48" s="57" cm="1">
        <f t="array" ref="F348">IF(_xlfn.XLOOKUP(CONT_SUP[[#This Row],[PayScaleCode]],PAYSCALES[PayScaleCode],PAYSCALES[AvailableToAllSchools],1,0,)=TRUE,0,IF(ISERROR(FIND(CONT_SUP[[#This Row],[SchoolCode]],_xlfn.TEXTJOIN(",",TRUE,_xlfn.UNIQUE(IF(PAYSCALES[PayScaleCode]=CONT_SUP[[#This Row],[PayScaleCode]],PAYSCALES[SchoolCodes],""))))),1,0))</f>
        <v>0</v>
      </c>
      <c r="G348" s="57">
        <f>IF(_xlfn.XLOOKUP(CONT_SUP[[#This Row],[PayScaleGradeCode]],GRADES[PayScaleGradeCode],GRADES[AvailableToAllSchools])=TRUE,0,IFERROR(IF(FIND(CONT_SUP[[#This Row],[SchoolCode]],_xlfn.XLOOKUP(CONT_SUP[[#This Row],[PayScaleGradeCode]],GRADES[PayScaleGradeCode],GRADES[SchoolCodes]))&gt;=1,0,1),1))</f>
        <v>0</v>
      </c>
      <c r="H348" s="57">
        <f>IF(ISERROR(IF((_xlfn.XLOOKUP(CONT_SUP[[#This Row],[PayScaleGradeCode]],GRADES[PayScaleGradeCode],GRADES[PayScaleCode])=CONT_SUP[[#This Row],[PayScaleCode]]),0,1)),1,0)</f>
        <v>0</v>
      </c>
      <c r="I348" s="57" cm="1">
        <f t="array" ref="I348">IF(ISERROR(FIND(CONT_SUP[[#This Row],[PayScalePointCode]],_xlfn.TEXTJOIN(",",TRUE,IF(PSPOINTS[PayScaleCode]=CONT_SUP[[#This Row],[PayScaleCode]],PSPOINTS[PayScalePointCode])))),1,0)</f>
        <v>0</v>
      </c>
      <c r="J348" s="57" cm="1">
        <f t="array" ref="J34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48" s="57">
        <f>IF(_xlfn.XLOOKUP(CONT_SUP[[#This Row],[PayScalePointCode]],PSPOINTS[PayScalePointCode],PSPOINTS[PayScalePointEnabled])=TRUE,0,1)</f>
        <v>0</v>
      </c>
      <c r="L348" s="57" cm="1">
        <f t="array" ref="L348">IF(_xlfn.XLOOKUP(CONT_SUP[[#This Row],[DepartmentCode]],DEPTS[DepartmentCode],DEPTS[AvailableToAllSchools],1,0,)=TRUE,0,IF(ISERROR(FIND(CONT_SUP[[#This Row],[SchoolCode]],_xlfn.TEXTJOIN(",",TRUE,_xlfn.UNIQUE(IF(DEPTS[DepartmentCode]=CONT_SUP[[#This Row],[DepartmentCode]],DEPTS[SchoolCodes],""))))),1,0))</f>
        <v>0</v>
      </c>
      <c r="M348" s="57">
        <f>IFERROR(IF(_xlfn.XLOOKUP(CONT_SUP[[#This Row],[SRG Gross]],FinanceCodesBudget[FinanceCode],FinanceCodesBudget[LedgerCode])=_xlfn.XLOOKUP(CONT_SUP[[#This Row],[DepartmentCode]],DEPTS[DepartmentCode],DEPTS[LedgerCode]),0,1),1)</f>
        <v>0</v>
      </c>
      <c r="N348" s="57" cm="1">
        <f t="array" ref="N348">IF(_xlfn.XLOOKUP(CONT_SUP[[#This Row],[PensionCode]],PENS[PensionCode],PENS[AvailableToAllSchools],1,0,)=TRUE,0,IF(ISERROR(FIND(CONT_SUP[[#This Row],[SchoolCode]],_xlfn.TEXTJOIN(",",TRUE,_xlfn.UNIQUE(IF(PENS[PensionCode]=CONT_SUP[[#This Row],[PensionCode]],PENS[SchoolCodes],""))))),1,0))</f>
        <v>0</v>
      </c>
      <c r="O348" s="57" cm="1">
        <f t="array" ref="O348">IF(_xlfn.XLOOKUP(CONT_SUP[[#This Row],[EquatedWeekPatternCode]],EQW[EquatedWeekPatternCode],EQW[AvailableToAllSchools],1,0,)=TRUE,0,IF(ISERROR(FIND(CONT_SUP[[#This Row],[SchoolCode]],_xlfn.TEXTJOIN(",",TRUE,_xlfn.UNIQUE(IF(EQW[EquatedWeekPatternCode]=CONT_SUP[[#This Row],[EquatedWeekPatternCode]],EQW[SchoolCodes],""))))),1,0))</f>
        <v>0</v>
      </c>
      <c r="P348" s="57">
        <f>1-COUNTIF(ContractTypes[Code],CONT_SUP[[#This Row],[ContractTypeCode]])</f>
        <v>0</v>
      </c>
      <c r="Q348" s="57">
        <f>IF(VLOOKUP(CONT_SUP[[#This Row],[StaffMemberCode]],MEMBERS[[StaffMemberCode]:[ServiceStartDate]],5,0)&gt;CONT_SUP[[#This Row],[DateFrom]],1,0)</f>
        <v>0</v>
      </c>
      <c r="R348" s="57">
        <f>IF(_xlfn.XLOOKUP(CONT_SUP[[#This Row],[StaffMemberCode]],MEMBERS[StaffMemberCode],MEMBERS[ServiceEndDate])="",0,IF(CONT_SUP[[#This Row],[DateTo]]="",1,IF(_xlfn.XLOOKUP(CONT_SUP[[#This Row],[StaffMemberCode]],MEMBERS[StaffMemberCode],MEMBERS[ServiceEndDate])&lt;CONT_SUP[[#This Row],[DateTo]],1,0)))</f>
        <v>0</v>
      </c>
      <c r="S348" s="57">
        <f>IF(ISBLANK(CONT_SUP[[#This Row],[DateTo]]),0,IF(CONT_SUP[[#This Row],[DateFrom]]=CONT_SUP[[#This Row],[DateTo]],0,IF(CONT_SUP[[#This Row],[DateFrom]]&lt;CONT_SUP[[#This Row],[DateTo]],0,1)))</f>
        <v>0</v>
      </c>
      <c r="T348" s="57" cm="1">
        <f t="array" aca="1" ref="T348" ca="1">IF(CELL("format",CONT_SUP[[#This Row],[DateFrom]])="D1",0,1)+IF(CELL("format",CONT_SUP[[#This Row],[DateTo]])="D1",0,1)</f>
        <v>0</v>
      </c>
      <c r="U348" s="57">
        <f>IF(OR(CONT_SUP[[#This Row],[MatEditOnly]]=TRUE,CONT_SUP[[#This Row],[MatEditOnly]]=FALSE),IF(OR(CONT_SUP[[#This Row],[NoIncrement]]=TRUE,CONT_SUP[[#This Row],[NoIncrement]]=FALSE),0,1),1)</f>
        <v>0</v>
      </c>
      <c r="V348" s="57">
        <f>IF(ISBLANK(CONT_SUP[[#This Row],[FundCode]])=TRUE,0,IF(COUNTIF(FUNDS[FundCode],CONT_SUP[[#This Row],[FundCode]])=1,0,1))</f>
        <v>0</v>
      </c>
      <c r="W348" s="57">
        <f>IF(LEN(CONT_SUP[[#This Row],[Notes]])&lt;4000,0,1)</f>
        <v>0</v>
      </c>
      <c r="X348" s="57">
        <f>IF(SUBSTITUTE(TEXT(CONT_SUP[[#This Row],[Reference]],10)," ","")=TEXT(CONT_SUP[[#This Row],[Reference]],10),0,1)</f>
        <v>0</v>
      </c>
      <c r="Y348" s="57">
        <f ca="1">SUM(CONT_SUP[[#This Row],[Duplicate Contract]:[Space in Code]])</f>
        <v>0</v>
      </c>
      <c r="AA348" s="12" t="s">
        <v>2126</v>
      </c>
      <c r="AB348" s="12">
        <v>10013228</v>
      </c>
      <c r="AC348" s="12">
        <v>112090</v>
      </c>
      <c r="AD348" s="57" t="str">
        <f>_xlfn.XLOOKUP(CONT_SUP[[#This Row],[StaffMemberCode]],StaffMembers!O:O,StaffMembers!R:R)</f>
        <v>Katie Hassall</v>
      </c>
      <c r="AE348" s="12" t="s">
        <v>4204</v>
      </c>
      <c r="AF348" s="57">
        <f>_xlfn.XLOOKUP(CONT_SUP[[#This Row],[SRG]],SRG[StaffRoleGroupCode],SRG[GrossSalaryFinanceCode])</f>
        <v>619100</v>
      </c>
      <c r="AG348" s="57" t="str">
        <f>_xlfn.XLOOKUP(CONT_SUP[[#This Row],[StaffRoleCode]],ROLES[StaffRoleCode],ROLES[StaffRoleGroupCode])</f>
        <v>EDS</v>
      </c>
      <c r="AH348" s="57" t="str">
        <f>_xlfn.XLOOKUP(CONT_SUP[[#This Row],[StaffRoleCode]],ROLES[StaffRoleCode],ROLES[PayScaleCode])</f>
        <v>NJC_CHE</v>
      </c>
      <c r="AI348" s="12" t="s">
        <v>3124</v>
      </c>
      <c r="AJ348" s="12">
        <v>12</v>
      </c>
      <c r="AK348" s="12" t="s">
        <v>2482</v>
      </c>
      <c r="AM348" s="68" t="s">
        <v>3132</v>
      </c>
      <c r="AN348" s="12" t="s">
        <v>3135</v>
      </c>
      <c r="AO348" s="21">
        <v>46023</v>
      </c>
      <c r="AQ348" s="12">
        <v>37</v>
      </c>
      <c r="AR348" t="b">
        <v>0</v>
      </c>
      <c r="AS348" t="b">
        <v>0</v>
      </c>
      <c r="AT348" s="12" t="s">
        <v>1574</v>
      </c>
    </row>
    <row r="349" spans="1:46" x14ac:dyDescent="0.3">
      <c r="A349" s="57" t="str">
        <f t="shared" si="11"/>
        <v>MLB10006414115285SEN_OP_LDSESS46023</v>
      </c>
      <c r="B349" s="57">
        <f>COUNTIF(CONT_SUP[Unique Contract],CONT_SUP[[#This Row],[Unique Contract]])-1</f>
        <v>0</v>
      </c>
      <c r="C349" s="57">
        <f>IFERROR(IF(FIND(CONT_SUP[[#This Row],[SchoolCode]],_xlfn.XLOOKUP(CONT_SUP[[#This Row],[StaffMemberCode]],MEMBERS[StaffMemberCode],MEMBERS[SchoolCodes]))&gt;0,0,1),1)</f>
        <v>0</v>
      </c>
      <c r="D349" s="57" cm="1">
        <f t="array" ref="D349">IF(_xlfn.XLOOKUP(CONT_SUP[[#This Row],[StaffRoleCode]],ROLES[StaffRoleCode],ROLES[AvailableToAllSchools],1,0,)=TRUE,0,IF(ISERROR(FIND(CONT_SUP[[#This Row],[SchoolCode]],_xlfn.TEXTJOIN(",",TRUE,_xlfn.UNIQUE(IF(ROLES[StaffRoleCode]=CONT_SUP[[#This Row],[StaffRoleCode]],ROLES[SchoolCodes],""))))),1,0))</f>
        <v>0</v>
      </c>
      <c r="E349" s="57" cm="1">
        <f t="array" ref="E34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49" s="57" cm="1">
        <f t="array" ref="F349">IF(_xlfn.XLOOKUP(CONT_SUP[[#This Row],[PayScaleCode]],PAYSCALES[PayScaleCode],PAYSCALES[AvailableToAllSchools],1,0,)=TRUE,0,IF(ISERROR(FIND(CONT_SUP[[#This Row],[SchoolCode]],_xlfn.TEXTJOIN(",",TRUE,_xlfn.UNIQUE(IF(PAYSCALES[PayScaleCode]=CONT_SUP[[#This Row],[PayScaleCode]],PAYSCALES[SchoolCodes],""))))),1,0))</f>
        <v>0</v>
      </c>
      <c r="G349" s="57">
        <f>IF(_xlfn.XLOOKUP(CONT_SUP[[#This Row],[PayScaleGradeCode]],GRADES[PayScaleGradeCode],GRADES[AvailableToAllSchools])=TRUE,0,IFERROR(IF(FIND(CONT_SUP[[#This Row],[SchoolCode]],_xlfn.XLOOKUP(CONT_SUP[[#This Row],[PayScaleGradeCode]],GRADES[PayScaleGradeCode],GRADES[SchoolCodes]))&gt;=1,0,1),1))</f>
        <v>0</v>
      </c>
      <c r="H349" s="57">
        <f>IF(ISERROR(IF((_xlfn.XLOOKUP(CONT_SUP[[#This Row],[PayScaleGradeCode]],GRADES[PayScaleGradeCode],GRADES[PayScaleCode])=CONT_SUP[[#This Row],[PayScaleCode]]),0,1)),1,0)</f>
        <v>0</v>
      </c>
      <c r="I349" s="57" cm="1">
        <f t="array" ref="I349">IF(ISERROR(FIND(CONT_SUP[[#This Row],[PayScalePointCode]],_xlfn.TEXTJOIN(",",TRUE,IF(PSPOINTS[PayScaleCode]=CONT_SUP[[#This Row],[PayScaleCode]],PSPOINTS[PayScalePointCode])))),1,0)</f>
        <v>0</v>
      </c>
      <c r="J349" s="57" cm="1">
        <f t="array" ref="J34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49" s="57">
        <f>IF(_xlfn.XLOOKUP(CONT_SUP[[#This Row],[PayScalePointCode]],PSPOINTS[PayScalePointCode],PSPOINTS[PayScalePointEnabled])=TRUE,0,1)</f>
        <v>0</v>
      </c>
      <c r="L349" s="57" cm="1">
        <f t="array" ref="L349">IF(_xlfn.XLOOKUP(CONT_SUP[[#This Row],[DepartmentCode]],DEPTS[DepartmentCode],DEPTS[AvailableToAllSchools],1,0,)=TRUE,0,IF(ISERROR(FIND(CONT_SUP[[#This Row],[SchoolCode]],_xlfn.TEXTJOIN(",",TRUE,_xlfn.UNIQUE(IF(DEPTS[DepartmentCode]=CONT_SUP[[#This Row],[DepartmentCode]],DEPTS[SchoolCodes],""))))),1,0))</f>
        <v>0</v>
      </c>
      <c r="M349" s="57">
        <f>IFERROR(IF(_xlfn.XLOOKUP(CONT_SUP[[#This Row],[SRG Gross]],FinanceCodesBudget[FinanceCode],FinanceCodesBudget[LedgerCode])=_xlfn.XLOOKUP(CONT_SUP[[#This Row],[DepartmentCode]],DEPTS[DepartmentCode],DEPTS[LedgerCode]),0,1),1)</f>
        <v>0</v>
      </c>
      <c r="N349" s="57" cm="1">
        <f t="array" ref="N349">IF(_xlfn.XLOOKUP(CONT_SUP[[#This Row],[PensionCode]],PENS[PensionCode],PENS[AvailableToAllSchools],1,0,)=TRUE,0,IF(ISERROR(FIND(CONT_SUP[[#This Row],[SchoolCode]],_xlfn.TEXTJOIN(",",TRUE,_xlfn.UNIQUE(IF(PENS[PensionCode]=CONT_SUP[[#This Row],[PensionCode]],PENS[SchoolCodes],""))))),1,0))</f>
        <v>0</v>
      </c>
      <c r="O349" s="57" cm="1">
        <f t="array" ref="O349">IF(_xlfn.XLOOKUP(CONT_SUP[[#This Row],[EquatedWeekPatternCode]],EQW[EquatedWeekPatternCode],EQW[AvailableToAllSchools],1,0,)=TRUE,0,IF(ISERROR(FIND(CONT_SUP[[#This Row],[SchoolCode]],_xlfn.TEXTJOIN(",",TRUE,_xlfn.UNIQUE(IF(EQW[EquatedWeekPatternCode]=CONT_SUP[[#This Row],[EquatedWeekPatternCode]],EQW[SchoolCodes],""))))),1,0))</f>
        <v>0</v>
      </c>
      <c r="P349" s="57">
        <f>1-COUNTIF(ContractTypes[Code],CONT_SUP[[#This Row],[ContractTypeCode]])</f>
        <v>0</v>
      </c>
      <c r="Q349" s="57">
        <f>IF(VLOOKUP(CONT_SUP[[#This Row],[StaffMemberCode]],MEMBERS[[StaffMemberCode]:[ServiceStartDate]],5,0)&gt;CONT_SUP[[#This Row],[DateFrom]],1,0)</f>
        <v>0</v>
      </c>
      <c r="R349" s="57">
        <f>IF(_xlfn.XLOOKUP(CONT_SUP[[#This Row],[StaffMemberCode]],MEMBERS[StaffMemberCode],MEMBERS[ServiceEndDate])="",0,IF(CONT_SUP[[#This Row],[DateTo]]="",1,IF(_xlfn.XLOOKUP(CONT_SUP[[#This Row],[StaffMemberCode]],MEMBERS[StaffMemberCode],MEMBERS[ServiceEndDate])&lt;CONT_SUP[[#This Row],[DateTo]],1,0)))</f>
        <v>0</v>
      </c>
      <c r="S349" s="57">
        <f>IF(ISBLANK(CONT_SUP[[#This Row],[DateTo]]),0,IF(CONT_SUP[[#This Row],[DateFrom]]=CONT_SUP[[#This Row],[DateTo]],0,IF(CONT_SUP[[#This Row],[DateFrom]]&lt;CONT_SUP[[#This Row],[DateTo]],0,1)))</f>
        <v>0</v>
      </c>
      <c r="T349" s="57" cm="1">
        <f t="array" aca="1" ref="T349" ca="1">IF(CELL("format",CONT_SUP[[#This Row],[DateFrom]])="D1",0,1)+IF(CELL("format",CONT_SUP[[#This Row],[DateTo]])="D1",0,1)</f>
        <v>0</v>
      </c>
      <c r="U349" s="57">
        <f>IF(OR(CONT_SUP[[#This Row],[MatEditOnly]]=TRUE,CONT_SUP[[#This Row],[MatEditOnly]]=FALSE),IF(OR(CONT_SUP[[#This Row],[NoIncrement]]=TRUE,CONT_SUP[[#This Row],[NoIncrement]]=FALSE),0,1),1)</f>
        <v>0</v>
      </c>
      <c r="V349" s="57">
        <f>IF(ISBLANK(CONT_SUP[[#This Row],[FundCode]])=TRUE,0,IF(COUNTIF(FUNDS[FundCode],CONT_SUP[[#This Row],[FundCode]])=1,0,1))</f>
        <v>0</v>
      </c>
      <c r="W349" s="57">
        <f>IF(LEN(CONT_SUP[[#This Row],[Notes]])&lt;4000,0,1)</f>
        <v>0</v>
      </c>
      <c r="X349" s="57">
        <f>IF(SUBSTITUTE(TEXT(CONT_SUP[[#This Row],[Reference]],10)," ","")=TEXT(CONT_SUP[[#This Row],[Reference]],10),0,1)</f>
        <v>0</v>
      </c>
      <c r="Y349" s="57">
        <f ca="1">SUM(CONT_SUP[[#This Row],[Duplicate Contract]:[Space in Code]])</f>
        <v>0</v>
      </c>
      <c r="AA349" s="12" t="s">
        <v>2126</v>
      </c>
      <c r="AB349" s="12">
        <v>10006414</v>
      </c>
      <c r="AC349" s="12">
        <v>115285</v>
      </c>
      <c r="AD349" s="57" t="str">
        <f>_xlfn.XLOOKUP(CONT_SUP[[#This Row],[StaffMemberCode]],StaffMembers!O:O,StaffMembers!R:R)</f>
        <v>Michelle Perry</v>
      </c>
      <c r="AE349" s="12" t="s">
        <v>4206</v>
      </c>
      <c r="AF349" s="57">
        <f>_xlfn.XLOOKUP(CONT_SUP[[#This Row],[SRG]],SRG[StaffRoleGroupCode],SRG[GrossSalaryFinanceCode])</f>
        <v>619100</v>
      </c>
      <c r="AG349" s="57" t="str">
        <f>_xlfn.XLOOKUP(CONT_SUP[[#This Row],[StaffRoleCode]],ROLES[StaffRoleCode],ROLES[StaffRoleGroupCode])</f>
        <v>EDS</v>
      </c>
      <c r="AH349" s="57" t="str">
        <f>_xlfn.XLOOKUP(CONT_SUP[[#This Row],[StaffRoleCode]],ROLES[StaffRoleCode],ROLES[PayScaleCode])</f>
        <v>NJC_CHE</v>
      </c>
      <c r="AI349" s="12" t="s">
        <v>3126</v>
      </c>
      <c r="AJ349" s="12">
        <v>24</v>
      </c>
      <c r="AK349" s="12" t="s">
        <v>2482</v>
      </c>
      <c r="AM349" s="68" t="s">
        <v>3132</v>
      </c>
      <c r="AN349" s="12" t="s">
        <v>3135</v>
      </c>
      <c r="AO349" s="21">
        <v>46023</v>
      </c>
      <c r="AQ349" s="12">
        <v>37</v>
      </c>
      <c r="AR349" t="b">
        <v>0</v>
      </c>
      <c r="AS349" t="b">
        <v>0</v>
      </c>
      <c r="AT349" s="12" t="s">
        <v>1574</v>
      </c>
    </row>
    <row r="350" spans="1:46" x14ac:dyDescent="0.3">
      <c r="A350" s="57" t="str">
        <f t="shared" si="11"/>
        <v>MLB10006805112122KS_LMSESS46023</v>
      </c>
      <c r="B350" s="57">
        <f>COUNTIF(CONT_SUP[Unique Contract],CONT_SUP[[#This Row],[Unique Contract]])-1</f>
        <v>0</v>
      </c>
      <c r="C350" s="57">
        <f>IFERROR(IF(FIND(CONT_SUP[[#This Row],[SchoolCode]],_xlfn.XLOOKUP(CONT_SUP[[#This Row],[StaffMemberCode]],MEMBERS[StaffMemberCode],MEMBERS[SchoolCodes]))&gt;0,0,1),1)</f>
        <v>0</v>
      </c>
      <c r="D350" s="57" cm="1">
        <f t="array" ref="D350">IF(_xlfn.XLOOKUP(CONT_SUP[[#This Row],[StaffRoleCode]],ROLES[StaffRoleCode],ROLES[AvailableToAllSchools],1,0,)=TRUE,0,IF(ISERROR(FIND(CONT_SUP[[#This Row],[SchoolCode]],_xlfn.TEXTJOIN(",",TRUE,_xlfn.UNIQUE(IF(ROLES[StaffRoleCode]=CONT_SUP[[#This Row],[StaffRoleCode]],ROLES[SchoolCodes],""))))),1,0))</f>
        <v>0</v>
      </c>
      <c r="E350" s="57" cm="1">
        <f t="array" ref="E35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50" s="57" cm="1">
        <f t="array" ref="F350">IF(_xlfn.XLOOKUP(CONT_SUP[[#This Row],[PayScaleCode]],PAYSCALES[PayScaleCode],PAYSCALES[AvailableToAllSchools],1,0,)=TRUE,0,IF(ISERROR(FIND(CONT_SUP[[#This Row],[SchoolCode]],_xlfn.TEXTJOIN(",",TRUE,_xlfn.UNIQUE(IF(PAYSCALES[PayScaleCode]=CONT_SUP[[#This Row],[PayScaleCode]],PAYSCALES[SchoolCodes],""))))),1,0))</f>
        <v>0</v>
      </c>
      <c r="G350" s="57">
        <f>IF(_xlfn.XLOOKUP(CONT_SUP[[#This Row],[PayScaleGradeCode]],GRADES[PayScaleGradeCode],GRADES[AvailableToAllSchools])=TRUE,0,IFERROR(IF(FIND(CONT_SUP[[#This Row],[SchoolCode]],_xlfn.XLOOKUP(CONT_SUP[[#This Row],[PayScaleGradeCode]],GRADES[PayScaleGradeCode],GRADES[SchoolCodes]))&gt;=1,0,1),1))</f>
        <v>0</v>
      </c>
      <c r="H350" s="57">
        <f>IF(ISERROR(IF((_xlfn.XLOOKUP(CONT_SUP[[#This Row],[PayScaleGradeCode]],GRADES[PayScaleGradeCode],GRADES[PayScaleCode])=CONT_SUP[[#This Row],[PayScaleCode]]),0,1)),1,0)</f>
        <v>0</v>
      </c>
      <c r="I350" s="57" cm="1">
        <f t="array" ref="I350">IF(ISERROR(FIND(CONT_SUP[[#This Row],[PayScalePointCode]],_xlfn.TEXTJOIN(",",TRUE,IF(PSPOINTS[PayScaleCode]=CONT_SUP[[#This Row],[PayScaleCode]],PSPOINTS[PayScalePointCode])))),1,0)</f>
        <v>0</v>
      </c>
      <c r="J350" s="57" cm="1">
        <f t="array" ref="J35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50" s="57">
        <f>IF(_xlfn.XLOOKUP(CONT_SUP[[#This Row],[PayScalePointCode]],PSPOINTS[PayScalePointCode],PSPOINTS[PayScalePointEnabled])=TRUE,0,1)</f>
        <v>0</v>
      </c>
      <c r="L350" s="57" cm="1">
        <f t="array" ref="L350">IF(_xlfn.XLOOKUP(CONT_SUP[[#This Row],[DepartmentCode]],DEPTS[DepartmentCode],DEPTS[AvailableToAllSchools],1,0,)=TRUE,0,IF(ISERROR(FIND(CONT_SUP[[#This Row],[SchoolCode]],_xlfn.TEXTJOIN(",",TRUE,_xlfn.UNIQUE(IF(DEPTS[DepartmentCode]=CONT_SUP[[#This Row],[DepartmentCode]],DEPTS[SchoolCodes],""))))),1,0))</f>
        <v>0</v>
      </c>
      <c r="M350" s="57">
        <f>IFERROR(IF(_xlfn.XLOOKUP(CONT_SUP[[#This Row],[SRG Gross]],FinanceCodesBudget[FinanceCode],FinanceCodesBudget[LedgerCode])=_xlfn.XLOOKUP(CONT_SUP[[#This Row],[DepartmentCode]],DEPTS[DepartmentCode],DEPTS[LedgerCode]),0,1),1)</f>
        <v>0</v>
      </c>
      <c r="N350" s="57" cm="1">
        <f t="array" ref="N350">IF(_xlfn.XLOOKUP(CONT_SUP[[#This Row],[PensionCode]],PENS[PensionCode],PENS[AvailableToAllSchools],1,0,)=TRUE,0,IF(ISERROR(FIND(CONT_SUP[[#This Row],[SchoolCode]],_xlfn.TEXTJOIN(",",TRUE,_xlfn.UNIQUE(IF(PENS[PensionCode]=CONT_SUP[[#This Row],[PensionCode]],PENS[SchoolCodes],""))))),1,0))</f>
        <v>0</v>
      </c>
      <c r="O350" s="57" cm="1">
        <f t="array" ref="O350">IF(_xlfn.XLOOKUP(CONT_SUP[[#This Row],[EquatedWeekPatternCode]],EQW[EquatedWeekPatternCode],EQW[AvailableToAllSchools],1,0,)=TRUE,0,IF(ISERROR(FIND(CONT_SUP[[#This Row],[SchoolCode]],_xlfn.TEXTJOIN(",",TRUE,_xlfn.UNIQUE(IF(EQW[EquatedWeekPatternCode]=CONT_SUP[[#This Row],[EquatedWeekPatternCode]],EQW[SchoolCodes],""))))),1,0))</f>
        <v>0</v>
      </c>
      <c r="P350" s="57">
        <f>1-COUNTIF(ContractTypes[Code],CONT_SUP[[#This Row],[ContractTypeCode]])</f>
        <v>0</v>
      </c>
      <c r="Q350" s="57">
        <f>IF(VLOOKUP(CONT_SUP[[#This Row],[StaffMemberCode]],MEMBERS[[StaffMemberCode]:[ServiceStartDate]],5,0)&gt;CONT_SUP[[#This Row],[DateFrom]],1,0)</f>
        <v>0</v>
      </c>
      <c r="R350" s="57">
        <f>IF(_xlfn.XLOOKUP(CONT_SUP[[#This Row],[StaffMemberCode]],MEMBERS[StaffMemberCode],MEMBERS[ServiceEndDate])="",0,IF(CONT_SUP[[#This Row],[DateTo]]="",1,IF(_xlfn.XLOOKUP(CONT_SUP[[#This Row],[StaffMemberCode]],MEMBERS[StaffMemberCode],MEMBERS[ServiceEndDate])&lt;CONT_SUP[[#This Row],[DateTo]],1,0)))</f>
        <v>0</v>
      </c>
      <c r="S350" s="57">
        <f>IF(ISBLANK(CONT_SUP[[#This Row],[DateTo]]),0,IF(CONT_SUP[[#This Row],[DateFrom]]=CONT_SUP[[#This Row],[DateTo]],0,IF(CONT_SUP[[#This Row],[DateFrom]]&lt;CONT_SUP[[#This Row],[DateTo]],0,1)))</f>
        <v>0</v>
      </c>
      <c r="T350" s="57" cm="1">
        <f t="array" aca="1" ref="T350" ca="1">IF(CELL("format",CONT_SUP[[#This Row],[DateFrom]])="D1",0,1)+IF(CELL("format",CONT_SUP[[#This Row],[DateTo]])="D1",0,1)</f>
        <v>0</v>
      </c>
      <c r="U350" s="57">
        <f>IF(OR(CONT_SUP[[#This Row],[MatEditOnly]]=TRUE,CONT_SUP[[#This Row],[MatEditOnly]]=FALSE),IF(OR(CONT_SUP[[#This Row],[NoIncrement]]=TRUE,CONT_SUP[[#This Row],[NoIncrement]]=FALSE),0,1),1)</f>
        <v>0</v>
      </c>
      <c r="V350" s="57">
        <f>IF(ISBLANK(CONT_SUP[[#This Row],[FundCode]])=TRUE,0,IF(COUNTIF(FUNDS[FundCode],CONT_SUP[[#This Row],[FundCode]])=1,0,1))</f>
        <v>0</v>
      </c>
      <c r="W350" s="57">
        <f>IF(LEN(CONT_SUP[[#This Row],[Notes]])&lt;4000,0,1)</f>
        <v>0</v>
      </c>
      <c r="X350" s="57">
        <f>IF(SUBSTITUTE(TEXT(CONT_SUP[[#This Row],[Reference]],10)," ","")=TEXT(CONT_SUP[[#This Row],[Reference]],10),0,1)</f>
        <v>0</v>
      </c>
      <c r="Y350" s="57">
        <f ca="1">SUM(CONT_SUP[[#This Row],[Duplicate Contract]:[Space in Code]])</f>
        <v>0</v>
      </c>
      <c r="AA350" s="12" t="s">
        <v>2126</v>
      </c>
      <c r="AB350" s="12">
        <v>10006805</v>
      </c>
      <c r="AC350" s="12">
        <v>112122</v>
      </c>
      <c r="AD350" s="57" t="str">
        <f>_xlfn.XLOOKUP(CONT_SUP[[#This Row],[StaffMemberCode]],StaffMembers!O:O,StaffMembers!R:R)</f>
        <v>Sadie Procter</v>
      </c>
      <c r="AE350" s="12" t="s">
        <v>4195</v>
      </c>
      <c r="AF350" s="57">
        <f>_xlfn.XLOOKUP(CONT_SUP[[#This Row],[SRG]],SRG[StaffRoleGroupCode],SRG[GrossSalaryFinanceCode])</f>
        <v>619100</v>
      </c>
      <c r="AG350" s="57" t="str">
        <f>_xlfn.XLOOKUP(CONT_SUP[[#This Row],[StaffRoleCode]],ROLES[StaffRoleCode],ROLES[StaffRoleGroupCode])</f>
        <v>EDS</v>
      </c>
      <c r="AH350" s="57" t="str">
        <f>_xlfn.XLOOKUP(CONT_SUP[[#This Row],[StaffRoleCode]],ROLES[StaffRoleCode],ROLES[PayScaleCode])</f>
        <v>NJC_CHE</v>
      </c>
      <c r="AI350" s="12" t="s">
        <v>3124</v>
      </c>
      <c r="AJ350" s="12">
        <v>13</v>
      </c>
      <c r="AK350" s="12" t="s">
        <v>2482</v>
      </c>
      <c r="AM350" s="68" t="s">
        <v>1149</v>
      </c>
      <c r="AN350" s="12" t="s">
        <v>3135</v>
      </c>
      <c r="AO350" s="21">
        <v>46023</v>
      </c>
      <c r="AQ350" s="12">
        <v>37</v>
      </c>
      <c r="AR350" t="b">
        <v>0</v>
      </c>
      <c r="AS350" t="b">
        <v>0</v>
      </c>
      <c r="AT350" s="12" t="s">
        <v>1574</v>
      </c>
    </row>
    <row r="351" spans="1:46" x14ac:dyDescent="0.3">
      <c r="A351" s="57" t="str">
        <f t="shared" si="11"/>
        <v>MLB10005313106081LIBSESS46023</v>
      </c>
      <c r="B351" s="57">
        <f>COUNTIF(CONT_SUP[Unique Contract],CONT_SUP[[#This Row],[Unique Contract]])-1</f>
        <v>0</v>
      </c>
      <c r="C351" s="57">
        <f>IFERROR(IF(FIND(CONT_SUP[[#This Row],[SchoolCode]],_xlfn.XLOOKUP(CONT_SUP[[#This Row],[StaffMemberCode]],MEMBERS[StaffMemberCode],MEMBERS[SchoolCodes]))&gt;0,0,1),1)</f>
        <v>0</v>
      </c>
      <c r="D351" s="57" cm="1">
        <f t="array" ref="D351">IF(_xlfn.XLOOKUP(CONT_SUP[[#This Row],[StaffRoleCode]],ROLES[StaffRoleCode],ROLES[AvailableToAllSchools],1,0,)=TRUE,0,IF(ISERROR(FIND(CONT_SUP[[#This Row],[SchoolCode]],_xlfn.TEXTJOIN(",",TRUE,_xlfn.UNIQUE(IF(ROLES[StaffRoleCode]=CONT_SUP[[#This Row],[StaffRoleCode]],ROLES[SchoolCodes],""))))),1,0))</f>
        <v>0</v>
      </c>
      <c r="E351" s="57" cm="1">
        <f t="array" ref="E35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51" s="57" cm="1">
        <f t="array" ref="F351">IF(_xlfn.XLOOKUP(CONT_SUP[[#This Row],[PayScaleCode]],PAYSCALES[PayScaleCode],PAYSCALES[AvailableToAllSchools],1,0,)=TRUE,0,IF(ISERROR(FIND(CONT_SUP[[#This Row],[SchoolCode]],_xlfn.TEXTJOIN(",",TRUE,_xlfn.UNIQUE(IF(PAYSCALES[PayScaleCode]=CONT_SUP[[#This Row],[PayScaleCode]],PAYSCALES[SchoolCodes],""))))),1,0))</f>
        <v>0</v>
      </c>
      <c r="G351" s="57">
        <f>IF(_xlfn.XLOOKUP(CONT_SUP[[#This Row],[PayScaleGradeCode]],GRADES[PayScaleGradeCode],GRADES[AvailableToAllSchools])=TRUE,0,IFERROR(IF(FIND(CONT_SUP[[#This Row],[SchoolCode]],_xlfn.XLOOKUP(CONT_SUP[[#This Row],[PayScaleGradeCode]],GRADES[PayScaleGradeCode],GRADES[SchoolCodes]))&gt;=1,0,1),1))</f>
        <v>0</v>
      </c>
      <c r="H351" s="57">
        <f>IF(ISERROR(IF((_xlfn.XLOOKUP(CONT_SUP[[#This Row],[PayScaleGradeCode]],GRADES[PayScaleGradeCode],GRADES[PayScaleCode])=CONT_SUP[[#This Row],[PayScaleCode]]),0,1)),1,0)</f>
        <v>0</v>
      </c>
      <c r="I351" s="57" cm="1">
        <f t="array" ref="I351">IF(ISERROR(FIND(CONT_SUP[[#This Row],[PayScalePointCode]],_xlfn.TEXTJOIN(",",TRUE,IF(PSPOINTS[PayScaleCode]=CONT_SUP[[#This Row],[PayScaleCode]],PSPOINTS[PayScalePointCode])))),1,0)</f>
        <v>0</v>
      </c>
      <c r="J351" s="57" cm="1">
        <f t="array" ref="J35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51" s="57">
        <f>IF(_xlfn.XLOOKUP(CONT_SUP[[#This Row],[PayScalePointCode]],PSPOINTS[PayScalePointCode],PSPOINTS[PayScalePointEnabled])=TRUE,0,1)</f>
        <v>0</v>
      </c>
      <c r="L351" s="57" cm="1">
        <f t="array" ref="L351">IF(_xlfn.XLOOKUP(CONT_SUP[[#This Row],[DepartmentCode]],DEPTS[DepartmentCode],DEPTS[AvailableToAllSchools],1,0,)=TRUE,0,IF(ISERROR(FIND(CONT_SUP[[#This Row],[SchoolCode]],_xlfn.TEXTJOIN(",",TRUE,_xlfn.UNIQUE(IF(DEPTS[DepartmentCode]=CONT_SUP[[#This Row],[DepartmentCode]],DEPTS[SchoolCodes],""))))),1,0))</f>
        <v>0</v>
      </c>
      <c r="M351" s="57">
        <f>IFERROR(IF(_xlfn.XLOOKUP(CONT_SUP[[#This Row],[SRG Gross]],FinanceCodesBudget[FinanceCode],FinanceCodesBudget[LedgerCode])=_xlfn.XLOOKUP(CONT_SUP[[#This Row],[DepartmentCode]],DEPTS[DepartmentCode],DEPTS[LedgerCode]),0,1),1)</f>
        <v>0</v>
      </c>
      <c r="N351" s="57" cm="1">
        <f t="array" ref="N351">IF(_xlfn.XLOOKUP(CONT_SUP[[#This Row],[PensionCode]],PENS[PensionCode],PENS[AvailableToAllSchools],1,0,)=TRUE,0,IF(ISERROR(FIND(CONT_SUP[[#This Row],[SchoolCode]],_xlfn.TEXTJOIN(",",TRUE,_xlfn.UNIQUE(IF(PENS[PensionCode]=CONT_SUP[[#This Row],[PensionCode]],PENS[SchoolCodes],""))))),1,0))</f>
        <v>0</v>
      </c>
      <c r="O351" s="57" cm="1">
        <f t="array" ref="O351">IF(_xlfn.XLOOKUP(CONT_SUP[[#This Row],[EquatedWeekPatternCode]],EQW[EquatedWeekPatternCode],EQW[AvailableToAllSchools],1,0,)=TRUE,0,IF(ISERROR(FIND(CONT_SUP[[#This Row],[SchoolCode]],_xlfn.TEXTJOIN(",",TRUE,_xlfn.UNIQUE(IF(EQW[EquatedWeekPatternCode]=CONT_SUP[[#This Row],[EquatedWeekPatternCode]],EQW[SchoolCodes],""))))),1,0))</f>
        <v>0</v>
      </c>
      <c r="P351" s="57">
        <f>1-COUNTIF(ContractTypes[Code],CONT_SUP[[#This Row],[ContractTypeCode]])</f>
        <v>0</v>
      </c>
      <c r="Q351" s="57">
        <f>IF(VLOOKUP(CONT_SUP[[#This Row],[StaffMemberCode]],MEMBERS[[StaffMemberCode]:[ServiceStartDate]],5,0)&gt;CONT_SUP[[#This Row],[DateFrom]],1,0)</f>
        <v>0</v>
      </c>
      <c r="R351" s="57">
        <f>IF(_xlfn.XLOOKUP(CONT_SUP[[#This Row],[StaffMemberCode]],MEMBERS[StaffMemberCode],MEMBERS[ServiceEndDate])="",0,IF(CONT_SUP[[#This Row],[DateTo]]="",1,IF(_xlfn.XLOOKUP(CONT_SUP[[#This Row],[StaffMemberCode]],MEMBERS[StaffMemberCode],MEMBERS[ServiceEndDate])&lt;CONT_SUP[[#This Row],[DateTo]],1,0)))</f>
        <v>0</v>
      </c>
      <c r="S351" s="57">
        <f>IF(ISBLANK(CONT_SUP[[#This Row],[DateTo]]),0,IF(CONT_SUP[[#This Row],[DateFrom]]=CONT_SUP[[#This Row],[DateTo]],0,IF(CONT_SUP[[#This Row],[DateFrom]]&lt;CONT_SUP[[#This Row],[DateTo]],0,1)))</f>
        <v>0</v>
      </c>
      <c r="T351" s="57" cm="1">
        <f t="array" aca="1" ref="T351" ca="1">IF(CELL("format",CONT_SUP[[#This Row],[DateFrom]])="D1",0,1)+IF(CELL("format",CONT_SUP[[#This Row],[DateTo]])="D1",0,1)</f>
        <v>0</v>
      </c>
      <c r="U351" s="57">
        <f>IF(OR(CONT_SUP[[#This Row],[MatEditOnly]]=TRUE,CONT_SUP[[#This Row],[MatEditOnly]]=FALSE),IF(OR(CONT_SUP[[#This Row],[NoIncrement]]=TRUE,CONT_SUP[[#This Row],[NoIncrement]]=FALSE),0,1),1)</f>
        <v>0</v>
      </c>
      <c r="V351" s="57">
        <f>IF(ISBLANK(CONT_SUP[[#This Row],[FundCode]])=TRUE,0,IF(COUNTIF(FUNDS[FundCode],CONT_SUP[[#This Row],[FundCode]])=1,0,1))</f>
        <v>0</v>
      </c>
      <c r="W351" s="57">
        <f>IF(LEN(CONT_SUP[[#This Row],[Notes]])&lt;4000,0,1)</f>
        <v>0</v>
      </c>
      <c r="X351" s="57">
        <f>IF(SUBSTITUTE(TEXT(CONT_SUP[[#This Row],[Reference]],10)," ","")=TEXT(CONT_SUP[[#This Row],[Reference]],10),0,1)</f>
        <v>0</v>
      </c>
      <c r="Y351" s="57">
        <f ca="1">SUM(CONT_SUP[[#This Row],[Duplicate Contract]:[Space in Code]])</f>
        <v>0</v>
      </c>
      <c r="AA351" s="12" t="s">
        <v>2126</v>
      </c>
      <c r="AB351" s="12">
        <v>10005313</v>
      </c>
      <c r="AC351" s="12">
        <v>106081</v>
      </c>
      <c r="AD351" s="57" t="str">
        <f>_xlfn.XLOOKUP(CONT_SUP[[#This Row],[StaffMemberCode]],StaffMembers!O:O,StaffMembers!R:R)</f>
        <v>David Shaw</v>
      </c>
      <c r="AE351" s="12" t="s">
        <v>1182</v>
      </c>
      <c r="AF351" s="57">
        <f>_xlfn.XLOOKUP(CONT_SUP[[#This Row],[SRG]],SRG[StaffRoleGroupCode],SRG[GrossSalaryFinanceCode])</f>
        <v>620100</v>
      </c>
      <c r="AG351" s="57" t="str">
        <f>_xlfn.XLOOKUP(CONT_SUP[[#This Row],[StaffRoleCode]],ROLES[StaffRoleCode],ROLES[StaffRoleGroupCode])</f>
        <v>LIB</v>
      </c>
      <c r="AH351" s="57" t="str">
        <f>_xlfn.XLOOKUP(CONT_SUP[[#This Row],[StaffRoleCode]],ROLES[StaffRoleCode],ROLES[PayScaleCode])</f>
        <v>NJC_CHE</v>
      </c>
      <c r="AI351" s="12" t="s">
        <v>3124</v>
      </c>
      <c r="AJ351" s="12">
        <v>17</v>
      </c>
      <c r="AK351" s="12" t="s">
        <v>2482</v>
      </c>
      <c r="AM351" s="68" t="s">
        <v>3132</v>
      </c>
      <c r="AN351" s="12" t="s">
        <v>3134</v>
      </c>
      <c r="AO351" s="21">
        <v>46023</v>
      </c>
      <c r="AQ351" s="12">
        <v>30</v>
      </c>
      <c r="AR351" t="b">
        <v>0</v>
      </c>
      <c r="AS351" t="b">
        <v>0</v>
      </c>
      <c r="AT351" s="12" t="s">
        <v>1574</v>
      </c>
    </row>
    <row r="352" spans="1:46" x14ac:dyDescent="0.3">
      <c r="A352" s="57" t="str">
        <f t="shared" ref="A352:A396" si="12">AA352&amp;AB352&amp;AC352&amp;AE352&amp;AK352&amp;AO352</f>
        <v>MLB10006257106041MDASMID46023</v>
      </c>
      <c r="B352" s="57">
        <f>COUNTIF(CONT_SUP[Unique Contract],CONT_SUP[[#This Row],[Unique Contract]])-1</f>
        <v>0</v>
      </c>
      <c r="C352" s="57">
        <f>IFERROR(IF(FIND(CONT_SUP[[#This Row],[SchoolCode]],_xlfn.XLOOKUP(CONT_SUP[[#This Row],[StaffMemberCode]],MEMBERS[StaffMemberCode],MEMBERS[SchoolCodes]))&gt;0,0,1),1)</f>
        <v>0</v>
      </c>
      <c r="D352" s="57" cm="1">
        <f t="array" ref="D352">IF(_xlfn.XLOOKUP(CONT_SUP[[#This Row],[StaffRoleCode]],ROLES[StaffRoleCode],ROLES[AvailableToAllSchools],1,0,)=TRUE,0,IF(ISERROR(FIND(CONT_SUP[[#This Row],[SchoolCode]],_xlfn.TEXTJOIN(",",TRUE,_xlfn.UNIQUE(IF(ROLES[StaffRoleCode]=CONT_SUP[[#This Row],[StaffRoleCode]],ROLES[SchoolCodes],""))))),1,0))</f>
        <v>0</v>
      </c>
      <c r="E352" s="57" cm="1">
        <f t="array" ref="E35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52" s="57" cm="1">
        <f t="array" ref="F352">IF(_xlfn.XLOOKUP(CONT_SUP[[#This Row],[PayScaleCode]],PAYSCALES[PayScaleCode],PAYSCALES[AvailableToAllSchools],1,0,)=TRUE,0,IF(ISERROR(FIND(CONT_SUP[[#This Row],[SchoolCode]],_xlfn.TEXTJOIN(",",TRUE,_xlfn.UNIQUE(IF(PAYSCALES[PayScaleCode]=CONT_SUP[[#This Row],[PayScaleCode]],PAYSCALES[SchoolCodes],""))))),1,0))</f>
        <v>0</v>
      </c>
      <c r="G352" s="57">
        <f>IF(_xlfn.XLOOKUP(CONT_SUP[[#This Row],[PayScaleGradeCode]],GRADES[PayScaleGradeCode],GRADES[AvailableToAllSchools])=TRUE,0,IFERROR(IF(FIND(CONT_SUP[[#This Row],[SchoolCode]],_xlfn.XLOOKUP(CONT_SUP[[#This Row],[PayScaleGradeCode]],GRADES[PayScaleGradeCode],GRADES[SchoolCodes]))&gt;=1,0,1),1))</f>
        <v>0</v>
      </c>
      <c r="H352" s="57">
        <f>IF(ISERROR(IF((_xlfn.XLOOKUP(CONT_SUP[[#This Row],[PayScaleGradeCode]],GRADES[PayScaleGradeCode],GRADES[PayScaleCode])=CONT_SUP[[#This Row],[PayScaleCode]]),0,1)),1,0)</f>
        <v>0</v>
      </c>
      <c r="I352" s="57" cm="1">
        <f t="array" ref="I352">IF(ISERROR(FIND(CONT_SUP[[#This Row],[PayScalePointCode]],_xlfn.TEXTJOIN(",",TRUE,IF(PSPOINTS[PayScaleCode]=CONT_SUP[[#This Row],[PayScaleCode]],PSPOINTS[PayScalePointCode])))),1,0)</f>
        <v>0</v>
      </c>
      <c r="J352" s="57" cm="1">
        <f t="array" ref="J35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52" s="57">
        <f>IF(_xlfn.XLOOKUP(CONT_SUP[[#This Row],[PayScalePointCode]],PSPOINTS[PayScalePointCode],PSPOINTS[PayScalePointEnabled])=TRUE,0,1)</f>
        <v>0</v>
      </c>
      <c r="L352" s="57" cm="1">
        <f t="array" ref="L352">IF(_xlfn.XLOOKUP(CONT_SUP[[#This Row],[DepartmentCode]],DEPTS[DepartmentCode],DEPTS[AvailableToAllSchools],1,0,)=TRUE,0,IF(ISERROR(FIND(CONT_SUP[[#This Row],[SchoolCode]],_xlfn.TEXTJOIN(",",TRUE,_xlfn.UNIQUE(IF(DEPTS[DepartmentCode]=CONT_SUP[[#This Row],[DepartmentCode]],DEPTS[SchoolCodes],""))))),1,0))</f>
        <v>0</v>
      </c>
      <c r="M352" s="57">
        <f>IFERROR(IF(_xlfn.XLOOKUP(CONT_SUP[[#This Row],[SRG Gross]],FinanceCodesBudget[FinanceCode],FinanceCodesBudget[LedgerCode])=_xlfn.XLOOKUP(CONT_SUP[[#This Row],[DepartmentCode]],DEPTS[DepartmentCode],DEPTS[LedgerCode]),0,1),1)</f>
        <v>0</v>
      </c>
      <c r="N352" s="57" cm="1">
        <f t="array" ref="N352">IF(_xlfn.XLOOKUP(CONT_SUP[[#This Row],[PensionCode]],PENS[PensionCode],PENS[AvailableToAllSchools],1,0,)=TRUE,0,IF(ISERROR(FIND(CONT_SUP[[#This Row],[SchoolCode]],_xlfn.TEXTJOIN(",",TRUE,_xlfn.UNIQUE(IF(PENS[PensionCode]=CONT_SUP[[#This Row],[PensionCode]],PENS[SchoolCodes],""))))),1,0))</f>
        <v>0</v>
      </c>
      <c r="O352" s="57" cm="1">
        <f t="array" ref="O352">IF(_xlfn.XLOOKUP(CONT_SUP[[#This Row],[EquatedWeekPatternCode]],EQW[EquatedWeekPatternCode],EQW[AvailableToAllSchools],1,0,)=TRUE,0,IF(ISERROR(FIND(CONT_SUP[[#This Row],[SchoolCode]],_xlfn.TEXTJOIN(",",TRUE,_xlfn.UNIQUE(IF(EQW[EquatedWeekPatternCode]=CONT_SUP[[#This Row],[EquatedWeekPatternCode]],EQW[SchoolCodes],""))))),1,0))</f>
        <v>0</v>
      </c>
      <c r="P352" s="57">
        <f>1-COUNTIF(ContractTypes[Code],CONT_SUP[[#This Row],[ContractTypeCode]])</f>
        <v>0</v>
      </c>
      <c r="Q352" s="57">
        <f>IF(VLOOKUP(CONT_SUP[[#This Row],[StaffMemberCode]],MEMBERS[[StaffMemberCode]:[ServiceStartDate]],5,0)&gt;CONT_SUP[[#This Row],[DateFrom]],1,0)</f>
        <v>0</v>
      </c>
      <c r="R352" s="57">
        <f>IF(_xlfn.XLOOKUP(CONT_SUP[[#This Row],[StaffMemberCode]],MEMBERS[StaffMemberCode],MEMBERS[ServiceEndDate])="",0,IF(CONT_SUP[[#This Row],[DateTo]]="",1,IF(_xlfn.XLOOKUP(CONT_SUP[[#This Row],[StaffMemberCode]],MEMBERS[StaffMemberCode],MEMBERS[ServiceEndDate])&lt;CONT_SUP[[#This Row],[DateTo]],1,0)))</f>
        <v>0</v>
      </c>
      <c r="S352" s="57">
        <f>IF(ISBLANK(CONT_SUP[[#This Row],[DateTo]]),0,IF(CONT_SUP[[#This Row],[DateFrom]]=CONT_SUP[[#This Row],[DateTo]],0,IF(CONT_SUP[[#This Row],[DateFrom]]&lt;CONT_SUP[[#This Row],[DateTo]],0,1)))</f>
        <v>0</v>
      </c>
      <c r="T352" s="57" cm="1">
        <f t="array" aca="1" ref="T352" ca="1">IF(CELL("format",CONT_SUP[[#This Row],[DateFrom]])="D1",0,1)+IF(CELL("format",CONT_SUP[[#This Row],[DateTo]])="D1",0,1)</f>
        <v>0</v>
      </c>
      <c r="U352" s="57">
        <f>IF(OR(CONT_SUP[[#This Row],[MatEditOnly]]=TRUE,CONT_SUP[[#This Row],[MatEditOnly]]=FALSE),IF(OR(CONT_SUP[[#This Row],[NoIncrement]]=TRUE,CONT_SUP[[#This Row],[NoIncrement]]=FALSE),0,1),1)</f>
        <v>0</v>
      </c>
      <c r="V352" s="57">
        <f>IF(ISBLANK(CONT_SUP[[#This Row],[FundCode]])=TRUE,0,IF(COUNTIF(FUNDS[FundCode],CONT_SUP[[#This Row],[FundCode]])=1,0,1))</f>
        <v>0</v>
      </c>
      <c r="W352" s="57">
        <f>IF(LEN(CONT_SUP[[#This Row],[Notes]])&lt;4000,0,1)</f>
        <v>0</v>
      </c>
      <c r="X352" s="57">
        <f>IF(SUBSTITUTE(TEXT(CONT_SUP[[#This Row],[Reference]],10)," ","")=TEXT(CONT_SUP[[#This Row],[Reference]],10),0,1)</f>
        <v>0</v>
      </c>
      <c r="Y352" s="57">
        <f ca="1">SUM(CONT_SUP[[#This Row],[Duplicate Contract]:[Space in Code]])</f>
        <v>0</v>
      </c>
      <c r="AA352" s="12" t="s">
        <v>2126</v>
      </c>
      <c r="AB352" s="12">
        <v>10006257</v>
      </c>
      <c r="AC352" s="12">
        <v>106041</v>
      </c>
      <c r="AD352" s="57" t="str">
        <f>_xlfn.XLOOKUP(CONT_SUP[[#This Row],[StaffMemberCode]],StaffMembers!O:O,StaffMembers!R:R)</f>
        <v>Joanne Heath</v>
      </c>
      <c r="AE352" s="12" t="s">
        <v>4307</v>
      </c>
      <c r="AF352" s="57">
        <f>_xlfn.XLOOKUP(CONT_SUP[[#This Row],[SRG]],SRG[StaffRoleGroupCode],SRG[GrossSalaryFinanceCode])</f>
        <v>635100</v>
      </c>
      <c r="AG352" s="57" t="str">
        <f>_xlfn.XLOOKUP(CONT_SUP[[#This Row],[StaffRoleCode]],ROLES[StaffRoleCode],ROLES[StaffRoleGroupCode])</f>
        <v>MDS</v>
      </c>
      <c r="AH352" s="57" t="str">
        <f>_xlfn.XLOOKUP(CONT_SUP[[#This Row],[StaffRoleCode]],ROLES[StaffRoleCode],ROLES[PayScaleCode])</f>
        <v>NJC_CHE</v>
      </c>
      <c r="AI352" s="12" t="s">
        <v>3120</v>
      </c>
      <c r="AJ352" s="12">
        <v>2</v>
      </c>
      <c r="AK352" s="12" t="s">
        <v>2488</v>
      </c>
      <c r="AM352" s="68" t="s">
        <v>3132</v>
      </c>
      <c r="AN352" s="12" t="s">
        <v>3134</v>
      </c>
      <c r="AO352" s="21">
        <v>46023</v>
      </c>
      <c r="AQ352" s="12">
        <v>15</v>
      </c>
      <c r="AR352" t="b">
        <v>0</v>
      </c>
      <c r="AS352" t="b">
        <v>0</v>
      </c>
      <c r="AT352" s="12" t="s">
        <v>1574</v>
      </c>
    </row>
    <row r="353" spans="1:46" x14ac:dyDescent="0.3">
      <c r="A353" s="57" t="str">
        <f t="shared" si="12"/>
        <v>MLB10005304106069MDSSMID46023</v>
      </c>
      <c r="B353" s="57">
        <f>COUNTIF(CONT_SUP[Unique Contract],CONT_SUP[[#This Row],[Unique Contract]])-1</f>
        <v>0</v>
      </c>
      <c r="C353" s="57">
        <f>IFERROR(IF(FIND(CONT_SUP[[#This Row],[SchoolCode]],_xlfn.XLOOKUP(CONT_SUP[[#This Row],[StaffMemberCode]],MEMBERS[StaffMemberCode],MEMBERS[SchoolCodes]))&gt;0,0,1),1)</f>
        <v>0</v>
      </c>
      <c r="D353" s="57" cm="1">
        <f t="array" ref="D353">IF(_xlfn.XLOOKUP(CONT_SUP[[#This Row],[StaffRoleCode]],ROLES[StaffRoleCode],ROLES[AvailableToAllSchools],1,0,)=TRUE,0,IF(ISERROR(FIND(CONT_SUP[[#This Row],[SchoolCode]],_xlfn.TEXTJOIN(",",TRUE,_xlfn.UNIQUE(IF(ROLES[StaffRoleCode]=CONT_SUP[[#This Row],[StaffRoleCode]],ROLES[SchoolCodes],""))))),1,0))</f>
        <v>0</v>
      </c>
      <c r="E353" s="57" cm="1">
        <f t="array" ref="E35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53" s="57" cm="1">
        <f t="array" ref="F353">IF(_xlfn.XLOOKUP(CONT_SUP[[#This Row],[PayScaleCode]],PAYSCALES[PayScaleCode],PAYSCALES[AvailableToAllSchools],1,0,)=TRUE,0,IF(ISERROR(FIND(CONT_SUP[[#This Row],[SchoolCode]],_xlfn.TEXTJOIN(",",TRUE,_xlfn.UNIQUE(IF(PAYSCALES[PayScaleCode]=CONT_SUP[[#This Row],[PayScaleCode]],PAYSCALES[SchoolCodes],""))))),1,0))</f>
        <v>0</v>
      </c>
      <c r="G353" s="57">
        <f>IF(_xlfn.XLOOKUP(CONT_SUP[[#This Row],[PayScaleGradeCode]],GRADES[PayScaleGradeCode],GRADES[AvailableToAllSchools])=TRUE,0,IFERROR(IF(FIND(CONT_SUP[[#This Row],[SchoolCode]],_xlfn.XLOOKUP(CONT_SUP[[#This Row],[PayScaleGradeCode]],GRADES[PayScaleGradeCode],GRADES[SchoolCodes]))&gt;=1,0,1),1))</f>
        <v>0</v>
      </c>
      <c r="H353" s="57">
        <f>IF(ISERROR(IF((_xlfn.XLOOKUP(CONT_SUP[[#This Row],[PayScaleGradeCode]],GRADES[PayScaleGradeCode],GRADES[PayScaleCode])=CONT_SUP[[#This Row],[PayScaleCode]]),0,1)),1,0)</f>
        <v>0</v>
      </c>
      <c r="I353" s="57" cm="1">
        <f t="array" ref="I353">IF(ISERROR(FIND(CONT_SUP[[#This Row],[PayScalePointCode]],_xlfn.TEXTJOIN(",",TRUE,IF(PSPOINTS[PayScaleCode]=CONT_SUP[[#This Row],[PayScaleCode]],PSPOINTS[PayScalePointCode])))),1,0)</f>
        <v>0</v>
      </c>
      <c r="J353" s="57" cm="1">
        <f t="array" ref="J35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53" s="57">
        <f>IF(_xlfn.XLOOKUP(CONT_SUP[[#This Row],[PayScalePointCode]],PSPOINTS[PayScalePointCode],PSPOINTS[PayScalePointEnabled])=TRUE,0,1)</f>
        <v>0</v>
      </c>
      <c r="L353" s="57" cm="1">
        <f t="array" ref="L353">IF(_xlfn.XLOOKUP(CONT_SUP[[#This Row],[DepartmentCode]],DEPTS[DepartmentCode],DEPTS[AvailableToAllSchools],1,0,)=TRUE,0,IF(ISERROR(FIND(CONT_SUP[[#This Row],[SchoolCode]],_xlfn.TEXTJOIN(",",TRUE,_xlfn.UNIQUE(IF(DEPTS[DepartmentCode]=CONT_SUP[[#This Row],[DepartmentCode]],DEPTS[SchoolCodes],""))))),1,0))</f>
        <v>0</v>
      </c>
      <c r="M353" s="57">
        <f>IFERROR(IF(_xlfn.XLOOKUP(CONT_SUP[[#This Row],[SRG Gross]],FinanceCodesBudget[FinanceCode],FinanceCodesBudget[LedgerCode])=_xlfn.XLOOKUP(CONT_SUP[[#This Row],[DepartmentCode]],DEPTS[DepartmentCode],DEPTS[LedgerCode]),0,1),1)</f>
        <v>0</v>
      </c>
      <c r="N353" s="57" cm="1">
        <f t="array" ref="N353">IF(_xlfn.XLOOKUP(CONT_SUP[[#This Row],[PensionCode]],PENS[PensionCode],PENS[AvailableToAllSchools],1,0,)=TRUE,0,IF(ISERROR(FIND(CONT_SUP[[#This Row],[SchoolCode]],_xlfn.TEXTJOIN(",",TRUE,_xlfn.UNIQUE(IF(PENS[PensionCode]=CONT_SUP[[#This Row],[PensionCode]],PENS[SchoolCodes],""))))),1,0))</f>
        <v>0</v>
      </c>
      <c r="O353" s="57" cm="1">
        <f t="array" ref="O353">IF(_xlfn.XLOOKUP(CONT_SUP[[#This Row],[EquatedWeekPatternCode]],EQW[EquatedWeekPatternCode],EQW[AvailableToAllSchools],1,0,)=TRUE,0,IF(ISERROR(FIND(CONT_SUP[[#This Row],[SchoolCode]],_xlfn.TEXTJOIN(",",TRUE,_xlfn.UNIQUE(IF(EQW[EquatedWeekPatternCode]=CONT_SUP[[#This Row],[EquatedWeekPatternCode]],EQW[SchoolCodes],""))))),1,0))</f>
        <v>0</v>
      </c>
      <c r="P353" s="57">
        <f>1-COUNTIF(ContractTypes[Code],CONT_SUP[[#This Row],[ContractTypeCode]])</f>
        <v>0</v>
      </c>
      <c r="Q353" s="57">
        <f>IF(VLOOKUP(CONT_SUP[[#This Row],[StaffMemberCode]],MEMBERS[[StaffMemberCode]:[ServiceStartDate]],5,0)&gt;CONT_SUP[[#This Row],[DateFrom]],1,0)</f>
        <v>0</v>
      </c>
      <c r="R353" s="57">
        <f>IF(_xlfn.XLOOKUP(CONT_SUP[[#This Row],[StaffMemberCode]],MEMBERS[StaffMemberCode],MEMBERS[ServiceEndDate])="",0,IF(CONT_SUP[[#This Row],[DateTo]]="",1,IF(_xlfn.XLOOKUP(CONT_SUP[[#This Row],[StaffMemberCode]],MEMBERS[StaffMemberCode],MEMBERS[ServiceEndDate])&lt;CONT_SUP[[#This Row],[DateTo]],1,0)))</f>
        <v>0</v>
      </c>
      <c r="S353" s="57">
        <f>IF(ISBLANK(CONT_SUP[[#This Row],[DateTo]]),0,IF(CONT_SUP[[#This Row],[DateFrom]]=CONT_SUP[[#This Row],[DateTo]],0,IF(CONT_SUP[[#This Row],[DateFrom]]&lt;CONT_SUP[[#This Row],[DateTo]],0,1)))</f>
        <v>0</v>
      </c>
      <c r="T353" s="57" cm="1">
        <f t="array" aca="1" ref="T353" ca="1">IF(CELL("format",CONT_SUP[[#This Row],[DateFrom]])="D1",0,1)+IF(CELL("format",CONT_SUP[[#This Row],[DateTo]])="D1",0,1)</f>
        <v>0</v>
      </c>
      <c r="U353" s="57">
        <f>IF(OR(CONT_SUP[[#This Row],[MatEditOnly]]=TRUE,CONT_SUP[[#This Row],[MatEditOnly]]=FALSE),IF(OR(CONT_SUP[[#This Row],[NoIncrement]]=TRUE,CONT_SUP[[#This Row],[NoIncrement]]=FALSE),0,1),1)</f>
        <v>0</v>
      </c>
      <c r="V353" s="57">
        <f>IF(ISBLANK(CONT_SUP[[#This Row],[FundCode]])=TRUE,0,IF(COUNTIF(FUNDS[FundCode],CONT_SUP[[#This Row],[FundCode]])=1,0,1))</f>
        <v>0</v>
      </c>
      <c r="W353" s="57">
        <f>IF(LEN(CONT_SUP[[#This Row],[Notes]])&lt;4000,0,1)</f>
        <v>0</v>
      </c>
      <c r="X353" s="57">
        <f>IF(SUBSTITUTE(TEXT(CONT_SUP[[#This Row],[Reference]],10)," ","")=TEXT(CONT_SUP[[#This Row],[Reference]],10),0,1)</f>
        <v>0</v>
      </c>
      <c r="Y353" s="57">
        <f ca="1">SUM(CONT_SUP[[#This Row],[Duplicate Contract]:[Space in Code]])</f>
        <v>0</v>
      </c>
      <c r="AA353" s="12" t="s">
        <v>2126</v>
      </c>
      <c r="AB353" s="12">
        <v>10005304</v>
      </c>
      <c r="AC353" s="12">
        <v>106069</v>
      </c>
      <c r="AD353" s="57" t="str">
        <f>_xlfn.XLOOKUP(CONT_SUP[[#This Row],[StaffMemberCode]],StaffMembers!O:O,StaffMembers!R:R)</f>
        <v>Tina Baker</v>
      </c>
      <c r="AE353" s="12" t="s">
        <v>1192</v>
      </c>
      <c r="AF353" s="57">
        <f>_xlfn.XLOOKUP(CONT_SUP[[#This Row],[SRG]],SRG[StaffRoleGroupCode],SRG[GrossSalaryFinanceCode])</f>
        <v>635100</v>
      </c>
      <c r="AG353" s="57" t="str">
        <f>_xlfn.XLOOKUP(CONT_SUP[[#This Row],[StaffRoleCode]],ROLES[StaffRoleCode],ROLES[StaffRoleGroupCode])</f>
        <v>MDS</v>
      </c>
      <c r="AH353" s="57" t="str">
        <f>_xlfn.XLOOKUP(CONT_SUP[[#This Row],[StaffRoleCode]],ROLES[StaffRoleCode],ROLES[PayScaleCode])</f>
        <v>NJC_CHE</v>
      </c>
      <c r="AI353" s="12" t="s">
        <v>3122</v>
      </c>
      <c r="AJ353" s="12">
        <v>6</v>
      </c>
      <c r="AK353" s="12" t="s">
        <v>2488</v>
      </c>
      <c r="AM353" s="68" t="s">
        <v>3132</v>
      </c>
      <c r="AN353" s="12" t="s">
        <v>3134</v>
      </c>
      <c r="AO353" s="21">
        <v>46023</v>
      </c>
      <c r="AQ353" s="12">
        <v>19</v>
      </c>
      <c r="AR353" t="b">
        <v>0</v>
      </c>
      <c r="AS353" t="b">
        <v>0</v>
      </c>
      <c r="AT353" s="12" t="s">
        <v>1574</v>
      </c>
    </row>
    <row r="354" spans="1:46" x14ac:dyDescent="0.3">
      <c r="A354" s="57" t="str">
        <f t="shared" si="12"/>
        <v>MLB10010134108104MDASMID46023</v>
      </c>
      <c r="B354" s="57">
        <f>COUNTIF(CONT_SUP[Unique Contract],CONT_SUP[[#This Row],[Unique Contract]])-1</f>
        <v>0</v>
      </c>
      <c r="C354" s="57">
        <f>IFERROR(IF(FIND(CONT_SUP[[#This Row],[SchoolCode]],_xlfn.XLOOKUP(CONT_SUP[[#This Row],[StaffMemberCode]],MEMBERS[StaffMemberCode],MEMBERS[SchoolCodes]))&gt;0,0,1),1)</f>
        <v>0</v>
      </c>
      <c r="D354" s="57" cm="1">
        <f t="array" ref="D354">IF(_xlfn.XLOOKUP(CONT_SUP[[#This Row],[StaffRoleCode]],ROLES[StaffRoleCode],ROLES[AvailableToAllSchools],1,0,)=TRUE,0,IF(ISERROR(FIND(CONT_SUP[[#This Row],[SchoolCode]],_xlfn.TEXTJOIN(",",TRUE,_xlfn.UNIQUE(IF(ROLES[StaffRoleCode]=CONT_SUP[[#This Row],[StaffRoleCode]],ROLES[SchoolCodes],""))))),1,0))</f>
        <v>0</v>
      </c>
      <c r="E354" s="57" cm="1">
        <f t="array" ref="E35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54" s="57" cm="1">
        <f t="array" ref="F354">IF(_xlfn.XLOOKUP(CONT_SUP[[#This Row],[PayScaleCode]],PAYSCALES[PayScaleCode],PAYSCALES[AvailableToAllSchools],1,0,)=TRUE,0,IF(ISERROR(FIND(CONT_SUP[[#This Row],[SchoolCode]],_xlfn.TEXTJOIN(",",TRUE,_xlfn.UNIQUE(IF(PAYSCALES[PayScaleCode]=CONT_SUP[[#This Row],[PayScaleCode]],PAYSCALES[SchoolCodes],""))))),1,0))</f>
        <v>0</v>
      </c>
      <c r="G354" s="57">
        <f>IF(_xlfn.XLOOKUP(CONT_SUP[[#This Row],[PayScaleGradeCode]],GRADES[PayScaleGradeCode],GRADES[AvailableToAllSchools])=TRUE,0,IFERROR(IF(FIND(CONT_SUP[[#This Row],[SchoolCode]],_xlfn.XLOOKUP(CONT_SUP[[#This Row],[PayScaleGradeCode]],GRADES[PayScaleGradeCode],GRADES[SchoolCodes]))&gt;=1,0,1),1))</f>
        <v>0</v>
      </c>
      <c r="H354" s="57">
        <f>IF(ISERROR(IF((_xlfn.XLOOKUP(CONT_SUP[[#This Row],[PayScaleGradeCode]],GRADES[PayScaleGradeCode],GRADES[PayScaleCode])=CONT_SUP[[#This Row],[PayScaleCode]]),0,1)),1,0)</f>
        <v>0</v>
      </c>
      <c r="I354" s="57" cm="1">
        <f t="array" ref="I354">IF(ISERROR(FIND(CONT_SUP[[#This Row],[PayScalePointCode]],_xlfn.TEXTJOIN(",",TRUE,IF(PSPOINTS[PayScaleCode]=CONT_SUP[[#This Row],[PayScaleCode]],PSPOINTS[PayScalePointCode])))),1,0)</f>
        <v>0</v>
      </c>
      <c r="J354" s="57" cm="1">
        <f t="array" ref="J35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54" s="57">
        <f>IF(_xlfn.XLOOKUP(CONT_SUP[[#This Row],[PayScalePointCode]],PSPOINTS[PayScalePointCode],PSPOINTS[PayScalePointEnabled])=TRUE,0,1)</f>
        <v>0</v>
      </c>
      <c r="L354" s="57" cm="1">
        <f t="array" ref="L354">IF(_xlfn.XLOOKUP(CONT_SUP[[#This Row],[DepartmentCode]],DEPTS[DepartmentCode],DEPTS[AvailableToAllSchools],1,0,)=TRUE,0,IF(ISERROR(FIND(CONT_SUP[[#This Row],[SchoolCode]],_xlfn.TEXTJOIN(",",TRUE,_xlfn.UNIQUE(IF(DEPTS[DepartmentCode]=CONT_SUP[[#This Row],[DepartmentCode]],DEPTS[SchoolCodes],""))))),1,0))</f>
        <v>0</v>
      </c>
      <c r="M354" s="57">
        <f>IFERROR(IF(_xlfn.XLOOKUP(CONT_SUP[[#This Row],[SRG Gross]],FinanceCodesBudget[FinanceCode],FinanceCodesBudget[LedgerCode])=_xlfn.XLOOKUP(CONT_SUP[[#This Row],[DepartmentCode]],DEPTS[DepartmentCode],DEPTS[LedgerCode]),0,1),1)</f>
        <v>0</v>
      </c>
      <c r="N354" s="57" cm="1">
        <f t="array" ref="N354">IF(_xlfn.XLOOKUP(CONT_SUP[[#This Row],[PensionCode]],PENS[PensionCode],PENS[AvailableToAllSchools],1,0,)=TRUE,0,IF(ISERROR(FIND(CONT_SUP[[#This Row],[SchoolCode]],_xlfn.TEXTJOIN(",",TRUE,_xlfn.UNIQUE(IF(PENS[PensionCode]=CONT_SUP[[#This Row],[PensionCode]],PENS[SchoolCodes],""))))),1,0))</f>
        <v>0</v>
      </c>
      <c r="O354" s="57" cm="1">
        <f t="array" ref="O354">IF(_xlfn.XLOOKUP(CONT_SUP[[#This Row],[EquatedWeekPatternCode]],EQW[EquatedWeekPatternCode],EQW[AvailableToAllSchools],1,0,)=TRUE,0,IF(ISERROR(FIND(CONT_SUP[[#This Row],[SchoolCode]],_xlfn.TEXTJOIN(",",TRUE,_xlfn.UNIQUE(IF(EQW[EquatedWeekPatternCode]=CONT_SUP[[#This Row],[EquatedWeekPatternCode]],EQW[SchoolCodes],""))))),1,0))</f>
        <v>0</v>
      </c>
      <c r="P354" s="57">
        <f>1-COUNTIF(ContractTypes[Code],CONT_SUP[[#This Row],[ContractTypeCode]])</f>
        <v>0</v>
      </c>
      <c r="Q354" s="57">
        <f>IF(VLOOKUP(CONT_SUP[[#This Row],[StaffMemberCode]],MEMBERS[[StaffMemberCode]:[ServiceStartDate]],5,0)&gt;CONT_SUP[[#This Row],[DateFrom]],1,0)</f>
        <v>0</v>
      </c>
      <c r="R354" s="57">
        <f>IF(_xlfn.XLOOKUP(CONT_SUP[[#This Row],[StaffMemberCode]],MEMBERS[StaffMemberCode],MEMBERS[ServiceEndDate])="",0,IF(CONT_SUP[[#This Row],[DateTo]]="",1,IF(_xlfn.XLOOKUP(CONT_SUP[[#This Row],[StaffMemberCode]],MEMBERS[StaffMemberCode],MEMBERS[ServiceEndDate])&lt;CONT_SUP[[#This Row],[DateTo]],1,0)))</f>
        <v>0</v>
      </c>
      <c r="S354" s="57">
        <f>IF(ISBLANK(CONT_SUP[[#This Row],[DateTo]]),0,IF(CONT_SUP[[#This Row],[DateFrom]]=CONT_SUP[[#This Row],[DateTo]],0,IF(CONT_SUP[[#This Row],[DateFrom]]&lt;CONT_SUP[[#This Row],[DateTo]],0,1)))</f>
        <v>0</v>
      </c>
      <c r="T354" s="57" cm="1">
        <f t="array" aca="1" ref="T354" ca="1">IF(CELL("format",CONT_SUP[[#This Row],[DateFrom]])="D1",0,1)+IF(CELL("format",CONT_SUP[[#This Row],[DateTo]])="D1",0,1)</f>
        <v>0</v>
      </c>
      <c r="U354" s="57">
        <f>IF(OR(CONT_SUP[[#This Row],[MatEditOnly]]=TRUE,CONT_SUP[[#This Row],[MatEditOnly]]=FALSE),IF(OR(CONT_SUP[[#This Row],[NoIncrement]]=TRUE,CONT_SUP[[#This Row],[NoIncrement]]=FALSE),0,1),1)</f>
        <v>0</v>
      </c>
      <c r="V354" s="57">
        <f>IF(ISBLANK(CONT_SUP[[#This Row],[FundCode]])=TRUE,0,IF(COUNTIF(FUNDS[FundCode],CONT_SUP[[#This Row],[FundCode]])=1,0,1))</f>
        <v>0</v>
      </c>
      <c r="W354" s="57">
        <f>IF(LEN(CONT_SUP[[#This Row],[Notes]])&lt;4000,0,1)</f>
        <v>0</v>
      </c>
      <c r="X354" s="57">
        <f>IF(SUBSTITUTE(TEXT(CONT_SUP[[#This Row],[Reference]],10)," ","")=TEXT(CONT_SUP[[#This Row],[Reference]],10),0,1)</f>
        <v>0</v>
      </c>
      <c r="Y354" s="57">
        <f ca="1">SUM(CONT_SUP[[#This Row],[Duplicate Contract]:[Space in Code]])</f>
        <v>0</v>
      </c>
      <c r="AA354" s="12" t="s">
        <v>2126</v>
      </c>
      <c r="AB354" s="12">
        <v>10010134</v>
      </c>
      <c r="AC354" s="12">
        <v>108104</v>
      </c>
      <c r="AD354" s="57" t="str">
        <f>_xlfn.XLOOKUP(CONT_SUP[[#This Row],[StaffMemberCode]],StaffMembers!O:O,StaffMembers!R:R)</f>
        <v>Emma Potts</v>
      </c>
      <c r="AE354" s="12" t="s">
        <v>4307</v>
      </c>
      <c r="AF354" s="57">
        <f>_xlfn.XLOOKUP(CONT_SUP[[#This Row],[SRG]],SRG[StaffRoleGroupCode],SRG[GrossSalaryFinanceCode])</f>
        <v>635100</v>
      </c>
      <c r="AG354" s="57" t="str">
        <f>_xlfn.XLOOKUP(CONT_SUP[[#This Row],[StaffRoleCode]],ROLES[StaffRoleCode],ROLES[StaffRoleGroupCode])</f>
        <v>MDS</v>
      </c>
      <c r="AH354" s="57" t="str">
        <f>_xlfn.XLOOKUP(CONT_SUP[[#This Row],[StaffRoleCode]],ROLES[StaffRoleCode],ROLES[PayScaleCode])</f>
        <v>NJC_CHE</v>
      </c>
      <c r="AI354" s="12" t="s">
        <v>3120</v>
      </c>
      <c r="AJ354" s="12">
        <v>2</v>
      </c>
      <c r="AK354" s="12" t="s">
        <v>2488</v>
      </c>
      <c r="AM354" s="68" t="s">
        <v>3132</v>
      </c>
      <c r="AN354" s="12" t="s">
        <v>3134</v>
      </c>
      <c r="AO354" s="21">
        <v>46023</v>
      </c>
      <c r="AQ354" s="12">
        <v>20.5</v>
      </c>
      <c r="AR354" t="b">
        <v>0</v>
      </c>
      <c r="AS354" t="b">
        <v>0</v>
      </c>
      <c r="AT354" s="12" t="s">
        <v>1574</v>
      </c>
    </row>
    <row r="355" spans="1:46" x14ac:dyDescent="0.3">
      <c r="A355" s="57" t="str">
        <f t="shared" si="12"/>
        <v>MLB10016034107135MDASMID46023</v>
      </c>
      <c r="B355" s="57">
        <f>COUNTIF(CONT_SUP[Unique Contract],CONT_SUP[[#This Row],[Unique Contract]])-1</f>
        <v>0</v>
      </c>
      <c r="C355" s="57">
        <f>IFERROR(IF(FIND(CONT_SUP[[#This Row],[SchoolCode]],_xlfn.XLOOKUP(CONT_SUP[[#This Row],[StaffMemberCode]],MEMBERS[StaffMemberCode],MEMBERS[SchoolCodes]))&gt;0,0,1),1)</f>
        <v>0</v>
      </c>
      <c r="D355" s="57" cm="1">
        <f t="array" ref="D355">IF(_xlfn.XLOOKUP(CONT_SUP[[#This Row],[StaffRoleCode]],ROLES[StaffRoleCode],ROLES[AvailableToAllSchools],1,0,)=TRUE,0,IF(ISERROR(FIND(CONT_SUP[[#This Row],[SchoolCode]],_xlfn.TEXTJOIN(",",TRUE,_xlfn.UNIQUE(IF(ROLES[StaffRoleCode]=CONT_SUP[[#This Row],[StaffRoleCode]],ROLES[SchoolCodes],""))))),1,0))</f>
        <v>0</v>
      </c>
      <c r="E355" s="57" cm="1">
        <f t="array" ref="E35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55" s="57" cm="1">
        <f t="array" ref="F355">IF(_xlfn.XLOOKUP(CONT_SUP[[#This Row],[PayScaleCode]],PAYSCALES[PayScaleCode],PAYSCALES[AvailableToAllSchools],1,0,)=TRUE,0,IF(ISERROR(FIND(CONT_SUP[[#This Row],[SchoolCode]],_xlfn.TEXTJOIN(",",TRUE,_xlfn.UNIQUE(IF(PAYSCALES[PayScaleCode]=CONT_SUP[[#This Row],[PayScaleCode]],PAYSCALES[SchoolCodes],""))))),1,0))</f>
        <v>0</v>
      </c>
      <c r="G355" s="57">
        <f>IF(_xlfn.XLOOKUP(CONT_SUP[[#This Row],[PayScaleGradeCode]],GRADES[PayScaleGradeCode],GRADES[AvailableToAllSchools])=TRUE,0,IFERROR(IF(FIND(CONT_SUP[[#This Row],[SchoolCode]],_xlfn.XLOOKUP(CONT_SUP[[#This Row],[PayScaleGradeCode]],GRADES[PayScaleGradeCode],GRADES[SchoolCodes]))&gt;=1,0,1),1))</f>
        <v>0</v>
      </c>
      <c r="H355" s="57">
        <f>IF(ISERROR(IF((_xlfn.XLOOKUP(CONT_SUP[[#This Row],[PayScaleGradeCode]],GRADES[PayScaleGradeCode],GRADES[PayScaleCode])=CONT_SUP[[#This Row],[PayScaleCode]]),0,1)),1,0)</f>
        <v>0</v>
      </c>
      <c r="I355" s="57" cm="1">
        <f t="array" ref="I355">IF(ISERROR(FIND(CONT_SUP[[#This Row],[PayScalePointCode]],_xlfn.TEXTJOIN(",",TRUE,IF(PSPOINTS[PayScaleCode]=CONT_SUP[[#This Row],[PayScaleCode]],PSPOINTS[PayScalePointCode])))),1,0)</f>
        <v>0</v>
      </c>
      <c r="J355" s="57" cm="1">
        <f t="array" ref="J35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55" s="57">
        <f>IF(_xlfn.XLOOKUP(CONT_SUP[[#This Row],[PayScalePointCode]],PSPOINTS[PayScalePointCode],PSPOINTS[PayScalePointEnabled])=TRUE,0,1)</f>
        <v>0</v>
      </c>
      <c r="L355" s="57" cm="1">
        <f t="array" ref="L355">IF(_xlfn.XLOOKUP(CONT_SUP[[#This Row],[DepartmentCode]],DEPTS[DepartmentCode],DEPTS[AvailableToAllSchools],1,0,)=TRUE,0,IF(ISERROR(FIND(CONT_SUP[[#This Row],[SchoolCode]],_xlfn.TEXTJOIN(",",TRUE,_xlfn.UNIQUE(IF(DEPTS[DepartmentCode]=CONT_SUP[[#This Row],[DepartmentCode]],DEPTS[SchoolCodes],""))))),1,0))</f>
        <v>0</v>
      </c>
      <c r="M355" s="57">
        <f>IFERROR(IF(_xlfn.XLOOKUP(CONT_SUP[[#This Row],[SRG Gross]],FinanceCodesBudget[FinanceCode],FinanceCodesBudget[LedgerCode])=_xlfn.XLOOKUP(CONT_SUP[[#This Row],[DepartmentCode]],DEPTS[DepartmentCode],DEPTS[LedgerCode]),0,1),1)</f>
        <v>0</v>
      </c>
      <c r="N355" s="57" cm="1">
        <f t="array" ref="N355">IF(_xlfn.XLOOKUP(CONT_SUP[[#This Row],[PensionCode]],PENS[PensionCode],PENS[AvailableToAllSchools],1,0,)=TRUE,0,IF(ISERROR(FIND(CONT_SUP[[#This Row],[SchoolCode]],_xlfn.TEXTJOIN(",",TRUE,_xlfn.UNIQUE(IF(PENS[PensionCode]=CONT_SUP[[#This Row],[PensionCode]],PENS[SchoolCodes],""))))),1,0))</f>
        <v>0</v>
      </c>
      <c r="O355" s="57" cm="1">
        <f t="array" ref="O355">IF(_xlfn.XLOOKUP(CONT_SUP[[#This Row],[EquatedWeekPatternCode]],EQW[EquatedWeekPatternCode],EQW[AvailableToAllSchools],1,0,)=TRUE,0,IF(ISERROR(FIND(CONT_SUP[[#This Row],[SchoolCode]],_xlfn.TEXTJOIN(",",TRUE,_xlfn.UNIQUE(IF(EQW[EquatedWeekPatternCode]=CONT_SUP[[#This Row],[EquatedWeekPatternCode]],EQW[SchoolCodes],""))))),1,0))</f>
        <v>0</v>
      </c>
      <c r="P355" s="57">
        <f>1-COUNTIF(ContractTypes[Code],CONT_SUP[[#This Row],[ContractTypeCode]])</f>
        <v>0</v>
      </c>
      <c r="Q355" s="57">
        <f>IF(VLOOKUP(CONT_SUP[[#This Row],[StaffMemberCode]],MEMBERS[[StaffMemberCode]:[ServiceStartDate]],5,0)&gt;CONT_SUP[[#This Row],[DateFrom]],1,0)</f>
        <v>0</v>
      </c>
      <c r="R355" s="57">
        <f>IF(_xlfn.XLOOKUP(CONT_SUP[[#This Row],[StaffMemberCode]],MEMBERS[StaffMemberCode],MEMBERS[ServiceEndDate])="",0,IF(CONT_SUP[[#This Row],[DateTo]]="",1,IF(_xlfn.XLOOKUP(CONT_SUP[[#This Row],[StaffMemberCode]],MEMBERS[StaffMemberCode],MEMBERS[ServiceEndDate])&lt;CONT_SUP[[#This Row],[DateTo]],1,0)))</f>
        <v>0</v>
      </c>
      <c r="S355" s="57">
        <f>IF(ISBLANK(CONT_SUP[[#This Row],[DateTo]]),0,IF(CONT_SUP[[#This Row],[DateFrom]]=CONT_SUP[[#This Row],[DateTo]],0,IF(CONT_SUP[[#This Row],[DateFrom]]&lt;CONT_SUP[[#This Row],[DateTo]],0,1)))</f>
        <v>0</v>
      </c>
      <c r="T355" s="57" cm="1">
        <f t="array" aca="1" ref="T355" ca="1">IF(CELL("format",CONT_SUP[[#This Row],[DateFrom]])="D1",0,1)+IF(CELL("format",CONT_SUP[[#This Row],[DateTo]])="D1",0,1)</f>
        <v>0</v>
      </c>
      <c r="U355" s="57">
        <f>IF(OR(CONT_SUP[[#This Row],[MatEditOnly]]=TRUE,CONT_SUP[[#This Row],[MatEditOnly]]=FALSE),IF(OR(CONT_SUP[[#This Row],[NoIncrement]]=TRUE,CONT_SUP[[#This Row],[NoIncrement]]=FALSE),0,1),1)</f>
        <v>0</v>
      </c>
      <c r="V355" s="57">
        <f>IF(ISBLANK(CONT_SUP[[#This Row],[FundCode]])=TRUE,0,IF(COUNTIF(FUNDS[FundCode],CONT_SUP[[#This Row],[FundCode]])=1,0,1))</f>
        <v>0</v>
      </c>
      <c r="W355" s="57">
        <f>IF(LEN(CONT_SUP[[#This Row],[Notes]])&lt;4000,0,1)</f>
        <v>0</v>
      </c>
      <c r="X355" s="57">
        <f>IF(SUBSTITUTE(TEXT(CONT_SUP[[#This Row],[Reference]],10)," ","")=TEXT(CONT_SUP[[#This Row],[Reference]],10),0,1)</f>
        <v>0</v>
      </c>
      <c r="Y355" s="57">
        <f ca="1">SUM(CONT_SUP[[#This Row],[Duplicate Contract]:[Space in Code]])</f>
        <v>0</v>
      </c>
      <c r="AA355" s="12" t="s">
        <v>2126</v>
      </c>
      <c r="AB355" s="12">
        <v>10016034</v>
      </c>
      <c r="AC355" s="12">
        <v>107135</v>
      </c>
      <c r="AD355" s="57" t="str">
        <f>_xlfn.XLOOKUP(CONT_SUP[[#This Row],[StaffMemberCode]],StaffMembers!O:O,StaffMembers!R:R)</f>
        <v>Kerry Highfield</v>
      </c>
      <c r="AE355" s="12" t="s">
        <v>4307</v>
      </c>
      <c r="AF355" s="57">
        <f>_xlfn.XLOOKUP(CONT_SUP[[#This Row],[SRG]],SRG[StaffRoleGroupCode],SRG[GrossSalaryFinanceCode])</f>
        <v>635100</v>
      </c>
      <c r="AG355" s="57" t="str">
        <f>_xlfn.XLOOKUP(CONT_SUP[[#This Row],[StaffRoleCode]],ROLES[StaffRoleCode],ROLES[StaffRoleGroupCode])</f>
        <v>MDS</v>
      </c>
      <c r="AH355" s="57" t="str">
        <f>_xlfn.XLOOKUP(CONT_SUP[[#This Row],[StaffRoleCode]],ROLES[StaffRoleCode],ROLES[PayScaleCode])</f>
        <v>NJC_CHE</v>
      </c>
      <c r="AI355" s="12" t="s">
        <v>3120</v>
      </c>
      <c r="AJ355" s="12">
        <v>2</v>
      </c>
      <c r="AK355" s="12" t="s">
        <v>2488</v>
      </c>
      <c r="AM355" s="68" t="s">
        <v>3132</v>
      </c>
      <c r="AN355" s="12" t="s">
        <v>3134</v>
      </c>
      <c r="AO355" s="21">
        <v>46023</v>
      </c>
      <c r="AQ355" s="12">
        <v>16</v>
      </c>
      <c r="AR355" t="b">
        <v>0</v>
      </c>
      <c r="AS355" t="b">
        <v>0</v>
      </c>
      <c r="AT355" s="12" t="s">
        <v>1574</v>
      </c>
    </row>
    <row r="356" spans="1:46" x14ac:dyDescent="0.3">
      <c r="A356" s="57" t="str">
        <f t="shared" si="12"/>
        <v>MLB10013441108208MDASMID46023</v>
      </c>
      <c r="B356" s="57">
        <f>COUNTIF(CONT_SUP[Unique Contract],CONT_SUP[[#This Row],[Unique Contract]])-1</f>
        <v>0</v>
      </c>
      <c r="C356" s="57">
        <f>IFERROR(IF(FIND(CONT_SUP[[#This Row],[SchoolCode]],_xlfn.XLOOKUP(CONT_SUP[[#This Row],[StaffMemberCode]],MEMBERS[StaffMemberCode],MEMBERS[SchoolCodes]))&gt;0,0,1),1)</f>
        <v>0</v>
      </c>
      <c r="D356" s="57" cm="1">
        <f t="array" ref="D356">IF(_xlfn.XLOOKUP(CONT_SUP[[#This Row],[StaffRoleCode]],ROLES[StaffRoleCode],ROLES[AvailableToAllSchools],1,0,)=TRUE,0,IF(ISERROR(FIND(CONT_SUP[[#This Row],[SchoolCode]],_xlfn.TEXTJOIN(",",TRUE,_xlfn.UNIQUE(IF(ROLES[StaffRoleCode]=CONT_SUP[[#This Row],[StaffRoleCode]],ROLES[SchoolCodes],""))))),1,0))</f>
        <v>0</v>
      </c>
      <c r="E356" s="57" cm="1">
        <f t="array" ref="E35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56" s="57" cm="1">
        <f t="array" ref="F356">IF(_xlfn.XLOOKUP(CONT_SUP[[#This Row],[PayScaleCode]],PAYSCALES[PayScaleCode],PAYSCALES[AvailableToAllSchools],1,0,)=TRUE,0,IF(ISERROR(FIND(CONT_SUP[[#This Row],[SchoolCode]],_xlfn.TEXTJOIN(",",TRUE,_xlfn.UNIQUE(IF(PAYSCALES[PayScaleCode]=CONT_SUP[[#This Row],[PayScaleCode]],PAYSCALES[SchoolCodes],""))))),1,0))</f>
        <v>0</v>
      </c>
      <c r="G356" s="57">
        <f>IF(_xlfn.XLOOKUP(CONT_SUP[[#This Row],[PayScaleGradeCode]],GRADES[PayScaleGradeCode],GRADES[AvailableToAllSchools])=TRUE,0,IFERROR(IF(FIND(CONT_SUP[[#This Row],[SchoolCode]],_xlfn.XLOOKUP(CONT_SUP[[#This Row],[PayScaleGradeCode]],GRADES[PayScaleGradeCode],GRADES[SchoolCodes]))&gt;=1,0,1),1))</f>
        <v>0</v>
      </c>
      <c r="H356" s="57">
        <f>IF(ISERROR(IF((_xlfn.XLOOKUP(CONT_SUP[[#This Row],[PayScaleGradeCode]],GRADES[PayScaleGradeCode],GRADES[PayScaleCode])=CONT_SUP[[#This Row],[PayScaleCode]]),0,1)),1,0)</f>
        <v>0</v>
      </c>
      <c r="I356" s="57" cm="1">
        <f t="array" ref="I356">IF(ISERROR(FIND(CONT_SUP[[#This Row],[PayScalePointCode]],_xlfn.TEXTJOIN(",",TRUE,IF(PSPOINTS[PayScaleCode]=CONT_SUP[[#This Row],[PayScaleCode]],PSPOINTS[PayScalePointCode])))),1,0)</f>
        <v>0</v>
      </c>
      <c r="J356" s="57" cm="1">
        <f t="array" ref="J35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56" s="57">
        <f>IF(_xlfn.XLOOKUP(CONT_SUP[[#This Row],[PayScalePointCode]],PSPOINTS[PayScalePointCode],PSPOINTS[PayScalePointEnabled])=TRUE,0,1)</f>
        <v>0</v>
      </c>
      <c r="L356" s="57" cm="1">
        <f t="array" ref="L356">IF(_xlfn.XLOOKUP(CONT_SUP[[#This Row],[DepartmentCode]],DEPTS[DepartmentCode],DEPTS[AvailableToAllSchools],1,0,)=TRUE,0,IF(ISERROR(FIND(CONT_SUP[[#This Row],[SchoolCode]],_xlfn.TEXTJOIN(",",TRUE,_xlfn.UNIQUE(IF(DEPTS[DepartmentCode]=CONT_SUP[[#This Row],[DepartmentCode]],DEPTS[SchoolCodes],""))))),1,0))</f>
        <v>0</v>
      </c>
      <c r="M356" s="57">
        <f>IFERROR(IF(_xlfn.XLOOKUP(CONT_SUP[[#This Row],[SRG Gross]],FinanceCodesBudget[FinanceCode],FinanceCodesBudget[LedgerCode])=_xlfn.XLOOKUP(CONT_SUP[[#This Row],[DepartmentCode]],DEPTS[DepartmentCode],DEPTS[LedgerCode]),0,1),1)</f>
        <v>0</v>
      </c>
      <c r="N356" s="57" cm="1">
        <f t="array" ref="N356">IF(_xlfn.XLOOKUP(CONT_SUP[[#This Row],[PensionCode]],PENS[PensionCode],PENS[AvailableToAllSchools],1,0,)=TRUE,0,IF(ISERROR(FIND(CONT_SUP[[#This Row],[SchoolCode]],_xlfn.TEXTJOIN(",",TRUE,_xlfn.UNIQUE(IF(PENS[PensionCode]=CONT_SUP[[#This Row],[PensionCode]],PENS[SchoolCodes],""))))),1,0))</f>
        <v>0</v>
      </c>
      <c r="O356" s="57" cm="1">
        <f t="array" ref="O356">IF(_xlfn.XLOOKUP(CONT_SUP[[#This Row],[EquatedWeekPatternCode]],EQW[EquatedWeekPatternCode],EQW[AvailableToAllSchools],1,0,)=TRUE,0,IF(ISERROR(FIND(CONT_SUP[[#This Row],[SchoolCode]],_xlfn.TEXTJOIN(",",TRUE,_xlfn.UNIQUE(IF(EQW[EquatedWeekPatternCode]=CONT_SUP[[#This Row],[EquatedWeekPatternCode]],EQW[SchoolCodes],""))))),1,0))</f>
        <v>0</v>
      </c>
      <c r="P356" s="57">
        <f>1-COUNTIF(ContractTypes[Code],CONT_SUP[[#This Row],[ContractTypeCode]])</f>
        <v>0</v>
      </c>
      <c r="Q356" s="57">
        <f>IF(VLOOKUP(CONT_SUP[[#This Row],[StaffMemberCode]],MEMBERS[[StaffMemberCode]:[ServiceStartDate]],5,0)&gt;CONT_SUP[[#This Row],[DateFrom]],1,0)</f>
        <v>0</v>
      </c>
      <c r="R356" s="57">
        <f>IF(_xlfn.XLOOKUP(CONT_SUP[[#This Row],[StaffMemberCode]],MEMBERS[StaffMemberCode],MEMBERS[ServiceEndDate])="",0,IF(CONT_SUP[[#This Row],[DateTo]]="",1,IF(_xlfn.XLOOKUP(CONT_SUP[[#This Row],[StaffMemberCode]],MEMBERS[StaffMemberCode],MEMBERS[ServiceEndDate])&lt;CONT_SUP[[#This Row],[DateTo]],1,0)))</f>
        <v>0</v>
      </c>
      <c r="S356" s="57">
        <f>IF(ISBLANK(CONT_SUP[[#This Row],[DateTo]]),0,IF(CONT_SUP[[#This Row],[DateFrom]]=CONT_SUP[[#This Row],[DateTo]],0,IF(CONT_SUP[[#This Row],[DateFrom]]&lt;CONT_SUP[[#This Row],[DateTo]],0,1)))</f>
        <v>0</v>
      </c>
      <c r="T356" s="57" cm="1">
        <f t="array" aca="1" ref="T356" ca="1">IF(CELL("format",CONT_SUP[[#This Row],[DateFrom]])="D1",0,1)+IF(CELL("format",CONT_SUP[[#This Row],[DateTo]])="D1",0,1)</f>
        <v>0</v>
      </c>
      <c r="U356" s="57">
        <f>IF(OR(CONT_SUP[[#This Row],[MatEditOnly]]=TRUE,CONT_SUP[[#This Row],[MatEditOnly]]=FALSE),IF(OR(CONT_SUP[[#This Row],[NoIncrement]]=TRUE,CONT_SUP[[#This Row],[NoIncrement]]=FALSE),0,1),1)</f>
        <v>0</v>
      </c>
      <c r="V356" s="57">
        <f>IF(ISBLANK(CONT_SUP[[#This Row],[FundCode]])=TRUE,0,IF(COUNTIF(FUNDS[FundCode],CONT_SUP[[#This Row],[FundCode]])=1,0,1))</f>
        <v>0</v>
      </c>
      <c r="W356" s="57">
        <f>IF(LEN(CONT_SUP[[#This Row],[Notes]])&lt;4000,0,1)</f>
        <v>0</v>
      </c>
      <c r="X356" s="57">
        <f>IF(SUBSTITUTE(TEXT(CONT_SUP[[#This Row],[Reference]],10)," ","")=TEXT(CONT_SUP[[#This Row],[Reference]],10),0,1)</f>
        <v>0</v>
      </c>
      <c r="Y356" s="57">
        <f ca="1">SUM(CONT_SUP[[#This Row],[Duplicate Contract]:[Space in Code]])</f>
        <v>0</v>
      </c>
      <c r="AA356" s="12" t="s">
        <v>2126</v>
      </c>
      <c r="AB356" s="12">
        <v>10013441</v>
      </c>
      <c r="AC356" s="12">
        <v>108208</v>
      </c>
      <c r="AD356" s="57" t="str">
        <f>_xlfn.XLOOKUP(CONT_SUP[[#This Row],[StaffMemberCode]],StaffMembers!O:O,StaffMembers!R:R)</f>
        <v>Kerry Simcock</v>
      </c>
      <c r="AE356" s="12" t="s">
        <v>4307</v>
      </c>
      <c r="AF356" s="57">
        <f>_xlfn.XLOOKUP(CONT_SUP[[#This Row],[SRG]],SRG[StaffRoleGroupCode],SRG[GrossSalaryFinanceCode])</f>
        <v>635100</v>
      </c>
      <c r="AG356" s="57" t="str">
        <f>_xlfn.XLOOKUP(CONT_SUP[[#This Row],[StaffRoleCode]],ROLES[StaffRoleCode],ROLES[StaffRoleGroupCode])</f>
        <v>MDS</v>
      </c>
      <c r="AH356" s="57" t="str">
        <f>_xlfn.XLOOKUP(CONT_SUP[[#This Row],[StaffRoleCode]],ROLES[StaffRoleCode],ROLES[PayScaleCode])</f>
        <v>NJC_CHE</v>
      </c>
      <c r="AI356" s="12" t="s">
        <v>3120</v>
      </c>
      <c r="AJ356" s="12">
        <v>2</v>
      </c>
      <c r="AK356" s="12" t="s">
        <v>2488</v>
      </c>
      <c r="AM356" s="68" t="s">
        <v>3132</v>
      </c>
      <c r="AN356" s="12" t="s">
        <v>3134</v>
      </c>
      <c r="AO356" s="21">
        <v>46023</v>
      </c>
      <c r="AQ356" s="12">
        <v>20</v>
      </c>
      <c r="AR356" t="b">
        <v>0</v>
      </c>
      <c r="AS356" t="b">
        <v>0</v>
      </c>
      <c r="AT356" s="12" t="s">
        <v>1574</v>
      </c>
    </row>
    <row r="357" spans="1:46" x14ac:dyDescent="0.3">
      <c r="A357" s="57" t="str">
        <f t="shared" si="12"/>
        <v>MLB10015147108693MDASMID46023</v>
      </c>
      <c r="B357" s="57">
        <f>COUNTIF(CONT_SUP[Unique Contract],CONT_SUP[[#This Row],[Unique Contract]])-1</f>
        <v>0</v>
      </c>
      <c r="C357" s="57">
        <f>IFERROR(IF(FIND(CONT_SUP[[#This Row],[SchoolCode]],_xlfn.XLOOKUP(CONT_SUP[[#This Row],[StaffMemberCode]],MEMBERS[StaffMemberCode],MEMBERS[SchoolCodes]))&gt;0,0,1),1)</f>
        <v>0</v>
      </c>
      <c r="D357" s="57" cm="1">
        <f t="array" ref="D357">IF(_xlfn.XLOOKUP(CONT_SUP[[#This Row],[StaffRoleCode]],ROLES[StaffRoleCode],ROLES[AvailableToAllSchools],1,0,)=TRUE,0,IF(ISERROR(FIND(CONT_SUP[[#This Row],[SchoolCode]],_xlfn.TEXTJOIN(",",TRUE,_xlfn.UNIQUE(IF(ROLES[StaffRoleCode]=CONT_SUP[[#This Row],[StaffRoleCode]],ROLES[SchoolCodes],""))))),1,0))</f>
        <v>0</v>
      </c>
      <c r="E357" s="57" cm="1">
        <f t="array" ref="E35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57" s="57" cm="1">
        <f t="array" ref="F357">IF(_xlfn.XLOOKUP(CONT_SUP[[#This Row],[PayScaleCode]],PAYSCALES[PayScaleCode],PAYSCALES[AvailableToAllSchools],1,0,)=TRUE,0,IF(ISERROR(FIND(CONT_SUP[[#This Row],[SchoolCode]],_xlfn.TEXTJOIN(",",TRUE,_xlfn.UNIQUE(IF(PAYSCALES[PayScaleCode]=CONT_SUP[[#This Row],[PayScaleCode]],PAYSCALES[SchoolCodes],""))))),1,0))</f>
        <v>0</v>
      </c>
      <c r="G357" s="57">
        <f>IF(_xlfn.XLOOKUP(CONT_SUP[[#This Row],[PayScaleGradeCode]],GRADES[PayScaleGradeCode],GRADES[AvailableToAllSchools])=TRUE,0,IFERROR(IF(FIND(CONT_SUP[[#This Row],[SchoolCode]],_xlfn.XLOOKUP(CONT_SUP[[#This Row],[PayScaleGradeCode]],GRADES[PayScaleGradeCode],GRADES[SchoolCodes]))&gt;=1,0,1),1))</f>
        <v>0</v>
      </c>
      <c r="H357" s="57">
        <f>IF(ISERROR(IF((_xlfn.XLOOKUP(CONT_SUP[[#This Row],[PayScaleGradeCode]],GRADES[PayScaleGradeCode],GRADES[PayScaleCode])=CONT_SUP[[#This Row],[PayScaleCode]]),0,1)),1,0)</f>
        <v>0</v>
      </c>
      <c r="I357" s="57" cm="1">
        <f t="array" ref="I357">IF(ISERROR(FIND(CONT_SUP[[#This Row],[PayScalePointCode]],_xlfn.TEXTJOIN(",",TRUE,IF(PSPOINTS[PayScaleCode]=CONT_SUP[[#This Row],[PayScaleCode]],PSPOINTS[PayScalePointCode])))),1,0)</f>
        <v>0</v>
      </c>
      <c r="J357" s="57" cm="1">
        <f t="array" ref="J35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57" s="57">
        <f>IF(_xlfn.XLOOKUP(CONT_SUP[[#This Row],[PayScalePointCode]],PSPOINTS[PayScalePointCode],PSPOINTS[PayScalePointEnabled])=TRUE,0,1)</f>
        <v>0</v>
      </c>
      <c r="L357" s="57" cm="1">
        <f t="array" ref="L357">IF(_xlfn.XLOOKUP(CONT_SUP[[#This Row],[DepartmentCode]],DEPTS[DepartmentCode],DEPTS[AvailableToAllSchools],1,0,)=TRUE,0,IF(ISERROR(FIND(CONT_SUP[[#This Row],[SchoolCode]],_xlfn.TEXTJOIN(",",TRUE,_xlfn.UNIQUE(IF(DEPTS[DepartmentCode]=CONT_SUP[[#This Row],[DepartmentCode]],DEPTS[SchoolCodes],""))))),1,0))</f>
        <v>0</v>
      </c>
      <c r="M357" s="57">
        <f>IFERROR(IF(_xlfn.XLOOKUP(CONT_SUP[[#This Row],[SRG Gross]],FinanceCodesBudget[FinanceCode],FinanceCodesBudget[LedgerCode])=_xlfn.XLOOKUP(CONT_SUP[[#This Row],[DepartmentCode]],DEPTS[DepartmentCode],DEPTS[LedgerCode]),0,1),1)</f>
        <v>0</v>
      </c>
      <c r="N357" s="57" cm="1">
        <f t="array" ref="N357">IF(_xlfn.XLOOKUP(CONT_SUP[[#This Row],[PensionCode]],PENS[PensionCode],PENS[AvailableToAllSchools],1,0,)=TRUE,0,IF(ISERROR(FIND(CONT_SUP[[#This Row],[SchoolCode]],_xlfn.TEXTJOIN(",",TRUE,_xlfn.UNIQUE(IF(PENS[PensionCode]=CONT_SUP[[#This Row],[PensionCode]],PENS[SchoolCodes],""))))),1,0))</f>
        <v>0</v>
      </c>
      <c r="O357" s="57" cm="1">
        <f t="array" ref="O357">IF(_xlfn.XLOOKUP(CONT_SUP[[#This Row],[EquatedWeekPatternCode]],EQW[EquatedWeekPatternCode],EQW[AvailableToAllSchools],1,0,)=TRUE,0,IF(ISERROR(FIND(CONT_SUP[[#This Row],[SchoolCode]],_xlfn.TEXTJOIN(",",TRUE,_xlfn.UNIQUE(IF(EQW[EquatedWeekPatternCode]=CONT_SUP[[#This Row],[EquatedWeekPatternCode]],EQW[SchoolCodes],""))))),1,0))</f>
        <v>0</v>
      </c>
      <c r="P357" s="57">
        <f>1-COUNTIF(ContractTypes[Code],CONT_SUP[[#This Row],[ContractTypeCode]])</f>
        <v>0</v>
      </c>
      <c r="Q357" s="57">
        <f>IF(VLOOKUP(CONT_SUP[[#This Row],[StaffMemberCode]],MEMBERS[[StaffMemberCode]:[ServiceStartDate]],5,0)&gt;CONT_SUP[[#This Row],[DateFrom]],1,0)</f>
        <v>0</v>
      </c>
      <c r="R357" s="57">
        <f>IF(_xlfn.XLOOKUP(CONT_SUP[[#This Row],[StaffMemberCode]],MEMBERS[StaffMemberCode],MEMBERS[ServiceEndDate])="",0,IF(CONT_SUP[[#This Row],[DateTo]]="",1,IF(_xlfn.XLOOKUP(CONT_SUP[[#This Row],[StaffMemberCode]],MEMBERS[StaffMemberCode],MEMBERS[ServiceEndDate])&lt;CONT_SUP[[#This Row],[DateTo]],1,0)))</f>
        <v>0</v>
      </c>
      <c r="S357" s="57">
        <f>IF(ISBLANK(CONT_SUP[[#This Row],[DateTo]]),0,IF(CONT_SUP[[#This Row],[DateFrom]]=CONT_SUP[[#This Row],[DateTo]],0,IF(CONT_SUP[[#This Row],[DateFrom]]&lt;CONT_SUP[[#This Row],[DateTo]],0,1)))</f>
        <v>0</v>
      </c>
      <c r="T357" s="57" cm="1">
        <f t="array" aca="1" ref="T357" ca="1">IF(CELL("format",CONT_SUP[[#This Row],[DateFrom]])="D1",0,1)+IF(CELL("format",CONT_SUP[[#This Row],[DateTo]])="D1",0,1)</f>
        <v>0</v>
      </c>
      <c r="U357" s="57">
        <f>IF(OR(CONT_SUP[[#This Row],[MatEditOnly]]=TRUE,CONT_SUP[[#This Row],[MatEditOnly]]=FALSE),IF(OR(CONT_SUP[[#This Row],[NoIncrement]]=TRUE,CONT_SUP[[#This Row],[NoIncrement]]=FALSE),0,1),1)</f>
        <v>0</v>
      </c>
      <c r="V357" s="57">
        <f>IF(ISBLANK(CONT_SUP[[#This Row],[FundCode]])=TRUE,0,IF(COUNTIF(FUNDS[FundCode],CONT_SUP[[#This Row],[FundCode]])=1,0,1))</f>
        <v>0</v>
      </c>
      <c r="W357" s="57">
        <f>IF(LEN(CONT_SUP[[#This Row],[Notes]])&lt;4000,0,1)</f>
        <v>0</v>
      </c>
      <c r="X357" s="57">
        <f>IF(SUBSTITUTE(TEXT(CONT_SUP[[#This Row],[Reference]],10)," ","")=TEXT(CONT_SUP[[#This Row],[Reference]],10),0,1)</f>
        <v>0</v>
      </c>
      <c r="Y357" s="57">
        <f ca="1">SUM(CONT_SUP[[#This Row],[Duplicate Contract]:[Space in Code]])</f>
        <v>0</v>
      </c>
      <c r="AA357" s="12" t="s">
        <v>2126</v>
      </c>
      <c r="AB357" s="12">
        <v>10015147</v>
      </c>
      <c r="AC357" s="12">
        <v>108693</v>
      </c>
      <c r="AD357" s="57" t="str">
        <f>_xlfn.XLOOKUP(CONT_SUP[[#This Row],[StaffMemberCode]],StaffMembers!O:O,StaffMembers!R:R)</f>
        <v>Louise Rhodes</v>
      </c>
      <c r="AE357" s="12" t="s">
        <v>4307</v>
      </c>
      <c r="AF357" s="57">
        <f>_xlfn.XLOOKUP(CONT_SUP[[#This Row],[SRG]],SRG[StaffRoleGroupCode],SRG[GrossSalaryFinanceCode])</f>
        <v>635100</v>
      </c>
      <c r="AG357" s="57" t="str">
        <f>_xlfn.XLOOKUP(CONT_SUP[[#This Row],[StaffRoleCode]],ROLES[StaffRoleCode],ROLES[StaffRoleGroupCode])</f>
        <v>MDS</v>
      </c>
      <c r="AH357" s="57" t="str">
        <f>_xlfn.XLOOKUP(CONT_SUP[[#This Row],[StaffRoleCode]],ROLES[StaffRoleCode],ROLES[PayScaleCode])</f>
        <v>NJC_CHE</v>
      </c>
      <c r="AI357" s="12" t="s">
        <v>3120</v>
      </c>
      <c r="AJ357" s="12">
        <v>2</v>
      </c>
      <c r="AK357" s="12" t="s">
        <v>2488</v>
      </c>
      <c r="AM357" s="68" t="s">
        <v>3132</v>
      </c>
      <c r="AN357" s="12" t="s">
        <v>3134</v>
      </c>
      <c r="AO357" s="21">
        <v>46023</v>
      </c>
      <c r="AQ357" s="12">
        <v>16</v>
      </c>
      <c r="AR357" t="b">
        <v>0</v>
      </c>
      <c r="AS357" t="b">
        <v>0</v>
      </c>
      <c r="AT357" s="12" t="s">
        <v>1574</v>
      </c>
    </row>
    <row r="358" spans="1:46" x14ac:dyDescent="0.3">
      <c r="A358" s="57" t="str">
        <f t="shared" si="12"/>
        <v>MLB10008048110866SITE_OFFSPREM46023</v>
      </c>
      <c r="B358" s="57">
        <f>COUNTIF(CONT_SUP[Unique Contract],CONT_SUP[[#This Row],[Unique Contract]])-1</f>
        <v>0</v>
      </c>
      <c r="C358" s="57">
        <f>IFERROR(IF(FIND(CONT_SUP[[#This Row],[SchoolCode]],_xlfn.XLOOKUP(CONT_SUP[[#This Row],[StaffMemberCode]],MEMBERS[StaffMemberCode],MEMBERS[SchoolCodes]))&gt;0,0,1),1)</f>
        <v>0</v>
      </c>
      <c r="D358" s="57" cm="1">
        <f t="array" ref="D358">IF(_xlfn.XLOOKUP(CONT_SUP[[#This Row],[StaffRoleCode]],ROLES[StaffRoleCode],ROLES[AvailableToAllSchools],1,0,)=TRUE,0,IF(ISERROR(FIND(CONT_SUP[[#This Row],[SchoolCode]],_xlfn.TEXTJOIN(",",TRUE,_xlfn.UNIQUE(IF(ROLES[StaffRoleCode]=CONT_SUP[[#This Row],[StaffRoleCode]],ROLES[SchoolCodes],""))))),1,0))</f>
        <v>0</v>
      </c>
      <c r="E358" s="57" cm="1">
        <f t="array" ref="E35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58" s="57" cm="1">
        <f t="array" ref="F358">IF(_xlfn.XLOOKUP(CONT_SUP[[#This Row],[PayScaleCode]],PAYSCALES[PayScaleCode],PAYSCALES[AvailableToAllSchools],1,0,)=TRUE,0,IF(ISERROR(FIND(CONT_SUP[[#This Row],[SchoolCode]],_xlfn.TEXTJOIN(",",TRUE,_xlfn.UNIQUE(IF(PAYSCALES[PayScaleCode]=CONT_SUP[[#This Row],[PayScaleCode]],PAYSCALES[SchoolCodes],""))))),1,0))</f>
        <v>0</v>
      </c>
      <c r="G358" s="57">
        <f>IF(_xlfn.XLOOKUP(CONT_SUP[[#This Row],[PayScaleGradeCode]],GRADES[PayScaleGradeCode],GRADES[AvailableToAllSchools])=TRUE,0,IFERROR(IF(FIND(CONT_SUP[[#This Row],[SchoolCode]],_xlfn.XLOOKUP(CONT_SUP[[#This Row],[PayScaleGradeCode]],GRADES[PayScaleGradeCode],GRADES[SchoolCodes]))&gt;=1,0,1),1))</f>
        <v>0</v>
      </c>
      <c r="H358" s="57">
        <f>IF(ISERROR(IF((_xlfn.XLOOKUP(CONT_SUP[[#This Row],[PayScaleGradeCode]],GRADES[PayScaleGradeCode],GRADES[PayScaleCode])=CONT_SUP[[#This Row],[PayScaleCode]]),0,1)),1,0)</f>
        <v>0</v>
      </c>
      <c r="I358" s="57" cm="1">
        <f t="array" ref="I358">IF(ISERROR(FIND(CONT_SUP[[#This Row],[PayScalePointCode]],_xlfn.TEXTJOIN(",",TRUE,IF(PSPOINTS[PayScaleCode]=CONT_SUP[[#This Row],[PayScaleCode]],PSPOINTS[PayScalePointCode])))),1,0)</f>
        <v>0</v>
      </c>
      <c r="J358" s="57" cm="1">
        <f t="array" ref="J35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58" s="57">
        <f>IF(_xlfn.XLOOKUP(CONT_SUP[[#This Row],[PayScalePointCode]],PSPOINTS[PayScalePointCode],PSPOINTS[PayScalePointEnabled])=TRUE,0,1)</f>
        <v>0</v>
      </c>
      <c r="L358" s="57" cm="1">
        <f t="array" ref="L358">IF(_xlfn.XLOOKUP(CONT_SUP[[#This Row],[DepartmentCode]],DEPTS[DepartmentCode],DEPTS[AvailableToAllSchools],1,0,)=TRUE,0,IF(ISERROR(FIND(CONT_SUP[[#This Row],[SchoolCode]],_xlfn.TEXTJOIN(",",TRUE,_xlfn.UNIQUE(IF(DEPTS[DepartmentCode]=CONT_SUP[[#This Row],[DepartmentCode]],DEPTS[SchoolCodes],""))))),1,0))</f>
        <v>0</v>
      </c>
      <c r="M358" s="57">
        <f>IFERROR(IF(_xlfn.XLOOKUP(CONT_SUP[[#This Row],[SRG Gross]],FinanceCodesBudget[FinanceCode],FinanceCodesBudget[LedgerCode])=_xlfn.XLOOKUP(CONT_SUP[[#This Row],[DepartmentCode]],DEPTS[DepartmentCode],DEPTS[LedgerCode]),0,1),1)</f>
        <v>0</v>
      </c>
      <c r="N358" s="57" cm="1">
        <f t="array" ref="N358">IF(_xlfn.XLOOKUP(CONT_SUP[[#This Row],[PensionCode]],PENS[PensionCode],PENS[AvailableToAllSchools],1,0,)=TRUE,0,IF(ISERROR(FIND(CONT_SUP[[#This Row],[SchoolCode]],_xlfn.TEXTJOIN(",",TRUE,_xlfn.UNIQUE(IF(PENS[PensionCode]=CONT_SUP[[#This Row],[PensionCode]],PENS[SchoolCodes],""))))),1,0))</f>
        <v>0</v>
      </c>
      <c r="O358" s="57" cm="1">
        <f t="array" ref="O358">IF(_xlfn.XLOOKUP(CONT_SUP[[#This Row],[EquatedWeekPatternCode]],EQW[EquatedWeekPatternCode],EQW[AvailableToAllSchools],1,0,)=TRUE,0,IF(ISERROR(FIND(CONT_SUP[[#This Row],[SchoolCode]],_xlfn.TEXTJOIN(",",TRUE,_xlfn.UNIQUE(IF(EQW[EquatedWeekPatternCode]=CONT_SUP[[#This Row],[EquatedWeekPatternCode]],EQW[SchoolCodes],""))))),1,0))</f>
        <v>0</v>
      </c>
      <c r="P358" s="57">
        <f>1-COUNTIF(ContractTypes[Code],CONT_SUP[[#This Row],[ContractTypeCode]])</f>
        <v>0</v>
      </c>
      <c r="Q358" s="57">
        <f>IF(VLOOKUP(CONT_SUP[[#This Row],[StaffMemberCode]],MEMBERS[[StaffMemberCode]:[ServiceStartDate]],5,0)&gt;CONT_SUP[[#This Row],[DateFrom]],1,0)</f>
        <v>0</v>
      </c>
      <c r="R358" s="57">
        <f>IF(_xlfn.XLOOKUP(CONT_SUP[[#This Row],[StaffMemberCode]],MEMBERS[StaffMemberCode],MEMBERS[ServiceEndDate])="",0,IF(CONT_SUP[[#This Row],[DateTo]]="",1,IF(_xlfn.XLOOKUP(CONT_SUP[[#This Row],[StaffMemberCode]],MEMBERS[StaffMemberCode],MEMBERS[ServiceEndDate])&lt;CONT_SUP[[#This Row],[DateTo]],1,0)))</f>
        <v>0</v>
      </c>
      <c r="S358" s="57">
        <f>IF(ISBLANK(CONT_SUP[[#This Row],[DateTo]]),0,IF(CONT_SUP[[#This Row],[DateFrom]]=CONT_SUP[[#This Row],[DateTo]],0,IF(CONT_SUP[[#This Row],[DateFrom]]&lt;CONT_SUP[[#This Row],[DateTo]],0,1)))</f>
        <v>0</v>
      </c>
      <c r="T358" s="57" cm="1">
        <f t="array" aca="1" ref="T358" ca="1">IF(CELL("format",CONT_SUP[[#This Row],[DateFrom]])="D1",0,1)+IF(CELL("format",CONT_SUP[[#This Row],[DateTo]])="D1",0,1)</f>
        <v>0</v>
      </c>
      <c r="U358" s="57">
        <f>IF(OR(CONT_SUP[[#This Row],[MatEditOnly]]=TRUE,CONT_SUP[[#This Row],[MatEditOnly]]=FALSE),IF(OR(CONT_SUP[[#This Row],[NoIncrement]]=TRUE,CONT_SUP[[#This Row],[NoIncrement]]=FALSE),0,1),1)</f>
        <v>0</v>
      </c>
      <c r="V358" s="57">
        <f>IF(ISBLANK(CONT_SUP[[#This Row],[FundCode]])=TRUE,0,IF(COUNTIF(FUNDS[FundCode],CONT_SUP[[#This Row],[FundCode]])=1,0,1))</f>
        <v>0</v>
      </c>
      <c r="W358" s="57">
        <f>IF(LEN(CONT_SUP[[#This Row],[Notes]])&lt;4000,0,1)</f>
        <v>0</v>
      </c>
      <c r="X358" s="57">
        <f>IF(SUBSTITUTE(TEXT(CONT_SUP[[#This Row],[Reference]],10)," ","")=TEXT(CONT_SUP[[#This Row],[Reference]],10),0,1)</f>
        <v>0</v>
      </c>
      <c r="Y358" s="57">
        <f ca="1">SUM(CONT_SUP[[#This Row],[Duplicate Contract]:[Space in Code]])</f>
        <v>0</v>
      </c>
      <c r="AA358" s="12" t="s">
        <v>2126</v>
      </c>
      <c r="AB358" s="12">
        <v>10008048</v>
      </c>
      <c r="AC358" s="12">
        <v>110866</v>
      </c>
      <c r="AD358" s="57" t="str">
        <f>_xlfn.XLOOKUP(CONT_SUP[[#This Row],[StaffMemberCode]],StaffMembers!O:O,StaffMembers!R:R)</f>
        <v>Wayne Newton</v>
      </c>
      <c r="AE358" s="12" t="s">
        <v>4299</v>
      </c>
      <c r="AF358" s="57">
        <f>_xlfn.XLOOKUP(CONT_SUP[[#This Row],[SRG]],SRG[StaffRoleGroupCode],SRG[GrossSalaryFinanceCode])</f>
        <v>627100</v>
      </c>
      <c r="AG358" s="57" t="str">
        <f>_xlfn.XLOOKUP(CONT_SUP[[#This Row],[StaffRoleCode]],ROLES[StaffRoleCode],ROLES[StaffRoleGroupCode])</f>
        <v>PRE</v>
      </c>
      <c r="AH358" s="57" t="str">
        <f>_xlfn.XLOOKUP(CONT_SUP[[#This Row],[StaffRoleCode]],ROLES[StaffRoleCode],ROLES[PayScaleCode])</f>
        <v>NJC_CHE</v>
      </c>
      <c r="AI358" s="12" t="s">
        <v>3123</v>
      </c>
      <c r="AJ358" s="12">
        <v>10</v>
      </c>
      <c r="AK358" s="12" t="s">
        <v>2495</v>
      </c>
      <c r="AM358" s="68" t="s">
        <v>3132</v>
      </c>
      <c r="AN358" s="12" t="s">
        <v>1702</v>
      </c>
      <c r="AO358" s="21">
        <v>46023</v>
      </c>
      <c r="AQ358" s="12">
        <v>37</v>
      </c>
      <c r="AR358" t="b">
        <v>0</v>
      </c>
      <c r="AS358" t="b">
        <v>0</v>
      </c>
      <c r="AT358" s="12" t="s">
        <v>1574</v>
      </c>
    </row>
    <row r="359" spans="1:46" x14ac:dyDescent="0.3">
      <c r="A359" s="57" t="str">
        <f t="shared" si="12"/>
        <v>MLB10015065111658SITE_OFFSPREM46023</v>
      </c>
      <c r="B359" s="57">
        <f>COUNTIF(CONT_SUP[Unique Contract],CONT_SUP[[#This Row],[Unique Contract]])-1</f>
        <v>0</v>
      </c>
      <c r="C359" s="57">
        <f>IFERROR(IF(FIND(CONT_SUP[[#This Row],[SchoolCode]],_xlfn.XLOOKUP(CONT_SUP[[#This Row],[StaffMemberCode]],MEMBERS[StaffMemberCode],MEMBERS[SchoolCodes]))&gt;0,0,1),1)</f>
        <v>0</v>
      </c>
      <c r="D359" s="57" cm="1">
        <f t="array" ref="D359">IF(_xlfn.XLOOKUP(CONT_SUP[[#This Row],[StaffRoleCode]],ROLES[StaffRoleCode],ROLES[AvailableToAllSchools],1,0,)=TRUE,0,IF(ISERROR(FIND(CONT_SUP[[#This Row],[SchoolCode]],_xlfn.TEXTJOIN(",",TRUE,_xlfn.UNIQUE(IF(ROLES[StaffRoleCode]=CONT_SUP[[#This Row],[StaffRoleCode]],ROLES[SchoolCodes],""))))),1,0))</f>
        <v>0</v>
      </c>
      <c r="E359" s="57" cm="1">
        <f t="array" ref="E35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59" s="57" cm="1">
        <f t="array" ref="F359">IF(_xlfn.XLOOKUP(CONT_SUP[[#This Row],[PayScaleCode]],PAYSCALES[PayScaleCode],PAYSCALES[AvailableToAllSchools],1,0,)=TRUE,0,IF(ISERROR(FIND(CONT_SUP[[#This Row],[SchoolCode]],_xlfn.TEXTJOIN(",",TRUE,_xlfn.UNIQUE(IF(PAYSCALES[PayScaleCode]=CONT_SUP[[#This Row],[PayScaleCode]],PAYSCALES[SchoolCodes],""))))),1,0))</f>
        <v>0</v>
      </c>
      <c r="G359" s="57">
        <f>IF(_xlfn.XLOOKUP(CONT_SUP[[#This Row],[PayScaleGradeCode]],GRADES[PayScaleGradeCode],GRADES[AvailableToAllSchools])=TRUE,0,IFERROR(IF(FIND(CONT_SUP[[#This Row],[SchoolCode]],_xlfn.XLOOKUP(CONT_SUP[[#This Row],[PayScaleGradeCode]],GRADES[PayScaleGradeCode],GRADES[SchoolCodes]))&gt;=1,0,1),1))</f>
        <v>0</v>
      </c>
      <c r="H359" s="57">
        <f>IF(ISERROR(IF((_xlfn.XLOOKUP(CONT_SUP[[#This Row],[PayScaleGradeCode]],GRADES[PayScaleGradeCode],GRADES[PayScaleCode])=CONT_SUP[[#This Row],[PayScaleCode]]),0,1)),1,0)</f>
        <v>0</v>
      </c>
      <c r="I359" s="57" cm="1">
        <f t="array" ref="I359">IF(ISERROR(FIND(CONT_SUP[[#This Row],[PayScalePointCode]],_xlfn.TEXTJOIN(",",TRUE,IF(PSPOINTS[PayScaleCode]=CONT_SUP[[#This Row],[PayScaleCode]],PSPOINTS[PayScalePointCode])))),1,0)</f>
        <v>0</v>
      </c>
      <c r="J359" s="57" cm="1">
        <f t="array" ref="J35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59" s="57">
        <f>IF(_xlfn.XLOOKUP(CONT_SUP[[#This Row],[PayScalePointCode]],PSPOINTS[PayScalePointCode],PSPOINTS[PayScalePointEnabled])=TRUE,0,1)</f>
        <v>0</v>
      </c>
      <c r="L359" s="57" cm="1">
        <f t="array" ref="L359">IF(_xlfn.XLOOKUP(CONT_SUP[[#This Row],[DepartmentCode]],DEPTS[DepartmentCode],DEPTS[AvailableToAllSchools],1,0,)=TRUE,0,IF(ISERROR(FIND(CONT_SUP[[#This Row],[SchoolCode]],_xlfn.TEXTJOIN(",",TRUE,_xlfn.UNIQUE(IF(DEPTS[DepartmentCode]=CONT_SUP[[#This Row],[DepartmentCode]],DEPTS[SchoolCodes],""))))),1,0))</f>
        <v>0</v>
      </c>
      <c r="M359" s="57">
        <f>IFERROR(IF(_xlfn.XLOOKUP(CONT_SUP[[#This Row],[SRG Gross]],FinanceCodesBudget[FinanceCode],FinanceCodesBudget[LedgerCode])=_xlfn.XLOOKUP(CONT_SUP[[#This Row],[DepartmentCode]],DEPTS[DepartmentCode],DEPTS[LedgerCode]),0,1),1)</f>
        <v>0</v>
      </c>
      <c r="N359" s="57" cm="1">
        <f t="array" ref="N359">IF(_xlfn.XLOOKUP(CONT_SUP[[#This Row],[PensionCode]],PENS[PensionCode],PENS[AvailableToAllSchools],1,0,)=TRUE,0,IF(ISERROR(FIND(CONT_SUP[[#This Row],[SchoolCode]],_xlfn.TEXTJOIN(",",TRUE,_xlfn.UNIQUE(IF(PENS[PensionCode]=CONT_SUP[[#This Row],[PensionCode]],PENS[SchoolCodes],""))))),1,0))</f>
        <v>0</v>
      </c>
      <c r="O359" s="57" cm="1">
        <f t="array" ref="O359">IF(_xlfn.XLOOKUP(CONT_SUP[[#This Row],[EquatedWeekPatternCode]],EQW[EquatedWeekPatternCode],EQW[AvailableToAllSchools],1,0,)=TRUE,0,IF(ISERROR(FIND(CONT_SUP[[#This Row],[SchoolCode]],_xlfn.TEXTJOIN(",",TRUE,_xlfn.UNIQUE(IF(EQW[EquatedWeekPatternCode]=CONT_SUP[[#This Row],[EquatedWeekPatternCode]],EQW[SchoolCodes],""))))),1,0))</f>
        <v>0</v>
      </c>
      <c r="P359" s="57">
        <f>1-COUNTIF(ContractTypes[Code],CONT_SUP[[#This Row],[ContractTypeCode]])</f>
        <v>0</v>
      </c>
      <c r="Q359" s="57">
        <f>IF(VLOOKUP(CONT_SUP[[#This Row],[StaffMemberCode]],MEMBERS[[StaffMemberCode]:[ServiceStartDate]],5,0)&gt;CONT_SUP[[#This Row],[DateFrom]],1,0)</f>
        <v>0</v>
      </c>
      <c r="R359" s="57">
        <f>IF(_xlfn.XLOOKUP(CONT_SUP[[#This Row],[StaffMemberCode]],MEMBERS[StaffMemberCode],MEMBERS[ServiceEndDate])="",0,IF(CONT_SUP[[#This Row],[DateTo]]="",1,IF(_xlfn.XLOOKUP(CONT_SUP[[#This Row],[StaffMemberCode]],MEMBERS[StaffMemberCode],MEMBERS[ServiceEndDate])&lt;CONT_SUP[[#This Row],[DateTo]],1,0)))</f>
        <v>0</v>
      </c>
      <c r="S359" s="57">
        <f>IF(ISBLANK(CONT_SUP[[#This Row],[DateTo]]),0,IF(CONT_SUP[[#This Row],[DateFrom]]=CONT_SUP[[#This Row],[DateTo]],0,IF(CONT_SUP[[#This Row],[DateFrom]]&lt;CONT_SUP[[#This Row],[DateTo]],0,1)))</f>
        <v>0</v>
      </c>
      <c r="T359" s="57" cm="1">
        <f t="array" aca="1" ref="T359" ca="1">IF(CELL("format",CONT_SUP[[#This Row],[DateFrom]])="D1",0,1)+IF(CELL("format",CONT_SUP[[#This Row],[DateTo]])="D1",0,1)</f>
        <v>0</v>
      </c>
      <c r="U359" s="57">
        <f>IF(OR(CONT_SUP[[#This Row],[MatEditOnly]]=TRUE,CONT_SUP[[#This Row],[MatEditOnly]]=FALSE),IF(OR(CONT_SUP[[#This Row],[NoIncrement]]=TRUE,CONT_SUP[[#This Row],[NoIncrement]]=FALSE),0,1),1)</f>
        <v>0</v>
      </c>
      <c r="V359" s="57">
        <f>IF(ISBLANK(CONT_SUP[[#This Row],[FundCode]])=TRUE,0,IF(COUNTIF(FUNDS[FundCode],CONT_SUP[[#This Row],[FundCode]])=1,0,1))</f>
        <v>0</v>
      </c>
      <c r="W359" s="57">
        <f>IF(LEN(CONT_SUP[[#This Row],[Notes]])&lt;4000,0,1)</f>
        <v>0</v>
      </c>
      <c r="X359" s="57">
        <f>IF(SUBSTITUTE(TEXT(CONT_SUP[[#This Row],[Reference]],10)," ","")=TEXT(CONT_SUP[[#This Row],[Reference]],10),0,1)</f>
        <v>0</v>
      </c>
      <c r="Y359" s="57">
        <f ca="1">SUM(CONT_SUP[[#This Row],[Duplicate Contract]:[Space in Code]])</f>
        <v>0</v>
      </c>
      <c r="AA359" s="12" t="s">
        <v>2126</v>
      </c>
      <c r="AB359" s="12">
        <v>10015065</v>
      </c>
      <c r="AC359" s="12">
        <v>111658</v>
      </c>
      <c r="AD359" s="57" t="str">
        <f>_xlfn.XLOOKUP(CONT_SUP[[#This Row],[StaffMemberCode]],StaffMembers!O:O,StaffMembers!R:R)</f>
        <v>Roger Bailey</v>
      </c>
      <c r="AE359" s="12" t="s">
        <v>4299</v>
      </c>
      <c r="AF359" s="57">
        <f>_xlfn.XLOOKUP(CONT_SUP[[#This Row],[SRG]],SRG[StaffRoleGroupCode],SRG[GrossSalaryFinanceCode])</f>
        <v>627100</v>
      </c>
      <c r="AG359" s="57" t="str">
        <f>_xlfn.XLOOKUP(CONT_SUP[[#This Row],[StaffRoleCode]],ROLES[StaffRoleCode],ROLES[StaffRoleGroupCode])</f>
        <v>PRE</v>
      </c>
      <c r="AH359" s="57" t="str">
        <f>_xlfn.XLOOKUP(CONT_SUP[[#This Row],[StaffRoleCode]],ROLES[StaffRoleCode],ROLES[PayScaleCode])</f>
        <v>NJC_CHE</v>
      </c>
      <c r="AI359" s="12" t="s">
        <v>3122</v>
      </c>
      <c r="AJ359" s="12">
        <v>5</v>
      </c>
      <c r="AK359" s="12" t="s">
        <v>2495</v>
      </c>
      <c r="AM359" s="68" t="s">
        <v>3132</v>
      </c>
      <c r="AN359" s="12" t="s">
        <v>1702</v>
      </c>
      <c r="AO359" s="21">
        <v>46023</v>
      </c>
      <c r="AQ359" s="12">
        <v>37</v>
      </c>
      <c r="AR359" t="b">
        <v>0</v>
      </c>
      <c r="AS359" t="b">
        <v>0</v>
      </c>
      <c r="AT359" s="12" t="s">
        <v>1574</v>
      </c>
    </row>
    <row r="360" spans="1:46" x14ac:dyDescent="0.3">
      <c r="A360" s="57" t="str">
        <f t="shared" si="12"/>
        <v>MLB10010228110864SITE_OFFSPREM46023</v>
      </c>
      <c r="B360" s="57">
        <f>COUNTIF(CONT_SUP[Unique Contract],CONT_SUP[[#This Row],[Unique Contract]])-1</f>
        <v>0</v>
      </c>
      <c r="C360" s="57">
        <f>IFERROR(IF(FIND(CONT_SUP[[#This Row],[SchoolCode]],_xlfn.XLOOKUP(CONT_SUP[[#This Row],[StaffMemberCode]],MEMBERS[StaffMemberCode],MEMBERS[SchoolCodes]))&gt;0,0,1),1)</f>
        <v>0</v>
      </c>
      <c r="D360" s="57" cm="1">
        <f t="array" ref="D360">IF(_xlfn.XLOOKUP(CONT_SUP[[#This Row],[StaffRoleCode]],ROLES[StaffRoleCode],ROLES[AvailableToAllSchools],1,0,)=TRUE,0,IF(ISERROR(FIND(CONT_SUP[[#This Row],[SchoolCode]],_xlfn.TEXTJOIN(",",TRUE,_xlfn.UNIQUE(IF(ROLES[StaffRoleCode]=CONT_SUP[[#This Row],[StaffRoleCode]],ROLES[SchoolCodes],""))))),1,0))</f>
        <v>0</v>
      </c>
      <c r="E360" s="57" cm="1">
        <f t="array" ref="E36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60" s="57" cm="1">
        <f t="array" ref="F360">IF(_xlfn.XLOOKUP(CONT_SUP[[#This Row],[PayScaleCode]],PAYSCALES[PayScaleCode],PAYSCALES[AvailableToAllSchools],1,0,)=TRUE,0,IF(ISERROR(FIND(CONT_SUP[[#This Row],[SchoolCode]],_xlfn.TEXTJOIN(",",TRUE,_xlfn.UNIQUE(IF(PAYSCALES[PayScaleCode]=CONT_SUP[[#This Row],[PayScaleCode]],PAYSCALES[SchoolCodes],""))))),1,0))</f>
        <v>0</v>
      </c>
      <c r="G360" s="57">
        <f>IF(_xlfn.XLOOKUP(CONT_SUP[[#This Row],[PayScaleGradeCode]],GRADES[PayScaleGradeCode],GRADES[AvailableToAllSchools])=TRUE,0,IFERROR(IF(FIND(CONT_SUP[[#This Row],[SchoolCode]],_xlfn.XLOOKUP(CONT_SUP[[#This Row],[PayScaleGradeCode]],GRADES[PayScaleGradeCode],GRADES[SchoolCodes]))&gt;=1,0,1),1))</f>
        <v>0</v>
      </c>
      <c r="H360" s="57">
        <f>IF(ISERROR(IF((_xlfn.XLOOKUP(CONT_SUP[[#This Row],[PayScaleGradeCode]],GRADES[PayScaleGradeCode],GRADES[PayScaleCode])=CONT_SUP[[#This Row],[PayScaleCode]]),0,1)),1,0)</f>
        <v>0</v>
      </c>
      <c r="I360" s="57" cm="1">
        <f t="array" ref="I360">IF(ISERROR(FIND(CONT_SUP[[#This Row],[PayScalePointCode]],_xlfn.TEXTJOIN(",",TRUE,IF(PSPOINTS[PayScaleCode]=CONT_SUP[[#This Row],[PayScaleCode]],PSPOINTS[PayScalePointCode])))),1,0)</f>
        <v>0</v>
      </c>
      <c r="J360" s="57" cm="1">
        <f t="array" ref="J36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60" s="57">
        <f>IF(_xlfn.XLOOKUP(CONT_SUP[[#This Row],[PayScalePointCode]],PSPOINTS[PayScalePointCode],PSPOINTS[PayScalePointEnabled])=TRUE,0,1)</f>
        <v>0</v>
      </c>
      <c r="L360" s="57" cm="1">
        <f t="array" ref="L360">IF(_xlfn.XLOOKUP(CONT_SUP[[#This Row],[DepartmentCode]],DEPTS[DepartmentCode],DEPTS[AvailableToAllSchools],1,0,)=TRUE,0,IF(ISERROR(FIND(CONT_SUP[[#This Row],[SchoolCode]],_xlfn.TEXTJOIN(",",TRUE,_xlfn.UNIQUE(IF(DEPTS[DepartmentCode]=CONT_SUP[[#This Row],[DepartmentCode]],DEPTS[SchoolCodes],""))))),1,0))</f>
        <v>0</v>
      </c>
      <c r="M360" s="57">
        <f>IFERROR(IF(_xlfn.XLOOKUP(CONT_SUP[[#This Row],[SRG Gross]],FinanceCodesBudget[FinanceCode],FinanceCodesBudget[LedgerCode])=_xlfn.XLOOKUP(CONT_SUP[[#This Row],[DepartmentCode]],DEPTS[DepartmentCode],DEPTS[LedgerCode]),0,1),1)</f>
        <v>0</v>
      </c>
      <c r="N360" s="57" cm="1">
        <f t="array" ref="N360">IF(_xlfn.XLOOKUP(CONT_SUP[[#This Row],[PensionCode]],PENS[PensionCode],PENS[AvailableToAllSchools],1,0,)=TRUE,0,IF(ISERROR(FIND(CONT_SUP[[#This Row],[SchoolCode]],_xlfn.TEXTJOIN(",",TRUE,_xlfn.UNIQUE(IF(PENS[PensionCode]=CONT_SUP[[#This Row],[PensionCode]],PENS[SchoolCodes],""))))),1,0))</f>
        <v>0</v>
      </c>
      <c r="O360" s="57" cm="1">
        <f t="array" ref="O360">IF(_xlfn.XLOOKUP(CONT_SUP[[#This Row],[EquatedWeekPatternCode]],EQW[EquatedWeekPatternCode],EQW[AvailableToAllSchools],1,0,)=TRUE,0,IF(ISERROR(FIND(CONT_SUP[[#This Row],[SchoolCode]],_xlfn.TEXTJOIN(",",TRUE,_xlfn.UNIQUE(IF(EQW[EquatedWeekPatternCode]=CONT_SUP[[#This Row],[EquatedWeekPatternCode]],EQW[SchoolCodes],""))))),1,0))</f>
        <v>0</v>
      </c>
      <c r="P360" s="57">
        <f>1-COUNTIF(ContractTypes[Code],CONT_SUP[[#This Row],[ContractTypeCode]])</f>
        <v>0</v>
      </c>
      <c r="Q360" s="57">
        <f>IF(VLOOKUP(CONT_SUP[[#This Row],[StaffMemberCode]],MEMBERS[[StaffMemberCode]:[ServiceStartDate]],5,0)&gt;CONT_SUP[[#This Row],[DateFrom]],1,0)</f>
        <v>0</v>
      </c>
      <c r="R360" s="57">
        <f>IF(_xlfn.XLOOKUP(CONT_SUP[[#This Row],[StaffMemberCode]],MEMBERS[StaffMemberCode],MEMBERS[ServiceEndDate])="",0,IF(CONT_SUP[[#This Row],[DateTo]]="",1,IF(_xlfn.XLOOKUP(CONT_SUP[[#This Row],[StaffMemberCode]],MEMBERS[StaffMemberCode],MEMBERS[ServiceEndDate])&lt;CONT_SUP[[#This Row],[DateTo]],1,0)))</f>
        <v>0</v>
      </c>
      <c r="S360" s="57">
        <f>IF(ISBLANK(CONT_SUP[[#This Row],[DateTo]]),0,IF(CONT_SUP[[#This Row],[DateFrom]]=CONT_SUP[[#This Row],[DateTo]],0,IF(CONT_SUP[[#This Row],[DateFrom]]&lt;CONT_SUP[[#This Row],[DateTo]],0,1)))</f>
        <v>0</v>
      </c>
      <c r="T360" s="57" cm="1">
        <f t="array" aca="1" ref="T360" ca="1">IF(CELL("format",CONT_SUP[[#This Row],[DateFrom]])="D1",0,1)+IF(CELL("format",CONT_SUP[[#This Row],[DateTo]])="D1",0,1)</f>
        <v>0</v>
      </c>
      <c r="U360" s="57">
        <f>IF(OR(CONT_SUP[[#This Row],[MatEditOnly]]=TRUE,CONT_SUP[[#This Row],[MatEditOnly]]=FALSE),IF(OR(CONT_SUP[[#This Row],[NoIncrement]]=TRUE,CONT_SUP[[#This Row],[NoIncrement]]=FALSE),0,1),1)</f>
        <v>0</v>
      </c>
      <c r="V360" s="57">
        <f>IF(ISBLANK(CONT_SUP[[#This Row],[FundCode]])=TRUE,0,IF(COUNTIF(FUNDS[FundCode],CONT_SUP[[#This Row],[FundCode]])=1,0,1))</f>
        <v>0</v>
      </c>
      <c r="W360" s="57">
        <f>IF(LEN(CONT_SUP[[#This Row],[Notes]])&lt;4000,0,1)</f>
        <v>0</v>
      </c>
      <c r="X360" s="57">
        <f>IF(SUBSTITUTE(TEXT(CONT_SUP[[#This Row],[Reference]],10)," ","")=TEXT(CONT_SUP[[#This Row],[Reference]],10),0,1)</f>
        <v>0</v>
      </c>
      <c r="Y360" s="57">
        <f ca="1">SUM(CONT_SUP[[#This Row],[Duplicate Contract]:[Space in Code]])</f>
        <v>0</v>
      </c>
      <c r="AA360" s="12" t="s">
        <v>2126</v>
      </c>
      <c r="AB360" s="12">
        <v>10010228</v>
      </c>
      <c r="AC360" s="12">
        <v>110864</v>
      </c>
      <c r="AD360" s="57" t="str">
        <f>_xlfn.XLOOKUP(CONT_SUP[[#This Row],[StaffMemberCode]],StaffMembers!O:O,StaffMembers!R:R)</f>
        <v>Iozsef-Laszlo Ambrus</v>
      </c>
      <c r="AE360" s="12" t="s">
        <v>4299</v>
      </c>
      <c r="AF360" s="57">
        <f>_xlfn.XLOOKUP(CONT_SUP[[#This Row],[SRG]],SRG[StaffRoleGroupCode],SRG[GrossSalaryFinanceCode])</f>
        <v>627100</v>
      </c>
      <c r="AG360" s="57" t="str">
        <f>_xlfn.XLOOKUP(CONT_SUP[[#This Row],[StaffRoleCode]],ROLES[StaffRoleCode],ROLES[StaffRoleGroupCode])</f>
        <v>PRE</v>
      </c>
      <c r="AH360" s="57" t="str">
        <f>_xlfn.XLOOKUP(CONT_SUP[[#This Row],[StaffRoleCode]],ROLES[StaffRoleCode],ROLES[PayScaleCode])</f>
        <v>NJC_CHE</v>
      </c>
      <c r="AI360" s="12" t="s">
        <v>3122</v>
      </c>
      <c r="AJ360" s="12">
        <v>6</v>
      </c>
      <c r="AK360" s="12" t="s">
        <v>2495</v>
      </c>
      <c r="AM360" s="68" t="s">
        <v>3132</v>
      </c>
      <c r="AN360" s="12" t="s">
        <v>1702</v>
      </c>
      <c r="AO360" s="21">
        <v>46023</v>
      </c>
      <c r="AQ360" s="12">
        <v>37</v>
      </c>
      <c r="AR360" t="b">
        <v>0</v>
      </c>
      <c r="AS360" t="b">
        <v>0</v>
      </c>
      <c r="AT360" s="12" t="s">
        <v>1574</v>
      </c>
    </row>
    <row r="361" spans="1:46" x14ac:dyDescent="0.3">
      <c r="A361" s="57" t="str">
        <f t="shared" si="12"/>
        <v>MLB10005305110849PRE_MGRSPREM46023</v>
      </c>
      <c r="B361" s="57">
        <f>COUNTIF(CONT_SUP[Unique Contract],CONT_SUP[[#This Row],[Unique Contract]])-1</f>
        <v>0</v>
      </c>
      <c r="C361" s="57">
        <f>IFERROR(IF(FIND(CONT_SUP[[#This Row],[SchoolCode]],_xlfn.XLOOKUP(CONT_SUP[[#This Row],[StaffMemberCode]],MEMBERS[StaffMemberCode],MEMBERS[SchoolCodes]))&gt;0,0,1),1)</f>
        <v>0</v>
      </c>
      <c r="D361" s="57" cm="1">
        <f t="array" ref="D361">IF(_xlfn.XLOOKUP(CONT_SUP[[#This Row],[StaffRoleCode]],ROLES[StaffRoleCode],ROLES[AvailableToAllSchools],1,0,)=TRUE,0,IF(ISERROR(FIND(CONT_SUP[[#This Row],[SchoolCode]],_xlfn.TEXTJOIN(",",TRUE,_xlfn.UNIQUE(IF(ROLES[StaffRoleCode]=CONT_SUP[[#This Row],[StaffRoleCode]],ROLES[SchoolCodes],""))))),1,0))</f>
        <v>0</v>
      </c>
      <c r="E361" s="57" cm="1">
        <f t="array" ref="E36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61" s="57" cm="1">
        <f t="array" ref="F361">IF(_xlfn.XLOOKUP(CONT_SUP[[#This Row],[PayScaleCode]],PAYSCALES[PayScaleCode],PAYSCALES[AvailableToAllSchools],1,0,)=TRUE,0,IF(ISERROR(FIND(CONT_SUP[[#This Row],[SchoolCode]],_xlfn.TEXTJOIN(",",TRUE,_xlfn.UNIQUE(IF(PAYSCALES[PayScaleCode]=CONT_SUP[[#This Row],[PayScaleCode]],PAYSCALES[SchoolCodes],""))))),1,0))</f>
        <v>0</v>
      </c>
      <c r="G361" s="57">
        <f>IF(_xlfn.XLOOKUP(CONT_SUP[[#This Row],[PayScaleGradeCode]],GRADES[PayScaleGradeCode],GRADES[AvailableToAllSchools])=TRUE,0,IFERROR(IF(FIND(CONT_SUP[[#This Row],[SchoolCode]],_xlfn.XLOOKUP(CONT_SUP[[#This Row],[PayScaleGradeCode]],GRADES[PayScaleGradeCode],GRADES[SchoolCodes]))&gt;=1,0,1),1))</f>
        <v>0</v>
      </c>
      <c r="H361" s="57">
        <f>IF(ISERROR(IF((_xlfn.XLOOKUP(CONT_SUP[[#This Row],[PayScaleGradeCode]],GRADES[PayScaleGradeCode],GRADES[PayScaleCode])=CONT_SUP[[#This Row],[PayScaleCode]]),0,1)),1,0)</f>
        <v>0</v>
      </c>
      <c r="I361" s="57" cm="1">
        <f t="array" ref="I361">IF(ISERROR(FIND(CONT_SUP[[#This Row],[PayScalePointCode]],_xlfn.TEXTJOIN(",",TRUE,IF(PSPOINTS[PayScaleCode]=CONT_SUP[[#This Row],[PayScaleCode]],PSPOINTS[PayScalePointCode])))),1,0)</f>
        <v>0</v>
      </c>
      <c r="J361" s="57" cm="1">
        <f t="array" ref="J36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61" s="57">
        <f>IF(_xlfn.XLOOKUP(CONT_SUP[[#This Row],[PayScalePointCode]],PSPOINTS[PayScalePointCode],PSPOINTS[PayScalePointEnabled])=TRUE,0,1)</f>
        <v>0</v>
      </c>
      <c r="L361" s="57" cm="1">
        <f t="array" ref="L361">IF(_xlfn.XLOOKUP(CONT_SUP[[#This Row],[DepartmentCode]],DEPTS[DepartmentCode],DEPTS[AvailableToAllSchools],1,0,)=TRUE,0,IF(ISERROR(FIND(CONT_SUP[[#This Row],[SchoolCode]],_xlfn.TEXTJOIN(",",TRUE,_xlfn.UNIQUE(IF(DEPTS[DepartmentCode]=CONT_SUP[[#This Row],[DepartmentCode]],DEPTS[SchoolCodes],""))))),1,0))</f>
        <v>0</v>
      </c>
      <c r="M361" s="57">
        <f>IFERROR(IF(_xlfn.XLOOKUP(CONT_SUP[[#This Row],[SRG Gross]],FinanceCodesBudget[FinanceCode],FinanceCodesBudget[LedgerCode])=_xlfn.XLOOKUP(CONT_SUP[[#This Row],[DepartmentCode]],DEPTS[DepartmentCode],DEPTS[LedgerCode]),0,1),1)</f>
        <v>0</v>
      </c>
      <c r="N361" s="57" cm="1">
        <f t="array" ref="N361">IF(_xlfn.XLOOKUP(CONT_SUP[[#This Row],[PensionCode]],PENS[PensionCode],PENS[AvailableToAllSchools],1,0,)=TRUE,0,IF(ISERROR(FIND(CONT_SUP[[#This Row],[SchoolCode]],_xlfn.TEXTJOIN(",",TRUE,_xlfn.UNIQUE(IF(PENS[PensionCode]=CONT_SUP[[#This Row],[PensionCode]],PENS[SchoolCodes],""))))),1,0))</f>
        <v>0</v>
      </c>
      <c r="O361" s="57" cm="1">
        <f t="array" ref="O361">IF(_xlfn.XLOOKUP(CONT_SUP[[#This Row],[EquatedWeekPatternCode]],EQW[EquatedWeekPatternCode],EQW[AvailableToAllSchools],1,0,)=TRUE,0,IF(ISERROR(FIND(CONT_SUP[[#This Row],[SchoolCode]],_xlfn.TEXTJOIN(",",TRUE,_xlfn.UNIQUE(IF(EQW[EquatedWeekPatternCode]=CONT_SUP[[#This Row],[EquatedWeekPatternCode]],EQW[SchoolCodes],""))))),1,0))</f>
        <v>0</v>
      </c>
      <c r="P361" s="57">
        <f>1-COUNTIF(ContractTypes[Code],CONT_SUP[[#This Row],[ContractTypeCode]])</f>
        <v>0</v>
      </c>
      <c r="Q361" s="57">
        <f>IF(VLOOKUP(CONT_SUP[[#This Row],[StaffMemberCode]],MEMBERS[[StaffMemberCode]:[ServiceStartDate]],5,0)&gt;CONT_SUP[[#This Row],[DateFrom]],1,0)</f>
        <v>0</v>
      </c>
      <c r="R361" s="57">
        <f>IF(_xlfn.XLOOKUP(CONT_SUP[[#This Row],[StaffMemberCode]],MEMBERS[StaffMemberCode],MEMBERS[ServiceEndDate])="",0,IF(CONT_SUP[[#This Row],[DateTo]]="",1,IF(_xlfn.XLOOKUP(CONT_SUP[[#This Row],[StaffMemberCode]],MEMBERS[StaffMemberCode],MEMBERS[ServiceEndDate])&lt;CONT_SUP[[#This Row],[DateTo]],1,0)))</f>
        <v>0</v>
      </c>
      <c r="S361" s="57">
        <f>IF(ISBLANK(CONT_SUP[[#This Row],[DateTo]]),0,IF(CONT_SUP[[#This Row],[DateFrom]]=CONT_SUP[[#This Row],[DateTo]],0,IF(CONT_SUP[[#This Row],[DateFrom]]&lt;CONT_SUP[[#This Row],[DateTo]],0,1)))</f>
        <v>0</v>
      </c>
      <c r="T361" s="57" cm="1">
        <f t="array" aca="1" ref="T361" ca="1">IF(CELL("format",CONT_SUP[[#This Row],[DateFrom]])="D1",0,1)+IF(CELL("format",CONT_SUP[[#This Row],[DateTo]])="D1",0,1)</f>
        <v>0</v>
      </c>
      <c r="U361" s="57">
        <f>IF(OR(CONT_SUP[[#This Row],[MatEditOnly]]=TRUE,CONT_SUP[[#This Row],[MatEditOnly]]=FALSE),IF(OR(CONT_SUP[[#This Row],[NoIncrement]]=TRUE,CONT_SUP[[#This Row],[NoIncrement]]=FALSE),0,1),1)</f>
        <v>0</v>
      </c>
      <c r="V361" s="57">
        <f>IF(ISBLANK(CONT_SUP[[#This Row],[FundCode]])=TRUE,0,IF(COUNTIF(FUNDS[FundCode],CONT_SUP[[#This Row],[FundCode]])=1,0,1))</f>
        <v>0</v>
      </c>
      <c r="W361" s="57">
        <f>IF(LEN(CONT_SUP[[#This Row],[Notes]])&lt;4000,0,1)</f>
        <v>0</v>
      </c>
      <c r="X361" s="57">
        <f>IF(SUBSTITUTE(TEXT(CONT_SUP[[#This Row],[Reference]],10)," ","")=TEXT(CONT_SUP[[#This Row],[Reference]],10),0,1)</f>
        <v>0</v>
      </c>
      <c r="Y361" s="57">
        <f ca="1">SUM(CONT_SUP[[#This Row],[Duplicate Contract]:[Space in Code]])</f>
        <v>0</v>
      </c>
      <c r="AA361" s="12" t="s">
        <v>2126</v>
      </c>
      <c r="AB361" s="12">
        <v>10005305</v>
      </c>
      <c r="AC361" s="12">
        <v>110849</v>
      </c>
      <c r="AD361" s="57" t="str">
        <f>_xlfn.XLOOKUP(CONT_SUP[[#This Row],[StaffMemberCode]],StaffMembers!O:O,StaffMembers!R:R)</f>
        <v>Wayne Clough</v>
      </c>
      <c r="AE361" s="12" t="s">
        <v>4297</v>
      </c>
      <c r="AF361" s="57">
        <f>_xlfn.XLOOKUP(CONT_SUP[[#This Row],[SRG]],SRG[StaffRoleGroupCode],SRG[GrossSalaryFinanceCode])</f>
        <v>627100</v>
      </c>
      <c r="AG361" s="57" t="str">
        <f>_xlfn.XLOOKUP(CONT_SUP[[#This Row],[StaffRoleCode]],ROLES[StaffRoleCode],ROLES[StaffRoleGroupCode])</f>
        <v>PRE</v>
      </c>
      <c r="AH361" s="57" t="str">
        <f>_xlfn.XLOOKUP(CONT_SUP[[#This Row],[StaffRoleCode]],ROLES[StaffRoleCode],ROLES[PayScaleCode])</f>
        <v>NJC_CHE</v>
      </c>
      <c r="AI361" s="12" t="s">
        <v>3127</v>
      </c>
      <c r="AJ361" s="12">
        <v>31</v>
      </c>
      <c r="AK361" s="12" t="s">
        <v>2495</v>
      </c>
      <c r="AM361" s="68" t="s">
        <v>3132</v>
      </c>
      <c r="AN361" s="12" t="s">
        <v>1702</v>
      </c>
      <c r="AO361" s="21">
        <v>46023</v>
      </c>
      <c r="AQ361" s="12">
        <v>37</v>
      </c>
      <c r="AR361" t="b">
        <v>0</v>
      </c>
      <c r="AS361" t="b">
        <v>0</v>
      </c>
      <c r="AT361" s="12" t="s">
        <v>1574</v>
      </c>
    </row>
    <row r="362" spans="1:46" x14ac:dyDescent="0.3">
      <c r="A362" s="57" t="str">
        <f t="shared" si="12"/>
        <v>MLB10005351111795CT_ASTSPREM46023</v>
      </c>
      <c r="B362" s="57">
        <f>COUNTIF(CONT_SUP[Unique Contract],CONT_SUP[[#This Row],[Unique Contract]])-1</f>
        <v>0</v>
      </c>
      <c r="C362" s="57">
        <f>IFERROR(IF(FIND(CONT_SUP[[#This Row],[SchoolCode]],_xlfn.XLOOKUP(CONT_SUP[[#This Row],[StaffMemberCode]],MEMBERS[StaffMemberCode],MEMBERS[SchoolCodes]))&gt;0,0,1),1)</f>
        <v>0</v>
      </c>
      <c r="D362" s="57" cm="1">
        <f t="array" ref="D362">IF(_xlfn.XLOOKUP(CONT_SUP[[#This Row],[StaffRoleCode]],ROLES[StaffRoleCode],ROLES[AvailableToAllSchools],1,0,)=TRUE,0,IF(ISERROR(FIND(CONT_SUP[[#This Row],[SchoolCode]],_xlfn.TEXTJOIN(",",TRUE,_xlfn.UNIQUE(IF(ROLES[StaffRoleCode]=CONT_SUP[[#This Row],[StaffRoleCode]],ROLES[SchoolCodes],""))))),1,0))</f>
        <v>0</v>
      </c>
      <c r="E362" s="57" cm="1">
        <f t="array" ref="E36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62" s="57" cm="1">
        <f t="array" ref="F362">IF(_xlfn.XLOOKUP(CONT_SUP[[#This Row],[PayScaleCode]],PAYSCALES[PayScaleCode],PAYSCALES[AvailableToAllSchools],1,0,)=TRUE,0,IF(ISERROR(FIND(CONT_SUP[[#This Row],[SchoolCode]],_xlfn.TEXTJOIN(",",TRUE,_xlfn.UNIQUE(IF(PAYSCALES[PayScaleCode]=CONT_SUP[[#This Row],[PayScaleCode]],PAYSCALES[SchoolCodes],""))))),1,0))</f>
        <v>0</v>
      </c>
      <c r="G362" s="57">
        <f>IF(_xlfn.XLOOKUP(CONT_SUP[[#This Row],[PayScaleGradeCode]],GRADES[PayScaleGradeCode],GRADES[AvailableToAllSchools])=TRUE,0,IFERROR(IF(FIND(CONT_SUP[[#This Row],[SchoolCode]],_xlfn.XLOOKUP(CONT_SUP[[#This Row],[PayScaleGradeCode]],GRADES[PayScaleGradeCode],GRADES[SchoolCodes]))&gt;=1,0,1),1))</f>
        <v>0</v>
      </c>
      <c r="H362" s="57">
        <f>IF(ISERROR(IF((_xlfn.XLOOKUP(CONT_SUP[[#This Row],[PayScaleGradeCode]],GRADES[PayScaleGradeCode],GRADES[PayScaleCode])=CONT_SUP[[#This Row],[PayScaleCode]]),0,1)),1,0)</f>
        <v>0</v>
      </c>
      <c r="I362" s="57" cm="1">
        <f t="array" ref="I362">IF(ISERROR(FIND(CONT_SUP[[#This Row],[PayScalePointCode]],_xlfn.TEXTJOIN(",",TRUE,IF(PSPOINTS[PayScaleCode]=CONT_SUP[[#This Row],[PayScaleCode]],PSPOINTS[PayScalePointCode])))),1,0)</f>
        <v>0</v>
      </c>
      <c r="J362" s="57" cm="1">
        <f t="array" ref="J36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62" s="57">
        <f>IF(_xlfn.XLOOKUP(CONT_SUP[[#This Row],[PayScalePointCode]],PSPOINTS[PayScalePointCode],PSPOINTS[PayScalePointEnabled])=TRUE,0,1)</f>
        <v>0</v>
      </c>
      <c r="L362" s="57" cm="1">
        <f t="array" ref="L362">IF(_xlfn.XLOOKUP(CONT_SUP[[#This Row],[DepartmentCode]],DEPTS[DepartmentCode],DEPTS[AvailableToAllSchools],1,0,)=TRUE,0,IF(ISERROR(FIND(CONT_SUP[[#This Row],[SchoolCode]],_xlfn.TEXTJOIN(",",TRUE,_xlfn.UNIQUE(IF(DEPTS[DepartmentCode]=CONT_SUP[[#This Row],[DepartmentCode]],DEPTS[SchoolCodes],""))))),1,0))</f>
        <v>0</v>
      </c>
      <c r="M362" s="57">
        <f>IFERROR(IF(_xlfn.XLOOKUP(CONT_SUP[[#This Row],[SRG Gross]],FinanceCodesBudget[FinanceCode],FinanceCodesBudget[LedgerCode])=_xlfn.XLOOKUP(CONT_SUP[[#This Row],[DepartmentCode]],DEPTS[DepartmentCode],DEPTS[LedgerCode]),0,1),1)</f>
        <v>0</v>
      </c>
      <c r="N362" s="57" cm="1">
        <f t="array" ref="N362">IF(_xlfn.XLOOKUP(CONT_SUP[[#This Row],[PensionCode]],PENS[PensionCode],PENS[AvailableToAllSchools],1,0,)=TRUE,0,IF(ISERROR(FIND(CONT_SUP[[#This Row],[SchoolCode]],_xlfn.TEXTJOIN(",",TRUE,_xlfn.UNIQUE(IF(PENS[PensionCode]=CONT_SUP[[#This Row],[PensionCode]],PENS[SchoolCodes],""))))),1,0))</f>
        <v>0</v>
      </c>
      <c r="O362" s="57" cm="1">
        <f t="array" ref="O362">IF(_xlfn.XLOOKUP(CONT_SUP[[#This Row],[EquatedWeekPatternCode]],EQW[EquatedWeekPatternCode],EQW[AvailableToAllSchools],1,0,)=TRUE,0,IF(ISERROR(FIND(CONT_SUP[[#This Row],[SchoolCode]],_xlfn.TEXTJOIN(",",TRUE,_xlfn.UNIQUE(IF(EQW[EquatedWeekPatternCode]=CONT_SUP[[#This Row],[EquatedWeekPatternCode]],EQW[SchoolCodes],""))))),1,0))</f>
        <v>0</v>
      </c>
      <c r="P362" s="57">
        <f>1-COUNTIF(ContractTypes[Code],CONT_SUP[[#This Row],[ContractTypeCode]])</f>
        <v>0</v>
      </c>
      <c r="Q362" s="57">
        <f>IF(VLOOKUP(CONT_SUP[[#This Row],[StaffMemberCode]],MEMBERS[[StaffMemberCode]:[ServiceStartDate]],5,0)&gt;CONT_SUP[[#This Row],[DateFrom]],1,0)</f>
        <v>0</v>
      </c>
      <c r="R362" s="57">
        <f>IF(_xlfn.XLOOKUP(CONT_SUP[[#This Row],[StaffMemberCode]],MEMBERS[StaffMemberCode],MEMBERS[ServiceEndDate])="",0,IF(CONT_SUP[[#This Row],[DateTo]]="",1,IF(_xlfn.XLOOKUP(CONT_SUP[[#This Row],[StaffMemberCode]],MEMBERS[StaffMemberCode],MEMBERS[ServiceEndDate])&lt;CONT_SUP[[#This Row],[DateTo]],1,0)))</f>
        <v>0</v>
      </c>
      <c r="S362" s="57">
        <f>IF(ISBLANK(CONT_SUP[[#This Row],[DateTo]]),0,IF(CONT_SUP[[#This Row],[DateFrom]]=CONT_SUP[[#This Row],[DateTo]],0,IF(CONT_SUP[[#This Row],[DateFrom]]&lt;CONT_SUP[[#This Row],[DateTo]],0,1)))</f>
        <v>0</v>
      </c>
      <c r="T362" s="57" cm="1">
        <f t="array" aca="1" ref="T362" ca="1">IF(CELL("format",CONT_SUP[[#This Row],[DateFrom]])="D1",0,1)+IF(CELL("format",CONT_SUP[[#This Row],[DateTo]])="D1",0,1)</f>
        <v>0</v>
      </c>
      <c r="U362" s="57">
        <f>IF(OR(CONT_SUP[[#This Row],[MatEditOnly]]=TRUE,CONT_SUP[[#This Row],[MatEditOnly]]=FALSE),IF(OR(CONT_SUP[[#This Row],[NoIncrement]]=TRUE,CONT_SUP[[#This Row],[NoIncrement]]=FALSE),0,1),1)</f>
        <v>0</v>
      </c>
      <c r="V362" s="57">
        <f>IF(ISBLANK(CONT_SUP[[#This Row],[FundCode]])=TRUE,0,IF(COUNTIF(FUNDS[FundCode],CONT_SUP[[#This Row],[FundCode]])=1,0,1))</f>
        <v>0</v>
      </c>
      <c r="W362" s="57">
        <f>IF(LEN(CONT_SUP[[#This Row],[Notes]])&lt;4000,0,1)</f>
        <v>0</v>
      </c>
      <c r="X362" s="57">
        <f>IF(SUBSTITUTE(TEXT(CONT_SUP[[#This Row],[Reference]],10)," ","")=TEXT(CONT_SUP[[#This Row],[Reference]],10),0,1)</f>
        <v>0</v>
      </c>
      <c r="Y362" s="57">
        <f ca="1">SUM(CONT_SUP[[#This Row],[Duplicate Contract]:[Space in Code]])</f>
        <v>0</v>
      </c>
      <c r="AA362" s="12" t="s">
        <v>2126</v>
      </c>
      <c r="AB362" s="12">
        <v>10005351</v>
      </c>
      <c r="AC362" s="12">
        <v>111795</v>
      </c>
      <c r="AD362" s="57" t="str">
        <f>_xlfn.XLOOKUP(CONT_SUP[[#This Row],[StaffMemberCode]],StaffMembers!O:O,StaffMembers!R:R)</f>
        <v>Lisa Murrell</v>
      </c>
      <c r="AE362" s="12" t="s">
        <v>4292</v>
      </c>
      <c r="AF362" s="57">
        <f>_xlfn.XLOOKUP(CONT_SUP[[#This Row],[SRG]],SRG[StaffRoleGroupCode],SRG[GrossSalaryFinanceCode])</f>
        <v>627100</v>
      </c>
      <c r="AG362" s="57" t="str">
        <f>_xlfn.XLOOKUP(CONT_SUP[[#This Row],[StaffRoleCode]],ROLES[StaffRoleCode],ROLES[StaffRoleGroupCode])</f>
        <v>PRE</v>
      </c>
      <c r="AH362" s="57" t="str">
        <f>_xlfn.XLOOKUP(CONT_SUP[[#This Row],[StaffRoleCode]],ROLES[StaffRoleCode],ROLES[PayScaleCode])</f>
        <v>NJC_CHE</v>
      </c>
      <c r="AI362" s="12" t="s">
        <v>3120</v>
      </c>
      <c r="AJ362" s="12">
        <v>2</v>
      </c>
      <c r="AK362" s="12" t="s">
        <v>2495</v>
      </c>
      <c r="AM362" s="68" t="s">
        <v>3132</v>
      </c>
      <c r="AN362" s="12" t="s">
        <v>3135</v>
      </c>
      <c r="AO362" s="21">
        <v>46023</v>
      </c>
      <c r="AQ362" s="12">
        <v>27.5</v>
      </c>
      <c r="AR362" t="b">
        <v>0</v>
      </c>
      <c r="AS362" t="b">
        <v>0</v>
      </c>
      <c r="AT362" s="12" t="s">
        <v>1574</v>
      </c>
    </row>
    <row r="363" spans="1:46" x14ac:dyDescent="0.3">
      <c r="A363" s="57" t="str">
        <f t="shared" si="12"/>
        <v>MLB10007973112936CTSPREM46023</v>
      </c>
      <c r="B363" s="57">
        <f>COUNTIF(CONT_SUP[Unique Contract],CONT_SUP[[#This Row],[Unique Contract]])-1</f>
        <v>0</v>
      </c>
      <c r="C363" s="57">
        <f>IFERROR(IF(FIND(CONT_SUP[[#This Row],[SchoolCode]],_xlfn.XLOOKUP(CONT_SUP[[#This Row],[StaffMemberCode]],MEMBERS[StaffMemberCode],MEMBERS[SchoolCodes]))&gt;0,0,1),1)</f>
        <v>0</v>
      </c>
      <c r="D363" s="57" cm="1">
        <f t="array" ref="D363">IF(_xlfn.XLOOKUP(CONT_SUP[[#This Row],[StaffRoleCode]],ROLES[StaffRoleCode],ROLES[AvailableToAllSchools],1,0,)=TRUE,0,IF(ISERROR(FIND(CONT_SUP[[#This Row],[SchoolCode]],_xlfn.TEXTJOIN(",",TRUE,_xlfn.UNIQUE(IF(ROLES[StaffRoleCode]=CONT_SUP[[#This Row],[StaffRoleCode]],ROLES[SchoolCodes],""))))),1,0))</f>
        <v>0</v>
      </c>
      <c r="E363" s="57" cm="1">
        <f t="array" ref="E36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63" s="57" cm="1">
        <f t="array" ref="F363">IF(_xlfn.XLOOKUP(CONT_SUP[[#This Row],[PayScaleCode]],PAYSCALES[PayScaleCode],PAYSCALES[AvailableToAllSchools],1,0,)=TRUE,0,IF(ISERROR(FIND(CONT_SUP[[#This Row],[SchoolCode]],_xlfn.TEXTJOIN(",",TRUE,_xlfn.UNIQUE(IF(PAYSCALES[PayScaleCode]=CONT_SUP[[#This Row],[PayScaleCode]],PAYSCALES[SchoolCodes],""))))),1,0))</f>
        <v>0</v>
      </c>
      <c r="G363" s="57">
        <f>IF(_xlfn.XLOOKUP(CONT_SUP[[#This Row],[PayScaleGradeCode]],GRADES[PayScaleGradeCode],GRADES[AvailableToAllSchools])=TRUE,0,IFERROR(IF(FIND(CONT_SUP[[#This Row],[SchoolCode]],_xlfn.XLOOKUP(CONT_SUP[[#This Row],[PayScaleGradeCode]],GRADES[PayScaleGradeCode],GRADES[SchoolCodes]))&gt;=1,0,1),1))</f>
        <v>0</v>
      </c>
      <c r="H363" s="57">
        <f>IF(ISERROR(IF((_xlfn.XLOOKUP(CONT_SUP[[#This Row],[PayScaleGradeCode]],GRADES[PayScaleGradeCode],GRADES[PayScaleCode])=CONT_SUP[[#This Row],[PayScaleCode]]),0,1)),1,0)</f>
        <v>0</v>
      </c>
      <c r="I363" s="57" cm="1">
        <f t="array" ref="I363">IF(ISERROR(FIND(CONT_SUP[[#This Row],[PayScalePointCode]],_xlfn.TEXTJOIN(",",TRUE,IF(PSPOINTS[PayScaleCode]=CONT_SUP[[#This Row],[PayScaleCode]],PSPOINTS[PayScalePointCode])))),1,0)</f>
        <v>0</v>
      </c>
      <c r="J363" s="57" cm="1">
        <f t="array" ref="J36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63" s="57">
        <f>IF(_xlfn.XLOOKUP(CONT_SUP[[#This Row],[PayScalePointCode]],PSPOINTS[PayScalePointCode],PSPOINTS[PayScalePointEnabled])=TRUE,0,1)</f>
        <v>0</v>
      </c>
      <c r="L363" s="57" cm="1">
        <f t="array" ref="L363">IF(_xlfn.XLOOKUP(CONT_SUP[[#This Row],[DepartmentCode]],DEPTS[DepartmentCode],DEPTS[AvailableToAllSchools],1,0,)=TRUE,0,IF(ISERROR(FIND(CONT_SUP[[#This Row],[SchoolCode]],_xlfn.TEXTJOIN(",",TRUE,_xlfn.UNIQUE(IF(DEPTS[DepartmentCode]=CONT_SUP[[#This Row],[DepartmentCode]],DEPTS[SchoolCodes],""))))),1,0))</f>
        <v>0</v>
      </c>
      <c r="M363" s="57">
        <f>IFERROR(IF(_xlfn.XLOOKUP(CONT_SUP[[#This Row],[SRG Gross]],FinanceCodesBudget[FinanceCode],FinanceCodesBudget[LedgerCode])=_xlfn.XLOOKUP(CONT_SUP[[#This Row],[DepartmentCode]],DEPTS[DepartmentCode],DEPTS[LedgerCode]),0,1),1)</f>
        <v>0</v>
      </c>
      <c r="N363" s="57" cm="1">
        <f t="array" ref="N363">IF(_xlfn.XLOOKUP(CONT_SUP[[#This Row],[PensionCode]],PENS[PensionCode],PENS[AvailableToAllSchools],1,0,)=TRUE,0,IF(ISERROR(FIND(CONT_SUP[[#This Row],[SchoolCode]],_xlfn.TEXTJOIN(",",TRUE,_xlfn.UNIQUE(IF(PENS[PensionCode]=CONT_SUP[[#This Row],[PensionCode]],PENS[SchoolCodes],""))))),1,0))</f>
        <v>0</v>
      </c>
      <c r="O363" s="57" cm="1">
        <f t="array" ref="O363">IF(_xlfn.XLOOKUP(CONT_SUP[[#This Row],[EquatedWeekPatternCode]],EQW[EquatedWeekPatternCode],EQW[AvailableToAllSchools],1,0,)=TRUE,0,IF(ISERROR(FIND(CONT_SUP[[#This Row],[SchoolCode]],_xlfn.TEXTJOIN(",",TRUE,_xlfn.UNIQUE(IF(EQW[EquatedWeekPatternCode]=CONT_SUP[[#This Row],[EquatedWeekPatternCode]],EQW[SchoolCodes],""))))),1,0))</f>
        <v>0</v>
      </c>
      <c r="P363" s="57">
        <f>1-COUNTIF(ContractTypes[Code],CONT_SUP[[#This Row],[ContractTypeCode]])</f>
        <v>0</v>
      </c>
      <c r="Q363" s="57">
        <f>IF(VLOOKUP(CONT_SUP[[#This Row],[StaffMemberCode]],MEMBERS[[StaffMemberCode]:[ServiceStartDate]],5,0)&gt;CONT_SUP[[#This Row],[DateFrom]],1,0)</f>
        <v>0</v>
      </c>
      <c r="R363" s="57">
        <f>IF(_xlfn.XLOOKUP(CONT_SUP[[#This Row],[StaffMemberCode]],MEMBERS[StaffMemberCode],MEMBERS[ServiceEndDate])="",0,IF(CONT_SUP[[#This Row],[DateTo]]="",1,IF(_xlfn.XLOOKUP(CONT_SUP[[#This Row],[StaffMemberCode]],MEMBERS[StaffMemberCode],MEMBERS[ServiceEndDate])&lt;CONT_SUP[[#This Row],[DateTo]],1,0)))</f>
        <v>0</v>
      </c>
      <c r="S363" s="57">
        <f>IF(ISBLANK(CONT_SUP[[#This Row],[DateTo]]),0,IF(CONT_SUP[[#This Row],[DateFrom]]=CONT_SUP[[#This Row],[DateTo]],0,IF(CONT_SUP[[#This Row],[DateFrom]]&lt;CONT_SUP[[#This Row],[DateTo]],0,1)))</f>
        <v>0</v>
      </c>
      <c r="T363" s="57" cm="1">
        <f t="array" aca="1" ref="T363" ca="1">IF(CELL("format",CONT_SUP[[#This Row],[DateFrom]])="D1",0,1)+IF(CELL("format",CONT_SUP[[#This Row],[DateTo]])="D1",0,1)</f>
        <v>0</v>
      </c>
      <c r="U363" s="57">
        <f>IF(OR(CONT_SUP[[#This Row],[MatEditOnly]]=TRUE,CONT_SUP[[#This Row],[MatEditOnly]]=FALSE),IF(OR(CONT_SUP[[#This Row],[NoIncrement]]=TRUE,CONT_SUP[[#This Row],[NoIncrement]]=FALSE),0,1),1)</f>
        <v>0</v>
      </c>
      <c r="V363" s="57">
        <f>IF(ISBLANK(CONT_SUP[[#This Row],[FundCode]])=TRUE,0,IF(COUNTIF(FUNDS[FundCode],CONT_SUP[[#This Row],[FundCode]])=1,0,1))</f>
        <v>0</v>
      </c>
      <c r="W363" s="57">
        <f>IF(LEN(CONT_SUP[[#This Row],[Notes]])&lt;4000,0,1)</f>
        <v>0</v>
      </c>
      <c r="X363" s="57">
        <f>IF(SUBSTITUTE(TEXT(CONT_SUP[[#This Row],[Reference]],10)," ","")=TEXT(CONT_SUP[[#This Row],[Reference]],10),0,1)</f>
        <v>0</v>
      </c>
      <c r="Y363" s="57">
        <f ca="1">SUM(CONT_SUP[[#This Row],[Duplicate Contract]:[Space in Code]])</f>
        <v>0</v>
      </c>
      <c r="AA363" s="12" t="s">
        <v>2126</v>
      </c>
      <c r="AB363" s="12">
        <v>10007973</v>
      </c>
      <c r="AC363" s="12">
        <v>112936</v>
      </c>
      <c r="AD363" s="57" t="str">
        <f>_xlfn.XLOOKUP(CONT_SUP[[#This Row],[StaffMemberCode]],StaffMembers!O:O,StaffMembers!R:R)</f>
        <v>David Green</v>
      </c>
      <c r="AE363" s="12" t="s">
        <v>1565</v>
      </c>
      <c r="AF363" s="57">
        <f>_xlfn.XLOOKUP(CONT_SUP[[#This Row],[SRG]],SRG[StaffRoleGroupCode],SRG[GrossSalaryFinanceCode])</f>
        <v>627100</v>
      </c>
      <c r="AG363" s="57" t="str">
        <f>_xlfn.XLOOKUP(CONT_SUP[[#This Row],[StaffRoleCode]],ROLES[StaffRoleCode],ROLES[StaffRoleGroupCode])</f>
        <v>PRE</v>
      </c>
      <c r="AH363" s="57" t="str">
        <f>_xlfn.XLOOKUP(CONT_SUP[[#This Row],[StaffRoleCode]],ROLES[StaffRoleCode],ROLES[PayScaleCode])</f>
        <v>NJC_CHE</v>
      </c>
      <c r="AI363" s="12" t="s">
        <v>3121</v>
      </c>
      <c r="AJ363" s="12">
        <v>4</v>
      </c>
      <c r="AK363" s="12" t="s">
        <v>2495</v>
      </c>
      <c r="AM363" s="68" t="s">
        <v>3132</v>
      </c>
      <c r="AN363" s="12" t="s">
        <v>3134</v>
      </c>
      <c r="AO363" s="21">
        <v>46023</v>
      </c>
      <c r="AQ363" s="12">
        <v>25</v>
      </c>
      <c r="AR363" t="b">
        <v>0</v>
      </c>
      <c r="AS363" t="b">
        <v>0</v>
      </c>
      <c r="AT363" s="12" t="s">
        <v>1574</v>
      </c>
    </row>
    <row r="364" spans="1:46" x14ac:dyDescent="0.3">
      <c r="A364" s="57" t="str">
        <f t="shared" si="12"/>
        <v>MLB10007808113274LSASTA46023</v>
      </c>
      <c r="B364" s="57">
        <f>COUNTIF(CONT_SUP[Unique Contract],CONT_SUP[[#This Row],[Unique Contract]])-1</f>
        <v>0</v>
      </c>
      <c r="C364" s="57">
        <f>IFERROR(IF(FIND(CONT_SUP[[#This Row],[SchoolCode]],_xlfn.XLOOKUP(CONT_SUP[[#This Row],[StaffMemberCode]],MEMBERS[StaffMemberCode],MEMBERS[SchoolCodes]))&gt;0,0,1),1)</f>
        <v>0</v>
      </c>
      <c r="D364" s="57" cm="1">
        <f t="array" ref="D364">IF(_xlfn.XLOOKUP(CONT_SUP[[#This Row],[StaffRoleCode]],ROLES[StaffRoleCode],ROLES[AvailableToAllSchools],1,0,)=TRUE,0,IF(ISERROR(FIND(CONT_SUP[[#This Row],[SchoolCode]],_xlfn.TEXTJOIN(",",TRUE,_xlfn.UNIQUE(IF(ROLES[StaffRoleCode]=CONT_SUP[[#This Row],[StaffRoleCode]],ROLES[SchoolCodes],""))))),1,0))</f>
        <v>0</v>
      </c>
      <c r="E364" s="57" cm="1">
        <f t="array" ref="E36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64" s="57" cm="1">
        <f t="array" ref="F364">IF(_xlfn.XLOOKUP(CONT_SUP[[#This Row],[PayScaleCode]],PAYSCALES[PayScaleCode],PAYSCALES[AvailableToAllSchools],1,0,)=TRUE,0,IF(ISERROR(FIND(CONT_SUP[[#This Row],[SchoolCode]],_xlfn.TEXTJOIN(",",TRUE,_xlfn.UNIQUE(IF(PAYSCALES[PayScaleCode]=CONT_SUP[[#This Row],[PayScaleCode]],PAYSCALES[SchoolCodes],""))))),1,0))</f>
        <v>0</v>
      </c>
      <c r="G364" s="57">
        <f>IF(_xlfn.XLOOKUP(CONT_SUP[[#This Row],[PayScaleGradeCode]],GRADES[PayScaleGradeCode],GRADES[AvailableToAllSchools])=TRUE,0,IFERROR(IF(FIND(CONT_SUP[[#This Row],[SchoolCode]],_xlfn.XLOOKUP(CONT_SUP[[#This Row],[PayScaleGradeCode]],GRADES[PayScaleGradeCode],GRADES[SchoolCodes]))&gt;=1,0,1),1))</f>
        <v>0</v>
      </c>
      <c r="H364" s="57">
        <f>IF(ISERROR(IF((_xlfn.XLOOKUP(CONT_SUP[[#This Row],[PayScaleGradeCode]],GRADES[PayScaleGradeCode],GRADES[PayScaleCode])=CONT_SUP[[#This Row],[PayScaleCode]]),0,1)),1,0)</f>
        <v>0</v>
      </c>
      <c r="I364" s="57" cm="1">
        <f t="array" ref="I364">IF(ISERROR(FIND(CONT_SUP[[#This Row],[PayScalePointCode]],_xlfn.TEXTJOIN(",",TRUE,IF(PSPOINTS[PayScaleCode]=CONT_SUP[[#This Row],[PayScaleCode]],PSPOINTS[PayScalePointCode])))),1,0)</f>
        <v>0</v>
      </c>
      <c r="J364" s="57" cm="1">
        <f t="array" ref="J36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64" s="57">
        <f>IF(_xlfn.XLOOKUP(CONT_SUP[[#This Row],[PayScalePointCode]],PSPOINTS[PayScalePointCode],PSPOINTS[PayScalePointEnabled])=TRUE,0,1)</f>
        <v>0</v>
      </c>
      <c r="L364" s="57" cm="1">
        <f t="array" ref="L364">IF(_xlfn.XLOOKUP(CONT_SUP[[#This Row],[DepartmentCode]],DEPTS[DepartmentCode],DEPTS[AvailableToAllSchools],1,0,)=TRUE,0,IF(ISERROR(FIND(CONT_SUP[[#This Row],[SchoolCode]],_xlfn.TEXTJOIN(",",TRUE,_xlfn.UNIQUE(IF(DEPTS[DepartmentCode]=CONT_SUP[[#This Row],[DepartmentCode]],DEPTS[SchoolCodes],""))))),1,0))</f>
        <v>0</v>
      </c>
      <c r="M364" s="57">
        <f>IFERROR(IF(_xlfn.XLOOKUP(CONT_SUP[[#This Row],[SRG Gross]],FinanceCodesBudget[FinanceCode],FinanceCodesBudget[LedgerCode])=_xlfn.XLOOKUP(CONT_SUP[[#This Row],[DepartmentCode]],DEPTS[DepartmentCode],DEPTS[LedgerCode]),0,1),1)</f>
        <v>1</v>
      </c>
      <c r="N364" s="57" cm="1">
        <f t="array" ref="N364">IF(_xlfn.XLOOKUP(CONT_SUP[[#This Row],[PensionCode]],PENS[PensionCode],PENS[AvailableToAllSchools],1,0,)=TRUE,0,IF(ISERROR(FIND(CONT_SUP[[#This Row],[SchoolCode]],_xlfn.TEXTJOIN(",",TRUE,_xlfn.UNIQUE(IF(PENS[PensionCode]=CONT_SUP[[#This Row],[PensionCode]],PENS[SchoolCodes],""))))),1,0))</f>
        <v>0</v>
      </c>
      <c r="O364" s="57" cm="1">
        <f t="array" ref="O364">IF(_xlfn.XLOOKUP(CONT_SUP[[#This Row],[EquatedWeekPatternCode]],EQW[EquatedWeekPatternCode],EQW[AvailableToAllSchools],1,0,)=TRUE,0,IF(ISERROR(FIND(CONT_SUP[[#This Row],[SchoolCode]],_xlfn.TEXTJOIN(",",TRUE,_xlfn.UNIQUE(IF(EQW[EquatedWeekPatternCode]=CONT_SUP[[#This Row],[EquatedWeekPatternCode]],EQW[SchoolCodes],""))))),1,0))</f>
        <v>0</v>
      </c>
      <c r="P364" s="57">
        <f>1-COUNTIF(ContractTypes[Code],CONT_SUP[[#This Row],[ContractTypeCode]])</f>
        <v>0</v>
      </c>
      <c r="Q364" s="57">
        <f>IF(VLOOKUP(CONT_SUP[[#This Row],[StaffMemberCode]],MEMBERS[[StaffMemberCode]:[ServiceStartDate]],5,0)&gt;CONT_SUP[[#This Row],[DateFrom]],1,0)</f>
        <v>0</v>
      </c>
      <c r="R364" s="57">
        <f>IF(_xlfn.XLOOKUP(CONT_SUP[[#This Row],[StaffMemberCode]],MEMBERS[StaffMemberCode],MEMBERS[ServiceEndDate])="",0,IF(CONT_SUP[[#This Row],[DateTo]]="",1,IF(_xlfn.XLOOKUP(CONT_SUP[[#This Row],[StaffMemberCode]],MEMBERS[StaffMemberCode],MEMBERS[ServiceEndDate])&lt;CONT_SUP[[#This Row],[DateTo]],1,0)))</f>
        <v>0</v>
      </c>
      <c r="S364" s="57">
        <f>IF(ISBLANK(CONT_SUP[[#This Row],[DateTo]]),0,IF(CONT_SUP[[#This Row],[DateFrom]]=CONT_SUP[[#This Row],[DateTo]],0,IF(CONT_SUP[[#This Row],[DateFrom]]&lt;CONT_SUP[[#This Row],[DateTo]],0,1)))</f>
        <v>0</v>
      </c>
      <c r="T364" s="57" cm="1">
        <f t="array" aca="1" ref="T364" ca="1">IF(CELL("format",CONT_SUP[[#This Row],[DateFrom]])="D1",0,1)+IF(CELL("format",CONT_SUP[[#This Row],[DateTo]])="D1",0,1)</f>
        <v>0</v>
      </c>
      <c r="U364" s="57">
        <f>IF(OR(CONT_SUP[[#This Row],[MatEditOnly]]=TRUE,CONT_SUP[[#This Row],[MatEditOnly]]=FALSE),IF(OR(CONT_SUP[[#This Row],[NoIncrement]]=TRUE,CONT_SUP[[#This Row],[NoIncrement]]=FALSE),0,1),1)</f>
        <v>0</v>
      </c>
      <c r="V364" s="57">
        <f>IF(ISBLANK(CONT_SUP[[#This Row],[FundCode]])=TRUE,0,IF(COUNTIF(FUNDS[FundCode],CONT_SUP[[#This Row],[FundCode]])=1,0,1))</f>
        <v>0</v>
      </c>
      <c r="W364" s="57">
        <f>IF(LEN(CONT_SUP[[#This Row],[Notes]])&lt;4000,0,1)</f>
        <v>0</v>
      </c>
      <c r="X364" s="57">
        <f>IF(SUBSTITUTE(TEXT(CONT_SUP[[#This Row],[Reference]],10)," ","")=TEXT(CONT_SUP[[#This Row],[Reference]],10),0,1)</f>
        <v>0</v>
      </c>
      <c r="Y364" s="57">
        <f ca="1">SUM(CONT_SUP[[#This Row],[Duplicate Contract]:[Space in Code]])</f>
        <v>1</v>
      </c>
      <c r="AA364" s="12" t="s">
        <v>2126</v>
      </c>
      <c r="AB364" s="12">
        <v>10007808</v>
      </c>
      <c r="AC364" s="12">
        <v>113274</v>
      </c>
      <c r="AD364" s="57" t="str">
        <f>_xlfn.XLOOKUP(CONT_SUP[[#This Row],[StaffMemberCode]],StaffMembers!O:O,StaffMembers!R:R)</f>
        <v>Bobbie Blackman</v>
      </c>
      <c r="AE364" s="12" t="s">
        <v>4173</v>
      </c>
      <c r="AF364" s="57">
        <f>_xlfn.XLOOKUP(CONT_SUP[[#This Row],[SRG]],SRG[StaffRoleGroupCode],SRG[GrossSalaryFinanceCode])</f>
        <v>615100</v>
      </c>
      <c r="AG364" s="57" t="str">
        <f>_xlfn.XLOOKUP(CONT_SUP[[#This Row],[StaffRoleCode]],ROLES[StaffRoleCode],ROLES[StaffRoleGroupCode])</f>
        <v>TA</v>
      </c>
      <c r="AH364" s="57" t="str">
        <f>_xlfn.XLOOKUP(CONT_SUP[[#This Row],[StaffRoleCode]],ROLES[StaffRoleCode],ROLES[PayScaleCode])</f>
        <v>NJC_CHE</v>
      </c>
      <c r="AI364" s="12" t="s">
        <v>3123</v>
      </c>
      <c r="AJ364" s="12">
        <v>7</v>
      </c>
      <c r="AK364" s="12" t="s">
        <v>2497</v>
      </c>
      <c r="AM364" s="68" t="s">
        <v>3132</v>
      </c>
      <c r="AN364" s="12" t="s">
        <v>3134</v>
      </c>
      <c r="AO364" s="21">
        <v>46023</v>
      </c>
      <c r="AQ364" s="12">
        <v>31.25</v>
      </c>
      <c r="AR364" t="b">
        <v>0</v>
      </c>
      <c r="AS364" t="b">
        <v>0</v>
      </c>
      <c r="AT364" s="12" t="s">
        <v>1574</v>
      </c>
    </row>
    <row r="365" spans="1:46" x14ac:dyDescent="0.3">
      <c r="A365" s="57" t="str">
        <f t="shared" si="12"/>
        <v>MLB10014648113727LSASTA46023</v>
      </c>
      <c r="B365" s="57">
        <f>COUNTIF(CONT_SUP[Unique Contract],CONT_SUP[[#This Row],[Unique Contract]])-1</f>
        <v>0</v>
      </c>
      <c r="C365" s="57">
        <f>IFERROR(IF(FIND(CONT_SUP[[#This Row],[SchoolCode]],_xlfn.XLOOKUP(CONT_SUP[[#This Row],[StaffMemberCode]],MEMBERS[StaffMemberCode],MEMBERS[SchoolCodes]))&gt;0,0,1),1)</f>
        <v>0</v>
      </c>
      <c r="D365" s="57" cm="1">
        <f t="array" ref="D365">IF(_xlfn.XLOOKUP(CONT_SUP[[#This Row],[StaffRoleCode]],ROLES[StaffRoleCode],ROLES[AvailableToAllSchools],1,0,)=TRUE,0,IF(ISERROR(FIND(CONT_SUP[[#This Row],[SchoolCode]],_xlfn.TEXTJOIN(",",TRUE,_xlfn.UNIQUE(IF(ROLES[StaffRoleCode]=CONT_SUP[[#This Row],[StaffRoleCode]],ROLES[SchoolCodes],""))))),1,0))</f>
        <v>0</v>
      </c>
      <c r="E365" s="57" cm="1">
        <f t="array" ref="E36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65" s="57" cm="1">
        <f t="array" ref="F365">IF(_xlfn.XLOOKUP(CONT_SUP[[#This Row],[PayScaleCode]],PAYSCALES[PayScaleCode],PAYSCALES[AvailableToAllSchools],1,0,)=TRUE,0,IF(ISERROR(FIND(CONT_SUP[[#This Row],[SchoolCode]],_xlfn.TEXTJOIN(",",TRUE,_xlfn.UNIQUE(IF(PAYSCALES[PayScaleCode]=CONT_SUP[[#This Row],[PayScaleCode]],PAYSCALES[SchoolCodes],""))))),1,0))</f>
        <v>0</v>
      </c>
      <c r="G365" s="57">
        <f>IF(_xlfn.XLOOKUP(CONT_SUP[[#This Row],[PayScaleGradeCode]],GRADES[PayScaleGradeCode],GRADES[AvailableToAllSchools])=TRUE,0,IFERROR(IF(FIND(CONT_SUP[[#This Row],[SchoolCode]],_xlfn.XLOOKUP(CONT_SUP[[#This Row],[PayScaleGradeCode]],GRADES[PayScaleGradeCode],GRADES[SchoolCodes]))&gt;=1,0,1),1))</f>
        <v>0</v>
      </c>
      <c r="H365" s="57">
        <f>IF(ISERROR(IF((_xlfn.XLOOKUP(CONT_SUP[[#This Row],[PayScaleGradeCode]],GRADES[PayScaleGradeCode],GRADES[PayScaleCode])=CONT_SUP[[#This Row],[PayScaleCode]]),0,1)),1,0)</f>
        <v>0</v>
      </c>
      <c r="I365" s="57" cm="1">
        <f t="array" ref="I365">IF(ISERROR(FIND(CONT_SUP[[#This Row],[PayScalePointCode]],_xlfn.TEXTJOIN(",",TRUE,IF(PSPOINTS[PayScaleCode]=CONT_SUP[[#This Row],[PayScaleCode]],PSPOINTS[PayScalePointCode])))),1,0)</f>
        <v>0</v>
      </c>
      <c r="J365" s="57" cm="1">
        <f t="array" ref="J36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65" s="57">
        <f>IF(_xlfn.XLOOKUP(CONT_SUP[[#This Row],[PayScalePointCode]],PSPOINTS[PayScalePointCode],PSPOINTS[PayScalePointEnabled])=TRUE,0,1)</f>
        <v>0</v>
      </c>
      <c r="L365" s="57" cm="1">
        <f t="array" ref="L365">IF(_xlfn.XLOOKUP(CONT_SUP[[#This Row],[DepartmentCode]],DEPTS[DepartmentCode],DEPTS[AvailableToAllSchools],1,0,)=TRUE,0,IF(ISERROR(FIND(CONT_SUP[[#This Row],[SchoolCode]],_xlfn.TEXTJOIN(",",TRUE,_xlfn.UNIQUE(IF(DEPTS[DepartmentCode]=CONT_SUP[[#This Row],[DepartmentCode]],DEPTS[SchoolCodes],""))))),1,0))</f>
        <v>0</v>
      </c>
      <c r="M365" s="57">
        <f>IFERROR(IF(_xlfn.XLOOKUP(CONT_SUP[[#This Row],[SRG Gross]],FinanceCodesBudget[FinanceCode],FinanceCodesBudget[LedgerCode])=_xlfn.XLOOKUP(CONT_SUP[[#This Row],[DepartmentCode]],DEPTS[DepartmentCode],DEPTS[LedgerCode]),0,1),1)</f>
        <v>1</v>
      </c>
      <c r="N365" s="57" cm="1">
        <f t="array" ref="N365">IF(_xlfn.XLOOKUP(CONT_SUP[[#This Row],[PensionCode]],PENS[PensionCode],PENS[AvailableToAllSchools],1,0,)=TRUE,0,IF(ISERROR(FIND(CONT_SUP[[#This Row],[SchoolCode]],_xlfn.TEXTJOIN(",",TRUE,_xlfn.UNIQUE(IF(PENS[PensionCode]=CONT_SUP[[#This Row],[PensionCode]],PENS[SchoolCodes],""))))),1,0))</f>
        <v>0</v>
      </c>
      <c r="O365" s="57" cm="1">
        <f t="array" ref="O365">IF(_xlfn.XLOOKUP(CONT_SUP[[#This Row],[EquatedWeekPatternCode]],EQW[EquatedWeekPatternCode],EQW[AvailableToAllSchools],1,0,)=TRUE,0,IF(ISERROR(FIND(CONT_SUP[[#This Row],[SchoolCode]],_xlfn.TEXTJOIN(",",TRUE,_xlfn.UNIQUE(IF(EQW[EquatedWeekPatternCode]=CONT_SUP[[#This Row],[EquatedWeekPatternCode]],EQW[SchoolCodes],""))))),1,0))</f>
        <v>0</v>
      </c>
      <c r="P365" s="57">
        <f>1-COUNTIF(ContractTypes[Code],CONT_SUP[[#This Row],[ContractTypeCode]])</f>
        <v>0</v>
      </c>
      <c r="Q365" s="57">
        <f>IF(VLOOKUP(CONT_SUP[[#This Row],[StaffMemberCode]],MEMBERS[[StaffMemberCode]:[ServiceStartDate]],5,0)&gt;CONT_SUP[[#This Row],[DateFrom]],1,0)</f>
        <v>0</v>
      </c>
      <c r="R365" s="57">
        <f>IF(_xlfn.XLOOKUP(CONT_SUP[[#This Row],[StaffMemberCode]],MEMBERS[StaffMemberCode],MEMBERS[ServiceEndDate])="",0,IF(CONT_SUP[[#This Row],[DateTo]]="",1,IF(_xlfn.XLOOKUP(CONT_SUP[[#This Row],[StaffMemberCode]],MEMBERS[StaffMemberCode],MEMBERS[ServiceEndDate])&lt;CONT_SUP[[#This Row],[DateTo]],1,0)))</f>
        <v>0</v>
      </c>
      <c r="S365" s="57">
        <f>IF(ISBLANK(CONT_SUP[[#This Row],[DateTo]]),0,IF(CONT_SUP[[#This Row],[DateFrom]]=CONT_SUP[[#This Row],[DateTo]],0,IF(CONT_SUP[[#This Row],[DateFrom]]&lt;CONT_SUP[[#This Row],[DateTo]],0,1)))</f>
        <v>0</v>
      </c>
      <c r="T365" s="57" cm="1">
        <f t="array" aca="1" ref="T365" ca="1">IF(CELL("format",CONT_SUP[[#This Row],[DateFrom]])="D1",0,1)+IF(CELL("format",CONT_SUP[[#This Row],[DateTo]])="D1",0,1)</f>
        <v>0</v>
      </c>
      <c r="U365" s="57">
        <f>IF(OR(CONT_SUP[[#This Row],[MatEditOnly]]=TRUE,CONT_SUP[[#This Row],[MatEditOnly]]=FALSE),IF(OR(CONT_SUP[[#This Row],[NoIncrement]]=TRUE,CONT_SUP[[#This Row],[NoIncrement]]=FALSE),0,1),1)</f>
        <v>0</v>
      </c>
      <c r="V365" s="57">
        <f>IF(ISBLANK(CONT_SUP[[#This Row],[FundCode]])=TRUE,0,IF(COUNTIF(FUNDS[FundCode],CONT_SUP[[#This Row],[FundCode]])=1,0,1))</f>
        <v>0</v>
      </c>
      <c r="W365" s="57">
        <f>IF(LEN(CONT_SUP[[#This Row],[Notes]])&lt;4000,0,1)</f>
        <v>0</v>
      </c>
      <c r="X365" s="57">
        <f>IF(SUBSTITUTE(TEXT(CONT_SUP[[#This Row],[Reference]],10)," ","")=TEXT(CONT_SUP[[#This Row],[Reference]],10),0,1)</f>
        <v>0</v>
      </c>
      <c r="Y365" s="57">
        <f ca="1">SUM(CONT_SUP[[#This Row],[Duplicate Contract]:[Space in Code]])</f>
        <v>1</v>
      </c>
      <c r="AA365" s="12" t="s">
        <v>2126</v>
      </c>
      <c r="AB365" s="12">
        <v>10014648</v>
      </c>
      <c r="AC365" s="12">
        <v>113727</v>
      </c>
      <c r="AD365" s="57" t="str">
        <f>_xlfn.XLOOKUP(CONT_SUP[[#This Row],[StaffMemberCode]],StaffMembers!O:O,StaffMembers!R:R)</f>
        <v>Avarni Bassi</v>
      </c>
      <c r="AE365" s="12" t="s">
        <v>4173</v>
      </c>
      <c r="AF365" s="57">
        <f>_xlfn.XLOOKUP(CONT_SUP[[#This Row],[SRG]],SRG[StaffRoleGroupCode],SRG[GrossSalaryFinanceCode])</f>
        <v>615100</v>
      </c>
      <c r="AG365" s="57" t="str">
        <f>_xlfn.XLOOKUP(CONT_SUP[[#This Row],[StaffRoleCode]],ROLES[StaffRoleCode],ROLES[StaffRoleGroupCode])</f>
        <v>TA</v>
      </c>
      <c r="AH365" s="57" t="str">
        <f>_xlfn.XLOOKUP(CONT_SUP[[#This Row],[StaffRoleCode]],ROLES[StaffRoleCode],ROLES[PayScaleCode])</f>
        <v>NJC_CHE</v>
      </c>
      <c r="AI365" s="12" t="s">
        <v>3122</v>
      </c>
      <c r="AJ365" s="12">
        <v>5</v>
      </c>
      <c r="AK365" s="12" t="s">
        <v>2497</v>
      </c>
      <c r="AM365" s="68" t="s">
        <v>3132</v>
      </c>
      <c r="AN365" s="12" t="s">
        <v>3134</v>
      </c>
      <c r="AO365" s="21">
        <v>46023</v>
      </c>
      <c r="AQ365" s="12">
        <v>18</v>
      </c>
      <c r="AR365" t="b">
        <v>0</v>
      </c>
      <c r="AS365" t="b">
        <v>0</v>
      </c>
      <c r="AT365" s="12" t="s">
        <v>1574</v>
      </c>
    </row>
    <row r="366" spans="1:46" x14ac:dyDescent="0.3">
      <c r="A366" s="57" t="str">
        <f t="shared" si="12"/>
        <v>MLB10013440113678TASTA46023</v>
      </c>
      <c r="B366" s="57">
        <f>COUNTIF(CONT_SUP[Unique Contract],CONT_SUP[[#This Row],[Unique Contract]])-1</f>
        <v>0</v>
      </c>
      <c r="C366" s="57">
        <f>IFERROR(IF(FIND(CONT_SUP[[#This Row],[SchoolCode]],_xlfn.XLOOKUP(CONT_SUP[[#This Row],[StaffMemberCode]],MEMBERS[StaffMemberCode],MEMBERS[SchoolCodes]))&gt;0,0,1),1)</f>
        <v>0</v>
      </c>
      <c r="D366" s="57" cm="1">
        <f t="array" ref="D366">IF(_xlfn.XLOOKUP(CONT_SUP[[#This Row],[StaffRoleCode]],ROLES[StaffRoleCode],ROLES[AvailableToAllSchools],1,0,)=TRUE,0,IF(ISERROR(FIND(CONT_SUP[[#This Row],[SchoolCode]],_xlfn.TEXTJOIN(",",TRUE,_xlfn.UNIQUE(IF(ROLES[StaffRoleCode]=CONT_SUP[[#This Row],[StaffRoleCode]],ROLES[SchoolCodes],""))))),1,0))</f>
        <v>0</v>
      </c>
      <c r="E366" s="57" cm="1">
        <f t="array" ref="E36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66" s="57" cm="1">
        <f t="array" ref="F366">IF(_xlfn.XLOOKUP(CONT_SUP[[#This Row],[PayScaleCode]],PAYSCALES[PayScaleCode],PAYSCALES[AvailableToAllSchools],1,0,)=TRUE,0,IF(ISERROR(FIND(CONT_SUP[[#This Row],[SchoolCode]],_xlfn.TEXTJOIN(",",TRUE,_xlfn.UNIQUE(IF(PAYSCALES[PayScaleCode]=CONT_SUP[[#This Row],[PayScaleCode]],PAYSCALES[SchoolCodes],""))))),1,0))</f>
        <v>0</v>
      </c>
      <c r="G366" s="57">
        <f>IF(_xlfn.XLOOKUP(CONT_SUP[[#This Row],[PayScaleGradeCode]],GRADES[PayScaleGradeCode],GRADES[AvailableToAllSchools])=TRUE,0,IFERROR(IF(FIND(CONT_SUP[[#This Row],[SchoolCode]],_xlfn.XLOOKUP(CONT_SUP[[#This Row],[PayScaleGradeCode]],GRADES[PayScaleGradeCode],GRADES[SchoolCodes]))&gt;=1,0,1),1))</f>
        <v>0</v>
      </c>
      <c r="H366" s="57">
        <f>IF(ISERROR(IF((_xlfn.XLOOKUP(CONT_SUP[[#This Row],[PayScaleGradeCode]],GRADES[PayScaleGradeCode],GRADES[PayScaleCode])=CONT_SUP[[#This Row],[PayScaleCode]]),0,1)),1,0)</f>
        <v>0</v>
      </c>
      <c r="I366" s="57" cm="1">
        <f t="array" ref="I366">IF(ISERROR(FIND(CONT_SUP[[#This Row],[PayScalePointCode]],_xlfn.TEXTJOIN(",",TRUE,IF(PSPOINTS[PayScaleCode]=CONT_SUP[[#This Row],[PayScaleCode]],PSPOINTS[PayScalePointCode])))),1,0)</f>
        <v>0</v>
      </c>
      <c r="J366" s="57" cm="1">
        <f t="array" ref="J36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66" s="57">
        <f>IF(_xlfn.XLOOKUP(CONT_SUP[[#This Row],[PayScalePointCode]],PSPOINTS[PayScalePointCode],PSPOINTS[PayScalePointEnabled])=TRUE,0,1)</f>
        <v>0</v>
      </c>
      <c r="L366" s="57" cm="1">
        <f t="array" ref="L366">IF(_xlfn.XLOOKUP(CONT_SUP[[#This Row],[DepartmentCode]],DEPTS[DepartmentCode],DEPTS[AvailableToAllSchools],1,0,)=TRUE,0,IF(ISERROR(FIND(CONT_SUP[[#This Row],[SchoolCode]],_xlfn.TEXTJOIN(",",TRUE,_xlfn.UNIQUE(IF(DEPTS[DepartmentCode]=CONT_SUP[[#This Row],[DepartmentCode]],DEPTS[SchoolCodes],""))))),1,0))</f>
        <v>0</v>
      </c>
      <c r="M366" s="57">
        <f>IFERROR(IF(_xlfn.XLOOKUP(CONT_SUP[[#This Row],[SRG Gross]],FinanceCodesBudget[FinanceCode],FinanceCodesBudget[LedgerCode])=_xlfn.XLOOKUP(CONT_SUP[[#This Row],[DepartmentCode]],DEPTS[DepartmentCode],DEPTS[LedgerCode]),0,1),1)</f>
        <v>1</v>
      </c>
      <c r="N366" s="57" cm="1">
        <f t="array" ref="N366">IF(_xlfn.XLOOKUP(CONT_SUP[[#This Row],[PensionCode]],PENS[PensionCode],PENS[AvailableToAllSchools],1,0,)=TRUE,0,IF(ISERROR(FIND(CONT_SUP[[#This Row],[SchoolCode]],_xlfn.TEXTJOIN(",",TRUE,_xlfn.UNIQUE(IF(PENS[PensionCode]=CONT_SUP[[#This Row],[PensionCode]],PENS[SchoolCodes],""))))),1,0))</f>
        <v>0</v>
      </c>
      <c r="O366" s="57" cm="1">
        <f t="array" ref="O366">IF(_xlfn.XLOOKUP(CONT_SUP[[#This Row],[EquatedWeekPatternCode]],EQW[EquatedWeekPatternCode],EQW[AvailableToAllSchools],1,0,)=TRUE,0,IF(ISERROR(FIND(CONT_SUP[[#This Row],[SchoolCode]],_xlfn.TEXTJOIN(",",TRUE,_xlfn.UNIQUE(IF(EQW[EquatedWeekPatternCode]=CONT_SUP[[#This Row],[EquatedWeekPatternCode]],EQW[SchoolCodes],""))))),1,0))</f>
        <v>0</v>
      </c>
      <c r="P366" s="57">
        <f>1-COUNTIF(ContractTypes[Code],CONT_SUP[[#This Row],[ContractTypeCode]])</f>
        <v>0</v>
      </c>
      <c r="Q366" s="57">
        <f>IF(VLOOKUP(CONT_SUP[[#This Row],[StaffMemberCode]],MEMBERS[[StaffMemberCode]:[ServiceStartDate]],5,0)&gt;CONT_SUP[[#This Row],[DateFrom]],1,0)</f>
        <v>0</v>
      </c>
      <c r="R366" s="57">
        <f>IF(_xlfn.XLOOKUP(CONT_SUP[[#This Row],[StaffMemberCode]],MEMBERS[StaffMemberCode],MEMBERS[ServiceEndDate])="",0,IF(CONT_SUP[[#This Row],[DateTo]]="",1,IF(_xlfn.XLOOKUP(CONT_SUP[[#This Row],[StaffMemberCode]],MEMBERS[StaffMemberCode],MEMBERS[ServiceEndDate])&lt;CONT_SUP[[#This Row],[DateTo]],1,0)))</f>
        <v>0</v>
      </c>
      <c r="S366" s="57">
        <f>IF(ISBLANK(CONT_SUP[[#This Row],[DateTo]]),0,IF(CONT_SUP[[#This Row],[DateFrom]]=CONT_SUP[[#This Row],[DateTo]],0,IF(CONT_SUP[[#This Row],[DateFrom]]&lt;CONT_SUP[[#This Row],[DateTo]],0,1)))</f>
        <v>0</v>
      </c>
      <c r="T366" s="57" cm="1">
        <f t="array" aca="1" ref="T366" ca="1">IF(CELL("format",CONT_SUP[[#This Row],[DateFrom]])="D1",0,1)+IF(CELL("format",CONT_SUP[[#This Row],[DateTo]])="D1",0,1)</f>
        <v>0</v>
      </c>
      <c r="U366" s="57">
        <f>IF(OR(CONT_SUP[[#This Row],[MatEditOnly]]=TRUE,CONT_SUP[[#This Row],[MatEditOnly]]=FALSE),IF(OR(CONT_SUP[[#This Row],[NoIncrement]]=TRUE,CONT_SUP[[#This Row],[NoIncrement]]=FALSE),0,1),1)</f>
        <v>0</v>
      </c>
      <c r="V366" s="57">
        <f>IF(ISBLANK(CONT_SUP[[#This Row],[FundCode]])=TRUE,0,IF(COUNTIF(FUNDS[FundCode],CONT_SUP[[#This Row],[FundCode]])=1,0,1))</f>
        <v>0</v>
      </c>
      <c r="W366" s="57">
        <f>IF(LEN(CONT_SUP[[#This Row],[Notes]])&lt;4000,0,1)</f>
        <v>0</v>
      </c>
      <c r="X366" s="57">
        <f>IF(SUBSTITUTE(TEXT(CONT_SUP[[#This Row],[Reference]],10)," ","")=TEXT(CONT_SUP[[#This Row],[Reference]],10),0,1)</f>
        <v>0</v>
      </c>
      <c r="Y366" s="57">
        <f ca="1">SUM(CONT_SUP[[#This Row],[Duplicate Contract]:[Space in Code]])</f>
        <v>1</v>
      </c>
      <c r="AA366" s="12" t="s">
        <v>2126</v>
      </c>
      <c r="AB366" s="12">
        <v>10013440</v>
      </c>
      <c r="AC366" s="12">
        <v>113678</v>
      </c>
      <c r="AD366" s="57" t="str">
        <f>_xlfn.XLOOKUP(CONT_SUP[[#This Row],[StaffMemberCode]],StaffMembers!O:O,StaffMembers!R:R)</f>
        <v>Joanne Clarke</v>
      </c>
      <c r="AE366" s="12" t="s">
        <v>1180</v>
      </c>
      <c r="AF366" s="57">
        <f>_xlfn.XLOOKUP(CONT_SUP[[#This Row],[SRG]],SRG[StaffRoleGroupCode],SRG[GrossSalaryFinanceCode])</f>
        <v>615100</v>
      </c>
      <c r="AG366" s="57" t="str">
        <f>_xlfn.XLOOKUP(CONT_SUP[[#This Row],[StaffRoleCode]],ROLES[StaffRoleCode],ROLES[StaffRoleGroupCode])</f>
        <v>TA</v>
      </c>
      <c r="AH366" s="57" t="str">
        <f>_xlfn.XLOOKUP(CONT_SUP[[#This Row],[StaffRoleCode]],ROLES[StaffRoleCode],ROLES[PayScaleCode])</f>
        <v>NJC_CHE</v>
      </c>
      <c r="AI366" s="12" t="s">
        <v>3122</v>
      </c>
      <c r="AJ366" s="12">
        <v>6</v>
      </c>
      <c r="AK366" s="12" t="s">
        <v>2497</v>
      </c>
      <c r="AM366" s="68" t="s">
        <v>3132</v>
      </c>
      <c r="AN366" s="12" t="s">
        <v>3134</v>
      </c>
      <c r="AO366" s="21">
        <v>46023</v>
      </c>
      <c r="AQ366" s="12">
        <v>30</v>
      </c>
      <c r="AR366" t="b">
        <v>0</v>
      </c>
      <c r="AS366" t="b">
        <v>0</v>
      </c>
      <c r="AT366" s="12" t="s">
        <v>1574</v>
      </c>
    </row>
    <row r="367" spans="1:46" x14ac:dyDescent="0.3">
      <c r="A367" s="57" t="str">
        <f t="shared" si="12"/>
        <v>MLB10011405114842TASTA46023</v>
      </c>
      <c r="B367" s="57">
        <f>COUNTIF(CONT_SUP[Unique Contract],CONT_SUP[[#This Row],[Unique Contract]])-1</f>
        <v>0</v>
      </c>
      <c r="C367" s="57">
        <f>IFERROR(IF(FIND(CONT_SUP[[#This Row],[SchoolCode]],_xlfn.XLOOKUP(CONT_SUP[[#This Row],[StaffMemberCode]],MEMBERS[StaffMemberCode],MEMBERS[SchoolCodes]))&gt;0,0,1),1)</f>
        <v>0</v>
      </c>
      <c r="D367" s="57" cm="1">
        <f t="array" ref="D367">IF(_xlfn.XLOOKUP(CONT_SUP[[#This Row],[StaffRoleCode]],ROLES[StaffRoleCode],ROLES[AvailableToAllSchools],1,0,)=TRUE,0,IF(ISERROR(FIND(CONT_SUP[[#This Row],[SchoolCode]],_xlfn.TEXTJOIN(",",TRUE,_xlfn.UNIQUE(IF(ROLES[StaffRoleCode]=CONT_SUP[[#This Row],[StaffRoleCode]],ROLES[SchoolCodes],""))))),1,0))</f>
        <v>0</v>
      </c>
      <c r="E367" s="57" cm="1">
        <f t="array" ref="E36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67" s="57" cm="1">
        <f t="array" ref="F367">IF(_xlfn.XLOOKUP(CONT_SUP[[#This Row],[PayScaleCode]],PAYSCALES[PayScaleCode],PAYSCALES[AvailableToAllSchools],1,0,)=TRUE,0,IF(ISERROR(FIND(CONT_SUP[[#This Row],[SchoolCode]],_xlfn.TEXTJOIN(",",TRUE,_xlfn.UNIQUE(IF(PAYSCALES[PayScaleCode]=CONT_SUP[[#This Row],[PayScaleCode]],PAYSCALES[SchoolCodes],""))))),1,0))</f>
        <v>0</v>
      </c>
      <c r="G367" s="57">
        <f>IF(_xlfn.XLOOKUP(CONT_SUP[[#This Row],[PayScaleGradeCode]],GRADES[PayScaleGradeCode],GRADES[AvailableToAllSchools])=TRUE,0,IFERROR(IF(FIND(CONT_SUP[[#This Row],[SchoolCode]],_xlfn.XLOOKUP(CONT_SUP[[#This Row],[PayScaleGradeCode]],GRADES[PayScaleGradeCode],GRADES[SchoolCodes]))&gt;=1,0,1),1))</f>
        <v>0</v>
      </c>
      <c r="H367" s="57">
        <f>IF(ISERROR(IF((_xlfn.XLOOKUP(CONT_SUP[[#This Row],[PayScaleGradeCode]],GRADES[PayScaleGradeCode],GRADES[PayScaleCode])=CONT_SUP[[#This Row],[PayScaleCode]]),0,1)),1,0)</f>
        <v>0</v>
      </c>
      <c r="I367" s="57" cm="1">
        <f t="array" ref="I367">IF(ISERROR(FIND(CONT_SUP[[#This Row],[PayScalePointCode]],_xlfn.TEXTJOIN(",",TRUE,IF(PSPOINTS[PayScaleCode]=CONT_SUP[[#This Row],[PayScaleCode]],PSPOINTS[PayScalePointCode])))),1,0)</f>
        <v>0</v>
      </c>
      <c r="J367" s="57" cm="1">
        <f t="array" ref="J36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67" s="57">
        <f>IF(_xlfn.XLOOKUP(CONT_SUP[[#This Row],[PayScalePointCode]],PSPOINTS[PayScalePointCode],PSPOINTS[PayScalePointEnabled])=TRUE,0,1)</f>
        <v>0</v>
      </c>
      <c r="L367" s="57" cm="1">
        <f t="array" ref="L367">IF(_xlfn.XLOOKUP(CONT_SUP[[#This Row],[DepartmentCode]],DEPTS[DepartmentCode],DEPTS[AvailableToAllSchools],1,0,)=TRUE,0,IF(ISERROR(FIND(CONT_SUP[[#This Row],[SchoolCode]],_xlfn.TEXTJOIN(",",TRUE,_xlfn.UNIQUE(IF(DEPTS[DepartmentCode]=CONT_SUP[[#This Row],[DepartmentCode]],DEPTS[SchoolCodes],""))))),1,0))</f>
        <v>0</v>
      </c>
      <c r="M367" s="57">
        <f>IFERROR(IF(_xlfn.XLOOKUP(CONT_SUP[[#This Row],[SRG Gross]],FinanceCodesBudget[FinanceCode],FinanceCodesBudget[LedgerCode])=_xlfn.XLOOKUP(CONT_SUP[[#This Row],[DepartmentCode]],DEPTS[DepartmentCode],DEPTS[LedgerCode]),0,1),1)</f>
        <v>1</v>
      </c>
      <c r="N367" s="57" cm="1">
        <f t="array" ref="N367">IF(_xlfn.XLOOKUP(CONT_SUP[[#This Row],[PensionCode]],PENS[PensionCode],PENS[AvailableToAllSchools],1,0,)=TRUE,0,IF(ISERROR(FIND(CONT_SUP[[#This Row],[SchoolCode]],_xlfn.TEXTJOIN(",",TRUE,_xlfn.UNIQUE(IF(PENS[PensionCode]=CONT_SUP[[#This Row],[PensionCode]],PENS[SchoolCodes],""))))),1,0))</f>
        <v>0</v>
      </c>
      <c r="O367" s="57" cm="1">
        <f t="array" ref="O367">IF(_xlfn.XLOOKUP(CONT_SUP[[#This Row],[EquatedWeekPatternCode]],EQW[EquatedWeekPatternCode],EQW[AvailableToAllSchools],1,0,)=TRUE,0,IF(ISERROR(FIND(CONT_SUP[[#This Row],[SchoolCode]],_xlfn.TEXTJOIN(",",TRUE,_xlfn.UNIQUE(IF(EQW[EquatedWeekPatternCode]=CONT_SUP[[#This Row],[EquatedWeekPatternCode]],EQW[SchoolCodes],""))))),1,0))</f>
        <v>0</v>
      </c>
      <c r="P367" s="57">
        <f>1-COUNTIF(ContractTypes[Code],CONT_SUP[[#This Row],[ContractTypeCode]])</f>
        <v>0</v>
      </c>
      <c r="Q367" s="57">
        <f>IF(VLOOKUP(CONT_SUP[[#This Row],[StaffMemberCode]],MEMBERS[[StaffMemberCode]:[ServiceStartDate]],5,0)&gt;CONT_SUP[[#This Row],[DateFrom]],1,0)</f>
        <v>0</v>
      </c>
      <c r="R367" s="57">
        <f>IF(_xlfn.XLOOKUP(CONT_SUP[[#This Row],[StaffMemberCode]],MEMBERS[StaffMemberCode],MEMBERS[ServiceEndDate])="",0,IF(CONT_SUP[[#This Row],[DateTo]]="",1,IF(_xlfn.XLOOKUP(CONT_SUP[[#This Row],[StaffMemberCode]],MEMBERS[StaffMemberCode],MEMBERS[ServiceEndDate])&lt;CONT_SUP[[#This Row],[DateTo]],1,0)))</f>
        <v>0</v>
      </c>
      <c r="S367" s="57">
        <f>IF(ISBLANK(CONT_SUP[[#This Row],[DateTo]]),0,IF(CONT_SUP[[#This Row],[DateFrom]]=CONT_SUP[[#This Row],[DateTo]],0,IF(CONT_SUP[[#This Row],[DateFrom]]&lt;CONT_SUP[[#This Row],[DateTo]],0,1)))</f>
        <v>0</v>
      </c>
      <c r="T367" s="57" cm="1">
        <f t="array" aca="1" ref="T367" ca="1">IF(CELL("format",CONT_SUP[[#This Row],[DateFrom]])="D1",0,1)+IF(CELL("format",CONT_SUP[[#This Row],[DateTo]])="D1",0,1)</f>
        <v>0</v>
      </c>
      <c r="U367" s="57">
        <f>IF(OR(CONT_SUP[[#This Row],[MatEditOnly]]=TRUE,CONT_SUP[[#This Row],[MatEditOnly]]=FALSE),IF(OR(CONT_SUP[[#This Row],[NoIncrement]]=TRUE,CONT_SUP[[#This Row],[NoIncrement]]=FALSE),0,1),1)</f>
        <v>0</v>
      </c>
      <c r="V367" s="57">
        <f>IF(ISBLANK(CONT_SUP[[#This Row],[FundCode]])=TRUE,0,IF(COUNTIF(FUNDS[FundCode],CONT_SUP[[#This Row],[FundCode]])=1,0,1))</f>
        <v>0</v>
      </c>
      <c r="W367" s="57">
        <f>IF(LEN(CONT_SUP[[#This Row],[Notes]])&lt;4000,0,1)</f>
        <v>0</v>
      </c>
      <c r="X367" s="57">
        <f>IF(SUBSTITUTE(TEXT(CONT_SUP[[#This Row],[Reference]],10)," ","")=TEXT(CONT_SUP[[#This Row],[Reference]],10),0,1)</f>
        <v>0</v>
      </c>
      <c r="Y367" s="57">
        <f ca="1">SUM(CONT_SUP[[#This Row],[Duplicate Contract]:[Space in Code]])</f>
        <v>1</v>
      </c>
      <c r="AA367" s="12" t="s">
        <v>2126</v>
      </c>
      <c r="AB367" s="12">
        <v>10011405</v>
      </c>
      <c r="AC367" s="12">
        <v>114842</v>
      </c>
      <c r="AD367" s="57" t="str">
        <f>_xlfn.XLOOKUP(CONT_SUP[[#This Row],[StaffMemberCode]],StaffMembers!O:O,StaffMembers!R:R)</f>
        <v>Caroline Lambden</v>
      </c>
      <c r="AE367" s="12" t="s">
        <v>1180</v>
      </c>
      <c r="AF367" s="57">
        <f>_xlfn.XLOOKUP(CONT_SUP[[#This Row],[SRG]],SRG[StaffRoleGroupCode],SRG[GrossSalaryFinanceCode])</f>
        <v>615100</v>
      </c>
      <c r="AG367" s="57" t="str">
        <f>_xlfn.XLOOKUP(CONT_SUP[[#This Row],[StaffRoleCode]],ROLES[StaffRoleCode],ROLES[StaffRoleGroupCode])</f>
        <v>TA</v>
      </c>
      <c r="AH367" s="57" t="str">
        <f>_xlfn.XLOOKUP(CONT_SUP[[#This Row],[StaffRoleCode]],ROLES[StaffRoleCode],ROLES[PayScaleCode])</f>
        <v>NJC_CHE</v>
      </c>
      <c r="AI367" s="12" t="s">
        <v>3123</v>
      </c>
      <c r="AJ367" s="12">
        <v>7</v>
      </c>
      <c r="AK367" s="12" t="s">
        <v>2497</v>
      </c>
      <c r="AM367" s="68" t="s">
        <v>3132</v>
      </c>
      <c r="AN367" s="12" t="s">
        <v>3134</v>
      </c>
      <c r="AO367" s="21">
        <v>46023</v>
      </c>
      <c r="AQ367" s="12">
        <v>24</v>
      </c>
      <c r="AR367" t="b">
        <v>0</v>
      </c>
      <c r="AS367" t="b">
        <v>0</v>
      </c>
      <c r="AT367" s="12" t="s">
        <v>1574</v>
      </c>
    </row>
    <row r="368" spans="1:46" x14ac:dyDescent="0.3">
      <c r="A368" s="57" t="str">
        <f t="shared" si="12"/>
        <v>MLB10014575114841TASTA46023</v>
      </c>
      <c r="B368" s="57">
        <f>COUNTIF(CONT_SUP[Unique Contract],CONT_SUP[[#This Row],[Unique Contract]])-1</f>
        <v>0</v>
      </c>
      <c r="C368" s="57">
        <f>IFERROR(IF(FIND(CONT_SUP[[#This Row],[SchoolCode]],_xlfn.XLOOKUP(CONT_SUP[[#This Row],[StaffMemberCode]],MEMBERS[StaffMemberCode],MEMBERS[SchoolCodes]))&gt;0,0,1),1)</f>
        <v>0</v>
      </c>
      <c r="D368" s="57" cm="1">
        <f t="array" ref="D368">IF(_xlfn.XLOOKUP(CONT_SUP[[#This Row],[StaffRoleCode]],ROLES[StaffRoleCode],ROLES[AvailableToAllSchools],1,0,)=TRUE,0,IF(ISERROR(FIND(CONT_SUP[[#This Row],[SchoolCode]],_xlfn.TEXTJOIN(",",TRUE,_xlfn.UNIQUE(IF(ROLES[StaffRoleCode]=CONT_SUP[[#This Row],[StaffRoleCode]],ROLES[SchoolCodes],""))))),1,0))</f>
        <v>0</v>
      </c>
      <c r="E368" s="57" cm="1">
        <f t="array" ref="E36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68" s="57" cm="1">
        <f t="array" ref="F368">IF(_xlfn.XLOOKUP(CONT_SUP[[#This Row],[PayScaleCode]],PAYSCALES[PayScaleCode],PAYSCALES[AvailableToAllSchools],1,0,)=TRUE,0,IF(ISERROR(FIND(CONT_SUP[[#This Row],[SchoolCode]],_xlfn.TEXTJOIN(",",TRUE,_xlfn.UNIQUE(IF(PAYSCALES[PayScaleCode]=CONT_SUP[[#This Row],[PayScaleCode]],PAYSCALES[SchoolCodes],""))))),1,0))</f>
        <v>0</v>
      </c>
      <c r="G368" s="57">
        <f>IF(_xlfn.XLOOKUP(CONT_SUP[[#This Row],[PayScaleGradeCode]],GRADES[PayScaleGradeCode],GRADES[AvailableToAllSchools])=TRUE,0,IFERROR(IF(FIND(CONT_SUP[[#This Row],[SchoolCode]],_xlfn.XLOOKUP(CONT_SUP[[#This Row],[PayScaleGradeCode]],GRADES[PayScaleGradeCode],GRADES[SchoolCodes]))&gt;=1,0,1),1))</f>
        <v>0</v>
      </c>
      <c r="H368" s="57">
        <f>IF(ISERROR(IF((_xlfn.XLOOKUP(CONT_SUP[[#This Row],[PayScaleGradeCode]],GRADES[PayScaleGradeCode],GRADES[PayScaleCode])=CONT_SUP[[#This Row],[PayScaleCode]]),0,1)),1,0)</f>
        <v>0</v>
      </c>
      <c r="I368" s="57" cm="1">
        <f t="array" ref="I368">IF(ISERROR(FIND(CONT_SUP[[#This Row],[PayScalePointCode]],_xlfn.TEXTJOIN(",",TRUE,IF(PSPOINTS[PayScaleCode]=CONT_SUP[[#This Row],[PayScaleCode]],PSPOINTS[PayScalePointCode])))),1,0)</f>
        <v>0</v>
      </c>
      <c r="J368" s="57" cm="1">
        <f t="array" ref="J36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68" s="57">
        <f>IF(_xlfn.XLOOKUP(CONT_SUP[[#This Row],[PayScalePointCode]],PSPOINTS[PayScalePointCode],PSPOINTS[PayScalePointEnabled])=TRUE,0,1)</f>
        <v>0</v>
      </c>
      <c r="L368" s="57" cm="1">
        <f t="array" ref="L368">IF(_xlfn.XLOOKUP(CONT_SUP[[#This Row],[DepartmentCode]],DEPTS[DepartmentCode],DEPTS[AvailableToAllSchools],1,0,)=TRUE,0,IF(ISERROR(FIND(CONT_SUP[[#This Row],[SchoolCode]],_xlfn.TEXTJOIN(",",TRUE,_xlfn.UNIQUE(IF(DEPTS[DepartmentCode]=CONT_SUP[[#This Row],[DepartmentCode]],DEPTS[SchoolCodes],""))))),1,0))</f>
        <v>0</v>
      </c>
      <c r="M368" s="57">
        <f>IFERROR(IF(_xlfn.XLOOKUP(CONT_SUP[[#This Row],[SRG Gross]],FinanceCodesBudget[FinanceCode],FinanceCodesBudget[LedgerCode])=_xlfn.XLOOKUP(CONT_SUP[[#This Row],[DepartmentCode]],DEPTS[DepartmentCode],DEPTS[LedgerCode]),0,1),1)</f>
        <v>1</v>
      </c>
      <c r="N368" s="57" cm="1">
        <f t="array" ref="N368">IF(_xlfn.XLOOKUP(CONT_SUP[[#This Row],[PensionCode]],PENS[PensionCode],PENS[AvailableToAllSchools],1,0,)=TRUE,0,IF(ISERROR(FIND(CONT_SUP[[#This Row],[SchoolCode]],_xlfn.TEXTJOIN(",",TRUE,_xlfn.UNIQUE(IF(PENS[PensionCode]=CONT_SUP[[#This Row],[PensionCode]],PENS[SchoolCodes],""))))),1,0))</f>
        <v>0</v>
      </c>
      <c r="O368" s="57" cm="1">
        <f t="array" ref="O368">IF(_xlfn.XLOOKUP(CONT_SUP[[#This Row],[EquatedWeekPatternCode]],EQW[EquatedWeekPatternCode],EQW[AvailableToAllSchools],1,0,)=TRUE,0,IF(ISERROR(FIND(CONT_SUP[[#This Row],[SchoolCode]],_xlfn.TEXTJOIN(",",TRUE,_xlfn.UNIQUE(IF(EQW[EquatedWeekPatternCode]=CONT_SUP[[#This Row],[EquatedWeekPatternCode]],EQW[SchoolCodes],""))))),1,0))</f>
        <v>0</v>
      </c>
      <c r="P368" s="57">
        <f>1-COUNTIF(ContractTypes[Code],CONT_SUP[[#This Row],[ContractTypeCode]])</f>
        <v>0</v>
      </c>
      <c r="Q368" s="57">
        <f>IF(VLOOKUP(CONT_SUP[[#This Row],[StaffMemberCode]],MEMBERS[[StaffMemberCode]:[ServiceStartDate]],5,0)&gt;CONT_SUP[[#This Row],[DateFrom]],1,0)</f>
        <v>0</v>
      </c>
      <c r="R368" s="57">
        <f>IF(_xlfn.XLOOKUP(CONT_SUP[[#This Row],[StaffMemberCode]],MEMBERS[StaffMemberCode],MEMBERS[ServiceEndDate])="",0,IF(CONT_SUP[[#This Row],[DateTo]]="",1,IF(_xlfn.XLOOKUP(CONT_SUP[[#This Row],[StaffMemberCode]],MEMBERS[StaffMemberCode],MEMBERS[ServiceEndDate])&lt;CONT_SUP[[#This Row],[DateTo]],1,0)))</f>
        <v>0</v>
      </c>
      <c r="S368" s="57">
        <f>IF(ISBLANK(CONT_SUP[[#This Row],[DateTo]]),0,IF(CONT_SUP[[#This Row],[DateFrom]]=CONT_SUP[[#This Row],[DateTo]],0,IF(CONT_SUP[[#This Row],[DateFrom]]&lt;CONT_SUP[[#This Row],[DateTo]],0,1)))</f>
        <v>0</v>
      </c>
      <c r="T368" s="57" cm="1">
        <f t="array" aca="1" ref="T368" ca="1">IF(CELL("format",CONT_SUP[[#This Row],[DateFrom]])="D1",0,1)+IF(CELL("format",CONT_SUP[[#This Row],[DateTo]])="D1",0,1)</f>
        <v>0</v>
      </c>
      <c r="U368" s="57">
        <f>IF(OR(CONT_SUP[[#This Row],[MatEditOnly]]=TRUE,CONT_SUP[[#This Row],[MatEditOnly]]=FALSE),IF(OR(CONT_SUP[[#This Row],[NoIncrement]]=TRUE,CONT_SUP[[#This Row],[NoIncrement]]=FALSE),0,1),1)</f>
        <v>0</v>
      </c>
      <c r="V368" s="57">
        <f>IF(ISBLANK(CONT_SUP[[#This Row],[FundCode]])=TRUE,0,IF(COUNTIF(FUNDS[FundCode],CONT_SUP[[#This Row],[FundCode]])=1,0,1))</f>
        <v>0</v>
      </c>
      <c r="W368" s="57">
        <f>IF(LEN(CONT_SUP[[#This Row],[Notes]])&lt;4000,0,1)</f>
        <v>0</v>
      </c>
      <c r="X368" s="57">
        <f>IF(SUBSTITUTE(TEXT(CONT_SUP[[#This Row],[Reference]],10)," ","")=TEXT(CONT_SUP[[#This Row],[Reference]],10),0,1)</f>
        <v>0</v>
      </c>
      <c r="Y368" s="57">
        <f ca="1">SUM(CONT_SUP[[#This Row],[Duplicate Contract]:[Space in Code]])</f>
        <v>1</v>
      </c>
      <c r="AA368" s="12" t="s">
        <v>2126</v>
      </c>
      <c r="AB368" s="12">
        <v>10014575</v>
      </c>
      <c r="AC368" s="12">
        <v>114841</v>
      </c>
      <c r="AD368" s="57" t="str">
        <f>_xlfn.XLOOKUP(CONT_SUP[[#This Row],[StaffMemberCode]],StaffMembers!O:O,StaffMembers!R:R)</f>
        <v>Katie McCulloch-Robinson</v>
      </c>
      <c r="AE368" s="12" t="s">
        <v>1180</v>
      </c>
      <c r="AF368" s="57">
        <f>_xlfn.XLOOKUP(CONT_SUP[[#This Row],[SRG]],SRG[StaffRoleGroupCode],SRG[GrossSalaryFinanceCode])</f>
        <v>615100</v>
      </c>
      <c r="AG368" s="57" t="str">
        <f>_xlfn.XLOOKUP(CONT_SUP[[#This Row],[StaffRoleCode]],ROLES[StaffRoleCode],ROLES[StaffRoleGroupCode])</f>
        <v>TA</v>
      </c>
      <c r="AH368" s="57" t="str">
        <f>_xlfn.XLOOKUP(CONT_SUP[[#This Row],[StaffRoleCode]],ROLES[StaffRoleCode],ROLES[PayScaleCode])</f>
        <v>NJC_CHE</v>
      </c>
      <c r="AI368" s="12" t="s">
        <v>3123</v>
      </c>
      <c r="AJ368" s="12">
        <v>7</v>
      </c>
      <c r="AK368" s="12" t="s">
        <v>2497</v>
      </c>
      <c r="AM368" s="68" t="s">
        <v>3132</v>
      </c>
      <c r="AN368" s="12" t="s">
        <v>3134</v>
      </c>
      <c r="AO368" s="21">
        <v>46023</v>
      </c>
      <c r="AQ368" s="12">
        <v>27.5</v>
      </c>
      <c r="AR368" t="b">
        <v>0</v>
      </c>
      <c r="AS368" t="b">
        <v>0</v>
      </c>
      <c r="AT368" s="12" t="s">
        <v>1574</v>
      </c>
    </row>
    <row r="369" spans="1:46" x14ac:dyDescent="0.3">
      <c r="A369" s="57" t="str">
        <f t="shared" si="12"/>
        <v>MLB10009122107720TASTA46023</v>
      </c>
      <c r="B369" s="57">
        <f>COUNTIF(CONT_SUP[Unique Contract],CONT_SUP[[#This Row],[Unique Contract]])-1</f>
        <v>0</v>
      </c>
      <c r="C369" s="57">
        <f>IFERROR(IF(FIND(CONT_SUP[[#This Row],[SchoolCode]],_xlfn.XLOOKUP(CONT_SUP[[#This Row],[StaffMemberCode]],MEMBERS[StaffMemberCode],MEMBERS[SchoolCodes]))&gt;0,0,1),1)</f>
        <v>0</v>
      </c>
      <c r="D369" s="57" cm="1">
        <f t="array" ref="D369">IF(_xlfn.XLOOKUP(CONT_SUP[[#This Row],[StaffRoleCode]],ROLES[StaffRoleCode],ROLES[AvailableToAllSchools],1,0,)=TRUE,0,IF(ISERROR(FIND(CONT_SUP[[#This Row],[SchoolCode]],_xlfn.TEXTJOIN(",",TRUE,_xlfn.UNIQUE(IF(ROLES[StaffRoleCode]=CONT_SUP[[#This Row],[StaffRoleCode]],ROLES[SchoolCodes],""))))),1,0))</f>
        <v>0</v>
      </c>
      <c r="E369" s="57" cm="1">
        <f t="array" ref="E36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69" s="57" cm="1">
        <f t="array" ref="F369">IF(_xlfn.XLOOKUP(CONT_SUP[[#This Row],[PayScaleCode]],PAYSCALES[PayScaleCode],PAYSCALES[AvailableToAllSchools],1,0,)=TRUE,0,IF(ISERROR(FIND(CONT_SUP[[#This Row],[SchoolCode]],_xlfn.TEXTJOIN(",",TRUE,_xlfn.UNIQUE(IF(PAYSCALES[PayScaleCode]=CONT_SUP[[#This Row],[PayScaleCode]],PAYSCALES[SchoolCodes],""))))),1,0))</f>
        <v>0</v>
      </c>
      <c r="G369" s="57">
        <f>IF(_xlfn.XLOOKUP(CONT_SUP[[#This Row],[PayScaleGradeCode]],GRADES[PayScaleGradeCode],GRADES[AvailableToAllSchools])=TRUE,0,IFERROR(IF(FIND(CONT_SUP[[#This Row],[SchoolCode]],_xlfn.XLOOKUP(CONT_SUP[[#This Row],[PayScaleGradeCode]],GRADES[PayScaleGradeCode],GRADES[SchoolCodes]))&gt;=1,0,1),1))</f>
        <v>0</v>
      </c>
      <c r="H369" s="57">
        <f>IF(ISERROR(IF((_xlfn.XLOOKUP(CONT_SUP[[#This Row],[PayScaleGradeCode]],GRADES[PayScaleGradeCode],GRADES[PayScaleCode])=CONT_SUP[[#This Row],[PayScaleCode]]),0,1)),1,0)</f>
        <v>0</v>
      </c>
      <c r="I369" s="57" cm="1">
        <f t="array" ref="I369">IF(ISERROR(FIND(CONT_SUP[[#This Row],[PayScalePointCode]],_xlfn.TEXTJOIN(",",TRUE,IF(PSPOINTS[PayScaleCode]=CONT_SUP[[#This Row],[PayScaleCode]],PSPOINTS[PayScalePointCode])))),1,0)</f>
        <v>0</v>
      </c>
      <c r="J369" s="57" cm="1">
        <f t="array" ref="J36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69" s="57">
        <f>IF(_xlfn.XLOOKUP(CONT_SUP[[#This Row],[PayScalePointCode]],PSPOINTS[PayScalePointCode],PSPOINTS[PayScalePointEnabled])=TRUE,0,1)</f>
        <v>0</v>
      </c>
      <c r="L369" s="57" cm="1">
        <f t="array" ref="L369">IF(_xlfn.XLOOKUP(CONT_SUP[[#This Row],[DepartmentCode]],DEPTS[DepartmentCode],DEPTS[AvailableToAllSchools],1,0,)=TRUE,0,IF(ISERROR(FIND(CONT_SUP[[#This Row],[SchoolCode]],_xlfn.TEXTJOIN(",",TRUE,_xlfn.UNIQUE(IF(DEPTS[DepartmentCode]=CONT_SUP[[#This Row],[DepartmentCode]],DEPTS[SchoolCodes],""))))),1,0))</f>
        <v>0</v>
      </c>
      <c r="M369" s="57">
        <f>IFERROR(IF(_xlfn.XLOOKUP(CONT_SUP[[#This Row],[SRG Gross]],FinanceCodesBudget[FinanceCode],FinanceCodesBudget[LedgerCode])=_xlfn.XLOOKUP(CONT_SUP[[#This Row],[DepartmentCode]],DEPTS[DepartmentCode],DEPTS[LedgerCode]),0,1),1)</f>
        <v>1</v>
      </c>
      <c r="N369" s="57" cm="1">
        <f t="array" ref="N369">IF(_xlfn.XLOOKUP(CONT_SUP[[#This Row],[PensionCode]],PENS[PensionCode],PENS[AvailableToAllSchools],1,0,)=TRUE,0,IF(ISERROR(FIND(CONT_SUP[[#This Row],[SchoolCode]],_xlfn.TEXTJOIN(",",TRUE,_xlfn.UNIQUE(IF(PENS[PensionCode]=CONT_SUP[[#This Row],[PensionCode]],PENS[SchoolCodes],""))))),1,0))</f>
        <v>0</v>
      </c>
      <c r="O369" s="57" cm="1">
        <f t="array" ref="O369">IF(_xlfn.XLOOKUP(CONT_SUP[[#This Row],[EquatedWeekPatternCode]],EQW[EquatedWeekPatternCode],EQW[AvailableToAllSchools],1,0,)=TRUE,0,IF(ISERROR(FIND(CONT_SUP[[#This Row],[SchoolCode]],_xlfn.TEXTJOIN(",",TRUE,_xlfn.UNIQUE(IF(EQW[EquatedWeekPatternCode]=CONT_SUP[[#This Row],[EquatedWeekPatternCode]],EQW[SchoolCodes],""))))),1,0))</f>
        <v>0</v>
      </c>
      <c r="P369" s="57">
        <f>1-COUNTIF(ContractTypes[Code],CONT_SUP[[#This Row],[ContractTypeCode]])</f>
        <v>0</v>
      </c>
      <c r="Q369" s="57">
        <f>IF(VLOOKUP(CONT_SUP[[#This Row],[StaffMemberCode]],MEMBERS[[StaffMemberCode]:[ServiceStartDate]],5,0)&gt;CONT_SUP[[#This Row],[DateFrom]],1,0)</f>
        <v>0</v>
      </c>
      <c r="R369" s="57">
        <f>IF(_xlfn.XLOOKUP(CONT_SUP[[#This Row],[StaffMemberCode]],MEMBERS[StaffMemberCode],MEMBERS[ServiceEndDate])="",0,IF(CONT_SUP[[#This Row],[DateTo]]="",1,IF(_xlfn.XLOOKUP(CONT_SUP[[#This Row],[StaffMemberCode]],MEMBERS[StaffMemberCode],MEMBERS[ServiceEndDate])&lt;CONT_SUP[[#This Row],[DateTo]],1,0)))</f>
        <v>0</v>
      </c>
      <c r="S369" s="57">
        <f>IF(ISBLANK(CONT_SUP[[#This Row],[DateTo]]),0,IF(CONT_SUP[[#This Row],[DateFrom]]=CONT_SUP[[#This Row],[DateTo]],0,IF(CONT_SUP[[#This Row],[DateFrom]]&lt;CONT_SUP[[#This Row],[DateTo]],0,1)))</f>
        <v>0</v>
      </c>
      <c r="T369" s="57" cm="1">
        <f t="array" aca="1" ref="T369" ca="1">IF(CELL("format",CONT_SUP[[#This Row],[DateFrom]])="D1",0,1)+IF(CELL("format",CONT_SUP[[#This Row],[DateTo]])="D1",0,1)</f>
        <v>0</v>
      </c>
      <c r="U369" s="57">
        <f>IF(OR(CONT_SUP[[#This Row],[MatEditOnly]]=TRUE,CONT_SUP[[#This Row],[MatEditOnly]]=FALSE),IF(OR(CONT_SUP[[#This Row],[NoIncrement]]=TRUE,CONT_SUP[[#This Row],[NoIncrement]]=FALSE),0,1),1)</f>
        <v>0</v>
      </c>
      <c r="V369" s="57">
        <f>IF(ISBLANK(CONT_SUP[[#This Row],[FundCode]])=TRUE,0,IF(COUNTIF(FUNDS[FundCode],CONT_SUP[[#This Row],[FundCode]])=1,0,1))</f>
        <v>0</v>
      </c>
      <c r="W369" s="57">
        <f>IF(LEN(CONT_SUP[[#This Row],[Notes]])&lt;4000,0,1)</f>
        <v>0</v>
      </c>
      <c r="X369" s="57">
        <f>IF(SUBSTITUTE(TEXT(CONT_SUP[[#This Row],[Reference]],10)," ","")=TEXT(CONT_SUP[[#This Row],[Reference]],10),0,1)</f>
        <v>0</v>
      </c>
      <c r="Y369" s="57">
        <f ca="1">SUM(CONT_SUP[[#This Row],[Duplicate Contract]:[Space in Code]])</f>
        <v>1</v>
      </c>
      <c r="AA369" s="12" t="s">
        <v>2126</v>
      </c>
      <c r="AB369" s="12">
        <v>10009122</v>
      </c>
      <c r="AC369" s="12">
        <v>107720</v>
      </c>
      <c r="AD369" s="57" t="str">
        <f>_xlfn.XLOOKUP(CONT_SUP[[#This Row],[StaffMemberCode]],StaffMembers!O:O,StaffMembers!R:R)</f>
        <v>Emily Farmer</v>
      </c>
      <c r="AE369" s="12" t="s">
        <v>1180</v>
      </c>
      <c r="AF369" s="57">
        <f>_xlfn.XLOOKUP(CONT_SUP[[#This Row],[SRG]],SRG[StaffRoleGroupCode],SRG[GrossSalaryFinanceCode])</f>
        <v>615100</v>
      </c>
      <c r="AG369" s="57" t="str">
        <f>_xlfn.XLOOKUP(CONT_SUP[[#This Row],[StaffRoleCode]],ROLES[StaffRoleCode],ROLES[StaffRoleGroupCode])</f>
        <v>TA</v>
      </c>
      <c r="AH369" s="57" t="str">
        <f>_xlfn.XLOOKUP(CONT_SUP[[#This Row],[StaffRoleCode]],ROLES[StaffRoleCode],ROLES[PayScaleCode])</f>
        <v>NJC_CHE</v>
      </c>
      <c r="AI369" s="12" t="s">
        <v>3123</v>
      </c>
      <c r="AJ369" s="12">
        <v>9</v>
      </c>
      <c r="AK369" s="12" t="s">
        <v>2497</v>
      </c>
      <c r="AM369" s="68" t="s">
        <v>3132</v>
      </c>
      <c r="AN369" s="12" t="s">
        <v>3134</v>
      </c>
      <c r="AO369" s="21">
        <v>46023</v>
      </c>
      <c r="AQ369" s="12">
        <v>27.5</v>
      </c>
      <c r="AR369" t="b">
        <v>0</v>
      </c>
      <c r="AS369" t="b">
        <v>0</v>
      </c>
      <c r="AT369" s="12" t="s">
        <v>1574</v>
      </c>
    </row>
    <row r="370" spans="1:46" x14ac:dyDescent="0.3">
      <c r="A370" s="57" t="str">
        <f t="shared" si="12"/>
        <v>MLB10006092106954TASTA46023</v>
      </c>
      <c r="B370" s="57">
        <f>COUNTIF(CONT_SUP[Unique Contract],CONT_SUP[[#This Row],[Unique Contract]])-1</f>
        <v>0</v>
      </c>
      <c r="C370" s="57">
        <f>IFERROR(IF(FIND(CONT_SUP[[#This Row],[SchoolCode]],_xlfn.XLOOKUP(CONT_SUP[[#This Row],[StaffMemberCode]],MEMBERS[StaffMemberCode],MEMBERS[SchoolCodes]))&gt;0,0,1),1)</f>
        <v>0</v>
      </c>
      <c r="D370" s="57" cm="1">
        <f t="array" ref="D370">IF(_xlfn.XLOOKUP(CONT_SUP[[#This Row],[StaffRoleCode]],ROLES[StaffRoleCode],ROLES[AvailableToAllSchools],1,0,)=TRUE,0,IF(ISERROR(FIND(CONT_SUP[[#This Row],[SchoolCode]],_xlfn.TEXTJOIN(",",TRUE,_xlfn.UNIQUE(IF(ROLES[StaffRoleCode]=CONT_SUP[[#This Row],[StaffRoleCode]],ROLES[SchoolCodes],""))))),1,0))</f>
        <v>0</v>
      </c>
      <c r="E370" s="57" cm="1">
        <f t="array" ref="E37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70" s="57" cm="1">
        <f t="array" ref="F370">IF(_xlfn.XLOOKUP(CONT_SUP[[#This Row],[PayScaleCode]],PAYSCALES[PayScaleCode],PAYSCALES[AvailableToAllSchools],1,0,)=TRUE,0,IF(ISERROR(FIND(CONT_SUP[[#This Row],[SchoolCode]],_xlfn.TEXTJOIN(",",TRUE,_xlfn.UNIQUE(IF(PAYSCALES[PayScaleCode]=CONT_SUP[[#This Row],[PayScaleCode]],PAYSCALES[SchoolCodes],""))))),1,0))</f>
        <v>0</v>
      </c>
      <c r="G370" s="57">
        <f>IF(_xlfn.XLOOKUP(CONT_SUP[[#This Row],[PayScaleGradeCode]],GRADES[PayScaleGradeCode],GRADES[AvailableToAllSchools])=TRUE,0,IFERROR(IF(FIND(CONT_SUP[[#This Row],[SchoolCode]],_xlfn.XLOOKUP(CONT_SUP[[#This Row],[PayScaleGradeCode]],GRADES[PayScaleGradeCode],GRADES[SchoolCodes]))&gt;=1,0,1),1))</f>
        <v>0</v>
      </c>
      <c r="H370" s="57">
        <f>IF(ISERROR(IF((_xlfn.XLOOKUP(CONT_SUP[[#This Row],[PayScaleGradeCode]],GRADES[PayScaleGradeCode],GRADES[PayScaleCode])=CONT_SUP[[#This Row],[PayScaleCode]]),0,1)),1,0)</f>
        <v>0</v>
      </c>
      <c r="I370" s="57" cm="1">
        <f t="array" ref="I370">IF(ISERROR(FIND(CONT_SUP[[#This Row],[PayScalePointCode]],_xlfn.TEXTJOIN(",",TRUE,IF(PSPOINTS[PayScaleCode]=CONT_SUP[[#This Row],[PayScaleCode]],PSPOINTS[PayScalePointCode])))),1,0)</f>
        <v>0</v>
      </c>
      <c r="J370" s="57" cm="1">
        <f t="array" ref="J37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70" s="57">
        <f>IF(_xlfn.XLOOKUP(CONT_SUP[[#This Row],[PayScalePointCode]],PSPOINTS[PayScalePointCode],PSPOINTS[PayScalePointEnabled])=TRUE,0,1)</f>
        <v>0</v>
      </c>
      <c r="L370" s="57" cm="1">
        <f t="array" ref="L370">IF(_xlfn.XLOOKUP(CONT_SUP[[#This Row],[DepartmentCode]],DEPTS[DepartmentCode],DEPTS[AvailableToAllSchools],1,0,)=TRUE,0,IF(ISERROR(FIND(CONT_SUP[[#This Row],[SchoolCode]],_xlfn.TEXTJOIN(",",TRUE,_xlfn.UNIQUE(IF(DEPTS[DepartmentCode]=CONT_SUP[[#This Row],[DepartmentCode]],DEPTS[SchoolCodes],""))))),1,0))</f>
        <v>0</v>
      </c>
      <c r="M370" s="57">
        <f>IFERROR(IF(_xlfn.XLOOKUP(CONT_SUP[[#This Row],[SRG Gross]],FinanceCodesBudget[FinanceCode],FinanceCodesBudget[LedgerCode])=_xlfn.XLOOKUP(CONT_SUP[[#This Row],[DepartmentCode]],DEPTS[DepartmentCode],DEPTS[LedgerCode]),0,1),1)</f>
        <v>1</v>
      </c>
      <c r="N370" s="57" cm="1">
        <f t="array" ref="N370">IF(_xlfn.XLOOKUP(CONT_SUP[[#This Row],[PensionCode]],PENS[PensionCode],PENS[AvailableToAllSchools],1,0,)=TRUE,0,IF(ISERROR(FIND(CONT_SUP[[#This Row],[SchoolCode]],_xlfn.TEXTJOIN(",",TRUE,_xlfn.UNIQUE(IF(PENS[PensionCode]=CONT_SUP[[#This Row],[PensionCode]],PENS[SchoolCodes],""))))),1,0))</f>
        <v>0</v>
      </c>
      <c r="O370" s="57" cm="1">
        <f t="array" ref="O370">IF(_xlfn.XLOOKUP(CONT_SUP[[#This Row],[EquatedWeekPatternCode]],EQW[EquatedWeekPatternCode],EQW[AvailableToAllSchools],1,0,)=TRUE,0,IF(ISERROR(FIND(CONT_SUP[[#This Row],[SchoolCode]],_xlfn.TEXTJOIN(",",TRUE,_xlfn.UNIQUE(IF(EQW[EquatedWeekPatternCode]=CONT_SUP[[#This Row],[EquatedWeekPatternCode]],EQW[SchoolCodes],""))))),1,0))</f>
        <v>0</v>
      </c>
      <c r="P370" s="57">
        <f>1-COUNTIF(ContractTypes[Code],CONT_SUP[[#This Row],[ContractTypeCode]])</f>
        <v>0</v>
      </c>
      <c r="Q370" s="57">
        <f>IF(VLOOKUP(CONT_SUP[[#This Row],[StaffMemberCode]],MEMBERS[[StaffMemberCode]:[ServiceStartDate]],5,0)&gt;CONT_SUP[[#This Row],[DateFrom]],1,0)</f>
        <v>0</v>
      </c>
      <c r="R370" s="57">
        <f>IF(_xlfn.XLOOKUP(CONT_SUP[[#This Row],[StaffMemberCode]],MEMBERS[StaffMemberCode],MEMBERS[ServiceEndDate])="",0,IF(CONT_SUP[[#This Row],[DateTo]]="",1,IF(_xlfn.XLOOKUP(CONT_SUP[[#This Row],[StaffMemberCode]],MEMBERS[StaffMemberCode],MEMBERS[ServiceEndDate])&lt;CONT_SUP[[#This Row],[DateTo]],1,0)))</f>
        <v>0</v>
      </c>
      <c r="S370" s="57">
        <f>IF(ISBLANK(CONT_SUP[[#This Row],[DateTo]]),0,IF(CONT_SUP[[#This Row],[DateFrom]]=CONT_SUP[[#This Row],[DateTo]],0,IF(CONT_SUP[[#This Row],[DateFrom]]&lt;CONT_SUP[[#This Row],[DateTo]],0,1)))</f>
        <v>0</v>
      </c>
      <c r="T370" s="57" cm="1">
        <f t="array" aca="1" ref="T370" ca="1">IF(CELL("format",CONT_SUP[[#This Row],[DateFrom]])="D1",0,1)+IF(CELL("format",CONT_SUP[[#This Row],[DateTo]])="D1",0,1)</f>
        <v>0</v>
      </c>
      <c r="U370" s="57">
        <f>IF(OR(CONT_SUP[[#This Row],[MatEditOnly]]=TRUE,CONT_SUP[[#This Row],[MatEditOnly]]=FALSE),IF(OR(CONT_SUP[[#This Row],[NoIncrement]]=TRUE,CONT_SUP[[#This Row],[NoIncrement]]=FALSE),0,1),1)</f>
        <v>0</v>
      </c>
      <c r="V370" s="57">
        <f>IF(ISBLANK(CONT_SUP[[#This Row],[FundCode]])=TRUE,0,IF(COUNTIF(FUNDS[FundCode],CONT_SUP[[#This Row],[FundCode]])=1,0,1))</f>
        <v>0</v>
      </c>
      <c r="W370" s="57">
        <f>IF(LEN(CONT_SUP[[#This Row],[Notes]])&lt;4000,0,1)</f>
        <v>0</v>
      </c>
      <c r="X370" s="57">
        <f>IF(SUBSTITUTE(TEXT(CONT_SUP[[#This Row],[Reference]],10)," ","")=TEXT(CONT_SUP[[#This Row],[Reference]],10),0,1)</f>
        <v>0</v>
      </c>
      <c r="Y370" s="57">
        <f ca="1">SUM(CONT_SUP[[#This Row],[Duplicate Contract]:[Space in Code]])</f>
        <v>1</v>
      </c>
      <c r="AA370" s="12" t="s">
        <v>2126</v>
      </c>
      <c r="AB370" s="12">
        <v>10006092</v>
      </c>
      <c r="AC370" s="12">
        <v>106954</v>
      </c>
      <c r="AD370" s="57" t="str">
        <f>_xlfn.XLOOKUP(CONT_SUP[[#This Row],[StaffMemberCode]],StaffMembers!O:O,StaffMembers!R:R)</f>
        <v>Sarah Haynes</v>
      </c>
      <c r="AE370" s="12" t="s">
        <v>1180</v>
      </c>
      <c r="AF370" s="57">
        <f>_xlfn.XLOOKUP(CONT_SUP[[#This Row],[SRG]],SRG[StaffRoleGroupCode],SRG[GrossSalaryFinanceCode])</f>
        <v>615100</v>
      </c>
      <c r="AG370" s="57" t="str">
        <f>_xlfn.XLOOKUP(CONT_SUP[[#This Row],[StaffRoleCode]],ROLES[StaffRoleCode],ROLES[StaffRoleGroupCode])</f>
        <v>TA</v>
      </c>
      <c r="AH370" s="57" t="str">
        <f>_xlfn.XLOOKUP(CONT_SUP[[#This Row],[StaffRoleCode]],ROLES[StaffRoleCode],ROLES[PayScaleCode])</f>
        <v>NJC_CHE</v>
      </c>
      <c r="AI370" s="12" t="s">
        <v>3123</v>
      </c>
      <c r="AJ370" s="12">
        <v>11</v>
      </c>
      <c r="AK370" s="12" t="s">
        <v>2497</v>
      </c>
      <c r="AM370" s="68" t="s">
        <v>3132</v>
      </c>
      <c r="AN370" s="12" t="s">
        <v>3134</v>
      </c>
      <c r="AO370" s="21">
        <v>46023</v>
      </c>
      <c r="AQ370" s="12">
        <v>24</v>
      </c>
      <c r="AR370" t="b">
        <v>0</v>
      </c>
      <c r="AS370" t="b">
        <v>0</v>
      </c>
      <c r="AT370" s="12" t="s">
        <v>1574</v>
      </c>
    </row>
    <row r="371" spans="1:46" x14ac:dyDescent="0.3">
      <c r="A371" s="57" t="str">
        <f t="shared" si="12"/>
        <v>MLB10013091114844TASTA46023</v>
      </c>
      <c r="B371" s="57">
        <f>COUNTIF(CONT_SUP[Unique Contract],CONT_SUP[[#This Row],[Unique Contract]])-1</f>
        <v>0</v>
      </c>
      <c r="C371" s="57">
        <f>IFERROR(IF(FIND(CONT_SUP[[#This Row],[SchoolCode]],_xlfn.XLOOKUP(CONT_SUP[[#This Row],[StaffMemberCode]],MEMBERS[StaffMemberCode],MEMBERS[SchoolCodes]))&gt;0,0,1),1)</f>
        <v>0</v>
      </c>
      <c r="D371" s="57" cm="1">
        <f t="array" ref="D371">IF(_xlfn.XLOOKUP(CONT_SUP[[#This Row],[StaffRoleCode]],ROLES[StaffRoleCode],ROLES[AvailableToAllSchools],1,0,)=TRUE,0,IF(ISERROR(FIND(CONT_SUP[[#This Row],[SchoolCode]],_xlfn.TEXTJOIN(",",TRUE,_xlfn.UNIQUE(IF(ROLES[StaffRoleCode]=CONT_SUP[[#This Row],[StaffRoleCode]],ROLES[SchoolCodes],""))))),1,0))</f>
        <v>0</v>
      </c>
      <c r="E371" s="57" cm="1">
        <f t="array" ref="E37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71" s="57" cm="1">
        <f t="array" ref="F371">IF(_xlfn.XLOOKUP(CONT_SUP[[#This Row],[PayScaleCode]],PAYSCALES[PayScaleCode],PAYSCALES[AvailableToAllSchools],1,0,)=TRUE,0,IF(ISERROR(FIND(CONT_SUP[[#This Row],[SchoolCode]],_xlfn.TEXTJOIN(",",TRUE,_xlfn.UNIQUE(IF(PAYSCALES[PayScaleCode]=CONT_SUP[[#This Row],[PayScaleCode]],PAYSCALES[SchoolCodes],""))))),1,0))</f>
        <v>0</v>
      </c>
      <c r="G371" s="57">
        <f>IF(_xlfn.XLOOKUP(CONT_SUP[[#This Row],[PayScaleGradeCode]],GRADES[PayScaleGradeCode],GRADES[AvailableToAllSchools])=TRUE,0,IFERROR(IF(FIND(CONT_SUP[[#This Row],[SchoolCode]],_xlfn.XLOOKUP(CONT_SUP[[#This Row],[PayScaleGradeCode]],GRADES[PayScaleGradeCode],GRADES[SchoolCodes]))&gt;=1,0,1),1))</f>
        <v>0</v>
      </c>
      <c r="H371" s="57">
        <f>IF(ISERROR(IF((_xlfn.XLOOKUP(CONT_SUP[[#This Row],[PayScaleGradeCode]],GRADES[PayScaleGradeCode],GRADES[PayScaleCode])=CONT_SUP[[#This Row],[PayScaleCode]]),0,1)),1,0)</f>
        <v>0</v>
      </c>
      <c r="I371" s="57" cm="1">
        <f t="array" ref="I371">IF(ISERROR(FIND(CONT_SUP[[#This Row],[PayScalePointCode]],_xlfn.TEXTJOIN(",",TRUE,IF(PSPOINTS[PayScaleCode]=CONT_SUP[[#This Row],[PayScaleCode]],PSPOINTS[PayScalePointCode])))),1,0)</f>
        <v>0</v>
      </c>
      <c r="J371" s="57" cm="1">
        <f t="array" ref="J37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71" s="57">
        <f>IF(_xlfn.XLOOKUP(CONT_SUP[[#This Row],[PayScalePointCode]],PSPOINTS[PayScalePointCode],PSPOINTS[PayScalePointEnabled])=TRUE,0,1)</f>
        <v>0</v>
      </c>
      <c r="L371" s="57" cm="1">
        <f t="array" ref="L371">IF(_xlfn.XLOOKUP(CONT_SUP[[#This Row],[DepartmentCode]],DEPTS[DepartmentCode],DEPTS[AvailableToAllSchools],1,0,)=TRUE,0,IF(ISERROR(FIND(CONT_SUP[[#This Row],[SchoolCode]],_xlfn.TEXTJOIN(",",TRUE,_xlfn.UNIQUE(IF(DEPTS[DepartmentCode]=CONT_SUP[[#This Row],[DepartmentCode]],DEPTS[SchoolCodes],""))))),1,0))</f>
        <v>0</v>
      </c>
      <c r="M371" s="57">
        <f>IFERROR(IF(_xlfn.XLOOKUP(CONT_SUP[[#This Row],[SRG Gross]],FinanceCodesBudget[FinanceCode],FinanceCodesBudget[LedgerCode])=_xlfn.XLOOKUP(CONT_SUP[[#This Row],[DepartmentCode]],DEPTS[DepartmentCode],DEPTS[LedgerCode]),0,1),1)</f>
        <v>1</v>
      </c>
      <c r="N371" s="57" cm="1">
        <f t="array" ref="N371">IF(_xlfn.XLOOKUP(CONT_SUP[[#This Row],[PensionCode]],PENS[PensionCode],PENS[AvailableToAllSchools],1,0,)=TRUE,0,IF(ISERROR(FIND(CONT_SUP[[#This Row],[SchoolCode]],_xlfn.TEXTJOIN(",",TRUE,_xlfn.UNIQUE(IF(PENS[PensionCode]=CONT_SUP[[#This Row],[PensionCode]],PENS[SchoolCodes],""))))),1,0))</f>
        <v>0</v>
      </c>
      <c r="O371" s="57" cm="1">
        <f t="array" ref="O371">IF(_xlfn.XLOOKUP(CONT_SUP[[#This Row],[EquatedWeekPatternCode]],EQW[EquatedWeekPatternCode],EQW[AvailableToAllSchools],1,0,)=TRUE,0,IF(ISERROR(FIND(CONT_SUP[[#This Row],[SchoolCode]],_xlfn.TEXTJOIN(",",TRUE,_xlfn.UNIQUE(IF(EQW[EquatedWeekPatternCode]=CONT_SUP[[#This Row],[EquatedWeekPatternCode]],EQW[SchoolCodes],""))))),1,0))</f>
        <v>0</v>
      </c>
      <c r="P371" s="57">
        <f>1-COUNTIF(ContractTypes[Code],CONT_SUP[[#This Row],[ContractTypeCode]])</f>
        <v>0</v>
      </c>
      <c r="Q371" s="57">
        <f>IF(VLOOKUP(CONT_SUP[[#This Row],[StaffMemberCode]],MEMBERS[[StaffMemberCode]:[ServiceStartDate]],5,0)&gt;CONT_SUP[[#This Row],[DateFrom]],1,0)</f>
        <v>0</v>
      </c>
      <c r="R371" s="57">
        <f>IF(_xlfn.XLOOKUP(CONT_SUP[[#This Row],[StaffMemberCode]],MEMBERS[StaffMemberCode],MEMBERS[ServiceEndDate])="",0,IF(CONT_SUP[[#This Row],[DateTo]]="",1,IF(_xlfn.XLOOKUP(CONT_SUP[[#This Row],[StaffMemberCode]],MEMBERS[StaffMemberCode],MEMBERS[ServiceEndDate])&lt;CONT_SUP[[#This Row],[DateTo]],1,0)))</f>
        <v>0</v>
      </c>
      <c r="S371" s="57">
        <f>IF(ISBLANK(CONT_SUP[[#This Row],[DateTo]]),0,IF(CONT_SUP[[#This Row],[DateFrom]]=CONT_SUP[[#This Row],[DateTo]],0,IF(CONT_SUP[[#This Row],[DateFrom]]&lt;CONT_SUP[[#This Row],[DateTo]],0,1)))</f>
        <v>0</v>
      </c>
      <c r="T371" s="57" cm="1">
        <f t="array" aca="1" ref="T371" ca="1">IF(CELL("format",CONT_SUP[[#This Row],[DateFrom]])="D1",0,1)+IF(CELL("format",CONT_SUP[[#This Row],[DateTo]])="D1",0,1)</f>
        <v>0</v>
      </c>
      <c r="U371" s="57">
        <f>IF(OR(CONT_SUP[[#This Row],[MatEditOnly]]=TRUE,CONT_SUP[[#This Row],[MatEditOnly]]=FALSE),IF(OR(CONT_SUP[[#This Row],[NoIncrement]]=TRUE,CONT_SUP[[#This Row],[NoIncrement]]=FALSE),0,1),1)</f>
        <v>0</v>
      </c>
      <c r="V371" s="57">
        <f>IF(ISBLANK(CONT_SUP[[#This Row],[FundCode]])=TRUE,0,IF(COUNTIF(FUNDS[FundCode],CONT_SUP[[#This Row],[FundCode]])=1,0,1))</f>
        <v>0</v>
      </c>
      <c r="W371" s="57">
        <f>IF(LEN(CONT_SUP[[#This Row],[Notes]])&lt;4000,0,1)</f>
        <v>0</v>
      </c>
      <c r="X371" s="57">
        <f>IF(SUBSTITUTE(TEXT(CONT_SUP[[#This Row],[Reference]],10)," ","")=TEXT(CONT_SUP[[#This Row],[Reference]],10),0,1)</f>
        <v>0</v>
      </c>
      <c r="Y371" s="57">
        <f ca="1">SUM(CONT_SUP[[#This Row],[Duplicate Contract]:[Space in Code]])</f>
        <v>1</v>
      </c>
      <c r="AA371" s="12" t="s">
        <v>2126</v>
      </c>
      <c r="AB371" s="12">
        <v>10013091</v>
      </c>
      <c r="AC371" s="12">
        <v>114844</v>
      </c>
      <c r="AD371" s="57" t="str">
        <f>_xlfn.XLOOKUP(CONT_SUP[[#This Row],[StaffMemberCode]],StaffMembers!O:O,StaffMembers!R:R)</f>
        <v>Sally Handley</v>
      </c>
      <c r="AE371" s="12" t="s">
        <v>1180</v>
      </c>
      <c r="AF371" s="57">
        <f>_xlfn.XLOOKUP(CONT_SUP[[#This Row],[SRG]],SRG[StaffRoleGroupCode],SRG[GrossSalaryFinanceCode])</f>
        <v>615100</v>
      </c>
      <c r="AG371" s="57" t="str">
        <f>_xlfn.XLOOKUP(CONT_SUP[[#This Row],[StaffRoleCode]],ROLES[StaffRoleCode],ROLES[StaffRoleGroupCode])</f>
        <v>TA</v>
      </c>
      <c r="AH371" s="57" t="str">
        <f>_xlfn.XLOOKUP(CONT_SUP[[#This Row],[StaffRoleCode]],ROLES[StaffRoleCode],ROLES[PayScaleCode])</f>
        <v>NJC_CHE</v>
      </c>
      <c r="AI371" s="12" t="s">
        <v>3123</v>
      </c>
      <c r="AJ371" s="12">
        <v>7</v>
      </c>
      <c r="AK371" s="12" t="s">
        <v>2497</v>
      </c>
      <c r="AM371" s="68" t="s">
        <v>3132</v>
      </c>
      <c r="AN371" s="12" t="s">
        <v>3134</v>
      </c>
      <c r="AO371" s="21">
        <v>46023</v>
      </c>
      <c r="AQ371" s="12">
        <v>30</v>
      </c>
      <c r="AR371" t="b">
        <v>0</v>
      </c>
      <c r="AS371" t="b">
        <v>0</v>
      </c>
      <c r="AT371" s="12" t="s">
        <v>1574</v>
      </c>
    </row>
    <row r="372" spans="1:46" x14ac:dyDescent="0.3">
      <c r="A372" s="57" t="str">
        <f t="shared" si="12"/>
        <v>MLB10007482112933TASTA46023</v>
      </c>
      <c r="B372" s="57">
        <f>COUNTIF(CONT_SUP[Unique Contract],CONT_SUP[[#This Row],[Unique Contract]])-1</f>
        <v>0</v>
      </c>
      <c r="C372" s="57">
        <f>IFERROR(IF(FIND(CONT_SUP[[#This Row],[SchoolCode]],_xlfn.XLOOKUP(CONT_SUP[[#This Row],[StaffMemberCode]],MEMBERS[StaffMemberCode],MEMBERS[SchoolCodes]))&gt;0,0,1),1)</f>
        <v>0</v>
      </c>
      <c r="D372" s="57" cm="1">
        <f t="array" ref="D372">IF(_xlfn.XLOOKUP(CONT_SUP[[#This Row],[StaffRoleCode]],ROLES[StaffRoleCode],ROLES[AvailableToAllSchools],1,0,)=TRUE,0,IF(ISERROR(FIND(CONT_SUP[[#This Row],[SchoolCode]],_xlfn.TEXTJOIN(",",TRUE,_xlfn.UNIQUE(IF(ROLES[StaffRoleCode]=CONT_SUP[[#This Row],[StaffRoleCode]],ROLES[SchoolCodes],""))))),1,0))</f>
        <v>0</v>
      </c>
      <c r="E372" s="57" cm="1">
        <f t="array" ref="E37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72" s="57" cm="1">
        <f t="array" ref="F372">IF(_xlfn.XLOOKUP(CONT_SUP[[#This Row],[PayScaleCode]],PAYSCALES[PayScaleCode],PAYSCALES[AvailableToAllSchools],1,0,)=TRUE,0,IF(ISERROR(FIND(CONT_SUP[[#This Row],[SchoolCode]],_xlfn.TEXTJOIN(",",TRUE,_xlfn.UNIQUE(IF(PAYSCALES[PayScaleCode]=CONT_SUP[[#This Row],[PayScaleCode]],PAYSCALES[SchoolCodes],""))))),1,0))</f>
        <v>0</v>
      </c>
      <c r="G372" s="57">
        <f>IF(_xlfn.XLOOKUP(CONT_SUP[[#This Row],[PayScaleGradeCode]],GRADES[PayScaleGradeCode],GRADES[AvailableToAllSchools])=TRUE,0,IFERROR(IF(FIND(CONT_SUP[[#This Row],[SchoolCode]],_xlfn.XLOOKUP(CONT_SUP[[#This Row],[PayScaleGradeCode]],GRADES[PayScaleGradeCode],GRADES[SchoolCodes]))&gt;=1,0,1),1))</f>
        <v>0</v>
      </c>
      <c r="H372" s="57">
        <f>IF(ISERROR(IF((_xlfn.XLOOKUP(CONT_SUP[[#This Row],[PayScaleGradeCode]],GRADES[PayScaleGradeCode],GRADES[PayScaleCode])=CONT_SUP[[#This Row],[PayScaleCode]]),0,1)),1,0)</f>
        <v>0</v>
      </c>
      <c r="I372" s="57" cm="1">
        <f t="array" ref="I372">IF(ISERROR(FIND(CONT_SUP[[#This Row],[PayScalePointCode]],_xlfn.TEXTJOIN(",",TRUE,IF(PSPOINTS[PayScaleCode]=CONT_SUP[[#This Row],[PayScaleCode]],PSPOINTS[PayScalePointCode])))),1,0)</f>
        <v>0</v>
      </c>
      <c r="J372" s="57" cm="1">
        <f t="array" ref="J37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72" s="57">
        <f>IF(_xlfn.XLOOKUP(CONT_SUP[[#This Row],[PayScalePointCode]],PSPOINTS[PayScalePointCode],PSPOINTS[PayScalePointEnabled])=TRUE,0,1)</f>
        <v>0</v>
      </c>
      <c r="L372" s="57" cm="1">
        <f t="array" ref="L372">IF(_xlfn.XLOOKUP(CONT_SUP[[#This Row],[DepartmentCode]],DEPTS[DepartmentCode],DEPTS[AvailableToAllSchools],1,0,)=TRUE,0,IF(ISERROR(FIND(CONT_SUP[[#This Row],[SchoolCode]],_xlfn.TEXTJOIN(",",TRUE,_xlfn.UNIQUE(IF(DEPTS[DepartmentCode]=CONT_SUP[[#This Row],[DepartmentCode]],DEPTS[SchoolCodes],""))))),1,0))</f>
        <v>0</v>
      </c>
      <c r="M372" s="57">
        <f>IFERROR(IF(_xlfn.XLOOKUP(CONT_SUP[[#This Row],[SRG Gross]],FinanceCodesBudget[FinanceCode],FinanceCodesBudget[LedgerCode])=_xlfn.XLOOKUP(CONT_SUP[[#This Row],[DepartmentCode]],DEPTS[DepartmentCode],DEPTS[LedgerCode]),0,1),1)</f>
        <v>1</v>
      </c>
      <c r="N372" s="57" cm="1">
        <f t="array" ref="N372">IF(_xlfn.XLOOKUP(CONT_SUP[[#This Row],[PensionCode]],PENS[PensionCode],PENS[AvailableToAllSchools],1,0,)=TRUE,0,IF(ISERROR(FIND(CONT_SUP[[#This Row],[SchoolCode]],_xlfn.TEXTJOIN(",",TRUE,_xlfn.UNIQUE(IF(PENS[PensionCode]=CONT_SUP[[#This Row],[PensionCode]],PENS[SchoolCodes],""))))),1,0))</f>
        <v>0</v>
      </c>
      <c r="O372" s="57" cm="1">
        <f t="array" ref="O372">IF(_xlfn.XLOOKUP(CONT_SUP[[#This Row],[EquatedWeekPatternCode]],EQW[EquatedWeekPatternCode],EQW[AvailableToAllSchools],1,0,)=TRUE,0,IF(ISERROR(FIND(CONT_SUP[[#This Row],[SchoolCode]],_xlfn.TEXTJOIN(",",TRUE,_xlfn.UNIQUE(IF(EQW[EquatedWeekPatternCode]=CONT_SUP[[#This Row],[EquatedWeekPatternCode]],EQW[SchoolCodes],""))))),1,0))</f>
        <v>0</v>
      </c>
      <c r="P372" s="57">
        <f>1-COUNTIF(ContractTypes[Code],CONT_SUP[[#This Row],[ContractTypeCode]])</f>
        <v>0</v>
      </c>
      <c r="Q372" s="57">
        <f>IF(VLOOKUP(CONT_SUP[[#This Row],[StaffMemberCode]],MEMBERS[[StaffMemberCode]:[ServiceStartDate]],5,0)&gt;CONT_SUP[[#This Row],[DateFrom]],1,0)</f>
        <v>0</v>
      </c>
      <c r="R372" s="57">
        <f>IF(_xlfn.XLOOKUP(CONT_SUP[[#This Row],[StaffMemberCode]],MEMBERS[StaffMemberCode],MEMBERS[ServiceEndDate])="",0,IF(CONT_SUP[[#This Row],[DateTo]]="",1,IF(_xlfn.XLOOKUP(CONT_SUP[[#This Row],[StaffMemberCode]],MEMBERS[StaffMemberCode],MEMBERS[ServiceEndDate])&lt;CONT_SUP[[#This Row],[DateTo]],1,0)))</f>
        <v>0</v>
      </c>
      <c r="S372" s="57">
        <f>IF(ISBLANK(CONT_SUP[[#This Row],[DateTo]]),0,IF(CONT_SUP[[#This Row],[DateFrom]]=CONT_SUP[[#This Row],[DateTo]],0,IF(CONT_SUP[[#This Row],[DateFrom]]&lt;CONT_SUP[[#This Row],[DateTo]],0,1)))</f>
        <v>0</v>
      </c>
      <c r="T372" s="57" cm="1">
        <f t="array" aca="1" ref="T372" ca="1">IF(CELL("format",CONT_SUP[[#This Row],[DateFrom]])="D1",0,1)+IF(CELL("format",CONT_SUP[[#This Row],[DateTo]])="D1",0,1)</f>
        <v>0</v>
      </c>
      <c r="U372" s="57">
        <f>IF(OR(CONT_SUP[[#This Row],[MatEditOnly]]=TRUE,CONT_SUP[[#This Row],[MatEditOnly]]=FALSE),IF(OR(CONT_SUP[[#This Row],[NoIncrement]]=TRUE,CONT_SUP[[#This Row],[NoIncrement]]=FALSE),0,1),1)</f>
        <v>0</v>
      </c>
      <c r="V372" s="57">
        <f>IF(ISBLANK(CONT_SUP[[#This Row],[FundCode]])=TRUE,0,IF(COUNTIF(FUNDS[FundCode],CONT_SUP[[#This Row],[FundCode]])=1,0,1))</f>
        <v>0</v>
      </c>
      <c r="W372" s="57">
        <f>IF(LEN(CONT_SUP[[#This Row],[Notes]])&lt;4000,0,1)</f>
        <v>0</v>
      </c>
      <c r="X372" s="57">
        <f>IF(SUBSTITUTE(TEXT(CONT_SUP[[#This Row],[Reference]],10)," ","")=TEXT(CONT_SUP[[#This Row],[Reference]],10),0,1)</f>
        <v>0</v>
      </c>
      <c r="Y372" s="57">
        <f ca="1">SUM(CONT_SUP[[#This Row],[Duplicate Contract]:[Space in Code]])</f>
        <v>1</v>
      </c>
      <c r="AA372" s="12" t="s">
        <v>2126</v>
      </c>
      <c r="AB372" s="12">
        <v>10007482</v>
      </c>
      <c r="AC372" s="12">
        <v>112933</v>
      </c>
      <c r="AD372" s="57" t="str">
        <f>_xlfn.XLOOKUP(CONT_SUP[[#This Row],[StaffMemberCode]],StaffMembers!O:O,StaffMembers!R:R)</f>
        <v>Rebecca Swire</v>
      </c>
      <c r="AE372" s="12" t="s">
        <v>1180</v>
      </c>
      <c r="AF372" s="57">
        <f>_xlfn.XLOOKUP(CONT_SUP[[#This Row],[SRG]],SRG[StaffRoleGroupCode],SRG[GrossSalaryFinanceCode])</f>
        <v>615100</v>
      </c>
      <c r="AG372" s="57" t="str">
        <f>_xlfn.XLOOKUP(CONT_SUP[[#This Row],[StaffRoleCode]],ROLES[StaffRoleCode],ROLES[StaffRoleGroupCode])</f>
        <v>TA</v>
      </c>
      <c r="AH372" s="57" t="str">
        <f>_xlfn.XLOOKUP(CONT_SUP[[#This Row],[StaffRoleCode]],ROLES[StaffRoleCode],ROLES[PayScaleCode])</f>
        <v>NJC_CHE</v>
      </c>
      <c r="AI372" s="12" t="s">
        <v>3123</v>
      </c>
      <c r="AJ372" s="12">
        <v>9</v>
      </c>
      <c r="AK372" s="12" t="s">
        <v>2497</v>
      </c>
      <c r="AM372" s="68" t="s">
        <v>3132</v>
      </c>
      <c r="AN372" s="12" t="s">
        <v>3134</v>
      </c>
      <c r="AO372" s="21">
        <v>46023</v>
      </c>
      <c r="AQ372" s="12">
        <v>30</v>
      </c>
      <c r="AR372" t="b">
        <v>0</v>
      </c>
      <c r="AS372" t="b">
        <v>0</v>
      </c>
      <c r="AT372" s="12" t="s">
        <v>1574</v>
      </c>
    </row>
    <row r="373" spans="1:46" x14ac:dyDescent="0.3">
      <c r="A373" s="57" t="str">
        <f t="shared" si="12"/>
        <v>MLB10007207111346TASTA46023</v>
      </c>
      <c r="B373" s="57">
        <f>COUNTIF(CONT_SUP[Unique Contract],CONT_SUP[[#This Row],[Unique Contract]])-1</f>
        <v>0</v>
      </c>
      <c r="C373" s="57">
        <f>IFERROR(IF(FIND(CONT_SUP[[#This Row],[SchoolCode]],_xlfn.XLOOKUP(CONT_SUP[[#This Row],[StaffMemberCode]],MEMBERS[StaffMemberCode],MEMBERS[SchoolCodes]))&gt;0,0,1),1)</f>
        <v>0</v>
      </c>
      <c r="D373" s="57" cm="1">
        <f t="array" ref="D373">IF(_xlfn.XLOOKUP(CONT_SUP[[#This Row],[StaffRoleCode]],ROLES[StaffRoleCode],ROLES[AvailableToAllSchools],1,0,)=TRUE,0,IF(ISERROR(FIND(CONT_SUP[[#This Row],[SchoolCode]],_xlfn.TEXTJOIN(",",TRUE,_xlfn.UNIQUE(IF(ROLES[StaffRoleCode]=CONT_SUP[[#This Row],[StaffRoleCode]],ROLES[SchoolCodes],""))))),1,0))</f>
        <v>0</v>
      </c>
      <c r="E373" s="57" cm="1">
        <f t="array" ref="E37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73" s="57" cm="1">
        <f t="array" ref="F373">IF(_xlfn.XLOOKUP(CONT_SUP[[#This Row],[PayScaleCode]],PAYSCALES[PayScaleCode],PAYSCALES[AvailableToAllSchools],1,0,)=TRUE,0,IF(ISERROR(FIND(CONT_SUP[[#This Row],[SchoolCode]],_xlfn.TEXTJOIN(",",TRUE,_xlfn.UNIQUE(IF(PAYSCALES[PayScaleCode]=CONT_SUP[[#This Row],[PayScaleCode]],PAYSCALES[SchoolCodes],""))))),1,0))</f>
        <v>0</v>
      </c>
      <c r="G373" s="57">
        <f>IF(_xlfn.XLOOKUP(CONT_SUP[[#This Row],[PayScaleGradeCode]],GRADES[PayScaleGradeCode],GRADES[AvailableToAllSchools])=TRUE,0,IFERROR(IF(FIND(CONT_SUP[[#This Row],[SchoolCode]],_xlfn.XLOOKUP(CONT_SUP[[#This Row],[PayScaleGradeCode]],GRADES[PayScaleGradeCode],GRADES[SchoolCodes]))&gt;=1,0,1),1))</f>
        <v>0</v>
      </c>
      <c r="H373" s="57">
        <f>IF(ISERROR(IF((_xlfn.XLOOKUP(CONT_SUP[[#This Row],[PayScaleGradeCode]],GRADES[PayScaleGradeCode],GRADES[PayScaleCode])=CONT_SUP[[#This Row],[PayScaleCode]]),0,1)),1,0)</f>
        <v>0</v>
      </c>
      <c r="I373" s="57" cm="1">
        <f t="array" ref="I373">IF(ISERROR(FIND(CONT_SUP[[#This Row],[PayScalePointCode]],_xlfn.TEXTJOIN(",",TRUE,IF(PSPOINTS[PayScaleCode]=CONT_SUP[[#This Row],[PayScaleCode]],PSPOINTS[PayScalePointCode])))),1,0)</f>
        <v>0</v>
      </c>
      <c r="J373" s="57" cm="1">
        <f t="array" ref="J37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73" s="57">
        <f>IF(_xlfn.XLOOKUP(CONT_SUP[[#This Row],[PayScalePointCode]],PSPOINTS[PayScalePointCode],PSPOINTS[PayScalePointEnabled])=TRUE,0,1)</f>
        <v>0</v>
      </c>
      <c r="L373" s="57" cm="1">
        <f t="array" ref="L373">IF(_xlfn.XLOOKUP(CONT_SUP[[#This Row],[DepartmentCode]],DEPTS[DepartmentCode],DEPTS[AvailableToAllSchools],1,0,)=TRUE,0,IF(ISERROR(FIND(CONT_SUP[[#This Row],[SchoolCode]],_xlfn.TEXTJOIN(",",TRUE,_xlfn.UNIQUE(IF(DEPTS[DepartmentCode]=CONT_SUP[[#This Row],[DepartmentCode]],DEPTS[SchoolCodes],""))))),1,0))</f>
        <v>0</v>
      </c>
      <c r="M373" s="57">
        <f>IFERROR(IF(_xlfn.XLOOKUP(CONT_SUP[[#This Row],[SRG Gross]],FinanceCodesBudget[FinanceCode],FinanceCodesBudget[LedgerCode])=_xlfn.XLOOKUP(CONT_SUP[[#This Row],[DepartmentCode]],DEPTS[DepartmentCode],DEPTS[LedgerCode]),0,1),1)</f>
        <v>1</v>
      </c>
      <c r="N373" s="57" cm="1">
        <f t="array" ref="N373">IF(_xlfn.XLOOKUP(CONT_SUP[[#This Row],[PensionCode]],PENS[PensionCode],PENS[AvailableToAllSchools],1,0,)=TRUE,0,IF(ISERROR(FIND(CONT_SUP[[#This Row],[SchoolCode]],_xlfn.TEXTJOIN(",",TRUE,_xlfn.UNIQUE(IF(PENS[PensionCode]=CONT_SUP[[#This Row],[PensionCode]],PENS[SchoolCodes],""))))),1,0))</f>
        <v>0</v>
      </c>
      <c r="O373" s="57" cm="1">
        <f t="array" ref="O373">IF(_xlfn.XLOOKUP(CONT_SUP[[#This Row],[EquatedWeekPatternCode]],EQW[EquatedWeekPatternCode],EQW[AvailableToAllSchools],1,0,)=TRUE,0,IF(ISERROR(FIND(CONT_SUP[[#This Row],[SchoolCode]],_xlfn.TEXTJOIN(",",TRUE,_xlfn.UNIQUE(IF(EQW[EquatedWeekPatternCode]=CONT_SUP[[#This Row],[EquatedWeekPatternCode]],EQW[SchoolCodes],""))))),1,0))</f>
        <v>0</v>
      </c>
      <c r="P373" s="57">
        <f>1-COUNTIF(ContractTypes[Code],CONT_SUP[[#This Row],[ContractTypeCode]])</f>
        <v>0</v>
      </c>
      <c r="Q373" s="57">
        <f>IF(VLOOKUP(CONT_SUP[[#This Row],[StaffMemberCode]],MEMBERS[[StaffMemberCode]:[ServiceStartDate]],5,0)&gt;CONT_SUP[[#This Row],[DateFrom]],1,0)</f>
        <v>0</v>
      </c>
      <c r="R373" s="57">
        <f>IF(_xlfn.XLOOKUP(CONT_SUP[[#This Row],[StaffMemberCode]],MEMBERS[StaffMemberCode],MEMBERS[ServiceEndDate])="",0,IF(CONT_SUP[[#This Row],[DateTo]]="",1,IF(_xlfn.XLOOKUP(CONT_SUP[[#This Row],[StaffMemberCode]],MEMBERS[StaffMemberCode],MEMBERS[ServiceEndDate])&lt;CONT_SUP[[#This Row],[DateTo]],1,0)))</f>
        <v>0</v>
      </c>
      <c r="S373" s="57">
        <f>IF(ISBLANK(CONT_SUP[[#This Row],[DateTo]]),0,IF(CONT_SUP[[#This Row],[DateFrom]]=CONT_SUP[[#This Row],[DateTo]],0,IF(CONT_SUP[[#This Row],[DateFrom]]&lt;CONT_SUP[[#This Row],[DateTo]],0,1)))</f>
        <v>0</v>
      </c>
      <c r="T373" s="57" cm="1">
        <f t="array" aca="1" ref="T373" ca="1">IF(CELL("format",CONT_SUP[[#This Row],[DateFrom]])="D1",0,1)+IF(CELL("format",CONT_SUP[[#This Row],[DateTo]])="D1",0,1)</f>
        <v>0</v>
      </c>
      <c r="U373" s="57">
        <f>IF(OR(CONT_SUP[[#This Row],[MatEditOnly]]=TRUE,CONT_SUP[[#This Row],[MatEditOnly]]=FALSE),IF(OR(CONT_SUP[[#This Row],[NoIncrement]]=TRUE,CONT_SUP[[#This Row],[NoIncrement]]=FALSE),0,1),1)</f>
        <v>0</v>
      </c>
      <c r="V373" s="57">
        <f>IF(ISBLANK(CONT_SUP[[#This Row],[FundCode]])=TRUE,0,IF(COUNTIF(FUNDS[FundCode],CONT_SUP[[#This Row],[FundCode]])=1,0,1))</f>
        <v>0</v>
      </c>
      <c r="W373" s="57">
        <f>IF(LEN(CONT_SUP[[#This Row],[Notes]])&lt;4000,0,1)</f>
        <v>0</v>
      </c>
      <c r="X373" s="57">
        <f>IF(SUBSTITUTE(TEXT(CONT_SUP[[#This Row],[Reference]],10)," ","")=TEXT(CONT_SUP[[#This Row],[Reference]],10),0,1)</f>
        <v>0</v>
      </c>
      <c r="Y373" s="57">
        <f ca="1">SUM(CONT_SUP[[#This Row],[Duplicate Contract]:[Space in Code]])</f>
        <v>1</v>
      </c>
      <c r="AA373" s="12" t="s">
        <v>2126</v>
      </c>
      <c r="AB373" s="12">
        <v>10007207</v>
      </c>
      <c r="AC373" s="12">
        <v>111346</v>
      </c>
      <c r="AD373" s="57" t="str">
        <f>_xlfn.XLOOKUP(CONT_SUP[[#This Row],[StaffMemberCode]],StaffMembers!O:O,StaffMembers!R:R)</f>
        <v>Annelies Jakobs</v>
      </c>
      <c r="AE373" s="12" t="s">
        <v>1180</v>
      </c>
      <c r="AF373" s="57">
        <f>_xlfn.XLOOKUP(CONT_SUP[[#This Row],[SRG]],SRG[StaffRoleGroupCode],SRG[GrossSalaryFinanceCode])</f>
        <v>615100</v>
      </c>
      <c r="AG373" s="57" t="str">
        <f>_xlfn.XLOOKUP(CONT_SUP[[#This Row],[StaffRoleCode]],ROLES[StaffRoleCode],ROLES[StaffRoleGroupCode])</f>
        <v>TA</v>
      </c>
      <c r="AH373" s="57" t="str">
        <f>_xlfn.XLOOKUP(CONT_SUP[[#This Row],[StaffRoleCode]],ROLES[StaffRoleCode],ROLES[PayScaleCode])</f>
        <v>NJC_CHE</v>
      </c>
      <c r="AI373" s="12" t="s">
        <v>3122</v>
      </c>
      <c r="AJ373" s="12">
        <v>5</v>
      </c>
      <c r="AK373" s="12" t="s">
        <v>2497</v>
      </c>
      <c r="AM373" s="68" t="s">
        <v>3132</v>
      </c>
      <c r="AN373" s="12" t="s">
        <v>3134</v>
      </c>
      <c r="AO373" s="21">
        <v>46023</v>
      </c>
      <c r="AQ373" s="12">
        <v>31.25</v>
      </c>
      <c r="AR373" t="b">
        <v>0</v>
      </c>
      <c r="AS373" t="b">
        <v>0</v>
      </c>
      <c r="AT373" s="12" t="s">
        <v>1574</v>
      </c>
    </row>
    <row r="374" spans="1:46" x14ac:dyDescent="0.3">
      <c r="A374" s="57" t="str">
        <f t="shared" si="12"/>
        <v>MLB10010815106297TASTA46023</v>
      </c>
      <c r="B374" s="57">
        <f>COUNTIF(CONT_SUP[Unique Contract],CONT_SUP[[#This Row],[Unique Contract]])-1</f>
        <v>0</v>
      </c>
      <c r="C374" s="57">
        <f>IFERROR(IF(FIND(CONT_SUP[[#This Row],[SchoolCode]],_xlfn.XLOOKUP(CONT_SUP[[#This Row],[StaffMemberCode]],MEMBERS[StaffMemberCode],MEMBERS[SchoolCodes]))&gt;0,0,1),1)</f>
        <v>0</v>
      </c>
      <c r="D374" s="57" cm="1">
        <f t="array" ref="D374">IF(_xlfn.XLOOKUP(CONT_SUP[[#This Row],[StaffRoleCode]],ROLES[StaffRoleCode],ROLES[AvailableToAllSchools],1,0,)=TRUE,0,IF(ISERROR(FIND(CONT_SUP[[#This Row],[SchoolCode]],_xlfn.TEXTJOIN(",",TRUE,_xlfn.UNIQUE(IF(ROLES[StaffRoleCode]=CONT_SUP[[#This Row],[StaffRoleCode]],ROLES[SchoolCodes],""))))),1,0))</f>
        <v>0</v>
      </c>
      <c r="E374" s="57" cm="1">
        <f t="array" ref="E37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74" s="57" cm="1">
        <f t="array" ref="F374">IF(_xlfn.XLOOKUP(CONT_SUP[[#This Row],[PayScaleCode]],PAYSCALES[PayScaleCode],PAYSCALES[AvailableToAllSchools],1,0,)=TRUE,0,IF(ISERROR(FIND(CONT_SUP[[#This Row],[SchoolCode]],_xlfn.TEXTJOIN(",",TRUE,_xlfn.UNIQUE(IF(PAYSCALES[PayScaleCode]=CONT_SUP[[#This Row],[PayScaleCode]],PAYSCALES[SchoolCodes],""))))),1,0))</f>
        <v>0</v>
      </c>
      <c r="G374" s="57">
        <f>IF(_xlfn.XLOOKUP(CONT_SUP[[#This Row],[PayScaleGradeCode]],GRADES[PayScaleGradeCode],GRADES[AvailableToAllSchools])=TRUE,0,IFERROR(IF(FIND(CONT_SUP[[#This Row],[SchoolCode]],_xlfn.XLOOKUP(CONT_SUP[[#This Row],[PayScaleGradeCode]],GRADES[PayScaleGradeCode],GRADES[SchoolCodes]))&gt;=1,0,1),1))</f>
        <v>0</v>
      </c>
      <c r="H374" s="57">
        <f>IF(ISERROR(IF((_xlfn.XLOOKUP(CONT_SUP[[#This Row],[PayScaleGradeCode]],GRADES[PayScaleGradeCode],GRADES[PayScaleCode])=CONT_SUP[[#This Row],[PayScaleCode]]),0,1)),1,0)</f>
        <v>0</v>
      </c>
      <c r="I374" s="57" cm="1">
        <f t="array" ref="I374">IF(ISERROR(FIND(CONT_SUP[[#This Row],[PayScalePointCode]],_xlfn.TEXTJOIN(",",TRUE,IF(PSPOINTS[PayScaleCode]=CONT_SUP[[#This Row],[PayScaleCode]],PSPOINTS[PayScalePointCode])))),1,0)</f>
        <v>0</v>
      </c>
      <c r="J374" s="57" cm="1">
        <f t="array" ref="J37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74" s="57">
        <f>IF(_xlfn.XLOOKUP(CONT_SUP[[#This Row],[PayScalePointCode]],PSPOINTS[PayScalePointCode],PSPOINTS[PayScalePointEnabled])=TRUE,0,1)</f>
        <v>0</v>
      </c>
      <c r="L374" s="57" cm="1">
        <f t="array" ref="L374">IF(_xlfn.XLOOKUP(CONT_SUP[[#This Row],[DepartmentCode]],DEPTS[DepartmentCode],DEPTS[AvailableToAllSchools],1,0,)=TRUE,0,IF(ISERROR(FIND(CONT_SUP[[#This Row],[SchoolCode]],_xlfn.TEXTJOIN(",",TRUE,_xlfn.UNIQUE(IF(DEPTS[DepartmentCode]=CONT_SUP[[#This Row],[DepartmentCode]],DEPTS[SchoolCodes],""))))),1,0))</f>
        <v>0</v>
      </c>
      <c r="M374" s="57">
        <f>IFERROR(IF(_xlfn.XLOOKUP(CONT_SUP[[#This Row],[SRG Gross]],FinanceCodesBudget[FinanceCode],FinanceCodesBudget[LedgerCode])=_xlfn.XLOOKUP(CONT_SUP[[#This Row],[DepartmentCode]],DEPTS[DepartmentCode],DEPTS[LedgerCode]),0,1),1)</f>
        <v>1</v>
      </c>
      <c r="N374" s="57" cm="1">
        <f t="array" ref="N374">IF(_xlfn.XLOOKUP(CONT_SUP[[#This Row],[PensionCode]],PENS[PensionCode],PENS[AvailableToAllSchools],1,0,)=TRUE,0,IF(ISERROR(FIND(CONT_SUP[[#This Row],[SchoolCode]],_xlfn.TEXTJOIN(",",TRUE,_xlfn.UNIQUE(IF(PENS[PensionCode]=CONT_SUP[[#This Row],[PensionCode]],PENS[SchoolCodes],""))))),1,0))</f>
        <v>0</v>
      </c>
      <c r="O374" s="57" cm="1">
        <f t="array" ref="O374">IF(_xlfn.XLOOKUP(CONT_SUP[[#This Row],[EquatedWeekPatternCode]],EQW[EquatedWeekPatternCode],EQW[AvailableToAllSchools],1,0,)=TRUE,0,IF(ISERROR(FIND(CONT_SUP[[#This Row],[SchoolCode]],_xlfn.TEXTJOIN(",",TRUE,_xlfn.UNIQUE(IF(EQW[EquatedWeekPatternCode]=CONT_SUP[[#This Row],[EquatedWeekPatternCode]],EQW[SchoolCodes],""))))),1,0))</f>
        <v>0</v>
      </c>
      <c r="P374" s="57">
        <f>1-COUNTIF(ContractTypes[Code],CONT_SUP[[#This Row],[ContractTypeCode]])</f>
        <v>0</v>
      </c>
      <c r="Q374" s="57">
        <f>IF(VLOOKUP(CONT_SUP[[#This Row],[StaffMemberCode]],MEMBERS[[StaffMemberCode]:[ServiceStartDate]],5,0)&gt;CONT_SUP[[#This Row],[DateFrom]],1,0)</f>
        <v>0</v>
      </c>
      <c r="R374" s="57">
        <f>IF(_xlfn.XLOOKUP(CONT_SUP[[#This Row],[StaffMemberCode]],MEMBERS[StaffMemberCode],MEMBERS[ServiceEndDate])="",0,IF(CONT_SUP[[#This Row],[DateTo]]="",1,IF(_xlfn.XLOOKUP(CONT_SUP[[#This Row],[StaffMemberCode]],MEMBERS[StaffMemberCode],MEMBERS[ServiceEndDate])&lt;CONT_SUP[[#This Row],[DateTo]],1,0)))</f>
        <v>0</v>
      </c>
      <c r="S374" s="57">
        <f>IF(ISBLANK(CONT_SUP[[#This Row],[DateTo]]),0,IF(CONT_SUP[[#This Row],[DateFrom]]=CONT_SUP[[#This Row],[DateTo]],0,IF(CONT_SUP[[#This Row],[DateFrom]]&lt;CONT_SUP[[#This Row],[DateTo]],0,1)))</f>
        <v>0</v>
      </c>
      <c r="T374" s="57" cm="1">
        <f t="array" aca="1" ref="T374" ca="1">IF(CELL("format",CONT_SUP[[#This Row],[DateFrom]])="D1",0,1)+IF(CELL("format",CONT_SUP[[#This Row],[DateTo]])="D1",0,1)</f>
        <v>0</v>
      </c>
      <c r="U374" s="57">
        <f>IF(OR(CONT_SUP[[#This Row],[MatEditOnly]]=TRUE,CONT_SUP[[#This Row],[MatEditOnly]]=FALSE),IF(OR(CONT_SUP[[#This Row],[NoIncrement]]=TRUE,CONT_SUP[[#This Row],[NoIncrement]]=FALSE),0,1),1)</f>
        <v>0</v>
      </c>
      <c r="V374" s="57">
        <f>IF(ISBLANK(CONT_SUP[[#This Row],[FundCode]])=TRUE,0,IF(COUNTIF(FUNDS[FundCode],CONT_SUP[[#This Row],[FundCode]])=1,0,1))</f>
        <v>0</v>
      </c>
      <c r="W374" s="57">
        <f>IF(LEN(CONT_SUP[[#This Row],[Notes]])&lt;4000,0,1)</f>
        <v>0</v>
      </c>
      <c r="X374" s="57">
        <f>IF(SUBSTITUTE(TEXT(CONT_SUP[[#This Row],[Reference]],10)," ","")=TEXT(CONT_SUP[[#This Row],[Reference]],10),0,1)</f>
        <v>0</v>
      </c>
      <c r="Y374" s="57">
        <f ca="1">SUM(CONT_SUP[[#This Row],[Duplicate Contract]:[Space in Code]])</f>
        <v>1</v>
      </c>
      <c r="AA374" s="12" t="s">
        <v>2126</v>
      </c>
      <c r="AB374" s="12">
        <v>10010815</v>
      </c>
      <c r="AC374" s="12">
        <v>106297</v>
      </c>
      <c r="AD374" s="57" t="str">
        <f>_xlfn.XLOOKUP(CONT_SUP[[#This Row],[StaffMemberCode]],StaffMembers!O:O,StaffMembers!R:R)</f>
        <v>Annette Neal</v>
      </c>
      <c r="AE374" s="12" t="s">
        <v>1180</v>
      </c>
      <c r="AF374" s="57">
        <f>_xlfn.XLOOKUP(CONT_SUP[[#This Row],[SRG]],SRG[StaffRoleGroupCode],SRG[GrossSalaryFinanceCode])</f>
        <v>615100</v>
      </c>
      <c r="AG374" s="57" t="str">
        <f>_xlfn.XLOOKUP(CONT_SUP[[#This Row],[StaffRoleCode]],ROLES[StaffRoleCode],ROLES[StaffRoleGroupCode])</f>
        <v>TA</v>
      </c>
      <c r="AH374" s="57" t="str">
        <f>_xlfn.XLOOKUP(CONT_SUP[[#This Row],[StaffRoleCode]],ROLES[StaffRoleCode],ROLES[PayScaleCode])</f>
        <v>NJC_CHE</v>
      </c>
      <c r="AI374" s="12" t="s">
        <v>3122</v>
      </c>
      <c r="AJ374" s="12">
        <v>5</v>
      </c>
      <c r="AK374" s="12" t="s">
        <v>2497</v>
      </c>
      <c r="AM374" s="68" t="s">
        <v>3132</v>
      </c>
      <c r="AN374" s="12" t="s">
        <v>3134</v>
      </c>
      <c r="AO374" s="21">
        <v>46023</v>
      </c>
      <c r="AQ374" s="12">
        <v>18</v>
      </c>
      <c r="AR374" t="b">
        <v>0</v>
      </c>
      <c r="AS374" t="b">
        <v>0</v>
      </c>
      <c r="AT374" s="12" t="s">
        <v>1574</v>
      </c>
    </row>
    <row r="375" spans="1:46" x14ac:dyDescent="0.3">
      <c r="A375" s="57" t="str">
        <f t="shared" si="12"/>
        <v>MLB10015577115102TASTA46023</v>
      </c>
      <c r="B375" s="57">
        <f>COUNTIF(CONT_SUP[Unique Contract],CONT_SUP[[#This Row],[Unique Contract]])-1</f>
        <v>0</v>
      </c>
      <c r="C375" s="57">
        <f>IFERROR(IF(FIND(CONT_SUP[[#This Row],[SchoolCode]],_xlfn.XLOOKUP(CONT_SUP[[#This Row],[StaffMemberCode]],MEMBERS[StaffMemberCode],MEMBERS[SchoolCodes]))&gt;0,0,1),1)</f>
        <v>0</v>
      </c>
      <c r="D375" s="57" cm="1">
        <f t="array" ref="D375">IF(_xlfn.XLOOKUP(CONT_SUP[[#This Row],[StaffRoleCode]],ROLES[StaffRoleCode],ROLES[AvailableToAllSchools],1,0,)=TRUE,0,IF(ISERROR(FIND(CONT_SUP[[#This Row],[SchoolCode]],_xlfn.TEXTJOIN(",",TRUE,_xlfn.UNIQUE(IF(ROLES[StaffRoleCode]=CONT_SUP[[#This Row],[StaffRoleCode]],ROLES[SchoolCodes],""))))),1,0))</f>
        <v>0</v>
      </c>
      <c r="E375" s="57" cm="1">
        <f t="array" ref="E37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75" s="57" cm="1">
        <f t="array" ref="F375">IF(_xlfn.XLOOKUP(CONT_SUP[[#This Row],[PayScaleCode]],PAYSCALES[PayScaleCode],PAYSCALES[AvailableToAllSchools],1,0,)=TRUE,0,IF(ISERROR(FIND(CONT_SUP[[#This Row],[SchoolCode]],_xlfn.TEXTJOIN(",",TRUE,_xlfn.UNIQUE(IF(PAYSCALES[PayScaleCode]=CONT_SUP[[#This Row],[PayScaleCode]],PAYSCALES[SchoolCodes],""))))),1,0))</f>
        <v>0</v>
      </c>
      <c r="G375" s="57">
        <f>IF(_xlfn.XLOOKUP(CONT_SUP[[#This Row],[PayScaleGradeCode]],GRADES[PayScaleGradeCode],GRADES[AvailableToAllSchools])=TRUE,0,IFERROR(IF(FIND(CONT_SUP[[#This Row],[SchoolCode]],_xlfn.XLOOKUP(CONT_SUP[[#This Row],[PayScaleGradeCode]],GRADES[PayScaleGradeCode],GRADES[SchoolCodes]))&gt;=1,0,1),1))</f>
        <v>0</v>
      </c>
      <c r="H375" s="57">
        <f>IF(ISERROR(IF((_xlfn.XLOOKUP(CONT_SUP[[#This Row],[PayScaleGradeCode]],GRADES[PayScaleGradeCode],GRADES[PayScaleCode])=CONT_SUP[[#This Row],[PayScaleCode]]),0,1)),1,0)</f>
        <v>0</v>
      </c>
      <c r="I375" s="57" cm="1">
        <f t="array" ref="I375">IF(ISERROR(FIND(CONT_SUP[[#This Row],[PayScalePointCode]],_xlfn.TEXTJOIN(",",TRUE,IF(PSPOINTS[PayScaleCode]=CONT_SUP[[#This Row],[PayScaleCode]],PSPOINTS[PayScalePointCode])))),1,0)</f>
        <v>0</v>
      </c>
      <c r="J375" s="57" cm="1">
        <f t="array" ref="J37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75" s="57">
        <f>IF(_xlfn.XLOOKUP(CONT_SUP[[#This Row],[PayScalePointCode]],PSPOINTS[PayScalePointCode],PSPOINTS[PayScalePointEnabled])=TRUE,0,1)</f>
        <v>0</v>
      </c>
      <c r="L375" s="57" cm="1">
        <f t="array" ref="L375">IF(_xlfn.XLOOKUP(CONT_SUP[[#This Row],[DepartmentCode]],DEPTS[DepartmentCode],DEPTS[AvailableToAllSchools],1,0,)=TRUE,0,IF(ISERROR(FIND(CONT_SUP[[#This Row],[SchoolCode]],_xlfn.TEXTJOIN(",",TRUE,_xlfn.UNIQUE(IF(DEPTS[DepartmentCode]=CONT_SUP[[#This Row],[DepartmentCode]],DEPTS[SchoolCodes],""))))),1,0))</f>
        <v>0</v>
      </c>
      <c r="M375" s="57">
        <f>IFERROR(IF(_xlfn.XLOOKUP(CONT_SUP[[#This Row],[SRG Gross]],FinanceCodesBudget[FinanceCode],FinanceCodesBudget[LedgerCode])=_xlfn.XLOOKUP(CONT_SUP[[#This Row],[DepartmentCode]],DEPTS[DepartmentCode],DEPTS[LedgerCode]),0,1),1)</f>
        <v>1</v>
      </c>
      <c r="N375" s="57" cm="1">
        <f t="array" ref="N375">IF(_xlfn.XLOOKUP(CONT_SUP[[#This Row],[PensionCode]],PENS[PensionCode],PENS[AvailableToAllSchools],1,0,)=TRUE,0,IF(ISERROR(FIND(CONT_SUP[[#This Row],[SchoolCode]],_xlfn.TEXTJOIN(",",TRUE,_xlfn.UNIQUE(IF(PENS[PensionCode]=CONT_SUP[[#This Row],[PensionCode]],PENS[SchoolCodes],""))))),1,0))</f>
        <v>0</v>
      </c>
      <c r="O375" s="57" cm="1">
        <f t="array" ref="O375">IF(_xlfn.XLOOKUP(CONT_SUP[[#This Row],[EquatedWeekPatternCode]],EQW[EquatedWeekPatternCode],EQW[AvailableToAllSchools],1,0,)=TRUE,0,IF(ISERROR(FIND(CONT_SUP[[#This Row],[SchoolCode]],_xlfn.TEXTJOIN(",",TRUE,_xlfn.UNIQUE(IF(EQW[EquatedWeekPatternCode]=CONT_SUP[[#This Row],[EquatedWeekPatternCode]],EQW[SchoolCodes],""))))),1,0))</f>
        <v>0</v>
      </c>
      <c r="P375" s="57">
        <f>1-COUNTIF(ContractTypes[Code],CONT_SUP[[#This Row],[ContractTypeCode]])</f>
        <v>0</v>
      </c>
      <c r="Q375" s="57">
        <f>IF(VLOOKUP(CONT_SUP[[#This Row],[StaffMemberCode]],MEMBERS[[StaffMemberCode]:[ServiceStartDate]],5,0)&gt;CONT_SUP[[#This Row],[DateFrom]],1,0)</f>
        <v>0</v>
      </c>
      <c r="R375" s="57">
        <f>IF(_xlfn.XLOOKUP(CONT_SUP[[#This Row],[StaffMemberCode]],MEMBERS[StaffMemberCode],MEMBERS[ServiceEndDate])="",0,IF(CONT_SUP[[#This Row],[DateTo]]="",1,IF(_xlfn.XLOOKUP(CONT_SUP[[#This Row],[StaffMemberCode]],MEMBERS[StaffMemberCode],MEMBERS[ServiceEndDate])&lt;CONT_SUP[[#This Row],[DateTo]],1,0)))</f>
        <v>0</v>
      </c>
      <c r="S375" s="57">
        <f>IF(ISBLANK(CONT_SUP[[#This Row],[DateTo]]),0,IF(CONT_SUP[[#This Row],[DateFrom]]=CONT_SUP[[#This Row],[DateTo]],0,IF(CONT_SUP[[#This Row],[DateFrom]]&lt;CONT_SUP[[#This Row],[DateTo]],0,1)))</f>
        <v>0</v>
      </c>
      <c r="T375" s="57" cm="1">
        <f t="array" aca="1" ref="T375" ca="1">IF(CELL("format",CONT_SUP[[#This Row],[DateFrom]])="D1",0,1)+IF(CELL("format",CONT_SUP[[#This Row],[DateTo]])="D1",0,1)</f>
        <v>0</v>
      </c>
      <c r="U375" s="57">
        <f>IF(OR(CONT_SUP[[#This Row],[MatEditOnly]]=TRUE,CONT_SUP[[#This Row],[MatEditOnly]]=FALSE),IF(OR(CONT_SUP[[#This Row],[NoIncrement]]=TRUE,CONT_SUP[[#This Row],[NoIncrement]]=FALSE),0,1),1)</f>
        <v>0</v>
      </c>
      <c r="V375" s="57">
        <f>IF(ISBLANK(CONT_SUP[[#This Row],[FundCode]])=TRUE,0,IF(COUNTIF(FUNDS[FundCode],CONT_SUP[[#This Row],[FundCode]])=1,0,1))</f>
        <v>0</v>
      </c>
      <c r="W375" s="57">
        <f>IF(LEN(CONT_SUP[[#This Row],[Notes]])&lt;4000,0,1)</f>
        <v>0</v>
      </c>
      <c r="X375" s="57">
        <f>IF(SUBSTITUTE(TEXT(CONT_SUP[[#This Row],[Reference]],10)," ","")=TEXT(CONT_SUP[[#This Row],[Reference]],10),0,1)</f>
        <v>0</v>
      </c>
      <c r="Y375" s="57">
        <f ca="1">SUM(CONT_SUP[[#This Row],[Duplicate Contract]:[Space in Code]])</f>
        <v>1</v>
      </c>
      <c r="AA375" s="12" t="s">
        <v>2126</v>
      </c>
      <c r="AB375" s="12">
        <v>10015577</v>
      </c>
      <c r="AC375" s="12">
        <v>115102</v>
      </c>
      <c r="AD375" s="57" t="str">
        <f>_xlfn.XLOOKUP(CONT_SUP[[#This Row],[StaffMemberCode]],StaffMembers!O:O,StaffMembers!R:R)</f>
        <v>Charlotte Smallwood</v>
      </c>
      <c r="AE375" s="12" t="s">
        <v>1180</v>
      </c>
      <c r="AF375" s="57">
        <f>_xlfn.XLOOKUP(CONT_SUP[[#This Row],[SRG]],SRG[StaffRoleGroupCode],SRG[GrossSalaryFinanceCode])</f>
        <v>615100</v>
      </c>
      <c r="AG375" s="57" t="str">
        <f>_xlfn.XLOOKUP(CONT_SUP[[#This Row],[StaffRoleCode]],ROLES[StaffRoleCode],ROLES[StaffRoleGroupCode])</f>
        <v>TA</v>
      </c>
      <c r="AH375" s="57" t="str">
        <f>_xlfn.XLOOKUP(CONT_SUP[[#This Row],[StaffRoleCode]],ROLES[StaffRoleCode],ROLES[PayScaleCode])</f>
        <v>NJC_CHE</v>
      </c>
      <c r="AI375" s="12" t="s">
        <v>3122</v>
      </c>
      <c r="AJ375" s="12">
        <v>5</v>
      </c>
      <c r="AK375" s="12" t="s">
        <v>2497</v>
      </c>
      <c r="AM375" s="68" t="s">
        <v>3132</v>
      </c>
      <c r="AN375" s="12" t="s">
        <v>3134</v>
      </c>
      <c r="AO375" s="21">
        <v>46023</v>
      </c>
      <c r="AQ375" s="12">
        <v>30</v>
      </c>
      <c r="AR375" t="b">
        <v>0</v>
      </c>
      <c r="AS375" t="b">
        <v>0</v>
      </c>
      <c r="AT375" s="12" t="s">
        <v>1574</v>
      </c>
    </row>
    <row r="376" spans="1:46" x14ac:dyDescent="0.3">
      <c r="A376" s="57" t="str">
        <f t="shared" si="12"/>
        <v>MLB10015935114965TASTA46023</v>
      </c>
      <c r="B376" s="57">
        <f>COUNTIF(CONT_SUP[Unique Contract],CONT_SUP[[#This Row],[Unique Contract]])-1</f>
        <v>0</v>
      </c>
      <c r="C376" s="57">
        <f>IFERROR(IF(FIND(CONT_SUP[[#This Row],[SchoolCode]],_xlfn.XLOOKUP(CONT_SUP[[#This Row],[StaffMemberCode]],MEMBERS[StaffMemberCode],MEMBERS[SchoolCodes]))&gt;0,0,1),1)</f>
        <v>0</v>
      </c>
      <c r="D376" s="57" cm="1">
        <f t="array" ref="D376">IF(_xlfn.XLOOKUP(CONT_SUP[[#This Row],[StaffRoleCode]],ROLES[StaffRoleCode],ROLES[AvailableToAllSchools],1,0,)=TRUE,0,IF(ISERROR(FIND(CONT_SUP[[#This Row],[SchoolCode]],_xlfn.TEXTJOIN(",",TRUE,_xlfn.UNIQUE(IF(ROLES[StaffRoleCode]=CONT_SUP[[#This Row],[StaffRoleCode]],ROLES[SchoolCodes],""))))),1,0))</f>
        <v>0</v>
      </c>
      <c r="E376" s="57" cm="1">
        <f t="array" ref="E37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76" s="57" cm="1">
        <f t="array" ref="F376">IF(_xlfn.XLOOKUP(CONT_SUP[[#This Row],[PayScaleCode]],PAYSCALES[PayScaleCode],PAYSCALES[AvailableToAllSchools],1,0,)=TRUE,0,IF(ISERROR(FIND(CONT_SUP[[#This Row],[SchoolCode]],_xlfn.TEXTJOIN(",",TRUE,_xlfn.UNIQUE(IF(PAYSCALES[PayScaleCode]=CONT_SUP[[#This Row],[PayScaleCode]],PAYSCALES[SchoolCodes],""))))),1,0))</f>
        <v>0</v>
      </c>
      <c r="G376" s="57">
        <f>IF(_xlfn.XLOOKUP(CONT_SUP[[#This Row],[PayScaleGradeCode]],GRADES[PayScaleGradeCode],GRADES[AvailableToAllSchools])=TRUE,0,IFERROR(IF(FIND(CONT_SUP[[#This Row],[SchoolCode]],_xlfn.XLOOKUP(CONT_SUP[[#This Row],[PayScaleGradeCode]],GRADES[PayScaleGradeCode],GRADES[SchoolCodes]))&gt;=1,0,1),1))</f>
        <v>0</v>
      </c>
      <c r="H376" s="57">
        <f>IF(ISERROR(IF((_xlfn.XLOOKUP(CONT_SUP[[#This Row],[PayScaleGradeCode]],GRADES[PayScaleGradeCode],GRADES[PayScaleCode])=CONT_SUP[[#This Row],[PayScaleCode]]),0,1)),1,0)</f>
        <v>0</v>
      </c>
      <c r="I376" s="57" cm="1">
        <f t="array" ref="I376">IF(ISERROR(FIND(CONT_SUP[[#This Row],[PayScalePointCode]],_xlfn.TEXTJOIN(",",TRUE,IF(PSPOINTS[PayScaleCode]=CONT_SUP[[#This Row],[PayScaleCode]],PSPOINTS[PayScalePointCode])))),1,0)</f>
        <v>0</v>
      </c>
      <c r="J376" s="57" cm="1">
        <f t="array" ref="J37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76" s="57">
        <f>IF(_xlfn.XLOOKUP(CONT_SUP[[#This Row],[PayScalePointCode]],PSPOINTS[PayScalePointCode],PSPOINTS[PayScalePointEnabled])=TRUE,0,1)</f>
        <v>0</v>
      </c>
      <c r="L376" s="57" cm="1">
        <f t="array" ref="L376">IF(_xlfn.XLOOKUP(CONT_SUP[[#This Row],[DepartmentCode]],DEPTS[DepartmentCode],DEPTS[AvailableToAllSchools],1,0,)=TRUE,0,IF(ISERROR(FIND(CONT_SUP[[#This Row],[SchoolCode]],_xlfn.TEXTJOIN(",",TRUE,_xlfn.UNIQUE(IF(DEPTS[DepartmentCode]=CONT_SUP[[#This Row],[DepartmentCode]],DEPTS[SchoolCodes],""))))),1,0))</f>
        <v>0</v>
      </c>
      <c r="M376" s="57">
        <f>IFERROR(IF(_xlfn.XLOOKUP(CONT_SUP[[#This Row],[SRG Gross]],FinanceCodesBudget[FinanceCode],FinanceCodesBudget[LedgerCode])=_xlfn.XLOOKUP(CONT_SUP[[#This Row],[DepartmentCode]],DEPTS[DepartmentCode],DEPTS[LedgerCode]),0,1),1)</f>
        <v>1</v>
      </c>
      <c r="N376" s="57" cm="1">
        <f t="array" ref="N376">IF(_xlfn.XLOOKUP(CONT_SUP[[#This Row],[PensionCode]],PENS[PensionCode],PENS[AvailableToAllSchools],1,0,)=TRUE,0,IF(ISERROR(FIND(CONT_SUP[[#This Row],[SchoolCode]],_xlfn.TEXTJOIN(",",TRUE,_xlfn.UNIQUE(IF(PENS[PensionCode]=CONT_SUP[[#This Row],[PensionCode]],PENS[SchoolCodes],""))))),1,0))</f>
        <v>0</v>
      </c>
      <c r="O376" s="57" cm="1">
        <f t="array" ref="O376">IF(_xlfn.XLOOKUP(CONT_SUP[[#This Row],[EquatedWeekPatternCode]],EQW[EquatedWeekPatternCode],EQW[AvailableToAllSchools],1,0,)=TRUE,0,IF(ISERROR(FIND(CONT_SUP[[#This Row],[SchoolCode]],_xlfn.TEXTJOIN(",",TRUE,_xlfn.UNIQUE(IF(EQW[EquatedWeekPatternCode]=CONT_SUP[[#This Row],[EquatedWeekPatternCode]],EQW[SchoolCodes],""))))),1,0))</f>
        <v>0</v>
      </c>
      <c r="P376" s="57">
        <f>1-COUNTIF(ContractTypes[Code],CONT_SUP[[#This Row],[ContractTypeCode]])</f>
        <v>0</v>
      </c>
      <c r="Q376" s="57">
        <f>IF(VLOOKUP(CONT_SUP[[#This Row],[StaffMemberCode]],MEMBERS[[StaffMemberCode]:[ServiceStartDate]],5,0)&gt;CONT_SUP[[#This Row],[DateFrom]],1,0)</f>
        <v>0</v>
      </c>
      <c r="R376" s="57">
        <f>IF(_xlfn.XLOOKUP(CONT_SUP[[#This Row],[StaffMemberCode]],MEMBERS[StaffMemberCode],MEMBERS[ServiceEndDate])="",0,IF(CONT_SUP[[#This Row],[DateTo]]="",1,IF(_xlfn.XLOOKUP(CONT_SUP[[#This Row],[StaffMemberCode]],MEMBERS[StaffMemberCode],MEMBERS[ServiceEndDate])&lt;CONT_SUP[[#This Row],[DateTo]],1,0)))</f>
        <v>0</v>
      </c>
      <c r="S376" s="57">
        <f>IF(ISBLANK(CONT_SUP[[#This Row],[DateTo]]),0,IF(CONT_SUP[[#This Row],[DateFrom]]=CONT_SUP[[#This Row],[DateTo]],0,IF(CONT_SUP[[#This Row],[DateFrom]]&lt;CONT_SUP[[#This Row],[DateTo]],0,1)))</f>
        <v>0</v>
      </c>
      <c r="T376" s="57" cm="1">
        <f t="array" aca="1" ref="T376" ca="1">IF(CELL("format",CONT_SUP[[#This Row],[DateFrom]])="D1",0,1)+IF(CELL("format",CONT_SUP[[#This Row],[DateTo]])="D1",0,1)</f>
        <v>0</v>
      </c>
      <c r="U376" s="57">
        <f>IF(OR(CONT_SUP[[#This Row],[MatEditOnly]]=TRUE,CONT_SUP[[#This Row],[MatEditOnly]]=FALSE),IF(OR(CONT_SUP[[#This Row],[NoIncrement]]=TRUE,CONT_SUP[[#This Row],[NoIncrement]]=FALSE),0,1),1)</f>
        <v>0</v>
      </c>
      <c r="V376" s="57">
        <f>IF(ISBLANK(CONT_SUP[[#This Row],[FundCode]])=TRUE,0,IF(COUNTIF(FUNDS[FundCode],CONT_SUP[[#This Row],[FundCode]])=1,0,1))</f>
        <v>0</v>
      </c>
      <c r="W376" s="57">
        <f>IF(LEN(CONT_SUP[[#This Row],[Notes]])&lt;4000,0,1)</f>
        <v>0</v>
      </c>
      <c r="X376" s="57">
        <f>IF(SUBSTITUTE(TEXT(CONT_SUP[[#This Row],[Reference]],10)," ","")=TEXT(CONT_SUP[[#This Row],[Reference]],10),0,1)</f>
        <v>0</v>
      </c>
      <c r="Y376" s="57">
        <f ca="1">SUM(CONT_SUP[[#This Row],[Duplicate Contract]:[Space in Code]])</f>
        <v>1</v>
      </c>
      <c r="AA376" s="12" t="s">
        <v>2126</v>
      </c>
      <c r="AB376" s="12">
        <v>10015935</v>
      </c>
      <c r="AC376" s="12">
        <v>114965</v>
      </c>
      <c r="AD376" s="57" t="str">
        <f>_xlfn.XLOOKUP(CONT_SUP[[#This Row],[StaffMemberCode]],StaffMembers!O:O,StaffMembers!R:R)</f>
        <v>Emma Pemberton</v>
      </c>
      <c r="AE376" s="12" t="s">
        <v>1180</v>
      </c>
      <c r="AF376" s="57">
        <f>_xlfn.XLOOKUP(CONT_SUP[[#This Row],[SRG]],SRG[StaffRoleGroupCode],SRG[GrossSalaryFinanceCode])</f>
        <v>615100</v>
      </c>
      <c r="AG376" s="57" t="str">
        <f>_xlfn.XLOOKUP(CONT_SUP[[#This Row],[StaffRoleCode]],ROLES[StaffRoleCode],ROLES[StaffRoleGroupCode])</f>
        <v>TA</v>
      </c>
      <c r="AH376" s="57" t="str">
        <f>_xlfn.XLOOKUP(CONT_SUP[[#This Row],[StaffRoleCode]],ROLES[StaffRoleCode],ROLES[PayScaleCode])</f>
        <v>NJC_CHE</v>
      </c>
      <c r="AI376" s="12" t="s">
        <v>3122</v>
      </c>
      <c r="AJ376" s="12">
        <v>5</v>
      </c>
      <c r="AK376" s="12" t="s">
        <v>2497</v>
      </c>
      <c r="AM376" s="68" t="s">
        <v>3132</v>
      </c>
      <c r="AN376" s="12" t="s">
        <v>3134</v>
      </c>
      <c r="AO376" s="21">
        <v>46023</v>
      </c>
      <c r="AQ376" s="12">
        <v>30</v>
      </c>
      <c r="AR376" t="b">
        <v>0</v>
      </c>
      <c r="AS376" t="b">
        <v>0</v>
      </c>
      <c r="AT376" s="12" t="s">
        <v>1574</v>
      </c>
    </row>
    <row r="377" spans="1:46" x14ac:dyDescent="0.3">
      <c r="A377" s="57" t="str">
        <f t="shared" si="12"/>
        <v>MLB10016425115376TASTA46023</v>
      </c>
      <c r="B377" s="57">
        <f>COUNTIF(CONT_SUP[Unique Contract],CONT_SUP[[#This Row],[Unique Contract]])-1</f>
        <v>0</v>
      </c>
      <c r="C377" s="57">
        <f>IFERROR(IF(FIND(CONT_SUP[[#This Row],[SchoolCode]],_xlfn.XLOOKUP(CONT_SUP[[#This Row],[StaffMemberCode]],MEMBERS[StaffMemberCode],MEMBERS[SchoolCodes]))&gt;0,0,1),1)</f>
        <v>0</v>
      </c>
      <c r="D377" s="57" cm="1">
        <f t="array" ref="D377">IF(_xlfn.XLOOKUP(CONT_SUP[[#This Row],[StaffRoleCode]],ROLES[StaffRoleCode],ROLES[AvailableToAllSchools],1,0,)=TRUE,0,IF(ISERROR(FIND(CONT_SUP[[#This Row],[SchoolCode]],_xlfn.TEXTJOIN(",",TRUE,_xlfn.UNIQUE(IF(ROLES[StaffRoleCode]=CONT_SUP[[#This Row],[StaffRoleCode]],ROLES[SchoolCodes],""))))),1,0))</f>
        <v>0</v>
      </c>
      <c r="E377" s="57" cm="1">
        <f t="array" ref="E37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77" s="57" cm="1">
        <f t="array" ref="F377">IF(_xlfn.XLOOKUP(CONT_SUP[[#This Row],[PayScaleCode]],PAYSCALES[PayScaleCode],PAYSCALES[AvailableToAllSchools],1,0,)=TRUE,0,IF(ISERROR(FIND(CONT_SUP[[#This Row],[SchoolCode]],_xlfn.TEXTJOIN(",",TRUE,_xlfn.UNIQUE(IF(PAYSCALES[PayScaleCode]=CONT_SUP[[#This Row],[PayScaleCode]],PAYSCALES[SchoolCodes],""))))),1,0))</f>
        <v>0</v>
      </c>
      <c r="G377" s="57">
        <f>IF(_xlfn.XLOOKUP(CONT_SUP[[#This Row],[PayScaleGradeCode]],GRADES[PayScaleGradeCode],GRADES[AvailableToAllSchools])=TRUE,0,IFERROR(IF(FIND(CONT_SUP[[#This Row],[SchoolCode]],_xlfn.XLOOKUP(CONT_SUP[[#This Row],[PayScaleGradeCode]],GRADES[PayScaleGradeCode],GRADES[SchoolCodes]))&gt;=1,0,1),1))</f>
        <v>0</v>
      </c>
      <c r="H377" s="57">
        <f>IF(ISERROR(IF((_xlfn.XLOOKUP(CONT_SUP[[#This Row],[PayScaleGradeCode]],GRADES[PayScaleGradeCode],GRADES[PayScaleCode])=CONT_SUP[[#This Row],[PayScaleCode]]),0,1)),1,0)</f>
        <v>0</v>
      </c>
      <c r="I377" s="57" cm="1">
        <f t="array" ref="I377">IF(ISERROR(FIND(CONT_SUP[[#This Row],[PayScalePointCode]],_xlfn.TEXTJOIN(",",TRUE,IF(PSPOINTS[PayScaleCode]=CONT_SUP[[#This Row],[PayScaleCode]],PSPOINTS[PayScalePointCode])))),1,0)</f>
        <v>0</v>
      </c>
      <c r="J377" s="57" cm="1">
        <f t="array" ref="J37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77" s="57">
        <f>IF(_xlfn.XLOOKUP(CONT_SUP[[#This Row],[PayScalePointCode]],PSPOINTS[PayScalePointCode],PSPOINTS[PayScalePointEnabled])=TRUE,0,1)</f>
        <v>0</v>
      </c>
      <c r="L377" s="57" cm="1">
        <f t="array" ref="L377">IF(_xlfn.XLOOKUP(CONT_SUP[[#This Row],[DepartmentCode]],DEPTS[DepartmentCode],DEPTS[AvailableToAllSchools],1,0,)=TRUE,0,IF(ISERROR(FIND(CONT_SUP[[#This Row],[SchoolCode]],_xlfn.TEXTJOIN(",",TRUE,_xlfn.UNIQUE(IF(DEPTS[DepartmentCode]=CONT_SUP[[#This Row],[DepartmentCode]],DEPTS[SchoolCodes],""))))),1,0))</f>
        <v>0</v>
      </c>
      <c r="M377" s="57">
        <f>IFERROR(IF(_xlfn.XLOOKUP(CONT_SUP[[#This Row],[SRG Gross]],FinanceCodesBudget[FinanceCode],FinanceCodesBudget[LedgerCode])=_xlfn.XLOOKUP(CONT_SUP[[#This Row],[DepartmentCode]],DEPTS[DepartmentCode],DEPTS[LedgerCode]),0,1),1)</f>
        <v>1</v>
      </c>
      <c r="N377" s="57" cm="1">
        <f t="array" ref="N377">IF(_xlfn.XLOOKUP(CONT_SUP[[#This Row],[PensionCode]],PENS[PensionCode],PENS[AvailableToAllSchools],1,0,)=TRUE,0,IF(ISERROR(FIND(CONT_SUP[[#This Row],[SchoolCode]],_xlfn.TEXTJOIN(",",TRUE,_xlfn.UNIQUE(IF(PENS[PensionCode]=CONT_SUP[[#This Row],[PensionCode]],PENS[SchoolCodes],""))))),1,0))</f>
        <v>0</v>
      </c>
      <c r="O377" s="57" cm="1">
        <f t="array" ref="O377">IF(_xlfn.XLOOKUP(CONT_SUP[[#This Row],[EquatedWeekPatternCode]],EQW[EquatedWeekPatternCode],EQW[AvailableToAllSchools],1,0,)=TRUE,0,IF(ISERROR(FIND(CONT_SUP[[#This Row],[SchoolCode]],_xlfn.TEXTJOIN(",",TRUE,_xlfn.UNIQUE(IF(EQW[EquatedWeekPatternCode]=CONT_SUP[[#This Row],[EquatedWeekPatternCode]],EQW[SchoolCodes],""))))),1,0))</f>
        <v>0</v>
      </c>
      <c r="P377" s="57">
        <f>1-COUNTIF(ContractTypes[Code],CONT_SUP[[#This Row],[ContractTypeCode]])</f>
        <v>0</v>
      </c>
      <c r="Q377" s="57">
        <f>IF(VLOOKUP(CONT_SUP[[#This Row],[StaffMemberCode]],MEMBERS[[StaffMemberCode]:[ServiceStartDate]],5,0)&gt;CONT_SUP[[#This Row],[DateFrom]],1,0)</f>
        <v>0</v>
      </c>
      <c r="R377" s="57">
        <f>IF(_xlfn.XLOOKUP(CONT_SUP[[#This Row],[StaffMemberCode]],MEMBERS[StaffMemberCode],MEMBERS[ServiceEndDate])="",0,IF(CONT_SUP[[#This Row],[DateTo]]="",1,IF(_xlfn.XLOOKUP(CONT_SUP[[#This Row],[StaffMemberCode]],MEMBERS[StaffMemberCode],MEMBERS[ServiceEndDate])&lt;CONT_SUP[[#This Row],[DateTo]],1,0)))</f>
        <v>0</v>
      </c>
      <c r="S377" s="57">
        <f>IF(ISBLANK(CONT_SUP[[#This Row],[DateTo]]),0,IF(CONT_SUP[[#This Row],[DateFrom]]=CONT_SUP[[#This Row],[DateTo]],0,IF(CONT_SUP[[#This Row],[DateFrom]]&lt;CONT_SUP[[#This Row],[DateTo]],0,1)))</f>
        <v>0</v>
      </c>
      <c r="T377" s="57" cm="1">
        <f t="array" aca="1" ref="T377" ca="1">IF(CELL("format",CONT_SUP[[#This Row],[DateFrom]])="D1",0,1)+IF(CELL("format",CONT_SUP[[#This Row],[DateTo]])="D1",0,1)</f>
        <v>0</v>
      </c>
      <c r="U377" s="57">
        <f>IF(OR(CONT_SUP[[#This Row],[MatEditOnly]]=TRUE,CONT_SUP[[#This Row],[MatEditOnly]]=FALSE),IF(OR(CONT_SUP[[#This Row],[NoIncrement]]=TRUE,CONT_SUP[[#This Row],[NoIncrement]]=FALSE),0,1),1)</f>
        <v>0</v>
      </c>
      <c r="V377" s="57">
        <f>IF(ISBLANK(CONT_SUP[[#This Row],[FundCode]])=TRUE,0,IF(COUNTIF(FUNDS[FundCode],CONT_SUP[[#This Row],[FundCode]])=1,0,1))</f>
        <v>0</v>
      </c>
      <c r="W377" s="57">
        <f>IF(LEN(CONT_SUP[[#This Row],[Notes]])&lt;4000,0,1)</f>
        <v>0</v>
      </c>
      <c r="X377" s="57">
        <f>IF(SUBSTITUTE(TEXT(CONT_SUP[[#This Row],[Reference]],10)," ","")=TEXT(CONT_SUP[[#This Row],[Reference]],10),0,1)</f>
        <v>0</v>
      </c>
      <c r="Y377" s="57">
        <f ca="1">SUM(CONT_SUP[[#This Row],[Duplicate Contract]:[Space in Code]])</f>
        <v>1</v>
      </c>
      <c r="AA377" s="12" t="s">
        <v>2126</v>
      </c>
      <c r="AB377" s="12">
        <v>10016425</v>
      </c>
      <c r="AC377" s="12">
        <v>115376</v>
      </c>
      <c r="AD377" s="57" t="str">
        <f>_xlfn.XLOOKUP(CONT_SUP[[#This Row],[StaffMemberCode]],StaffMembers!O:O,StaffMembers!R:R)</f>
        <v>Eve Heaword</v>
      </c>
      <c r="AE377" s="12" t="s">
        <v>1180</v>
      </c>
      <c r="AF377" s="57">
        <f>_xlfn.XLOOKUP(CONT_SUP[[#This Row],[SRG]],SRG[StaffRoleGroupCode],SRG[GrossSalaryFinanceCode])</f>
        <v>615100</v>
      </c>
      <c r="AG377" s="57" t="str">
        <f>_xlfn.XLOOKUP(CONT_SUP[[#This Row],[StaffRoleCode]],ROLES[StaffRoleCode],ROLES[StaffRoleGroupCode])</f>
        <v>TA</v>
      </c>
      <c r="AH377" s="57" t="str">
        <f>_xlfn.XLOOKUP(CONT_SUP[[#This Row],[StaffRoleCode]],ROLES[StaffRoleCode],ROLES[PayScaleCode])</f>
        <v>NJC_CHE</v>
      </c>
      <c r="AI377" s="12" t="s">
        <v>3122</v>
      </c>
      <c r="AJ377" s="12">
        <v>5</v>
      </c>
      <c r="AK377" s="12" t="s">
        <v>2497</v>
      </c>
      <c r="AM377" s="68" t="s">
        <v>3132</v>
      </c>
      <c r="AN377" s="12" t="s">
        <v>3134</v>
      </c>
      <c r="AO377" s="21">
        <v>46023</v>
      </c>
      <c r="AQ377" s="12">
        <v>30</v>
      </c>
      <c r="AR377" t="b">
        <v>0</v>
      </c>
      <c r="AS377" t="b">
        <v>0</v>
      </c>
      <c r="AT377" s="12" t="s">
        <v>1574</v>
      </c>
    </row>
    <row r="378" spans="1:46" x14ac:dyDescent="0.3">
      <c r="A378" s="57" t="str">
        <f t="shared" si="12"/>
        <v>MLB10015925114966TASTA46023</v>
      </c>
      <c r="B378" s="57">
        <f>COUNTIF(CONT_SUP[Unique Contract],CONT_SUP[[#This Row],[Unique Contract]])-1</f>
        <v>0</v>
      </c>
      <c r="C378" s="57">
        <f>IFERROR(IF(FIND(CONT_SUP[[#This Row],[SchoolCode]],_xlfn.XLOOKUP(CONT_SUP[[#This Row],[StaffMemberCode]],MEMBERS[StaffMemberCode],MEMBERS[SchoolCodes]))&gt;0,0,1),1)</f>
        <v>0</v>
      </c>
      <c r="D378" s="57" cm="1">
        <f t="array" ref="D378">IF(_xlfn.XLOOKUP(CONT_SUP[[#This Row],[StaffRoleCode]],ROLES[StaffRoleCode],ROLES[AvailableToAllSchools],1,0,)=TRUE,0,IF(ISERROR(FIND(CONT_SUP[[#This Row],[SchoolCode]],_xlfn.TEXTJOIN(",",TRUE,_xlfn.UNIQUE(IF(ROLES[StaffRoleCode]=CONT_SUP[[#This Row],[StaffRoleCode]],ROLES[SchoolCodes],""))))),1,0))</f>
        <v>0</v>
      </c>
      <c r="E378" s="57" cm="1">
        <f t="array" ref="E37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78" s="57" cm="1">
        <f t="array" ref="F378">IF(_xlfn.XLOOKUP(CONT_SUP[[#This Row],[PayScaleCode]],PAYSCALES[PayScaleCode],PAYSCALES[AvailableToAllSchools],1,0,)=TRUE,0,IF(ISERROR(FIND(CONT_SUP[[#This Row],[SchoolCode]],_xlfn.TEXTJOIN(",",TRUE,_xlfn.UNIQUE(IF(PAYSCALES[PayScaleCode]=CONT_SUP[[#This Row],[PayScaleCode]],PAYSCALES[SchoolCodes],""))))),1,0))</f>
        <v>0</v>
      </c>
      <c r="G378" s="57">
        <f>IF(_xlfn.XLOOKUP(CONT_SUP[[#This Row],[PayScaleGradeCode]],GRADES[PayScaleGradeCode],GRADES[AvailableToAllSchools])=TRUE,0,IFERROR(IF(FIND(CONT_SUP[[#This Row],[SchoolCode]],_xlfn.XLOOKUP(CONT_SUP[[#This Row],[PayScaleGradeCode]],GRADES[PayScaleGradeCode],GRADES[SchoolCodes]))&gt;=1,0,1),1))</f>
        <v>0</v>
      </c>
      <c r="H378" s="57">
        <f>IF(ISERROR(IF((_xlfn.XLOOKUP(CONT_SUP[[#This Row],[PayScaleGradeCode]],GRADES[PayScaleGradeCode],GRADES[PayScaleCode])=CONT_SUP[[#This Row],[PayScaleCode]]),0,1)),1,0)</f>
        <v>0</v>
      </c>
      <c r="I378" s="57" cm="1">
        <f t="array" ref="I378">IF(ISERROR(FIND(CONT_SUP[[#This Row],[PayScalePointCode]],_xlfn.TEXTJOIN(",",TRUE,IF(PSPOINTS[PayScaleCode]=CONT_SUP[[#This Row],[PayScaleCode]],PSPOINTS[PayScalePointCode])))),1,0)</f>
        <v>0</v>
      </c>
      <c r="J378" s="57" cm="1">
        <f t="array" ref="J37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78" s="57">
        <f>IF(_xlfn.XLOOKUP(CONT_SUP[[#This Row],[PayScalePointCode]],PSPOINTS[PayScalePointCode],PSPOINTS[PayScalePointEnabled])=TRUE,0,1)</f>
        <v>0</v>
      </c>
      <c r="L378" s="57" cm="1">
        <f t="array" ref="L378">IF(_xlfn.XLOOKUP(CONT_SUP[[#This Row],[DepartmentCode]],DEPTS[DepartmentCode],DEPTS[AvailableToAllSchools],1,0,)=TRUE,0,IF(ISERROR(FIND(CONT_SUP[[#This Row],[SchoolCode]],_xlfn.TEXTJOIN(",",TRUE,_xlfn.UNIQUE(IF(DEPTS[DepartmentCode]=CONT_SUP[[#This Row],[DepartmentCode]],DEPTS[SchoolCodes],""))))),1,0))</f>
        <v>0</v>
      </c>
      <c r="M378" s="57">
        <f>IFERROR(IF(_xlfn.XLOOKUP(CONT_SUP[[#This Row],[SRG Gross]],FinanceCodesBudget[FinanceCode],FinanceCodesBudget[LedgerCode])=_xlfn.XLOOKUP(CONT_SUP[[#This Row],[DepartmentCode]],DEPTS[DepartmentCode],DEPTS[LedgerCode]),0,1),1)</f>
        <v>1</v>
      </c>
      <c r="N378" s="57" cm="1">
        <f t="array" ref="N378">IF(_xlfn.XLOOKUP(CONT_SUP[[#This Row],[PensionCode]],PENS[PensionCode],PENS[AvailableToAllSchools],1,0,)=TRUE,0,IF(ISERROR(FIND(CONT_SUP[[#This Row],[SchoolCode]],_xlfn.TEXTJOIN(",",TRUE,_xlfn.UNIQUE(IF(PENS[PensionCode]=CONT_SUP[[#This Row],[PensionCode]],PENS[SchoolCodes],""))))),1,0))</f>
        <v>0</v>
      </c>
      <c r="O378" s="57" cm="1">
        <f t="array" ref="O378">IF(_xlfn.XLOOKUP(CONT_SUP[[#This Row],[EquatedWeekPatternCode]],EQW[EquatedWeekPatternCode],EQW[AvailableToAllSchools],1,0,)=TRUE,0,IF(ISERROR(FIND(CONT_SUP[[#This Row],[SchoolCode]],_xlfn.TEXTJOIN(",",TRUE,_xlfn.UNIQUE(IF(EQW[EquatedWeekPatternCode]=CONT_SUP[[#This Row],[EquatedWeekPatternCode]],EQW[SchoolCodes],""))))),1,0))</f>
        <v>0</v>
      </c>
      <c r="P378" s="57">
        <f>1-COUNTIF(ContractTypes[Code],CONT_SUP[[#This Row],[ContractTypeCode]])</f>
        <v>0</v>
      </c>
      <c r="Q378" s="57">
        <f>IF(VLOOKUP(CONT_SUP[[#This Row],[StaffMemberCode]],MEMBERS[[StaffMemberCode]:[ServiceStartDate]],5,0)&gt;CONT_SUP[[#This Row],[DateFrom]],1,0)</f>
        <v>0</v>
      </c>
      <c r="R378" s="57">
        <f>IF(_xlfn.XLOOKUP(CONT_SUP[[#This Row],[StaffMemberCode]],MEMBERS[StaffMemberCode],MEMBERS[ServiceEndDate])="",0,IF(CONT_SUP[[#This Row],[DateTo]]="",1,IF(_xlfn.XLOOKUP(CONT_SUP[[#This Row],[StaffMemberCode]],MEMBERS[StaffMemberCode],MEMBERS[ServiceEndDate])&lt;CONT_SUP[[#This Row],[DateTo]],1,0)))</f>
        <v>0</v>
      </c>
      <c r="S378" s="57">
        <f>IF(ISBLANK(CONT_SUP[[#This Row],[DateTo]]),0,IF(CONT_SUP[[#This Row],[DateFrom]]=CONT_SUP[[#This Row],[DateTo]],0,IF(CONT_SUP[[#This Row],[DateFrom]]&lt;CONT_SUP[[#This Row],[DateTo]],0,1)))</f>
        <v>0</v>
      </c>
      <c r="T378" s="57" cm="1">
        <f t="array" aca="1" ref="T378" ca="1">IF(CELL("format",CONT_SUP[[#This Row],[DateFrom]])="D1",0,1)+IF(CELL("format",CONT_SUP[[#This Row],[DateTo]])="D1",0,1)</f>
        <v>0</v>
      </c>
      <c r="U378" s="57">
        <f>IF(OR(CONT_SUP[[#This Row],[MatEditOnly]]=TRUE,CONT_SUP[[#This Row],[MatEditOnly]]=FALSE),IF(OR(CONT_SUP[[#This Row],[NoIncrement]]=TRUE,CONT_SUP[[#This Row],[NoIncrement]]=FALSE),0,1),1)</f>
        <v>0</v>
      </c>
      <c r="V378" s="57">
        <f>IF(ISBLANK(CONT_SUP[[#This Row],[FundCode]])=TRUE,0,IF(COUNTIF(FUNDS[FundCode],CONT_SUP[[#This Row],[FundCode]])=1,0,1))</f>
        <v>0</v>
      </c>
      <c r="W378" s="57">
        <f>IF(LEN(CONT_SUP[[#This Row],[Notes]])&lt;4000,0,1)</f>
        <v>0</v>
      </c>
      <c r="X378" s="57">
        <f>IF(SUBSTITUTE(TEXT(CONT_SUP[[#This Row],[Reference]],10)," ","")=TEXT(CONT_SUP[[#This Row],[Reference]],10),0,1)</f>
        <v>0</v>
      </c>
      <c r="Y378" s="57">
        <f ca="1">SUM(CONT_SUP[[#This Row],[Duplicate Contract]:[Space in Code]])</f>
        <v>1</v>
      </c>
      <c r="AA378" s="12" t="s">
        <v>2126</v>
      </c>
      <c r="AB378" s="12">
        <v>10015925</v>
      </c>
      <c r="AC378" s="12">
        <v>114966</v>
      </c>
      <c r="AD378" s="57" t="str">
        <f>_xlfn.XLOOKUP(CONT_SUP[[#This Row],[StaffMemberCode]],StaffMembers!O:O,StaffMembers!R:R)</f>
        <v>Lillie Bebbington</v>
      </c>
      <c r="AE378" s="12" t="s">
        <v>1180</v>
      </c>
      <c r="AF378" s="57">
        <f>_xlfn.XLOOKUP(CONT_SUP[[#This Row],[SRG]],SRG[StaffRoleGroupCode],SRG[GrossSalaryFinanceCode])</f>
        <v>615100</v>
      </c>
      <c r="AG378" s="57" t="str">
        <f>_xlfn.XLOOKUP(CONT_SUP[[#This Row],[StaffRoleCode]],ROLES[StaffRoleCode],ROLES[StaffRoleGroupCode])</f>
        <v>TA</v>
      </c>
      <c r="AH378" s="57" t="str">
        <f>_xlfn.XLOOKUP(CONT_SUP[[#This Row],[StaffRoleCode]],ROLES[StaffRoleCode],ROLES[PayScaleCode])</f>
        <v>NJC_CHE</v>
      </c>
      <c r="AI378" s="12" t="s">
        <v>3122</v>
      </c>
      <c r="AJ378" s="12">
        <v>5</v>
      </c>
      <c r="AK378" s="12" t="s">
        <v>2497</v>
      </c>
      <c r="AM378" s="68" t="s">
        <v>3132</v>
      </c>
      <c r="AN378" s="12" t="s">
        <v>3134</v>
      </c>
      <c r="AO378" s="21">
        <v>46023</v>
      </c>
      <c r="AQ378" s="12">
        <v>30</v>
      </c>
      <c r="AR378" t="b">
        <v>0</v>
      </c>
      <c r="AS378" t="b">
        <v>0</v>
      </c>
      <c r="AT378" s="12" t="s">
        <v>1574</v>
      </c>
    </row>
    <row r="379" spans="1:46" x14ac:dyDescent="0.3">
      <c r="A379" s="57" t="str">
        <f t="shared" si="12"/>
        <v>MLB10015811106106TASTA46023</v>
      </c>
      <c r="B379" s="57">
        <f>COUNTIF(CONT_SUP[Unique Contract],CONT_SUP[[#This Row],[Unique Contract]])-1</f>
        <v>0</v>
      </c>
      <c r="C379" s="57">
        <f>IFERROR(IF(FIND(CONT_SUP[[#This Row],[SchoolCode]],_xlfn.XLOOKUP(CONT_SUP[[#This Row],[StaffMemberCode]],MEMBERS[StaffMemberCode],MEMBERS[SchoolCodes]))&gt;0,0,1),1)</f>
        <v>0</v>
      </c>
      <c r="D379" s="57" cm="1">
        <f t="array" ref="D379">IF(_xlfn.XLOOKUP(CONT_SUP[[#This Row],[StaffRoleCode]],ROLES[StaffRoleCode],ROLES[AvailableToAllSchools],1,0,)=TRUE,0,IF(ISERROR(FIND(CONT_SUP[[#This Row],[SchoolCode]],_xlfn.TEXTJOIN(",",TRUE,_xlfn.UNIQUE(IF(ROLES[StaffRoleCode]=CONT_SUP[[#This Row],[StaffRoleCode]],ROLES[SchoolCodes],""))))),1,0))</f>
        <v>0</v>
      </c>
      <c r="E379" s="57" cm="1">
        <f t="array" ref="E37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79" s="57" cm="1">
        <f t="array" ref="F379">IF(_xlfn.XLOOKUP(CONT_SUP[[#This Row],[PayScaleCode]],PAYSCALES[PayScaleCode],PAYSCALES[AvailableToAllSchools],1,0,)=TRUE,0,IF(ISERROR(FIND(CONT_SUP[[#This Row],[SchoolCode]],_xlfn.TEXTJOIN(",",TRUE,_xlfn.UNIQUE(IF(PAYSCALES[PayScaleCode]=CONT_SUP[[#This Row],[PayScaleCode]],PAYSCALES[SchoolCodes],""))))),1,0))</f>
        <v>0</v>
      </c>
      <c r="G379" s="57">
        <f>IF(_xlfn.XLOOKUP(CONT_SUP[[#This Row],[PayScaleGradeCode]],GRADES[PayScaleGradeCode],GRADES[AvailableToAllSchools])=TRUE,0,IFERROR(IF(FIND(CONT_SUP[[#This Row],[SchoolCode]],_xlfn.XLOOKUP(CONT_SUP[[#This Row],[PayScaleGradeCode]],GRADES[PayScaleGradeCode],GRADES[SchoolCodes]))&gt;=1,0,1),1))</f>
        <v>0</v>
      </c>
      <c r="H379" s="57">
        <f>IF(ISERROR(IF((_xlfn.XLOOKUP(CONT_SUP[[#This Row],[PayScaleGradeCode]],GRADES[PayScaleGradeCode],GRADES[PayScaleCode])=CONT_SUP[[#This Row],[PayScaleCode]]),0,1)),1,0)</f>
        <v>0</v>
      </c>
      <c r="I379" s="57" cm="1">
        <f t="array" ref="I379">IF(ISERROR(FIND(CONT_SUP[[#This Row],[PayScalePointCode]],_xlfn.TEXTJOIN(",",TRUE,IF(PSPOINTS[PayScaleCode]=CONT_SUP[[#This Row],[PayScaleCode]],PSPOINTS[PayScalePointCode])))),1,0)</f>
        <v>0</v>
      </c>
      <c r="J379" s="57" cm="1">
        <f t="array" ref="J37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79" s="57">
        <f>IF(_xlfn.XLOOKUP(CONT_SUP[[#This Row],[PayScalePointCode]],PSPOINTS[PayScalePointCode],PSPOINTS[PayScalePointEnabled])=TRUE,0,1)</f>
        <v>0</v>
      </c>
      <c r="L379" s="57" cm="1">
        <f t="array" ref="L379">IF(_xlfn.XLOOKUP(CONT_SUP[[#This Row],[DepartmentCode]],DEPTS[DepartmentCode],DEPTS[AvailableToAllSchools],1,0,)=TRUE,0,IF(ISERROR(FIND(CONT_SUP[[#This Row],[SchoolCode]],_xlfn.TEXTJOIN(",",TRUE,_xlfn.UNIQUE(IF(DEPTS[DepartmentCode]=CONT_SUP[[#This Row],[DepartmentCode]],DEPTS[SchoolCodes],""))))),1,0))</f>
        <v>0</v>
      </c>
      <c r="M379" s="57">
        <f>IFERROR(IF(_xlfn.XLOOKUP(CONT_SUP[[#This Row],[SRG Gross]],FinanceCodesBudget[FinanceCode],FinanceCodesBudget[LedgerCode])=_xlfn.XLOOKUP(CONT_SUP[[#This Row],[DepartmentCode]],DEPTS[DepartmentCode],DEPTS[LedgerCode]),0,1),1)</f>
        <v>1</v>
      </c>
      <c r="N379" s="57" cm="1">
        <f t="array" ref="N379">IF(_xlfn.XLOOKUP(CONT_SUP[[#This Row],[PensionCode]],PENS[PensionCode],PENS[AvailableToAllSchools],1,0,)=TRUE,0,IF(ISERROR(FIND(CONT_SUP[[#This Row],[SchoolCode]],_xlfn.TEXTJOIN(",",TRUE,_xlfn.UNIQUE(IF(PENS[PensionCode]=CONT_SUP[[#This Row],[PensionCode]],PENS[SchoolCodes],""))))),1,0))</f>
        <v>0</v>
      </c>
      <c r="O379" s="57" cm="1">
        <f t="array" ref="O379">IF(_xlfn.XLOOKUP(CONT_SUP[[#This Row],[EquatedWeekPatternCode]],EQW[EquatedWeekPatternCode],EQW[AvailableToAllSchools],1,0,)=TRUE,0,IF(ISERROR(FIND(CONT_SUP[[#This Row],[SchoolCode]],_xlfn.TEXTJOIN(",",TRUE,_xlfn.UNIQUE(IF(EQW[EquatedWeekPatternCode]=CONT_SUP[[#This Row],[EquatedWeekPatternCode]],EQW[SchoolCodes],""))))),1,0))</f>
        <v>0</v>
      </c>
      <c r="P379" s="57">
        <f>1-COUNTIF(ContractTypes[Code],CONT_SUP[[#This Row],[ContractTypeCode]])</f>
        <v>0</v>
      </c>
      <c r="Q379" s="57">
        <f>IF(VLOOKUP(CONT_SUP[[#This Row],[StaffMemberCode]],MEMBERS[[StaffMemberCode]:[ServiceStartDate]],5,0)&gt;CONT_SUP[[#This Row],[DateFrom]],1,0)</f>
        <v>0</v>
      </c>
      <c r="R379" s="57">
        <f>IF(_xlfn.XLOOKUP(CONT_SUP[[#This Row],[StaffMemberCode]],MEMBERS[StaffMemberCode],MEMBERS[ServiceEndDate])="",0,IF(CONT_SUP[[#This Row],[DateTo]]="",1,IF(_xlfn.XLOOKUP(CONT_SUP[[#This Row],[StaffMemberCode]],MEMBERS[StaffMemberCode],MEMBERS[ServiceEndDate])&lt;CONT_SUP[[#This Row],[DateTo]],1,0)))</f>
        <v>0</v>
      </c>
      <c r="S379" s="57">
        <f>IF(ISBLANK(CONT_SUP[[#This Row],[DateTo]]),0,IF(CONT_SUP[[#This Row],[DateFrom]]=CONT_SUP[[#This Row],[DateTo]],0,IF(CONT_SUP[[#This Row],[DateFrom]]&lt;CONT_SUP[[#This Row],[DateTo]],0,1)))</f>
        <v>0</v>
      </c>
      <c r="T379" s="57" cm="1">
        <f t="array" aca="1" ref="T379" ca="1">IF(CELL("format",CONT_SUP[[#This Row],[DateFrom]])="D1",0,1)+IF(CELL("format",CONT_SUP[[#This Row],[DateTo]])="D1",0,1)</f>
        <v>0</v>
      </c>
      <c r="U379" s="57">
        <f>IF(OR(CONT_SUP[[#This Row],[MatEditOnly]]=TRUE,CONT_SUP[[#This Row],[MatEditOnly]]=FALSE),IF(OR(CONT_SUP[[#This Row],[NoIncrement]]=TRUE,CONT_SUP[[#This Row],[NoIncrement]]=FALSE),0,1),1)</f>
        <v>0</v>
      </c>
      <c r="V379" s="57">
        <f>IF(ISBLANK(CONT_SUP[[#This Row],[FundCode]])=TRUE,0,IF(COUNTIF(FUNDS[FundCode],CONT_SUP[[#This Row],[FundCode]])=1,0,1))</f>
        <v>0</v>
      </c>
      <c r="W379" s="57">
        <f>IF(LEN(CONT_SUP[[#This Row],[Notes]])&lt;4000,0,1)</f>
        <v>0</v>
      </c>
      <c r="X379" s="57">
        <f>IF(SUBSTITUTE(TEXT(CONT_SUP[[#This Row],[Reference]],10)," ","")=TEXT(CONT_SUP[[#This Row],[Reference]],10),0,1)</f>
        <v>0</v>
      </c>
      <c r="Y379" s="57">
        <f ca="1">SUM(CONT_SUP[[#This Row],[Duplicate Contract]:[Space in Code]])</f>
        <v>1</v>
      </c>
      <c r="AA379" s="12" t="s">
        <v>2126</v>
      </c>
      <c r="AB379" s="12">
        <v>10015811</v>
      </c>
      <c r="AC379" s="12">
        <v>106106</v>
      </c>
      <c r="AD379" s="57" t="str">
        <f>_xlfn.XLOOKUP(CONT_SUP[[#This Row],[StaffMemberCode]],StaffMembers!O:O,StaffMembers!R:R)</f>
        <v>Rebecca Cracknell</v>
      </c>
      <c r="AE379" s="12" t="s">
        <v>1180</v>
      </c>
      <c r="AF379" s="57">
        <f>_xlfn.XLOOKUP(CONT_SUP[[#This Row],[SRG]],SRG[StaffRoleGroupCode],SRG[GrossSalaryFinanceCode])</f>
        <v>615100</v>
      </c>
      <c r="AG379" s="57" t="str">
        <f>_xlfn.XLOOKUP(CONT_SUP[[#This Row],[StaffRoleCode]],ROLES[StaffRoleCode],ROLES[StaffRoleGroupCode])</f>
        <v>TA</v>
      </c>
      <c r="AH379" s="57" t="str">
        <f>_xlfn.XLOOKUP(CONT_SUP[[#This Row],[StaffRoleCode]],ROLES[StaffRoleCode],ROLES[PayScaleCode])</f>
        <v>NJC_CHE</v>
      </c>
      <c r="AI379" s="12" t="s">
        <v>3122</v>
      </c>
      <c r="AJ379" s="12">
        <v>5</v>
      </c>
      <c r="AK379" s="12" t="s">
        <v>2497</v>
      </c>
      <c r="AM379" s="68" t="s">
        <v>3132</v>
      </c>
      <c r="AN379" s="12" t="s">
        <v>3134</v>
      </c>
      <c r="AO379" s="21">
        <v>46023</v>
      </c>
      <c r="AQ379" s="12">
        <v>11.75</v>
      </c>
      <c r="AR379" t="b">
        <v>0</v>
      </c>
      <c r="AS379" t="b">
        <v>0</v>
      </c>
      <c r="AT379" s="12" t="s">
        <v>1574</v>
      </c>
    </row>
    <row r="380" spans="1:46" x14ac:dyDescent="0.3">
      <c r="A380" s="57" t="str">
        <f t="shared" si="12"/>
        <v>MLB10016439115379TASTA46023</v>
      </c>
      <c r="B380" s="57">
        <f>COUNTIF(CONT_SUP[Unique Contract],CONT_SUP[[#This Row],[Unique Contract]])-1</f>
        <v>0</v>
      </c>
      <c r="C380" s="57">
        <f>IFERROR(IF(FIND(CONT_SUP[[#This Row],[SchoolCode]],_xlfn.XLOOKUP(CONT_SUP[[#This Row],[StaffMemberCode]],MEMBERS[StaffMemberCode],MEMBERS[SchoolCodes]))&gt;0,0,1),1)</f>
        <v>0</v>
      </c>
      <c r="D380" s="57" cm="1">
        <f t="array" ref="D380">IF(_xlfn.XLOOKUP(CONT_SUP[[#This Row],[StaffRoleCode]],ROLES[StaffRoleCode],ROLES[AvailableToAllSchools],1,0,)=TRUE,0,IF(ISERROR(FIND(CONT_SUP[[#This Row],[SchoolCode]],_xlfn.TEXTJOIN(",",TRUE,_xlfn.UNIQUE(IF(ROLES[StaffRoleCode]=CONT_SUP[[#This Row],[StaffRoleCode]],ROLES[SchoolCodes],""))))),1,0))</f>
        <v>0</v>
      </c>
      <c r="E380" s="57" cm="1">
        <f t="array" ref="E38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80" s="57" cm="1">
        <f t="array" ref="F380">IF(_xlfn.XLOOKUP(CONT_SUP[[#This Row],[PayScaleCode]],PAYSCALES[PayScaleCode],PAYSCALES[AvailableToAllSchools],1,0,)=TRUE,0,IF(ISERROR(FIND(CONT_SUP[[#This Row],[SchoolCode]],_xlfn.TEXTJOIN(",",TRUE,_xlfn.UNIQUE(IF(PAYSCALES[PayScaleCode]=CONT_SUP[[#This Row],[PayScaleCode]],PAYSCALES[SchoolCodes],""))))),1,0))</f>
        <v>0</v>
      </c>
      <c r="G380" s="57">
        <f>IF(_xlfn.XLOOKUP(CONT_SUP[[#This Row],[PayScaleGradeCode]],GRADES[PayScaleGradeCode],GRADES[AvailableToAllSchools])=TRUE,0,IFERROR(IF(FIND(CONT_SUP[[#This Row],[SchoolCode]],_xlfn.XLOOKUP(CONT_SUP[[#This Row],[PayScaleGradeCode]],GRADES[PayScaleGradeCode],GRADES[SchoolCodes]))&gt;=1,0,1),1))</f>
        <v>0</v>
      </c>
      <c r="H380" s="57">
        <f>IF(ISERROR(IF((_xlfn.XLOOKUP(CONT_SUP[[#This Row],[PayScaleGradeCode]],GRADES[PayScaleGradeCode],GRADES[PayScaleCode])=CONT_SUP[[#This Row],[PayScaleCode]]),0,1)),1,0)</f>
        <v>0</v>
      </c>
      <c r="I380" s="57" cm="1">
        <f t="array" ref="I380">IF(ISERROR(FIND(CONT_SUP[[#This Row],[PayScalePointCode]],_xlfn.TEXTJOIN(",",TRUE,IF(PSPOINTS[PayScaleCode]=CONT_SUP[[#This Row],[PayScaleCode]],PSPOINTS[PayScalePointCode])))),1,0)</f>
        <v>0</v>
      </c>
      <c r="J380" s="57" cm="1">
        <f t="array" ref="J38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80" s="57">
        <f>IF(_xlfn.XLOOKUP(CONT_SUP[[#This Row],[PayScalePointCode]],PSPOINTS[PayScalePointCode],PSPOINTS[PayScalePointEnabled])=TRUE,0,1)</f>
        <v>0</v>
      </c>
      <c r="L380" s="57" cm="1">
        <f t="array" ref="L380">IF(_xlfn.XLOOKUP(CONT_SUP[[#This Row],[DepartmentCode]],DEPTS[DepartmentCode],DEPTS[AvailableToAllSchools],1,0,)=TRUE,0,IF(ISERROR(FIND(CONT_SUP[[#This Row],[SchoolCode]],_xlfn.TEXTJOIN(",",TRUE,_xlfn.UNIQUE(IF(DEPTS[DepartmentCode]=CONT_SUP[[#This Row],[DepartmentCode]],DEPTS[SchoolCodes],""))))),1,0))</f>
        <v>0</v>
      </c>
      <c r="M380" s="57">
        <f>IFERROR(IF(_xlfn.XLOOKUP(CONT_SUP[[#This Row],[SRG Gross]],FinanceCodesBudget[FinanceCode],FinanceCodesBudget[LedgerCode])=_xlfn.XLOOKUP(CONT_SUP[[#This Row],[DepartmentCode]],DEPTS[DepartmentCode],DEPTS[LedgerCode]),0,1),1)</f>
        <v>1</v>
      </c>
      <c r="N380" s="57" cm="1">
        <f t="array" ref="N380">IF(_xlfn.XLOOKUP(CONT_SUP[[#This Row],[PensionCode]],PENS[PensionCode],PENS[AvailableToAllSchools],1,0,)=TRUE,0,IF(ISERROR(FIND(CONT_SUP[[#This Row],[SchoolCode]],_xlfn.TEXTJOIN(",",TRUE,_xlfn.UNIQUE(IF(PENS[PensionCode]=CONT_SUP[[#This Row],[PensionCode]],PENS[SchoolCodes],""))))),1,0))</f>
        <v>0</v>
      </c>
      <c r="O380" s="57" cm="1">
        <f t="array" ref="O380">IF(_xlfn.XLOOKUP(CONT_SUP[[#This Row],[EquatedWeekPatternCode]],EQW[EquatedWeekPatternCode],EQW[AvailableToAllSchools],1,0,)=TRUE,0,IF(ISERROR(FIND(CONT_SUP[[#This Row],[SchoolCode]],_xlfn.TEXTJOIN(",",TRUE,_xlfn.UNIQUE(IF(EQW[EquatedWeekPatternCode]=CONT_SUP[[#This Row],[EquatedWeekPatternCode]],EQW[SchoolCodes],""))))),1,0))</f>
        <v>0</v>
      </c>
      <c r="P380" s="57">
        <f>1-COUNTIF(ContractTypes[Code],CONT_SUP[[#This Row],[ContractTypeCode]])</f>
        <v>0</v>
      </c>
      <c r="Q380" s="57">
        <f>IF(VLOOKUP(CONT_SUP[[#This Row],[StaffMemberCode]],MEMBERS[[StaffMemberCode]:[ServiceStartDate]],5,0)&gt;CONT_SUP[[#This Row],[DateFrom]],1,0)</f>
        <v>0</v>
      </c>
      <c r="R380" s="57">
        <f>IF(_xlfn.XLOOKUP(CONT_SUP[[#This Row],[StaffMemberCode]],MEMBERS[StaffMemberCode],MEMBERS[ServiceEndDate])="",0,IF(CONT_SUP[[#This Row],[DateTo]]="",1,IF(_xlfn.XLOOKUP(CONT_SUP[[#This Row],[StaffMemberCode]],MEMBERS[StaffMemberCode],MEMBERS[ServiceEndDate])&lt;CONT_SUP[[#This Row],[DateTo]],1,0)))</f>
        <v>0</v>
      </c>
      <c r="S380" s="57">
        <f>IF(ISBLANK(CONT_SUP[[#This Row],[DateTo]]),0,IF(CONT_SUP[[#This Row],[DateFrom]]=CONT_SUP[[#This Row],[DateTo]],0,IF(CONT_SUP[[#This Row],[DateFrom]]&lt;CONT_SUP[[#This Row],[DateTo]],0,1)))</f>
        <v>0</v>
      </c>
      <c r="T380" s="57" cm="1">
        <f t="array" aca="1" ref="T380" ca="1">IF(CELL("format",CONT_SUP[[#This Row],[DateFrom]])="D1",0,1)+IF(CELL("format",CONT_SUP[[#This Row],[DateTo]])="D1",0,1)</f>
        <v>0</v>
      </c>
      <c r="U380" s="57">
        <f>IF(OR(CONT_SUP[[#This Row],[MatEditOnly]]=TRUE,CONT_SUP[[#This Row],[MatEditOnly]]=FALSE),IF(OR(CONT_SUP[[#This Row],[NoIncrement]]=TRUE,CONT_SUP[[#This Row],[NoIncrement]]=FALSE),0,1),1)</f>
        <v>0</v>
      </c>
      <c r="V380" s="57">
        <f>IF(ISBLANK(CONT_SUP[[#This Row],[FundCode]])=TRUE,0,IF(COUNTIF(FUNDS[FundCode],CONT_SUP[[#This Row],[FundCode]])=1,0,1))</f>
        <v>0</v>
      </c>
      <c r="W380" s="57">
        <f>IF(LEN(CONT_SUP[[#This Row],[Notes]])&lt;4000,0,1)</f>
        <v>0</v>
      </c>
      <c r="X380" s="57">
        <f>IF(SUBSTITUTE(TEXT(CONT_SUP[[#This Row],[Reference]],10)," ","")=TEXT(CONT_SUP[[#This Row],[Reference]],10),0,1)</f>
        <v>0</v>
      </c>
      <c r="Y380" s="57">
        <f ca="1">SUM(CONT_SUP[[#This Row],[Duplicate Contract]:[Space in Code]])</f>
        <v>1</v>
      </c>
      <c r="AA380" s="12" t="s">
        <v>2126</v>
      </c>
      <c r="AB380" s="12">
        <v>10016439</v>
      </c>
      <c r="AC380" s="12">
        <v>115379</v>
      </c>
      <c r="AD380" s="57" t="str">
        <f>_xlfn.XLOOKUP(CONT_SUP[[#This Row],[StaffMemberCode]],StaffMembers!O:O,StaffMembers!R:R)</f>
        <v>Ruby Ellis</v>
      </c>
      <c r="AE380" s="12" t="s">
        <v>1180</v>
      </c>
      <c r="AF380" s="57">
        <f>_xlfn.XLOOKUP(CONT_SUP[[#This Row],[SRG]],SRG[StaffRoleGroupCode],SRG[GrossSalaryFinanceCode])</f>
        <v>615100</v>
      </c>
      <c r="AG380" s="57" t="str">
        <f>_xlfn.XLOOKUP(CONT_SUP[[#This Row],[StaffRoleCode]],ROLES[StaffRoleCode],ROLES[StaffRoleGroupCode])</f>
        <v>TA</v>
      </c>
      <c r="AH380" s="57" t="str">
        <f>_xlfn.XLOOKUP(CONT_SUP[[#This Row],[StaffRoleCode]],ROLES[StaffRoleCode],ROLES[PayScaleCode])</f>
        <v>NJC_CHE</v>
      </c>
      <c r="AI380" s="12" t="s">
        <v>3122</v>
      </c>
      <c r="AJ380" s="12">
        <v>5</v>
      </c>
      <c r="AK380" s="12" t="s">
        <v>2497</v>
      </c>
      <c r="AM380" s="68" t="s">
        <v>3132</v>
      </c>
      <c r="AN380" s="12" t="s">
        <v>3134</v>
      </c>
      <c r="AO380" s="21">
        <v>46023</v>
      </c>
      <c r="AQ380" s="12">
        <v>30</v>
      </c>
      <c r="AR380" t="b">
        <v>0</v>
      </c>
      <c r="AS380" t="b">
        <v>0</v>
      </c>
      <c r="AT380" s="12" t="s">
        <v>1574</v>
      </c>
    </row>
    <row r="381" spans="1:46" x14ac:dyDescent="0.3">
      <c r="A381" s="57" t="str">
        <f t="shared" si="12"/>
        <v>MLB10015064113627TASTA46023</v>
      </c>
      <c r="B381" s="57">
        <f>COUNTIF(CONT_SUP[Unique Contract],CONT_SUP[[#This Row],[Unique Contract]])-1</f>
        <v>0</v>
      </c>
      <c r="C381" s="57">
        <f>IFERROR(IF(FIND(CONT_SUP[[#This Row],[SchoolCode]],_xlfn.XLOOKUP(CONT_SUP[[#This Row],[StaffMemberCode]],MEMBERS[StaffMemberCode],MEMBERS[SchoolCodes]))&gt;0,0,1),1)</f>
        <v>0</v>
      </c>
      <c r="D381" s="57" cm="1">
        <f t="array" ref="D381">IF(_xlfn.XLOOKUP(CONT_SUP[[#This Row],[StaffRoleCode]],ROLES[StaffRoleCode],ROLES[AvailableToAllSchools],1,0,)=TRUE,0,IF(ISERROR(FIND(CONT_SUP[[#This Row],[SchoolCode]],_xlfn.TEXTJOIN(",",TRUE,_xlfn.UNIQUE(IF(ROLES[StaffRoleCode]=CONT_SUP[[#This Row],[StaffRoleCode]],ROLES[SchoolCodes],""))))),1,0))</f>
        <v>0</v>
      </c>
      <c r="E381" s="57" cm="1">
        <f t="array" ref="E38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81" s="57" cm="1">
        <f t="array" ref="F381">IF(_xlfn.XLOOKUP(CONT_SUP[[#This Row],[PayScaleCode]],PAYSCALES[PayScaleCode],PAYSCALES[AvailableToAllSchools],1,0,)=TRUE,0,IF(ISERROR(FIND(CONT_SUP[[#This Row],[SchoolCode]],_xlfn.TEXTJOIN(",",TRUE,_xlfn.UNIQUE(IF(PAYSCALES[PayScaleCode]=CONT_SUP[[#This Row],[PayScaleCode]],PAYSCALES[SchoolCodes],""))))),1,0))</f>
        <v>0</v>
      </c>
      <c r="G381" s="57">
        <f>IF(_xlfn.XLOOKUP(CONT_SUP[[#This Row],[PayScaleGradeCode]],GRADES[PayScaleGradeCode],GRADES[AvailableToAllSchools])=TRUE,0,IFERROR(IF(FIND(CONT_SUP[[#This Row],[SchoolCode]],_xlfn.XLOOKUP(CONT_SUP[[#This Row],[PayScaleGradeCode]],GRADES[PayScaleGradeCode],GRADES[SchoolCodes]))&gt;=1,0,1),1))</f>
        <v>0</v>
      </c>
      <c r="H381" s="57">
        <f>IF(ISERROR(IF((_xlfn.XLOOKUP(CONT_SUP[[#This Row],[PayScaleGradeCode]],GRADES[PayScaleGradeCode],GRADES[PayScaleCode])=CONT_SUP[[#This Row],[PayScaleCode]]),0,1)),1,0)</f>
        <v>0</v>
      </c>
      <c r="I381" s="57" cm="1">
        <f t="array" ref="I381">IF(ISERROR(FIND(CONT_SUP[[#This Row],[PayScalePointCode]],_xlfn.TEXTJOIN(",",TRUE,IF(PSPOINTS[PayScaleCode]=CONT_SUP[[#This Row],[PayScaleCode]],PSPOINTS[PayScalePointCode])))),1,0)</f>
        <v>0</v>
      </c>
      <c r="J381" s="57" cm="1">
        <f t="array" ref="J38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81" s="57">
        <f>IF(_xlfn.XLOOKUP(CONT_SUP[[#This Row],[PayScalePointCode]],PSPOINTS[PayScalePointCode],PSPOINTS[PayScalePointEnabled])=TRUE,0,1)</f>
        <v>0</v>
      </c>
      <c r="L381" s="57" cm="1">
        <f t="array" ref="L381">IF(_xlfn.XLOOKUP(CONT_SUP[[#This Row],[DepartmentCode]],DEPTS[DepartmentCode],DEPTS[AvailableToAllSchools],1,0,)=TRUE,0,IF(ISERROR(FIND(CONT_SUP[[#This Row],[SchoolCode]],_xlfn.TEXTJOIN(",",TRUE,_xlfn.UNIQUE(IF(DEPTS[DepartmentCode]=CONT_SUP[[#This Row],[DepartmentCode]],DEPTS[SchoolCodes],""))))),1,0))</f>
        <v>0</v>
      </c>
      <c r="M381" s="57">
        <f>IFERROR(IF(_xlfn.XLOOKUP(CONT_SUP[[#This Row],[SRG Gross]],FinanceCodesBudget[FinanceCode],FinanceCodesBudget[LedgerCode])=_xlfn.XLOOKUP(CONT_SUP[[#This Row],[DepartmentCode]],DEPTS[DepartmentCode],DEPTS[LedgerCode]),0,1),1)</f>
        <v>1</v>
      </c>
      <c r="N381" s="57" cm="1">
        <f t="array" ref="N381">IF(_xlfn.XLOOKUP(CONT_SUP[[#This Row],[PensionCode]],PENS[PensionCode],PENS[AvailableToAllSchools],1,0,)=TRUE,0,IF(ISERROR(FIND(CONT_SUP[[#This Row],[SchoolCode]],_xlfn.TEXTJOIN(",",TRUE,_xlfn.UNIQUE(IF(PENS[PensionCode]=CONT_SUP[[#This Row],[PensionCode]],PENS[SchoolCodes],""))))),1,0))</f>
        <v>0</v>
      </c>
      <c r="O381" s="57" cm="1">
        <f t="array" ref="O381">IF(_xlfn.XLOOKUP(CONT_SUP[[#This Row],[EquatedWeekPatternCode]],EQW[EquatedWeekPatternCode],EQW[AvailableToAllSchools],1,0,)=TRUE,0,IF(ISERROR(FIND(CONT_SUP[[#This Row],[SchoolCode]],_xlfn.TEXTJOIN(",",TRUE,_xlfn.UNIQUE(IF(EQW[EquatedWeekPatternCode]=CONT_SUP[[#This Row],[EquatedWeekPatternCode]],EQW[SchoolCodes],""))))),1,0))</f>
        <v>0</v>
      </c>
      <c r="P381" s="57">
        <f>1-COUNTIF(ContractTypes[Code],CONT_SUP[[#This Row],[ContractTypeCode]])</f>
        <v>0</v>
      </c>
      <c r="Q381" s="57">
        <f>IF(VLOOKUP(CONT_SUP[[#This Row],[StaffMemberCode]],MEMBERS[[StaffMemberCode]:[ServiceStartDate]],5,0)&gt;CONT_SUP[[#This Row],[DateFrom]],1,0)</f>
        <v>0</v>
      </c>
      <c r="R381" s="57">
        <f>IF(_xlfn.XLOOKUP(CONT_SUP[[#This Row],[StaffMemberCode]],MEMBERS[StaffMemberCode],MEMBERS[ServiceEndDate])="",0,IF(CONT_SUP[[#This Row],[DateTo]]="",1,IF(_xlfn.XLOOKUP(CONT_SUP[[#This Row],[StaffMemberCode]],MEMBERS[StaffMemberCode],MEMBERS[ServiceEndDate])&lt;CONT_SUP[[#This Row],[DateTo]],1,0)))</f>
        <v>0</v>
      </c>
      <c r="S381" s="57">
        <f>IF(ISBLANK(CONT_SUP[[#This Row],[DateTo]]),0,IF(CONT_SUP[[#This Row],[DateFrom]]=CONT_SUP[[#This Row],[DateTo]],0,IF(CONT_SUP[[#This Row],[DateFrom]]&lt;CONT_SUP[[#This Row],[DateTo]],0,1)))</f>
        <v>0</v>
      </c>
      <c r="T381" s="57" cm="1">
        <f t="array" aca="1" ref="T381" ca="1">IF(CELL("format",CONT_SUP[[#This Row],[DateFrom]])="D1",0,1)+IF(CELL("format",CONT_SUP[[#This Row],[DateTo]])="D1",0,1)</f>
        <v>0</v>
      </c>
      <c r="U381" s="57">
        <f>IF(OR(CONT_SUP[[#This Row],[MatEditOnly]]=TRUE,CONT_SUP[[#This Row],[MatEditOnly]]=FALSE),IF(OR(CONT_SUP[[#This Row],[NoIncrement]]=TRUE,CONT_SUP[[#This Row],[NoIncrement]]=FALSE),0,1),1)</f>
        <v>0</v>
      </c>
      <c r="V381" s="57">
        <f>IF(ISBLANK(CONT_SUP[[#This Row],[FundCode]])=TRUE,0,IF(COUNTIF(FUNDS[FundCode],CONT_SUP[[#This Row],[FundCode]])=1,0,1))</f>
        <v>0</v>
      </c>
      <c r="W381" s="57">
        <f>IF(LEN(CONT_SUP[[#This Row],[Notes]])&lt;4000,0,1)</f>
        <v>0</v>
      </c>
      <c r="X381" s="57">
        <f>IF(SUBSTITUTE(TEXT(CONT_SUP[[#This Row],[Reference]],10)," ","")=TEXT(CONT_SUP[[#This Row],[Reference]],10),0,1)</f>
        <v>0</v>
      </c>
      <c r="Y381" s="57">
        <f ca="1">SUM(CONT_SUP[[#This Row],[Duplicate Contract]:[Space in Code]])</f>
        <v>1</v>
      </c>
      <c r="AA381" s="12" t="s">
        <v>2126</v>
      </c>
      <c r="AB381" s="12">
        <v>10015064</v>
      </c>
      <c r="AC381" s="12">
        <v>113627</v>
      </c>
      <c r="AD381" s="57" t="str">
        <f>_xlfn.XLOOKUP(CONT_SUP[[#This Row],[StaffMemberCode]],StaffMembers!O:O,StaffMembers!R:R)</f>
        <v>Sarah Nash</v>
      </c>
      <c r="AE381" s="12" t="s">
        <v>1180</v>
      </c>
      <c r="AF381" s="57">
        <f>_xlfn.XLOOKUP(CONT_SUP[[#This Row],[SRG]],SRG[StaffRoleGroupCode],SRG[GrossSalaryFinanceCode])</f>
        <v>615100</v>
      </c>
      <c r="AG381" s="57" t="str">
        <f>_xlfn.XLOOKUP(CONT_SUP[[#This Row],[StaffRoleCode]],ROLES[StaffRoleCode],ROLES[StaffRoleGroupCode])</f>
        <v>TA</v>
      </c>
      <c r="AH381" s="57" t="str">
        <f>_xlfn.XLOOKUP(CONT_SUP[[#This Row],[StaffRoleCode]],ROLES[StaffRoleCode],ROLES[PayScaleCode])</f>
        <v>NJC_CHE</v>
      </c>
      <c r="AI381" s="12" t="s">
        <v>3122</v>
      </c>
      <c r="AJ381" s="12">
        <v>5</v>
      </c>
      <c r="AK381" s="12" t="s">
        <v>2497</v>
      </c>
      <c r="AM381" s="68" t="s">
        <v>3132</v>
      </c>
      <c r="AN381" s="12" t="s">
        <v>3134</v>
      </c>
      <c r="AO381" s="21">
        <v>46023</v>
      </c>
      <c r="AQ381" s="12">
        <v>30</v>
      </c>
      <c r="AR381" t="b">
        <v>0</v>
      </c>
      <c r="AS381" t="b">
        <v>0</v>
      </c>
      <c r="AT381" s="12" t="s">
        <v>1574</v>
      </c>
    </row>
    <row r="382" spans="1:46" x14ac:dyDescent="0.3">
      <c r="A382" s="57" t="str">
        <f t="shared" si="12"/>
        <v>MLB10012682114964TASTA46023</v>
      </c>
      <c r="B382" s="57">
        <f>COUNTIF(CONT_SUP[Unique Contract],CONT_SUP[[#This Row],[Unique Contract]])-1</f>
        <v>0</v>
      </c>
      <c r="C382" s="57">
        <f>IFERROR(IF(FIND(CONT_SUP[[#This Row],[SchoolCode]],_xlfn.XLOOKUP(CONT_SUP[[#This Row],[StaffMemberCode]],MEMBERS[StaffMemberCode],MEMBERS[SchoolCodes]))&gt;0,0,1),1)</f>
        <v>0</v>
      </c>
      <c r="D382" s="57" cm="1">
        <f t="array" ref="D382">IF(_xlfn.XLOOKUP(CONT_SUP[[#This Row],[StaffRoleCode]],ROLES[StaffRoleCode],ROLES[AvailableToAllSchools],1,0,)=TRUE,0,IF(ISERROR(FIND(CONT_SUP[[#This Row],[SchoolCode]],_xlfn.TEXTJOIN(",",TRUE,_xlfn.UNIQUE(IF(ROLES[StaffRoleCode]=CONT_SUP[[#This Row],[StaffRoleCode]],ROLES[SchoolCodes],""))))),1,0))</f>
        <v>0</v>
      </c>
      <c r="E382" s="57" cm="1">
        <f t="array" ref="E38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82" s="57" cm="1">
        <f t="array" ref="F382">IF(_xlfn.XLOOKUP(CONT_SUP[[#This Row],[PayScaleCode]],PAYSCALES[PayScaleCode],PAYSCALES[AvailableToAllSchools],1,0,)=TRUE,0,IF(ISERROR(FIND(CONT_SUP[[#This Row],[SchoolCode]],_xlfn.TEXTJOIN(",",TRUE,_xlfn.UNIQUE(IF(PAYSCALES[PayScaleCode]=CONT_SUP[[#This Row],[PayScaleCode]],PAYSCALES[SchoolCodes],""))))),1,0))</f>
        <v>0</v>
      </c>
      <c r="G382" s="57">
        <f>IF(_xlfn.XLOOKUP(CONT_SUP[[#This Row],[PayScaleGradeCode]],GRADES[PayScaleGradeCode],GRADES[AvailableToAllSchools])=TRUE,0,IFERROR(IF(FIND(CONT_SUP[[#This Row],[SchoolCode]],_xlfn.XLOOKUP(CONT_SUP[[#This Row],[PayScaleGradeCode]],GRADES[PayScaleGradeCode],GRADES[SchoolCodes]))&gt;=1,0,1),1))</f>
        <v>0</v>
      </c>
      <c r="H382" s="57">
        <f>IF(ISERROR(IF((_xlfn.XLOOKUP(CONT_SUP[[#This Row],[PayScaleGradeCode]],GRADES[PayScaleGradeCode],GRADES[PayScaleCode])=CONT_SUP[[#This Row],[PayScaleCode]]),0,1)),1,0)</f>
        <v>0</v>
      </c>
      <c r="I382" s="57" cm="1">
        <f t="array" ref="I382">IF(ISERROR(FIND(CONT_SUP[[#This Row],[PayScalePointCode]],_xlfn.TEXTJOIN(",",TRUE,IF(PSPOINTS[PayScaleCode]=CONT_SUP[[#This Row],[PayScaleCode]],PSPOINTS[PayScalePointCode])))),1,0)</f>
        <v>0</v>
      </c>
      <c r="J382" s="57" cm="1">
        <f t="array" ref="J38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82" s="57">
        <f>IF(_xlfn.XLOOKUP(CONT_SUP[[#This Row],[PayScalePointCode]],PSPOINTS[PayScalePointCode],PSPOINTS[PayScalePointEnabled])=TRUE,0,1)</f>
        <v>0</v>
      </c>
      <c r="L382" s="57" cm="1">
        <f t="array" ref="L382">IF(_xlfn.XLOOKUP(CONT_SUP[[#This Row],[DepartmentCode]],DEPTS[DepartmentCode],DEPTS[AvailableToAllSchools],1,0,)=TRUE,0,IF(ISERROR(FIND(CONT_SUP[[#This Row],[SchoolCode]],_xlfn.TEXTJOIN(",",TRUE,_xlfn.UNIQUE(IF(DEPTS[DepartmentCode]=CONT_SUP[[#This Row],[DepartmentCode]],DEPTS[SchoolCodes],""))))),1,0))</f>
        <v>0</v>
      </c>
      <c r="M382" s="57">
        <f>IFERROR(IF(_xlfn.XLOOKUP(CONT_SUP[[#This Row],[SRG Gross]],FinanceCodesBudget[FinanceCode],FinanceCodesBudget[LedgerCode])=_xlfn.XLOOKUP(CONT_SUP[[#This Row],[DepartmentCode]],DEPTS[DepartmentCode],DEPTS[LedgerCode]),0,1),1)</f>
        <v>1</v>
      </c>
      <c r="N382" s="57" cm="1">
        <f t="array" ref="N382">IF(_xlfn.XLOOKUP(CONT_SUP[[#This Row],[PensionCode]],PENS[PensionCode],PENS[AvailableToAllSchools],1,0,)=TRUE,0,IF(ISERROR(FIND(CONT_SUP[[#This Row],[SchoolCode]],_xlfn.TEXTJOIN(",",TRUE,_xlfn.UNIQUE(IF(PENS[PensionCode]=CONT_SUP[[#This Row],[PensionCode]],PENS[SchoolCodes],""))))),1,0))</f>
        <v>0</v>
      </c>
      <c r="O382" s="57" cm="1">
        <f t="array" ref="O382">IF(_xlfn.XLOOKUP(CONT_SUP[[#This Row],[EquatedWeekPatternCode]],EQW[EquatedWeekPatternCode],EQW[AvailableToAllSchools],1,0,)=TRUE,0,IF(ISERROR(FIND(CONT_SUP[[#This Row],[SchoolCode]],_xlfn.TEXTJOIN(",",TRUE,_xlfn.UNIQUE(IF(EQW[EquatedWeekPatternCode]=CONT_SUP[[#This Row],[EquatedWeekPatternCode]],EQW[SchoolCodes],""))))),1,0))</f>
        <v>0</v>
      </c>
      <c r="P382" s="57">
        <f>1-COUNTIF(ContractTypes[Code],CONT_SUP[[#This Row],[ContractTypeCode]])</f>
        <v>0</v>
      </c>
      <c r="Q382" s="57">
        <f>IF(VLOOKUP(CONT_SUP[[#This Row],[StaffMemberCode]],MEMBERS[[StaffMemberCode]:[ServiceStartDate]],5,0)&gt;CONT_SUP[[#This Row],[DateFrom]],1,0)</f>
        <v>0</v>
      </c>
      <c r="R382" s="57">
        <f>IF(_xlfn.XLOOKUP(CONT_SUP[[#This Row],[StaffMemberCode]],MEMBERS[StaffMemberCode],MEMBERS[ServiceEndDate])="",0,IF(CONT_SUP[[#This Row],[DateTo]]="",1,IF(_xlfn.XLOOKUP(CONT_SUP[[#This Row],[StaffMemberCode]],MEMBERS[StaffMemberCode],MEMBERS[ServiceEndDate])&lt;CONT_SUP[[#This Row],[DateTo]],1,0)))</f>
        <v>0</v>
      </c>
      <c r="S382" s="57">
        <f>IF(ISBLANK(CONT_SUP[[#This Row],[DateTo]]),0,IF(CONT_SUP[[#This Row],[DateFrom]]=CONT_SUP[[#This Row],[DateTo]],0,IF(CONT_SUP[[#This Row],[DateFrom]]&lt;CONT_SUP[[#This Row],[DateTo]],0,1)))</f>
        <v>0</v>
      </c>
      <c r="T382" s="57" cm="1">
        <f t="array" aca="1" ref="T382" ca="1">IF(CELL("format",CONT_SUP[[#This Row],[DateFrom]])="D1",0,1)+IF(CELL("format",CONT_SUP[[#This Row],[DateTo]])="D1",0,1)</f>
        <v>0</v>
      </c>
      <c r="U382" s="57">
        <f>IF(OR(CONT_SUP[[#This Row],[MatEditOnly]]=TRUE,CONT_SUP[[#This Row],[MatEditOnly]]=FALSE),IF(OR(CONT_SUP[[#This Row],[NoIncrement]]=TRUE,CONT_SUP[[#This Row],[NoIncrement]]=FALSE),0,1),1)</f>
        <v>0</v>
      </c>
      <c r="V382" s="57">
        <f>IF(ISBLANK(CONT_SUP[[#This Row],[FundCode]])=TRUE,0,IF(COUNTIF(FUNDS[FundCode],CONT_SUP[[#This Row],[FundCode]])=1,0,1))</f>
        <v>0</v>
      </c>
      <c r="W382" s="57">
        <f>IF(LEN(CONT_SUP[[#This Row],[Notes]])&lt;4000,0,1)</f>
        <v>0</v>
      </c>
      <c r="X382" s="57">
        <f>IF(SUBSTITUTE(TEXT(CONT_SUP[[#This Row],[Reference]],10)," ","")=TEXT(CONT_SUP[[#This Row],[Reference]],10),0,1)</f>
        <v>0</v>
      </c>
      <c r="Y382" s="57">
        <f ca="1">SUM(CONT_SUP[[#This Row],[Duplicate Contract]:[Space in Code]])</f>
        <v>1</v>
      </c>
      <c r="AA382" s="12" t="s">
        <v>2126</v>
      </c>
      <c r="AB382" s="12">
        <v>10012682</v>
      </c>
      <c r="AC382" s="12">
        <v>114964</v>
      </c>
      <c r="AD382" s="57" t="str">
        <f>_xlfn.XLOOKUP(CONT_SUP[[#This Row],[StaffMemberCode]],StaffMembers!O:O,StaffMembers!R:R)</f>
        <v>Tanya Hickman</v>
      </c>
      <c r="AE382" s="12" t="s">
        <v>1180</v>
      </c>
      <c r="AF382" s="57">
        <f>_xlfn.XLOOKUP(CONT_SUP[[#This Row],[SRG]],SRG[StaffRoleGroupCode],SRG[GrossSalaryFinanceCode])</f>
        <v>615100</v>
      </c>
      <c r="AG382" s="57" t="str">
        <f>_xlfn.XLOOKUP(CONT_SUP[[#This Row],[StaffRoleCode]],ROLES[StaffRoleCode],ROLES[StaffRoleGroupCode])</f>
        <v>TA</v>
      </c>
      <c r="AH382" s="57" t="str">
        <f>_xlfn.XLOOKUP(CONT_SUP[[#This Row],[StaffRoleCode]],ROLES[StaffRoleCode],ROLES[PayScaleCode])</f>
        <v>NJC_CHE</v>
      </c>
      <c r="AI382" s="12" t="s">
        <v>3122</v>
      </c>
      <c r="AJ382" s="12">
        <v>5</v>
      </c>
      <c r="AK382" s="12" t="s">
        <v>2497</v>
      </c>
      <c r="AM382" s="68" t="s">
        <v>3132</v>
      </c>
      <c r="AN382" s="12" t="s">
        <v>3134</v>
      </c>
      <c r="AO382" s="21">
        <v>46023</v>
      </c>
      <c r="AQ382" s="12">
        <v>24.6</v>
      </c>
      <c r="AR382" t="b">
        <v>0</v>
      </c>
      <c r="AS382" t="b">
        <v>0</v>
      </c>
      <c r="AT382" s="12" t="s">
        <v>1574</v>
      </c>
    </row>
    <row r="383" spans="1:46" x14ac:dyDescent="0.3">
      <c r="A383" s="57" t="str">
        <f t="shared" si="12"/>
        <v>MLB10015576115100TASTA46023</v>
      </c>
      <c r="B383" s="57">
        <f>COUNTIF(CONT_SUP[Unique Contract],CONT_SUP[[#This Row],[Unique Contract]])-1</f>
        <v>0</v>
      </c>
      <c r="C383" s="57">
        <f>IFERROR(IF(FIND(CONT_SUP[[#This Row],[SchoolCode]],_xlfn.XLOOKUP(CONT_SUP[[#This Row],[StaffMemberCode]],MEMBERS[StaffMemberCode],MEMBERS[SchoolCodes]))&gt;0,0,1),1)</f>
        <v>0</v>
      </c>
      <c r="D383" s="57" cm="1">
        <f t="array" ref="D383">IF(_xlfn.XLOOKUP(CONT_SUP[[#This Row],[StaffRoleCode]],ROLES[StaffRoleCode],ROLES[AvailableToAllSchools],1,0,)=TRUE,0,IF(ISERROR(FIND(CONT_SUP[[#This Row],[SchoolCode]],_xlfn.TEXTJOIN(",",TRUE,_xlfn.UNIQUE(IF(ROLES[StaffRoleCode]=CONT_SUP[[#This Row],[StaffRoleCode]],ROLES[SchoolCodes],""))))),1,0))</f>
        <v>0</v>
      </c>
      <c r="E383" s="57" cm="1">
        <f t="array" ref="E38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83" s="57" cm="1">
        <f t="array" ref="F383">IF(_xlfn.XLOOKUP(CONT_SUP[[#This Row],[PayScaleCode]],PAYSCALES[PayScaleCode],PAYSCALES[AvailableToAllSchools],1,0,)=TRUE,0,IF(ISERROR(FIND(CONT_SUP[[#This Row],[SchoolCode]],_xlfn.TEXTJOIN(",",TRUE,_xlfn.UNIQUE(IF(PAYSCALES[PayScaleCode]=CONT_SUP[[#This Row],[PayScaleCode]],PAYSCALES[SchoolCodes],""))))),1,0))</f>
        <v>0</v>
      </c>
      <c r="G383" s="57">
        <f>IF(_xlfn.XLOOKUP(CONT_SUP[[#This Row],[PayScaleGradeCode]],GRADES[PayScaleGradeCode],GRADES[AvailableToAllSchools])=TRUE,0,IFERROR(IF(FIND(CONT_SUP[[#This Row],[SchoolCode]],_xlfn.XLOOKUP(CONT_SUP[[#This Row],[PayScaleGradeCode]],GRADES[PayScaleGradeCode],GRADES[SchoolCodes]))&gt;=1,0,1),1))</f>
        <v>0</v>
      </c>
      <c r="H383" s="57">
        <f>IF(ISERROR(IF((_xlfn.XLOOKUP(CONT_SUP[[#This Row],[PayScaleGradeCode]],GRADES[PayScaleGradeCode],GRADES[PayScaleCode])=CONT_SUP[[#This Row],[PayScaleCode]]),0,1)),1,0)</f>
        <v>0</v>
      </c>
      <c r="I383" s="57" cm="1">
        <f t="array" ref="I383">IF(ISERROR(FIND(CONT_SUP[[#This Row],[PayScalePointCode]],_xlfn.TEXTJOIN(",",TRUE,IF(PSPOINTS[PayScaleCode]=CONT_SUP[[#This Row],[PayScaleCode]],PSPOINTS[PayScalePointCode])))),1,0)</f>
        <v>0</v>
      </c>
      <c r="J383" s="57" cm="1">
        <f t="array" ref="J38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83" s="57">
        <f>IF(_xlfn.XLOOKUP(CONT_SUP[[#This Row],[PayScalePointCode]],PSPOINTS[PayScalePointCode],PSPOINTS[PayScalePointEnabled])=TRUE,0,1)</f>
        <v>0</v>
      </c>
      <c r="L383" s="57" cm="1">
        <f t="array" ref="L383">IF(_xlfn.XLOOKUP(CONT_SUP[[#This Row],[DepartmentCode]],DEPTS[DepartmentCode],DEPTS[AvailableToAllSchools],1,0,)=TRUE,0,IF(ISERROR(FIND(CONT_SUP[[#This Row],[SchoolCode]],_xlfn.TEXTJOIN(",",TRUE,_xlfn.UNIQUE(IF(DEPTS[DepartmentCode]=CONT_SUP[[#This Row],[DepartmentCode]],DEPTS[SchoolCodes],""))))),1,0))</f>
        <v>0</v>
      </c>
      <c r="M383" s="57">
        <f>IFERROR(IF(_xlfn.XLOOKUP(CONT_SUP[[#This Row],[SRG Gross]],FinanceCodesBudget[FinanceCode],FinanceCodesBudget[LedgerCode])=_xlfn.XLOOKUP(CONT_SUP[[#This Row],[DepartmentCode]],DEPTS[DepartmentCode],DEPTS[LedgerCode]),0,1),1)</f>
        <v>1</v>
      </c>
      <c r="N383" s="57" cm="1">
        <f t="array" ref="N383">IF(_xlfn.XLOOKUP(CONT_SUP[[#This Row],[PensionCode]],PENS[PensionCode],PENS[AvailableToAllSchools],1,0,)=TRUE,0,IF(ISERROR(FIND(CONT_SUP[[#This Row],[SchoolCode]],_xlfn.TEXTJOIN(",",TRUE,_xlfn.UNIQUE(IF(PENS[PensionCode]=CONT_SUP[[#This Row],[PensionCode]],PENS[SchoolCodes],""))))),1,0))</f>
        <v>0</v>
      </c>
      <c r="O383" s="57" cm="1">
        <f t="array" ref="O383">IF(_xlfn.XLOOKUP(CONT_SUP[[#This Row],[EquatedWeekPatternCode]],EQW[EquatedWeekPatternCode],EQW[AvailableToAllSchools],1,0,)=TRUE,0,IF(ISERROR(FIND(CONT_SUP[[#This Row],[SchoolCode]],_xlfn.TEXTJOIN(",",TRUE,_xlfn.UNIQUE(IF(EQW[EquatedWeekPatternCode]=CONT_SUP[[#This Row],[EquatedWeekPatternCode]],EQW[SchoolCodes],""))))),1,0))</f>
        <v>0</v>
      </c>
      <c r="P383" s="57">
        <f>1-COUNTIF(ContractTypes[Code],CONT_SUP[[#This Row],[ContractTypeCode]])</f>
        <v>0</v>
      </c>
      <c r="Q383" s="57">
        <f>IF(VLOOKUP(CONT_SUP[[#This Row],[StaffMemberCode]],MEMBERS[[StaffMemberCode]:[ServiceStartDate]],5,0)&gt;CONT_SUP[[#This Row],[DateFrom]],1,0)</f>
        <v>0</v>
      </c>
      <c r="R383" s="57">
        <f>IF(_xlfn.XLOOKUP(CONT_SUP[[#This Row],[StaffMemberCode]],MEMBERS[StaffMemberCode],MEMBERS[ServiceEndDate])="",0,IF(CONT_SUP[[#This Row],[DateTo]]="",1,IF(_xlfn.XLOOKUP(CONT_SUP[[#This Row],[StaffMemberCode]],MEMBERS[StaffMemberCode],MEMBERS[ServiceEndDate])&lt;CONT_SUP[[#This Row],[DateTo]],1,0)))</f>
        <v>0</v>
      </c>
      <c r="S383" s="57">
        <f>IF(ISBLANK(CONT_SUP[[#This Row],[DateTo]]),0,IF(CONT_SUP[[#This Row],[DateFrom]]=CONT_SUP[[#This Row],[DateTo]],0,IF(CONT_SUP[[#This Row],[DateFrom]]&lt;CONT_SUP[[#This Row],[DateTo]],0,1)))</f>
        <v>0</v>
      </c>
      <c r="T383" s="57" cm="1">
        <f t="array" aca="1" ref="T383" ca="1">IF(CELL("format",CONT_SUP[[#This Row],[DateFrom]])="D1",0,1)+IF(CELL("format",CONT_SUP[[#This Row],[DateTo]])="D1",0,1)</f>
        <v>0</v>
      </c>
      <c r="U383" s="57">
        <f>IF(OR(CONT_SUP[[#This Row],[MatEditOnly]]=TRUE,CONT_SUP[[#This Row],[MatEditOnly]]=FALSE),IF(OR(CONT_SUP[[#This Row],[NoIncrement]]=TRUE,CONT_SUP[[#This Row],[NoIncrement]]=FALSE),0,1),1)</f>
        <v>0</v>
      </c>
      <c r="V383" s="57">
        <f>IF(ISBLANK(CONT_SUP[[#This Row],[FundCode]])=TRUE,0,IF(COUNTIF(FUNDS[FundCode],CONT_SUP[[#This Row],[FundCode]])=1,0,1))</f>
        <v>0</v>
      </c>
      <c r="W383" s="57">
        <f>IF(LEN(CONT_SUP[[#This Row],[Notes]])&lt;4000,0,1)</f>
        <v>0</v>
      </c>
      <c r="X383" s="57">
        <f>IF(SUBSTITUTE(TEXT(CONT_SUP[[#This Row],[Reference]],10)," ","")=TEXT(CONT_SUP[[#This Row],[Reference]],10),0,1)</f>
        <v>0</v>
      </c>
      <c r="Y383" s="57">
        <f ca="1">SUM(CONT_SUP[[#This Row],[Duplicate Contract]:[Space in Code]])</f>
        <v>1</v>
      </c>
      <c r="AA383" s="12" t="s">
        <v>2126</v>
      </c>
      <c r="AB383" s="12">
        <v>10015576</v>
      </c>
      <c r="AC383" s="12">
        <v>115100</v>
      </c>
      <c r="AD383" s="57" t="str">
        <f>_xlfn.XLOOKUP(CONT_SUP[[#This Row],[StaffMemberCode]],StaffMembers!O:O,StaffMembers!R:R)</f>
        <v>Thomas Higinbotham</v>
      </c>
      <c r="AE383" s="12" t="s">
        <v>1180</v>
      </c>
      <c r="AF383" s="57">
        <f>_xlfn.XLOOKUP(CONT_SUP[[#This Row],[SRG]],SRG[StaffRoleGroupCode],SRG[GrossSalaryFinanceCode])</f>
        <v>615100</v>
      </c>
      <c r="AG383" s="57" t="str">
        <f>_xlfn.XLOOKUP(CONT_SUP[[#This Row],[StaffRoleCode]],ROLES[StaffRoleCode],ROLES[StaffRoleGroupCode])</f>
        <v>TA</v>
      </c>
      <c r="AH383" s="57" t="str">
        <f>_xlfn.XLOOKUP(CONT_SUP[[#This Row],[StaffRoleCode]],ROLES[StaffRoleCode],ROLES[PayScaleCode])</f>
        <v>NJC_CHE</v>
      </c>
      <c r="AI383" s="12" t="s">
        <v>3122</v>
      </c>
      <c r="AJ383" s="12">
        <v>5</v>
      </c>
      <c r="AK383" s="12" t="s">
        <v>2497</v>
      </c>
      <c r="AM383" s="68" t="s">
        <v>3132</v>
      </c>
      <c r="AN383" s="12" t="s">
        <v>3134</v>
      </c>
      <c r="AO383" s="21">
        <v>46023</v>
      </c>
      <c r="AQ383" s="12">
        <v>30</v>
      </c>
      <c r="AR383" t="b">
        <v>0</v>
      </c>
      <c r="AS383" t="b">
        <v>0</v>
      </c>
      <c r="AT383" s="12" t="s">
        <v>1574</v>
      </c>
    </row>
    <row r="384" spans="1:46" x14ac:dyDescent="0.3">
      <c r="A384" s="57" t="str">
        <f t="shared" si="12"/>
        <v>MLB10010282110962TASTA46023</v>
      </c>
      <c r="B384" s="57">
        <f>COUNTIF(CONT_SUP[Unique Contract],CONT_SUP[[#This Row],[Unique Contract]])-1</f>
        <v>0</v>
      </c>
      <c r="C384" s="57">
        <f>IFERROR(IF(FIND(CONT_SUP[[#This Row],[SchoolCode]],_xlfn.XLOOKUP(CONT_SUP[[#This Row],[StaffMemberCode]],MEMBERS[StaffMemberCode],MEMBERS[SchoolCodes]))&gt;0,0,1),1)</f>
        <v>0</v>
      </c>
      <c r="D384" s="57" cm="1">
        <f t="array" ref="D384">IF(_xlfn.XLOOKUP(CONT_SUP[[#This Row],[StaffRoleCode]],ROLES[StaffRoleCode],ROLES[AvailableToAllSchools],1,0,)=TRUE,0,IF(ISERROR(FIND(CONT_SUP[[#This Row],[SchoolCode]],_xlfn.TEXTJOIN(",",TRUE,_xlfn.UNIQUE(IF(ROLES[StaffRoleCode]=CONT_SUP[[#This Row],[StaffRoleCode]],ROLES[SchoolCodes],""))))),1,0))</f>
        <v>0</v>
      </c>
      <c r="E384" s="57" cm="1">
        <f t="array" ref="E38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84" s="57" cm="1">
        <f t="array" ref="F384">IF(_xlfn.XLOOKUP(CONT_SUP[[#This Row],[PayScaleCode]],PAYSCALES[PayScaleCode],PAYSCALES[AvailableToAllSchools],1,0,)=TRUE,0,IF(ISERROR(FIND(CONT_SUP[[#This Row],[SchoolCode]],_xlfn.TEXTJOIN(",",TRUE,_xlfn.UNIQUE(IF(PAYSCALES[PayScaleCode]=CONT_SUP[[#This Row],[PayScaleCode]],PAYSCALES[SchoolCodes],""))))),1,0))</f>
        <v>0</v>
      </c>
      <c r="G384" s="57">
        <f>IF(_xlfn.XLOOKUP(CONT_SUP[[#This Row],[PayScaleGradeCode]],GRADES[PayScaleGradeCode],GRADES[AvailableToAllSchools])=TRUE,0,IFERROR(IF(FIND(CONT_SUP[[#This Row],[SchoolCode]],_xlfn.XLOOKUP(CONT_SUP[[#This Row],[PayScaleGradeCode]],GRADES[PayScaleGradeCode],GRADES[SchoolCodes]))&gt;=1,0,1),1))</f>
        <v>0</v>
      </c>
      <c r="H384" s="57">
        <f>IF(ISERROR(IF((_xlfn.XLOOKUP(CONT_SUP[[#This Row],[PayScaleGradeCode]],GRADES[PayScaleGradeCode],GRADES[PayScaleCode])=CONT_SUP[[#This Row],[PayScaleCode]]),0,1)),1,0)</f>
        <v>0</v>
      </c>
      <c r="I384" s="57" cm="1">
        <f t="array" ref="I384">IF(ISERROR(FIND(CONT_SUP[[#This Row],[PayScalePointCode]],_xlfn.TEXTJOIN(",",TRUE,IF(PSPOINTS[PayScaleCode]=CONT_SUP[[#This Row],[PayScaleCode]],PSPOINTS[PayScalePointCode])))),1,0)</f>
        <v>0</v>
      </c>
      <c r="J384" s="57" cm="1">
        <f t="array" ref="J38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84" s="57">
        <f>IF(_xlfn.XLOOKUP(CONT_SUP[[#This Row],[PayScalePointCode]],PSPOINTS[PayScalePointCode],PSPOINTS[PayScalePointEnabled])=TRUE,0,1)</f>
        <v>0</v>
      </c>
      <c r="L384" s="57" cm="1">
        <f t="array" ref="L384">IF(_xlfn.XLOOKUP(CONT_SUP[[#This Row],[DepartmentCode]],DEPTS[DepartmentCode],DEPTS[AvailableToAllSchools],1,0,)=TRUE,0,IF(ISERROR(FIND(CONT_SUP[[#This Row],[SchoolCode]],_xlfn.TEXTJOIN(",",TRUE,_xlfn.UNIQUE(IF(DEPTS[DepartmentCode]=CONT_SUP[[#This Row],[DepartmentCode]],DEPTS[SchoolCodes],""))))),1,0))</f>
        <v>0</v>
      </c>
      <c r="M384" s="57">
        <f>IFERROR(IF(_xlfn.XLOOKUP(CONT_SUP[[#This Row],[SRG Gross]],FinanceCodesBudget[FinanceCode],FinanceCodesBudget[LedgerCode])=_xlfn.XLOOKUP(CONT_SUP[[#This Row],[DepartmentCode]],DEPTS[DepartmentCode],DEPTS[LedgerCode]),0,1),1)</f>
        <v>1</v>
      </c>
      <c r="N384" s="57" cm="1">
        <f t="array" ref="N384">IF(_xlfn.XLOOKUP(CONT_SUP[[#This Row],[PensionCode]],PENS[PensionCode],PENS[AvailableToAllSchools],1,0,)=TRUE,0,IF(ISERROR(FIND(CONT_SUP[[#This Row],[SchoolCode]],_xlfn.TEXTJOIN(",",TRUE,_xlfn.UNIQUE(IF(PENS[PensionCode]=CONT_SUP[[#This Row],[PensionCode]],PENS[SchoolCodes],""))))),1,0))</f>
        <v>0</v>
      </c>
      <c r="O384" s="57" cm="1">
        <f t="array" ref="O384">IF(_xlfn.XLOOKUP(CONT_SUP[[#This Row],[EquatedWeekPatternCode]],EQW[EquatedWeekPatternCode],EQW[AvailableToAllSchools],1,0,)=TRUE,0,IF(ISERROR(FIND(CONT_SUP[[#This Row],[SchoolCode]],_xlfn.TEXTJOIN(",",TRUE,_xlfn.UNIQUE(IF(EQW[EquatedWeekPatternCode]=CONT_SUP[[#This Row],[EquatedWeekPatternCode]],EQW[SchoolCodes],""))))),1,0))</f>
        <v>0</v>
      </c>
      <c r="P384" s="57">
        <f>1-COUNTIF(ContractTypes[Code],CONT_SUP[[#This Row],[ContractTypeCode]])</f>
        <v>0</v>
      </c>
      <c r="Q384" s="57">
        <f>IF(VLOOKUP(CONT_SUP[[#This Row],[StaffMemberCode]],MEMBERS[[StaffMemberCode]:[ServiceStartDate]],5,0)&gt;CONT_SUP[[#This Row],[DateFrom]],1,0)</f>
        <v>0</v>
      </c>
      <c r="R384" s="57">
        <f>IF(_xlfn.XLOOKUP(CONT_SUP[[#This Row],[StaffMemberCode]],MEMBERS[StaffMemberCode],MEMBERS[ServiceEndDate])="",0,IF(CONT_SUP[[#This Row],[DateTo]]="",1,IF(_xlfn.XLOOKUP(CONT_SUP[[#This Row],[StaffMemberCode]],MEMBERS[StaffMemberCode],MEMBERS[ServiceEndDate])&lt;CONT_SUP[[#This Row],[DateTo]],1,0)))</f>
        <v>0</v>
      </c>
      <c r="S384" s="57">
        <f>IF(ISBLANK(CONT_SUP[[#This Row],[DateTo]]),0,IF(CONT_SUP[[#This Row],[DateFrom]]=CONT_SUP[[#This Row],[DateTo]],0,IF(CONT_SUP[[#This Row],[DateFrom]]&lt;CONT_SUP[[#This Row],[DateTo]],0,1)))</f>
        <v>0</v>
      </c>
      <c r="T384" s="57" cm="1">
        <f t="array" aca="1" ref="T384" ca="1">IF(CELL("format",CONT_SUP[[#This Row],[DateFrom]])="D1",0,1)+IF(CELL("format",CONT_SUP[[#This Row],[DateTo]])="D1",0,1)</f>
        <v>0</v>
      </c>
      <c r="U384" s="57">
        <f>IF(OR(CONT_SUP[[#This Row],[MatEditOnly]]=TRUE,CONT_SUP[[#This Row],[MatEditOnly]]=FALSE),IF(OR(CONT_SUP[[#This Row],[NoIncrement]]=TRUE,CONT_SUP[[#This Row],[NoIncrement]]=FALSE),0,1),1)</f>
        <v>0</v>
      </c>
      <c r="V384" s="57">
        <f>IF(ISBLANK(CONT_SUP[[#This Row],[FundCode]])=TRUE,0,IF(COUNTIF(FUNDS[FundCode],CONT_SUP[[#This Row],[FundCode]])=1,0,1))</f>
        <v>0</v>
      </c>
      <c r="W384" s="57">
        <f>IF(LEN(CONT_SUP[[#This Row],[Notes]])&lt;4000,0,1)</f>
        <v>0</v>
      </c>
      <c r="X384" s="57">
        <f>IF(SUBSTITUTE(TEXT(CONT_SUP[[#This Row],[Reference]],10)," ","")=TEXT(CONT_SUP[[#This Row],[Reference]],10),0,1)</f>
        <v>0</v>
      </c>
      <c r="Y384" s="57">
        <f ca="1">SUM(CONT_SUP[[#This Row],[Duplicate Contract]:[Space in Code]])</f>
        <v>1</v>
      </c>
      <c r="AA384" s="12" t="s">
        <v>2126</v>
      </c>
      <c r="AB384" s="12">
        <v>10010282</v>
      </c>
      <c r="AC384" s="12">
        <v>110962</v>
      </c>
      <c r="AD384" s="57" t="str">
        <f>_xlfn.XLOOKUP(CONT_SUP[[#This Row],[StaffMemberCode]],StaffMembers!O:O,StaffMembers!R:R)</f>
        <v>Amanda Fletcher</v>
      </c>
      <c r="AE384" s="12" t="s">
        <v>1180</v>
      </c>
      <c r="AF384" s="57">
        <f>_xlfn.XLOOKUP(CONT_SUP[[#This Row],[SRG]],SRG[StaffRoleGroupCode],SRG[GrossSalaryFinanceCode])</f>
        <v>615100</v>
      </c>
      <c r="AG384" s="57" t="str">
        <f>_xlfn.XLOOKUP(CONT_SUP[[#This Row],[StaffRoleCode]],ROLES[StaffRoleCode],ROLES[StaffRoleGroupCode])</f>
        <v>TA</v>
      </c>
      <c r="AH384" s="57" t="str">
        <f>_xlfn.XLOOKUP(CONT_SUP[[#This Row],[StaffRoleCode]],ROLES[StaffRoleCode],ROLES[PayScaleCode])</f>
        <v>NJC_CHE</v>
      </c>
      <c r="AI384" s="12" t="s">
        <v>3122</v>
      </c>
      <c r="AJ384" s="12">
        <v>6</v>
      </c>
      <c r="AK384" s="12" t="s">
        <v>2497</v>
      </c>
      <c r="AM384" s="68" t="s">
        <v>3132</v>
      </c>
      <c r="AN384" s="12" t="s">
        <v>3134</v>
      </c>
      <c r="AO384" s="21">
        <v>46023</v>
      </c>
      <c r="AQ384" s="12">
        <v>31.25</v>
      </c>
      <c r="AR384" t="b">
        <v>0</v>
      </c>
      <c r="AS384" t="b">
        <v>0</v>
      </c>
      <c r="AT384" s="12" t="s">
        <v>1574</v>
      </c>
    </row>
    <row r="385" spans="1:46" x14ac:dyDescent="0.3">
      <c r="A385" s="57" t="str">
        <f t="shared" si="12"/>
        <v>MLB10013088108736TASTA46023</v>
      </c>
      <c r="B385" s="57">
        <f>COUNTIF(CONT_SUP[Unique Contract],CONT_SUP[[#This Row],[Unique Contract]])-1</f>
        <v>0</v>
      </c>
      <c r="C385" s="57">
        <f>IFERROR(IF(FIND(CONT_SUP[[#This Row],[SchoolCode]],_xlfn.XLOOKUP(CONT_SUP[[#This Row],[StaffMemberCode]],MEMBERS[StaffMemberCode],MEMBERS[SchoolCodes]))&gt;0,0,1),1)</f>
        <v>0</v>
      </c>
      <c r="D385" s="57" cm="1">
        <f t="array" ref="D385">IF(_xlfn.XLOOKUP(CONT_SUP[[#This Row],[StaffRoleCode]],ROLES[StaffRoleCode],ROLES[AvailableToAllSchools],1,0,)=TRUE,0,IF(ISERROR(FIND(CONT_SUP[[#This Row],[SchoolCode]],_xlfn.TEXTJOIN(",",TRUE,_xlfn.UNIQUE(IF(ROLES[StaffRoleCode]=CONT_SUP[[#This Row],[StaffRoleCode]],ROLES[SchoolCodes],""))))),1,0))</f>
        <v>0</v>
      </c>
      <c r="E385" s="57" cm="1">
        <f t="array" ref="E38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85" s="57" cm="1">
        <f t="array" ref="F385">IF(_xlfn.XLOOKUP(CONT_SUP[[#This Row],[PayScaleCode]],PAYSCALES[PayScaleCode],PAYSCALES[AvailableToAllSchools],1,0,)=TRUE,0,IF(ISERROR(FIND(CONT_SUP[[#This Row],[SchoolCode]],_xlfn.TEXTJOIN(",",TRUE,_xlfn.UNIQUE(IF(PAYSCALES[PayScaleCode]=CONT_SUP[[#This Row],[PayScaleCode]],PAYSCALES[SchoolCodes],""))))),1,0))</f>
        <v>0</v>
      </c>
      <c r="G385" s="57">
        <f>IF(_xlfn.XLOOKUP(CONT_SUP[[#This Row],[PayScaleGradeCode]],GRADES[PayScaleGradeCode],GRADES[AvailableToAllSchools])=TRUE,0,IFERROR(IF(FIND(CONT_SUP[[#This Row],[SchoolCode]],_xlfn.XLOOKUP(CONT_SUP[[#This Row],[PayScaleGradeCode]],GRADES[PayScaleGradeCode],GRADES[SchoolCodes]))&gt;=1,0,1),1))</f>
        <v>0</v>
      </c>
      <c r="H385" s="57">
        <f>IF(ISERROR(IF((_xlfn.XLOOKUP(CONT_SUP[[#This Row],[PayScaleGradeCode]],GRADES[PayScaleGradeCode],GRADES[PayScaleCode])=CONT_SUP[[#This Row],[PayScaleCode]]),0,1)),1,0)</f>
        <v>0</v>
      </c>
      <c r="I385" s="57" cm="1">
        <f t="array" ref="I385">IF(ISERROR(FIND(CONT_SUP[[#This Row],[PayScalePointCode]],_xlfn.TEXTJOIN(",",TRUE,IF(PSPOINTS[PayScaleCode]=CONT_SUP[[#This Row],[PayScaleCode]],PSPOINTS[PayScalePointCode])))),1,0)</f>
        <v>0</v>
      </c>
      <c r="J385" s="57" cm="1">
        <f t="array" ref="J38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85" s="57">
        <f>IF(_xlfn.XLOOKUP(CONT_SUP[[#This Row],[PayScalePointCode]],PSPOINTS[PayScalePointCode],PSPOINTS[PayScalePointEnabled])=TRUE,0,1)</f>
        <v>0</v>
      </c>
      <c r="L385" s="57" cm="1">
        <f t="array" ref="L385">IF(_xlfn.XLOOKUP(CONT_SUP[[#This Row],[DepartmentCode]],DEPTS[DepartmentCode],DEPTS[AvailableToAllSchools],1,0,)=TRUE,0,IF(ISERROR(FIND(CONT_SUP[[#This Row],[SchoolCode]],_xlfn.TEXTJOIN(",",TRUE,_xlfn.UNIQUE(IF(DEPTS[DepartmentCode]=CONT_SUP[[#This Row],[DepartmentCode]],DEPTS[SchoolCodes],""))))),1,0))</f>
        <v>0</v>
      </c>
      <c r="M385" s="57">
        <f>IFERROR(IF(_xlfn.XLOOKUP(CONT_SUP[[#This Row],[SRG Gross]],FinanceCodesBudget[FinanceCode],FinanceCodesBudget[LedgerCode])=_xlfn.XLOOKUP(CONT_SUP[[#This Row],[DepartmentCode]],DEPTS[DepartmentCode],DEPTS[LedgerCode]),0,1),1)</f>
        <v>1</v>
      </c>
      <c r="N385" s="57" cm="1">
        <f t="array" ref="N385">IF(_xlfn.XLOOKUP(CONT_SUP[[#This Row],[PensionCode]],PENS[PensionCode],PENS[AvailableToAllSchools],1,0,)=TRUE,0,IF(ISERROR(FIND(CONT_SUP[[#This Row],[SchoolCode]],_xlfn.TEXTJOIN(",",TRUE,_xlfn.UNIQUE(IF(PENS[PensionCode]=CONT_SUP[[#This Row],[PensionCode]],PENS[SchoolCodes],""))))),1,0))</f>
        <v>0</v>
      </c>
      <c r="O385" s="57" cm="1">
        <f t="array" ref="O385">IF(_xlfn.XLOOKUP(CONT_SUP[[#This Row],[EquatedWeekPatternCode]],EQW[EquatedWeekPatternCode],EQW[AvailableToAllSchools],1,0,)=TRUE,0,IF(ISERROR(FIND(CONT_SUP[[#This Row],[SchoolCode]],_xlfn.TEXTJOIN(",",TRUE,_xlfn.UNIQUE(IF(EQW[EquatedWeekPatternCode]=CONT_SUP[[#This Row],[EquatedWeekPatternCode]],EQW[SchoolCodes],""))))),1,0))</f>
        <v>0</v>
      </c>
      <c r="P385" s="57">
        <f>1-COUNTIF(ContractTypes[Code],CONT_SUP[[#This Row],[ContractTypeCode]])</f>
        <v>0</v>
      </c>
      <c r="Q385" s="57">
        <f>IF(VLOOKUP(CONT_SUP[[#This Row],[StaffMemberCode]],MEMBERS[[StaffMemberCode]:[ServiceStartDate]],5,0)&gt;CONT_SUP[[#This Row],[DateFrom]],1,0)</f>
        <v>0</v>
      </c>
      <c r="R385" s="57">
        <f>IF(_xlfn.XLOOKUP(CONT_SUP[[#This Row],[StaffMemberCode]],MEMBERS[StaffMemberCode],MEMBERS[ServiceEndDate])="",0,IF(CONT_SUP[[#This Row],[DateTo]]="",1,IF(_xlfn.XLOOKUP(CONT_SUP[[#This Row],[StaffMemberCode]],MEMBERS[StaffMemberCode],MEMBERS[ServiceEndDate])&lt;CONT_SUP[[#This Row],[DateTo]],1,0)))</f>
        <v>0</v>
      </c>
      <c r="S385" s="57">
        <f>IF(ISBLANK(CONT_SUP[[#This Row],[DateTo]]),0,IF(CONT_SUP[[#This Row],[DateFrom]]=CONT_SUP[[#This Row],[DateTo]],0,IF(CONT_SUP[[#This Row],[DateFrom]]&lt;CONT_SUP[[#This Row],[DateTo]],0,1)))</f>
        <v>0</v>
      </c>
      <c r="T385" s="57" cm="1">
        <f t="array" aca="1" ref="T385" ca="1">IF(CELL("format",CONT_SUP[[#This Row],[DateFrom]])="D1",0,1)+IF(CELL("format",CONT_SUP[[#This Row],[DateTo]])="D1",0,1)</f>
        <v>0</v>
      </c>
      <c r="U385" s="57">
        <f>IF(OR(CONT_SUP[[#This Row],[MatEditOnly]]=TRUE,CONT_SUP[[#This Row],[MatEditOnly]]=FALSE),IF(OR(CONT_SUP[[#This Row],[NoIncrement]]=TRUE,CONT_SUP[[#This Row],[NoIncrement]]=FALSE),0,1),1)</f>
        <v>0</v>
      </c>
      <c r="V385" s="57">
        <f>IF(ISBLANK(CONT_SUP[[#This Row],[FundCode]])=TRUE,0,IF(COUNTIF(FUNDS[FundCode],CONT_SUP[[#This Row],[FundCode]])=1,0,1))</f>
        <v>0</v>
      </c>
      <c r="W385" s="57">
        <f>IF(LEN(CONT_SUP[[#This Row],[Notes]])&lt;4000,0,1)</f>
        <v>0</v>
      </c>
      <c r="X385" s="57">
        <f>IF(SUBSTITUTE(TEXT(CONT_SUP[[#This Row],[Reference]],10)," ","")=TEXT(CONT_SUP[[#This Row],[Reference]],10),0,1)</f>
        <v>0</v>
      </c>
      <c r="Y385" s="57">
        <f ca="1">SUM(CONT_SUP[[#This Row],[Duplicate Contract]:[Space in Code]])</f>
        <v>1</v>
      </c>
      <c r="AA385" s="12" t="s">
        <v>2126</v>
      </c>
      <c r="AB385" s="12">
        <v>10013088</v>
      </c>
      <c r="AC385" s="12">
        <v>108736</v>
      </c>
      <c r="AD385" s="57" t="str">
        <f>_xlfn.XLOOKUP(CONT_SUP[[#This Row],[StaffMemberCode]],StaffMembers!O:O,StaffMembers!R:R)</f>
        <v>Dawn Dodd</v>
      </c>
      <c r="AE385" s="12" t="s">
        <v>1180</v>
      </c>
      <c r="AF385" s="57">
        <f>_xlfn.XLOOKUP(CONT_SUP[[#This Row],[SRG]],SRG[StaffRoleGroupCode],SRG[GrossSalaryFinanceCode])</f>
        <v>615100</v>
      </c>
      <c r="AG385" s="57" t="str">
        <f>_xlfn.XLOOKUP(CONT_SUP[[#This Row],[StaffRoleCode]],ROLES[StaffRoleCode],ROLES[StaffRoleGroupCode])</f>
        <v>TA</v>
      </c>
      <c r="AH385" s="57" t="str">
        <f>_xlfn.XLOOKUP(CONT_SUP[[#This Row],[StaffRoleCode]],ROLES[StaffRoleCode],ROLES[PayScaleCode])</f>
        <v>NJC_CHE</v>
      </c>
      <c r="AI385" s="12" t="s">
        <v>3122</v>
      </c>
      <c r="AJ385" s="12">
        <v>6</v>
      </c>
      <c r="AK385" s="12" t="s">
        <v>2497</v>
      </c>
      <c r="AM385" s="68" t="s">
        <v>3132</v>
      </c>
      <c r="AN385" s="12" t="s">
        <v>3134</v>
      </c>
      <c r="AO385" s="21">
        <v>46023</v>
      </c>
      <c r="AQ385" s="12">
        <v>30</v>
      </c>
      <c r="AR385" t="b">
        <v>0</v>
      </c>
      <c r="AS385" t="b">
        <v>0</v>
      </c>
      <c r="AT385" s="12" t="s">
        <v>1574</v>
      </c>
    </row>
    <row r="386" spans="1:46" x14ac:dyDescent="0.3">
      <c r="A386" s="57" t="str">
        <f t="shared" si="12"/>
        <v>MLB10014008108461TASTA46023</v>
      </c>
      <c r="B386" s="57">
        <f>COUNTIF(CONT_SUP[Unique Contract],CONT_SUP[[#This Row],[Unique Contract]])-1</f>
        <v>0</v>
      </c>
      <c r="C386" s="57">
        <f>IFERROR(IF(FIND(CONT_SUP[[#This Row],[SchoolCode]],_xlfn.XLOOKUP(CONT_SUP[[#This Row],[StaffMemberCode]],MEMBERS[StaffMemberCode],MEMBERS[SchoolCodes]))&gt;0,0,1),1)</f>
        <v>0</v>
      </c>
      <c r="D386" s="57" cm="1">
        <f t="array" ref="D386">IF(_xlfn.XLOOKUP(CONT_SUP[[#This Row],[StaffRoleCode]],ROLES[StaffRoleCode],ROLES[AvailableToAllSchools],1,0,)=TRUE,0,IF(ISERROR(FIND(CONT_SUP[[#This Row],[SchoolCode]],_xlfn.TEXTJOIN(",",TRUE,_xlfn.UNIQUE(IF(ROLES[StaffRoleCode]=CONT_SUP[[#This Row],[StaffRoleCode]],ROLES[SchoolCodes],""))))),1,0))</f>
        <v>0</v>
      </c>
      <c r="E386" s="57" cm="1">
        <f t="array" ref="E38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86" s="57" cm="1">
        <f t="array" ref="F386">IF(_xlfn.XLOOKUP(CONT_SUP[[#This Row],[PayScaleCode]],PAYSCALES[PayScaleCode],PAYSCALES[AvailableToAllSchools],1,0,)=TRUE,0,IF(ISERROR(FIND(CONT_SUP[[#This Row],[SchoolCode]],_xlfn.TEXTJOIN(",",TRUE,_xlfn.UNIQUE(IF(PAYSCALES[PayScaleCode]=CONT_SUP[[#This Row],[PayScaleCode]],PAYSCALES[SchoolCodes],""))))),1,0))</f>
        <v>0</v>
      </c>
      <c r="G386" s="57">
        <f>IF(_xlfn.XLOOKUP(CONT_SUP[[#This Row],[PayScaleGradeCode]],GRADES[PayScaleGradeCode],GRADES[AvailableToAllSchools])=TRUE,0,IFERROR(IF(FIND(CONT_SUP[[#This Row],[SchoolCode]],_xlfn.XLOOKUP(CONT_SUP[[#This Row],[PayScaleGradeCode]],GRADES[PayScaleGradeCode],GRADES[SchoolCodes]))&gt;=1,0,1),1))</f>
        <v>0</v>
      </c>
      <c r="H386" s="57">
        <f>IF(ISERROR(IF((_xlfn.XLOOKUP(CONT_SUP[[#This Row],[PayScaleGradeCode]],GRADES[PayScaleGradeCode],GRADES[PayScaleCode])=CONT_SUP[[#This Row],[PayScaleCode]]),0,1)),1,0)</f>
        <v>0</v>
      </c>
      <c r="I386" s="57" cm="1">
        <f t="array" ref="I386">IF(ISERROR(FIND(CONT_SUP[[#This Row],[PayScalePointCode]],_xlfn.TEXTJOIN(",",TRUE,IF(PSPOINTS[PayScaleCode]=CONT_SUP[[#This Row],[PayScaleCode]],PSPOINTS[PayScalePointCode])))),1,0)</f>
        <v>0</v>
      </c>
      <c r="J386" s="57" cm="1">
        <f t="array" ref="J38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86" s="57">
        <f>IF(_xlfn.XLOOKUP(CONT_SUP[[#This Row],[PayScalePointCode]],PSPOINTS[PayScalePointCode],PSPOINTS[PayScalePointEnabled])=TRUE,0,1)</f>
        <v>0</v>
      </c>
      <c r="L386" s="57" cm="1">
        <f t="array" ref="L386">IF(_xlfn.XLOOKUP(CONT_SUP[[#This Row],[DepartmentCode]],DEPTS[DepartmentCode],DEPTS[AvailableToAllSchools],1,0,)=TRUE,0,IF(ISERROR(FIND(CONT_SUP[[#This Row],[SchoolCode]],_xlfn.TEXTJOIN(",",TRUE,_xlfn.UNIQUE(IF(DEPTS[DepartmentCode]=CONT_SUP[[#This Row],[DepartmentCode]],DEPTS[SchoolCodes],""))))),1,0))</f>
        <v>0</v>
      </c>
      <c r="M386" s="57">
        <f>IFERROR(IF(_xlfn.XLOOKUP(CONT_SUP[[#This Row],[SRG Gross]],FinanceCodesBudget[FinanceCode],FinanceCodesBudget[LedgerCode])=_xlfn.XLOOKUP(CONT_SUP[[#This Row],[DepartmentCode]],DEPTS[DepartmentCode],DEPTS[LedgerCode]),0,1),1)</f>
        <v>1</v>
      </c>
      <c r="N386" s="57" cm="1">
        <f t="array" ref="N386">IF(_xlfn.XLOOKUP(CONT_SUP[[#This Row],[PensionCode]],PENS[PensionCode],PENS[AvailableToAllSchools],1,0,)=TRUE,0,IF(ISERROR(FIND(CONT_SUP[[#This Row],[SchoolCode]],_xlfn.TEXTJOIN(",",TRUE,_xlfn.UNIQUE(IF(PENS[PensionCode]=CONT_SUP[[#This Row],[PensionCode]],PENS[SchoolCodes],""))))),1,0))</f>
        <v>0</v>
      </c>
      <c r="O386" s="57" cm="1">
        <f t="array" ref="O386">IF(_xlfn.XLOOKUP(CONT_SUP[[#This Row],[EquatedWeekPatternCode]],EQW[EquatedWeekPatternCode],EQW[AvailableToAllSchools],1,0,)=TRUE,0,IF(ISERROR(FIND(CONT_SUP[[#This Row],[SchoolCode]],_xlfn.TEXTJOIN(",",TRUE,_xlfn.UNIQUE(IF(EQW[EquatedWeekPatternCode]=CONT_SUP[[#This Row],[EquatedWeekPatternCode]],EQW[SchoolCodes],""))))),1,0))</f>
        <v>0</v>
      </c>
      <c r="P386" s="57">
        <f>1-COUNTIF(ContractTypes[Code],CONT_SUP[[#This Row],[ContractTypeCode]])</f>
        <v>0</v>
      </c>
      <c r="Q386" s="57">
        <f>IF(VLOOKUP(CONT_SUP[[#This Row],[StaffMemberCode]],MEMBERS[[StaffMemberCode]:[ServiceStartDate]],5,0)&gt;CONT_SUP[[#This Row],[DateFrom]],1,0)</f>
        <v>0</v>
      </c>
      <c r="R386" s="57">
        <f>IF(_xlfn.XLOOKUP(CONT_SUP[[#This Row],[StaffMemberCode]],MEMBERS[StaffMemberCode],MEMBERS[ServiceEndDate])="",0,IF(CONT_SUP[[#This Row],[DateTo]]="",1,IF(_xlfn.XLOOKUP(CONT_SUP[[#This Row],[StaffMemberCode]],MEMBERS[StaffMemberCode],MEMBERS[ServiceEndDate])&lt;CONT_SUP[[#This Row],[DateTo]],1,0)))</f>
        <v>0</v>
      </c>
      <c r="S386" s="57">
        <f>IF(ISBLANK(CONT_SUP[[#This Row],[DateTo]]),0,IF(CONT_SUP[[#This Row],[DateFrom]]=CONT_SUP[[#This Row],[DateTo]],0,IF(CONT_SUP[[#This Row],[DateFrom]]&lt;CONT_SUP[[#This Row],[DateTo]],0,1)))</f>
        <v>0</v>
      </c>
      <c r="T386" s="57" cm="1">
        <f t="array" aca="1" ref="T386" ca="1">IF(CELL("format",CONT_SUP[[#This Row],[DateFrom]])="D1",0,1)+IF(CELL("format",CONT_SUP[[#This Row],[DateTo]])="D1",0,1)</f>
        <v>0</v>
      </c>
      <c r="U386" s="57">
        <f>IF(OR(CONT_SUP[[#This Row],[MatEditOnly]]=TRUE,CONT_SUP[[#This Row],[MatEditOnly]]=FALSE),IF(OR(CONT_SUP[[#This Row],[NoIncrement]]=TRUE,CONT_SUP[[#This Row],[NoIncrement]]=FALSE),0,1),1)</f>
        <v>0</v>
      </c>
      <c r="V386" s="57">
        <f>IF(ISBLANK(CONT_SUP[[#This Row],[FundCode]])=TRUE,0,IF(COUNTIF(FUNDS[FundCode],CONT_SUP[[#This Row],[FundCode]])=1,0,1))</f>
        <v>0</v>
      </c>
      <c r="W386" s="57">
        <f>IF(LEN(CONT_SUP[[#This Row],[Notes]])&lt;4000,0,1)</f>
        <v>0</v>
      </c>
      <c r="X386" s="57">
        <f>IF(SUBSTITUTE(TEXT(CONT_SUP[[#This Row],[Reference]],10)," ","")=TEXT(CONT_SUP[[#This Row],[Reference]],10),0,1)</f>
        <v>0</v>
      </c>
      <c r="Y386" s="57">
        <f ca="1">SUM(CONT_SUP[[#This Row],[Duplicate Contract]:[Space in Code]])</f>
        <v>1</v>
      </c>
      <c r="AA386" s="12" t="s">
        <v>2126</v>
      </c>
      <c r="AB386" s="12">
        <v>10014008</v>
      </c>
      <c r="AC386" s="12">
        <v>108461</v>
      </c>
      <c r="AD386" s="57" t="str">
        <f>_xlfn.XLOOKUP(CONT_SUP[[#This Row],[StaffMemberCode]],StaffMembers!O:O,StaffMembers!R:R)</f>
        <v>Lauren Frayling</v>
      </c>
      <c r="AE386" s="12" t="s">
        <v>1180</v>
      </c>
      <c r="AF386" s="57">
        <f>_xlfn.XLOOKUP(CONT_SUP[[#This Row],[SRG]],SRG[StaffRoleGroupCode],SRG[GrossSalaryFinanceCode])</f>
        <v>615100</v>
      </c>
      <c r="AG386" s="57" t="str">
        <f>_xlfn.XLOOKUP(CONT_SUP[[#This Row],[StaffRoleCode]],ROLES[StaffRoleCode],ROLES[StaffRoleGroupCode])</f>
        <v>TA</v>
      </c>
      <c r="AH386" s="57" t="str">
        <f>_xlfn.XLOOKUP(CONT_SUP[[#This Row],[StaffRoleCode]],ROLES[StaffRoleCode],ROLES[PayScaleCode])</f>
        <v>NJC_CHE</v>
      </c>
      <c r="AI386" s="12" t="s">
        <v>3122</v>
      </c>
      <c r="AJ386" s="12">
        <v>6</v>
      </c>
      <c r="AK386" s="12" t="s">
        <v>2497</v>
      </c>
      <c r="AM386" s="68" t="s">
        <v>3132</v>
      </c>
      <c r="AN386" s="12" t="s">
        <v>3134</v>
      </c>
      <c r="AO386" s="21">
        <v>46023</v>
      </c>
      <c r="AQ386" s="12">
        <v>18</v>
      </c>
      <c r="AR386" t="b">
        <v>0</v>
      </c>
      <c r="AS386" t="b">
        <v>0</v>
      </c>
      <c r="AT386" s="12" t="s">
        <v>1574</v>
      </c>
    </row>
    <row r="387" spans="1:46" x14ac:dyDescent="0.3">
      <c r="A387" s="57" t="str">
        <f t="shared" si="12"/>
        <v>MLB10014285108750TASTA46023</v>
      </c>
      <c r="B387" s="57">
        <f>COUNTIF(CONT_SUP[Unique Contract],CONT_SUP[[#This Row],[Unique Contract]])-1</f>
        <v>0</v>
      </c>
      <c r="C387" s="57">
        <f>IFERROR(IF(FIND(CONT_SUP[[#This Row],[SchoolCode]],_xlfn.XLOOKUP(CONT_SUP[[#This Row],[StaffMemberCode]],MEMBERS[StaffMemberCode],MEMBERS[SchoolCodes]))&gt;0,0,1),1)</f>
        <v>0</v>
      </c>
      <c r="D387" s="57" cm="1">
        <f t="array" ref="D387">IF(_xlfn.XLOOKUP(CONT_SUP[[#This Row],[StaffRoleCode]],ROLES[StaffRoleCode],ROLES[AvailableToAllSchools],1,0,)=TRUE,0,IF(ISERROR(FIND(CONT_SUP[[#This Row],[SchoolCode]],_xlfn.TEXTJOIN(",",TRUE,_xlfn.UNIQUE(IF(ROLES[StaffRoleCode]=CONT_SUP[[#This Row],[StaffRoleCode]],ROLES[SchoolCodes],""))))),1,0))</f>
        <v>0</v>
      </c>
      <c r="E387" s="57" cm="1">
        <f t="array" ref="E38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87" s="57" cm="1">
        <f t="array" ref="F387">IF(_xlfn.XLOOKUP(CONT_SUP[[#This Row],[PayScaleCode]],PAYSCALES[PayScaleCode],PAYSCALES[AvailableToAllSchools],1,0,)=TRUE,0,IF(ISERROR(FIND(CONT_SUP[[#This Row],[SchoolCode]],_xlfn.TEXTJOIN(",",TRUE,_xlfn.UNIQUE(IF(PAYSCALES[PayScaleCode]=CONT_SUP[[#This Row],[PayScaleCode]],PAYSCALES[SchoolCodes],""))))),1,0))</f>
        <v>0</v>
      </c>
      <c r="G387" s="57">
        <f>IF(_xlfn.XLOOKUP(CONT_SUP[[#This Row],[PayScaleGradeCode]],GRADES[PayScaleGradeCode],GRADES[AvailableToAllSchools])=TRUE,0,IFERROR(IF(FIND(CONT_SUP[[#This Row],[SchoolCode]],_xlfn.XLOOKUP(CONT_SUP[[#This Row],[PayScaleGradeCode]],GRADES[PayScaleGradeCode],GRADES[SchoolCodes]))&gt;=1,0,1),1))</f>
        <v>0</v>
      </c>
      <c r="H387" s="57">
        <f>IF(ISERROR(IF((_xlfn.XLOOKUP(CONT_SUP[[#This Row],[PayScaleGradeCode]],GRADES[PayScaleGradeCode],GRADES[PayScaleCode])=CONT_SUP[[#This Row],[PayScaleCode]]),0,1)),1,0)</f>
        <v>0</v>
      </c>
      <c r="I387" s="57" cm="1">
        <f t="array" ref="I387">IF(ISERROR(FIND(CONT_SUP[[#This Row],[PayScalePointCode]],_xlfn.TEXTJOIN(",",TRUE,IF(PSPOINTS[PayScaleCode]=CONT_SUP[[#This Row],[PayScaleCode]],PSPOINTS[PayScalePointCode])))),1,0)</f>
        <v>0</v>
      </c>
      <c r="J387" s="57" cm="1">
        <f t="array" ref="J38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87" s="57">
        <f>IF(_xlfn.XLOOKUP(CONT_SUP[[#This Row],[PayScalePointCode]],PSPOINTS[PayScalePointCode],PSPOINTS[PayScalePointEnabled])=TRUE,0,1)</f>
        <v>0</v>
      </c>
      <c r="L387" s="57" cm="1">
        <f t="array" ref="L387">IF(_xlfn.XLOOKUP(CONT_SUP[[#This Row],[DepartmentCode]],DEPTS[DepartmentCode],DEPTS[AvailableToAllSchools],1,0,)=TRUE,0,IF(ISERROR(FIND(CONT_SUP[[#This Row],[SchoolCode]],_xlfn.TEXTJOIN(",",TRUE,_xlfn.UNIQUE(IF(DEPTS[DepartmentCode]=CONT_SUP[[#This Row],[DepartmentCode]],DEPTS[SchoolCodes],""))))),1,0))</f>
        <v>0</v>
      </c>
      <c r="M387" s="57">
        <f>IFERROR(IF(_xlfn.XLOOKUP(CONT_SUP[[#This Row],[SRG Gross]],FinanceCodesBudget[FinanceCode],FinanceCodesBudget[LedgerCode])=_xlfn.XLOOKUP(CONT_SUP[[#This Row],[DepartmentCode]],DEPTS[DepartmentCode],DEPTS[LedgerCode]),0,1),1)</f>
        <v>1</v>
      </c>
      <c r="N387" s="57" cm="1">
        <f t="array" ref="N387">IF(_xlfn.XLOOKUP(CONT_SUP[[#This Row],[PensionCode]],PENS[PensionCode],PENS[AvailableToAllSchools],1,0,)=TRUE,0,IF(ISERROR(FIND(CONT_SUP[[#This Row],[SchoolCode]],_xlfn.TEXTJOIN(",",TRUE,_xlfn.UNIQUE(IF(PENS[PensionCode]=CONT_SUP[[#This Row],[PensionCode]],PENS[SchoolCodes],""))))),1,0))</f>
        <v>0</v>
      </c>
      <c r="O387" s="57" cm="1">
        <f t="array" ref="O387">IF(_xlfn.XLOOKUP(CONT_SUP[[#This Row],[EquatedWeekPatternCode]],EQW[EquatedWeekPatternCode],EQW[AvailableToAllSchools],1,0,)=TRUE,0,IF(ISERROR(FIND(CONT_SUP[[#This Row],[SchoolCode]],_xlfn.TEXTJOIN(",",TRUE,_xlfn.UNIQUE(IF(EQW[EquatedWeekPatternCode]=CONT_SUP[[#This Row],[EquatedWeekPatternCode]],EQW[SchoolCodes],""))))),1,0))</f>
        <v>0</v>
      </c>
      <c r="P387" s="57">
        <f>1-COUNTIF(ContractTypes[Code],CONT_SUP[[#This Row],[ContractTypeCode]])</f>
        <v>0</v>
      </c>
      <c r="Q387" s="57">
        <f>IF(VLOOKUP(CONT_SUP[[#This Row],[StaffMemberCode]],MEMBERS[[StaffMemberCode]:[ServiceStartDate]],5,0)&gt;CONT_SUP[[#This Row],[DateFrom]],1,0)</f>
        <v>0</v>
      </c>
      <c r="R387" s="57">
        <f>IF(_xlfn.XLOOKUP(CONT_SUP[[#This Row],[StaffMemberCode]],MEMBERS[StaffMemberCode],MEMBERS[ServiceEndDate])="",0,IF(CONT_SUP[[#This Row],[DateTo]]="",1,IF(_xlfn.XLOOKUP(CONT_SUP[[#This Row],[StaffMemberCode]],MEMBERS[StaffMemberCode],MEMBERS[ServiceEndDate])&lt;CONT_SUP[[#This Row],[DateTo]],1,0)))</f>
        <v>0</v>
      </c>
      <c r="S387" s="57">
        <f>IF(ISBLANK(CONT_SUP[[#This Row],[DateTo]]),0,IF(CONT_SUP[[#This Row],[DateFrom]]=CONT_SUP[[#This Row],[DateTo]],0,IF(CONT_SUP[[#This Row],[DateFrom]]&lt;CONT_SUP[[#This Row],[DateTo]],0,1)))</f>
        <v>0</v>
      </c>
      <c r="T387" s="57" cm="1">
        <f t="array" aca="1" ref="T387" ca="1">IF(CELL("format",CONT_SUP[[#This Row],[DateFrom]])="D1",0,1)+IF(CELL("format",CONT_SUP[[#This Row],[DateTo]])="D1",0,1)</f>
        <v>0</v>
      </c>
      <c r="U387" s="57">
        <f>IF(OR(CONT_SUP[[#This Row],[MatEditOnly]]=TRUE,CONT_SUP[[#This Row],[MatEditOnly]]=FALSE),IF(OR(CONT_SUP[[#This Row],[NoIncrement]]=TRUE,CONT_SUP[[#This Row],[NoIncrement]]=FALSE),0,1),1)</f>
        <v>0</v>
      </c>
      <c r="V387" s="57">
        <f>IF(ISBLANK(CONT_SUP[[#This Row],[FundCode]])=TRUE,0,IF(COUNTIF(FUNDS[FundCode],CONT_SUP[[#This Row],[FundCode]])=1,0,1))</f>
        <v>0</v>
      </c>
      <c r="W387" s="57">
        <f>IF(LEN(CONT_SUP[[#This Row],[Notes]])&lt;4000,0,1)</f>
        <v>0</v>
      </c>
      <c r="X387" s="57">
        <f>IF(SUBSTITUTE(TEXT(CONT_SUP[[#This Row],[Reference]],10)," ","")=TEXT(CONT_SUP[[#This Row],[Reference]],10),0,1)</f>
        <v>0</v>
      </c>
      <c r="Y387" s="57">
        <f ca="1">SUM(CONT_SUP[[#This Row],[Duplicate Contract]:[Space in Code]])</f>
        <v>1</v>
      </c>
      <c r="AA387" s="12" t="s">
        <v>2126</v>
      </c>
      <c r="AB387" s="12">
        <v>10014285</v>
      </c>
      <c r="AC387" s="12">
        <v>108750</v>
      </c>
      <c r="AD387" s="57" t="str">
        <f>_xlfn.XLOOKUP(CONT_SUP[[#This Row],[StaffMemberCode]],StaffMembers!O:O,StaffMembers!R:R)</f>
        <v>Michelle Wood</v>
      </c>
      <c r="AE387" s="12" t="s">
        <v>1180</v>
      </c>
      <c r="AF387" s="57">
        <f>_xlfn.XLOOKUP(CONT_SUP[[#This Row],[SRG]],SRG[StaffRoleGroupCode],SRG[GrossSalaryFinanceCode])</f>
        <v>615100</v>
      </c>
      <c r="AG387" s="57" t="str">
        <f>_xlfn.XLOOKUP(CONT_SUP[[#This Row],[StaffRoleCode]],ROLES[StaffRoleCode],ROLES[StaffRoleGroupCode])</f>
        <v>TA</v>
      </c>
      <c r="AH387" s="57" t="str">
        <f>_xlfn.XLOOKUP(CONT_SUP[[#This Row],[StaffRoleCode]],ROLES[StaffRoleCode],ROLES[PayScaleCode])</f>
        <v>NJC_CHE</v>
      </c>
      <c r="AI387" s="12" t="s">
        <v>3122</v>
      </c>
      <c r="AJ387" s="12">
        <v>6</v>
      </c>
      <c r="AK387" s="12" t="s">
        <v>2497</v>
      </c>
      <c r="AM387" s="68" t="s">
        <v>3132</v>
      </c>
      <c r="AN387" s="12" t="s">
        <v>3134</v>
      </c>
      <c r="AO387" s="21">
        <v>46023</v>
      </c>
      <c r="AQ387" s="12">
        <v>24</v>
      </c>
      <c r="AR387" t="b">
        <v>0</v>
      </c>
      <c r="AS387" t="b">
        <v>0</v>
      </c>
      <c r="AT387" s="12" t="s">
        <v>1574</v>
      </c>
    </row>
    <row r="388" spans="1:46" x14ac:dyDescent="0.3">
      <c r="A388" s="57" t="str">
        <f t="shared" si="12"/>
        <v>MLB10014576107722TASTA46023</v>
      </c>
      <c r="B388" s="57">
        <f>COUNTIF(CONT_SUP[Unique Contract],CONT_SUP[[#This Row],[Unique Contract]])-1</f>
        <v>0</v>
      </c>
      <c r="C388" s="57">
        <f>IFERROR(IF(FIND(CONT_SUP[[#This Row],[SchoolCode]],_xlfn.XLOOKUP(CONT_SUP[[#This Row],[StaffMemberCode]],MEMBERS[StaffMemberCode],MEMBERS[SchoolCodes]))&gt;0,0,1),1)</f>
        <v>0</v>
      </c>
      <c r="D388" s="57" cm="1">
        <f t="array" ref="D388">IF(_xlfn.XLOOKUP(CONT_SUP[[#This Row],[StaffRoleCode]],ROLES[StaffRoleCode],ROLES[AvailableToAllSchools],1,0,)=TRUE,0,IF(ISERROR(FIND(CONT_SUP[[#This Row],[SchoolCode]],_xlfn.TEXTJOIN(",",TRUE,_xlfn.UNIQUE(IF(ROLES[StaffRoleCode]=CONT_SUP[[#This Row],[StaffRoleCode]],ROLES[SchoolCodes],""))))),1,0))</f>
        <v>0</v>
      </c>
      <c r="E388" s="57" cm="1">
        <f t="array" ref="E38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88" s="57" cm="1">
        <f t="array" ref="F388">IF(_xlfn.XLOOKUP(CONT_SUP[[#This Row],[PayScaleCode]],PAYSCALES[PayScaleCode],PAYSCALES[AvailableToAllSchools],1,0,)=TRUE,0,IF(ISERROR(FIND(CONT_SUP[[#This Row],[SchoolCode]],_xlfn.TEXTJOIN(",",TRUE,_xlfn.UNIQUE(IF(PAYSCALES[PayScaleCode]=CONT_SUP[[#This Row],[PayScaleCode]],PAYSCALES[SchoolCodes],""))))),1,0))</f>
        <v>0</v>
      </c>
      <c r="G388" s="57">
        <f>IF(_xlfn.XLOOKUP(CONT_SUP[[#This Row],[PayScaleGradeCode]],GRADES[PayScaleGradeCode],GRADES[AvailableToAllSchools])=TRUE,0,IFERROR(IF(FIND(CONT_SUP[[#This Row],[SchoolCode]],_xlfn.XLOOKUP(CONT_SUP[[#This Row],[PayScaleGradeCode]],GRADES[PayScaleGradeCode],GRADES[SchoolCodes]))&gt;=1,0,1),1))</f>
        <v>0</v>
      </c>
      <c r="H388" s="57">
        <f>IF(ISERROR(IF((_xlfn.XLOOKUP(CONT_SUP[[#This Row],[PayScaleGradeCode]],GRADES[PayScaleGradeCode],GRADES[PayScaleCode])=CONT_SUP[[#This Row],[PayScaleCode]]),0,1)),1,0)</f>
        <v>0</v>
      </c>
      <c r="I388" s="57" cm="1">
        <f t="array" ref="I388">IF(ISERROR(FIND(CONT_SUP[[#This Row],[PayScalePointCode]],_xlfn.TEXTJOIN(",",TRUE,IF(PSPOINTS[PayScaleCode]=CONT_SUP[[#This Row],[PayScaleCode]],PSPOINTS[PayScalePointCode])))),1,0)</f>
        <v>0</v>
      </c>
      <c r="J388" s="57" cm="1">
        <f t="array" ref="J38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88" s="57">
        <f>IF(_xlfn.XLOOKUP(CONT_SUP[[#This Row],[PayScalePointCode]],PSPOINTS[PayScalePointCode],PSPOINTS[PayScalePointEnabled])=TRUE,0,1)</f>
        <v>0</v>
      </c>
      <c r="L388" s="57" cm="1">
        <f t="array" ref="L388">IF(_xlfn.XLOOKUP(CONT_SUP[[#This Row],[DepartmentCode]],DEPTS[DepartmentCode],DEPTS[AvailableToAllSchools],1,0,)=TRUE,0,IF(ISERROR(FIND(CONT_SUP[[#This Row],[SchoolCode]],_xlfn.TEXTJOIN(",",TRUE,_xlfn.UNIQUE(IF(DEPTS[DepartmentCode]=CONT_SUP[[#This Row],[DepartmentCode]],DEPTS[SchoolCodes],""))))),1,0))</f>
        <v>0</v>
      </c>
      <c r="M388" s="57">
        <f>IFERROR(IF(_xlfn.XLOOKUP(CONT_SUP[[#This Row],[SRG Gross]],FinanceCodesBudget[FinanceCode],FinanceCodesBudget[LedgerCode])=_xlfn.XLOOKUP(CONT_SUP[[#This Row],[DepartmentCode]],DEPTS[DepartmentCode],DEPTS[LedgerCode]),0,1),1)</f>
        <v>1</v>
      </c>
      <c r="N388" s="57" cm="1">
        <f t="array" ref="N388">IF(_xlfn.XLOOKUP(CONT_SUP[[#This Row],[PensionCode]],PENS[PensionCode],PENS[AvailableToAllSchools],1,0,)=TRUE,0,IF(ISERROR(FIND(CONT_SUP[[#This Row],[SchoolCode]],_xlfn.TEXTJOIN(",",TRUE,_xlfn.UNIQUE(IF(PENS[PensionCode]=CONT_SUP[[#This Row],[PensionCode]],PENS[SchoolCodes],""))))),1,0))</f>
        <v>0</v>
      </c>
      <c r="O388" s="57" cm="1">
        <f t="array" ref="O388">IF(_xlfn.XLOOKUP(CONT_SUP[[#This Row],[EquatedWeekPatternCode]],EQW[EquatedWeekPatternCode],EQW[AvailableToAllSchools],1,0,)=TRUE,0,IF(ISERROR(FIND(CONT_SUP[[#This Row],[SchoolCode]],_xlfn.TEXTJOIN(",",TRUE,_xlfn.UNIQUE(IF(EQW[EquatedWeekPatternCode]=CONT_SUP[[#This Row],[EquatedWeekPatternCode]],EQW[SchoolCodes],""))))),1,0))</f>
        <v>0</v>
      </c>
      <c r="P388" s="57">
        <f>1-COUNTIF(ContractTypes[Code],CONT_SUP[[#This Row],[ContractTypeCode]])</f>
        <v>0</v>
      </c>
      <c r="Q388" s="57">
        <f>IF(VLOOKUP(CONT_SUP[[#This Row],[StaffMemberCode]],MEMBERS[[StaffMemberCode]:[ServiceStartDate]],5,0)&gt;CONT_SUP[[#This Row],[DateFrom]],1,0)</f>
        <v>0</v>
      </c>
      <c r="R388" s="57">
        <f>IF(_xlfn.XLOOKUP(CONT_SUP[[#This Row],[StaffMemberCode]],MEMBERS[StaffMemberCode],MEMBERS[ServiceEndDate])="",0,IF(CONT_SUP[[#This Row],[DateTo]]="",1,IF(_xlfn.XLOOKUP(CONT_SUP[[#This Row],[StaffMemberCode]],MEMBERS[StaffMemberCode],MEMBERS[ServiceEndDate])&lt;CONT_SUP[[#This Row],[DateTo]],1,0)))</f>
        <v>0</v>
      </c>
      <c r="S388" s="57">
        <f>IF(ISBLANK(CONT_SUP[[#This Row],[DateTo]]),0,IF(CONT_SUP[[#This Row],[DateFrom]]=CONT_SUP[[#This Row],[DateTo]],0,IF(CONT_SUP[[#This Row],[DateFrom]]&lt;CONT_SUP[[#This Row],[DateTo]],0,1)))</f>
        <v>0</v>
      </c>
      <c r="T388" s="57" cm="1">
        <f t="array" aca="1" ref="T388" ca="1">IF(CELL("format",CONT_SUP[[#This Row],[DateFrom]])="D1",0,1)+IF(CELL("format",CONT_SUP[[#This Row],[DateTo]])="D1",0,1)</f>
        <v>0</v>
      </c>
      <c r="U388" s="57">
        <f>IF(OR(CONT_SUP[[#This Row],[MatEditOnly]]=TRUE,CONT_SUP[[#This Row],[MatEditOnly]]=FALSE),IF(OR(CONT_SUP[[#This Row],[NoIncrement]]=TRUE,CONT_SUP[[#This Row],[NoIncrement]]=FALSE),0,1),1)</f>
        <v>0</v>
      </c>
      <c r="V388" s="57">
        <f>IF(ISBLANK(CONT_SUP[[#This Row],[FundCode]])=TRUE,0,IF(COUNTIF(FUNDS[FundCode],CONT_SUP[[#This Row],[FundCode]])=1,0,1))</f>
        <v>0</v>
      </c>
      <c r="W388" s="57">
        <f>IF(LEN(CONT_SUP[[#This Row],[Notes]])&lt;4000,0,1)</f>
        <v>0</v>
      </c>
      <c r="X388" s="57">
        <f>IF(SUBSTITUTE(TEXT(CONT_SUP[[#This Row],[Reference]],10)," ","")=TEXT(CONT_SUP[[#This Row],[Reference]],10),0,1)</f>
        <v>0</v>
      </c>
      <c r="Y388" s="57">
        <f ca="1">SUM(CONT_SUP[[#This Row],[Duplicate Contract]:[Space in Code]])</f>
        <v>1</v>
      </c>
      <c r="AA388" s="12" t="s">
        <v>2126</v>
      </c>
      <c r="AB388" s="12">
        <v>10014576</v>
      </c>
      <c r="AC388" s="12">
        <v>107722</v>
      </c>
      <c r="AD388" s="57" t="str">
        <f>_xlfn.XLOOKUP(CONT_SUP[[#This Row],[StaffMemberCode]],StaffMembers!O:O,StaffMembers!R:R)</f>
        <v>Rebecca Mellor</v>
      </c>
      <c r="AE388" s="12" t="s">
        <v>1180</v>
      </c>
      <c r="AF388" s="57">
        <f>_xlfn.XLOOKUP(CONT_SUP[[#This Row],[SRG]],SRG[StaffRoleGroupCode],SRG[GrossSalaryFinanceCode])</f>
        <v>615100</v>
      </c>
      <c r="AG388" s="57" t="str">
        <f>_xlfn.XLOOKUP(CONT_SUP[[#This Row],[StaffRoleCode]],ROLES[StaffRoleCode],ROLES[StaffRoleGroupCode])</f>
        <v>TA</v>
      </c>
      <c r="AH388" s="57" t="str">
        <f>_xlfn.XLOOKUP(CONT_SUP[[#This Row],[StaffRoleCode]],ROLES[StaffRoleCode],ROLES[PayScaleCode])</f>
        <v>NJC_CHE</v>
      </c>
      <c r="AI388" s="12" t="s">
        <v>3122</v>
      </c>
      <c r="AJ388" s="12">
        <v>6</v>
      </c>
      <c r="AK388" s="12" t="s">
        <v>2497</v>
      </c>
      <c r="AM388" s="68" t="s">
        <v>3132</v>
      </c>
      <c r="AN388" s="12" t="s">
        <v>3134</v>
      </c>
      <c r="AO388" s="21">
        <v>46023</v>
      </c>
      <c r="AQ388" s="12">
        <v>12</v>
      </c>
      <c r="AR388" t="b">
        <v>0</v>
      </c>
      <c r="AS388" t="b">
        <v>0</v>
      </c>
      <c r="AT388" s="12" t="s">
        <v>1574</v>
      </c>
    </row>
    <row r="389" spans="1:46" x14ac:dyDescent="0.3">
      <c r="A389" s="57" t="str">
        <f t="shared" si="12"/>
        <v>MLB10012009111492TASTA46023</v>
      </c>
      <c r="B389" s="57">
        <f>COUNTIF(CONT_SUP[Unique Contract],CONT_SUP[[#This Row],[Unique Contract]])-1</f>
        <v>0</v>
      </c>
      <c r="C389" s="57">
        <f>IFERROR(IF(FIND(CONT_SUP[[#This Row],[SchoolCode]],_xlfn.XLOOKUP(CONT_SUP[[#This Row],[StaffMemberCode]],MEMBERS[StaffMemberCode],MEMBERS[SchoolCodes]))&gt;0,0,1),1)</f>
        <v>0</v>
      </c>
      <c r="D389" s="57" cm="1">
        <f t="array" ref="D389">IF(_xlfn.XLOOKUP(CONT_SUP[[#This Row],[StaffRoleCode]],ROLES[StaffRoleCode],ROLES[AvailableToAllSchools],1,0,)=TRUE,0,IF(ISERROR(FIND(CONT_SUP[[#This Row],[SchoolCode]],_xlfn.TEXTJOIN(",",TRUE,_xlfn.UNIQUE(IF(ROLES[StaffRoleCode]=CONT_SUP[[#This Row],[StaffRoleCode]],ROLES[SchoolCodes],""))))),1,0))</f>
        <v>0</v>
      </c>
      <c r="E389" s="57" cm="1">
        <f t="array" ref="E38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89" s="57" cm="1">
        <f t="array" ref="F389">IF(_xlfn.XLOOKUP(CONT_SUP[[#This Row],[PayScaleCode]],PAYSCALES[PayScaleCode],PAYSCALES[AvailableToAllSchools],1,0,)=TRUE,0,IF(ISERROR(FIND(CONT_SUP[[#This Row],[SchoolCode]],_xlfn.TEXTJOIN(",",TRUE,_xlfn.UNIQUE(IF(PAYSCALES[PayScaleCode]=CONT_SUP[[#This Row],[PayScaleCode]],PAYSCALES[SchoolCodes],""))))),1,0))</f>
        <v>0</v>
      </c>
      <c r="G389" s="57">
        <f>IF(_xlfn.XLOOKUP(CONT_SUP[[#This Row],[PayScaleGradeCode]],GRADES[PayScaleGradeCode],GRADES[AvailableToAllSchools])=TRUE,0,IFERROR(IF(FIND(CONT_SUP[[#This Row],[SchoolCode]],_xlfn.XLOOKUP(CONT_SUP[[#This Row],[PayScaleGradeCode]],GRADES[PayScaleGradeCode],GRADES[SchoolCodes]))&gt;=1,0,1),1))</f>
        <v>0</v>
      </c>
      <c r="H389" s="57">
        <f>IF(ISERROR(IF((_xlfn.XLOOKUP(CONT_SUP[[#This Row],[PayScaleGradeCode]],GRADES[PayScaleGradeCode],GRADES[PayScaleCode])=CONT_SUP[[#This Row],[PayScaleCode]]),0,1)),1,0)</f>
        <v>0</v>
      </c>
      <c r="I389" s="57" cm="1">
        <f t="array" ref="I389">IF(ISERROR(FIND(CONT_SUP[[#This Row],[PayScalePointCode]],_xlfn.TEXTJOIN(",",TRUE,IF(PSPOINTS[PayScaleCode]=CONT_SUP[[#This Row],[PayScaleCode]],PSPOINTS[PayScalePointCode])))),1,0)</f>
        <v>0</v>
      </c>
      <c r="J389" s="57" cm="1">
        <f t="array" ref="J38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89" s="57">
        <f>IF(_xlfn.XLOOKUP(CONT_SUP[[#This Row],[PayScalePointCode]],PSPOINTS[PayScalePointCode],PSPOINTS[PayScalePointEnabled])=TRUE,0,1)</f>
        <v>0</v>
      </c>
      <c r="L389" s="57" cm="1">
        <f t="array" ref="L389">IF(_xlfn.XLOOKUP(CONT_SUP[[#This Row],[DepartmentCode]],DEPTS[DepartmentCode],DEPTS[AvailableToAllSchools],1,0,)=TRUE,0,IF(ISERROR(FIND(CONT_SUP[[#This Row],[SchoolCode]],_xlfn.TEXTJOIN(",",TRUE,_xlfn.UNIQUE(IF(DEPTS[DepartmentCode]=CONT_SUP[[#This Row],[DepartmentCode]],DEPTS[SchoolCodes],""))))),1,0))</f>
        <v>0</v>
      </c>
      <c r="M389" s="57">
        <f>IFERROR(IF(_xlfn.XLOOKUP(CONT_SUP[[#This Row],[SRG Gross]],FinanceCodesBudget[FinanceCode],FinanceCodesBudget[LedgerCode])=_xlfn.XLOOKUP(CONT_SUP[[#This Row],[DepartmentCode]],DEPTS[DepartmentCode],DEPTS[LedgerCode]),0,1),1)</f>
        <v>1</v>
      </c>
      <c r="N389" s="57" cm="1">
        <f t="array" ref="N389">IF(_xlfn.XLOOKUP(CONT_SUP[[#This Row],[PensionCode]],PENS[PensionCode],PENS[AvailableToAllSchools],1,0,)=TRUE,0,IF(ISERROR(FIND(CONT_SUP[[#This Row],[SchoolCode]],_xlfn.TEXTJOIN(",",TRUE,_xlfn.UNIQUE(IF(PENS[PensionCode]=CONT_SUP[[#This Row],[PensionCode]],PENS[SchoolCodes],""))))),1,0))</f>
        <v>0</v>
      </c>
      <c r="O389" s="57" cm="1">
        <f t="array" ref="O389">IF(_xlfn.XLOOKUP(CONT_SUP[[#This Row],[EquatedWeekPatternCode]],EQW[EquatedWeekPatternCode],EQW[AvailableToAllSchools],1,0,)=TRUE,0,IF(ISERROR(FIND(CONT_SUP[[#This Row],[SchoolCode]],_xlfn.TEXTJOIN(",",TRUE,_xlfn.UNIQUE(IF(EQW[EquatedWeekPatternCode]=CONT_SUP[[#This Row],[EquatedWeekPatternCode]],EQW[SchoolCodes],""))))),1,0))</f>
        <v>0</v>
      </c>
      <c r="P389" s="57">
        <f>1-COUNTIF(ContractTypes[Code],CONT_SUP[[#This Row],[ContractTypeCode]])</f>
        <v>0</v>
      </c>
      <c r="Q389" s="57">
        <f>IF(VLOOKUP(CONT_SUP[[#This Row],[StaffMemberCode]],MEMBERS[[StaffMemberCode]:[ServiceStartDate]],5,0)&gt;CONT_SUP[[#This Row],[DateFrom]],1,0)</f>
        <v>0</v>
      </c>
      <c r="R389" s="57">
        <f>IF(_xlfn.XLOOKUP(CONT_SUP[[#This Row],[StaffMemberCode]],MEMBERS[StaffMemberCode],MEMBERS[ServiceEndDate])="",0,IF(CONT_SUP[[#This Row],[DateTo]]="",1,IF(_xlfn.XLOOKUP(CONT_SUP[[#This Row],[StaffMemberCode]],MEMBERS[StaffMemberCode],MEMBERS[ServiceEndDate])&lt;CONT_SUP[[#This Row],[DateTo]],1,0)))</f>
        <v>0</v>
      </c>
      <c r="S389" s="57">
        <f>IF(ISBLANK(CONT_SUP[[#This Row],[DateTo]]),0,IF(CONT_SUP[[#This Row],[DateFrom]]=CONT_SUP[[#This Row],[DateTo]],0,IF(CONT_SUP[[#This Row],[DateFrom]]&lt;CONT_SUP[[#This Row],[DateTo]],0,1)))</f>
        <v>0</v>
      </c>
      <c r="T389" s="57" cm="1">
        <f t="array" aca="1" ref="T389" ca="1">IF(CELL("format",CONT_SUP[[#This Row],[DateFrom]])="D1",0,1)+IF(CELL("format",CONT_SUP[[#This Row],[DateTo]])="D1",0,1)</f>
        <v>0</v>
      </c>
      <c r="U389" s="57">
        <f>IF(OR(CONT_SUP[[#This Row],[MatEditOnly]]=TRUE,CONT_SUP[[#This Row],[MatEditOnly]]=FALSE),IF(OR(CONT_SUP[[#This Row],[NoIncrement]]=TRUE,CONT_SUP[[#This Row],[NoIncrement]]=FALSE),0,1),1)</f>
        <v>0</v>
      </c>
      <c r="V389" s="57">
        <f>IF(ISBLANK(CONT_SUP[[#This Row],[FundCode]])=TRUE,0,IF(COUNTIF(FUNDS[FundCode],CONT_SUP[[#This Row],[FundCode]])=1,0,1))</f>
        <v>0</v>
      </c>
      <c r="W389" s="57">
        <f>IF(LEN(CONT_SUP[[#This Row],[Notes]])&lt;4000,0,1)</f>
        <v>0</v>
      </c>
      <c r="X389" s="57">
        <f>IF(SUBSTITUTE(TEXT(CONT_SUP[[#This Row],[Reference]],10)," ","")=TEXT(CONT_SUP[[#This Row],[Reference]],10),0,1)</f>
        <v>0</v>
      </c>
      <c r="Y389" s="57">
        <f ca="1">SUM(CONT_SUP[[#This Row],[Duplicate Contract]:[Space in Code]])</f>
        <v>1</v>
      </c>
      <c r="AA389" s="12" t="s">
        <v>2126</v>
      </c>
      <c r="AB389" s="12">
        <v>10012009</v>
      </c>
      <c r="AC389" s="12">
        <v>111492</v>
      </c>
      <c r="AD389" s="57" t="str">
        <f>_xlfn.XLOOKUP(CONT_SUP[[#This Row],[StaffMemberCode]],StaffMembers!O:O,StaffMembers!R:R)</f>
        <v>Rebecca Wilson</v>
      </c>
      <c r="AE389" s="12" t="s">
        <v>1180</v>
      </c>
      <c r="AF389" s="57">
        <f>_xlfn.XLOOKUP(CONT_SUP[[#This Row],[SRG]],SRG[StaffRoleGroupCode],SRG[GrossSalaryFinanceCode])</f>
        <v>615100</v>
      </c>
      <c r="AG389" s="57" t="str">
        <f>_xlfn.XLOOKUP(CONT_SUP[[#This Row],[StaffRoleCode]],ROLES[StaffRoleCode],ROLES[StaffRoleGroupCode])</f>
        <v>TA</v>
      </c>
      <c r="AH389" s="57" t="str">
        <f>_xlfn.XLOOKUP(CONT_SUP[[#This Row],[StaffRoleCode]],ROLES[StaffRoleCode],ROLES[PayScaleCode])</f>
        <v>NJC_CHE</v>
      </c>
      <c r="AI389" s="12" t="s">
        <v>3122</v>
      </c>
      <c r="AJ389" s="12">
        <v>6</v>
      </c>
      <c r="AK389" s="12" t="s">
        <v>2497</v>
      </c>
      <c r="AM389" s="68" t="s">
        <v>3132</v>
      </c>
      <c r="AN389" s="12" t="s">
        <v>3134</v>
      </c>
      <c r="AO389" s="21">
        <v>46023</v>
      </c>
      <c r="AQ389" s="12">
        <v>31.25</v>
      </c>
      <c r="AR389" t="b">
        <v>0</v>
      </c>
      <c r="AS389" t="b">
        <v>0</v>
      </c>
      <c r="AT389" s="12" t="s">
        <v>1574</v>
      </c>
    </row>
    <row r="390" spans="1:46" x14ac:dyDescent="0.3">
      <c r="A390" s="57" t="str">
        <f t="shared" si="12"/>
        <v>MLB10013090108468TASTA46023</v>
      </c>
      <c r="B390" s="57">
        <f>COUNTIF(CONT_SUP[Unique Contract],CONT_SUP[[#This Row],[Unique Contract]])-1</f>
        <v>0</v>
      </c>
      <c r="C390" s="57">
        <f>IFERROR(IF(FIND(CONT_SUP[[#This Row],[SchoolCode]],_xlfn.XLOOKUP(CONT_SUP[[#This Row],[StaffMemberCode]],MEMBERS[StaffMemberCode],MEMBERS[SchoolCodes]))&gt;0,0,1),1)</f>
        <v>0</v>
      </c>
      <c r="D390" s="57" cm="1">
        <f t="array" ref="D390">IF(_xlfn.XLOOKUP(CONT_SUP[[#This Row],[StaffRoleCode]],ROLES[StaffRoleCode],ROLES[AvailableToAllSchools],1,0,)=TRUE,0,IF(ISERROR(FIND(CONT_SUP[[#This Row],[SchoolCode]],_xlfn.TEXTJOIN(",",TRUE,_xlfn.UNIQUE(IF(ROLES[StaffRoleCode]=CONT_SUP[[#This Row],[StaffRoleCode]],ROLES[SchoolCodes],""))))),1,0))</f>
        <v>0</v>
      </c>
      <c r="E390" s="57" cm="1">
        <f t="array" ref="E39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90" s="57" cm="1">
        <f t="array" ref="F390">IF(_xlfn.XLOOKUP(CONT_SUP[[#This Row],[PayScaleCode]],PAYSCALES[PayScaleCode],PAYSCALES[AvailableToAllSchools],1,0,)=TRUE,0,IF(ISERROR(FIND(CONT_SUP[[#This Row],[SchoolCode]],_xlfn.TEXTJOIN(",",TRUE,_xlfn.UNIQUE(IF(PAYSCALES[PayScaleCode]=CONT_SUP[[#This Row],[PayScaleCode]],PAYSCALES[SchoolCodes],""))))),1,0))</f>
        <v>0</v>
      </c>
      <c r="G390" s="57">
        <f>IF(_xlfn.XLOOKUP(CONT_SUP[[#This Row],[PayScaleGradeCode]],GRADES[PayScaleGradeCode],GRADES[AvailableToAllSchools])=TRUE,0,IFERROR(IF(FIND(CONT_SUP[[#This Row],[SchoolCode]],_xlfn.XLOOKUP(CONT_SUP[[#This Row],[PayScaleGradeCode]],GRADES[PayScaleGradeCode],GRADES[SchoolCodes]))&gt;=1,0,1),1))</f>
        <v>0</v>
      </c>
      <c r="H390" s="57">
        <f>IF(ISERROR(IF((_xlfn.XLOOKUP(CONT_SUP[[#This Row],[PayScaleGradeCode]],GRADES[PayScaleGradeCode],GRADES[PayScaleCode])=CONT_SUP[[#This Row],[PayScaleCode]]),0,1)),1,0)</f>
        <v>0</v>
      </c>
      <c r="I390" s="57" cm="1">
        <f t="array" ref="I390">IF(ISERROR(FIND(CONT_SUP[[#This Row],[PayScalePointCode]],_xlfn.TEXTJOIN(",",TRUE,IF(PSPOINTS[PayScaleCode]=CONT_SUP[[#This Row],[PayScaleCode]],PSPOINTS[PayScalePointCode])))),1,0)</f>
        <v>0</v>
      </c>
      <c r="J390" s="57" cm="1">
        <f t="array" ref="J39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90" s="57">
        <f>IF(_xlfn.XLOOKUP(CONT_SUP[[#This Row],[PayScalePointCode]],PSPOINTS[PayScalePointCode],PSPOINTS[PayScalePointEnabled])=TRUE,0,1)</f>
        <v>0</v>
      </c>
      <c r="L390" s="57" cm="1">
        <f t="array" ref="L390">IF(_xlfn.XLOOKUP(CONT_SUP[[#This Row],[DepartmentCode]],DEPTS[DepartmentCode],DEPTS[AvailableToAllSchools],1,0,)=TRUE,0,IF(ISERROR(FIND(CONT_SUP[[#This Row],[SchoolCode]],_xlfn.TEXTJOIN(",",TRUE,_xlfn.UNIQUE(IF(DEPTS[DepartmentCode]=CONT_SUP[[#This Row],[DepartmentCode]],DEPTS[SchoolCodes],""))))),1,0))</f>
        <v>0</v>
      </c>
      <c r="M390" s="57">
        <f>IFERROR(IF(_xlfn.XLOOKUP(CONT_SUP[[#This Row],[SRG Gross]],FinanceCodesBudget[FinanceCode],FinanceCodesBudget[LedgerCode])=_xlfn.XLOOKUP(CONT_SUP[[#This Row],[DepartmentCode]],DEPTS[DepartmentCode],DEPTS[LedgerCode]),0,1),1)</f>
        <v>1</v>
      </c>
      <c r="N390" s="57" cm="1">
        <f t="array" ref="N390">IF(_xlfn.XLOOKUP(CONT_SUP[[#This Row],[PensionCode]],PENS[PensionCode],PENS[AvailableToAllSchools],1,0,)=TRUE,0,IF(ISERROR(FIND(CONT_SUP[[#This Row],[SchoolCode]],_xlfn.TEXTJOIN(",",TRUE,_xlfn.UNIQUE(IF(PENS[PensionCode]=CONT_SUP[[#This Row],[PensionCode]],PENS[SchoolCodes],""))))),1,0))</f>
        <v>0</v>
      </c>
      <c r="O390" s="57" cm="1">
        <f t="array" ref="O390">IF(_xlfn.XLOOKUP(CONT_SUP[[#This Row],[EquatedWeekPatternCode]],EQW[EquatedWeekPatternCode],EQW[AvailableToAllSchools],1,0,)=TRUE,0,IF(ISERROR(FIND(CONT_SUP[[#This Row],[SchoolCode]],_xlfn.TEXTJOIN(",",TRUE,_xlfn.UNIQUE(IF(EQW[EquatedWeekPatternCode]=CONT_SUP[[#This Row],[EquatedWeekPatternCode]],EQW[SchoolCodes],""))))),1,0))</f>
        <v>0</v>
      </c>
      <c r="P390" s="57">
        <f>1-COUNTIF(ContractTypes[Code],CONT_SUP[[#This Row],[ContractTypeCode]])</f>
        <v>0</v>
      </c>
      <c r="Q390" s="57">
        <f>IF(VLOOKUP(CONT_SUP[[#This Row],[StaffMemberCode]],MEMBERS[[StaffMemberCode]:[ServiceStartDate]],5,0)&gt;CONT_SUP[[#This Row],[DateFrom]],1,0)</f>
        <v>0</v>
      </c>
      <c r="R390" s="57">
        <f>IF(_xlfn.XLOOKUP(CONT_SUP[[#This Row],[StaffMemberCode]],MEMBERS[StaffMemberCode],MEMBERS[ServiceEndDate])="",0,IF(CONT_SUP[[#This Row],[DateTo]]="",1,IF(_xlfn.XLOOKUP(CONT_SUP[[#This Row],[StaffMemberCode]],MEMBERS[StaffMemberCode],MEMBERS[ServiceEndDate])&lt;CONT_SUP[[#This Row],[DateTo]],1,0)))</f>
        <v>0</v>
      </c>
      <c r="S390" s="57">
        <f>IF(ISBLANK(CONT_SUP[[#This Row],[DateTo]]),0,IF(CONT_SUP[[#This Row],[DateFrom]]=CONT_SUP[[#This Row],[DateTo]],0,IF(CONT_SUP[[#This Row],[DateFrom]]&lt;CONT_SUP[[#This Row],[DateTo]],0,1)))</f>
        <v>0</v>
      </c>
      <c r="T390" s="57" cm="1">
        <f t="array" aca="1" ref="T390" ca="1">IF(CELL("format",CONT_SUP[[#This Row],[DateFrom]])="D1",0,1)+IF(CELL("format",CONT_SUP[[#This Row],[DateTo]])="D1",0,1)</f>
        <v>0</v>
      </c>
      <c r="U390" s="57">
        <f>IF(OR(CONT_SUP[[#This Row],[MatEditOnly]]=TRUE,CONT_SUP[[#This Row],[MatEditOnly]]=FALSE),IF(OR(CONT_SUP[[#This Row],[NoIncrement]]=TRUE,CONT_SUP[[#This Row],[NoIncrement]]=FALSE),0,1),1)</f>
        <v>0</v>
      </c>
      <c r="V390" s="57">
        <f>IF(ISBLANK(CONT_SUP[[#This Row],[FundCode]])=TRUE,0,IF(COUNTIF(FUNDS[FundCode],CONT_SUP[[#This Row],[FundCode]])=1,0,1))</f>
        <v>0</v>
      </c>
      <c r="W390" s="57">
        <f>IF(LEN(CONT_SUP[[#This Row],[Notes]])&lt;4000,0,1)</f>
        <v>0</v>
      </c>
      <c r="X390" s="57">
        <f>IF(SUBSTITUTE(TEXT(CONT_SUP[[#This Row],[Reference]],10)," ","")=TEXT(CONT_SUP[[#This Row],[Reference]],10),0,1)</f>
        <v>0</v>
      </c>
      <c r="Y390" s="57">
        <f ca="1">SUM(CONT_SUP[[#This Row],[Duplicate Contract]:[Space in Code]])</f>
        <v>1</v>
      </c>
      <c r="AA390" s="12" t="s">
        <v>2126</v>
      </c>
      <c r="AB390" s="12">
        <v>10013090</v>
      </c>
      <c r="AC390" s="12">
        <v>108468</v>
      </c>
      <c r="AD390" s="57" t="str">
        <f>_xlfn.XLOOKUP(CONT_SUP[[#This Row],[StaffMemberCode]],StaffMembers!O:O,StaffMembers!R:R)</f>
        <v>Samantha Astill</v>
      </c>
      <c r="AE390" s="12" t="s">
        <v>1180</v>
      </c>
      <c r="AF390" s="57">
        <f>_xlfn.XLOOKUP(CONT_SUP[[#This Row],[SRG]],SRG[StaffRoleGroupCode],SRG[GrossSalaryFinanceCode])</f>
        <v>615100</v>
      </c>
      <c r="AG390" s="57" t="str">
        <f>_xlfn.XLOOKUP(CONT_SUP[[#This Row],[StaffRoleCode]],ROLES[StaffRoleCode],ROLES[StaffRoleGroupCode])</f>
        <v>TA</v>
      </c>
      <c r="AH390" s="57" t="str">
        <f>_xlfn.XLOOKUP(CONT_SUP[[#This Row],[StaffRoleCode]],ROLES[StaffRoleCode],ROLES[PayScaleCode])</f>
        <v>NJC_CHE</v>
      </c>
      <c r="AI390" s="12" t="s">
        <v>3122</v>
      </c>
      <c r="AJ390" s="12">
        <v>6</v>
      </c>
      <c r="AK390" s="12" t="s">
        <v>2497</v>
      </c>
      <c r="AM390" s="68" t="s">
        <v>3132</v>
      </c>
      <c r="AN390" s="12" t="s">
        <v>3134</v>
      </c>
      <c r="AO390" s="21">
        <v>46023</v>
      </c>
      <c r="AQ390" s="12">
        <v>20</v>
      </c>
      <c r="AR390" t="b">
        <v>0</v>
      </c>
      <c r="AS390" t="b">
        <v>0</v>
      </c>
      <c r="AT390" s="12" t="s">
        <v>1574</v>
      </c>
    </row>
    <row r="391" spans="1:46" x14ac:dyDescent="0.3">
      <c r="A391" s="57" t="str">
        <f t="shared" si="12"/>
        <v>MLB10013678109338TASTA46023</v>
      </c>
      <c r="B391" s="57">
        <f>COUNTIF(CONT_SUP[Unique Contract],CONT_SUP[[#This Row],[Unique Contract]])-1</f>
        <v>0</v>
      </c>
      <c r="C391" s="57">
        <f>IFERROR(IF(FIND(CONT_SUP[[#This Row],[SchoolCode]],_xlfn.XLOOKUP(CONT_SUP[[#This Row],[StaffMemberCode]],MEMBERS[StaffMemberCode],MEMBERS[SchoolCodes]))&gt;0,0,1),1)</f>
        <v>0</v>
      </c>
      <c r="D391" s="57" cm="1">
        <f t="array" ref="D391">IF(_xlfn.XLOOKUP(CONT_SUP[[#This Row],[StaffRoleCode]],ROLES[StaffRoleCode],ROLES[AvailableToAllSchools],1,0,)=TRUE,0,IF(ISERROR(FIND(CONT_SUP[[#This Row],[SchoolCode]],_xlfn.TEXTJOIN(",",TRUE,_xlfn.UNIQUE(IF(ROLES[StaffRoleCode]=CONT_SUP[[#This Row],[StaffRoleCode]],ROLES[SchoolCodes],""))))),1,0))</f>
        <v>0</v>
      </c>
      <c r="E391" s="57" cm="1">
        <f t="array" ref="E39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91" s="57" cm="1">
        <f t="array" ref="F391">IF(_xlfn.XLOOKUP(CONT_SUP[[#This Row],[PayScaleCode]],PAYSCALES[PayScaleCode],PAYSCALES[AvailableToAllSchools],1,0,)=TRUE,0,IF(ISERROR(FIND(CONT_SUP[[#This Row],[SchoolCode]],_xlfn.TEXTJOIN(",",TRUE,_xlfn.UNIQUE(IF(PAYSCALES[PayScaleCode]=CONT_SUP[[#This Row],[PayScaleCode]],PAYSCALES[SchoolCodes],""))))),1,0))</f>
        <v>0</v>
      </c>
      <c r="G391" s="57">
        <f>IF(_xlfn.XLOOKUP(CONT_SUP[[#This Row],[PayScaleGradeCode]],GRADES[PayScaleGradeCode],GRADES[AvailableToAllSchools])=TRUE,0,IFERROR(IF(FIND(CONT_SUP[[#This Row],[SchoolCode]],_xlfn.XLOOKUP(CONT_SUP[[#This Row],[PayScaleGradeCode]],GRADES[PayScaleGradeCode],GRADES[SchoolCodes]))&gt;=1,0,1),1))</f>
        <v>0</v>
      </c>
      <c r="H391" s="57">
        <f>IF(ISERROR(IF((_xlfn.XLOOKUP(CONT_SUP[[#This Row],[PayScaleGradeCode]],GRADES[PayScaleGradeCode],GRADES[PayScaleCode])=CONT_SUP[[#This Row],[PayScaleCode]]),0,1)),1,0)</f>
        <v>0</v>
      </c>
      <c r="I391" s="57" cm="1">
        <f t="array" ref="I391">IF(ISERROR(FIND(CONT_SUP[[#This Row],[PayScalePointCode]],_xlfn.TEXTJOIN(",",TRUE,IF(PSPOINTS[PayScaleCode]=CONT_SUP[[#This Row],[PayScaleCode]],PSPOINTS[PayScalePointCode])))),1,0)</f>
        <v>0</v>
      </c>
      <c r="J391" s="57" cm="1">
        <f t="array" ref="J39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91" s="57">
        <f>IF(_xlfn.XLOOKUP(CONT_SUP[[#This Row],[PayScalePointCode]],PSPOINTS[PayScalePointCode],PSPOINTS[PayScalePointEnabled])=TRUE,0,1)</f>
        <v>0</v>
      </c>
      <c r="L391" s="57" cm="1">
        <f t="array" ref="L391">IF(_xlfn.XLOOKUP(CONT_SUP[[#This Row],[DepartmentCode]],DEPTS[DepartmentCode],DEPTS[AvailableToAllSchools],1,0,)=TRUE,0,IF(ISERROR(FIND(CONT_SUP[[#This Row],[SchoolCode]],_xlfn.TEXTJOIN(",",TRUE,_xlfn.UNIQUE(IF(DEPTS[DepartmentCode]=CONT_SUP[[#This Row],[DepartmentCode]],DEPTS[SchoolCodes],""))))),1,0))</f>
        <v>0</v>
      </c>
      <c r="M391" s="57">
        <f>IFERROR(IF(_xlfn.XLOOKUP(CONT_SUP[[#This Row],[SRG Gross]],FinanceCodesBudget[FinanceCode],FinanceCodesBudget[LedgerCode])=_xlfn.XLOOKUP(CONT_SUP[[#This Row],[DepartmentCode]],DEPTS[DepartmentCode],DEPTS[LedgerCode]),0,1),1)</f>
        <v>1</v>
      </c>
      <c r="N391" s="57" cm="1">
        <f t="array" ref="N391">IF(_xlfn.XLOOKUP(CONT_SUP[[#This Row],[PensionCode]],PENS[PensionCode],PENS[AvailableToAllSchools],1,0,)=TRUE,0,IF(ISERROR(FIND(CONT_SUP[[#This Row],[SchoolCode]],_xlfn.TEXTJOIN(",",TRUE,_xlfn.UNIQUE(IF(PENS[PensionCode]=CONT_SUP[[#This Row],[PensionCode]],PENS[SchoolCodes],""))))),1,0))</f>
        <v>0</v>
      </c>
      <c r="O391" s="57" cm="1">
        <f t="array" ref="O391">IF(_xlfn.XLOOKUP(CONT_SUP[[#This Row],[EquatedWeekPatternCode]],EQW[EquatedWeekPatternCode],EQW[AvailableToAllSchools],1,0,)=TRUE,0,IF(ISERROR(FIND(CONT_SUP[[#This Row],[SchoolCode]],_xlfn.TEXTJOIN(",",TRUE,_xlfn.UNIQUE(IF(EQW[EquatedWeekPatternCode]=CONT_SUP[[#This Row],[EquatedWeekPatternCode]],EQW[SchoolCodes],""))))),1,0))</f>
        <v>0</v>
      </c>
      <c r="P391" s="57">
        <f>1-COUNTIF(ContractTypes[Code],CONT_SUP[[#This Row],[ContractTypeCode]])</f>
        <v>0</v>
      </c>
      <c r="Q391" s="57">
        <f>IF(VLOOKUP(CONT_SUP[[#This Row],[StaffMemberCode]],MEMBERS[[StaffMemberCode]:[ServiceStartDate]],5,0)&gt;CONT_SUP[[#This Row],[DateFrom]],1,0)</f>
        <v>0</v>
      </c>
      <c r="R391" s="57">
        <f>IF(_xlfn.XLOOKUP(CONT_SUP[[#This Row],[StaffMemberCode]],MEMBERS[StaffMemberCode],MEMBERS[ServiceEndDate])="",0,IF(CONT_SUP[[#This Row],[DateTo]]="",1,IF(_xlfn.XLOOKUP(CONT_SUP[[#This Row],[StaffMemberCode]],MEMBERS[StaffMemberCode],MEMBERS[ServiceEndDate])&lt;CONT_SUP[[#This Row],[DateTo]],1,0)))</f>
        <v>0</v>
      </c>
      <c r="S391" s="57">
        <f>IF(ISBLANK(CONT_SUP[[#This Row],[DateTo]]),0,IF(CONT_SUP[[#This Row],[DateFrom]]=CONT_SUP[[#This Row],[DateTo]],0,IF(CONT_SUP[[#This Row],[DateFrom]]&lt;CONT_SUP[[#This Row],[DateTo]],0,1)))</f>
        <v>0</v>
      </c>
      <c r="T391" s="57" cm="1">
        <f t="array" aca="1" ref="T391" ca="1">IF(CELL("format",CONT_SUP[[#This Row],[DateFrom]])="D1",0,1)+IF(CELL("format",CONT_SUP[[#This Row],[DateTo]])="D1",0,1)</f>
        <v>0</v>
      </c>
      <c r="U391" s="57">
        <f>IF(OR(CONT_SUP[[#This Row],[MatEditOnly]]=TRUE,CONT_SUP[[#This Row],[MatEditOnly]]=FALSE),IF(OR(CONT_SUP[[#This Row],[NoIncrement]]=TRUE,CONT_SUP[[#This Row],[NoIncrement]]=FALSE),0,1),1)</f>
        <v>0</v>
      </c>
      <c r="V391" s="57">
        <f>IF(ISBLANK(CONT_SUP[[#This Row],[FundCode]])=TRUE,0,IF(COUNTIF(FUNDS[FundCode],CONT_SUP[[#This Row],[FundCode]])=1,0,1))</f>
        <v>0</v>
      </c>
      <c r="W391" s="57">
        <f>IF(LEN(CONT_SUP[[#This Row],[Notes]])&lt;4000,0,1)</f>
        <v>0</v>
      </c>
      <c r="X391" s="57">
        <f>IF(SUBSTITUTE(TEXT(CONT_SUP[[#This Row],[Reference]],10)," ","")=TEXT(CONT_SUP[[#This Row],[Reference]],10),0,1)</f>
        <v>0</v>
      </c>
      <c r="Y391" s="57">
        <f ca="1">SUM(CONT_SUP[[#This Row],[Duplicate Contract]:[Space in Code]])</f>
        <v>1</v>
      </c>
      <c r="AA391" s="12" t="s">
        <v>2126</v>
      </c>
      <c r="AB391" s="12">
        <v>10013678</v>
      </c>
      <c r="AC391" s="12">
        <v>109338</v>
      </c>
      <c r="AD391" s="57" t="str">
        <f>_xlfn.XLOOKUP(CONT_SUP[[#This Row],[StaffMemberCode]],StaffMembers!O:O,StaffMembers!R:R)</f>
        <v>Victoria Jennings</v>
      </c>
      <c r="AE391" s="12" t="s">
        <v>1180</v>
      </c>
      <c r="AF391" s="57">
        <f>_xlfn.XLOOKUP(CONT_SUP[[#This Row],[SRG]],SRG[StaffRoleGroupCode],SRG[GrossSalaryFinanceCode])</f>
        <v>615100</v>
      </c>
      <c r="AG391" s="57" t="str">
        <f>_xlfn.XLOOKUP(CONT_SUP[[#This Row],[StaffRoleCode]],ROLES[StaffRoleCode],ROLES[StaffRoleGroupCode])</f>
        <v>TA</v>
      </c>
      <c r="AH391" s="57" t="str">
        <f>_xlfn.XLOOKUP(CONT_SUP[[#This Row],[StaffRoleCode]],ROLES[StaffRoleCode],ROLES[PayScaleCode])</f>
        <v>NJC_CHE</v>
      </c>
      <c r="AI391" s="12" t="s">
        <v>3122</v>
      </c>
      <c r="AJ391" s="12">
        <v>6</v>
      </c>
      <c r="AK391" s="12" t="s">
        <v>2497</v>
      </c>
      <c r="AM391" s="68" t="s">
        <v>3132</v>
      </c>
      <c r="AN391" s="12" t="s">
        <v>3134</v>
      </c>
      <c r="AO391" s="21">
        <v>46023</v>
      </c>
      <c r="AQ391" s="12">
        <v>30</v>
      </c>
      <c r="AR391" t="b">
        <v>0</v>
      </c>
      <c r="AS391" t="b">
        <v>0</v>
      </c>
      <c r="AT391" s="12" t="s">
        <v>1574</v>
      </c>
    </row>
    <row r="392" spans="1:46" x14ac:dyDescent="0.3">
      <c r="A392" s="57" t="str">
        <f t="shared" si="12"/>
        <v>MLB10005127105879TASTA46023</v>
      </c>
      <c r="B392" s="57">
        <f>COUNTIF(CONT_SUP[Unique Contract],CONT_SUP[[#This Row],[Unique Contract]])-1</f>
        <v>0</v>
      </c>
      <c r="C392" s="57">
        <f>IFERROR(IF(FIND(CONT_SUP[[#This Row],[SchoolCode]],_xlfn.XLOOKUP(CONT_SUP[[#This Row],[StaffMemberCode]],MEMBERS[StaffMemberCode],MEMBERS[SchoolCodes]))&gt;0,0,1),1)</f>
        <v>0</v>
      </c>
      <c r="D392" s="57" cm="1">
        <f t="array" ref="D392">IF(_xlfn.XLOOKUP(CONT_SUP[[#This Row],[StaffRoleCode]],ROLES[StaffRoleCode],ROLES[AvailableToAllSchools],1,0,)=TRUE,0,IF(ISERROR(FIND(CONT_SUP[[#This Row],[SchoolCode]],_xlfn.TEXTJOIN(",",TRUE,_xlfn.UNIQUE(IF(ROLES[StaffRoleCode]=CONT_SUP[[#This Row],[StaffRoleCode]],ROLES[SchoolCodes],""))))),1,0))</f>
        <v>0</v>
      </c>
      <c r="E392" s="57" cm="1">
        <f t="array" ref="E39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92" s="57" cm="1">
        <f t="array" ref="F392">IF(_xlfn.XLOOKUP(CONT_SUP[[#This Row],[PayScaleCode]],PAYSCALES[PayScaleCode],PAYSCALES[AvailableToAllSchools],1,0,)=TRUE,0,IF(ISERROR(FIND(CONT_SUP[[#This Row],[SchoolCode]],_xlfn.TEXTJOIN(",",TRUE,_xlfn.UNIQUE(IF(PAYSCALES[PayScaleCode]=CONT_SUP[[#This Row],[PayScaleCode]],PAYSCALES[SchoolCodes],""))))),1,0))</f>
        <v>0</v>
      </c>
      <c r="G392" s="57">
        <f>IF(_xlfn.XLOOKUP(CONT_SUP[[#This Row],[PayScaleGradeCode]],GRADES[PayScaleGradeCode],GRADES[AvailableToAllSchools])=TRUE,0,IFERROR(IF(FIND(CONT_SUP[[#This Row],[SchoolCode]],_xlfn.XLOOKUP(CONT_SUP[[#This Row],[PayScaleGradeCode]],GRADES[PayScaleGradeCode],GRADES[SchoolCodes]))&gt;=1,0,1),1))</f>
        <v>0</v>
      </c>
      <c r="H392" s="57">
        <f>IF(ISERROR(IF((_xlfn.XLOOKUP(CONT_SUP[[#This Row],[PayScaleGradeCode]],GRADES[PayScaleGradeCode],GRADES[PayScaleCode])=CONT_SUP[[#This Row],[PayScaleCode]]),0,1)),1,0)</f>
        <v>0</v>
      </c>
      <c r="I392" s="57" cm="1">
        <f t="array" ref="I392">IF(ISERROR(FIND(CONT_SUP[[#This Row],[PayScalePointCode]],_xlfn.TEXTJOIN(",",TRUE,IF(PSPOINTS[PayScaleCode]=CONT_SUP[[#This Row],[PayScaleCode]],PSPOINTS[PayScalePointCode])))),1,0)</f>
        <v>0</v>
      </c>
      <c r="J392" s="57" cm="1">
        <f t="array" ref="J39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92" s="57">
        <f>IF(_xlfn.XLOOKUP(CONT_SUP[[#This Row],[PayScalePointCode]],PSPOINTS[PayScalePointCode],PSPOINTS[PayScalePointEnabled])=TRUE,0,1)</f>
        <v>0</v>
      </c>
      <c r="L392" s="57" cm="1">
        <f t="array" ref="L392">IF(_xlfn.XLOOKUP(CONT_SUP[[#This Row],[DepartmentCode]],DEPTS[DepartmentCode],DEPTS[AvailableToAllSchools],1,0,)=TRUE,0,IF(ISERROR(FIND(CONT_SUP[[#This Row],[SchoolCode]],_xlfn.TEXTJOIN(",",TRUE,_xlfn.UNIQUE(IF(DEPTS[DepartmentCode]=CONT_SUP[[#This Row],[DepartmentCode]],DEPTS[SchoolCodes],""))))),1,0))</f>
        <v>0</v>
      </c>
      <c r="M392" s="57">
        <f>IFERROR(IF(_xlfn.XLOOKUP(CONT_SUP[[#This Row],[SRG Gross]],FinanceCodesBudget[FinanceCode],FinanceCodesBudget[LedgerCode])=_xlfn.XLOOKUP(CONT_SUP[[#This Row],[DepartmentCode]],DEPTS[DepartmentCode],DEPTS[LedgerCode]),0,1),1)</f>
        <v>1</v>
      </c>
      <c r="N392" s="57" cm="1">
        <f t="array" ref="N392">IF(_xlfn.XLOOKUP(CONT_SUP[[#This Row],[PensionCode]],PENS[PensionCode],PENS[AvailableToAllSchools],1,0,)=TRUE,0,IF(ISERROR(FIND(CONT_SUP[[#This Row],[SchoolCode]],_xlfn.TEXTJOIN(",",TRUE,_xlfn.UNIQUE(IF(PENS[PensionCode]=CONT_SUP[[#This Row],[PensionCode]],PENS[SchoolCodes],""))))),1,0))</f>
        <v>0</v>
      </c>
      <c r="O392" s="57" cm="1">
        <f t="array" ref="O392">IF(_xlfn.XLOOKUP(CONT_SUP[[#This Row],[EquatedWeekPatternCode]],EQW[EquatedWeekPatternCode],EQW[AvailableToAllSchools],1,0,)=TRUE,0,IF(ISERROR(FIND(CONT_SUP[[#This Row],[SchoolCode]],_xlfn.TEXTJOIN(",",TRUE,_xlfn.UNIQUE(IF(EQW[EquatedWeekPatternCode]=CONT_SUP[[#This Row],[EquatedWeekPatternCode]],EQW[SchoolCodes],""))))),1,0))</f>
        <v>0</v>
      </c>
      <c r="P392" s="57">
        <f>1-COUNTIF(ContractTypes[Code],CONT_SUP[[#This Row],[ContractTypeCode]])</f>
        <v>0</v>
      </c>
      <c r="Q392" s="57">
        <f>IF(VLOOKUP(CONT_SUP[[#This Row],[StaffMemberCode]],MEMBERS[[StaffMemberCode]:[ServiceStartDate]],5,0)&gt;CONT_SUP[[#This Row],[DateFrom]],1,0)</f>
        <v>0</v>
      </c>
      <c r="R392" s="57">
        <f>IF(_xlfn.XLOOKUP(CONT_SUP[[#This Row],[StaffMemberCode]],MEMBERS[StaffMemberCode],MEMBERS[ServiceEndDate])="",0,IF(CONT_SUP[[#This Row],[DateTo]]="",1,IF(_xlfn.XLOOKUP(CONT_SUP[[#This Row],[StaffMemberCode]],MEMBERS[StaffMemberCode],MEMBERS[ServiceEndDate])&lt;CONT_SUP[[#This Row],[DateTo]],1,0)))</f>
        <v>0</v>
      </c>
      <c r="S392" s="57">
        <f>IF(ISBLANK(CONT_SUP[[#This Row],[DateTo]]),0,IF(CONT_SUP[[#This Row],[DateFrom]]=CONT_SUP[[#This Row],[DateTo]],0,IF(CONT_SUP[[#This Row],[DateFrom]]&lt;CONT_SUP[[#This Row],[DateTo]],0,1)))</f>
        <v>0</v>
      </c>
      <c r="T392" s="57" cm="1">
        <f t="array" aca="1" ref="T392" ca="1">IF(CELL("format",CONT_SUP[[#This Row],[DateFrom]])="D1",0,1)+IF(CELL("format",CONT_SUP[[#This Row],[DateTo]])="D1",0,1)</f>
        <v>0</v>
      </c>
      <c r="U392" s="57">
        <f>IF(OR(CONT_SUP[[#This Row],[MatEditOnly]]=TRUE,CONT_SUP[[#This Row],[MatEditOnly]]=FALSE),IF(OR(CONT_SUP[[#This Row],[NoIncrement]]=TRUE,CONT_SUP[[#This Row],[NoIncrement]]=FALSE),0,1),1)</f>
        <v>0</v>
      </c>
      <c r="V392" s="57">
        <f>IF(ISBLANK(CONT_SUP[[#This Row],[FundCode]])=TRUE,0,IF(COUNTIF(FUNDS[FundCode],CONT_SUP[[#This Row],[FundCode]])=1,0,1))</f>
        <v>0</v>
      </c>
      <c r="W392" s="57">
        <f>IF(LEN(CONT_SUP[[#This Row],[Notes]])&lt;4000,0,1)</f>
        <v>0</v>
      </c>
      <c r="X392" s="57">
        <f>IF(SUBSTITUTE(TEXT(CONT_SUP[[#This Row],[Reference]],10)," ","")=TEXT(CONT_SUP[[#This Row],[Reference]],10),0,1)</f>
        <v>0</v>
      </c>
      <c r="Y392" s="57">
        <f ca="1">SUM(CONT_SUP[[#This Row],[Duplicate Contract]:[Space in Code]])</f>
        <v>1</v>
      </c>
      <c r="AA392" s="12" t="s">
        <v>2126</v>
      </c>
      <c r="AB392" s="12">
        <v>10005127</v>
      </c>
      <c r="AC392" s="12">
        <v>105879</v>
      </c>
      <c r="AD392" s="57" t="str">
        <f>_xlfn.XLOOKUP(CONT_SUP[[#This Row],[StaffMemberCode]],StaffMembers!O:O,StaffMembers!R:R)</f>
        <v>Louisa Woodbine</v>
      </c>
      <c r="AE392" s="12" t="s">
        <v>1180</v>
      </c>
      <c r="AF392" s="57">
        <f>_xlfn.XLOOKUP(CONT_SUP[[#This Row],[SRG]],SRG[StaffRoleGroupCode],SRG[GrossSalaryFinanceCode])</f>
        <v>615100</v>
      </c>
      <c r="AG392" s="57" t="str">
        <f>_xlfn.XLOOKUP(CONT_SUP[[#This Row],[StaffRoleCode]],ROLES[StaffRoleCode],ROLES[StaffRoleGroupCode])</f>
        <v>TA</v>
      </c>
      <c r="AH392" s="57" t="str">
        <f>_xlfn.XLOOKUP(CONT_SUP[[#This Row],[StaffRoleCode]],ROLES[StaffRoleCode],ROLES[PayScaleCode])</f>
        <v>NJC_CHE</v>
      </c>
      <c r="AI392" s="12" t="s">
        <v>3122</v>
      </c>
      <c r="AJ392" s="12">
        <v>6</v>
      </c>
      <c r="AK392" s="12" t="s">
        <v>2497</v>
      </c>
      <c r="AM392" s="68" t="s">
        <v>3132</v>
      </c>
      <c r="AN392" s="12" t="s">
        <v>3134</v>
      </c>
      <c r="AO392" s="21">
        <v>46023</v>
      </c>
      <c r="AQ392" s="12">
        <v>28.75</v>
      </c>
      <c r="AR392" t="b">
        <v>0</v>
      </c>
      <c r="AS392" t="b">
        <v>0</v>
      </c>
      <c r="AT392" s="12" t="s">
        <v>1574</v>
      </c>
    </row>
    <row r="393" spans="1:46" x14ac:dyDescent="0.3">
      <c r="A393" s="57" t="str">
        <f t="shared" si="12"/>
        <v>MLB10006093106955TASTA46023</v>
      </c>
      <c r="B393" s="57">
        <f>COUNTIF(CONT_SUP[Unique Contract],CONT_SUP[[#This Row],[Unique Contract]])-1</f>
        <v>0</v>
      </c>
      <c r="C393" s="57">
        <f>IFERROR(IF(FIND(CONT_SUP[[#This Row],[SchoolCode]],_xlfn.XLOOKUP(CONT_SUP[[#This Row],[StaffMemberCode]],MEMBERS[StaffMemberCode],MEMBERS[SchoolCodes]))&gt;0,0,1),1)</f>
        <v>0</v>
      </c>
      <c r="D393" s="57" cm="1">
        <f t="array" ref="D393">IF(_xlfn.XLOOKUP(CONT_SUP[[#This Row],[StaffRoleCode]],ROLES[StaffRoleCode],ROLES[AvailableToAllSchools],1,0,)=TRUE,0,IF(ISERROR(FIND(CONT_SUP[[#This Row],[SchoolCode]],_xlfn.TEXTJOIN(",",TRUE,_xlfn.UNIQUE(IF(ROLES[StaffRoleCode]=CONT_SUP[[#This Row],[StaffRoleCode]],ROLES[SchoolCodes],""))))),1,0))</f>
        <v>0</v>
      </c>
      <c r="E393" s="57" cm="1">
        <f t="array" ref="E393">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93" s="57" cm="1">
        <f t="array" ref="F393">IF(_xlfn.XLOOKUP(CONT_SUP[[#This Row],[PayScaleCode]],PAYSCALES[PayScaleCode],PAYSCALES[AvailableToAllSchools],1,0,)=TRUE,0,IF(ISERROR(FIND(CONT_SUP[[#This Row],[SchoolCode]],_xlfn.TEXTJOIN(",",TRUE,_xlfn.UNIQUE(IF(PAYSCALES[PayScaleCode]=CONT_SUP[[#This Row],[PayScaleCode]],PAYSCALES[SchoolCodes],""))))),1,0))</f>
        <v>0</v>
      </c>
      <c r="G393" s="57">
        <f>IF(_xlfn.XLOOKUP(CONT_SUP[[#This Row],[PayScaleGradeCode]],GRADES[PayScaleGradeCode],GRADES[AvailableToAllSchools])=TRUE,0,IFERROR(IF(FIND(CONT_SUP[[#This Row],[SchoolCode]],_xlfn.XLOOKUP(CONT_SUP[[#This Row],[PayScaleGradeCode]],GRADES[PayScaleGradeCode],GRADES[SchoolCodes]))&gt;=1,0,1),1))</f>
        <v>0</v>
      </c>
      <c r="H393" s="57">
        <f>IF(ISERROR(IF((_xlfn.XLOOKUP(CONT_SUP[[#This Row],[PayScaleGradeCode]],GRADES[PayScaleGradeCode],GRADES[PayScaleCode])=CONT_SUP[[#This Row],[PayScaleCode]]),0,1)),1,0)</f>
        <v>0</v>
      </c>
      <c r="I393" s="57" cm="1">
        <f t="array" ref="I393">IF(ISERROR(FIND(CONT_SUP[[#This Row],[PayScalePointCode]],_xlfn.TEXTJOIN(",",TRUE,IF(PSPOINTS[PayScaleCode]=CONT_SUP[[#This Row],[PayScaleCode]],PSPOINTS[PayScalePointCode])))),1,0)</f>
        <v>0</v>
      </c>
      <c r="J393" s="57" cm="1">
        <f t="array" ref="J39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93" s="57">
        <f>IF(_xlfn.XLOOKUP(CONT_SUP[[#This Row],[PayScalePointCode]],PSPOINTS[PayScalePointCode],PSPOINTS[PayScalePointEnabled])=TRUE,0,1)</f>
        <v>0</v>
      </c>
      <c r="L393" s="57" cm="1">
        <f t="array" ref="L393">IF(_xlfn.XLOOKUP(CONT_SUP[[#This Row],[DepartmentCode]],DEPTS[DepartmentCode],DEPTS[AvailableToAllSchools],1,0,)=TRUE,0,IF(ISERROR(FIND(CONT_SUP[[#This Row],[SchoolCode]],_xlfn.TEXTJOIN(",",TRUE,_xlfn.UNIQUE(IF(DEPTS[DepartmentCode]=CONT_SUP[[#This Row],[DepartmentCode]],DEPTS[SchoolCodes],""))))),1,0))</f>
        <v>0</v>
      </c>
      <c r="M393" s="57">
        <f>IFERROR(IF(_xlfn.XLOOKUP(CONT_SUP[[#This Row],[SRG Gross]],FinanceCodesBudget[FinanceCode],FinanceCodesBudget[LedgerCode])=_xlfn.XLOOKUP(CONT_SUP[[#This Row],[DepartmentCode]],DEPTS[DepartmentCode],DEPTS[LedgerCode]),0,1),1)</f>
        <v>1</v>
      </c>
      <c r="N393" s="57" cm="1">
        <f t="array" ref="N393">IF(_xlfn.XLOOKUP(CONT_SUP[[#This Row],[PensionCode]],PENS[PensionCode],PENS[AvailableToAllSchools],1,0,)=TRUE,0,IF(ISERROR(FIND(CONT_SUP[[#This Row],[SchoolCode]],_xlfn.TEXTJOIN(",",TRUE,_xlfn.UNIQUE(IF(PENS[PensionCode]=CONT_SUP[[#This Row],[PensionCode]],PENS[SchoolCodes],""))))),1,0))</f>
        <v>0</v>
      </c>
      <c r="O393" s="57" cm="1">
        <f t="array" ref="O393">IF(_xlfn.XLOOKUP(CONT_SUP[[#This Row],[EquatedWeekPatternCode]],EQW[EquatedWeekPatternCode],EQW[AvailableToAllSchools],1,0,)=TRUE,0,IF(ISERROR(FIND(CONT_SUP[[#This Row],[SchoolCode]],_xlfn.TEXTJOIN(",",TRUE,_xlfn.UNIQUE(IF(EQW[EquatedWeekPatternCode]=CONT_SUP[[#This Row],[EquatedWeekPatternCode]],EQW[SchoolCodes],""))))),1,0))</f>
        <v>0</v>
      </c>
      <c r="P393" s="57">
        <f>1-COUNTIF(ContractTypes[Code],CONT_SUP[[#This Row],[ContractTypeCode]])</f>
        <v>0</v>
      </c>
      <c r="Q393" s="57">
        <f>IF(VLOOKUP(CONT_SUP[[#This Row],[StaffMemberCode]],MEMBERS[[StaffMemberCode]:[ServiceStartDate]],5,0)&gt;CONT_SUP[[#This Row],[DateFrom]],1,0)</f>
        <v>0</v>
      </c>
      <c r="R393" s="57">
        <f>IF(_xlfn.XLOOKUP(CONT_SUP[[#This Row],[StaffMemberCode]],MEMBERS[StaffMemberCode],MEMBERS[ServiceEndDate])="",0,IF(CONT_SUP[[#This Row],[DateTo]]="",1,IF(_xlfn.XLOOKUP(CONT_SUP[[#This Row],[StaffMemberCode]],MEMBERS[StaffMemberCode],MEMBERS[ServiceEndDate])&lt;CONT_SUP[[#This Row],[DateTo]],1,0)))</f>
        <v>0</v>
      </c>
      <c r="S393" s="57">
        <f>IF(ISBLANK(CONT_SUP[[#This Row],[DateTo]]),0,IF(CONT_SUP[[#This Row],[DateFrom]]=CONT_SUP[[#This Row],[DateTo]],0,IF(CONT_SUP[[#This Row],[DateFrom]]&lt;CONT_SUP[[#This Row],[DateTo]],0,1)))</f>
        <v>0</v>
      </c>
      <c r="T393" s="57" cm="1">
        <f t="array" aca="1" ref="T393" ca="1">IF(CELL("format",CONT_SUP[[#This Row],[DateFrom]])="D1",0,1)+IF(CELL("format",CONT_SUP[[#This Row],[DateTo]])="D1",0,1)</f>
        <v>0</v>
      </c>
      <c r="U393" s="57">
        <f>IF(OR(CONT_SUP[[#This Row],[MatEditOnly]]=TRUE,CONT_SUP[[#This Row],[MatEditOnly]]=FALSE),IF(OR(CONT_SUP[[#This Row],[NoIncrement]]=TRUE,CONT_SUP[[#This Row],[NoIncrement]]=FALSE),0,1),1)</f>
        <v>0</v>
      </c>
      <c r="V393" s="57">
        <f>IF(ISBLANK(CONT_SUP[[#This Row],[FundCode]])=TRUE,0,IF(COUNTIF(FUNDS[FundCode],CONT_SUP[[#This Row],[FundCode]])=1,0,1))</f>
        <v>0</v>
      </c>
      <c r="W393" s="57">
        <f>IF(LEN(CONT_SUP[[#This Row],[Notes]])&lt;4000,0,1)</f>
        <v>0</v>
      </c>
      <c r="X393" s="57">
        <f>IF(SUBSTITUTE(TEXT(CONT_SUP[[#This Row],[Reference]],10)," ","")=TEXT(CONT_SUP[[#This Row],[Reference]],10),0,1)</f>
        <v>0</v>
      </c>
      <c r="Y393" s="57">
        <f ca="1">SUM(CONT_SUP[[#This Row],[Duplicate Contract]:[Space in Code]])</f>
        <v>1</v>
      </c>
      <c r="AA393" s="12" t="s">
        <v>2126</v>
      </c>
      <c r="AB393" s="12">
        <v>10006093</v>
      </c>
      <c r="AC393" s="12">
        <v>106955</v>
      </c>
      <c r="AD393" s="57" t="str">
        <f>_xlfn.XLOOKUP(CONT_SUP[[#This Row],[StaffMemberCode]],StaffMembers!O:O,StaffMembers!R:R)</f>
        <v>Pamela Cleary</v>
      </c>
      <c r="AE393" s="12" t="s">
        <v>1180</v>
      </c>
      <c r="AF393" s="57">
        <f>_xlfn.XLOOKUP(CONT_SUP[[#This Row],[SRG]],SRG[StaffRoleGroupCode],SRG[GrossSalaryFinanceCode])</f>
        <v>615100</v>
      </c>
      <c r="AG393" s="57" t="str">
        <f>_xlfn.XLOOKUP(CONT_SUP[[#This Row],[StaffRoleCode]],ROLES[StaffRoleCode],ROLES[StaffRoleGroupCode])</f>
        <v>TA</v>
      </c>
      <c r="AH393" s="57" t="str">
        <f>_xlfn.XLOOKUP(CONT_SUP[[#This Row],[StaffRoleCode]],ROLES[StaffRoleCode],ROLES[PayScaleCode])</f>
        <v>NJC_CHE</v>
      </c>
      <c r="AI393" s="12" t="s">
        <v>3122</v>
      </c>
      <c r="AJ393" s="12">
        <v>6</v>
      </c>
      <c r="AK393" s="12" t="s">
        <v>2497</v>
      </c>
      <c r="AM393" s="68" t="s">
        <v>3132</v>
      </c>
      <c r="AN393" s="12" t="s">
        <v>3134</v>
      </c>
      <c r="AO393" s="21">
        <v>46023</v>
      </c>
      <c r="AQ393" s="12">
        <v>26</v>
      </c>
      <c r="AR393" t="b">
        <v>0</v>
      </c>
      <c r="AS393" t="b">
        <v>0</v>
      </c>
      <c r="AT393" s="12" t="s">
        <v>1574</v>
      </c>
    </row>
    <row r="394" spans="1:46" x14ac:dyDescent="0.3">
      <c r="A394" s="57" t="str">
        <f t="shared" si="12"/>
        <v>MLB10013662113628TASTA46023</v>
      </c>
      <c r="B394" s="57">
        <f>COUNTIF(CONT_SUP[Unique Contract],CONT_SUP[[#This Row],[Unique Contract]])-1</f>
        <v>0</v>
      </c>
      <c r="C394" s="57">
        <f>IFERROR(IF(FIND(CONT_SUP[[#This Row],[SchoolCode]],_xlfn.XLOOKUP(CONT_SUP[[#This Row],[StaffMemberCode]],MEMBERS[StaffMemberCode],MEMBERS[SchoolCodes]))&gt;0,0,1),1)</f>
        <v>0</v>
      </c>
      <c r="D394" s="57" cm="1">
        <f t="array" ref="D394">IF(_xlfn.XLOOKUP(CONT_SUP[[#This Row],[StaffRoleCode]],ROLES[StaffRoleCode],ROLES[AvailableToAllSchools],1,0,)=TRUE,0,IF(ISERROR(FIND(CONT_SUP[[#This Row],[SchoolCode]],_xlfn.TEXTJOIN(",",TRUE,_xlfn.UNIQUE(IF(ROLES[StaffRoleCode]=CONT_SUP[[#This Row],[StaffRoleCode]],ROLES[SchoolCodes],""))))),1,0))</f>
        <v>0</v>
      </c>
      <c r="E394" s="57" cm="1">
        <f t="array" ref="E394">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94" s="57" cm="1">
        <f t="array" ref="F394">IF(_xlfn.XLOOKUP(CONT_SUP[[#This Row],[PayScaleCode]],PAYSCALES[PayScaleCode],PAYSCALES[AvailableToAllSchools],1,0,)=TRUE,0,IF(ISERROR(FIND(CONT_SUP[[#This Row],[SchoolCode]],_xlfn.TEXTJOIN(",",TRUE,_xlfn.UNIQUE(IF(PAYSCALES[PayScaleCode]=CONT_SUP[[#This Row],[PayScaleCode]],PAYSCALES[SchoolCodes],""))))),1,0))</f>
        <v>0</v>
      </c>
      <c r="G394" s="57">
        <f>IF(_xlfn.XLOOKUP(CONT_SUP[[#This Row],[PayScaleGradeCode]],GRADES[PayScaleGradeCode],GRADES[AvailableToAllSchools])=TRUE,0,IFERROR(IF(FIND(CONT_SUP[[#This Row],[SchoolCode]],_xlfn.XLOOKUP(CONT_SUP[[#This Row],[PayScaleGradeCode]],GRADES[PayScaleGradeCode],GRADES[SchoolCodes]))&gt;=1,0,1),1))</f>
        <v>0</v>
      </c>
      <c r="H394" s="57">
        <f>IF(ISERROR(IF((_xlfn.XLOOKUP(CONT_SUP[[#This Row],[PayScaleGradeCode]],GRADES[PayScaleGradeCode],GRADES[PayScaleCode])=CONT_SUP[[#This Row],[PayScaleCode]]),0,1)),1,0)</f>
        <v>0</v>
      </c>
      <c r="I394" s="57" cm="1">
        <f t="array" ref="I394">IF(ISERROR(FIND(CONT_SUP[[#This Row],[PayScalePointCode]],_xlfn.TEXTJOIN(",",TRUE,IF(PSPOINTS[PayScaleCode]=CONT_SUP[[#This Row],[PayScaleCode]],PSPOINTS[PayScalePointCode])))),1,0)</f>
        <v>0</v>
      </c>
      <c r="J394" s="57" cm="1">
        <f t="array" ref="J394">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94" s="57">
        <f>IF(_xlfn.XLOOKUP(CONT_SUP[[#This Row],[PayScalePointCode]],PSPOINTS[PayScalePointCode],PSPOINTS[PayScalePointEnabled])=TRUE,0,1)</f>
        <v>0</v>
      </c>
      <c r="L394" s="57" cm="1">
        <f t="array" ref="L394">IF(_xlfn.XLOOKUP(CONT_SUP[[#This Row],[DepartmentCode]],DEPTS[DepartmentCode],DEPTS[AvailableToAllSchools],1,0,)=TRUE,0,IF(ISERROR(FIND(CONT_SUP[[#This Row],[SchoolCode]],_xlfn.TEXTJOIN(",",TRUE,_xlfn.UNIQUE(IF(DEPTS[DepartmentCode]=CONT_SUP[[#This Row],[DepartmentCode]],DEPTS[SchoolCodes],""))))),1,0))</f>
        <v>0</v>
      </c>
      <c r="M394" s="57">
        <f>IFERROR(IF(_xlfn.XLOOKUP(CONT_SUP[[#This Row],[SRG Gross]],FinanceCodesBudget[FinanceCode],FinanceCodesBudget[LedgerCode])=_xlfn.XLOOKUP(CONT_SUP[[#This Row],[DepartmentCode]],DEPTS[DepartmentCode],DEPTS[LedgerCode]),0,1),1)</f>
        <v>1</v>
      </c>
      <c r="N394" s="57" cm="1">
        <f t="array" ref="N394">IF(_xlfn.XLOOKUP(CONT_SUP[[#This Row],[PensionCode]],PENS[PensionCode],PENS[AvailableToAllSchools],1,0,)=TRUE,0,IF(ISERROR(FIND(CONT_SUP[[#This Row],[SchoolCode]],_xlfn.TEXTJOIN(",",TRUE,_xlfn.UNIQUE(IF(PENS[PensionCode]=CONT_SUP[[#This Row],[PensionCode]],PENS[SchoolCodes],""))))),1,0))</f>
        <v>0</v>
      </c>
      <c r="O394" s="57" cm="1">
        <f t="array" ref="O394">IF(_xlfn.XLOOKUP(CONT_SUP[[#This Row],[EquatedWeekPatternCode]],EQW[EquatedWeekPatternCode],EQW[AvailableToAllSchools],1,0,)=TRUE,0,IF(ISERROR(FIND(CONT_SUP[[#This Row],[SchoolCode]],_xlfn.TEXTJOIN(",",TRUE,_xlfn.UNIQUE(IF(EQW[EquatedWeekPatternCode]=CONT_SUP[[#This Row],[EquatedWeekPatternCode]],EQW[SchoolCodes],""))))),1,0))</f>
        <v>0</v>
      </c>
      <c r="P394" s="57">
        <f>1-COUNTIF(ContractTypes[Code],CONT_SUP[[#This Row],[ContractTypeCode]])</f>
        <v>0</v>
      </c>
      <c r="Q394" s="57">
        <f>IF(VLOOKUP(CONT_SUP[[#This Row],[StaffMemberCode]],MEMBERS[[StaffMemberCode]:[ServiceStartDate]],5,0)&gt;CONT_SUP[[#This Row],[DateFrom]],1,0)</f>
        <v>0</v>
      </c>
      <c r="R394" s="57">
        <f>IF(_xlfn.XLOOKUP(CONT_SUP[[#This Row],[StaffMemberCode]],MEMBERS[StaffMemberCode],MEMBERS[ServiceEndDate])="",0,IF(CONT_SUP[[#This Row],[DateTo]]="",1,IF(_xlfn.XLOOKUP(CONT_SUP[[#This Row],[StaffMemberCode]],MEMBERS[StaffMemberCode],MEMBERS[ServiceEndDate])&lt;CONT_SUP[[#This Row],[DateTo]],1,0)))</f>
        <v>0</v>
      </c>
      <c r="S394" s="57">
        <f>IF(ISBLANK(CONT_SUP[[#This Row],[DateTo]]),0,IF(CONT_SUP[[#This Row],[DateFrom]]=CONT_SUP[[#This Row],[DateTo]],0,IF(CONT_SUP[[#This Row],[DateFrom]]&lt;CONT_SUP[[#This Row],[DateTo]],0,1)))</f>
        <v>0</v>
      </c>
      <c r="T394" s="57" cm="1">
        <f t="array" aca="1" ref="T394" ca="1">IF(CELL("format",CONT_SUP[[#This Row],[DateFrom]])="D1",0,1)+IF(CELL("format",CONT_SUP[[#This Row],[DateTo]])="D1",0,1)</f>
        <v>0</v>
      </c>
      <c r="U394" s="57">
        <f>IF(OR(CONT_SUP[[#This Row],[MatEditOnly]]=TRUE,CONT_SUP[[#This Row],[MatEditOnly]]=FALSE),IF(OR(CONT_SUP[[#This Row],[NoIncrement]]=TRUE,CONT_SUP[[#This Row],[NoIncrement]]=FALSE),0,1),1)</f>
        <v>0</v>
      </c>
      <c r="V394" s="57">
        <f>IF(ISBLANK(CONT_SUP[[#This Row],[FundCode]])=TRUE,0,IF(COUNTIF(FUNDS[FundCode],CONT_SUP[[#This Row],[FundCode]])=1,0,1))</f>
        <v>0</v>
      </c>
      <c r="W394" s="57">
        <f>IF(LEN(CONT_SUP[[#This Row],[Notes]])&lt;4000,0,1)</f>
        <v>0</v>
      </c>
      <c r="X394" s="57">
        <f>IF(SUBSTITUTE(TEXT(CONT_SUP[[#This Row],[Reference]],10)," ","")=TEXT(CONT_SUP[[#This Row],[Reference]],10),0,1)</f>
        <v>0</v>
      </c>
      <c r="Y394" s="57">
        <f ca="1">SUM(CONT_SUP[[#This Row],[Duplicate Contract]:[Space in Code]])</f>
        <v>1</v>
      </c>
      <c r="AA394" s="12" t="s">
        <v>2126</v>
      </c>
      <c r="AB394" s="12">
        <v>10013662</v>
      </c>
      <c r="AC394" s="12">
        <v>113628</v>
      </c>
      <c r="AD394" s="57" t="str">
        <f>_xlfn.XLOOKUP(CONT_SUP[[#This Row],[StaffMemberCode]],StaffMembers!O:O,StaffMembers!R:R)</f>
        <v>Neal Robinson</v>
      </c>
      <c r="AE394" s="12" t="s">
        <v>1180</v>
      </c>
      <c r="AF394" s="57">
        <f>_xlfn.XLOOKUP(CONT_SUP[[#This Row],[SRG]],SRG[StaffRoleGroupCode],SRG[GrossSalaryFinanceCode])</f>
        <v>615100</v>
      </c>
      <c r="AG394" s="57" t="str">
        <f>_xlfn.XLOOKUP(CONT_SUP[[#This Row],[StaffRoleCode]],ROLES[StaffRoleCode],ROLES[StaffRoleGroupCode])</f>
        <v>TA</v>
      </c>
      <c r="AH394" s="57" t="str">
        <f>_xlfn.XLOOKUP(CONT_SUP[[#This Row],[StaffRoleCode]],ROLES[StaffRoleCode],ROLES[PayScaleCode])</f>
        <v>NJC_CHE</v>
      </c>
      <c r="AI394" s="12" t="s">
        <v>3122</v>
      </c>
      <c r="AJ394" s="12">
        <v>6</v>
      </c>
      <c r="AK394" s="12" t="s">
        <v>2497</v>
      </c>
      <c r="AM394" s="68" t="s">
        <v>1149</v>
      </c>
      <c r="AN394" s="12" t="s">
        <v>3134</v>
      </c>
      <c r="AO394" s="21">
        <v>46023</v>
      </c>
      <c r="AQ394" s="12">
        <v>31.25</v>
      </c>
      <c r="AR394" t="b">
        <v>0</v>
      </c>
      <c r="AS394" t="b">
        <v>0</v>
      </c>
      <c r="AT394" s="12" t="s">
        <v>1574</v>
      </c>
    </row>
    <row r="395" spans="1:46" x14ac:dyDescent="0.3">
      <c r="A395" s="57" t="str">
        <f t="shared" si="12"/>
        <v>MLB10010793110828TASTA46023</v>
      </c>
      <c r="B395" s="57">
        <f>COUNTIF(CONT_SUP[Unique Contract],CONT_SUP[[#This Row],[Unique Contract]])-1</f>
        <v>0</v>
      </c>
      <c r="C395" s="57">
        <f>IFERROR(IF(FIND(CONT_SUP[[#This Row],[SchoolCode]],_xlfn.XLOOKUP(CONT_SUP[[#This Row],[StaffMemberCode]],MEMBERS[StaffMemberCode],MEMBERS[SchoolCodes]))&gt;0,0,1),1)</f>
        <v>0</v>
      </c>
      <c r="D395" s="57" cm="1">
        <f t="array" ref="D395">IF(_xlfn.XLOOKUP(CONT_SUP[[#This Row],[StaffRoleCode]],ROLES[StaffRoleCode],ROLES[AvailableToAllSchools],1,0,)=TRUE,0,IF(ISERROR(FIND(CONT_SUP[[#This Row],[SchoolCode]],_xlfn.TEXTJOIN(",",TRUE,_xlfn.UNIQUE(IF(ROLES[StaffRoleCode]=CONT_SUP[[#This Row],[StaffRoleCode]],ROLES[SchoolCodes],""))))),1,0))</f>
        <v>0</v>
      </c>
      <c r="E395" s="57" cm="1">
        <f t="array" ref="E395">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95" s="57" cm="1">
        <f t="array" ref="F395">IF(_xlfn.XLOOKUP(CONT_SUP[[#This Row],[PayScaleCode]],PAYSCALES[PayScaleCode],PAYSCALES[AvailableToAllSchools],1,0,)=TRUE,0,IF(ISERROR(FIND(CONT_SUP[[#This Row],[SchoolCode]],_xlfn.TEXTJOIN(",",TRUE,_xlfn.UNIQUE(IF(PAYSCALES[PayScaleCode]=CONT_SUP[[#This Row],[PayScaleCode]],PAYSCALES[SchoolCodes],""))))),1,0))</f>
        <v>0</v>
      </c>
      <c r="G395" s="57">
        <f>IF(_xlfn.XLOOKUP(CONT_SUP[[#This Row],[PayScaleGradeCode]],GRADES[PayScaleGradeCode],GRADES[AvailableToAllSchools])=TRUE,0,IFERROR(IF(FIND(CONT_SUP[[#This Row],[SchoolCode]],_xlfn.XLOOKUP(CONT_SUP[[#This Row],[PayScaleGradeCode]],GRADES[PayScaleGradeCode],GRADES[SchoolCodes]))&gt;=1,0,1),1))</f>
        <v>0</v>
      </c>
      <c r="H395" s="57">
        <f>IF(ISERROR(IF((_xlfn.XLOOKUP(CONT_SUP[[#This Row],[PayScaleGradeCode]],GRADES[PayScaleGradeCode],GRADES[PayScaleCode])=CONT_SUP[[#This Row],[PayScaleCode]]),0,1)),1,0)</f>
        <v>0</v>
      </c>
      <c r="I395" s="57" cm="1">
        <f t="array" ref="I395">IF(ISERROR(FIND(CONT_SUP[[#This Row],[PayScalePointCode]],_xlfn.TEXTJOIN(",",TRUE,IF(PSPOINTS[PayScaleCode]=CONT_SUP[[#This Row],[PayScaleCode]],PSPOINTS[PayScalePointCode])))),1,0)</f>
        <v>0</v>
      </c>
      <c r="J395" s="57" cm="1">
        <f t="array" ref="J395">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95" s="57">
        <f>IF(_xlfn.XLOOKUP(CONT_SUP[[#This Row],[PayScalePointCode]],PSPOINTS[PayScalePointCode],PSPOINTS[PayScalePointEnabled])=TRUE,0,1)</f>
        <v>0</v>
      </c>
      <c r="L395" s="57" cm="1">
        <f t="array" ref="L395">IF(_xlfn.XLOOKUP(CONT_SUP[[#This Row],[DepartmentCode]],DEPTS[DepartmentCode],DEPTS[AvailableToAllSchools],1,0,)=TRUE,0,IF(ISERROR(FIND(CONT_SUP[[#This Row],[SchoolCode]],_xlfn.TEXTJOIN(",",TRUE,_xlfn.UNIQUE(IF(DEPTS[DepartmentCode]=CONT_SUP[[#This Row],[DepartmentCode]],DEPTS[SchoolCodes],""))))),1,0))</f>
        <v>0</v>
      </c>
      <c r="M395" s="57">
        <f>IFERROR(IF(_xlfn.XLOOKUP(CONT_SUP[[#This Row],[SRG Gross]],FinanceCodesBudget[FinanceCode],FinanceCodesBudget[LedgerCode])=_xlfn.XLOOKUP(CONT_SUP[[#This Row],[DepartmentCode]],DEPTS[DepartmentCode],DEPTS[LedgerCode]),0,1),1)</f>
        <v>1</v>
      </c>
      <c r="N395" s="57" cm="1">
        <f t="array" ref="N395">IF(_xlfn.XLOOKUP(CONT_SUP[[#This Row],[PensionCode]],PENS[PensionCode],PENS[AvailableToAllSchools],1,0,)=TRUE,0,IF(ISERROR(FIND(CONT_SUP[[#This Row],[SchoolCode]],_xlfn.TEXTJOIN(",",TRUE,_xlfn.UNIQUE(IF(PENS[PensionCode]=CONT_SUP[[#This Row],[PensionCode]],PENS[SchoolCodes],""))))),1,0))</f>
        <v>0</v>
      </c>
      <c r="O395" s="57" cm="1">
        <f t="array" ref="O395">IF(_xlfn.XLOOKUP(CONT_SUP[[#This Row],[EquatedWeekPatternCode]],EQW[EquatedWeekPatternCode],EQW[AvailableToAllSchools],1,0,)=TRUE,0,IF(ISERROR(FIND(CONT_SUP[[#This Row],[SchoolCode]],_xlfn.TEXTJOIN(",",TRUE,_xlfn.UNIQUE(IF(EQW[EquatedWeekPatternCode]=CONT_SUP[[#This Row],[EquatedWeekPatternCode]],EQW[SchoolCodes],""))))),1,0))</f>
        <v>0</v>
      </c>
      <c r="P395" s="57">
        <f>1-COUNTIF(ContractTypes[Code],CONT_SUP[[#This Row],[ContractTypeCode]])</f>
        <v>0</v>
      </c>
      <c r="Q395" s="57">
        <f>IF(VLOOKUP(CONT_SUP[[#This Row],[StaffMemberCode]],MEMBERS[[StaffMemberCode]:[ServiceStartDate]],5,0)&gt;CONT_SUP[[#This Row],[DateFrom]],1,0)</f>
        <v>0</v>
      </c>
      <c r="R395" s="57">
        <f>IF(_xlfn.XLOOKUP(CONT_SUP[[#This Row],[StaffMemberCode]],MEMBERS[StaffMemberCode],MEMBERS[ServiceEndDate])="",0,IF(CONT_SUP[[#This Row],[DateTo]]="",1,IF(_xlfn.XLOOKUP(CONT_SUP[[#This Row],[StaffMemberCode]],MEMBERS[StaffMemberCode],MEMBERS[ServiceEndDate])&lt;CONT_SUP[[#This Row],[DateTo]],1,0)))</f>
        <v>0</v>
      </c>
      <c r="S395" s="57">
        <f>IF(ISBLANK(CONT_SUP[[#This Row],[DateTo]]),0,IF(CONT_SUP[[#This Row],[DateFrom]]=CONT_SUP[[#This Row],[DateTo]],0,IF(CONT_SUP[[#This Row],[DateFrom]]&lt;CONT_SUP[[#This Row],[DateTo]],0,1)))</f>
        <v>0</v>
      </c>
      <c r="T395" s="57" cm="1">
        <f t="array" aca="1" ref="T395" ca="1">IF(CELL("format",CONT_SUP[[#This Row],[DateFrom]])="D1",0,1)+IF(CELL("format",CONT_SUP[[#This Row],[DateTo]])="D1",0,1)</f>
        <v>0</v>
      </c>
      <c r="U395" s="57">
        <f>IF(OR(CONT_SUP[[#This Row],[MatEditOnly]]=TRUE,CONT_SUP[[#This Row],[MatEditOnly]]=FALSE),IF(OR(CONT_SUP[[#This Row],[NoIncrement]]=TRUE,CONT_SUP[[#This Row],[NoIncrement]]=FALSE),0,1),1)</f>
        <v>0</v>
      </c>
      <c r="V395" s="57">
        <f>IF(ISBLANK(CONT_SUP[[#This Row],[FundCode]])=TRUE,0,IF(COUNTIF(FUNDS[FundCode],CONT_SUP[[#This Row],[FundCode]])=1,0,1))</f>
        <v>0</v>
      </c>
      <c r="W395" s="57">
        <f>IF(LEN(CONT_SUP[[#This Row],[Notes]])&lt;4000,0,1)</f>
        <v>0</v>
      </c>
      <c r="X395" s="57">
        <f>IF(SUBSTITUTE(TEXT(CONT_SUP[[#This Row],[Reference]],10)," ","")=TEXT(CONT_SUP[[#This Row],[Reference]],10),0,1)</f>
        <v>0</v>
      </c>
      <c r="Y395" s="57">
        <f ca="1">SUM(CONT_SUP[[#This Row],[Duplicate Contract]:[Space in Code]])</f>
        <v>1</v>
      </c>
      <c r="AA395" s="12" t="s">
        <v>2126</v>
      </c>
      <c r="AB395" s="12">
        <v>10010793</v>
      </c>
      <c r="AC395" s="12">
        <v>110828</v>
      </c>
      <c r="AD395" s="57" t="str">
        <f>_xlfn.XLOOKUP(CONT_SUP[[#This Row],[StaffMemberCode]],StaffMembers!O:O,StaffMembers!R:R)</f>
        <v>Victoria Broster</v>
      </c>
      <c r="AE395" s="12" t="s">
        <v>1180</v>
      </c>
      <c r="AF395" s="57">
        <f>_xlfn.XLOOKUP(CONT_SUP[[#This Row],[SRG]],SRG[StaffRoleGroupCode],SRG[GrossSalaryFinanceCode])</f>
        <v>615100</v>
      </c>
      <c r="AG395" s="57" t="str">
        <f>_xlfn.XLOOKUP(CONT_SUP[[#This Row],[StaffRoleCode]],ROLES[StaffRoleCode],ROLES[StaffRoleGroupCode])</f>
        <v>TA</v>
      </c>
      <c r="AH395" s="57" t="str">
        <f>_xlfn.XLOOKUP(CONT_SUP[[#This Row],[StaffRoleCode]],ROLES[StaffRoleCode],ROLES[PayScaleCode])</f>
        <v>NJC_CHE</v>
      </c>
      <c r="AI395" s="12" t="s">
        <v>3122</v>
      </c>
      <c r="AJ395" s="12">
        <v>6</v>
      </c>
      <c r="AK395" s="12" t="s">
        <v>2497</v>
      </c>
      <c r="AM395" s="68" t="s">
        <v>1149</v>
      </c>
      <c r="AN395" s="12" t="s">
        <v>3134</v>
      </c>
      <c r="AO395" s="21">
        <v>46023</v>
      </c>
      <c r="AQ395" s="12">
        <v>27.5</v>
      </c>
      <c r="AR395" t="b">
        <v>0</v>
      </c>
      <c r="AS395" t="b">
        <v>0</v>
      </c>
      <c r="AT395" s="12" t="s">
        <v>1573</v>
      </c>
    </row>
    <row r="396" spans="1:46" x14ac:dyDescent="0.3">
      <c r="A396" s="57" t="str">
        <f t="shared" si="12"/>
        <v>MLB10005290106055TASTA46023</v>
      </c>
      <c r="B396" s="57">
        <f>COUNTIF(CONT_SUP[Unique Contract],CONT_SUP[[#This Row],[Unique Contract]])-1</f>
        <v>0</v>
      </c>
      <c r="C396" s="57">
        <f>IFERROR(IF(FIND(CONT_SUP[[#This Row],[SchoolCode]],_xlfn.XLOOKUP(CONT_SUP[[#This Row],[StaffMemberCode]],MEMBERS[StaffMemberCode],MEMBERS[SchoolCodes]))&gt;0,0,1),1)</f>
        <v>0</v>
      </c>
      <c r="D396" s="57" cm="1">
        <f t="array" ref="D396">IF(_xlfn.XLOOKUP(CONT_SUP[[#This Row],[StaffRoleCode]],ROLES[StaffRoleCode],ROLES[AvailableToAllSchools],1,0,)=TRUE,0,IF(ISERROR(FIND(CONT_SUP[[#This Row],[SchoolCode]],_xlfn.TEXTJOIN(",",TRUE,_xlfn.UNIQUE(IF(ROLES[StaffRoleCode]=CONT_SUP[[#This Row],[StaffRoleCode]],ROLES[SchoolCodes],""))))),1,0))</f>
        <v>0</v>
      </c>
      <c r="E396" s="57" cm="1">
        <f t="array" ref="E396">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96" s="57" cm="1">
        <f t="array" ref="F396">IF(_xlfn.XLOOKUP(CONT_SUP[[#This Row],[PayScaleCode]],PAYSCALES[PayScaleCode],PAYSCALES[AvailableToAllSchools],1,0,)=TRUE,0,IF(ISERROR(FIND(CONT_SUP[[#This Row],[SchoolCode]],_xlfn.TEXTJOIN(",",TRUE,_xlfn.UNIQUE(IF(PAYSCALES[PayScaleCode]=CONT_SUP[[#This Row],[PayScaleCode]],PAYSCALES[SchoolCodes],""))))),1,0))</f>
        <v>0</v>
      </c>
      <c r="G396" s="57">
        <f>IF(_xlfn.XLOOKUP(CONT_SUP[[#This Row],[PayScaleGradeCode]],GRADES[PayScaleGradeCode],GRADES[AvailableToAllSchools])=TRUE,0,IFERROR(IF(FIND(CONT_SUP[[#This Row],[SchoolCode]],_xlfn.XLOOKUP(CONT_SUP[[#This Row],[PayScaleGradeCode]],GRADES[PayScaleGradeCode],GRADES[SchoolCodes]))&gt;=1,0,1),1))</f>
        <v>0</v>
      </c>
      <c r="H396" s="57">
        <f>IF(ISERROR(IF((_xlfn.XLOOKUP(CONT_SUP[[#This Row],[PayScaleGradeCode]],GRADES[PayScaleGradeCode],GRADES[PayScaleCode])=CONT_SUP[[#This Row],[PayScaleCode]]),0,1)),1,0)</f>
        <v>0</v>
      </c>
      <c r="I396" s="57" cm="1">
        <f t="array" ref="I396">IF(ISERROR(FIND(CONT_SUP[[#This Row],[PayScalePointCode]],_xlfn.TEXTJOIN(",",TRUE,IF(PSPOINTS[PayScaleCode]=CONT_SUP[[#This Row],[PayScaleCode]],PSPOINTS[PayScalePointCode])))),1,0)</f>
        <v>0</v>
      </c>
      <c r="J396" s="57" cm="1">
        <f t="array" ref="J396">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96" s="57">
        <f>IF(_xlfn.XLOOKUP(CONT_SUP[[#This Row],[PayScalePointCode]],PSPOINTS[PayScalePointCode],PSPOINTS[PayScalePointEnabled])=TRUE,0,1)</f>
        <v>0</v>
      </c>
      <c r="L396" s="57" cm="1">
        <f t="array" ref="L396">IF(_xlfn.XLOOKUP(CONT_SUP[[#This Row],[DepartmentCode]],DEPTS[DepartmentCode],DEPTS[AvailableToAllSchools],1,0,)=TRUE,0,IF(ISERROR(FIND(CONT_SUP[[#This Row],[SchoolCode]],_xlfn.TEXTJOIN(",",TRUE,_xlfn.UNIQUE(IF(DEPTS[DepartmentCode]=CONT_SUP[[#This Row],[DepartmentCode]],DEPTS[SchoolCodes],""))))),1,0))</f>
        <v>0</v>
      </c>
      <c r="M396" s="57">
        <f>IFERROR(IF(_xlfn.XLOOKUP(CONT_SUP[[#This Row],[SRG Gross]],FinanceCodesBudget[FinanceCode],FinanceCodesBudget[LedgerCode])=_xlfn.XLOOKUP(CONT_SUP[[#This Row],[DepartmentCode]],DEPTS[DepartmentCode],DEPTS[LedgerCode]),0,1),1)</f>
        <v>1</v>
      </c>
      <c r="N396" s="57" cm="1">
        <f t="array" ref="N396">IF(_xlfn.XLOOKUP(CONT_SUP[[#This Row],[PensionCode]],PENS[PensionCode],PENS[AvailableToAllSchools],1,0,)=TRUE,0,IF(ISERROR(FIND(CONT_SUP[[#This Row],[SchoolCode]],_xlfn.TEXTJOIN(",",TRUE,_xlfn.UNIQUE(IF(PENS[PensionCode]=CONT_SUP[[#This Row],[PensionCode]],PENS[SchoolCodes],""))))),1,0))</f>
        <v>0</v>
      </c>
      <c r="O396" s="57" cm="1">
        <f t="array" ref="O396">IF(_xlfn.XLOOKUP(CONT_SUP[[#This Row],[EquatedWeekPatternCode]],EQW[EquatedWeekPatternCode],EQW[AvailableToAllSchools],1,0,)=TRUE,0,IF(ISERROR(FIND(CONT_SUP[[#This Row],[SchoolCode]],_xlfn.TEXTJOIN(",",TRUE,_xlfn.UNIQUE(IF(EQW[EquatedWeekPatternCode]=CONT_SUP[[#This Row],[EquatedWeekPatternCode]],EQW[SchoolCodes],""))))),1,0))</f>
        <v>0</v>
      </c>
      <c r="P396" s="57">
        <f>1-COUNTIF(ContractTypes[Code],CONT_SUP[[#This Row],[ContractTypeCode]])</f>
        <v>0</v>
      </c>
      <c r="Q396" s="57">
        <f>IF(VLOOKUP(CONT_SUP[[#This Row],[StaffMemberCode]],MEMBERS[[StaffMemberCode]:[ServiceStartDate]],5,0)&gt;CONT_SUP[[#This Row],[DateFrom]],1,0)</f>
        <v>0</v>
      </c>
      <c r="R396" s="57">
        <f>IF(_xlfn.XLOOKUP(CONT_SUP[[#This Row],[StaffMemberCode]],MEMBERS[StaffMemberCode],MEMBERS[ServiceEndDate])="",0,IF(CONT_SUP[[#This Row],[DateTo]]="",1,IF(_xlfn.XLOOKUP(CONT_SUP[[#This Row],[StaffMemberCode]],MEMBERS[StaffMemberCode],MEMBERS[ServiceEndDate])&lt;CONT_SUP[[#This Row],[DateTo]],1,0)))</f>
        <v>0</v>
      </c>
      <c r="S396" s="57">
        <f>IF(ISBLANK(CONT_SUP[[#This Row],[DateTo]]),0,IF(CONT_SUP[[#This Row],[DateFrom]]=CONT_SUP[[#This Row],[DateTo]],0,IF(CONT_SUP[[#This Row],[DateFrom]]&lt;CONT_SUP[[#This Row],[DateTo]],0,1)))</f>
        <v>0</v>
      </c>
      <c r="T396" s="57" cm="1">
        <f t="array" aca="1" ref="T396" ca="1">IF(CELL("format",CONT_SUP[[#This Row],[DateFrom]])="D1",0,1)+IF(CELL("format",CONT_SUP[[#This Row],[DateTo]])="D1",0,1)</f>
        <v>0</v>
      </c>
      <c r="U396" s="57">
        <f>IF(OR(CONT_SUP[[#This Row],[MatEditOnly]]=TRUE,CONT_SUP[[#This Row],[MatEditOnly]]=FALSE),IF(OR(CONT_SUP[[#This Row],[NoIncrement]]=TRUE,CONT_SUP[[#This Row],[NoIncrement]]=FALSE),0,1),1)</f>
        <v>0</v>
      </c>
      <c r="V396" s="57">
        <f>IF(ISBLANK(CONT_SUP[[#This Row],[FundCode]])=TRUE,0,IF(COUNTIF(FUNDS[FundCode],CONT_SUP[[#This Row],[FundCode]])=1,0,1))</f>
        <v>0</v>
      </c>
      <c r="W396" s="57">
        <f>IF(LEN(CONT_SUP[[#This Row],[Notes]])&lt;4000,0,1)</f>
        <v>0</v>
      </c>
      <c r="X396" s="57">
        <f>IF(SUBSTITUTE(TEXT(CONT_SUP[[#This Row],[Reference]],10)," ","")=TEXT(CONT_SUP[[#This Row],[Reference]],10),0,1)</f>
        <v>0</v>
      </c>
      <c r="Y396" s="57">
        <f ca="1">SUM(CONT_SUP[[#This Row],[Duplicate Contract]:[Space in Code]])</f>
        <v>1</v>
      </c>
      <c r="AA396" s="12" t="s">
        <v>2126</v>
      </c>
      <c r="AB396" s="12">
        <v>10005290</v>
      </c>
      <c r="AC396" s="12">
        <v>106055</v>
      </c>
      <c r="AD396" s="57" t="str">
        <f>_xlfn.XLOOKUP(CONT_SUP[[#This Row],[StaffMemberCode]],StaffMembers!O:O,StaffMembers!R:R)</f>
        <v>Susan Jackson</v>
      </c>
      <c r="AE396" s="12" t="s">
        <v>1180</v>
      </c>
      <c r="AF396" s="57">
        <f>_xlfn.XLOOKUP(CONT_SUP[[#This Row],[SRG]],SRG[StaffRoleGroupCode],SRG[GrossSalaryFinanceCode])</f>
        <v>615100</v>
      </c>
      <c r="AG396" s="57" t="str">
        <f>_xlfn.XLOOKUP(CONT_SUP[[#This Row],[StaffRoleCode]],ROLES[StaffRoleCode],ROLES[StaffRoleGroupCode])</f>
        <v>TA</v>
      </c>
      <c r="AH396" s="57" t="str">
        <f>_xlfn.XLOOKUP(CONT_SUP[[#This Row],[StaffRoleCode]],ROLES[StaffRoleCode],ROLES[PayScaleCode])</f>
        <v>NJC_CHE</v>
      </c>
      <c r="AI396" s="12" t="s">
        <v>3123</v>
      </c>
      <c r="AJ396" s="12">
        <v>11</v>
      </c>
      <c r="AK396" s="12" t="s">
        <v>2497</v>
      </c>
      <c r="AM396" s="68" t="s">
        <v>1149</v>
      </c>
      <c r="AN396" s="12" t="s">
        <v>3134</v>
      </c>
      <c r="AO396" s="21">
        <v>46023</v>
      </c>
      <c r="AQ396" s="12">
        <v>35</v>
      </c>
      <c r="AR396" t="b">
        <v>0</v>
      </c>
      <c r="AS396" t="b">
        <v>0</v>
      </c>
      <c r="AT396" s="12" t="s">
        <v>1574</v>
      </c>
    </row>
    <row r="397" spans="1:46" x14ac:dyDescent="0.3">
      <c r="A397" s="57" t="str">
        <f t="shared" ref="A397:A402" si="13">AA397&amp;AB397&amp;AC397&amp;AE397&amp;AK397&amp;AO397</f>
        <v>MLB10005304106071TECSTECH46023</v>
      </c>
      <c r="B397" s="57">
        <f>COUNTIF(CONT_SUP[Unique Contract],CONT_SUP[[#This Row],[Unique Contract]])-1</f>
        <v>0</v>
      </c>
      <c r="C397" s="57">
        <f>IFERROR(IF(FIND(CONT_SUP[[#This Row],[SchoolCode]],_xlfn.XLOOKUP(CONT_SUP[[#This Row],[StaffMemberCode]],MEMBERS[StaffMemberCode],MEMBERS[SchoolCodes]))&gt;0,0,1),1)</f>
        <v>0</v>
      </c>
      <c r="D397" s="57" cm="1">
        <f t="array" ref="D397">IF(_xlfn.XLOOKUP(CONT_SUP[[#This Row],[StaffRoleCode]],ROLES[StaffRoleCode],ROLES[AvailableToAllSchools],1,0,)=TRUE,0,IF(ISERROR(FIND(CONT_SUP[[#This Row],[SchoolCode]],_xlfn.TEXTJOIN(",",TRUE,_xlfn.UNIQUE(IF(ROLES[StaffRoleCode]=CONT_SUP[[#This Row],[StaffRoleCode]],ROLES[SchoolCodes],""))))),1,0))</f>
        <v>0</v>
      </c>
      <c r="E397" s="57" cm="1">
        <f t="array" ref="E397">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97" s="57" cm="1">
        <f t="array" ref="F397">IF(_xlfn.XLOOKUP(CONT_SUP[[#This Row],[PayScaleCode]],PAYSCALES[PayScaleCode],PAYSCALES[AvailableToAllSchools],1,0,)=TRUE,0,IF(ISERROR(FIND(CONT_SUP[[#This Row],[SchoolCode]],_xlfn.TEXTJOIN(",",TRUE,_xlfn.UNIQUE(IF(PAYSCALES[PayScaleCode]=CONT_SUP[[#This Row],[PayScaleCode]],PAYSCALES[SchoolCodes],""))))),1,0))</f>
        <v>0</v>
      </c>
      <c r="G397" s="57">
        <f>IF(_xlfn.XLOOKUP(CONT_SUP[[#This Row],[PayScaleGradeCode]],GRADES[PayScaleGradeCode],GRADES[AvailableToAllSchools])=TRUE,0,IFERROR(IF(FIND(CONT_SUP[[#This Row],[SchoolCode]],_xlfn.XLOOKUP(CONT_SUP[[#This Row],[PayScaleGradeCode]],GRADES[PayScaleGradeCode],GRADES[SchoolCodes]))&gt;=1,0,1),1))</f>
        <v>0</v>
      </c>
      <c r="H397" s="57">
        <f>IF(ISERROR(IF((_xlfn.XLOOKUP(CONT_SUP[[#This Row],[PayScaleGradeCode]],GRADES[PayScaleGradeCode],GRADES[PayScaleCode])=CONT_SUP[[#This Row],[PayScaleCode]]),0,1)),1,0)</f>
        <v>0</v>
      </c>
      <c r="I397" s="57" cm="1">
        <f t="array" ref="I397">IF(ISERROR(FIND(CONT_SUP[[#This Row],[PayScalePointCode]],_xlfn.TEXTJOIN(",",TRUE,IF(PSPOINTS[PayScaleCode]=CONT_SUP[[#This Row],[PayScaleCode]],PSPOINTS[PayScalePointCode])))),1,0)</f>
        <v>0</v>
      </c>
      <c r="J397" s="57" cm="1">
        <f t="array" ref="J397">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97" s="57">
        <f>IF(_xlfn.XLOOKUP(CONT_SUP[[#This Row],[PayScalePointCode]],PSPOINTS[PayScalePointCode],PSPOINTS[PayScalePointEnabled])=TRUE,0,1)</f>
        <v>0</v>
      </c>
      <c r="L397" s="57" cm="1">
        <f t="array" ref="L397">IF(_xlfn.XLOOKUP(CONT_SUP[[#This Row],[DepartmentCode]],DEPTS[DepartmentCode],DEPTS[AvailableToAllSchools],1,0,)=TRUE,0,IF(ISERROR(FIND(CONT_SUP[[#This Row],[SchoolCode]],_xlfn.TEXTJOIN(",",TRUE,_xlfn.UNIQUE(IF(DEPTS[DepartmentCode]=CONT_SUP[[#This Row],[DepartmentCode]],DEPTS[SchoolCodes],""))))),1,0))</f>
        <v>0</v>
      </c>
      <c r="M397" s="57">
        <f>IFERROR(IF(_xlfn.XLOOKUP(CONT_SUP[[#This Row],[SRG Gross]],FinanceCodesBudget[FinanceCode],FinanceCodesBudget[LedgerCode])=_xlfn.XLOOKUP(CONT_SUP[[#This Row],[DepartmentCode]],DEPTS[DepartmentCode],DEPTS[LedgerCode]),0,1),1)</f>
        <v>1</v>
      </c>
      <c r="N397" s="57" cm="1">
        <f t="array" ref="N397">IF(_xlfn.XLOOKUP(CONT_SUP[[#This Row],[PensionCode]],PENS[PensionCode],PENS[AvailableToAllSchools],1,0,)=TRUE,0,IF(ISERROR(FIND(CONT_SUP[[#This Row],[SchoolCode]],_xlfn.TEXTJOIN(",",TRUE,_xlfn.UNIQUE(IF(PENS[PensionCode]=CONT_SUP[[#This Row],[PensionCode]],PENS[SchoolCodes],""))))),1,0))</f>
        <v>0</v>
      </c>
      <c r="O397" s="57" cm="1">
        <f t="array" ref="O397">IF(_xlfn.XLOOKUP(CONT_SUP[[#This Row],[EquatedWeekPatternCode]],EQW[EquatedWeekPatternCode],EQW[AvailableToAllSchools],1,0,)=TRUE,0,IF(ISERROR(FIND(CONT_SUP[[#This Row],[SchoolCode]],_xlfn.TEXTJOIN(",",TRUE,_xlfn.UNIQUE(IF(EQW[EquatedWeekPatternCode]=CONT_SUP[[#This Row],[EquatedWeekPatternCode]],EQW[SchoolCodes],""))))),1,0))</f>
        <v>0</v>
      </c>
      <c r="P397" s="57">
        <f>1-COUNTIF(ContractTypes[Code],CONT_SUP[[#This Row],[ContractTypeCode]])</f>
        <v>0</v>
      </c>
      <c r="Q397" s="57">
        <f>IF(VLOOKUP(CONT_SUP[[#This Row],[StaffMemberCode]],MEMBERS[[StaffMemberCode]:[ServiceStartDate]],5,0)&gt;CONT_SUP[[#This Row],[DateFrom]],1,0)</f>
        <v>0</v>
      </c>
      <c r="R397" s="57">
        <f>IF(_xlfn.XLOOKUP(CONT_SUP[[#This Row],[StaffMemberCode]],MEMBERS[StaffMemberCode],MEMBERS[ServiceEndDate])="",0,IF(CONT_SUP[[#This Row],[DateTo]]="",1,IF(_xlfn.XLOOKUP(CONT_SUP[[#This Row],[StaffMemberCode]],MEMBERS[StaffMemberCode],MEMBERS[ServiceEndDate])&lt;CONT_SUP[[#This Row],[DateTo]],1,0)))</f>
        <v>0</v>
      </c>
      <c r="S397" s="57">
        <f>IF(ISBLANK(CONT_SUP[[#This Row],[DateTo]]),0,IF(CONT_SUP[[#This Row],[DateFrom]]=CONT_SUP[[#This Row],[DateTo]],0,IF(CONT_SUP[[#This Row],[DateFrom]]&lt;CONT_SUP[[#This Row],[DateTo]],0,1)))</f>
        <v>0</v>
      </c>
      <c r="T397" s="57" cm="1">
        <f t="array" aca="1" ref="T397" ca="1">IF(CELL("format",CONT_SUP[[#This Row],[DateFrom]])="D1",0,1)+IF(CELL("format",CONT_SUP[[#This Row],[DateTo]])="D1",0,1)</f>
        <v>0</v>
      </c>
      <c r="U397" s="57">
        <f>IF(OR(CONT_SUP[[#This Row],[MatEditOnly]]=TRUE,CONT_SUP[[#This Row],[MatEditOnly]]=FALSE),IF(OR(CONT_SUP[[#This Row],[NoIncrement]]=TRUE,CONT_SUP[[#This Row],[NoIncrement]]=FALSE),0,1),1)</f>
        <v>0</v>
      </c>
      <c r="V397" s="57">
        <f>IF(ISBLANK(CONT_SUP[[#This Row],[FundCode]])=TRUE,0,IF(COUNTIF(FUNDS[FundCode],CONT_SUP[[#This Row],[FundCode]])=1,0,1))</f>
        <v>0</v>
      </c>
      <c r="W397" s="57">
        <f>IF(LEN(CONT_SUP[[#This Row],[Notes]])&lt;4000,0,1)</f>
        <v>0</v>
      </c>
      <c r="X397" s="57">
        <f>IF(SUBSTITUTE(TEXT(CONT_SUP[[#This Row],[Reference]],10)," ","")=TEXT(CONT_SUP[[#This Row],[Reference]],10),0,1)</f>
        <v>0</v>
      </c>
      <c r="Y397" s="57">
        <f ca="1">SUM(CONT_SUP[[#This Row],[Duplicate Contract]:[Space in Code]])</f>
        <v>1</v>
      </c>
      <c r="AA397" s="12" t="s">
        <v>2126</v>
      </c>
      <c r="AB397" s="12">
        <v>10005304</v>
      </c>
      <c r="AC397" s="12">
        <v>106071</v>
      </c>
      <c r="AD397" s="57" t="str">
        <f>_xlfn.XLOOKUP(CONT_SUP[[#This Row],[StaffMemberCode]],StaffMembers!O:O,StaffMembers!R:R)</f>
        <v>Tina Baker</v>
      </c>
      <c r="AE397" s="12" t="s">
        <v>1184</v>
      </c>
      <c r="AF397" s="57">
        <f>_xlfn.XLOOKUP(CONT_SUP[[#This Row],[SRG]],SRG[StaffRoleGroupCode],SRG[GrossSalaryFinanceCode])</f>
        <v>622100</v>
      </c>
      <c r="AG397" s="57" t="str">
        <f>_xlfn.XLOOKUP(CONT_SUP[[#This Row],[StaffRoleCode]],ROLES[StaffRoleCode],ROLES[StaffRoleGroupCode])</f>
        <v>TEC</v>
      </c>
      <c r="AH397" s="57" t="str">
        <f>_xlfn.XLOOKUP(CONT_SUP[[#This Row],[StaffRoleCode]],ROLES[StaffRoleCode],ROLES[PayScaleCode])</f>
        <v>NJC_CHE</v>
      </c>
      <c r="AI397" s="12" t="s">
        <v>3121</v>
      </c>
      <c r="AJ397" s="12">
        <v>4</v>
      </c>
      <c r="AK397" s="12" t="s">
        <v>2501</v>
      </c>
      <c r="AM397" s="68" t="s">
        <v>3132</v>
      </c>
      <c r="AN397" s="12" t="s">
        <v>3134</v>
      </c>
      <c r="AO397" s="21">
        <v>46023</v>
      </c>
      <c r="AQ397" s="12">
        <v>10</v>
      </c>
      <c r="AR397" t="b">
        <v>0</v>
      </c>
      <c r="AS397" t="b">
        <v>0</v>
      </c>
      <c r="AT397" s="12" t="s">
        <v>1574</v>
      </c>
    </row>
    <row r="398" spans="1:46" x14ac:dyDescent="0.3">
      <c r="A398" s="57" t="str">
        <f t="shared" si="13"/>
        <v>MLB10005276115338TEC_SNRSTECH46023</v>
      </c>
      <c r="B398" s="57">
        <f>COUNTIF(CONT_SUP[Unique Contract],CONT_SUP[[#This Row],[Unique Contract]])-1</f>
        <v>0</v>
      </c>
      <c r="C398" s="57">
        <f>IFERROR(IF(FIND(CONT_SUP[[#This Row],[SchoolCode]],_xlfn.XLOOKUP(CONT_SUP[[#This Row],[StaffMemberCode]],MEMBERS[StaffMemberCode],MEMBERS[SchoolCodes]))&gt;0,0,1),1)</f>
        <v>0</v>
      </c>
      <c r="D398" s="57" cm="1">
        <f t="array" ref="D398">IF(_xlfn.XLOOKUP(CONT_SUP[[#This Row],[StaffRoleCode]],ROLES[StaffRoleCode],ROLES[AvailableToAllSchools],1,0,)=TRUE,0,IF(ISERROR(FIND(CONT_SUP[[#This Row],[SchoolCode]],_xlfn.TEXTJOIN(",",TRUE,_xlfn.UNIQUE(IF(ROLES[StaffRoleCode]=CONT_SUP[[#This Row],[StaffRoleCode]],ROLES[SchoolCodes],""))))),1,0))</f>
        <v>0</v>
      </c>
      <c r="E398" s="57" cm="1">
        <f t="array" ref="E398">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98" s="57" cm="1">
        <f t="array" ref="F398">IF(_xlfn.XLOOKUP(CONT_SUP[[#This Row],[PayScaleCode]],PAYSCALES[PayScaleCode],PAYSCALES[AvailableToAllSchools],1,0,)=TRUE,0,IF(ISERROR(FIND(CONT_SUP[[#This Row],[SchoolCode]],_xlfn.TEXTJOIN(",",TRUE,_xlfn.UNIQUE(IF(PAYSCALES[PayScaleCode]=CONT_SUP[[#This Row],[PayScaleCode]],PAYSCALES[SchoolCodes],""))))),1,0))</f>
        <v>0</v>
      </c>
      <c r="G398" s="57">
        <f>IF(_xlfn.XLOOKUP(CONT_SUP[[#This Row],[PayScaleGradeCode]],GRADES[PayScaleGradeCode],GRADES[AvailableToAllSchools])=TRUE,0,IFERROR(IF(FIND(CONT_SUP[[#This Row],[SchoolCode]],_xlfn.XLOOKUP(CONT_SUP[[#This Row],[PayScaleGradeCode]],GRADES[PayScaleGradeCode],GRADES[SchoolCodes]))&gt;=1,0,1),1))</f>
        <v>0</v>
      </c>
      <c r="H398" s="57">
        <f>IF(ISERROR(IF((_xlfn.XLOOKUP(CONT_SUP[[#This Row],[PayScaleGradeCode]],GRADES[PayScaleGradeCode],GRADES[PayScaleCode])=CONT_SUP[[#This Row],[PayScaleCode]]),0,1)),1,0)</f>
        <v>0</v>
      </c>
      <c r="I398" s="57" cm="1">
        <f t="array" ref="I398">IF(ISERROR(FIND(CONT_SUP[[#This Row],[PayScalePointCode]],_xlfn.TEXTJOIN(",",TRUE,IF(PSPOINTS[PayScaleCode]=CONT_SUP[[#This Row],[PayScaleCode]],PSPOINTS[PayScalePointCode])))),1,0)</f>
        <v>0</v>
      </c>
      <c r="J398" s="57" cm="1">
        <f t="array" ref="J398">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98" s="57">
        <f>IF(_xlfn.XLOOKUP(CONT_SUP[[#This Row],[PayScalePointCode]],PSPOINTS[PayScalePointCode],PSPOINTS[PayScalePointEnabled])=TRUE,0,1)</f>
        <v>0</v>
      </c>
      <c r="L398" s="57" cm="1">
        <f t="array" ref="L398">IF(_xlfn.XLOOKUP(CONT_SUP[[#This Row],[DepartmentCode]],DEPTS[DepartmentCode],DEPTS[AvailableToAllSchools],1,0,)=TRUE,0,IF(ISERROR(FIND(CONT_SUP[[#This Row],[SchoolCode]],_xlfn.TEXTJOIN(",",TRUE,_xlfn.UNIQUE(IF(DEPTS[DepartmentCode]=CONT_SUP[[#This Row],[DepartmentCode]],DEPTS[SchoolCodes],""))))),1,0))</f>
        <v>0</v>
      </c>
      <c r="M398" s="57">
        <f>IFERROR(IF(_xlfn.XLOOKUP(CONT_SUP[[#This Row],[SRG Gross]],FinanceCodesBudget[FinanceCode],FinanceCodesBudget[LedgerCode])=_xlfn.XLOOKUP(CONT_SUP[[#This Row],[DepartmentCode]],DEPTS[DepartmentCode],DEPTS[LedgerCode]),0,1),1)</f>
        <v>1</v>
      </c>
      <c r="N398" s="57" cm="1">
        <f t="array" ref="N398">IF(_xlfn.XLOOKUP(CONT_SUP[[#This Row],[PensionCode]],PENS[PensionCode],PENS[AvailableToAllSchools],1,0,)=TRUE,0,IF(ISERROR(FIND(CONT_SUP[[#This Row],[SchoolCode]],_xlfn.TEXTJOIN(",",TRUE,_xlfn.UNIQUE(IF(PENS[PensionCode]=CONT_SUP[[#This Row],[PensionCode]],PENS[SchoolCodes],""))))),1,0))</f>
        <v>0</v>
      </c>
      <c r="O398" s="57" cm="1">
        <f t="array" ref="O398">IF(_xlfn.XLOOKUP(CONT_SUP[[#This Row],[EquatedWeekPatternCode]],EQW[EquatedWeekPatternCode],EQW[AvailableToAllSchools],1,0,)=TRUE,0,IF(ISERROR(FIND(CONT_SUP[[#This Row],[SchoolCode]],_xlfn.TEXTJOIN(",",TRUE,_xlfn.UNIQUE(IF(EQW[EquatedWeekPatternCode]=CONT_SUP[[#This Row],[EquatedWeekPatternCode]],EQW[SchoolCodes],""))))),1,0))</f>
        <v>0</v>
      </c>
      <c r="P398" s="57">
        <f>1-COUNTIF(ContractTypes[Code],CONT_SUP[[#This Row],[ContractTypeCode]])</f>
        <v>0</v>
      </c>
      <c r="Q398" s="57">
        <f>IF(VLOOKUP(CONT_SUP[[#This Row],[StaffMemberCode]],MEMBERS[[StaffMemberCode]:[ServiceStartDate]],5,0)&gt;CONT_SUP[[#This Row],[DateFrom]],1,0)</f>
        <v>0</v>
      </c>
      <c r="R398" s="57">
        <f>IF(_xlfn.XLOOKUP(CONT_SUP[[#This Row],[StaffMemberCode]],MEMBERS[StaffMemberCode],MEMBERS[ServiceEndDate])="",0,IF(CONT_SUP[[#This Row],[DateTo]]="",1,IF(_xlfn.XLOOKUP(CONT_SUP[[#This Row],[StaffMemberCode]],MEMBERS[StaffMemberCode],MEMBERS[ServiceEndDate])&lt;CONT_SUP[[#This Row],[DateTo]],1,0)))</f>
        <v>0</v>
      </c>
      <c r="S398" s="57">
        <f>IF(ISBLANK(CONT_SUP[[#This Row],[DateTo]]),0,IF(CONT_SUP[[#This Row],[DateFrom]]=CONT_SUP[[#This Row],[DateTo]],0,IF(CONT_SUP[[#This Row],[DateFrom]]&lt;CONT_SUP[[#This Row],[DateTo]],0,1)))</f>
        <v>0</v>
      </c>
      <c r="T398" s="57" cm="1">
        <f t="array" aca="1" ref="T398" ca="1">IF(CELL("format",CONT_SUP[[#This Row],[DateFrom]])="D1",0,1)+IF(CELL("format",CONT_SUP[[#This Row],[DateTo]])="D1",0,1)</f>
        <v>0</v>
      </c>
      <c r="U398" s="57">
        <f>IF(OR(CONT_SUP[[#This Row],[MatEditOnly]]=TRUE,CONT_SUP[[#This Row],[MatEditOnly]]=FALSE),IF(OR(CONT_SUP[[#This Row],[NoIncrement]]=TRUE,CONT_SUP[[#This Row],[NoIncrement]]=FALSE),0,1),1)</f>
        <v>0</v>
      </c>
      <c r="V398" s="57">
        <f>IF(ISBLANK(CONT_SUP[[#This Row],[FundCode]])=TRUE,0,IF(COUNTIF(FUNDS[FundCode],CONT_SUP[[#This Row],[FundCode]])=1,0,1))</f>
        <v>0</v>
      </c>
      <c r="W398" s="57">
        <f>IF(LEN(CONT_SUP[[#This Row],[Notes]])&lt;4000,0,1)</f>
        <v>0</v>
      </c>
      <c r="X398" s="57">
        <f>IF(SUBSTITUTE(TEXT(CONT_SUP[[#This Row],[Reference]],10)," ","")=TEXT(CONT_SUP[[#This Row],[Reference]],10),0,1)</f>
        <v>0</v>
      </c>
      <c r="Y398" s="57">
        <f ca="1">SUM(CONT_SUP[[#This Row],[Duplicate Contract]:[Space in Code]])</f>
        <v>1</v>
      </c>
      <c r="AA398" s="12" t="s">
        <v>2126</v>
      </c>
      <c r="AB398" s="12">
        <v>10005276</v>
      </c>
      <c r="AC398" s="12">
        <v>115338</v>
      </c>
      <c r="AD398" s="57" t="str">
        <f>_xlfn.XLOOKUP(CONT_SUP[[#This Row],[StaffMemberCode]],StaffMembers!O:O,StaffMembers!R:R)</f>
        <v>Dawn Fisher</v>
      </c>
      <c r="AE398" s="12" t="s">
        <v>4287</v>
      </c>
      <c r="AF398" s="57">
        <f>_xlfn.XLOOKUP(CONT_SUP[[#This Row],[SRG]],SRG[StaffRoleGroupCode],SRG[GrossSalaryFinanceCode])</f>
        <v>622100</v>
      </c>
      <c r="AG398" s="57" t="str">
        <f>_xlfn.XLOOKUP(CONT_SUP[[#This Row],[StaffRoleCode]],ROLES[StaffRoleCode],ROLES[StaffRoleGroupCode])</f>
        <v>TEC</v>
      </c>
      <c r="AH398" s="57" t="str">
        <f>_xlfn.XLOOKUP(CONT_SUP[[#This Row],[StaffRoleCode]],ROLES[StaffRoleCode],ROLES[PayScaleCode])</f>
        <v>NJC_CHE</v>
      </c>
      <c r="AI398" s="12" t="s">
        <v>3124</v>
      </c>
      <c r="AJ398" s="12">
        <v>12</v>
      </c>
      <c r="AK398" s="12" t="s">
        <v>2501</v>
      </c>
      <c r="AM398" s="68" t="s">
        <v>3132</v>
      </c>
      <c r="AN398" s="12" t="s">
        <v>3134</v>
      </c>
      <c r="AO398" s="21">
        <v>46023</v>
      </c>
      <c r="AQ398" s="12">
        <v>37</v>
      </c>
      <c r="AR398" t="b">
        <v>0</v>
      </c>
      <c r="AS398" t="b">
        <v>0</v>
      </c>
      <c r="AT398" s="12" t="s">
        <v>1574</v>
      </c>
    </row>
    <row r="399" spans="1:46" x14ac:dyDescent="0.3">
      <c r="A399" s="57" t="str">
        <f t="shared" si="13"/>
        <v>MLB10006283107165TECSTECH46023</v>
      </c>
      <c r="B399" s="57">
        <f>COUNTIF(CONT_SUP[Unique Contract],CONT_SUP[[#This Row],[Unique Contract]])-1</f>
        <v>0</v>
      </c>
      <c r="C399" s="57">
        <f>IFERROR(IF(FIND(CONT_SUP[[#This Row],[SchoolCode]],_xlfn.XLOOKUP(CONT_SUP[[#This Row],[StaffMemberCode]],MEMBERS[StaffMemberCode],MEMBERS[SchoolCodes]))&gt;0,0,1),1)</f>
        <v>0</v>
      </c>
      <c r="D399" s="57" cm="1">
        <f t="array" ref="D399">IF(_xlfn.XLOOKUP(CONT_SUP[[#This Row],[StaffRoleCode]],ROLES[StaffRoleCode],ROLES[AvailableToAllSchools],1,0,)=TRUE,0,IF(ISERROR(FIND(CONT_SUP[[#This Row],[SchoolCode]],_xlfn.TEXTJOIN(",",TRUE,_xlfn.UNIQUE(IF(ROLES[StaffRoleCode]=CONT_SUP[[#This Row],[StaffRoleCode]],ROLES[SchoolCodes],""))))),1,0))</f>
        <v>0</v>
      </c>
      <c r="E399" s="57" cm="1">
        <f t="array" ref="E399">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399" s="57" cm="1">
        <f t="array" ref="F399">IF(_xlfn.XLOOKUP(CONT_SUP[[#This Row],[PayScaleCode]],PAYSCALES[PayScaleCode],PAYSCALES[AvailableToAllSchools],1,0,)=TRUE,0,IF(ISERROR(FIND(CONT_SUP[[#This Row],[SchoolCode]],_xlfn.TEXTJOIN(",",TRUE,_xlfn.UNIQUE(IF(PAYSCALES[PayScaleCode]=CONT_SUP[[#This Row],[PayScaleCode]],PAYSCALES[SchoolCodes],""))))),1,0))</f>
        <v>0</v>
      </c>
      <c r="G399" s="57">
        <f>IF(_xlfn.XLOOKUP(CONT_SUP[[#This Row],[PayScaleGradeCode]],GRADES[PayScaleGradeCode],GRADES[AvailableToAllSchools])=TRUE,0,IFERROR(IF(FIND(CONT_SUP[[#This Row],[SchoolCode]],_xlfn.XLOOKUP(CONT_SUP[[#This Row],[PayScaleGradeCode]],GRADES[PayScaleGradeCode],GRADES[SchoolCodes]))&gt;=1,0,1),1))</f>
        <v>0</v>
      </c>
      <c r="H399" s="57">
        <f>IF(ISERROR(IF((_xlfn.XLOOKUP(CONT_SUP[[#This Row],[PayScaleGradeCode]],GRADES[PayScaleGradeCode],GRADES[PayScaleCode])=CONT_SUP[[#This Row],[PayScaleCode]]),0,1)),1,0)</f>
        <v>0</v>
      </c>
      <c r="I399" s="57" cm="1">
        <f t="array" ref="I399">IF(ISERROR(FIND(CONT_SUP[[#This Row],[PayScalePointCode]],_xlfn.TEXTJOIN(",",TRUE,IF(PSPOINTS[PayScaleCode]=CONT_SUP[[#This Row],[PayScaleCode]],PSPOINTS[PayScalePointCode])))),1,0)</f>
        <v>0</v>
      </c>
      <c r="J399" s="57" cm="1">
        <f t="array" ref="J399">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399" s="57">
        <f>IF(_xlfn.XLOOKUP(CONT_SUP[[#This Row],[PayScalePointCode]],PSPOINTS[PayScalePointCode],PSPOINTS[PayScalePointEnabled])=TRUE,0,1)</f>
        <v>0</v>
      </c>
      <c r="L399" s="57" cm="1">
        <f t="array" ref="L399">IF(_xlfn.XLOOKUP(CONT_SUP[[#This Row],[DepartmentCode]],DEPTS[DepartmentCode],DEPTS[AvailableToAllSchools],1,0,)=TRUE,0,IF(ISERROR(FIND(CONT_SUP[[#This Row],[SchoolCode]],_xlfn.TEXTJOIN(",",TRUE,_xlfn.UNIQUE(IF(DEPTS[DepartmentCode]=CONT_SUP[[#This Row],[DepartmentCode]],DEPTS[SchoolCodes],""))))),1,0))</f>
        <v>0</v>
      </c>
      <c r="M399" s="57">
        <f>IFERROR(IF(_xlfn.XLOOKUP(CONT_SUP[[#This Row],[SRG Gross]],FinanceCodesBudget[FinanceCode],FinanceCodesBudget[LedgerCode])=_xlfn.XLOOKUP(CONT_SUP[[#This Row],[DepartmentCode]],DEPTS[DepartmentCode],DEPTS[LedgerCode]),0,1),1)</f>
        <v>1</v>
      </c>
      <c r="N399" s="57" cm="1">
        <f t="array" ref="N399">IF(_xlfn.XLOOKUP(CONT_SUP[[#This Row],[PensionCode]],PENS[PensionCode],PENS[AvailableToAllSchools],1,0,)=TRUE,0,IF(ISERROR(FIND(CONT_SUP[[#This Row],[SchoolCode]],_xlfn.TEXTJOIN(",",TRUE,_xlfn.UNIQUE(IF(PENS[PensionCode]=CONT_SUP[[#This Row],[PensionCode]],PENS[SchoolCodes],""))))),1,0))</f>
        <v>0</v>
      </c>
      <c r="O399" s="57" cm="1">
        <f t="array" ref="O399">IF(_xlfn.XLOOKUP(CONT_SUP[[#This Row],[EquatedWeekPatternCode]],EQW[EquatedWeekPatternCode],EQW[AvailableToAllSchools],1,0,)=TRUE,0,IF(ISERROR(FIND(CONT_SUP[[#This Row],[SchoolCode]],_xlfn.TEXTJOIN(",",TRUE,_xlfn.UNIQUE(IF(EQW[EquatedWeekPatternCode]=CONT_SUP[[#This Row],[EquatedWeekPatternCode]],EQW[SchoolCodes],""))))),1,0))</f>
        <v>0</v>
      </c>
      <c r="P399" s="57">
        <f>1-COUNTIF(ContractTypes[Code],CONT_SUP[[#This Row],[ContractTypeCode]])</f>
        <v>0</v>
      </c>
      <c r="Q399" s="57">
        <f>IF(VLOOKUP(CONT_SUP[[#This Row],[StaffMemberCode]],MEMBERS[[StaffMemberCode]:[ServiceStartDate]],5,0)&gt;CONT_SUP[[#This Row],[DateFrom]],1,0)</f>
        <v>0</v>
      </c>
      <c r="R399" s="57">
        <f>IF(_xlfn.XLOOKUP(CONT_SUP[[#This Row],[StaffMemberCode]],MEMBERS[StaffMemberCode],MEMBERS[ServiceEndDate])="",0,IF(CONT_SUP[[#This Row],[DateTo]]="",1,IF(_xlfn.XLOOKUP(CONT_SUP[[#This Row],[StaffMemberCode]],MEMBERS[StaffMemberCode],MEMBERS[ServiceEndDate])&lt;CONT_SUP[[#This Row],[DateTo]],1,0)))</f>
        <v>0</v>
      </c>
      <c r="S399" s="57">
        <f>IF(ISBLANK(CONT_SUP[[#This Row],[DateTo]]),0,IF(CONT_SUP[[#This Row],[DateFrom]]=CONT_SUP[[#This Row],[DateTo]],0,IF(CONT_SUP[[#This Row],[DateFrom]]&lt;CONT_SUP[[#This Row],[DateTo]],0,1)))</f>
        <v>0</v>
      </c>
      <c r="T399" s="57" cm="1">
        <f t="array" aca="1" ref="T399" ca="1">IF(CELL("format",CONT_SUP[[#This Row],[DateFrom]])="D1",0,1)+IF(CELL("format",CONT_SUP[[#This Row],[DateTo]])="D1",0,1)</f>
        <v>0</v>
      </c>
      <c r="U399" s="57">
        <f>IF(OR(CONT_SUP[[#This Row],[MatEditOnly]]=TRUE,CONT_SUP[[#This Row],[MatEditOnly]]=FALSE),IF(OR(CONT_SUP[[#This Row],[NoIncrement]]=TRUE,CONT_SUP[[#This Row],[NoIncrement]]=FALSE),0,1),1)</f>
        <v>0</v>
      </c>
      <c r="V399" s="57">
        <f>IF(ISBLANK(CONT_SUP[[#This Row],[FundCode]])=TRUE,0,IF(COUNTIF(FUNDS[FundCode],CONT_SUP[[#This Row],[FundCode]])=1,0,1))</f>
        <v>0</v>
      </c>
      <c r="W399" s="57">
        <f>IF(LEN(CONT_SUP[[#This Row],[Notes]])&lt;4000,0,1)</f>
        <v>0</v>
      </c>
      <c r="X399" s="57">
        <f>IF(SUBSTITUTE(TEXT(CONT_SUP[[#This Row],[Reference]],10)," ","")=TEXT(CONT_SUP[[#This Row],[Reference]],10),0,1)</f>
        <v>0</v>
      </c>
      <c r="Y399" s="57">
        <f ca="1">SUM(CONT_SUP[[#This Row],[Duplicate Contract]:[Space in Code]])</f>
        <v>1</v>
      </c>
      <c r="AA399" s="12" t="s">
        <v>2126</v>
      </c>
      <c r="AB399" s="12">
        <v>10006283</v>
      </c>
      <c r="AC399" s="12">
        <v>107165</v>
      </c>
      <c r="AD399" s="57" t="str">
        <f>_xlfn.XLOOKUP(CONT_SUP[[#This Row],[StaffMemberCode]],StaffMembers!O:O,StaffMembers!R:R)</f>
        <v>Aneta Talbot</v>
      </c>
      <c r="AE399" s="12" t="s">
        <v>1184</v>
      </c>
      <c r="AF399" s="57">
        <f>_xlfn.XLOOKUP(CONT_SUP[[#This Row],[SRG]],SRG[StaffRoleGroupCode],SRG[GrossSalaryFinanceCode])</f>
        <v>622100</v>
      </c>
      <c r="AG399" s="57" t="str">
        <f>_xlfn.XLOOKUP(CONT_SUP[[#This Row],[StaffRoleCode]],ROLES[StaffRoleCode],ROLES[StaffRoleGroupCode])</f>
        <v>TEC</v>
      </c>
      <c r="AH399" s="57" t="str">
        <f>_xlfn.XLOOKUP(CONT_SUP[[#This Row],[StaffRoleCode]],ROLES[StaffRoleCode],ROLES[PayScaleCode])</f>
        <v>NJC_CHE</v>
      </c>
      <c r="AI399" s="12" t="s">
        <v>3121</v>
      </c>
      <c r="AJ399" s="12">
        <v>4</v>
      </c>
      <c r="AK399" s="12" t="s">
        <v>2501</v>
      </c>
      <c r="AM399" s="68" t="s">
        <v>3132</v>
      </c>
      <c r="AN399" s="12" t="s">
        <v>3134</v>
      </c>
      <c r="AO399" s="21">
        <v>46023</v>
      </c>
      <c r="AQ399" s="12">
        <v>15</v>
      </c>
      <c r="AR399" t="b">
        <v>0</v>
      </c>
      <c r="AS399" t="b">
        <v>0</v>
      </c>
      <c r="AT399" s="12" t="s">
        <v>1574</v>
      </c>
    </row>
    <row r="400" spans="1:46" x14ac:dyDescent="0.3">
      <c r="A400" s="57" t="str">
        <f t="shared" si="13"/>
        <v>MLB10005319106088TECSTECH46023</v>
      </c>
      <c r="B400" s="57">
        <f>COUNTIF(CONT_SUP[Unique Contract],CONT_SUP[[#This Row],[Unique Contract]])-1</f>
        <v>0</v>
      </c>
      <c r="C400" s="57">
        <f>IFERROR(IF(FIND(CONT_SUP[[#This Row],[SchoolCode]],_xlfn.XLOOKUP(CONT_SUP[[#This Row],[StaffMemberCode]],MEMBERS[StaffMemberCode],MEMBERS[SchoolCodes]))&gt;0,0,1),1)</f>
        <v>0</v>
      </c>
      <c r="D400" s="57" cm="1">
        <f t="array" ref="D400">IF(_xlfn.XLOOKUP(CONT_SUP[[#This Row],[StaffRoleCode]],ROLES[StaffRoleCode],ROLES[AvailableToAllSchools],1,0,)=TRUE,0,IF(ISERROR(FIND(CONT_SUP[[#This Row],[SchoolCode]],_xlfn.TEXTJOIN(",",TRUE,_xlfn.UNIQUE(IF(ROLES[StaffRoleCode]=CONT_SUP[[#This Row],[StaffRoleCode]],ROLES[SchoolCodes],""))))),1,0))</f>
        <v>0</v>
      </c>
      <c r="E400" s="57" cm="1">
        <f t="array" ref="E400">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400" s="57" cm="1">
        <f t="array" ref="F400">IF(_xlfn.XLOOKUP(CONT_SUP[[#This Row],[PayScaleCode]],PAYSCALES[PayScaleCode],PAYSCALES[AvailableToAllSchools],1,0,)=TRUE,0,IF(ISERROR(FIND(CONT_SUP[[#This Row],[SchoolCode]],_xlfn.TEXTJOIN(",",TRUE,_xlfn.UNIQUE(IF(PAYSCALES[PayScaleCode]=CONT_SUP[[#This Row],[PayScaleCode]],PAYSCALES[SchoolCodes],""))))),1,0))</f>
        <v>0</v>
      </c>
      <c r="G400" s="57">
        <f>IF(_xlfn.XLOOKUP(CONT_SUP[[#This Row],[PayScaleGradeCode]],GRADES[PayScaleGradeCode],GRADES[AvailableToAllSchools])=TRUE,0,IFERROR(IF(FIND(CONT_SUP[[#This Row],[SchoolCode]],_xlfn.XLOOKUP(CONT_SUP[[#This Row],[PayScaleGradeCode]],GRADES[PayScaleGradeCode],GRADES[SchoolCodes]))&gt;=1,0,1),1))</f>
        <v>0</v>
      </c>
      <c r="H400" s="57">
        <f>IF(ISERROR(IF((_xlfn.XLOOKUP(CONT_SUP[[#This Row],[PayScaleGradeCode]],GRADES[PayScaleGradeCode],GRADES[PayScaleCode])=CONT_SUP[[#This Row],[PayScaleCode]]),0,1)),1,0)</f>
        <v>0</v>
      </c>
      <c r="I400" s="57" cm="1">
        <f t="array" ref="I400">IF(ISERROR(FIND(CONT_SUP[[#This Row],[PayScalePointCode]],_xlfn.TEXTJOIN(",",TRUE,IF(PSPOINTS[PayScaleCode]=CONT_SUP[[#This Row],[PayScaleCode]],PSPOINTS[PayScalePointCode])))),1,0)</f>
        <v>0</v>
      </c>
      <c r="J400" s="57" cm="1">
        <f t="array" ref="J400">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400" s="57">
        <f>IF(_xlfn.XLOOKUP(CONT_SUP[[#This Row],[PayScalePointCode]],PSPOINTS[PayScalePointCode],PSPOINTS[PayScalePointEnabled])=TRUE,0,1)</f>
        <v>0</v>
      </c>
      <c r="L400" s="57" cm="1">
        <f t="array" ref="L400">IF(_xlfn.XLOOKUP(CONT_SUP[[#This Row],[DepartmentCode]],DEPTS[DepartmentCode],DEPTS[AvailableToAllSchools],1,0,)=TRUE,0,IF(ISERROR(FIND(CONT_SUP[[#This Row],[SchoolCode]],_xlfn.TEXTJOIN(",",TRUE,_xlfn.UNIQUE(IF(DEPTS[DepartmentCode]=CONT_SUP[[#This Row],[DepartmentCode]],DEPTS[SchoolCodes],""))))),1,0))</f>
        <v>0</v>
      </c>
      <c r="M400" s="57">
        <f>IFERROR(IF(_xlfn.XLOOKUP(CONT_SUP[[#This Row],[SRG Gross]],FinanceCodesBudget[FinanceCode],FinanceCodesBudget[LedgerCode])=_xlfn.XLOOKUP(CONT_SUP[[#This Row],[DepartmentCode]],DEPTS[DepartmentCode],DEPTS[LedgerCode]),0,1),1)</f>
        <v>1</v>
      </c>
      <c r="N400" s="57" cm="1">
        <f t="array" ref="N400">IF(_xlfn.XLOOKUP(CONT_SUP[[#This Row],[PensionCode]],PENS[PensionCode],PENS[AvailableToAllSchools],1,0,)=TRUE,0,IF(ISERROR(FIND(CONT_SUP[[#This Row],[SchoolCode]],_xlfn.TEXTJOIN(",",TRUE,_xlfn.UNIQUE(IF(PENS[PensionCode]=CONT_SUP[[#This Row],[PensionCode]],PENS[SchoolCodes],""))))),1,0))</f>
        <v>0</v>
      </c>
      <c r="O400" s="57" cm="1">
        <f t="array" ref="O400">IF(_xlfn.XLOOKUP(CONT_SUP[[#This Row],[EquatedWeekPatternCode]],EQW[EquatedWeekPatternCode],EQW[AvailableToAllSchools],1,0,)=TRUE,0,IF(ISERROR(FIND(CONT_SUP[[#This Row],[SchoolCode]],_xlfn.TEXTJOIN(",",TRUE,_xlfn.UNIQUE(IF(EQW[EquatedWeekPatternCode]=CONT_SUP[[#This Row],[EquatedWeekPatternCode]],EQW[SchoolCodes],""))))),1,0))</f>
        <v>0</v>
      </c>
      <c r="P400" s="57">
        <f>1-COUNTIF(ContractTypes[Code],CONT_SUP[[#This Row],[ContractTypeCode]])</f>
        <v>0</v>
      </c>
      <c r="Q400" s="57">
        <f>IF(VLOOKUP(CONT_SUP[[#This Row],[StaffMemberCode]],MEMBERS[[StaffMemberCode]:[ServiceStartDate]],5,0)&gt;CONT_SUP[[#This Row],[DateFrom]],1,0)</f>
        <v>0</v>
      </c>
      <c r="R400" s="57">
        <f>IF(_xlfn.XLOOKUP(CONT_SUP[[#This Row],[StaffMemberCode]],MEMBERS[StaffMemberCode],MEMBERS[ServiceEndDate])="",0,IF(CONT_SUP[[#This Row],[DateTo]]="",1,IF(_xlfn.XLOOKUP(CONT_SUP[[#This Row],[StaffMemberCode]],MEMBERS[StaffMemberCode],MEMBERS[ServiceEndDate])&lt;CONT_SUP[[#This Row],[DateTo]],1,0)))</f>
        <v>0</v>
      </c>
      <c r="S400" s="57">
        <f>IF(ISBLANK(CONT_SUP[[#This Row],[DateTo]]),0,IF(CONT_SUP[[#This Row],[DateFrom]]=CONT_SUP[[#This Row],[DateTo]],0,IF(CONT_SUP[[#This Row],[DateFrom]]&lt;CONT_SUP[[#This Row],[DateTo]],0,1)))</f>
        <v>0</v>
      </c>
      <c r="T400" s="57" cm="1">
        <f t="array" aca="1" ref="T400" ca="1">IF(CELL("format",CONT_SUP[[#This Row],[DateFrom]])="D1",0,1)+IF(CELL("format",CONT_SUP[[#This Row],[DateTo]])="D1",0,1)</f>
        <v>0</v>
      </c>
      <c r="U400" s="57">
        <f>IF(OR(CONT_SUP[[#This Row],[MatEditOnly]]=TRUE,CONT_SUP[[#This Row],[MatEditOnly]]=FALSE),IF(OR(CONT_SUP[[#This Row],[NoIncrement]]=TRUE,CONT_SUP[[#This Row],[NoIncrement]]=FALSE),0,1),1)</f>
        <v>0</v>
      </c>
      <c r="V400" s="57">
        <f>IF(ISBLANK(CONT_SUP[[#This Row],[FundCode]])=TRUE,0,IF(COUNTIF(FUNDS[FundCode],CONT_SUP[[#This Row],[FundCode]])=1,0,1))</f>
        <v>0</v>
      </c>
      <c r="W400" s="57">
        <f>IF(LEN(CONT_SUP[[#This Row],[Notes]])&lt;4000,0,1)</f>
        <v>0</v>
      </c>
      <c r="X400" s="57">
        <f>IF(SUBSTITUTE(TEXT(CONT_SUP[[#This Row],[Reference]],10)," ","")=TEXT(CONT_SUP[[#This Row],[Reference]],10),0,1)</f>
        <v>0</v>
      </c>
      <c r="Y400" s="57">
        <f ca="1">SUM(CONT_SUP[[#This Row],[Duplicate Contract]:[Space in Code]])</f>
        <v>1</v>
      </c>
      <c r="AA400" s="12" t="s">
        <v>2126</v>
      </c>
      <c r="AB400" s="12">
        <v>10005319</v>
      </c>
      <c r="AC400" s="12">
        <v>106088</v>
      </c>
      <c r="AD400" s="57" t="str">
        <f>_xlfn.XLOOKUP(CONT_SUP[[#This Row],[StaffMemberCode]],StaffMembers!O:O,StaffMembers!R:R)</f>
        <v>Cristina Bourne</v>
      </c>
      <c r="AE400" s="12" t="s">
        <v>1184</v>
      </c>
      <c r="AF400" s="57">
        <f>_xlfn.XLOOKUP(CONT_SUP[[#This Row],[SRG]],SRG[StaffRoleGroupCode],SRG[GrossSalaryFinanceCode])</f>
        <v>622100</v>
      </c>
      <c r="AG400" s="57" t="str">
        <f>_xlfn.XLOOKUP(CONT_SUP[[#This Row],[StaffRoleCode]],ROLES[StaffRoleCode],ROLES[StaffRoleGroupCode])</f>
        <v>TEC</v>
      </c>
      <c r="AH400" s="57" t="str">
        <f>_xlfn.XLOOKUP(CONT_SUP[[#This Row],[StaffRoleCode]],ROLES[StaffRoleCode],ROLES[PayScaleCode])</f>
        <v>NJC_CHE</v>
      </c>
      <c r="AI400" s="12" t="s">
        <v>3122</v>
      </c>
      <c r="AJ400" s="12">
        <v>6</v>
      </c>
      <c r="AK400" s="12" t="s">
        <v>2501</v>
      </c>
      <c r="AM400" s="68" t="s">
        <v>3132</v>
      </c>
      <c r="AN400" s="12" t="s">
        <v>3134</v>
      </c>
      <c r="AO400" s="21">
        <v>46023</v>
      </c>
      <c r="AQ400" s="12">
        <v>18.5</v>
      </c>
      <c r="AR400" t="b">
        <v>0</v>
      </c>
      <c r="AS400" t="b">
        <v>0</v>
      </c>
      <c r="AT400" s="12" t="s">
        <v>1574</v>
      </c>
    </row>
    <row r="401" spans="1:46" x14ac:dyDescent="0.3">
      <c r="A401" s="57" t="str">
        <f t="shared" si="13"/>
        <v>MLBZZ_TBC_02TECSTECH46023</v>
      </c>
      <c r="B401" s="57">
        <f>COUNTIF(CONT_SUP[Unique Contract],CONT_SUP[[#This Row],[Unique Contract]])-1</f>
        <v>0</v>
      </c>
      <c r="C401" s="57">
        <f>IFERROR(IF(FIND(CONT_SUP[[#This Row],[SchoolCode]],_xlfn.XLOOKUP(CONT_SUP[[#This Row],[StaffMemberCode]],MEMBERS[StaffMemberCode],MEMBERS[SchoolCodes]))&gt;0,0,1),1)</f>
        <v>0</v>
      </c>
      <c r="D401" s="57" cm="1">
        <f t="array" ref="D401">IF(_xlfn.XLOOKUP(CONT_SUP[[#This Row],[StaffRoleCode]],ROLES[StaffRoleCode],ROLES[AvailableToAllSchools],1,0,)=TRUE,0,IF(ISERROR(FIND(CONT_SUP[[#This Row],[SchoolCode]],_xlfn.TEXTJOIN(",",TRUE,_xlfn.UNIQUE(IF(ROLES[StaffRoleCode]=CONT_SUP[[#This Row],[StaffRoleCode]],ROLES[SchoolCodes],""))))),1,0))</f>
        <v>0</v>
      </c>
      <c r="E401" s="57" cm="1">
        <f t="array" ref="E401">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401" s="57" cm="1">
        <f t="array" ref="F401">IF(_xlfn.XLOOKUP(CONT_SUP[[#This Row],[PayScaleCode]],PAYSCALES[PayScaleCode],PAYSCALES[AvailableToAllSchools],1,0,)=TRUE,0,IF(ISERROR(FIND(CONT_SUP[[#This Row],[SchoolCode]],_xlfn.TEXTJOIN(",",TRUE,_xlfn.UNIQUE(IF(PAYSCALES[PayScaleCode]=CONT_SUP[[#This Row],[PayScaleCode]],PAYSCALES[SchoolCodes],""))))),1,0))</f>
        <v>0</v>
      </c>
      <c r="G401" s="57">
        <f>IF(_xlfn.XLOOKUP(CONT_SUP[[#This Row],[PayScaleGradeCode]],GRADES[PayScaleGradeCode],GRADES[AvailableToAllSchools])=TRUE,0,IFERROR(IF(FIND(CONT_SUP[[#This Row],[SchoolCode]],_xlfn.XLOOKUP(CONT_SUP[[#This Row],[PayScaleGradeCode]],GRADES[PayScaleGradeCode],GRADES[SchoolCodes]))&gt;=1,0,1),1))</f>
        <v>0</v>
      </c>
      <c r="H401" s="57">
        <f>IF(ISERROR(IF((_xlfn.XLOOKUP(CONT_SUP[[#This Row],[PayScaleGradeCode]],GRADES[PayScaleGradeCode],GRADES[PayScaleCode])=CONT_SUP[[#This Row],[PayScaleCode]]),0,1)),1,0)</f>
        <v>0</v>
      </c>
      <c r="I401" s="57" cm="1">
        <f t="array" ref="I401">IF(ISERROR(FIND(CONT_SUP[[#This Row],[PayScalePointCode]],_xlfn.TEXTJOIN(",",TRUE,IF(PSPOINTS[PayScaleCode]=CONT_SUP[[#This Row],[PayScaleCode]],PSPOINTS[PayScalePointCode])))),1,0)</f>
        <v>0</v>
      </c>
      <c r="J401" s="57" cm="1">
        <f t="array" ref="J40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401" s="57">
        <f>IF(_xlfn.XLOOKUP(CONT_SUP[[#This Row],[PayScalePointCode]],PSPOINTS[PayScalePointCode],PSPOINTS[PayScalePointEnabled])=TRUE,0,1)</f>
        <v>0</v>
      </c>
      <c r="L401" s="57" cm="1">
        <f t="array" ref="L401">IF(_xlfn.XLOOKUP(CONT_SUP[[#This Row],[DepartmentCode]],DEPTS[DepartmentCode],DEPTS[AvailableToAllSchools],1,0,)=TRUE,0,IF(ISERROR(FIND(CONT_SUP[[#This Row],[SchoolCode]],_xlfn.TEXTJOIN(",",TRUE,_xlfn.UNIQUE(IF(DEPTS[DepartmentCode]=CONT_SUP[[#This Row],[DepartmentCode]],DEPTS[SchoolCodes],""))))),1,0))</f>
        <v>0</v>
      </c>
      <c r="M401" s="57">
        <f>IFERROR(IF(_xlfn.XLOOKUP(CONT_SUP[[#This Row],[SRG Gross]],FinanceCodesBudget[FinanceCode],FinanceCodesBudget[LedgerCode])=_xlfn.XLOOKUP(CONT_SUP[[#This Row],[DepartmentCode]],DEPTS[DepartmentCode],DEPTS[LedgerCode]),0,1),1)</f>
        <v>1</v>
      </c>
      <c r="N401" s="57" cm="1">
        <f t="array" ref="N401">IF(_xlfn.XLOOKUP(CONT_SUP[[#This Row],[PensionCode]],PENS[PensionCode],PENS[AvailableToAllSchools],1,0,)=TRUE,0,IF(ISERROR(FIND(CONT_SUP[[#This Row],[SchoolCode]],_xlfn.TEXTJOIN(",",TRUE,_xlfn.UNIQUE(IF(PENS[PensionCode]=CONT_SUP[[#This Row],[PensionCode]],PENS[SchoolCodes],""))))),1,0))</f>
        <v>0</v>
      </c>
      <c r="O401" s="57" cm="1">
        <f t="array" ref="O401">IF(_xlfn.XLOOKUP(CONT_SUP[[#This Row],[EquatedWeekPatternCode]],EQW[EquatedWeekPatternCode],EQW[AvailableToAllSchools],1,0,)=TRUE,0,IF(ISERROR(FIND(CONT_SUP[[#This Row],[SchoolCode]],_xlfn.TEXTJOIN(",",TRUE,_xlfn.UNIQUE(IF(EQW[EquatedWeekPatternCode]=CONT_SUP[[#This Row],[EquatedWeekPatternCode]],EQW[SchoolCodes],""))))),1,0))</f>
        <v>0</v>
      </c>
      <c r="P401" s="57">
        <f>1-COUNTIF(ContractTypes[Code],CONT_SUP[[#This Row],[ContractTypeCode]])</f>
        <v>0</v>
      </c>
      <c r="Q401" s="57">
        <f>IF(VLOOKUP(CONT_SUP[[#This Row],[StaffMemberCode]],MEMBERS[[StaffMemberCode]:[ServiceStartDate]],5,0)&gt;CONT_SUP[[#This Row],[DateFrom]],1,0)</f>
        <v>0</v>
      </c>
      <c r="R401" s="57">
        <f>IF(_xlfn.XLOOKUP(CONT_SUP[[#This Row],[StaffMemberCode]],MEMBERS[StaffMemberCode],MEMBERS[ServiceEndDate])="",0,IF(CONT_SUP[[#This Row],[DateTo]]="",1,IF(_xlfn.XLOOKUP(CONT_SUP[[#This Row],[StaffMemberCode]],MEMBERS[StaffMemberCode],MEMBERS[ServiceEndDate])&lt;CONT_SUP[[#This Row],[DateTo]],1,0)))</f>
        <v>0</v>
      </c>
      <c r="S401" s="57">
        <f>IF(ISBLANK(CONT_SUP[[#This Row],[DateTo]]),0,IF(CONT_SUP[[#This Row],[DateFrom]]=CONT_SUP[[#This Row],[DateTo]],0,IF(CONT_SUP[[#This Row],[DateFrom]]&lt;CONT_SUP[[#This Row],[DateTo]],0,1)))</f>
        <v>0</v>
      </c>
      <c r="T401" s="57" cm="1">
        <f t="array" aca="1" ref="T401" ca="1">IF(CELL("format",CONT_SUP[[#This Row],[DateFrom]])="D1",0,1)+IF(CELL("format",CONT_SUP[[#This Row],[DateTo]])="D1",0,1)</f>
        <v>0</v>
      </c>
      <c r="U401" s="57">
        <f>IF(OR(CONT_SUP[[#This Row],[MatEditOnly]]=TRUE,CONT_SUP[[#This Row],[MatEditOnly]]=FALSE),IF(OR(CONT_SUP[[#This Row],[NoIncrement]]=TRUE,CONT_SUP[[#This Row],[NoIncrement]]=FALSE),0,1),1)</f>
        <v>0</v>
      </c>
      <c r="V401" s="57">
        <f>IF(ISBLANK(CONT_SUP[[#This Row],[FundCode]])=TRUE,0,IF(COUNTIF(FUNDS[FundCode],CONT_SUP[[#This Row],[FundCode]])=1,0,1))</f>
        <v>0</v>
      </c>
      <c r="W401" s="57">
        <f>IF(LEN(CONT_SUP[[#This Row],[Notes]])&lt;4000,0,1)</f>
        <v>0</v>
      </c>
      <c r="X401" s="57">
        <f>IF(SUBSTITUTE(TEXT(CONT_SUP[[#This Row],[Reference]],10)," ","")=TEXT(CONT_SUP[[#This Row],[Reference]],10),0,1)</f>
        <v>0</v>
      </c>
      <c r="Y401" s="57">
        <f ca="1">SUM(CONT_SUP[[#This Row],[Duplicate Contract]:[Space in Code]])</f>
        <v>1</v>
      </c>
      <c r="AA401" s="12" t="s">
        <v>2126</v>
      </c>
      <c r="AB401" s="12" t="s">
        <v>3944</v>
      </c>
      <c r="AD401" s="57" t="str">
        <f>_xlfn.XLOOKUP(CONT_SUP[[#This Row],[StaffMemberCode]],StaffMembers!O:O,StaffMembers!R:R)</f>
        <v>Angela Murton</v>
      </c>
      <c r="AE401" s="12" t="s">
        <v>1184</v>
      </c>
      <c r="AF401" s="57">
        <f>_xlfn.XLOOKUP(CONT_SUP[[#This Row],[SRG]],SRG[StaffRoleGroupCode],SRG[GrossSalaryFinanceCode])</f>
        <v>622100</v>
      </c>
      <c r="AG401" s="57" t="str">
        <f>_xlfn.XLOOKUP(CONT_SUP[[#This Row],[StaffRoleCode]],ROLES[StaffRoleCode],ROLES[StaffRoleGroupCode])</f>
        <v>TEC</v>
      </c>
      <c r="AH401" s="57" t="str">
        <f>_xlfn.XLOOKUP(CONT_SUP[[#This Row],[StaffRoleCode]],ROLES[StaffRoleCode],ROLES[PayScaleCode])</f>
        <v>NJC_CHE</v>
      </c>
      <c r="AI401" s="12" t="s">
        <v>3122</v>
      </c>
      <c r="AJ401" s="12">
        <v>5</v>
      </c>
      <c r="AK401" s="12" t="s">
        <v>2501</v>
      </c>
      <c r="AM401" s="68" t="s">
        <v>3132</v>
      </c>
      <c r="AN401" s="12" t="s">
        <v>3134</v>
      </c>
      <c r="AO401" s="21">
        <v>46023</v>
      </c>
      <c r="AQ401" s="12">
        <v>29.6</v>
      </c>
      <c r="AR401" t="b">
        <v>0</v>
      </c>
      <c r="AS401" t="b">
        <v>0</v>
      </c>
      <c r="AT401" s="12" t="s">
        <v>1574</v>
      </c>
    </row>
    <row r="402" spans="1:46" x14ac:dyDescent="0.3">
      <c r="A402" s="57" t="str">
        <f t="shared" si="13"/>
        <v>MLB10014598113601TECSTECH46023</v>
      </c>
      <c r="B402" s="57">
        <f>COUNTIF(CONT_SUP[Unique Contract],CONT_SUP[[#This Row],[Unique Contract]])-1</f>
        <v>0</v>
      </c>
      <c r="C402" s="57">
        <f>IFERROR(IF(FIND(CONT_SUP[[#This Row],[SchoolCode]],_xlfn.XLOOKUP(CONT_SUP[[#This Row],[StaffMemberCode]],MEMBERS[StaffMemberCode],MEMBERS[SchoolCodes]))&gt;0,0,1),1)</f>
        <v>0</v>
      </c>
      <c r="D402" s="57" cm="1">
        <f t="array" ref="D402">IF(_xlfn.XLOOKUP(CONT_SUP[[#This Row],[StaffRoleCode]],ROLES[StaffRoleCode],ROLES[AvailableToAllSchools],1,0,)=TRUE,0,IF(ISERROR(FIND(CONT_SUP[[#This Row],[SchoolCode]],_xlfn.TEXTJOIN(",",TRUE,_xlfn.UNIQUE(IF(ROLES[StaffRoleCode]=CONT_SUP[[#This Row],[StaffRoleCode]],ROLES[SchoolCodes],""))))),1,0))</f>
        <v>0</v>
      </c>
      <c r="E402" s="57" cm="1">
        <f t="array" ref="E402">IF(_xlfn.XLOOKUP(CONT_SUP[[#This Row],[SRG Gross]],FinanceCodesBudget[FinanceCode],FinanceCodesBudget[AvailableToAllSchools],1,0,)=TRUE,0,IF(ISERROR(FIND(CONT_SUP[[#This Row],[SchoolCode]],_xlfn.TEXTJOIN(",",TRUE,_xlfn.UNIQUE(IF(FinanceCodesBudget[FinanceCode]=CONT_SUP[[#This Row],[SRG Gross]],FinanceCodesBudget[SchoolCodes],""))))),1,0))</f>
        <v>0</v>
      </c>
      <c r="F402" s="57" cm="1">
        <f t="array" ref="F402">IF(_xlfn.XLOOKUP(CONT_SUP[[#This Row],[PayScaleCode]],PAYSCALES[PayScaleCode],PAYSCALES[AvailableToAllSchools],1,0,)=TRUE,0,IF(ISERROR(FIND(CONT_SUP[[#This Row],[SchoolCode]],_xlfn.TEXTJOIN(",",TRUE,_xlfn.UNIQUE(IF(PAYSCALES[PayScaleCode]=CONT_SUP[[#This Row],[PayScaleCode]],PAYSCALES[SchoolCodes],""))))),1,0))</f>
        <v>0</v>
      </c>
      <c r="G402" s="57">
        <f>IF(_xlfn.XLOOKUP(CONT_SUP[[#This Row],[PayScaleGradeCode]],GRADES[PayScaleGradeCode],GRADES[AvailableToAllSchools])=TRUE,0,IFERROR(IF(FIND(CONT_SUP[[#This Row],[SchoolCode]],_xlfn.XLOOKUP(CONT_SUP[[#This Row],[PayScaleGradeCode]],GRADES[PayScaleGradeCode],GRADES[SchoolCodes]))&gt;=1,0,1),1))</f>
        <v>0</v>
      </c>
      <c r="H402" s="57">
        <f>IF(ISERROR(IF((_xlfn.XLOOKUP(CONT_SUP[[#This Row],[PayScaleGradeCode]],GRADES[PayScaleGradeCode],GRADES[PayScaleCode])=CONT_SUP[[#This Row],[PayScaleCode]]),0,1)),1,0)</f>
        <v>0</v>
      </c>
      <c r="I402" s="57" cm="1">
        <f t="array" ref="I402">IF(ISERROR(FIND(CONT_SUP[[#This Row],[PayScalePointCode]],_xlfn.TEXTJOIN(",",TRUE,IF(PSPOINTS[PayScaleCode]=CONT_SUP[[#This Row],[PayScaleCode]],PSPOINTS[PayScalePointCode])))),1,0)</f>
        <v>0</v>
      </c>
      <c r="J402" s="57" cm="1">
        <f t="array" ref="J40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0</v>
      </c>
      <c r="K402" s="57">
        <f>IF(_xlfn.XLOOKUP(CONT_SUP[[#This Row],[PayScalePointCode]],PSPOINTS[PayScalePointCode],PSPOINTS[PayScalePointEnabled])=TRUE,0,1)</f>
        <v>0</v>
      </c>
      <c r="L402" s="57" cm="1">
        <f t="array" ref="L402">IF(_xlfn.XLOOKUP(CONT_SUP[[#This Row],[DepartmentCode]],DEPTS[DepartmentCode],DEPTS[AvailableToAllSchools],1,0,)=TRUE,0,IF(ISERROR(FIND(CONT_SUP[[#This Row],[SchoolCode]],_xlfn.TEXTJOIN(",",TRUE,_xlfn.UNIQUE(IF(DEPTS[DepartmentCode]=CONT_SUP[[#This Row],[DepartmentCode]],DEPTS[SchoolCodes],""))))),1,0))</f>
        <v>0</v>
      </c>
      <c r="M402" s="57">
        <f>IFERROR(IF(_xlfn.XLOOKUP(CONT_SUP[[#This Row],[SRG Gross]],FinanceCodesBudget[FinanceCode],FinanceCodesBudget[LedgerCode])=_xlfn.XLOOKUP(CONT_SUP[[#This Row],[DepartmentCode]],DEPTS[DepartmentCode],DEPTS[LedgerCode]),0,1),1)</f>
        <v>1</v>
      </c>
      <c r="N402" s="57" cm="1">
        <f t="array" ref="N402">IF(_xlfn.XLOOKUP(CONT_SUP[[#This Row],[PensionCode]],PENS[PensionCode],PENS[AvailableToAllSchools],1,0,)=TRUE,0,IF(ISERROR(FIND(CONT_SUP[[#This Row],[SchoolCode]],_xlfn.TEXTJOIN(",",TRUE,_xlfn.UNIQUE(IF(PENS[PensionCode]=CONT_SUP[[#This Row],[PensionCode]],PENS[SchoolCodes],""))))),1,0))</f>
        <v>0</v>
      </c>
      <c r="O402" s="57" cm="1">
        <f t="array" ref="O402">IF(_xlfn.XLOOKUP(CONT_SUP[[#This Row],[EquatedWeekPatternCode]],EQW[EquatedWeekPatternCode],EQW[AvailableToAllSchools],1,0,)=TRUE,0,IF(ISERROR(FIND(CONT_SUP[[#This Row],[SchoolCode]],_xlfn.TEXTJOIN(",",TRUE,_xlfn.UNIQUE(IF(EQW[EquatedWeekPatternCode]=CONT_SUP[[#This Row],[EquatedWeekPatternCode]],EQW[SchoolCodes],""))))),1,0))</f>
        <v>0</v>
      </c>
      <c r="P402" s="57">
        <f>1-COUNTIF(ContractTypes[Code],CONT_SUP[[#This Row],[ContractTypeCode]])</f>
        <v>0</v>
      </c>
      <c r="Q402" s="57">
        <f>IF(VLOOKUP(CONT_SUP[[#This Row],[StaffMemberCode]],MEMBERS[[StaffMemberCode]:[ServiceStartDate]],5,0)&gt;CONT_SUP[[#This Row],[DateFrom]],1,0)</f>
        <v>0</v>
      </c>
      <c r="R402" s="57">
        <f>IF(_xlfn.XLOOKUP(CONT_SUP[[#This Row],[StaffMemberCode]],MEMBERS[StaffMemberCode],MEMBERS[ServiceEndDate])="",0,IF(CONT_SUP[[#This Row],[DateTo]]="",1,IF(_xlfn.XLOOKUP(CONT_SUP[[#This Row],[StaffMemberCode]],MEMBERS[StaffMemberCode],MEMBERS[ServiceEndDate])&lt;CONT_SUP[[#This Row],[DateTo]],1,0)))</f>
        <v>0</v>
      </c>
      <c r="S402" s="57">
        <f>IF(ISBLANK(CONT_SUP[[#This Row],[DateTo]]),0,IF(CONT_SUP[[#This Row],[DateFrom]]=CONT_SUP[[#This Row],[DateTo]],0,IF(CONT_SUP[[#This Row],[DateFrom]]&lt;CONT_SUP[[#This Row],[DateTo]],0,1)))</f>
        <v>0</v>
      </c>
      <c r="T402" s="57" cm="1">
        <f t="array" aca="1" ref="T402" ca="1">IF(CELL("format",CONT_SUP[[#This Row],[DateFrom]])="D1",0,1)+IF(CELL("format",CONT_SUP[[#This Row],[DateTo]])="D1",0,1)</f>
        <v>0</v>
      </c>
      <c r="U402" s="57">
        <f>IF(OR(CONT_SUP[[#This Row],[MatEditOnly]]=TRUE,CONT_SUP[[#This Row],[MatEditOnly]]=FALSE),IF(OR(CONT_SUP[[#This Row],[NoIncrement]]=TRUE,CONT_SUP[[#This Row],[NoIncrement]]=FALSE),0,1),1)</f>
        <v>0</v>
      </c>
      <c r="V402" s="57">
        <f>IF(ISBLANK(CONT_SUP[[#This Row],[FundCode]])=TRUE,0,IF(COUNTIF(FUNDS[FundCode],CONT_SUP[[#This Row],[FundCode]])=1,0,1))</f>
        <v>0</v>
      </c>
      <c r="W402" s="57">
        <f>IF(LEN(CONT_SUP[[#This Row],[Notes]])&lt;4000,0,1)</f>
        <v>0</v>
      </c>
      <c r="X402" s="57">
        <f>IF(SUBSTITUTE(TEXT(CONT_SUP[[#This Row],[Reference]],10)," ","")=TEXT(CONT_SUP[[#This Row],[Reference]],10),0,1)</f>
        <v>0</v>
      </c>
      <c r="Y402" s="57">
        <f ca="1">SUM(CONT_SUP[[#This Row],[Duplicate Contract]:[Space in Code]])</f>
        <v>1</v>
      </c>
      <c r="AA402" s="12" t="s">
        <v>2126</v>
      </c>
      <c r="AB402" s="12">
        <v>10014598</v>
      </c>
      <c r="AC402" s="12">
        <v>113601</v>
      </c>
      <c r="AD402" s="57" t="str">
        <f>_xlfn.XLOOKUP(CONT_SUP[[#This Row],[StaffMemberCode]],StaffMembers!O:O,StaffMembers!R:R)</f>
        <v>Tony Leigh</v>
      </c>
      <c r="AE402" s="12" t="s">
        <v>1184</v>
      </c>
      <c r="AF402" s="57">
        <f>_xlfn.XLOOKUP(CONT_SUP[[#This Row],[SRG]],SRG[StaffRoleGroupCode],SRG[GrossSalaryFinanceCode])</f>
        <v>622100</v>
      </c>
      <c r="AG402" s="57" t="str">
        <f>_xlfn.XLOOKUP(CONT_SUP[[#This Row],[StaffRoleCode]],ROLES[StaffRoleCode],ROLES[StaffRoleGroupCode])</f>
        <v>TEC</v>
      </c>
      <c r="AH402" s="57" t="str">
        <f>_xlfn.XLOOKUP(CONT_SUP[[#This Row],[StaffRoleCode]],ROLES[StaffRoleCode],ROLES[PayScaleCode])</f>
        <v>NJC_CHE</v>
      </c>
      <c r="AI402" s="12" t="s">
        <v>3123</v>
      </c>
      <c r="AJ402" s="12">
        <v>8</v>
      </c>
      <c r="AK402" s="12" t="s">
        <v>2501</v>
      </c>
      <c r="AM402" s="68" t="s">
        <v>3132</v>
      </c>
      <c r="AN402" s="12" t="s">
        <v>3134</v>
      </c>
      <c r="AO402" s="21">
        <v>46023</v>
      </c>
      <c r="AQ402" s="12">
        <v>12.5</v>
      </c>
      <c r="AR402" t="b">
        <v>0</v>
      </c>
      <c r="AS402" t="b">
        <v>0</v>
      </c>
      <c r="AT402" s="12" t="s">
        <v>1574</v>
      </c>
    </row>
  </sheetData>
  <dataConsolidate/>
  <phoneticPr fontId="2" type="noConversion"/>
  <pageMargins left="0.7" right="0.7" top="0.75" bottom="0.75" header="0.3" footer="0.3"/>
  <pageSetup orientation="portrait" horizontalDpi="300" verticalDpi="300"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97E14C87-2B54-4F6C-965B-A91D4681905F}">
          <x14:formula1>
            <xm:f>Depts!$G:$G</xm:f>
          </x14:formula1>
          <xm:sqref>AK1:AK1048576</xm:sqref>
        </x14:dataValidation>
      </x14:dataValidation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B6448-82C2-4982-A1DD-25575DAAC021}">
  <sheetPr codeName="Sheet26">
    <tabColor theme="9" tint="0.39997558519241921"/>
  </sheetPr>
  <dimension ref="A1:AE101"/>
  <sheetViews>
    <sheetView zoomScale="90" zoomScaleNormal="90" workbookViewId="0">
      <pane ySplit="1" topLeftCell="A2" activePane="bottomLeft" state="frozen"/>
      <selection activeCell="D2" sqref="D2"/>
      <selection pane="bottomLeft" activeCell="AI79" sqref="AI79"/>
    </sheetView>
  </sheetViews>
  <sheetFormatPr defaultColWidth="9.33203125" defaultRowHeight="14.4" outlineLevelCol="1" x14ac:dyDescent="0.3"/>
  <cols>
    <col min="1" max="1" width="11.44140625" style="12" hidden="1" customWidth="1" outlineLevel="1"/>
    <col min="2" max="2" width="11.109375" style="12" hidden="1" customWidth="1" outlineLevel="1"/>
    <col min="3" max="4" width="8.33203125" style="12" hidden="1" customWidth="1" outlineLevel="1"/>
    <col min="5" max="5" width="8.6640625" style="12" hidden="1" customWidth="1" outlineLevel="1"/>
    <col min="6" max="6" width="8.33203125" style="12" hidden="1" customWidth="1" outlineLevel="1"/>
    <col min="7" max="9" width="8.6640625" style="12" hidden="1" customWidth="1" outlineLevel="1"/>
    <col min="10" max="10" width="10.6640625" style="12" hidden="1" customWidth="1" outlineLevel="1"/>
    <col min="11" max="13" width="9.109375" style="12" hidden="1" customWidth="1" outlineLevel="1"/>
    <col min="14" max="14" width="9" style="12" hidden="1" customWidth="1" outlineLevel="1"/>
    <col min="15" max="15" width="10.6640625" style="12" hidden="1" customWidth="1" outlineLevel="1"/>
    <col min="16" max="16" width="10.6640625" style="12" customWidth="1" collapsed="1"/>
    <col min="17" max="17" width="12.6640625" style="12" bestFit="1" customWidth="1"/>
    <col min="18" max="18" width="12.33203125" style="12" bestFit="1" customWidth="1"/>
    <col min="19" max="19" width="12.6640625" style="12" customWidth="1"/>
    <col min="20" max="20" width="12.5546875" style="12" customWidth="1"/>
    <col min="21" max="21" width="21.109375" style="12" bestFit="1" customWidth="1"/>
    <col min="22" max="22" width="15.44140625" bestFit="1" customWidth="1"/>
    <col min="23" max="23" width="11.33203125" style="12" customWidth="1"/>
    <col min="24" max="24" width="12.33203125" style="21" customWidth="1"/>
    <col min="25" max="25" width="12.109375" style="21" customWidth="1"/>
    <col min="26" max="26" width="10.5546875" style="12" customWidth="1"/>
    <col min="27" max="27" width="10.5546875" style="20" customWidth="1"/>
    <col min="28" max="28" width="11.109375" style="21" customWidth="1"/>
    <col min="29" max="29" width="11.6640625" style="21" customWidth="1"/>
    <col min="30" max="30" width="10.5546875" customWidth="1"/>
    <col min="31" max="31" width="10.5546875" style="12" customWidth="1"/>
    <col min="32" max="16384" width="9.33203125" style="12"/>
  </cols>
  <sheetData>
    <row r="1" spans="1:31" s="24" customFormat="1" ht="72" x14ac:dyDescent="0.3">
      <c r="A1" s="24" t="s">
        <v>1651</v>
      </c>
      <c r="B1" s="24" t="s">
        <v>1751</v>
      </c>
      <c r="C1" s="59" t="s">
        <v>1652</v>
      </c>
      <c r="D1" s="59" t="s">
        <v>1724</v>
      </c>
      <c r="E1" s="65" t="s">
        <v>1689</v>
      </c>
      <c r="F1" s="59" t="s">
        <v>1694</v>
      </c>
      <c r="G1" s="59" t="s">
        <v>1695</v>
      </c>
      <c r="H1" s="144" t="s">
        <v>1697</v>
      </c>
      <c r="I1" s="59" t="s">
        <v>1696</v>
      </c>
      <c r="J1" s="65" t="s">
        <v>1653</v>
      </c>
      <c r="K1" s="65" t="s">
        <v>1698</v>
      </c>
      <c r="L1" s="65" t="s">
        <v>1726</v>
      </c>
      <c r="M1" s="59" t="s">
        <v>1659</v>
      </c>
      <c r="N1" s="65" t="s">
        <v>1640</v>
      </c>
      <c r="O1" s="53" t="s">
        <v>1661</v>
      </c>
      <c r="P1" s="59" t="s">
        <v>1047</v>
      </c>
      <c r="Q1" s="67" t="s">
        <v>1049</v>
      </c>
      <c r="R1" s="67" t="s">
        <v>890</v>
      </c>
      <c r="S1" s="67" t="s">
        <v>1199</v>
      </c>
      <c r="T1" s="67" t="s">
        <v>1228</v>
      </c>
      <c r="U1" s="65" t="s">
        <v>1229</v>
      </c>
      <c r="V1" s="67" t="s">
        <v>1208</v>
      </c>
      <c r="W1" s="67" t="s">
        <v>903</v>
      </c>
      <c r="X1" s="61" t="s">
        <v>1230</v>
      </c>
      <c r="Y1" s="61" t="s">
        <v>1231</v>
      </c>
      <c r="Z1" s="67" t="s">
        <v>1234</v>
      </c>
      <c r="AA1" s="67" t="s">
        <v>1140</v>
      </c>
      <c r="AB1" s="61" t="s">
        <v>1235</v>
      </c>
      <c r="AC1" s="61" t="s">
        <v>1236</v>
      </c>
      <c r="AD1" s="156" t="s">
        <v>1237</v>
      </c>
      <c r="AE1" s="67" t="s">
        <v>56</v>
      </c>
    </row>
    <row r="2" spans="1:31" x14ac:dyDescent="0.3">
      <c r="A2" s="12" t="str">
        <f>R2&amp;S2&amp;T2&amp;V2&amp;W2&amp;X2</f>
        <v>AUD9107364291073642AAHTSTCH45901</v>
      </c>
      <c r="B2" s="12" t="str">
        <f>CONTAL[[#This Row],[StaffMemberCode]]&amp;CONTAL[[#This Row],[AllowancePointCode]]&amp;CONTAL[[#This Row],[ContractReference]]&amp;CONTAL[[#This Row],[SchoolCode]]</f>
        <v>91073642SEN_MIN91073642AAUD</v>
      </c>
      <c r="C2" s="57">
        <f>IF(COUNTIF(ContractsTeachFTE!A:A,ContractAllowances!A2)&gt;0,0,IF(COUNTIF(ContractsSupportHours!A:A,ContractAllowances!A2)&gt;0,0,1))</f>
        <v>0</v>
      </c>
      <c r="D2" s="57">
        <f>IF(_xlfn.XLOOKUP(CONTAL[[#This Row],[AllowancePointCode]],ALLWCPTS[AllowancePointCode],ALLWCPTS[AvailableToAllSchools])=TRUE,0,IFERROR(IF(FIND(CONTAL[[#This Row],[SchoolCode]],_xlfn.XLOOKUP(CONTAL[[#This Row],[AllowancePointCode]],ALLWCPTS[AllowancePointCode],ALLWCPTS[SchoolCodes]))&gt;=1,0,1),1))</f>
        <v>0</v>
      </c>
      <c r="E2" s="57" cm="1">
        <f t="array" ref="E2">IF(_xlfn.XLOOKUP(CONTAL[[#This Row],[DepartmentCode]],DEPTS[DepartmentCode],DEPTS[AvailableToAllSchools],1,0,)=TRUE,0,IF(ISERROR(FIND(CONTAL[[#This Row],[SchoolCode]],_xlfn.TEXTJOIN(",",TRUE,_xlfn.UNIQUE(IF(DEPTS[DepartmentCode]=CONTAL[[#This Row],[DepartmentCode]],DEPTS[SchoolCodes],""))))),1,0))</f>
        <v>0</v>
      </c>
      <c r="F2" s="57">
        <f>IF(COUNTIF(ALLWCTYPE[AllowanceTypeCode],CONTAL[[#This Row],[AllowanceCode]])&gt;0,0,1)</f>
        <v>0</v>
      </c>
      <c r="G2" s="57">
        <f>IF(COUNTIF(ALLWCPTS[AllowancePointCode],CONTAL[[#This Row],[AllowancePointCode]])&gt;0,0,1)</f>
        <v>0</v>
      </c>
      <c r="H2" s="57">
        <f>COUNTIF(CONTAL[Person+AllowancePoint+ContractRef+SchoolCode],CONTAL[[#This Row],[Person+AllowancePoint+ContractRef+SchoolCode]])-1</f>
        <v>0</v>
      </c>
      <c r="I2" s="57">
        <f>IF(X2&gt;AB2,1,0)</f>
        <v>0</v>
      </c>
      <c r="J2" s="57">
        <f>IF(ISBLANK(CONTAL[[#This Row],[ContractDateTo]]),0,IF(CONTAL[[#This Row],[ContractDateFrom]]=CONTAL[[#This Row],[ContractDateTo]],0,IF(CONTAL[[#This Row],[ContractDateFrom]]&lt;CONTAL[[#This Row],[ContractDateTo]],0,1)))</f>
        <v>0</v>
      </c>
      <c r="K2" s="57">
        <f>IF(ISBLANK(CONTAL[[#This Row],[AllowanceDateTo]]),0,IF(CONTAL[[#This Row],[AllowanceDateFrom]]=CONTAL[[#This Row],[AllowanceDateTo]],0,IF(CONTAL[[#This Row],[AllowanceDateFrom]]&lt;CONTAL[[#This Row],[AllowanceDateTo]],0,1)))</f>
        <v>0</v>
      </c>
      <c r="L2" s="57" cm="1">
        <f t="array" aca="1" ref="L2" ca="1">IF(CELL("format",CONTAL[[#This Row],[ContractDateFrom]])="D1",0,1)+IF(CELL("format",CONTAL[[#This Row],[ContractDateTo]])="D1",0,1)+IF(CELL("format",CONTAL[[#This Row],[AllowanceDateFrom]])="D1",0,1)+IF(CELL("format",CONTAL[[#This Row],[AllowanceDateTo]])="D1",0,1)</f>
        <v>0</v>
      </c>
      <c r="M2" s="57">
        <f>IF(OR(CONTAL[[#This Row],[IgnoreFte]]=TRUE,CONTAL[[#This Row],[IgnoreFte]]=FALSE),0,1)</f>
        <v>0</v>
      </c>
      <c r="N2" s="57">
        <f>IF(LEN(CONTAL[[#This Row],[Notes]])&lt;4000,0,1)</f>
        <v>0</v>
      </c>
      <c r="O2" s="112">
        <f>COUNTBLANK(CONTAL[[#This Row],[AllowanceCode]:[AllowanceDateFrom]])+COUNTBLANK(CONTAL[[#This Row],[IgnoreFte]]:CONTAL[[#This Row],[IgnoreFte]])</f>
        <v>0</v>
      </c>
      <c r="P2" s="57">
        <f ca="1">SUM(CONTAL[[#This Row],[Contract Issue]:[Blank in column]])</f>
        <v>0</v>
      </c>
      <c r="R2" s="63" t="s">
        <v>2089</v>
      </c>
      <c r="S2" s="63">
        <v>91073642</v>
      </c>
      <c r="T2" s="63" t="s">
        <v>4351</v>
      </c>
      <c r="U2" s="57" t="str">
        <f>_xlfn.XLOOKUP(CONTAL[[#This Row],[StaffMemberCode]],StaffMembers!O:O,StaffMembers!R:R)</f>
        <v>Nicola Richardson</v>
      </c>
      <c r="V2" s="12" t="s">
        <v>1613</v>
      </c>
      <c r="W2" s="12" t="s">
        <v>2499</v>
      </c>
      <c r="X2" s="21">
        <v>45901</v>
      </c>
      <c r="Z2" s="12" t="s">
        <v>1138</v>
      </c>
      <c r="AA2" s="12" t="s">
        <v>1324</v>
      </c>
      <c r="AB2" s="21">
        <v>45901</v>
      </c>
      <c r="AD2" s="157" t="b">
        <v>0</v>
      </c>
    </row>
    <row r="3" spans="1:31" x14ac:dyDescent="0.3">
      <c r="A3" s="12" t="str">
        <f>R3&amp;S3&amp;T3&amp;V3&amp;W3&amp;X3</f>
        <v>HIG9107389791073897ATEASTCH45901</v>
      </c>
      <c r="B3" s="12" t="str">
        <f>CONTAL[[#This Row],[StaffMemberCode]]&amp;CONTAL[[#This Row],[AllowancePointCode]]&amp;CONTAL[[#This Row],[ContractReference]]&amp;CONTAL[[#This Row],[SchoolCode]]</f>
        <v>91073897SEN_MIN91073897AHIG</v>
      </c>
      <c r="C3" s="57">
        <f>IF(COUNTIF(ContractsTeachFTE!A:A,ContractAllowances!A3)&gt;0,0,IF(COUNTIF(ContractsSupportHours!A:A,ContractAllowances!A3)&gt;0,0,1))</f>
        <v>0</v>
      </c>
      <c r="D3" s="57">
        <f>IF(_xlfn.XLOOKUP(CONTAL[[#This Row],[AllowancePointCode]],ALLWCPTS[AllowancePointCode],ALLWCPTS[AvailableToAllSchools])=TRUE,0,IFERROR(IF(FIND(CONTAL[[#This Row],[SchoolCode]],_xlfn.XLOOKUP(CONTAL[[#This Row],[AllowancePointCode]],ALLWCPTS[AllowancePointCode],ALLWCPTS[SchoolCodes]))&gt;=1,0,1),1))</f>
        <v>0</v>
      </c>
      <c r="E3" s="57" cm="1">
        <f t="array" ref="E3">IF(_xlfn.XLOOKUP(CONTAL[[#This Row],[DepartmentCode]],DEPTS[DepartmentCode],DEPTS[AvailableToAllSchools],1,0,)=TRUE,0,IF(ISERROR(FIND(CONTAL[[#This Row],[SchoolCode]],_xlfn.TEXTJOIN(",",TRUE,_xlfn.UNIQUE(IF(DEPTS[DepartmentCode]=CONTAL[[#This Row],[DepartmentCode]],DEPTS[SchoolCodes],""))))),1,0))</f>
        <v>0</v>
      </c>
      <c r="F3" s="57">
        <f>IF(COUNTIF(ALLWCTYPE[AllowanceTypeCode],CONTAL[[#This Row],[AllowanceCode]])&gt;0,0,1)</f>
        <v>0</v>
      </c>
      <c r="G3" s="57">
        <f>IF(COUNTIF(ALLWCPTS[AllowancePointCode],CONTAL[[#This Row],[AllowancePointCode]])&gt;0,0,1)</f>
        <v>0</v>
      </c>
      <c r="H3" s="57">
        <f>COUNTIF(CONTAL[Person+AllowancePoint+ContractRef+SchoolCode],CONTAL[[#This Row],[Person+AllowancePoint+ContractRef+SchoolCode]])-1</f>
        <v>0</v>
      </c>
      <c r="I3" s="57">
        <f>IF(X3&gt;AB3,1,0)</f>
        <v>0</v>
      </c>
      <c r="J3" s="57">
        <f>IF(ISBLANK(CONTAL[[#This Row],[ContractDateTo]]),0,IF(CONTAL[[#This Row],[ContractDateFrom]]=CONTAL[[#This Row],[ContractDateTo]],0,IF(CONTAL[[#This Row],[ContractDateFrom]]&lt;CONTAL[[#This Row],[ContractDateTo]],0,1)))</f>
        <v>0</v>
      </c>
      <c r="K3" s="57">
        <f>IF(ISBLANK(CONTAL[[#This Row],[AllowanceDateTo]]),0,IF(CONTAL[[#This Row],[AllowanceDateFrom]]=CONTAL[[#This Row],[AllowanceDateTo]],0,IF(CONTAL[[#This Row],[AllowanceDateFrom]]&lt;CONTAL[[#This Row],[AllowanceDateTo]],0,1)))</f>
        <v>0</v>
      </c>
      <c r="L3" s="57" cm="1">
        <f t="array" aca="1" ref="L3" ca="1">IF(CELL("format",CONTAL[[#This Row],[ContractDateFrom]])="D1",0,1)+IF(CELL("format",CONTAL[[#This Row],[ContractDateTo]])="D1",0,1)+IF(CELL("format",CONTAL[[#This Row],[AllowanceDateFrom]])="D1",0,1)+IF(CELL("format",CONTAL[[#This Row],[AllowanceDateTo]])="D1",0,1)</f>
        <v>0</v>
      </c>
      <c r="M3" s="57">
        <f>IF(OR(CONTAL[[#This Row],[IgnoreFte]]=TRUE,CONTAL[[#This Row],[IgnoreFte]]=FALSE),0,1)</f>
        <v>0</v>
      </c>
      <c r="N3" s="57">
        <f>IF(LEN(CONTAL[[#This Row],[Notes]])&lt;4000,0,1)</f>
        <v>0</v>
      </c>
      <c r="O3" s="112">
        <f>COUNTBLANK(CONTAL[[#This Row],[AllowanceCode]:[AllowanceDateFrom]])+COUNTBLANK(CONTAL[[#This Row],[IgnoreFte]]:CONTAL[[#This Row],[IgnoreFte]])</f>
        <v>0</v>
      </c>
      <c r="P3" s="57">
        <f ca="1">SUM(CONTAL[[#This Row],[Contract Issue]:[Blank in column]])</f>
        <v>0</v>
      </c>
      <c r="R3" s="12" t="s">
        <v>2266</v>
      </c>
      <c r="S3" s="12">
        <v>91073897</v>
      </c>
      <c r="T3" s="12" t="s">
        <v>4388</v>
      </c>
      <c r="U3" s="57" t="str">
        <f>_xlfn.XLOOKUP(CONTAL[[#This Row],[StaffMemberCode]],StaffMembers!O:O,StaffMembers!R:R)</f>
        <v>Jessica Baggaley</v>
      </c>
      <c r="V3" s="12" t="s">
        <v>1178</v>
      </c>
      <c r="W3" s="12" t="s">
        <v>2499</v>
      </c>
      <c r="X3" s="21">
        <v>45901</v>
      </c>
      <c r="Z3" s="12" t="s">
        <v>1138</v>
      </c>
      <c r="AA3" s="20" t="s">
        <v>1324</v>
      </c>
      <c r="AB3" s="21">
        <v>45901</v>
      </c>
      <c r="AD3" s="157" t="b">
        <v>0</v>
      </c>
    </row>
    <row r="4" spans="1:31" x14ac:dyDescent="0.3">
      <c r="A4" s="12" t="str">
        <f t="shared" ref="A4:A35" si="0">R4&amp;S4&amp;T4&amp;V4&amp;W4&amp;X4</f>
        <v>ALS9107384491073844ATEASTCH45901</v>
      </c>
      <c r="B4" s="12" t="str">
        <f>CONTAL[[#This Row],[StaffMemberCode]]&amp;CONTAL[[#This Row],[AllowancePointCode]]&amp;CONTAL[[#This Row],[ContractReference]]&amp;CONTAL[[#This Row],[SchoolCode]]</f>
        <v>91073844TLR1B91073844AALS</v>
      </c>
      <c r="C4" s="57">
        <f>IF(COUNTIF(ContractsTeachFTE!A:A,ContractAllowances!A4)&gt;0,0,IF(COUNTIF(ContractsSupportHours!A:A,ContractAllowances!A4)&gt;0,0,1))</f>
        <v>0</v>
      </c>
      <c r="D4" s="57">
        <f>IF(_xlfn.XLOOKUP(CONTAL[[#This Row],[AllowancePointCode]],ALLWCPTS[AllowancePointCode],ALLWCPTS[AvailableToAllSchools])=TRUE,0,IFERROR(IF(FIND(CONTAL[[#This Row],[SchoolCode]],_xlfn.XLOOKUP(CONTAL[[#This Row],[AllowancePointCode]],ALLWCPTS[AllowancePointCode],ALLWCPTS[SchoolCodes]))&gt;=1,0,1),1))</f>
        <v>0</v>
      </c>
      <c r="E4" s="57" cm="1">
        <f t="array" ref="E4">IF(_xlfn.XLOOKUP(CONTAL[[#This Row],[DepartmentCode]],DEPTS[DepartmentCode],DEPTS[AvailableToAllSchools],1,0,)=TRUE,0,IF(ISERROR(FIND(CONTAL[[#This Row],[SchoolCode]],_xlfn.TEXTJOIN(",",TRUE,_xlfn.UNIQUE(IF(DEPTS[DepartmentCode]=CONTAL[[#This Row],[DepartmentCode]],DEPTS[SchoolCodes],""))))),1,0))</f>
        <v>0</v>
      </c>
      <c r="F4" s="57">
        <f>IF(COUNTIF(ALLWCTYPE[AllowanceTypeCode],CONTAL[[#This Row],[AllowanceCode]])&gt;0,0,1)</f>
        <v>0</v>
      </c>
      <c r="G4" s="57">
        <f>IF(COUNTIF(ALLWCPTS[AllowancePointCode],CONTAL[[#This Row],[AllowancePointCode]])&gt;0,0,1)</f>
        <v>0</v>
      </c>
      <c r="H4" s="57">
        <f>COUNTIF(CONTAL[Person+AllowancePoint+ContractRef+SchoolCode],CONTAL[[#This Row],[Person+AllowancePoint+ContractRef+SchoolCode]])-1</f>
        <v>0</v>
      </c>
      <c r="I4" s="57">
        <f t="shared" ref="I4:I35" si="1">IF(X4&gt;AB4,1,0)</f>
        <v>0</v>
      </c>
      <c r="J4" s="57">
        <f>IF(ISBLANK(CONTAL[[#This Row],[ContractDateTo]]),0,IF(CONTAL[[#This Row],[ContractDateFrom]]=CONTAL[[#This Row],[ContractDateTo]],0,IF(CONTAL[[#This Row],[ContractDateFrom]]&lt;CONTAL[[#This Row],[ContractDateTo]],0,1)))</f>
        <v>0</v>
      </c>
      <c r="K4" s="57">
        <f>IF(ISBLANK(CONTAL[[#This Row],[AllowanceDateTo]]),0,IF(CONTAL[[#This Row],[AllowanceDateFrom]]=CONTAL[[#This Row],[AllowanceDateTo]],0,IF(CONTAL[[#This Row],[AllowanceDateFrom]]&lt;CONTAL[[#This Row],[AllowanceDateTo]],0,1)))</f>
        <v>0</v>
      </c>
      <c r="L4" s="57" cm="1">
        <f t="array" aca="1" ref="L4" ca="1">IF(CELL("format",CONTAL[[#This Row],[ContractDateFrom]])="D1",0,1)+IF(CELL("format",CONTAL[[#This Row],[ContractDateTo]])="D1",0,1)+IF(CELL("format",CONTAL[[#This Row],[AllowanceDateFrom]])="D1",0,1)+IF(CELL("format",CONTAL[[#This Row],[AllowanceDateTo]])="D1",0,1)</f>
        <v>0</v>
      </c>
      <c r="M4" s="57">
        <f>IF(OR(CONTAL[[#This Row],[IgnoreFte]]=TRUE,CONTAL[[#This Row],[IgnoreFte]]=FALSE),0,1)</f>
        <v>0</v>
      </c>
      <c r="N4" s="57">
        <f>IF(LEN(CONTAL[[#This Row],[Notes]])&lt;4000,0,1)</f>
        <v>0</v>
      </c>
      <c r="O4" s="112">
        <f>COUNTBLANK(CONTAL[[#This Row],[AllowanceCode]:[AllowanceDateFrom]])+COUNTBLANK(CONTAL[[#This Row],[IgnoreFte]]:CONTAL[[#This Row],[IgnoreFte]])</f>
        <v>0</v>
      </c>
      <c r="P4" s="57">
        <f ca="1">SUM(CONTAL[[#This Row],[Contract Issue]:[Blank in column]])</f>
        <v>0</v>
      </c>
      <c r="R4" s="12" t="s">
        <v>2082</v>
      </c>
      <c r="S4" s="12">
        <v>91073844</v>
      </c>
      <c r="T4" s="12" t="s">
        <v>4391</v>
      </c>
      <c r="U4" s="57" t="str">
        <f>_xlfn.XLOOKUP(CONTAL[[#This Row],[StaffMemberCode]],StaffMembers!O:O,StaffMembers!R:R)</f>
        <v>Andrew Rayner</v>
      </c>
      <c r="V4" s="12" t="s">
        <v>1178</v>
      </c>
      <c r="W4" s="12" t="s">
        <v>2499</v>
      </c>
      <c r="X4" s="21">
        <v>45901</v>
      </c>
      <c r="Z4" s="12" t="s">
        <v>1136</v>
      </c>
      <c r="AA4" s="20" t="s">
        <v>1361</v>
      </c>
      <c r="AB4" s="21">
        <v>45901</v>
      </c>
      <c r="AD4" s="157" t="b">
        <v>0</v>
      </c>
    </row>
    <row r="5" spans="1:31" x14ac:dyDescent="0.3">
      <c r="A5" s="12" t="str">
        <f t="shared" si="0"/>
        <v>ALS9107372991073729ATEASTCH45901</v>
      </c>
      <c r="B5" s="12" t="str">
        <f>CONTAL[[#This Row],[StaffMemberCode]]&amp;CONTAL[[#This Row],[AllowancePointCode]]&amp;CONTAL[[#This Row],[ContractReference]]&amp;CONTAL[[#This Row],[SchoolCode]]</f>
        <v>91073729TLR1B91073729AALS</v>
      </c>
      <c r="C5" s="57">
        <f>IF(COUNTIF(ContractsTeachFTE!A:A,ContractAllowances!A5)&gt;0,0,IF(COUNTIF(ContractsSupportHours!A:A,ContractAllowances!A5)&gt;0,0,1))</f>
        <v>0</v>
      </c>
      <c r="D5" s="57">
        <f>IF(_xlfn.XLOOKUP(CONTAL[[#This Row],[AllowancePointCode]],ALLWCPTS[AllowancePointCode],ALLWCPTS[AvailableToAllSchools])=TRUE,0,IFERROR(IF(FIND(CONTAL[[#This Row],[SchoolCode]],_xlfn.XLOOKUP(CONTAL[[#This Row],[AllowancePointCode]],ALLWCPTS[AllowancePointCode],ALLWCPTS[SchoolCodes]))&gt;=1,0,1),1))</f>
        <v>0</v>
      </c>
      <c r="E5" s="57" cm="1">
        <f t="array" ref="E5">IF(_xlfn.XLOOKUP(CONTAL[[#This Row],[DepartmentCode]],DEPTS[DepartmentCode],DEPTS[AvailableToAllSchools],1,0,)=TRUE,0,IF(ISERROR(FIND(CONTAL[[#This Row],[SchoolCode]],_xlfn.TEXTJOIN(",",TRUE,_xlfn.UNIQUE(IF(DEPTS[DepartmentCode]=CONTAL[[#This Row],[DepartmentCode]],DEPTS[SchoolCodes],""))))),1,0))</f>
        <v>0</v>
      </c>
      <c r="F5" s="57">
        <f>IF(COUNTIF(ALLWCTYPE[AllowanceTypeCode],CONTAL[[#This Row],[AllowanceCode]])&gt;0,0,1)</f>
        <v>0</v>
      </c>
      <c r="G5" s="57">
        <f>IF(COUNTIF(ALLWCPTS[AllowancePointCode],CONTAL[[#This Row],[AllowancePointCode]])&gt;0,0,1)</f>
        <v>0</v>
      </c>
      <c r="H5" s="57">
        <f>COUNTIF(CONTAL[Person+AllowancePoint+ContractRef+SchoolCode],CONTAL[[#This Row],[Person+AllowancePoint+ContractRef+SchoolCode]])-1</f>
        <v>0</v>
      </c>
      <c r="I5" s="57">
        <f t="shared" si="1"/>
        <v>0</v>
      </c>
      <c r="J5" s="57">
        <f>IF(ISBLANK(CONTAL[[#This Row],[ContractDateTo]]),0,IF(CONTAL[[#This Row],[ContractDateFrom]]=CONTAL[[#This Row],[ContractDateTo]],0,IF(CONTAL[[#This Row],[ContractDateFrom]]&lt;CONTAL[[#This Row],[ContractDateTo]],0,1)))</f>
        <v>0</v>
      </c>
      <c r="K5" s="57">
        <f>IF(ISBLANK(CONTAL[[#This Row],[AllowanceDateTo]]),0,IF(CONTAL[[#This Row],[AllowanceDateFrom]]=CONTAL[[#This Row],[AllowanceDateTo]],0,IF(CONTAL[[#This Row],[AllowanceDateFrom]]&lt;CONTAL[[#This Row],[AllowanceDateTo]],0,1)))</f>
        <v>0</v>
      </c>
      <c r="L5" s="57" cm="1">
        <f t="array" aca="1" ref="L5" ca="1">IF(CELL("format",CONTAL[[#This Row],[ContractDateFrom]])="D1",0,1)+IF(CELL("format",CONTAL[[#This Row],[ContractDateTo]])="D1",0,1)+IF(CELL("format",CONTAL[[#This Row],[AllowanceDateFrom]])="D1",0,1)+IF(CELL("format",CONTAL[[#This Row],[AllowanceDateTo]])="D1",0,1)</f>
        <v>0</v>
      </c>
      <c r="M5" s="57">
        <f>IF(OR(CONTAL[[#This Row],[IgnoreFte]]=TRUE,CONTAL[[#This Row],[IgnoreFte]]=FALSE),0,1)</f>
        <v>0</v>
      </c>
      <c r="N5" s="57">
        <f>IF(LEN(CONTAL[[#This Row],[Notes]])&lt;4000,0,1)</f>
        <v>0</v>
      </c>
      <c r="O5" s="112">
        <f>COUNTBLANK(CONTAL[[#This Row],[AllowanceCode]:[AllowanceDateFrom]])+COUNTBLANK(CONTAL[[#This Row],[IgnoreFte]]:CONTAL[[#This Row],[IgnoreFte]])</f>
        <v>0</v>
      </c>
      <c r="P5" s="57">
        <f ca="1">SUM(CONTAL[[#This Row],[Contract Issue]:[Blank in column]])</f>
        <v>0</v>
      </c>
      <c r="R5" s="12" t="s">
        <v>2082</v>
      </c>
      <c r="S5" s="12">
        <v>91073729</v>
      </c>
      <c r="T5" s="12" t="s">
        <v>4392</v>
      </c>
      <c r="U5" s="57" t="str">
        <f>_xlfn.XLOOKUP(CONTAL[[#This Row],[StaffMemberCode]],StaffMembers!O:O,StaffMembers!R:R)</f>
        <v>Debora Coxon</v>
      </c>
      <c r="V5" s="12" t="s">
        <v>1178</v>
      </c>
      <c r="W5" s="12" t="s">
        <v>2499</v>
      </c>
      <c r="X5" s="21">
        <v>45901</v>
      </c>
      <c r="Z5" s="12" t="s">
        <v>1136</v>
      </c>
      <c r="AA5" s="20" t="s">
        <v>1361</v>
      </c>
      <c r="AB5" s="21">
        <v>45901</v>
      </c>
      <c r="AD5" s="157" t="b">
        <v>0</v>
      </c>
    </row>
    <row r="6" spans="1:31" x14ac:dyDescent="0.3">
      <c r="A6" s="12" t="str">
        <f t="shared" si="0"/>
        <v>ALS9107370291073702ATEASTCH45901</v>
      </c>
      <c r="B6" s="12" t="str">
        <f>CONTAL[[#This Row],[StaffMemberCode]]&amp;CONTAL[[#This Row],[AllowancePointCode]]&amp;CONTAL[[#This Row],[ContractReference]]&amp;CONTAL[[#This Row],[SchoolCode]]</f>
        <v>91073702TLR1B91073702AALS</v>
      </c>
      <c r="C6" s="57">
        <f>IF(COUNTIF(ContractsTeachFTE!A:A,ContractAllowances!A6)&gt;0,0,IF(COUNTIF(ContractsSupportHours!A:A,ContractAllowances!A6)&gt;0,0,1))</f>
        <v>0</v>
      </c>
      <c r="D6" s="57">
        <f>IF(_xlfn.XLOOKUP(CONTAL[[#This Row],[AllowancePointCode]],ALLWCPTS[AllowancePointCode],ALLWCPTS[AvailableToAllSchools])=TRUE,0,IFERROR(IF(FIND(CONTAL[[#This Row],[SchoolCode]],_xlfn.XLOOKUP(CONTAL[[#This Row],[AllowancePointCode]],ALLWCPTS[AllowancePointCode],ALLWCPTS[SchoolCodes]))&gt;=1,0,1),1))</f>
        <v>0</v>
      </c>
      <c r="E6" s="57" cm="1">
        <f t="array" ref="E6">IF(_xlfn.XLOOKUP(CONTAL[[#This Row],[DepartmentCode]],DEPTS[DepartmentCode],DEPTS[AvailableToAllSchools],1,0,)=TRUE,0,IF(ISERROR(FIND(CONTAL[[#This Row],[SchoolCode]],_xlfn.TEXTJOIN(",",TRUE,_xlfn.UNIQUE(IF(DEPTS[DepartmentCode]=CONTAL[[#This Row],[DepartmentCode]],DEPTS[SchoolCodes],""))))),1,0))</f>
        <v>0</v>
      </c>
      <c r="F6" s="57">
        <f>IF(COUNTIF(ALLWCTYPE[AllowanceTypeCode],CONTAL[[#This Row],[AllowanceCode]])&gt;0,0,1)</f>
        <v>0</v>
      </c>
      <c r="G6" s="57">
        <f>IF(COUNTIF(ALLWCPTS[AllowancePointCode],CONTAL[[#This Row],[AllowancePointCode]])&gt;0,0,1)</f>
        <v>0</v>
      </c>
      <c r="H6" s="57">
        <f>COUNTIF(CONTAL[Person+AllowancePoint+ContractRef+SchoolCode],CONTAL[[#This Row],[Person+AllowancePoint+ContractRef+SchoolCode]])-1</f>
        <v>0</v>
      </c>
      <c r="I6" s="57">
        <f t="shared" si="1"/>
        <v>0</v>
      </c>
      <c r="J6" s="57">
        <f>IF(ISBLANK(CONTAL[[#This Row],[ContractDateTo]]),0,IF(CONTAL[[#This Row],[ContractDateFrom]]=CONTAL[[#This Row],[ContractDateTo]],0,IF(CONTAL[[#This Row],[ContractDateFrom]]&lt;CONTAL[[#This Row],[ContractDateTo]],0,1)))</f>
        <v>0</v>
      </c>
      <c r="K6" s="57">
        <f>IF(ISBLANK(CONTAL[[#This Row],[AllowanceDateTo]]),0,IF(CONTAL[[#This Row],[AllowanceDateFrom]]=CONTAL[[#This Row],[AllowanceDateTo]],0,IF(CONTAL[[#This Row],[AllowanceDateFrom]]&lt;CONTAL[[#This Row],[AllowanceDateTo]],0,1)))</f>
        <v>0</v>
      </c>
      <c r="L6" s="57" cm="1">
        <f t="array" aca="1" ref="L6" ca="1">IF(CELL("format",CONTAL[[#This Row],[ContractDateFrom]])="D1",0,1)+IF(CELL("format",CONTAL[[#This Row],[ContractDateTo]])="D1",0,1)+IF(CELL("format",CONTAL[[#This Row],[AllowanceDateFrom]])="D1",0,1)+IF(CELL("format",CONTAL[[#This Row],[AllowanceDateTo]])="D1",0,1)</f>
        <v>0</v>
      </c>
      <c r="M6" s="57">
        <f>IF(OR(CONTAL[[#This Row],[IgnoreFte]]=TRUE,CONTAL[[#This Row],[IgnoreFte]]=FALSE),0,1)</f>
        <v>0</v>
      </c>
      <c r="N6" s="57">
        <f>IF(LEN(CONTAL[[#This Row],[Notes]])&lt;4000,0,1)</f>
        <v>0</v>
      </c>
      <c r="O6" s="112">
        <f>COUNTBLANK(CONTAL[[#This Row],[AllowanceCode]:[AllowanceDateFrom]])+COUNTBLANK(CONTAL[[#This Row],[IgnoreFte]]:CONTAL[[#This Row],[IgnoreFte]])</f>
        <v>0</v>
      </c>
      <c r="P6" s="57">
        <f ca="1">SUM(CONTAL[[#This Row],[Contract Issue]:[Blank in column]])</f>
        <v>0</v>
      </c>
      <c r="R6" s="12" t="s">
        <v>2082</v>
      </c>
      <c r="S6" s="12">
        <v>91073702</v>
      </c>
      <c r="T6" s="12" t="s">
        <v>4393</v>
      </c>
      <c r="U6" s="57" t="str">
        <f>_xlfn.XLOOKUP(CONTAL[[#This Row],[StaffMemberCode]],StaffMembers!O:O,StaffMembers!R:R)</f>
        <v>Jayne Watts</v>
      </c>
      <c r="V6" s="12" t="s">
        <v>1178</v>
      </c>
      <c r="W6" s="12" t="s">
        <v>2499</v>
      </c>
      <c r="X6" s="21">
        <v>45901</v>
      </c>
      <c r="Z6" s="12" t="s">
        <v>1136</v>
      </c>
      <c r="AA6" s="20" t="s">
        <v>1361</v>
      </c>
      <c r="AB6" s="21">
        <v>45901</v>
      </c>
      <c r="AD6" s="157" t="b">
        <v>0</v>
      </c>
    </row>
    <row r="7" spans="1:31" x14ac:dyDescent="0.3">
      <c r="A7" s="12" t="str">
        <f t="shared" si="0"/>
        <v>ALS9107368491073684ATEASTCH45901</v>
      </c>
      <c r="B7" s="12" t="str">
        <f>CONTAL[[#This Row],[StaffMemberCode]]&amp;CONTAL[[#This Row],[AllowancePointCode]]&amp;CONTAL[[#This Row],[ContractReference]]&amp;CONTAL[[#This Row],[SchoolCode]]</f>
        <v>91073684TLR1B91073684AALS</v>
      </c>
      <c r="C7" s="57">
        <f>IF(COUNTIF(ContractsTeachFTE!A:A,ContractAllowances!A7)&gt;0,0,IF(COUNTIF(ContractsSupportHours!A:A,ContractAllowances!A7)&gt;0,0,1))</f>
        <v>0</v>
      </c>
      <c r="D7" s="57">
        <f>IF(_xlfn.XLOOKUP(CONTAL[[#This Row],[AllowancePointCode]],ALLWCPTS[AllowancePointCode],ALLWCPTS[AvailableToAllSchools])=TRUE,0,IFERROR(IF(FIND(CONTAL[[#This Row],[SchoolCode]],_xlfn.XLOOKUP(CONTAL[[#This Row],[AllowancePointCode]],ALLWCPTS[AllowancePointCode],ALLWCPTS[SchoolCodes]))&gt;=1,0,1),1))</f>
        <v>0</v>
      </c>
      <c r="E7" s="57" cm="1">
        <f t="array" ref="E7">IF(_xlfn.XLOOKUP(CONTAL[[#This Row],[DepartmentCode]],DEPTS[DepartmentCode],DEPTS[AvailableToAllSchools],1,0,)=TRUE,0,IF(ISERROR(FIND(CONTAL[[#This Row],[SchoolCode]],_xlfn.TEXTJOIN(",",TRUE,_xlfn.UNIQUE(IF(DEPTS[DepartmentCode]=CONTAL[[#This Row],[DepartmentCode]],DEPTS[SchoolCodes],""))))),1,0))</f>
        <v>0</v>
      </c>
      <c r="F7" s="57">
        <f>IF(COUNTIF(ALLWCTYPE[AllowanceTypeCode],CONTAL[[#This Row],[AllowanceCode]])&gt;0,0,1)</f>
        <v>0</v>
      </c>
      <c r="G7" s="57">
        <f>IF(COUNTIF(ALLWCPTS[AllowancePointCode],CONTAL[[#This Row],[AllowancePointCode]])&gt;0,0,1)</f>
        <v>0</v>
      </c>
      <c r="H7" s="57">
        <f>COUNTIF(CONTAL[Person+AllowancePoint+ContractRef+SchoolCode],CONTAL[[#This Row],[Person+AllowancePoint+ContractRef+SchoolCode]])-1</f>
        <v>0</v>
      </c>
      <c r="I7" s="57">
        <f t="shared" si="1"/>
        <v>0</v>
      </c>
      <c r="J7" s="57">
        <f>IF(ISBLANK(CONTAL[[#This Row],[ContractDateTo]]),0,IF(CONTAL[[#This Row],[ContractDateFrom]]=CONTAL[[#This Row],[ContractDateTo]],0,IF(CONTAL[[#This Row],[ContractDateFrom]]&lt;CONTAL[[#This Row],[ContractDateTo]],0,1)))</f>
        <v>0</v>
      </c>
      <c r="K7" s="57">
        <f>IF(ISBLANK(CONTAL[[#This Row],[AllowanceDateTo]]),0,IF(CONTAL[[#This Row],[AllowanceDateFrom]]=CONTAL[[#This Row],[AllowanceDateTo]],0,IF(CONTAL[[#This Row],[AllowanceDateFrom]]&lt;CONTAL[[#This Row],[AllowanceDateTo]],0,1)))</f>
        <v>0</v>
      </c>
      <c r="L7" s="57" cm="1">
        <f t="array" aca="1" ref="L7" ca="1">IF(CELL("format",CONTAL[[#This Row],[ContractDateFrom]])="D1",0,1)+IF(CELL("format",CONTAL[[#This Row],[ContractDateTo]])="D1",0,1)+IF(CELL("format",CONTAL[[#This Row],[AllowanceDateFrom]])="D1",0,1)+IF(CELL("format",CONTAL[[#This Row],[AllowanceDateTo]])="D1",0,1)</f>
        <v>0</v>
      </c>
      <c r="M7" s="57">
        <f>IF(OR(CONTAL[[#This Row],[IgnoreFte]]=TRUE,CONTAL[[#This Row],[IgnoreFte]]=FALSE),0,1)</f>
        <v>0</v>
      </c>
      <c r="N7" s="57">
        <f>IF(LEN(CONTAL[[#This Row],[Notes]])&lt;4000,0,1)</f>
        <v>0</v>
      </c>
      <c r="O7" s="112">
        <f>COUNTBLANK(CONTAL[[#This Row],[AllowanceCode]:[AllowanceDateFrom]])+COUNTBLANK(CONTAL[[#This Row],[IgnoreFte]]:CONTAL[[#This Row],[IgnoreFte]])</f>
        <v>0</v>
      </c>
      <c r="P7" s="57">
        <f ca="1">SUM(CONTAL[[#This Row],[Contract Issue]:[Blank in column]])</f>
        <v>0</v>
      </c>
      <c r="R7" s="12" t="s">
        <v>2082</v>
      </c>
      <c r="S7" s="12">
        <v>91073684</v>
      </c>
      <c r="T7" s="12" t="s">
        <v>4394</v>
      </c>
      <c r="U7" s="57" t="str">
        <f>_xlfn.XLOOKUP(CONTAL[[#This Row],[StaffMemberCode]],StaffMembers!O:O,StaffMembers!R:R)</f>
        <v>Laura Howard</v>
      </c>
      <c r="V7" s="12" t="s">
        <v>1178</v>
      </c>
      <c r="W7" s="12" t="s">
        <v>2499</v>
      </c>
      <c r="X7" s="21">
        <v>45901</v>
      </c>
      <c r="Z7" s="12" t="s">
        <v>1136</v>
      </c>
      <c r="AA7" s="20" t="s">
        <v>1361</v>
      </c>
      <c r="AB7" s="21">
        <v>45901</v>
      </c>
      <c r="AD7" s="157" t="b">
        <v>0</v>
      </c>
    </row>
    <row r="8" spans="1:31" x14ac:dyDescent="0.3">
      <c r="A8" s="12" t="str">
        <f t="shared" si="0"/>
        <v>ALS9107381091073810ATEASTCH45901</v>
      </c>
      <c r="B8" s="12" t="str">
        <f>CONTAL[[#This Row],[StaffMemberCode]]&amp;CONTAL[[#This Row],[AllowancePointCode]]&amp;CONTAL[[#This Row],[ContractReference]]&amp;CONTAL[[#This Row],[SchoolCode]]</f>
        <v>91073810TLR1B91073810AALS</v>
      </c>
      <c r="C8" s="57">
        <f>IF(COUNTIF(ContractsTeachFTE!A:A,ContractAllowances!A8)&gt;0,0,IF(COUNTIF(ContractsSupportHours!A:A,ContractAllowances!A8)&gt;0,0,1))</f>
        <v>0</v>
      </c>
      <c r="D8" s="57">
        <f>IF(_xlfn.XLOOKUP(CONTAL[[#This Row],[AllowancePointCode]],ALLWCPTS[AllowancePointCode],ALLWCPTS[AvailableToAllSchools])=TRUE,0,IFERROR(IF(FIND(CONTAL[[#This Row],[SchoolCode]],_xlfn.XLOOKUP(CONTAL[[#This Row],[AllowancePointCode]],ALLWCPTS[AllowancePointCode],ALLWCPTS[SchoolCodes]))&gt;=1,0,1),1))</f>
        <v>0</v>
      </c>
      <c r="E8" s="57" cm="1">
        <f t="array" ref="E8">IF(_xlfn.XLOOKUP(CONTAL[[#This Row],[DepartmentCode]],DEPTS[DepartmentCode],DEPTS[AvailableToAllSchools],1,0,)=TRUE,0,IF(ISERROR(FIND(CONTAL[[#This Row],[SchoolCode]],_xlfn.TEXTJOIN(",",TRUE,_xlfn.UNIQUE(IF(DEPTS[DepartmentCode]=CONTAL[[#This Row],[DepartmentCode]],DEPTS[SchoolCodes],""))))),1,0))</f>
        <v>0</v>
      </c>
      <c r="F8" s="57">
        <f>IF(COUNTIF(ALLWCTYPE[AllowanceTypeCode],CONTAL[[#This Row],[AllowanceCode]])&gt;0,0,1)</f>
        <v>0</v>
      </c>
      <c r="G8" s="57">
        <f>IF(COUNTIF(ALLWCPTS[AllowancePointCode],CONTAL[[#This Row],[AllowancePointCode]])&gt;0,0,1)</f>
        <v>0</v>
      </c>
      <c r="H8" s="57">
        <f>COUNTIF(CONTAL[Person+AllowancePoint+ContractRef+SchoolCode],CONTAL[[#This Row],[Person+AllowancePoint+ContractRef+SchoolCode]])-1</f>
        <v>0</v>
      </c>
      <c r="I8" s="57">
        <f t="shared" si="1"/>
        <v>0</v>
      </c>
      <c r="J8" s="57">
        <f>IF(ISBLANK(CONTAL[[#This Row],[ContractDateTo]]),0,IF(CONTAL[[#This Row],[ContractDateFrom]]=CONTAL[[#This Row],[ContractDateTo]],0,IF(CONTAL[[#This Row],[ContractDateFrom]]&lt;CONTAL[[#This Row],[ContractDateTo]],0,1)))</f>
        <v>0</v>
      </c>
      <c r="K8" s="57">
        <f>IF(ISBLANK(CONTAL[[#This Row],[AllowanceDateTo]]),0,IF(CONTAL[[#This Row],[AllowanceDateFrom]]=CONTAL[[#This Row],[AllowanceDateTo]],0,IF(CONTAL[[#This Row],[AllowanceDateFrom]]&lt;CONTAL[[#This Row],[AllowanceDateTo]],0,1)))</f>
        <v>0</v>
      </c>
      <c r="L8" s="57" cm="1">
        <f t="array" aca="1" ref="L8" ca="1">IF(CELL("format",CONTAL[[#This Row],[ContractDateFrom]])="D1",0,1)+IF(CELL("format",CONTAL[[#This Row],[ContractDateTo]])="D1",0,1)+IF(CELL("format",CONTAL[[#This Row],[AllowanceDateFrom]])="D1",0,1)+IF(CELL("format",CONTAL[[#This Row],[AllowanceDateTo]])="D1",0,1)</f>
        <v>0</v>
      </c>
      <c r="M8" s="57">
        <f>IF(OR(CONTAL[[#This Row],[IgnoreFte]]=TRUE,CONTAL[[#This Row],[IgnoreFte]]=FALSE),0,1)</f>
        <v>0</v>
      </c>
      <c r="N8" s="57">
        <f>IF(LEN(CONTAL[[#This Row],[Notes]])&lt;4000,0,1)</f>
        <v>0</v>
      </c>
      <c r="O8" s="112">
        <f>COUNTBLANK(CONTAL[[#This Row],[AllowanceCode]:[AllowanceDateFrom]])+COUNTBLANK(CONTAL[[#This Row],[IgnoreFte]]:CONTAL[[#This Row],[IgnoreFte]])</f>
        <v>0</v>
      </c>
      <c r="P8" s="57">
        <f ca="1">SUM(CONTAL[[#This Row],[Contract Issue]:[Blank in column]])</f>
        <v>0</v>
      </c>
      <c r="R8" s="12" t="s">
        <v>2082</v>
      </c>
      <c r="S8" s="12">
        <v>91073810</v>
      </c>
      <c r="T8" s="12" t="s">
        <v>4395</v>
      </c>
      <c r="U8" s="57" t="str">
        <f>_xlfn.XLOOKUP(CONTAL[[#This Row],[StaffMemberCode]],StaffMembers!O:O,StaffMembers!R:R)</f>
        <v>Martin Blythe</v>
      </c>
      <c r="V8" s="12" t="s">
        <v>1178</v>
      </c>
      <c r="W8" s="12" t="s">
        <v>2499</v>
      </c>
      <c r="X8" s="21">
        <v>45901</v>
      </c>
      <c r="Z8" s="12" t="s">
        <v>1136</v>
      </c>
      <c r="AA8" s="20" t="s">
        <v>1361</v>
      </c>
      <c r="AB8" s="21">
        <v>45901</v>
      </c>
      <c r="AD8" s="157" t="b">
        <v>0</v>
      </c>
    </row>
    <row r="9" spans="1:31" x14ac:dyDescent="0.3">
      <c r="A9" s="12" t="str">
        <f t="shared" si="0"/>
        <v>ALS9107374191073741ATEASTCH45901</v>
      </c>
      <c r="B9" s="12" t="str">
        <f>CONTAL[[#This Row],[StaffMemberCode]]&amp;CONTAL[[#This Row],[AllowancePointCode]]&amp;CONTAL[[#This Row],[ContractReference]]&amp;CONTAL[[#This Row],[SchoolCode]]</f>
        <v>91073741TLR1B91073741AALS</v>
      </c>
      <c r="C9" s="57">
        <f>IF(COUNTIF(ContractsTeachFTE!A:A,ContractAllowances!A9)&gt;0,0,IF(COUNTIF(ContractsSupportHours!A:A,ContractAllowances!A9)&gt;0,0,1))</f>
        <v>0</v>
      </c>
      <c r="D9" s="57">
        <f>IF(_xlfn.XLOOKUP(CONTAL[[#This Row],[AllowancePointCode]],ALLWCPTS[AllowancePointCode],ALLWCPTS[AvailableToAllSchools])=TRUE,0,IFERROR(IF(FIND(CONTAL[[#This Row],[SchoolCode]],_xlfn.XLOOKUP(CONTAL[[#This Row],[AllowancePointCode]],ALLWCPTS[AllowancePointCode],ALLWCPTS[SchoolCodes]))&gt;=1,0,1),1))</f>
        <v>0</v>
      </c>
      <c r="E9" s="57" cm="1">
        <f t="array" ref="E9">IF(_xlfn.XLOOKUP(CONTAL[[#This Row],[DepartmentCode]],DEPTS[DepartmentCode],DEPTS[AvailableToAllSchools],1,0,)=TRUE,0,IF(ISERROR(FIND(CONTAL[[#This Row],[SchoolCode]],_xlfn.TEXTJOIN(",",TRUE,_xlfn.UNIQUE(IF(DEPTS[DepartmentCode]=CONTAL[[#This Row],[DepartmentCode]],DEPTS[SchoolCodes],""))))),1,0))</f>
        <v>0</v>
      </c>
      <c r="F9" s="57">
        <f>IF(COUNTIF(ALLWCTYPE[AllowanceTypeCode],CONTAL[[#This Row],[AllowanceCode]])&gt;0,0,1)</f>
        <v>0</v>
      </c>
      <c r="G9" s="57">
        <f>IF(COUNTIF(ALLWCPTS[AllowancePointCode],CONTAL[[#This Row],[AllowancePointCode]])&gt;0,0,1)</f>
        <v>0</v>
      </c>
      <c r="H9" s="57">
        <f>COUNTIF(CONTAL[Person+AllowancePoint+ContractRef+SchoolCode],CONTAL[[#This Row],[Person+AllowancePoint+ContractRef+SchoolCode]])-1</f>
        <v>0</v>
      </c>
      <c r="I9" s="57">
        <f t="shared" si="1"/>
        <v>0</v>
      </c>
      <c r="J9" s="57">
        <f>IF(ISBLANK(CONTAL[[#This Row],[ContractDateTo]]),0,IF(CONTAL[[#This Row],[ContractDateFrom]]=CONTAL[[#This Row],[ContractDateTo]],0,IF(CONTAL[[#This Row],[ContractDateFrom]]&lt;CONTAL[[#This Row],[ContractDateTo]],0,1)))</f>
        <v>0</v>
      </c>
      <c r="K9" s="57">
        <f>IF(ISBLANK(CONTAL[[#This Row],[AllowanceDateTo]]),0,IF(CONTAL[[#This Row],[AllowanceDateFrom]]=CONTAL[[#This Row],[AllowanceDateTo]],0,IF(CONTAL[[#This Row],[AllowanceDateFrom]]&lt;CONTAL[[#This Row],[AllowanceDateTo]],0,1)))</f>
        <v>0</v>
      </c>
      <c r="L9" s="57" cm="1">
        <f t="array" aca="1" ref="L9" ca="1">IF(CELL("format",CONTAL[[#This Row],[ContractDateFrom]])="D1",0,1)+IF(CELL("format",CONTAL[[#This Row],[ContractDateTo]])="D1",0,1)+IF(CELL("format",CONTAL[[#This Row],[AllowanceDateFrom]])="D1",0,1)+IF(CELL("format",CONTAL[[#This Row],[AllowanceDateTo]])="D1",0,1)</f>
        <v>0</v>
      </c>
      <c r="M9" s="57">
        <f>IF(OR(CONTAL[[#This Row],[IgnoreFte]]=TRUE,CONTAL[[#This Row],[IgnoreFte]]=FALSE),0,1)</f>
        <v>0</v>
      </c>
      <c r="N9" s="57">
        <f>IF(LEN(CONTAL[[#This Row],[Notes]])&lt;4000,0,1)</f>
        <v>0</v>
      </c>
      <c r="O9" s="112">
        <f>COUNTBLANK(CONTAL[[#This Row],[AllowanceCode]:[AllowanceDateFrom]])+COUNTBLANK(CONTAL[[#This Row],[IgnoreFte]]:CONTAL[[#This Row],[IgnoreFte]])</f>
        <v>0</v>
      </c>
      <c r="P9" s="57">
        <f ca="1">SUM(CONTAL[[#This Row],[Contract Issue]:[Blank in column]])</f>
        <v>0</v>
      </c>
      <c r="R9" s="12" t="s">
        <v>2082</v>
      </c>
      <c r="S9" s="12">
        <v>91073741</v>
      </c>
      <c r="T9" s="12" t="s">
        <v>4396</v>
      </c>
      <c r="U9" s="57" t="str">
        <f>_xlfn.XLOOKUP(CONTAL[[#This Row],[StaffMemberCode]],StaffMembers!O:O,StaffMembers!R:R)</f>
        <v>Naomi Forman</v>
      </c>
      <c r="V9" s="12" t="s">
        <v>1178</v>
      </c>
      <c r="W9" s="12" t="s">
        <v>2499</v>
      </c>
      <c r="X9" s="21">
        <v>45901</v>
      </c>
      <c r="Z9" s="12" t="s">
        <v>1136</v>
      </c>
      <c r="AA9" s="20" t="s">
        <v>1361</v>
      </c>
      <c r="AB9" s="21">
        <v>45901</v>
      </c>
      <c r="AD9" s="157" t="b">
        <v>0</v>
      </c>
    </row>
    <row r="10" spans="1:31" x14ac:dyDescent="0.3">
      <c r="A10" s="12" t="str">
        <f t="shared" si="0"/>
        <v>ALS9107374391073743ATEASTCH45901</v>
      </c>
      <c r="B10" s="12" t="str">
        <f>CONTAL[[#This Row],[StaffMemberCode]]&amp;CONTAL[[#This Row],[AllowancePointCode]]&amp;CONTAL[[#This Row],[ContractReference]]&amp;CONTAL[[#This Row],[SchoolCode]]</f>
        <v>91073743TLR1B91073743AALS</v>
      </c>
      <c r="C10" s="57">
        <f>IF(COUNTIF(ContractsTeachFTE!A:A,ContractAllowances!A10)&gt;0,0,IF(COUNTIF(ContractsSupportHours!A:A,ContractAllowances!A10)&gt;0,0,1))</f>
        <v>0</v>
      </c>
      <c r="D10" s="57">
        <f>IF(_xlfn.XLOOKUP(CONTAL[[#This Row],[AllowancePointCode]],ALLWCPTS[AllowancePointCode],ALLWCPTS[AvailableToAllSchools])=TRUE,0,IFERROR(IF(FIND(CONTAL[[#This Row],[SchoolCode]],_xlfn.XLOOKUP(CONTAL[[#This Row],[AllowancePointCode]],ALLWCPTS[AllowancePointCode],ALLWCPTS[SchoolCodes]))&gt;=1,0,1),1))</f>
        <v>0</v>
      </c>
      <c r="E10" s="57" cm="1">
        <f t="array" ref="E10">IF(_xlfn.XLOOKUP(CONTAL[[#This Row],[DepartmentCode]],DEPTS[DepartmentCode],DEPTS[AvailableToAllSchools],1,0,)=TRUE,0,IF(ISERROR(FIND(CONTAL[[#This Row],[SchoolCode]],_xlfn.TEXTJOIN(",",TRUE,_xlfn.UNIQUE(IF(DEPTS[DepartmentCode]=CONTAL[[#This Row],[DepartmentCode]],DEPTS[SchoolCodes],""))))),1,0))</f>
        <v>0</v>
      </c>
      <c r="F10" s="57">
        <f>IF(COUNTIF(ALLWCTYPE[AllowanceTypeCode],CONTAL[[#This Row],[AllowanceCode]])&gt;0,0,1)</f>
        <v>0</v>
      </c>
      <c r="G10" s="57">
        <f>IF(COUNTIF(ALLWCPTS[AllowancePointCode],CONTAL[[#This Row],[AllowancePointCode]])&gt;0,0,1)</f>
        <v>0</v>
      </c>
      <c r="H10" s="57">
        <f>COUNTIF(CONTAL[Person+AllowancePoint+ContractRef+SchoolCode],CONTAL[[#This Row],[Person+AllowancePoint+ContractRef+SchoolCode]])-1</f>
        <v>0</v>
      </c>
      <c r="I10" s="57">
        <f t="shared" si="1"/>
        <v>0</v>
      </c>
      <c r="J10" s="57">
        <f>IF(ISBLANK(CONTAL[[#This Row],[ContractDateTo]]),0,IF(CONTAL[[#This Row],[ContractDateFrom]]=CONTAL[[#This Row],[ContractDateTo]],0,IF(CONTAL[[#This Row],[ContractDateFrom]]&lt;CONTAL[[#This Row],[ContractDateTo]],0,1)))</f>
        <v>0</v>
      </c>
      <c r="K10" s="57">
        <f>IF(ISBLANK(CONTAL[[#This Row],[AllowanceDateTo]]),0,IF(CONTAL[[#This Row],[AllowanceDateFrom]]=CONTAL[[#This Row],[AllowanceDateTo]],0,IF(CONTAL[[#This Row],[AllowanceDateFrom]]&lt;CONTAL[[#This Row],[AllowanceDateTo]],0,1)))</f>
        <v>0</v>
      </c>
      <c r="L10" s="57" cm="1">
        <f t="array" aca="1" ref="L10" ca="1">IF(CELL("format",CONTAL[[#This Row],[ContractDateFrom]])="D1",0,1)+IF(CELL("format",CONTAL[[#This Row],[ContractDateTo]])="D1",0,1)+IF(CELL("format",CONTAL[[#This Row],[AllowanceDateFrom]])="D1",0,1)+IF(CELL("format",CONTAL[[#This Row],[AllowanceDateTo]])="D1",0,1)</f>
        <v>0</v>
      </c>
      <c r="M10" s="57">
        <f>IF(OR(CONTAL[[#This Row],[IgnoreFte]]=TRUE,CONTAL[[#This Row],[IgnoreFte]]=FALSE),0,1)</f>
        <v>0</v>
      </c>
      <c r="N10" s="57">
        <f>IF(LEN(CONTAL[[#This Row],[Notes]])&lt;4000,0,1)</f>
        <v>0</v>
      </c>
      <c r="O10" s="112">
        <f>COUNTBLANK(CONTAL[[#This Row],[AllowanceCode]:[AllowanceDateFrom]])+COUNTBLANK(CONTAL[[#This Row],[IgnoreFte]]:CONTAL[[#This Row],[IgnoreFte]])</f>
        <v>0</v>
      </c>
      <c r="P10" s="57">
        <f ca="1">SUM(CONTAL[[#This Row],[Contract Issue]:[Blank in column]])</f>
        <v>0</v>
      </c>
      <c r="R10" s="12" t="s">
        <v>2082</v>
      </c>
      <c r="S10" s="12">
        <v>91073743</v>
      </c>
      <c r="T10" s="12" t="s">
        <v>4397</v>
      </c>
      <c r="U10" s="57" t="str">
        <f>_xlfn.XLOOKUP(CONTAL[[#This Row],[StaffMemberCode]],StaffMembers!O:O,StaffMembers!R:R)</f>
        <v>Rebecca Howlett</v>
      </c>
      <c r="V10" s="12" t="s">
        <v>1178</v>
      </c>
      <c r="W10" s="12" t="s">
        <v>2499</v>
      </c>
      <c r="X10" s="21">
        <v>45901</v>
      </c>
      <c r="Z10" s="12" t="s">
        <v>1136</v>
      </c>
      <c r="AA10" s="20" t="s">
        <v>1361</v>
      </c>
      <c r="AB10" s="21">
        <v>45901</v>
      </c>
      <c r="AD10" s="157" t="b">
        <v>0</v>
      </c>
    </row>
    <row r="11" spans="1:31" x14ac:dyDescent="0.3">
      <c r="A11" s="12" t="str">
        <f t="shared" si="0"/>
        <v>ALS9107371791073717ATEASTCH45901</v>
      </c>
      <c r="B11" s="12" t="str">
        <f>CONTAL[[#This Row],[StaffMemberCode]]&amp;CONTAL[[#This Row],[AllowancePointCode]]&amp;CONTAL[[#This Row],[ContractReference]]&amp;CONTAL[[#This Row],[SchoolCode]]</f>
        <v>91073717TLR1B91073717AALS</v>
      </c>
      <c r="C11" s="57">
        <f>IF(COUNTIF(ContractsTeachFTE!A:A,ContractAllowances!A11)&gt;0,0,IF(COUNTIF(ContractsSupportHours!A:A,ContractAllowances!A11)&gt;0,0,1))</f>
        <v>0</v>
      </c>
      <c r="D11" s="57">
        <f>IF(_xlfn.XLOOKUP(CONTAL[[#This Row],[AllowancePointCode]],ALLWCPTS[AllowancePointCode],ALLWCPTS[AvailableToAllSchools])=TRUE,0,IFERROR(IF(FIND(CONTAL[[#This Row],[SchoolCode]],_xlfn.XLOOKUP(CONTAL[[#This Row],[AllowancePointCode]],ALLWCPTS[AllowancePointCode],ALLWCPTS[SchoolCodes]))&gt;=1,0,1),1))</f>
        <v>0</v>
      </c>
      <c r="E11" s="57" cm="1">
        <f t="array" ref="E11">IF(_xlfn.XLOOKUP(CONTAL[[#This Row],[DepartmentCode]],DEPTS[DepartmentCode],DEPTS[AvailableToAllSchools],1,0,)=TRUE,0,IF(ISERROR(FIND(CONTAL[[#This Row],[SchoolCode]],_xlfn.TEXTJOIN(",",TRUE,_xlfn.UNIQUE(IF(DEPTS[DepartmentCode]=CONTAL[[#This Row],[DepartmentCode]],DEPTS[SchoolCodes],""))))),1,0))</f>
        <v>0</v>
      </c>
      <c r="F11" s="57">
        <f>IF(COUNTIF(ALLWCTYPE[AllowanceTypeCode],CONTAL[[#This Row],[AllowanceCode]])&gt;0,0,1)</f>
        <v>0</v>
      </c>
      <c r="G11" s="57">
        <f>IF(COUNTIF(ALLWCPTS[AllowancePointCode],CONTAL[[#This Row],[AllowancePointCode]])&gt;0,0,1)</f>
        <v>0</v>
      </c>
      <c r="H11" s="57">
        <f>COUNTIF(CONTAL[Person+AllowancePoint+ContractRef+SchoolCode],CONTAL[[#This Row],[Person+AllowancePoint+ContractRef+SchoolCode]])-1</f>
        <v>0</v>
      </c>
      <c r="I11" s="57">
        <f t="shared" si="1"/>
        <v>0</v>
      </c>
      <c r="J11" s="57">
        <f>IF(ISBLANK(CONTAL[[#This Row],[ContractDateTo]]),0,IF(CONTAL[[#This Row],[ContractDateFrom]]=CONTAL[[#This Row],[ContractDateTo]],0,IF(CONTAL[[#This Row],[ContractDateFrom]]&lt;CONTAL[[#This Row],[ContractDateTo]],0,1)))</f>
        <v>0</v>
      </c>
      <c r="K11" s="57">
        <f>IF(ISBLANK(CONTAL[[#This Row],[AllowanceDateTo]]),0,IF(CONTAL[[#This Row],[AllowanceDateFrom]]=CONTAL[[#This Row],[AllowanceDateTo]],0,IF(CONTAL[[#This Row],[AllowanceDateFrom]]&lt;CONTAL[[#This Row],[AllowanceDateTo]],0,1)))</f>
        <v>0</v>
      </c>
      <c r="L11" s="57" cm="1">
        <f t="array" aca="1" ref="L11" ca="1">IF(CELL("format",CONTAL[[#This Row],[ContractDateFrom]])="D1",0,1)+IF(CELL("format",CONTAL[[#This Row],[ContractDateTo]])="D1",0,1)+IF(CELL("format",CONTAL[[#This Row],[AllowanceDateFrom]])="D1",0,1)+IF(CELL("format",CONTAL[[#This Row],[AllowanceDateTo]])="D1",0,1)</f>
        <v>0</v>
      </c>
      <c r="M11" s="57">
        <f>IF(OR(CONTAL[[#This Row],[IgnoreFte]]=TRUE,CONTAL[[#This Row],[IgnoreFte]]=FALSE),0,1)</f>
        <v>0</v>
      </c>
      <c r="N11" s="57">
        <f>IF(LEN(CONTAL[[#This Row],[Notes]])&lt;4000,0,1)</f>
        <v>0</v>
      </c>
      <c r="O11" s="112">
        <f>COUNTBLANK(CONTAL[[#This Row],[AllowanceCode]:[AllowanceDateFrom]])+COUNTBLANK(CONTAL[[#This Row],[IgnoreFte]]:CONTAL[[#This Row],[IgnoreFte]])</f>
        <v>0</v>
      </c>
      <c r="P11" s="57">
        <f ca="1">SUM(CONTAL[[#This Row],[Contract Issue]:[Blank in column]])</f>
        <v>0</v>
      </c>
      <c r="R11" s="12" t="s">
        <v>2082</v>
      </c>
      <c r="S11" s="12">
        <v>91073717</v>
      </c>
      <c r="T11" s="12" t="s">
        <v>4398</v>
      </c>
      <c r="U11" s="57" t="str">
        <f>_xlfn.XLOOKUP(CONTAL[[#This Row],[StaffMemberCode]],StaffMembers!O:O,StaffMembers!R:R)</f>
        <v>Ruth Walker</v>
      </c>
      <c r="V11" s="12" t="s">
        <v>1178</v>
      </c>
      <c r="W11" s="12" t="s">
        <v>2499</v>
      </c>
      <c r="X11" s="21">
        <v>45901</v>
      </c>
      <c r="Z11" s="12" t="s">
        <v>1136</v>
      </c>
      <c r="AA11" s="20" t="s">
        <v>1361</v>
      </c>
      <c r="AB11" s="21">
        <v>45901</v>
      </c>
      <c r="AD11" s="157" t="b">
        <v>0</v>
      </c>
    </row>
    <row r="12" spans="1:31" x14ac:dyDescent="0.3">
      <c r="A12" s="12" t="str">
        <f t="shared" si="0"/>
        <v>ALS9107381191073811ATEASTCH45901</v>
      </c>
      <c r="B12" s="12" t="str">
        <f>CONTAL[[#This Row],[StaffMemberCode]]&amp;CONTAL[[#This Row],[AllowancePointCode]]&amp;CONTAL[[#This Row],[ContractReference]]&amp;CONTAL[[#This Row],[SchoolCode]]</f>
        <v>91073811TLR1C91073811AALS</v>
      </c>
      <c r="C12" s="57">
        <f>IF(COUNTIF(ContractsTeachFTE!A:A,ContractAllowances!A12)&gt;0,0,IF(COUNTIF(ContractsSupportHours!A:A,ContractAllowances!A12)&gt;0,0,1))</f>
        <v>0</v>
      </c>
      <c r="D12" s="57">
        <f>IF(_xlfn.XLOOKUP(CONTAL[[#This Row],[AllowancePointCode]],ALLWCPTS[AllowancePointCode],ALLWCPTS[AvailableToAllSchools])=TRUE,0,IFERROR(IF(FIND(CONTAL[[#This Row],[SchoolCode]],_xlfn.XLOOKUP(CONTAL[[#This Row],[AllowancePointCode]],ALLWCPTS[AllowancePointCode],ALLWCPTS[SchoolCodes]))&gt;=1,0,1),1))</f>
        <v>0</v>
      </c>
      <c r="E12" s="57" cm="1">
        <f t="array" ref="E12">IF(_xlfn.XLOOKUP(CONTAL[[#This Row],[DepartmentCode]],DEPTS[DepartmentCode],DEPTS[AvailableToAllSchools],1,0,)=TRUE,0,IF(ISERROR(FIND(CONTAL[[#This Row],[SchoolCode]],_xlfn.TEXTJOIN(",",TRUE,_xlfn.UNIQUE(IF(DEPTS[DepartmentCode]=CONTAL[[#This Row],[DepartmentCode]],DEPTS[SchoolCodes],""))))),1,0))</f>
        <v>0</v>
      </c>
      <c r="F12" s="57">
        <f>IF(COUNTIF(ALLWCTYPE[AllowanceTypeCode],CONTAL[[#This Row],[AllowanceCode]])&gt;0,0,1)</f>
        <v>0</v>
      </c>
      <c r="G12" s="57">
        <f>IF(COUNTIF(ALLWCPTS[AllowancePointCode],CONTAL[[#This Row],[AllowancePointCode]])&gt;0,0,1)</f>
        <v>0</v>
      </c>
      <c r="H12" s="57">
        <f>COUNTIF(CONTAL[Person+AllowancePoint+ContractRef+SchoolCode],CONTAL[[#This Row],[Person+AllowancePoint+ContractRef+SchoolCode]])-1</f>
        <v>0</v>
      </c>
      <c r="I12" s="57">
        <f t="shared" si="1"/>
        <v>0</v>
      </c>
      <c r="J12" s="57">
        <f>IF(ISBLANK(CONTAL[[#This Row],[ContractDateTo]]),0,IF(CONTAL[[#This Row],[ContractDateFrom]]=CONTAL[[#This Row],[ContractDateTo]],0,IF(CONTAL[[#This Row],[ContractDateFrom]]&lt;CONTAL[[#This Row],[ContractDateTo]],0,1)))</f>
        <v>0</v>
      </c>
      <c r="K12" s="57">
        <f>IF(ISBLANK(CONTAL[[#This Row],[AllowanceDateTo]]),0,IF(CONTAL[[#This Row],[AllowanceDateFrom]]=CONTAL[[#This Row],[AllowanceDateTo]],0,IF(CONTAL[[#This Row],[AllowanceDateFrom]]&lt;CONTAL[[#This Row],[AllowanceDateTo]],0,1)))</f>
        <v>0</v>
      </c>
      <c r="L12" s="57" cm="1">
        <f t="array" aca="1" ref="L12" ca="1">IF(CELL("format",CONTAL[[#This Row],[ContractDateFrom]])="D1",0,1)+IF(CELL("format",CONTAL[[#This Row],[ContractDateTo]])="D1",0,1)+IF(CELL("format",CONTAL[[#This Row],[AllowanceDateFrom]])="D1",0,1)+IF(CELL("format",CONTAL[[#This Row],[AllowanceDateTo]])="D1",0,1)</f>
        <v>0</v>
      </c>
      <c r="M12" s="57">
        <f>IF(OR(CONTAL[[#This Row],[IgnoreFte]]=TRUE,CONTAL[[#This Row],[IgnoreFte]]=FALSE),0,1)</f>
        <v>0</v>
      </c>
      <c r="N12" s="57">
        <f>IF(LEN(CONTAL[[#This Row],[Notes]])&lt;4000,0,1)</f>
        <v>0</v>
      </c>
      <c r="O12" s="112">
        <f>COUNTBLANK(CONTAL[[#This Row],[AllowanceCode]:[AllowanceDateFrom]])+COUNTBLANK(CONTAL[[#This Row],[IgnoreFte]]:CONTAL[[#This Row],[IgnoreFte]])</f>
        <v>0</v>
      </c>
      <c r="P12" s="57">
        <f ca="1">SUM(CONTAL[[#This Row],[Contract Issue]:[Blank in column]])</f>
        <v>0</v>
      </c>
      <c r="R12" s="12" t="s">
        <v>2082</v>
      </c>
      <c r="S12" s="12">
        <v>91073811</v>
      </c>
      <c r="T12" s="12" t="s">
        <v>4399</v>
      </c>
      <c r="U12" s="57" t="str">
        <f>_xlfn.XLOOKUP(CONTAL[[#This Row],[StaffMemberCode]],StaffMembers!O:O,StaffMembers!R:R)</f>
        <v>Elaine Tatham</v>
      </c>
      <c r="V12" s="12" t="s">
        <v>1178</v>
      </c>
      <c r="W12" s="12" t="s">
        <v>2499</v>
      </c>
      <c r="X12" s="21">
        <v>45901</v>
      </c>
      <c r="Z12" s="12" t="s">
        <v>1136</v>
      </c>
      <c r="AA12" s="20" t="s">
        <v>1362</v>
      </c>
      <c r="AB12" s="21">
        <v>45901</v>
      </c>
      <c r="AD12" s="157" t="b">
        <v>0</v>
      </c>
    </row>
    <row r="13" spans="1:31" x14ac:dyDescent="0.3">
      <c r="A13" s="12" t="str">
        <f t="shared" si="0"/>
        <v>ALS9107371391073713ATEASTCH45901</v>
      </c>
      <c r="B13" s="12" t="str">
        <f>CONTAL[[#This Row],[StaffMemberCode]]&amp;CONTAL[[#This Row],[AllowancePointCode]]&amp;CONTAL[[#This Row],[ContractReference]]&amp;CONTAL[[#This Row],[SchoolCode]]</f>
        <v>91073713TLR1C91073713AALS</v>
      </c>
      <c r="C13" s="57">
        <f>IF(COUNTIF(ContractsTeachFTE!A:A,ContractAllowances!A13)&gt;0,0,IF(COUNTIF(ContractsSupportHours!A:A,ContractAllowances!A13)&gt;0,0,1))</f>
        <v>0</v>
      </c>
      <c r="D13" s="57">
        <f>IF(_xlfn.XLOOKUP(CONTAL[[#This Row],[AllowancePointCode]],ALLWCPTS[AllowancePointCode],ALLWCPTS[AvailableToAllSchools])=TRUE,0,IFERROR(IF(FIND(CONTAL[[#This Row],[SchoolCode]],_xlfn.XLOOKUP(CONTAL[[#This Row],[AllowancePointCode]],ALLWCPTS[AllowancePointCode],ALLWCPTS[SchoolCodes]))&gt;=1,0,1),1))</f>
        <v>0</v>
      </c>
      <c r="E13" s="57" cm="1">
        <f t="array" ref="E13">IF(_xlfn.XLOOKUP(CONTAL[[#This Row],[DepartmentCode]],DEPTS[DepartmentCode],DEPTS[AvailableToAllSchools],1,0,)=TRUE,0,IF(ISERROR(FIND(CONTAL[[#This Row],[SchoolCode]],_xlfn.TEXTJOIN(",",TRUE,_xlfn.UNIQUE(IF(DEPTS[DepartmentCode]=CONTAL[[#This Row],[DepartmentCode]],DEPTS[SchoolCodes],""))))),1,0))</f>
        <v>0</v>
      </c>
      <c r="F13" s="57">
        <f>IF(COUNTIF(ALLWCTYPE[AllowanceTypeCode],CONTAL[[#This Row],[AllowanceCode]])&gt;0,0,1)</f>
        <v>0</v>
      </c>
      <c r="G13" s="57">
        <f>IF(COUNTIF(ALLWCPTS[AllowancePointCode],CONTAL[[#This Row],[AllowancePointCode]])&gt;0,0,1)</f>
        <v>0</v>
      </c>
      <c r="H13" s="57">
        <f>COUNTIF(CONTAL[Person+AllowancePoint+ContractRef+SchoolCode],CONTAL[[#This Row],[Person+AllowancePoint+ContractRef+SchoolCode]])-1</f>
        <v>0</v>
      </c>
      <c r="I13" s="57">
        <f t="shared" si="1"/>
        <v>0</v>
      </c>
      <c r="J13" s="57">
        <f>IF(ISBLANK(CONTAL[[#This Row],[ContractDateTo]]),0,IF(CONTAL[[#This Row],[ContractDateFrom]]=CONTAL[[#This Row],[ContractDateTo]],0,IF(CONTAL[[#This Row],[ContractDateFrom]]&lt;CONTAL[[#This Row],[ContractDateTo]],0,1)))</f>
        <v>0</v>
      </c>
      <c r="K13" s="57">
        <f>IF(ISBLANK(CONTAL[[#This Row],[AllowanceDateTo]]),0,IF(CONTAL[[#This Row],[AllowanceDateFrom]]=CONTAL[[#This Row],[AllowanceDateTo]],0,IF(CONTAL[[#This Row],[AllowanceDateFrom]]&lt;CONTAL[[#This Row],[AllowanceDateTo]],0,1)))</f>
        <v>0</v>
      </c>
      <c r="L13" s="57" cm="1">
        <f t="array" aca="1" ref="L13" ca="1">IF(CELL("format",CONTAL[[#This Row],[ContractDateFrom]])="D1",0,1)+IF(CELL("format",CONTAL[[#This Row],[ContractDateTo]])="D1",0,1)+IF(CELL("format",CONTAL[[#This Row],[AllowanceDateFrom]])="D1",0,1)+IF(CELL("format",CONTAL[[#This Row],[AllowanceDateTo]])="D1",0,1)</f>
        <v>0</v>
      </c>
      <c r="M13" s="57">
        <f>IF(OR(CONTAL[[#This Row],[IgnoreFte]]=TRUE,CONTAL[[#This Row],[IgnoreFte]]=FALSE),0,1)</f>
        <v>0</v>
      </c>
      <c r="N13" s="57">
        <f>IF(LEN(CONTAL[[#This Row],[Notes]])&lt;4000,0,1)</f>
        <v>0</v>
      </c>
      <c r="O13" s="112">
        <f>COUNTBLANK(CONTAL[[#This Row],[AllowanceCode]:[AllowanceDateFrom]])+COUNTBLANK(CONTAL[[#This Row],[IgnoreFte]]:CONTAL[[#This Row],[IgnoreFte]])</f>
        <v>0</v>
      </c>
      <c r="P13" s="57">
        <f ca="1">SUM(CONTAL[[#This Row],[Contract Issue]:[Blank in column]])</f>
        <v>0</v>
      </c>
      <c r="R13" s="12" t="s">
        <v>2082</v>
      </c>
      <c r="S13" s="12">
        <v>91073713</v>
      </c>
      <c r="T13" s="12" t="s">
        <v>4400</v>
      </c>
      <c r="U13" s="57" t="str">
        <f>_xlfn.XLOOKUP(CONTAL[[#This Row],[StaffMemberCode]],StaffMembers!O:O,StaffMembers!R:R)</f>
        <v>Nadine Darley</v>
      </c>
      <c r="V13" s="12" t="s">
        <v>1178</v>
      </c>
      <c r="W13" s="12" t="s">
        <v>2499</v>
      </c>
      <c r="X13" s="21">
        <v>45901</v>
      </c>
      <c r="Z13" s="12" t="s">
        <v>1136</v>
      </c>
      <c r="AA13" s="20" t="s">
        <v>1362</v>
      </c>
      <c r="AB13" s="21">
        <v>45901</v>
      </c>
      <c r="AD13" s="157" t="b">
        <v>0</v>
      </c>
    </row>
    <row r="14" spans="1:31" x14ac:dyDescent="0.3">
      <c r="A14" s="12" t="str">
        <f t="shared" si="0"/>
        <v>BLS9107347291073472ATEASTCH45901</v>
      </c>
      <c r="B14" s="12" t="str">
        <f>CONTAL[[#This Row],[StaffMemberCode]]&amp;CONTAL[[#This Row],[AllowancePointCode]]&amp;CONTAL[[#This Row],[ContractReference]]&amp;CONTAL[[#This Row],[SchoolCode]]</f>
        <v>91073472TLR2A91073472ABLS</v>
      </c>
      <c r="C14" s="57">
        <f>IF(COUNTIF(ContractsTeachFTE!A:A,ContractAllowances!A14)&gt;0,0,IF(COUNTIF(ContractsSupportHours!A:A,ContractAllowances!A14)&gt;0,0,1))</f>
        <v>0</v>
      </c>
      <c r="D14" s="57">
        <f>IF(_xlfn.XLOOKUP(CONTAL[[#This Row],[AllowancePointCode]],ALLWCPTS[AllowancePointCode],ALLWCPTS[AvailableToAllSchools])=TRUE,0,IFERROR(IF(FIND(CONTAL[[#This Row],[SchoolCode]],_xlfn.XLOOKUP(CONTAL[[#This Row],[AllowancePointCode]],ALLWCPTS[AllowancePointCode],ALLWCPTS[SchoolCodes]))&gt;=1,0,1),1))</f>
        <v>0</v>
      </c>
      <c r="E14" s="57" cm="1">
        <f t="array" ref="E14">IF(_xlfn.XLOOKUP(CONTAL[[#This Row],[DepartmentCode]],DEPTS[DepartmentCode],DEPTS[AvailableToAllSchools],1,0,)=TRUE,0,IF(ISERROR(FIND(CONTAL[[#This Row],[SchoolCode]],_xlfn.TEXTJOIN(",",TRUE,_xlfn.UNIQUE(IF(DEPTS[DepartmentCode]=CONTAL[[#This Row],[DepartmentCode]],DEPTS[SchoolCodes],""))))),1,0))</f>
        <v>0</v>
      </c>
      <c r="F14" s="57">
        <f>IF(COUNTIF(ALLWCTYPE[AllowanceTypeCode],CONTAL[[#This Row],[AllowanceCode]])&gt;0,0,1)</f>
        <v>0</v>
      </c>
      <c r="G14" s="57">
        <f>IF(COUNTIF(ALLWCPTS[AllowancePointCode],CONTAL[[#This Row],[AllowancePointCode]])&gt;0,0,1)</f>
        <v>0</v>
      </c>
      <c r="H14" s="57">
        <f>COUNTIF(CONTAL[Person+AllowancePoint+ContractRef+SchoolCode],CONTAL[[#This Row],[Person+AllowancePoint+ContractRef+SchoolCode]])-1</f>
        <v>0</v>
      </c>
      <c r="I14" s="57">
        <f t="shared" si="1"/>
        <v>0</v>
      </c>
      <c r="J14" s="57">
        <f>IF(ISBLANK(CONTAL[[#This Row],[ContractDateTo]]),0,IF(CONTAL[[#This Row],[ContractDateFrom]]=CONTAL[[#This Row],[ContractDateTo]],0,IF(CONTAL[[#This Row],[ContractDateFrom]]&lt;CONTAL[[#This Row],[ContractDateTo]],0,1)))</f>
        <v>0</v>
      </c>
      <c r="K14" s="57">
        <f>IF(ISBLANK(CONTAL[[#This Row],[AllowanceDateTo]]),0,IF(CONTAL[[#This Row],[AllowanceDateFrom]]=CONTAL[[#This Row],[AllowanceDateTo]],0,IF(CONTAL[[#This Row],[AllowanceDateFrom]]&lt;CONTAL[[#This Row],[AllowanceDateTo]],0,1)))</f>
        <v>0</v>
      </c>
      <c r="L14" s="57" cm="1">
        <f t="array" aca="1" ref="L14" ca="1">IF(CELL("format",CONTAL[[#This Row],[ContractDateFrom]])="D1",0,1)+IF(CELL("format",CONTAL[[#This Row],[ContractDateTo]])="D1",0,1)+IF(CELL("format",CONTAL[[#This Row],[AllowanceDateFrom]])="D1",0,1)+IF(CELL("format",CONTAL[[#This Row],[AllowanceDateTo]])="D1",0,1)</f>
        <v>0</v>
      </c>
      <c r="M14" s="57">
        <f>IF(OR(CONTAL[[#This Row],[IgnoreFte]]=TRUE,CONTAL[[#This Row],[IgnoreFte]]=FALSE),0,1)</f>
        <v>0</v>
      </c>
      <c r="N14" s="57">
        <f>IF(LEN(CONTAL[[#This Row],[Notes]])&lt;4000,0,1)</f>
        <v>0</v>
      </c>
      <c r="O14" s="112">
        <f>COUNTBLANK(CONTAL[[#This Row],[AllowanceCode]:[AllowanceDateFrom]])+COUNTBLANK(CONTAL[[#This Row],[IgnoreFte]]:CONTAL[[#This Row],[IgnoreFte]])</f>
        <v>0</v>
      </c>
      <c r="P14" s="57">
        <f ca="1">SUM(CONTAL[[#This Row],[Contract Issue]:[Blank in column]])</f>
        <v>0</v>
      </c>
      <c r="R14" s="12" t="s">
        <v>2094</v>
      </c>
      <c r="S14" s="12">
        <v>91073472</v>
      </c>
      <c r="T14" s="12" t="s">
        <v>4375</v>
      </c>
      <c r="U14" s="57" t="str">
        <f>_xlfn.XLOOKUP(CONTAL[[#This Row],[StaffMemberCode]],StaffMembers!O:O,StaffMembers!R:R)</f>
        <v>Melissa Allen-Gurr</v>
      </c>
      <c r="V14" s="12" t="s">
        <v>1178</v>
      </c>
      <c r="W14" s="12" t="s">
        <v>2499</v>
      </c>
      <c r="X14" s="21">
        <v>45901</v>
      </c>
      <c r="Z14" s="12" t="s">
        <v>1136</v>
      </c>
      <c r="AA14" s="20" t="s">
        <v>1363</v>
      </c>
      <c r="AB14" s="21">
        <v>45901</v>
      </c>
      <c r="AD14" s="157" t="b">
        <v>0</v>
      </c>
    </row>
    <row r="15" spans="1:31" x14ac:dyDescent="0.3">
      <c r="A15" s="12" t="str">
        <f t="shared" si="0"/>
        <v>BLS9107346691073466ATEASTCH45901</v>
      </c>
      <c r="B15" s="12" t="str">
        <f>CONTAL[[#This Row],[StaffMemberCode]]&amp;CONTAL[[#This Row],[AllowancePointCode]]&amp;CONTAL[[#This Row],[ContractReference]]&amp;CONTAL[[#This Row],[SchoolCode]]</f>
        <v>91073466TLR2A91073466ABLS</v>
      </c>
      <c r="C15" s="57">
        <f>IF(COUNTIF(ContractsTeachFTE!A:A,ContractAllowances!A15)&gt;0,0,IF(COUNTIF(ContractsSupportHours!A:A,ContractAllowances!A15)&gt;0,0,1))</f>
        <v>0</v>
      </c>
      <c r="D15" s="57">
        <f>IF(_xlfn.XLOOKUP(CONTAL[[#This Row],[AllowancePointCode]],ALLWCPTS[AllowancePointCode],ALLWCPTS[AvailableToAllSchools])=TRUE,0,IFERROR(IF(FIND(CONTAL[[#This Row],[SchoolCode]],_xlfn.XLOOKUP(CONTAL[[#This Row],[AllowancePointCode]],ALLWCPTS[AllowancePointCode],ALLWCPTS[SchoolCodes]))&gt;=1,0,1),1))</f>
        <v>0</v>
      </c>
      <c r="E15" s="57" cm="1">
        <f t="array" ref="E15">IF(_xlfn.XLOOKUP(CONTAL[[#This Row],[DepartmentCode]],DEPTS[DepartmentCode],DEPTS[AvailableToAllSchools],1,0,)=TRUE,0,IF(ISERROR(FIND(CONTAL[[#This Row],[SchoolCode]],_xlfn.TEXTJOIN(",",TRUE,_xlfn.UNIQUE(IF(DEPTS[DepartmentCode]=CONTAL[[#This Row],[DepartmentCode]],DEPTS[SchoolCodes],""))))),1,0))</f>
        <v>0</v>
      </c>
      <c r="F15" s="57">
        <f>IF(COUNTIF(ALLWCTYPE[AllowanceTypeCode],CONTAL[[#This Row],[AllowanceCode]])&gt;0,0,1)</f>
        <v>0</v>
      </c>
      <c r="G15" s="57">
        <f>IF(COUNTIF(ALLWCPTS[AllowancePointCode],CONTAL[[#This Row],[AllowancePointCode]])&gt;0,0,1)</f>
        <v>0</v>
      </c>
      <c r="H15" s="57">
        <f>COUNTIF(CONTAL[Person+AllowancePoint+ContractRef+SchoolCode],CONTAL[[#This Row],[Person+AllowancePoint+ContractRef+SchoolCode]])-1</f>
        <v>0</v>
      </c>
      <c r="I15" s="57">
        <f t="shared" si="1"/>
        <v>0</v>
      </c>
      <c r="J15" s="57">
        <f>IF(ISBLANK(CONTAL[[#This Row],[ContractDateTo]]),0,IF(CONTAL[[#This Row],[ContractDateFrom]]=CONTAL[[#This Row],[ContractDateTo]],0,IF(CONTAL[[#This Row],[ContractDateFrom]]&lt;CONTAL[[#This Row],[ContractDateTo]],0,1)))</f>
        <v>0</v>
      </c>
      <c r="K15" s="57">
        <f>IF(ISBLANK(CONTAL[[#This Row],[AllowanceDateTo]]),0,IF(CONTAL[[#This Row],[AllowanceDateFrom]]=CONTAL[[#This Row],[AllowanceDateTo]],0,IF(CONTAL[[#This Row],[AllowanceDateFrom]]&lt;CONTAL[[#This Row],[AllowanceDateTo]],0,1)))</f>
        <v>0</v>
      </c>
      <c r="L15" s="57" cm="1">
        <f t="array" aca="1" ref="L15" ca="1">IF(CELL("format",CONTAL[[#This Row],[ContractDateFrom]])="D1",0,1)+IF(CELL("format",CONTAL[[#This Row],[ContractDateTo]])="D1",0,1)+IF(CELL("format",CONTAL[[#This Row],[AllowanceDateFrom]])="D1",0,1)+IF(CELL("format",CONTAL[[#This Row],[AllowanceDateTo]])="D1",0,1)</f>
        <v>0</v>
      </c>
      <c r="M15" s="57">
        <f>IF(OR(CONTAL[[#This Row],[IgnoreFte]]=TRUE,CONTAL[[#This Row],[IgnoreFte]]=FALSE),0,1)</f>
        <v>0</v>
      </c>
      <c r="N15" s="57">
        <f>IF(LEN(CONTAL[[#This Row],[Notes]])&lt;4000,0,1)</f>
        <v>0</v>
      </c>
      <c r="O15" s="112">
        <f>COUNTBLANK(CONTAL[[#This Row],[AllowanceCode]:[AllowanceDateFrom]])+COUNTBLANK(CONTAL[[#This Row],[IgnoreFte]]:CONTAL[[#This Row],[IgnoreFte]])</f>
        <v>0</v>
      </c>
      <c r="P15" s="57">
        <f ca="1">SUM(CONTAL[[#This Row],[Contract Issue]:[Blank in column]])</f>
        <v>0</v>
      </c>
      <c r="R15" s="12" t="s">
        <v>2094</v>
      </c>
      <c r="S15" s="12">
        <v>91073466</v>
      </c>
      <c r="T15" s="12" t="s">
        <v>4376</v>
      </c>
      <c r="U15" s="57" t="str">
        <f>_xlfn.XLOOKUP(CONTAL[[#This Row],[StaffMemberCode]],StaffMembers!O:O,StaffMembers!R:R)</f>
        <v>Kate Malkin</v>
      </c>
      <c r="V15" s="12" t="s">
        <v>1178</v>
      </c>
      <c r="W15" s="12" t="s">
        <v>2499</v>
      </c>
      <c r="X15" s="21">
        <v>45901</v>
      </c>
      <c r="Z15" s="12" t="s">
        <v>1136</v>
      </c>
      <c r="AA15" s="20" t="s">
        <v>1363</v>
      </c>
      <c r="AB15" s="21">
        <v>45901</v>
      </c>
      <c r="AD15" s="157" t="b">
        <v>0</v>
      </c>
    </row>
    <row r="16" spans="1:31" x14ac:dyDescent="0.3">
      <c r="A16" s="12" t="str">
        <f t="shared" si="0"/>
        <v>BLS9107350391073503ATEASTCH45901</v>
      </c>
      <c r="B16" s="12" t="str">
        <f>CONTAL[[#This Row],[StaffMemberCode]]&amp;CONTAL[[#This Row],[AllowancePointCode]]&amp;CONTAL[[#This Row],[ContractReference]]&amp;CONTAL[[#This Row],[SchoolCode]]</f>
        <v>91073503TLR2A91073503ABLS</v>
      </c>
      <c r="C16" s="57">
        <f>IF(COUNTIF(ContractsTeachFTE!A:A,ContractAllowances!A16)&gt;0,0,IF(COUNTIF(ContractsSupportHours!A:A,ContractAllowances!A16)&gt;0,0,1))</f>
        <v>0</v>
      </c>
      <c r="D16" s="57">
        <f>IF(_xlfn.XLOOKUP(CONTAL[[#This Row],[AllowancePointCode]],ALLWCPTS[AllowancePointCode],ALLWCPTS[AvailableToAllSchools])=TRUE,0,IFERROR(IF(FIND(CONTAL[[#This Row],[SchoolCode]],_xlfn.XLOOKUP(CONTAL[[#This Row],[AllowancePointCode]],ALLWCPTS[AllowancePointCode],ALLWCPTS[SchoolCodes]))&gt;=1,0,1),1))</f>
        <v>0</v>
      </c>
      <c r="E16" s="57" cm="1">
        <f t="array" ref="E16">IF(_xlfn.XLOOKUP(CONTAL[[#This Row],[DepartmentCode]],DEPTS[DepartmentCode],DEPTS[AvailableToAllSchools],1,0,)=TRUE,0,IF(ISERROR(FIND(CONTAL[[#This Row],[SchoolCode]],_xlfn.TEXTJOIN(",",TRUE,_xlfn.UNIQUE(IF(DEPTS[DepartmentCode]=CONTAL[[#This Row],[DepartmentCode]],DEPTS[SchoolCodes],""))))),1,0))</f>
        <v>0</v>
      </c>
      <c r="F16" s="57">
        <f>IF(COUNTIF(ALLWCTYPE[AllowanceTypeCode],CONTAL[[#This Row],[AllowanceCode]])&gt;0,0,1)</f>
        <v>0</v>
      </c>
      <c r="G16" s="57">
        <f>IF(COUNTIF(ALLWCPTS[AllowancePointCode],CONTAL[[#This Row],[AllowancePointCode]])&gt;0,0,1)</f>
        <v>0</v>
      </c>
      <c r="H16" s="57">
        <f>COUNTIF(CONTAL[Person+AllowancePoint+ContractRef+SchoolCode],CONTAL[[#This Row],[Person+AllowancePoint+ContractRef+SchoolCode]])-1</f>
        <v>0</v>
      </c>
      <c r="I16" s="57">
        <f t="shared" si="1"/>
        <v>0</v>
      </c>
      <c r="J16" s="57">
        <f>IF(ISBLANK(CONTAL[[#This Row],[ContractDateTo]]),0,IF(CONTAL[[#This Row],[ContractDateFrom]]=CONTAL[[#This Row],[ContractDateTo]],0,IF(CONTAL[[#This Row],[ContractDateFrom]]&lt;CONTAL[[#This Row],[ContractDateTo]],0,1)))</f>
        <v>0</v>
      </c>
      <c r="K16" s="57">
        <f>IF(ISBLANK(CONTAL[[#This Row],[AllowanceDateTo]]),0,IF(CONTAL[[#This Row],[AllowanceDateFrom]]=CONTAL[[#This Row],[AllowanceDateTo]],0,IF(CONTAL[[#This Row],[AllowanceDateFrom]]&lt;CONTAL[[#This Row],[AllowanceDateTo]],0,1)))</f>
        <v>0</v>
      </c>
      <c r="L16" s="57" cm="1">
        <f t="array" aca="1" ref="L16" ca="1">IF(CELL("format",CONTAL[[#This Row],[ContractDateFrom]])="D1",0,1)+IF(CELL("format",CONTAL[[#This Row],[ContractDateTo]])="D1",0,1)+IF(CELL("format",CONTAL[[#This Row],[AllowanceDateFrom]])="D1",0,1)+IF(CELL("format",CONTAL[[#This Row],[AllowanceDateTo]])="D1",0,1)</f>
        <v>0</v>
      </c>
      <c r="M16" s="57">
        <f>IF(OR(CONTAL[[#This Row],[IgnoreFte]]=TRUE,CONTAL[[#This Row],[IgnoreFte]]=FALSE),0,1)</f>
        <v>0</v>
      </c>
      <c r="N16" s="57">
        <f>IF(LEN(CONTAL[[#This Row],[Notes]])&lt;4000,0,1)</f>
        <v>0</v>
      </c>
      <c r="O16" s="112">
        <f>COUNTBLANK(CONTAL[[#This Row],[AllowanceCode]:[AllowanceDateFrom]])+COUNTBLANK(CONTAL[[#This Row],[IgnoreFte]]:CONTAL[[#This Row],[IgnoreFte]])</f>
        <v>0</v>
      </c>
      <c r="P16" s="57">
        <f ca="1">SUM(CONTAL[[#This Row],[Contract Issue]:[Blank in column]])</f>
        <v>0</v>
      </c>
      <c r="R16" s="12" t="s">
        <v>2094</v>
      </c>
      <c r="S16" s="12">
        <v>91073503</v>
      </c>
      <c r="T16" s="12" t="s">
        <v>4377</v>
      </c>
      <c r="U16" s="57" t="str">
        <f>_xlfn.XLOOKUP(CONTAL[[#This Row],[StaffMemberCode]],StaffMembers!O:O,StaffMembers!R:R)</f>
        <v>Laura Linde</v>
      </c>
      <c r="V16" s="12" t="s">
        <v>1178</v>
      </c>
      <c r="W16" s="12" t="s">
        <v>2499</v>
      </c>
      <c r="X16" s="21">
        <v>45901</v>
      </c>
      <c r="Z16" s="12" t="s">
        <v>1136</v>
      </c>
      <c r="AA16" s="20" t="s">
        <v>1363</v>
      </c>
      <c r="AB16" s="21">
        <v>45901</v>
      </c>
      <c r="AD16" s="157" t="b">
        <v>0</v>
      </c>
    </row>
    <row r="17" spans="1:30" x14ac:dyDescent="0.3">
      <c r="A17" s="12" t="str">
        <f t="shared" si="0"/>
        <v>BLS9107347891073478ATEASTCH45901</v>
      </c>
      <c r="B17" s="12" t="str">
        <f>CONTAL[[#This Row],[StaffMemberCode]]&amp;CONTAL[[#This Row],[AllowancePointCode]]&amp;CONTAL[[#This Row],[ContractReference]]&amp;CONTAL[[#This Row],[SchoolCode]]</f>
        <v>91073478TLR2A91073478ABLS</v>
      </c>
      <c r="C17" s="57">
        <f>IF(COUNTIF(ContractsTeachFTE!A:A,ContractAllowances!A17)&gt;0,0,IF(COUNTIF(ContractsSupportHours!A:A,ContractAllowances!A17)&gt;0,0,1))</f>
        <v>0</v>
      </c>
      <c r="D17" s="57">
        <f>IF(_xlfn.XLOOKUP(CONTAL[[#This Row],[AllowancePointCode]],ALLWCPTS[AllowancePointCode],ALLWCPTS[AvailableToAllSchools])=TRUE,0,IFERROR(IF(FIND(CONTAL[[#This Row],[SchoolCode]],_xlfn.XLOOKUP(CONTAL[[#This Row],[AllowancePointCode]],ALLWCPTS[AllowancePointCode],ALLWCPTS[SchoolCodes]))&gt;=1,0,1),1))</f>
        <v>0</v>
      </c>
      <c r="E17" s="57" cm="1">
        <f t="array" ref="E17">IF(_xlfn.XLOOKUP(CONTAL[[#This Row],[DepartmentCode]],DEPTS[DepartmentCode],DEPTS[AvailableToAllSchools],1,0,)=TRUE,0,IF(ISERROR(FIND(CONTAL[[#This Row],[SchoolCode]],_xlfn.TEXTJOIN(",",TRUE,_xlfn.UNIQUE(IF(DEPTS[DepartmentCode]=CONTAL[[#This Row],[DepartmentCode]],DEPTS[SchoolCodes],""))))),1,0))</f>
        <v>0</v>
      </c>
      <c r="F17" s="57">
        <f>IF(COUNTIF(ALLWCTYPE[AllowanceTypeCode],CONTAL[[#This Row],[AllowanceCode]])&gt;0,0,1)</f>
        <v>0</v>
      </c>
      <c r="G17" s="57">
        <f>IF(COUNTIF(ALLWCPTS[AllowancePointCode],CONTAL[[#This Row],[AllowancePointCode]])&gt;0,0,1)</f>
        <v>0</v>
      </c>
      <c r="H17" s="57">
        <f>COUNTIF(CONTAL[Person+AllowancePoint+ContractRef+SchoolCode],CONTAL[[#This Row],[Person+AllowancePoint+ContractRef+SchoolCode]])-1</f>
        <v>0</v>
      </c>
      <c r="I17" s="57">
        <f t="shared" si="1"/>
        <v>0</v>
      </c>
      <c r="J17" s="57">
        <f>IF(ISBLANK(CONTAL[[#This Row],[ContractDateTo]]),0,IF(CONTAL[[#This Row],[ContractDateFrom]]=CONTAL[[#This Row],[ContractDateTo]],0,IF(CONTAL[[#This Row],[ContractDateFrom]]&lt;CONTAL[[#This Row],[ContractDateTo]],0,1)))</f>
        <v>0</v>
      </c>
      <c r="K17" s="57">
        <f>IF(ISBLANK(CONTAL[[#This Row],[AllowanceDateTo]]),0,IF(CONTAL[[#This Row],[AllowanceDateFrom]]=CONTAL[[#This Row],[AllowanceDateTo]],0,IF(CONTAL[[#This Row],[AllowanceDateFrom]]&lt;CONTAL[[#This Row],[AllowanceDateTo]],0,1)))</f>
        <v>0</v>
      </c>
      <c r="L17" s="57" cm="1">
        <f t="array" aca="1" ref="L17" ca="1">IF(CELL("format",CONTAL[[#This Row],[ContractDateFrom]])="D1",0,1)+IF(CELL("format",CONTAL[[#This Row],[ContractDateTo]])="D1",0,1)+IF(CELL("format",CONTAL[[#This Row],[AllowanceDateFrom]])="D1",0,1)+IF(CELL("format",CONTAL[[#This Row],[AllowanceDateTo]])="D1",0,1)</f>
        <v>0</v>
      </c>
      <c r="M17" s="57">
        <f>IF(OR(CONTAL[[#This Row],[IgnoreFte]]=TRUE,CONTAL[[#This Row],[IgnoreFte]]=FALSE),0,1)</f>
        <v>0</v>
      </c>
      <c r="N17" s="57">
        <f>IF(LEN(CONTAL[[#This Row],[Notes]])&lt;4000,0,1)</f>
        <v>0</v>
      </c>
      <c r="O17" s="112">
        <f>COUNTBLANK(CONTAL[[#This Row],[AllowanceCode]:[AllowanceDateFrom]])+COUNTBLANK(CONTAL[[#This Row],[IgnoreFte]]:CONTAL[[#This Row],[IgnoreFte]])</f>
        <v>0</v>
      </c>
      <c r="P17" s="57">
        <f ca="1">SUM(CONTAL[[#This Row],[Contract Issue]:[Blank in column]])</f>
        <v>0</v>
      </c>
      <c r="R17" s="12" t="s">
        <v>2094</v>
      </c>
      <c r="S17" s="12">
        <v>91073478</v>
      </c>
      <c r="T17" s="12" t="s">
        <v>4378</v>
      </c>
      <c r="U17" s="57" t="str">
        <f>_xlfn.XLOOKUP(CONTAL[[#This Row],[StaffMemberCode]],StaffMembers!O:O,StaffMembers!R:R)</f>
        <v>Jessica Cooper</v>
      </c>
      <c r="V17" s="12" t="s">
        <v>1178</v>
      </c>
      <c r="W17" s="12" t="s">
        <v>2499</v>
      </c>
      <c r="X17" s="21">
        <v>45901</v>
      </c>
      <c r="Z17" s="12" t="s">
        <v>1136</v>
      </c>
      <c r="AA17" s="20" t="s">
        <v>1363</v>
      </c>
      <c r="AB17" s="21">
        <v>45901</v>
      </c>
      <c r="AD17" s="157" t="b">
        <v>0</v>
      </c>
    </row>
    <row r="18" spans="1:30" x14ac:dyDescent="0.3">
      <c r="A18" s="12" t="str">
        <f t="shared" si="0"/>
        <v>BLS9107348691073486ATEASTCH45901</v>
      </c>
      <c r="B18" s="12" t="str">
        <f>CONTAL[[#This Row],[StaffMemberCode]]&amp;CONTAL[[#This Row],[AllowancePointCode]]&amp;CONTAL[[#This Row],[ContractReference]]&amp;CONTAL[[#This Row],[SchoolCode]]</f>
        <v>91073486TLR2A91073486ABLS</v>
      </c>
      <c r="C18" s="57">
        <f>IF(COUNTIF(ContractsTeachFTE!A:A,ContractAllowances!A18)&gt;0,0,IF(COUNTIF(ContractsSupportHours!A:A,ContractAllowances!A18)&gt;0,0,1))</f>
        <v>0</v>
      </c>
      <c r="D18" s="57">
        <f>IF(_xlfn.XLOOKUP(CONTAL[[#This Row],[AllowancePointCode]],ALLWCPTS[AllowancePointCode],ALLWCPTS[AvailableToAllSchools])=TRUE,0,IFERROR(IF(FIND(CONTAL[[#This Row],[SchoolCode]],_xlfn.XLOOKUP(CONTAL[[#This Row],[AllowancePointCode]],ALLWCPTS[AllowancePointCode],ALLWCPTS[SchoolCodes]))&gt;=1,0,1),1))</f>
        <v>0</v>
      </c>
      <c r="E18" s="57" cm="1">
        <f t="array" ref="E18">IF(_xlfn.XLOOKUP(CONTAL[[#This Row],[DepartmentCode]],DEPTS[DepartmentCode],DEPTS[AvailableToAllSchools],1,0,)=TRUE,0,IF(ISERROR(FIND(CONTAL[[#This Row],[SchoolCode]],_xlfn.TEXTJOIN(",",TRUE,_xlfn.UNIQUE(IF(DEPTS[DepartmentCode]=CONTAL[[#This Row],[DepartmentCode]],DEPTS[SchoolCodes],""))))),1,0))</f>
        <v>0</v>
      </c>
      <c r="F18" s="57">
        <f>IF(COUNTIF(ALLWCTYPE[AllowanceTypeCode],CONTAL[[#This Row],[AllowanceCode]])&gt;0,0,1)</f>
        <v>0</v>
      </c>
      <c r="G18" s="57">
        <f>IF(COUNTIF(ALLWCPTS[AllowancePointCode],CONTAL[[#This Row],[AllowancePointCode]])&gt;0,0,1)</f>
        <v>0</v>
      </c>
      <c r="H18" s="57">
        <f>COUNTIF(CONTAL[Person+AllowancePoint+ContractRef+SchoolCode],CONTAL[[#This Row],[Person+AllowancePoint+ContractRef+SchoolCode]])-1</f>
        <v>0</v>
      </c>
      <c r="I18" s="57">
        <f t="shared" si="1"/>
        <v>0</v>
      </c>
      <c r="J18" s="57">
        <f>IF(ISBLANK(CONTAL[[#This Row],[ContractDateTo]]),0,IF(CONTAL[[#This Row],[ContractDateFrom]]=CONTAL[[#This Row],[ContractDateTo]],0,IF(CONTAL[[#This Row],[ContractDateFrom]]&lt;CONTAL[[#This Row],[ContractDateTo]],0,1)))</f>
        <v>0</v>
      </c>
      <c r="K18" s="57">
        <f>IF(ISBLANK(CONTAL[[#This Row],[AllowanceDateTo]]),0,IF(CONTAL[[#This Row],[AllowanceDateFrom]]=CONTAL[[#This Row],[AllowanceDateTo]],0,IF(CONTAL[[#This Row],[AllowanceDateFrom]]&lt;CONTAL[[#This Row],[AllowanceDateTo]],0,1)))</f>
        <v>0</v>
      </c>
      <c r="L18" s="57" cm="1">
        <f t="array" aca="1" ref="L18" ca="1">IF(CELL("format",CONTAL[[#This Row],[ContractDateFrom]])="D1",0,1)+IF(CELL("format",CONTAL[[#This Row],[ContractDateTo]])="D1",0,1)+IF(CELL("format",CONTAL[[#This Row],[AllowanceDateFrom]])="D1",0,1)+IF(CELL("format",CONTAL[[#This Row],[AllowanceDateTo]])="D1",0,1)</f>
        <v>0</v>
      </c>
      <c r="M18" s="57">
        <f>IF(OR(CONTAL[[#This Row],[IgnoreFte]]=TRUE,CONTAL[[#This Row],[IgnoreFte]]=FALSE),0,1)</f>
        <v>0</v>
      </c>
      <c r="N18" s="57">
        <f>IF(LEN(CONTAL[[#This Row],[Notes]])&lt;4000,0,1)</f>
        <v>0</v>
      </c>
      <c r="O18" s="112">
        <f>COUNTBLANK(CONTAL[[#This Row],[AllowanceCode]:[AllowanceDateFrom]])+COUNTBLANK(CONTAL[[#This Row],[IgnoreFte]]:CONTAL[[#This Row],[IgnoreFte]])</f>
        <v>0</v>
      </c>
      <c r="P18" s="57">
        <f ca="1">SUM(CONTAL[[#This Row],[Contract Issue]:[Blank in column]])</f>
        <v>0</v>
      </c>
      <c r="R18" s="12" t="s">
        <v>2094</v>
      </c>
      <c r="S18" s="12">
        <v>91073486</v>
      </c>
      <c r="T18" s="12" t="s">
        <v>4379</v>
      </c>
      <c r="U18" s="57" t="str">
        <f>_xlfn.XLOOKUP(CONTAL[[#This Row],[StaffMemberCode]],StaffMembers!O:O,StaffMembers!R:R)</f>
        <v>Rhiannon Bentley</v>
      </c>
      <c r="V18" s="12" t="s">
        <v>1178</v>
      </c>
      <c r="W18" s="12" t="s">
        <v>2499</v>
      </c>
      <c r="X18" s="21">
        <v>45901</v>
      </c>
      <c r="Z18" s="12" t="s">
        <v>1136</v>
      </c>
      <c r="AA18" s="20" t="s">
        <v>1363</v>
      </c>
      <c r="AB18" s="21">
        <v>45901</v>
      </c>
      <c r="AD18" s="157" t="b">
        <v>0</v>
      </c>
    </row>
    <row r="19" spans="1:30" x14ac:dyDescent="0.3">
      <c r="A19" s="12" t="str">
        <f t="shared" si="0"/>
        <v>BLS9107352591073525ATEASTCH45901</v>
      </c>
      <c r="B19" s="12" t="str">
        <f>CONTAL[[#This Row],[StaffMemberCode]]&amp;CONTAL[[#This Row],[AllowancePointCode]]&amp;CONTAL[[#This Row],[ContractReference]]&amp;CONTAL[[#This Row],[SchoolCode]]</f>
        <v>91073525TLR2A91073525ABLS</v>
      </c>
      <c r="C19" s="57">
        <f>IF(COUNTIF(ContractsTeachFTE!A:A,ContractAllowances!A19)&gt;0,0,IF(COUNTIF(ContractsSupportHours!A:A,ContractAllowances!A19)&gt;0,0,1))</f>
        <v>0</v>
      </c>
      <c r="D19" s="57">
        <f>IF(_xlfn.XLOOKUP(CONTAL[[#This Row],[AllowancePointCode]],ALLWCPTS[AllowancePointCode],ALLWCPTS[AvailableToAllSchools])=TRUE,0,IFERROR(IF(FIND(CONTAL[[#This Row],[SchoolCode]],_xlfn.XLOOKUP(CONTAL[[#This Row],[AllowancePointCode]],ALLWCPTS[AllowancePointCode],ALLWCPTS[SchoolCodes]))&gt;=1,0,1),1))</f>
        <v>0</v>
      </c>
      <c r="E19" s="57" cm="1">
        <f t="array" ref="E19">IF(_xlfn.XLOOKUP(CONTAL[[#This Row],[DepartmentCode]],DEPTS[DepartmentCode],DEPTS[AvailableToAllSchools],1,0,)=TRUE,0,IF(ISERROR(FIND(CONTAL[[#This Row],[SchoolCode]],_xlfn.TEXTJOIN(",",TRUE,_xlfn.UNIQUE(IF(DEPTS[DepartmentCode]=CONTAL[[#This Row],[DepartmentCode]],DEPTS[SchoolCodes],""))))),1,0))</f>
        <v>0</v>
      </c>
      <c r="F19" s="57">
        <f>IF(COUNTIF(ALLWCTYPE[AllowanceTypeCode],CONTAL[[#This Row],[AllowanceCode]])&gt;0,0,1)</f>
        <v>0</v>
      </c>
      <c r="G19" s="57">
        <f>IF(COUNTIF(ALLWCPTS[AllowancePointCode],CONTAL[[#This Row],[AllowancePointCode]])&gt;0,0,1)</f>
        <v>0</v>
      </c>
      <c r="H19" s="57">
        <f>COUNTIF(CONTAL[Person+AllowancePoint+ContractRef+SchoolCode],CONTAL[[#This Row],[Person+AllowancePoint+ContractRef+SchoolCode]])-1</f>
        <v>0</v>
      </c>
      <c r="I19" s="57">
        <f t="shared" si="1"/>
        <v>0</v>
      </c>
      <c r="J19" s="57">
        <f>IF(ISBLANK(CONTAL[[#This Row],[ContractDateTo]]),0,IF(CONTAL[[#This Row],[ContractDateFrom]]=CONTAL[[#This Row],[ContractDateTo]],0,IF(CONTAL[[#This Row],[ContractDateFrom]]&lt;CONTAL[[#This Row],[ContractDateTo]],0,1)))</f>
        <v>0</v>
      </c>
      <c r="K19" s="57">
        <f>IF(ISBLANK(CONTAL[[#This Row],[AllowanceDateTo]]),0,IF(CONTAL[[#This Row],[AllowanceDateFrom]]=CONTAL[[#This Row],[AllowanceDateTo]],0,IF(CONTAL[[#This Row],[AllowanceDateFrom]]&lt;CONTAL[[#This Row],[AllowanceDateTo]],0,1)))</f>
        <v>0</v>
      </c>
      <c r="L19" s="57" cm="1">
        <f t="array" aca="1" ref="L19" ca="1">IF(CELL("format",CONTAL[[#This Row],[ContractDateFrom]])="D1",0,1)+IF(CELL("format",CONTAL[[#This Row],[ContractDateTo]])="D1",0,1)+IF(CELL("format",CONTAL[[#This Row],[AllowanceDateFrom]])="D1",0,1)+IF(CELL("format",CONTAL[[#This Row],[AllowanceDateTo]])="D1",0,1)</f>
        <v>0</v>
      </c>
      <c r="M19" s="57">
        <f>IF(OR(CONTAL[[#This Row],[IgnoreFte]]=TRUE,CONTAL[[#This Row],[IgnoreFte]]=FALSE),0,1)</f>
        <v>0</v>
      </c>
      <c r="N19" s="57">
        <f>IF(LEN(CONTAL[[#This Row],[Notes]])&lt;4000,0,1)</f>
        <v>0</v>
      </c>
      <c r="O19" s="112">
        <f>COUNTBLANK(CONTAL[[#This Row],[AllowanceCode]:[AllowanceDateFrom]])+COUNTBLANK(CONTAL[[#This Row],[IgnoreFte]]:CONTAL[[#This Row],[IgnoreFte]])</f>
        <v>0</v>
      </c>
      <c r="P19" s="57">
        <f ca="1">SUM(CONTAL[[#This Row],[Contract Issue]:[Blank in column]])</f>
        <v>0</v>
      </c>
      <c r="R19" s="12" t="s">
        <v>2094</v>
      </c>
      <c r="S19" s="12">
        <v>91073525</v>
      </c>
      <c r="T19" s="12" t="s">
        <v>4380</v>
      </c>
      <c r="U19" s="57" t="str">
        <f>_xlfn.XLOOKUP(CONTAL[[#This Row],[StaffMemberCode]],StaffMembers!O:O,StaffMembers!R:R)</f>
        <v>Sarah Mottram</v>
      </c>
      <c r="V19" s="12" t="s">
        <v>1178</v>
      </c>
      <c r="W19" s="12" t="s">
        <v>2499</v>
      </c>
      <c r="X19" s="21">
        <v>45901</v>
      </c>
      <c r="Z19" s="12" t="s">
        <v>1136</v>
      </c>
      <c r="AA19" s="20" t="s">
        <v>1363</v>
      </c>
      <c r="AB19" s="21">
        <v>45901</v>
      </c>
      <c r="AD19" s="157" t="b">
        <v>0</v>
      </c>
    </row>
    <row r="20" spans="1:30" x14ac:dyDescent="0.3">
      <c r="A20" s="12" t="str">
        <f t="shared" si="0"/>
        <v>BLS9107354091073540ATEASTCH45901</v>
      </c>
      <c r="B20" s="12" t="str">
        <f>CONTAL[[#This Row],[StaffMemberCode]]&amp;CONTAL[[#This Row],[AllowancePointCode]]&amp;CONTAL[[#This Row],[ContractReference]]&amp;CONTAL[[#This Row],[SchoolCode]]</f>
        <v>91073540TLR2A91073540ABLS</v>
      </c>
      <c r="C20" s="57">
        <f>IF(COUNTIF(ContractsTeachFTE!A:A,ContractAllowances!A20)&gt;0,0,IF(COUNTIF(ContractsSupportHours!A:A,ContractAllowances!A20)&gt;0,0,1))</f>
        <v>0</v>
      </c>
      <c r="D20" s="57">
        <f>IF(_xlfn.XLOOKUP(CONTAL[[#This Row],[AllowancePointCode]],ALLWCPTS[AllowancePointCode],ALLWCPTS[AvailableToAllSchools])=TRUE,0,IFERROR(IF(FIND(CONTAL[[#This Row],[SchoolCode]],_xlfn.XLOOKUP(CONTAL[[#This Row],[AllowancePointCode]],ALLWCPTS[AllowancePointCode],ALLWCPTS[SchoolCodes]))&gt;=1,0,1),1))</f>
        <v>0</v>
      </c>
      <c r="E20" s="57" cm="1">
        <f t="array" ref="E20">IF(_xlfn.XLOOKUP(CONTAL[[#This Row],[DepartmentCode]],DEPTS[DepartmentCode],DEPTS[AvailableToAllSchools],1,0,)=TRUE,0,IF(ISERROR(FIND(CONTAL[[#This Row],[SchoolCode]],_xlfn.TEXTJOIN(",",TRUE,_xlfn.UNIQUE(IF(DEPTS[DepartmentCode]=CONTAL[[#This Row],[DepartmentCode]],DEPTS[SchoolCodes],""))))),1,0))</f>
        <v>0</v>
      </c>
      <c r="F20" s="57">
        <f>IF(COUNTIF(ALLWCTYPE[AllowanceTypeCode],CONTAL[[#This Row],[AllowanceCode]])&gt;0,0,1)</f>
        <v>0</v>
      </c>
      <c r="G20" s="57">
        <f>IF(COUNTIF(ALLWCPTS[AllowancePointCode],CONTAL[[#This Row],[AllowancePointCode]])&gt;0,0,1)</f>
        <v>0</v>
      </c>
      <c r="H20" s="57">
        <f>COUNTIF(CONTAL[Person+AllowancePoint+ContractRef+SchoolCode],CONTAL[[#This Row],[Person+AllowancePoint+ContractRef+SchoolCode]])-1</f>
        <v>0</v>
      </c>
      <c r="I20" s="57">
        <f t="shared" si="1"/>
        <v>0</v>
      </c>
      <c r="J20" s="57">
        <f>IF(ISBLANK(CONTAL[[#This Row],[ContractDateTo]]),0,IF(CONTAL[[#This Row],[ContractDateFrom]]=CONTAL[[#This Row],[ContractDateTo]],0,IF(CONTAL[[#This Row],[ContractDateFrom]]&lt;CONTAL[[#This Row],[ContractDateTo]],0,1)))</f>
        <v>0</v>
      </c>
      <c r="K20" s="57">
        <f>IF(ISBLANK(CONTAL[[#This Row],[AllowanceDateTo]]),0,IF(CONTAL[[#This Row],[AllowanceDateFrom]]=CONTAL[[#This Row],[AllowanceDateTo]],0,IF(CONTAL[[#This Row],[AllowanceDateFrom]]&lt;CONTAL[[#This Row],[AllowanceDateTo]],0,1)))</f>
        <v>0</v>
      </c>
      <c r="L20" s="57" cm="1">
        <f t="array" aca="1" ref="L20" ca="1">IF(CELL("format",CONTAL[[#This Row],[ContractDateFrom]])="D1",0,1)+IF(CELL("format",CONTAL[[#This Row],[ContractDateTo]])="D1",0,1)+IF(CELL("format",CONTAL[[#This Row],[AllowanceDateFrom]])="D1",0,1)+IF(CELL("format",CONTAL[[#This Row],[AllowanceDateTo]])="D1",0,1)</f>
        <v>0</v>
      </c>
      <c r="M20" s="57">
        <f>IF(OR(CONTAL[[#This Row],[IgnoreFte]]=TRUE,CONTAL[[#This Row],[IgnoreFte]]=FALSE),0,1)</f>
        <v>0</v>
      </c>
      <c r="N20" s="57">
        <f>IF(LEN(CONTAL[[#This Row],[Notes]])&lt;4000,0,1)</f>
        <v>0</v>
      </c>
      <c r="O20" s="112">
        <f>COUNTBLANK(CONTAL[[#This Row],[AllowanceCode]:[AllowanceDateFrom]])+COUNTBLANK(CONTAL[[#This Row],[IgnoreFte]]:CONTAL[[#This Row],[IgnoreFte]])</f>
        <v>0</v>
      </c>
      <c r="P20" s="57">
        <f ca="1">SUM(CONTAL[[#This Row],[Contract Issue]:[Blank in column]])</f>
        <v>0</v>
      </c>
      <c r="R20" s="12" t="s">
        <v>2094</v>
      </c>
      <c r="S20" s="12">
        <v>91073540</v>
      </c>
      <c r="T20" s="12" t="s">
        <v>4381</v>
      </c>
      <c r="U20" s="57" t="str">
        <f>_xlfn.XLOOKUP(CONTAL[[#This Row],[StaffMemberCode]],StaffMembers!O:O,StaffMembers!R:R)</f>
        <v>Emma Dunning</v>
      </c>
      <c r="V20" s="12" t="s">
        <v>1178</v>
      </c>
      <c r="W20" s="12" t="s">
        <v>2499</v>
      </c>
      <c r="X20" s="21">
        <v>45901</v>
      </c>
      <c r="Z20" s="12" t="s">
        <v>1136</v>
      </c>
      <c r="AA20" s="20" t="s">
        <v>1363</v>
      </c>
      <c r="AB20" s="21">
        <v>45901</v>
      </c>
      <c r="AD20" s="157" t="b">
        <v>0</v>
      </c>
    </row>
    <row r="21" spans="1:30" x14ac:dyDescent="0.3">
      <c r="A21" s="12" t="str">
        <f t="shared" si="0"/>
        <v>BLS9107356591073565ATEASTCH45901</v>
      </c>
      <c r="B21" s="12" t="str">
        <f>CONTAL[[#This Row],[StaffMemberCode]]&amp;CONTAL[[#This Row],[AllowancePointCode]]&amp;CONTAL[[#This Row],[ContractReference]]&amp;CONTAL[[#This Row],[SchoolCode]]</f>
        <v>91073565TLR2A91073565ABLS</v>
      </c>
      <c r="C21" s="57">
        <f>IF(COUNTIF(ContractsTeachFTE!A:A,ContractAllowances!A21)&gt;0,0,IF(COUNTIF(ContractsSupportHours!A:A,ContractAllowances!A21)&gt;0,0,1))</f>
        <v>0</v>
      </c>
      <c r="D21" s="57">
        <f>IF(_xlfn.XLOOKUP(CONTAL[[#This Row],[AllowancePointCode]],ALLWCPTS[AllowancePointCode],ALLWCPTS[AvailableToAllSchools])=TRUE,0,IFERROR(IF(FIND(CONTAL[[#This Row],[SchoolCode]],_xlfn.XLOOKUP(CONTAL[[#This Row],[AllowancePointCode]],ALLWCPTS[AllowancePointCode],ALLWCPTS[SchoolCodes]))&gt;=1,0,1),1))</f>
        <v>0</v>
      </c>
      <c r="E21" s="57" cm="1">
        <f t="array" ref="E21">IF(_xlfn.XLOOKUP(CONTAL[[#This Row],[DepartmentCode]],DEPTS[DepartmentCode],DEPTS[AvailableToAllSchools],1,0,)=TRUE,0,IF(ISERROR(FIND(CONTAL[[#This Row],[SchoolCode]],_xlfn.TEXTJOIN(",",TRUE,_xlfn.UNIQUE(IF(DEPTS[DepartmentCode]=CONTAL[[#This Row],[DepartmentCode]],DEPTS[SchoolCodes],""))))),1,0))</f>
        <v>0</v>
      </c>
      <c r="F21" s="57">
        <f>IF(COUNTIF(ALLWCTYPE[AllowanceTypeCode],CONTAL[[#This Row],[AllowanceCode]])&gt;0,0,1)</f>
        <v>0</v>
      </c>
      <c r="G21" s="57">
        <f>IF(COUNTIF(ALLWCPTS[AllowancePointCode],CONTAL[[#This Row],[AllowancePointCode]])&gt;0,0,1)</f>
        <v>0</v>
      </c>
      <c r="H21" s="57">
        <f>COUNTIF(CONTAL[Person+AllowancePoint+ContractRef+SchoolCode],CONTAL[[#This Row],[Person+AllowancePoint+ContractRef+SchoolCode]])-1</f>
        <v>0</v>
      </c>
      <c r="I21" s="57">
        <f t="shared" si="1"/>
        <v>0</v>
      </c>
      <c r="J21" s="57">
        <f>IF(ISBLANK(CONTAL[[#This Row],[ContractDateTo]]),0,IF(CONTAL[[#This Row],[ContractDateFrom]]=CONTAL[[#This Row],[ContractDateTo]],0,IF(CONTAL[[#This Row],[ContractDateFrom]]&lt;CONTAL[[#This Row],[ContractDateTo]],0,1)))</f>
        <v>0</v>
      </c>
      <c r="K21" s="57">
        <f>IF(ISBLANK(CONTAL[[#This Row],[AllowanceDateTo]]),0,IF(CONTAL[[#This Row],[AllowanceDateFrom]]=CONTAL[[#This Row],[AllowanceDateTo]],0,IF(CONTAL[[#This Row],[AllowanceDateFrom]]&lt;CONTAL[[#This Row],[AllowanceDateTo]],0,1)))</f>
        <v>0</v>
      </c>
      <c r="L21" s="57" cm="1">
        <f t="array" aca="1" ref="L21" ca="1">IF(CELL("format",CONTAL[[#This Row],[ContractDateFrom]])="D1",0,1)+IF(CELL("format",CONTAL[[#This Row],[ContractDateTo]])="D1",0,1)+IF(CELL("format",CONTAL[[#This Row],[AllowanceDateFrom]])="D1",0,1)+IF(CELL("format",CONTAL[[#This Row],[AllowanceDateTo]])="D1",0,1)</f>
        <v>0</v>
      </c>
      <c r="M21" s="57">
        <f>IF(OR(CONTAL[[#This Row],[IgnoreFte]]=TRUE,CONTAL[[#This Row],[IgnoreFte]]=FALSE),0,1)</f>
        <v>0</v>
      </c>
      <c r="N21" s="57">
        <f>IF(LEN(CONTAL[[#This Row],[Notes]])&lt;4000,0,1)</f>
        <v>0</v>
      </c>
      <c r="O21" s="112">
        <f>COUNTBLANK(CONTAL[[#This Row],[AllowanceCode]:[AllowanceDateFrom]])+COUNTBLANK(CONTAL[[#This Row],[IgnoreFte]]:CONTAL[[#This Row],[IgnoreFte]])</f>
        <v>0</v>
      </c>
      <c r="P21" s="57">
        <f ca="1">SUM(CONTAL[[#This Row],[Contract Issue]:[Blank in column]])</f>
        <v>0</v>
      </c>
      <c r="R21" s="12" t="s">
        <v>2094</v>
      </c>
      <c r="S21" s="12">
        <v>91073565</v>
      </c>
      <c r="T21" s="12" t="s">
        <v>4382</v>
      </c>
      <c r="U21" s="57" t="str">
        <f>_xlfn.XLOOKUP(CONTAL[[#This Row],[StaffMemberCode]],StaffMembers!O:O,StaffMembers!R:R)</f>
        <v>Sophie Davies</v>
      </c>
      <c r="V21" s="12" t="s">
        <v>1178</v>
      </c>
      <c r="W21" s="12" t="s">
        <v>2499</v>
      </c>
      <c r="X21" s="21">
        <v>45901</v>
      </c>
      <c r="Z21" s="12" t="s">
        <v>1136</v>
      </c>
      <c r="AA21" s="20" t="s">
        <v>1363</v>
      </c>
      <c r="AB21" s="21">
        <v>45901</v>
      </c>
      <c r="AD21" s="157" t="b">
        <v>0</v>
      </c>
    </row>
    <row r="22" spans="1:30" x14ac:dyDescent="0.3">
      <c r="A22" s="12" t="str">
        <f t="shared" si="0"/>
        <v>BLS9107345491073454ATEASTCH45901</v>
      </c>
      <c r="B22" s="12" t="str">
        <f>CONTAL[[#This Row],[StaffMemberCode]]&amp;CONTAL[[#This Row],[AllowancePointCode]]&amp;CONTAL[[#This Row],[ContractReference]]&amp;CONTAL[[#This Row],[SchoolCode]]</f>
        <v>91073454TLR2A91073454ABLS</v>
      </c>
      <c r="C22" s="57">
        <f>IF(COUNTIF(ContractsTeachFTE!A:A,ContractAllowances!A22)&gt;0,0,IF(COUNTIF(ContractsSupportHours!A:A,ContractAllowances!A22)&gt;0,0,1))</f>
        <v>0</v>
      </c>
      <c r="D22" s="57">
        <f>IF(_xlfn.XLOOKUP(CONTAL[[#This Row],[AllowancePointCode]],ALLWCPTS[AllowancePointCode],ALLWCPTS[AvailableToAllSchools])=TRUE,0,IFERROR(IF(FIND(CONTAL[[#This Row],[SchoolCode]],_xlfn.XLOOKUP(CONTAL[[#This Row],[AllowancePointCode]],ALLWCPTS[AllowancePointCode],ALLWCPTS[SchoolCodes]))&gt;=1,0,1),1))</f>
        <v>0</v>
      </c>
      <c r="E22" s="57" cm="1">
        <f t="array" ref="E22">IF(_xlfn.XLOOKUP(CONTAL[[#This Row],[DepartmentCode]],DEPTS[DepartmentCode],DEPTS[AvailableToAllSchools],1,0,)=TRUE,0,IF(ISERROR(FIND(CONTAL[[#This Row],[SchoolCode]],_xlfn.TEXTJOIN(",",TRUE,_xlfn.UNIQUE(IF(DEPTS[DepartmentCode]=CONTAL[[#This Row],[DepartmentCode]],DEPTS[SchoolCodes],""))))),1,0))</f>
        <v>0</v>
      </c>
      <c r="F22" s="57">
        <f>IF(COUNTIF(ALLWCTYPE[AllowanceTypeCode],CONTAL[[#This Row],[AllowanceCode]])&gt;0,0,1)</f>
        <v>0</v>
      </c>
      <c r="G22" s="57">
        <f>IF(COUNTIF(ALLWCPTS[AllowancePointCode],CONTAL[[#This Row],[AllowancePointCode]])&gt;0,0,1)</f>
        <v>0</v>
      </c>
      <c r="H22" s="57">
        <f>COUNTIF(CONTAL[Person+AllowancePoint+ContractRef+SchoolCode],CONTAL[[#This Row],[Person+AllowancePoint+ContractRef+SchoolCode]])-1</f>
        <v>0</v>
      </c>
      <c r="I22" s="57">
        <f t="shared" si="1"/>
        <v>0</v>
      </c>
      <c r="J22" s="57">
        <f>IF(ISBLANK(CONTAL[[#This Row],[ContractDateTo]]),0,IF(CONTAL[[#This Row],[ContractDateFrom]]=CONTAL[[#This Row],[ContractDateTo]],0,IF(CONTAL[[#This Row],[ContractDateFrom]]&lt;CONTAL[[#This Row],[ContractDateTo]],0,1)))</f>
        <v>0</v>
      </c>
      <c r="K22" s="57">
        <f>IF(ISBLANK(CONTAL[[#This Row],[AllowanceDateTo]]),0,IF(CONTAL[[#This Row],[AllowanceDateFrom]]=CONTAL[[#This Row],[AllowanceDateTo]],0,IF(CONTAL[[#This Row],[AllowanceDateFrom]]&lt;CONTAL[[#This Row],[AllowanceDateTo]],0,1)))</f>
        <v>0</v>
      </c>
      <c r="L22" s="57" cm="1">
        <f t="array" aca="1" ref="L22" ca="1">IF(CELL("format",CONTAL[[#This Row],[ContractDateFrom]])="D1",0,1)+IF(CELL("format",CONTAL[[#This Row],[ContractDateTo]])="D1",0,1)+IF(CELL("format",CONTAL[[#This Row],[AllowanceDateFrom]])="D1",0,1)+IF(CELL("format",CONTAL[[#This Row],[AllowanceDateTo]])="D1",0,1)</f>
        <v>0</v>
      </c>
      <c r="M22" s="57">
        <f>IF(OR(CONTAL[[#This Row],[IgnoreFte]]=TRUE,CONTAL[[#This Row],[IgnoreFte]]=FALSE),0,1)</f>
        <v>0</v>
      </c>
      <c r="N22" s="57">
        <f>IF(LEN(CONTAL[[#This Row],[Notes]])&lt;4000,0,1)</f>
        <v>0</v>
      </c>
      <c r="O22" s="112">
        <f>COUNTBLANK(CONTAL[[#This Row],[AllowanceCode]:[AllowanceDateFrom]])+COUNTBLANK(CONTAL[[#This Row],[IgnoreFte]]:CONTAL[[#This Row],[IgnoreFte]])</f>
        <v>0</v>
      </c>
      <c r="P22" s="57">
        <f ca="1">SUM(CONTAL[[#This Row],[Contract Issue]:[Blank in column]])</f>
        <v>0</v>
      </c>
      <c r="R22" s="12" t="s">
        <v>2094</v>
      </c>
      <c r="S22" s="12">
        <v>91073454</v>
      </c>
      <c r="T22" s="12" t="s">
        <v>4383</v>
      </c>
      <c r="U22" s="57" t="str">
        <f>_xlfn.XLOOKUP(CONTAL[[#This Row],[StaffMemberCode]],StaffMembers!O:O,StaffMembers!R:R)</f>
        <v>Pamela Hughes</v>
      </c>
      <c r="V22" s="12" t="s">
        <v>1178</v>
      </c>
      <c r="W22" s="12" t="s">
        <v>2499</v>
      </c>
      <c r="X22" s="21">
        <v>45901</v>
      </c>
      <c r="Z22" s="12" t="s">
        <v>1136</v>
      </c>
      <c r="AA22" s="20" t="s">
        <v>1363</v>
      </c>
      <c r="AB22" s="21">
        <v>45901</v>
      </c>
      <c r="AD22" s="157" t="b">
        <v>0</v>
      </c>
    </row>
    <row r="23" spans="1:30" x14ac:dyDescent="0.3">
      <c r="A23" s="12" t="str">
        <f t="shared" si="0"/>
        <v>BLS9107349091073490ATEASTCH45901</v>
      </c>
      <c r="B23" s="12" t="str">
        <f>CONTAL[[#This Row],[StaffMemberCode]]&amp;CONTAL[[#This Row],[AllowancePointCode]]&amp;CONTAL[[#This Row],[ContractReference]]&amp;CONTAL[[#This Row],[SchoolCode]]</f>
        <v>91073490TLR2A91073490ABLS</v>
      </c>
      <c r="C23" s="57">
        <f>IF(COUNTIF(ContractsTeachFTE!A:A,ContractAllowances!A23)&gt;0,0,IF(COUNTIF(ContractsSupportHours!A:A,ContractAllowances!A23)&gt;0,0,1))</f>
        <v>0</v>
      </c>
      <c r="D23" s="57">
        <f>IF(_xlfn.XLOOKUP(CONTAL[[#This Row],[AllowancePointCode]],ALLWCPTS[AllowancePointCode],ALLWCPTS[AvailableToAllSchools])=TRUE,0,IFERROR(IF(FIND(CONTAL[[#This Row],[SchoolCode]],_xlfn.XLOOKUP(CONTAL[[#This Row],[AllowancePointCode]],ALLWCPTS[AllowancePointCode],ALLWCPTS[SchoolCodes]))&gt;=1,0,1),1))</f>
        <v>0</v>
      </c>
      <c r="E23" s="57" cm="1">
        <f t="array" ref="E23">IF(_xlfn.XLOOKUP(CONTAL[[#This Row],[DepartmentCode]],DEPTS[DepartmentCode],DEPTS[AvailableToAllSchools],1,0,)=TRUE,0,IF(ISERROR(FIND(CONTAL[[#This Row],[SchoolCode]],_xlfn.TEXTJOIN(",",TRUE,_xlfn.UNIQUE(IF(DEPTS[DepartmentCode]=CONTAL[[#This Row],[DepartmentCode]],DEPTS[SchoolCodes],""))))),1,0))</f>
        <v>0</v>
      </c>
      <c r="F23" s="57">
        <f>IF(COUNTIF(ALLWCTYPE[AllowanceTypeCode],CONTAL[[#This Row],[AllowanceCode]])&gt;0,0,1)</f>
        <v>0</v>
      </c>
      <c r="G23" s="57">
        <f>IF(COUNTIF(ALLWCPTS[AllowancePointCode],CONTAL[[#This Row],[AllowancePointCode]])&gt;0,0,1)</f>
        <v>0</v>
      </c>
      <c r="H23" s="57">
        <f>COUNTIF(CONTAL[Person+AllowancePoint+ContractRef+SchoolCode],CONTAL[[#This Row],[Person+AllowancePoint+ContractRef+SchoolCode]])-1</f>
        <v>0</v>
      </c>
      <c r="I23" s="57">
        <f t="shared" si="1"/>
        <v>0</v>
      </c>
      <c r="J23" s="57">
        <f>IF(ISBLANK(CONTAL[[#This Row],[ContractDateTo]]),0,IF(CONTAL[[#This Row],[ContractDateFrom]]=CONTAL[[#This Row],[ContractDateTo]],0,IF(CONTAL[[#This Row],[ContractDateFrom]]&lt;CONTAL[[#This Row],[ContractDateTo]],0,1)))</f>
        <v>0</v>
      </c>
      <c r="K23" s="57">
        <f>IF(ISBLANK(CONTAL[[#This Row],[AllowanceDateTo]]),0,IF(CONTAL[[#This Row],[AllowanceDateFrom]]=CONTAL[[#This Row],[AllowanceDateTo]],0,IF(CONTAL[[#This Row],[AllowanceDateFrom]]&lt;CONTAL[[#This Row],[AllowanceDateTo]],0,1)))</f>
        <v>0</v>
      </c>
      <c r="L23" s="57" cm="1">
        <f t="array" aca="1" ref="L23" ca="1">IF(CELL("format",CONTAL[[#This Row],[ContractDateFrom]])="D1",0,1)+IF(CELL("format",CONTAL[[#This Row],[ContractDateTo]])="D1",0,1)+IF(CELL("format",CONTAL[[#This Row],[AllowanceDateFrom]])="D1",0,1)+IF(CELL("format",CONTAL[[#This Row],[AllowanceDateTo]])="D1",0,1)</f>
        <v>0</v>
      </c>
      <c r="M23" s="57">
        <f>IF(OR(CONTAL[[#This Row],[IgnoreFte]]=TRUE,CONTAL[[#This Row],[IgnoreFte]]=FALSE),0,1)</f>
        <v>0</v>
      </c>
      <c r="N23" s="57">
        <f>IF(LEN(CONTAL[[#This Row],[Notes]])&lt;4000,0,1)</f>
        <v>0</v>
      </c>
      <c r="O23" s="112">
        <f>COUNTBLANK(CONTAL[[#This Row],[AllowanceCode]:[AllowanceDateFrom]])+COUNTBLANK(CONTAL[[#This Row],[IgnoreFte]]:CONTAL[[#This Row],[IgnoreFte]])</f>
        <v>0</v>
      </c>
      <c r="P23" s="57">
        <f ca="1">SUM(CONTAL[[#This Row],[Contract Issue]:[Blank in column]])</f>
        <v>0</v>
      </c>
      <c r="R23" s="12" t="s">
        <v>2094</v>
      </c>
      <c r="S23" s="12">
        <v>91073490</v>
      </c>
      <c r="T23" s="12" t="s">
        <v>4384</v>
      </c>
      <c r="U23" s="57" t="str">
        <f>_xlfn.XLOOKUP(CONTAL[[#This Row],[StaffMemberCode]],StaffMembers!O:O,StaffMembers!R:R)</f>
        <v>Christopher Cooney</v>
      </c>
      <c r="V23" s="12" t="s">
        <v>1178</v>
      </c>
      <c r="W23" s="12" t="s">
        <v>2499</v>
      </c>
      <c r="X23" s="21">
        <v>45901</v>
      </c>
      <c r="Z23" s="12" t="s">
        <v>1136</v>
      </c>
      <c r="AA23" s="20" t="s">
        <v>1363</v>
      </c>
      <c r="AB23" s="21">
        <v>45901</v>
      </c>
      <c r="AD23" s="157" t="b">
        <v>0</v>
      </c>
    </row>
    <row r="24" spans="1:30" x14ac:dyDescent="0.3">
      <c r="A24" s="12" t="str">
        <f t="shared" si="0"/>
        <v>BLS9107353691073536ATEASTCH45901</v>
      </c>
      <c r="B24" s="12" t="str">
        <f>CONTAL[[#This Row],[StaffMemberCode]]&amp;CONTAL[[#This Row],[AllowancePointCode]]&amp;CONTAL[[#This Row],[ContractReference]]&amp;CONTAL[[#This Row],[SchoolCode]]</f>
        <v>91073536TLR2A91073536ABLS</v>
      </c>
      <c r="C24" s="57">
        <f>IF(COUNTIF(ContractsTeachFTE!A:A,ContractAllowances!A24)&gt;0,0,IF(COUNTIF(ContractsSupportHours!A:A,ContractAllowances!A24)&gt;0,0,1))</f>
        <v>0</v>
      </c>
      <c r="D24" s="57">
        <f>IF(_xlfn.XLOOKUP(CONTAL[[#This Row],[AllowancePointCode]],ALLWCPTS[AllowancePointCode],ALLWCPTS[AvailableToAllSchools])=TRUE,0,IFERROR(IF(FIND(CONTAL[[#This Row],[SchoolCode]],_xlfn.XLOOKUP(CONTAL[[#This Row],[AllowancePointCode]],ALLWCPTS[AllowancePointCode],ALLWCPTS[SchoolCodes]))&gt;=1,0,1),1))</f>
        <v>0</v>
      </c>
      <c r="E24" s="57" cm="1">
        <f t="array" ref="E24">IF(_xlfn.XLOOKUP(CONTAL[[#This Row],[DepartmentCode]],DEPTS[DepartmentCode],DEPTS[AvailableToAllSchools],1,0,)=TRUE,0,IF(ISERROR(FIND(CONTAL[[#This Row],[SchoolCode]],_xlfn.TEXTJOIN(",",TRUE,_xlfn.UNIQUE(IF(DEPTS[DepartmentCode]=CONTAL[[#This Row],[DepartmentCode]],DEPTS[SchoolCodes],""))))),1,0))</f>
        <v>0</v>
      </c>
      <c r="F24" s="57">
        <f>IF(COUNTIF(ALLWCTYPE[AllowanceTypeCode],CONTAL[[#This Row],[AllowanceCode]])&gt;0,0,1)</f>
        <v>0</v>
      </c>
      <c r="G24" s="57">
        <f>IF(COUNTIF(ALLWCPTS[AllowancePointCode],CONTAL[[#This Row],[AllowancePointCode]])&gt;0,0,1)</f>
        <v>0</v>
      </c>
      <c r="H24" s="57">
        <f>COUNTIF(CONTAL[Person+AllowancePoint+ContractRef+SchoolCode],CONTAL[[#This Row],[Person+AllowancePoint+ContractRef+SchoolCode]])-1</f>
        <v>0</v>
      </c>
      <c r="I24" s="57">
        <f t="shared" si="1"/>
        <v>0</v>
      </c>
      <c r="J24" s="57">
        <f>IF(ISBLANK(CONTAL[[#This Row],[ContractDateTo]]),0,IF(CONTAL[[#This Row],[ContractDateFrom]]=CONTAL[[#This Row],[ContractDateTo]],0,IF(CONTAL[[#This Row],[ContractDateFrom]]&lt;CONTAL[[#This Row],[ContractDateTo]],0,1)))</f>
        <v>0</v>
      </c>
      <c r="K24" s="57">
        <f>IF(ISBLANK(CONTAL[[#This Row],[AllowanceDateTo]]),0,IF(CONTAL[[#This Row],[AllowanceDateFrom]]=CONTAL[[#This Row],[AllowanceDateTo]],0,IF(CONTAL[[#This Row],[AllowanceDateFrom]]&lt;CONTAL[[#This Row],[AllowanceDateTo]],0,1)))</f>
        <v>0</v>
      </c>
      <c r="L24" s="57" cm="1">
        <f t="array" aca="1" ref="L24" ca="1">IF(CELL("format",CONTAL[[#This Row],[ContractDateFrom]])="D1",0,1)+IF(CELL("format",CONTAL[[#This Row],[ContractDateTo]])="D1",0,1)+IF(CELL("format",CONTAL[[#This Row],[AllowanceDateFrom]])="D1",0,1)+IF(CELL("format",CONTAL[[#This Row],[AllowanceDateTo]])="D1",0,1)</f>
        <v>0</v>
      </c>
      <c r="M24" s="57">
        <f>IF(OR(CONTAL[[#This Row],[IgnoreFte]]=TRUE,CONTAL[[#This Row],[IgnoreFte]]=FALSE),0,1)</f>
        <v>0</v>
      </c>
      <c r="N24" s="57">
        <f>IF(LEN(CONTAL[[#This Row],[Notes]])&lt;4000,0,1)</f>
        <v>0</v>
      </c>
      <c r="O24" s="112">
        <f>COUNTBLANK(CONTAL[[#This Row],[AllowanceCode]:[AllowanceDateFrom]])+COUNTBLANK(CONTAL[[#This Row],[IgnoreFte]]:CONTAL[[#This Row],[IgnoreFte]])</f>
        <v>0</v>
      </c>
      <c r="P24" s="57">
        <f ca="1">SUM(CONTAL[[#This Row],[Contract Issue]:[Blank in column]])</f>
        <v>0</v>
      </c>
      <c r="R24" s="12" t="s">
        <v>2094</v>
      </c>
      <c r="S24" s="12">
        <v>91073536</v>
      </c>
      <c r="T24" s="12" t="s">
        <v>4385</v>
      </c>
      <c r="U24" s="57" t="str">
        <f>_xlfn.XLOOKUP(CONTAL[[#This Row],[StaffMemberCode]],StaffMembers!O:O,StaffMembers!R:R)</f>
        <v>Simon Gresty</v>
      </c>
      <c r="V24" s="12" t="s">
        <v>1178</v>
      </c>
      <c r="W24" s="12" t="s">
        <v>2499</v>
      </c>
      <c r="X24" s="21">
        <v>45901</v>
      </c>
      <c r="Z24" s="12" t="s">
        <v>1136</v>
      </c>
      <c r="AA24" s="20" t="s">
        <v>1363</v>
      </c>
      <c r="AB24" s="21">
        <v>45901</v>
      </c>
      <c r="AD24" s="157" t="b">
        <v>0</v>
      </c>
    </row>
    <row r="25" spans="1:30" x14ac:dyDescent="0.3">
      <c r="A25" s="12" t="str">
        <f t="shared" si="0"/>
        <v>BLS9107346591073465ATEASTCH45901</v>
      </c>
      <c r="B25" s="12" t="str">
        <f>CONTAL[[#This Row],[StaffMemberCode]]&amp;CONTAL[[#This Row],[AllowancePointCode]]&amp;CONTAL[[#This Row],[ContractReference]]&amp;CONTAL[[#This Row],[SchoolCode]]</f>
        <v>91073465TLR2A91073465ABLS</v>
      </c>
      <c r="C25" s="57">
        <f>IF(COUNTIF(ContractsTeachFTE!A:A,ContractAllowances!A25)&gt;0,0,IF(COUNTIF(ContractsSupportHours!A:A,ContractAllowances!A25)&gt;0,0,1))</f>
        <v>0</v>
      </c>
      <c r="D25" s="57">
        <f>IF(_xlfn.XLOOKUP(CONTAL[[#This Row],[AllowancePointCode]],ALLWCPTS[AllowancePointCode],ALLWCPTS[AvailableToAllSchools])=TRUE,0,IFERROR(IF(FIND(CONTAL[[#This Row],[SchoolCode]],_xlfn.XLOOKUP(CONTAL[[#This Row],[AllowancePointCode]],ALLWCPTS[AllowancePointCode],ALLWCPTS[SchoolCodes]))&gt;=1,0,1),1))</f>
        <v>0</v>
      </c>
      <c r="E25" s="57" cm="1">
        <f t="array" ref="E25">IF(_xlfn.XLOOKUP(CONTAL[[#This Row],[DepartmentCode]],DEPTS[DepartmentCode],DEPTS[AvailableToAllSchools],1,0,)=TRUE,0,IF(ISERROR(FIND(CONTAL[[#This Row],[SchoolCode]],_xlfn.TEXTJOIN(",",TRUE,_xlfn.UNIQUE(IF(DEPTS[DepartmentCode]=CONTAL[[#This Row],[DepartmentCode]],DEPTS[SchoolCodes],""))))),1,0))</f>
        <v>0</v>
      </c>
      <c r="F25" s="57">
        <f>IF(COUNTIF(ALLWCTYPE[AllowanceTypeCode],CONTAL[[#This Row],[AllowanceCode]])&gt;0,0,1)</f>
        <v>0</v>
      </c>
      <c r="G25" s="57">
        <f>IF(COUNTIF(ALLWCPTS[AllowancePointCode],CONTAL[[#This Row],[AllowancePointCode]])&gt;0,0,1)</f>
        <v>0</v>
      </c>
      <c r="H25" s="57">
        <f>COUNTIF(CONTAL[Person+AllowancePoint+ContractRef+SchoolCode],CONTAL[[#This Row],[Person+AllowancePoint+ContractRef+SchoolCode]])-1</f>
        <v>0</v>
      </c>
      <c r="I25" s="57">
        <f t="shared" si="1"/>
        <v>0</v>
      </c>
      <c r="J25" s="57">
        <f>IF(ISBLANK(CONTAL[[#This Row],[ContractDateTo]]),0,IF(CONTAL[[#This Row],[ContractDateFrom]]=CONTAL[[#This Row],[ContractDateTo]],0,IF(CONTAL[[#This Row],[ContractDateFrom]]&lt;CONTAL[[#This Row],[ContractDateTo]],0,1)))</f>
        <v>0</v>
      </c>
      <c r="K25" s="57">
        <f>IF(ISBLANK(CONTAL[[#This Row],[AllowanceDateTo]]),0,IF(CONTAL[[#This Row],[AllowanceDateFrom]]=CONTAL[[#This Row],[AllowanceDateTo]],0,IF(CONTAL[[#This Row],[AllowanceDateFrom]]&lt;CONTAL[[#This Row],[AllowanceDateTo]],0,1)))</f>
        <v>0</v>
      </c>
      <c r="L25" s="57" cm="1">
        <f t="array" aca="1" ref="L25" ca="1">IF(CELL("format",CONTAL[[#This Row],[ContractDateFrom]])="D1",0,1)+IF(CELL("format",CONTAL[[#This Row],[ContractDateTo]])="D1",0,1)+IF(CELL("format",CONTAL[[#This Row],[AllowanceDateFrom]])="D1",0,1)+IF(CELL("format",CONTAL[[#This Row],[AllowanceDateTo]])="D1",0,1)</f>
        <v>0</v>
      </c>
      <c r="M25" s="57">
        <f>IF(OR(CONTAL[[#This Row],[IgnoreFte]]=TRUE,CONTAL[[#This Row],[IgnoreFte]]=FALSE),0,1)</f>
        <v>0</v>
      </c>
      <c r="N25" s="57">
        <f>IF(LEN(CONTAL[[#This Row],[Notes]])&lt;4000,0,1)</f>
        <v>0</v>
      </c>
      <c r="O25" s="112">
        <f>COUNTBLANK(CONTAL[[#This Row],[AllowanceCode]:[AllowanceDateFrom]])+COUNTBLANK(CONTAL[[#This Row],[IgnoreFte]]:CONTAL[[#This Row],[IgnoreFte]])</f>
        <v>0</v>
      </c>
      <c r="P25" s="57">
        <f ca="1">SUM(CONTAL[[#This Row],[Contract Issue]:[Blank in column]])</f>
        <v>0</v>
      </c>
      <c r="R25" s="12" t="s">
        <v>2094</v>
      </c>
      <c r="S25" s="12">
        <v>91073465</v>
      </c>
      <c r="T25" s="12" t="s">
        <v>4386</v>
      </c>
      <c r="U25" s="57" t="str">
        <f>_xlfn.XLOOKUP(CONTAL[[#This Row],[StaffMemberCode]],StaffMembers!O:O,StaffMembers!R:R)</f>
        <v>Andrea Sanders</v>
      </c>
      <c r="V25" s="12" t="s">
        <v>1178</v>
      </c>
      <c r="W25" s="12" t="s">
        <v>2499</v>
      </c>
      <c r="X25" s="21">
        <v>45901</v>
      </c>
      <c r="Z25" s="12" t="s">
        <v>1136</v>
      </c>
      <c r="AA25" s="20" t="s">
        <v>1363</v>
      </c>
      <c r="AB25" s="21">
        <v>45901</v>
      </c>
      <c r="AD25" s="157" t="b">
        <v>0</v>
      </c>
    </row>
    <row r="26" spans="1:30" x14ac:dyDescent="0.3">
      <c r="A26" s="12" t="str">
        <f t="shared" si="0"/>
        <v>BLS9107345791073457ATEASTCH45901</v>
      </c>
      <c r="B26" s="12" t="str">
        <f>CONTAL[[#This Row],[StaffMemberCode]]&amp;CONTAL[[#This Row],[AllowancePointCode]]&amp;CONTAL[[#This Row],[ContractReference]]&amp;CONTAL[[#This Row],[SchoolCode]]</f>
        <v>91073457TLR2A91073457ABLS</v>
      </c>
      <c r="C26" s="57">
        <f>IF(COUNTIF(ContractsTeachFTE!A:A,ContractAllowances!A26)&gt;0,0,IF(COUNTIF(ContractsSupportHours!A:A,ContractAllowances!A26)&gt;0,0,1))</f>
        <v>0</v>
      </c>
      <c r="D26" s="57">
        <f>IF(_xlfn.XLOOKUP(CONTAL[[#This Row],[AllowancePointCode]],ALLWCPTS[AllowancePointCode],ALLWCPTS[AvailableToAllSchools])=TRUE,0,IFERROR(IF(FIND(CONTAL[[#This Row],[SchoolCode]],_xlfn.XLOOKUP(CONTAL[[#This Row],[AllowancePointCode]],ALLWCPTS[AllowancePointCode],ALLWCPTS[SchoolCodes]))&gt;=1,0,1),1))</f>
        <v>0</v>
      </c>
      <c r="E26" s="57" cm="1">
        <f t="array" ref="E26">IF(_xlfn.XLOOKUP(CONTAL[[#This Row],[DepartmentCode]],DEPTS[DepartmentCode],DEPTS[AvailableToAllSchools],1,0,)=TRUE,0,IF(ISERROR(FIND(CONTAL[[#This Row],[SchoolCode]],_xlfn.TEXTJOIN(",",TRUE,_xlfn.UNIQUE(IF(DEPTS[DepartmentCode]=CONTAL[[#This Row],[DepartmentCode]],DEPTS[SchoolCodes],""))))),1,0))</f>
        <v>0</v>
      </c>
      <c r="F26" s="57">
        <f>IF(COUNTIF(ALLWCTYPE[AllowanceTypeCode],CONTAL[[#This Row],[AllowanceCode]])&gt;0,0,1)</f>
        <v>0</v>
      </c>
      <c r="G26" s="57">
        <f>IF(COUNTIF(ALLWCPTS[AllowancePointCode],CONTAL[[#This Row],[AllowancePointCode]])&gt;0,0,1)</f>
        <v>0</v>
      </c>
      <c r="H26" s="57">
        <f>COUNTIF(CONTAL[Person+AllowancePoint+ContractRef+SchoolCode],CONTAL[[#This Row],[Person+AllowancePoint+ContractRef+SchoolCode]])-1</f>
        <v>0</v>
      </c>
      <c r="I26" s="57">
        <f t="shared" si="1"/>
        <v>0</v>
      </c>
      <c r="J26" s="57">
        <f>IF(ISBLANK(CONTAL[[#This Row],[ContractDateTo]]),0,IF(CONTAL[[#This Row],[ContractDateFrom]]=CONTAL[[#This Row],[ContractDateTo]],0,IF(CONTAL[[#This Row],[ContractDateFrom]]&lt;CONTAL[[#This Row],[ContractDateTo]],0,1)))</f>
        <v>0</v>
      </c>
      <c r="K26" s="57">
        <f>IF(ISBLANK(CONTAL[[#This Row],[AllowanceDateTo]]),0,IF(CONTAL[[#This Row],[AllowanceDateFrom]]=CONTAL[[#This Row],[AllowanceDateTo]],0,IF(CONTAL[[#This Row],[AllowanceDateFrom]]&lt;CONTAL[[#This Row],[AllowanceDateTo]],0,1)))</f>
        <v>0</v>
      </c>
      <c r="L26" s="57" cm="1">
        <f t="array" aca="1" ref="L26" ca="1">IF(CELL("format",CONTAL[[#This Row],[ContractDateFrom]])="D1",0,1)+IF(CELL("format",CONTAL[[#This Row],[ContractDateTo]])="D1",0,1)+IF(CELL("format",CONTAL[[#This Row],[AllowanceDateFrom]])="D1",0,1)+IF(CELL("format",CONTAL[[#This Row],[AllowanceDateTo]])="D1",0,1)</f>
        <v>0</v>
      </c>
      <c r="M26" s="57">
        <f>IF(OR(CONTAL[[#This Row],[IgnoreFte]]=TRUE,CONTAL[[#This Row],[IgnoreFte]]=FALSE),0,1)</f>
        <v>0</v>
      </c>
      <c r="N26" s="57">
        <f>IF(LEN(CONTAL[[#This Row],[Notes]])&lt;4000,0,1)</f>
        <v>0</v>
      </c>
      <c r="O26" s="112">
        <f>COUNTBLANK(CONTAL[[#This Row],[AllowanceCode]:[AllowanceDateFrom]])+COUNTBLANK(CONTAL[[#This Row],[IgnoreFte]]:CONTAL[[#This Row],[IgnoreFte]])</f>
        <v>0</v>
      </c>
      <c r="P26" s="57">
        <f ca="1">SUM(CONTAL[[#This Row],[Contract Issue]:[Blank in column]])</f>
        <v>0</v>
      </c>
      <c r="R26" s="12" t="s">
        <v>2094</v>
      </c>
      <c r="S26" s="12">
        <v>91073457</v>
      </c>
      <c r="T26" s="12" t="s">
        <v>4387</v>
      </c>
      <c r="U26" s="57" t="str">
        <f>_xlfn.XLOOKUP(CONTAL[[#This Row],[StaffMemberCode]],StaffMembers!O:O,StaffMembers!R:R)</f>
        <v>Elaine Fenech</v>
      </c>
      <c r="V26" s="12" t="s">
        <v>1178</v>
      </c>
      <c r="W26" s="12" t="s">
        <v>2499</v>
      </c>
      <c r="X26" s="21">
        <v>45901</v>
      </c>
      <c r="Z26" s="12" t="s">
        <v>1136</v>
      </c>
      <c r="AA26" s="20" t="s">
        <v>1363</v>
      </c>
      <c r="AB26" s="21">
        <v>45901</v>
      </c>
      <c r="AD26" s="157" t="b">
        <v>0</v>
      </c>
    </row>
    <row r="27" spans="1:30" x14ac:dyDescent="0.3">
      <c r="A27" s="12" t="str">
        <f t="shared" si="0"/>
        <v>BLS9107357591073575ATEASTCH45901</v>
      </c>
      <c r="B27" s="12" t="str">
        <f>CONTAL[[#This Row],[StaffMemberCode]]&amp;CONTAL[[#This Row],[AllowancePointCode]]&amp;CONTAL[[#This Row],[ContractReference]]&amp;CONTAL[[#This Row],[SchoolCode]]</f>
        <v>91073575TLR2A91073575ABLS</v>
      </c>
      <c r="C27" s="57">
        <f>IF(COUNTIF(ContractsTeachFTE!A:A,ContractAllowances!A27)&gt;0,0,IF(COUNTIF(ContractsSupportHours!A:A,ContractAllowances!A27)&gt;0,0,1))</f>
        <v>0</v>
      </c>
      <c r="D27" s="57">
        <f>IF(_xlfn.XLOOKUP(CONTAL[[#This Row],[AllowancePointCode]],ALLWCPTS[AllowancePointCode],ALLWCPTS[AvailableToAllSchools])=TRUE,0,IFERROR(IF(FIND(CONTAL[[#This Row],[SchoolCode]],_xlfn.XLOOKUP(CONTAL[[#This Row],[AllowancePointCode]],ALLWCPTS[AllowancePointCode],ALLWCPTS[SchoolCodes]))&gt;=1,0,1),1))</f>
        <v>0</v>
      </c>
      <c r="E27" s="57" cm="1">
        <f t="array" ref="E27">IF(_xlfn.XLOOKUP(CONTAL[[#This Row],[DepartmentCode]],DEPTS[DepartmentCode],DEPTS[AvailableToAllSchools],1,0,)=TRUE,0,IF(ISERROR(FIND(CONTAL[[#This Row],[SchoolCode]],_xlfn.TEXTJOIN(",",TRUE,_xlfn.UNIQUE(IF(DEPTS[DepartmentCode]=CONTAL[[#This Row],[DepartmentCode]],DEPTS[SchoolCodes],""))))),1,0))</f>
        <v>0</v>
      </c>
      <c r="F27" s="57">
        <f>IF(COUNTIF(ALLWCTYPE[AllowanceTypeCode],CONTAL[[#This Row],[AllowanceCode]])&gt;0,0,1)</f>
        <v>0</v>
      </c>
      <c r="G27" s="57">
        <f>IF(COUNTIF(ALLWCPTS[AllowancePointCode],CONTAL[[#This Row],[AllowancePointCode]])&gt;0,0,1)</f>
        <v>0</v>
      </c>
      <c r="H27" s="57">
        <f>COUNTIF(CONTAL[Person+AllowancePoint+ContractRef+SchoolCode],CONTAL[[#This Row],[Person+AllowancePoint+ContractRef+SchoolCode]])-1</f>
        <v>0</v>
      </c>
      <c r="I27" s="57">
        <f t="shared" si="1"/>
        <v>0</v>
      </c>
      <c r="J27" s="57">
        <f>IF(ISBLANK(CONTAL[[#This Row],[ContractDateTo]]),0,IF(CONTAL[[#This Row],[ContractDateFrom]]=CONTAL[[#This Row],[ContractDateTo]],0,IF(CONTAL[[#This Row],[ContractDateFrom]]&lt;CONTAL[[#This Row],[ContractDateTo]],0,1)))</f>
        <v>0</v>
      </c>
      <c r="K27" s="57">
        <f>IF(ISBLANK(CONTAL[[#This Row],[AllowanceDateTo]]),0,IF(CONTAL[[#This Row],[AllowanceDateFrom]]=CONTAL[[#This Row],[AllowanceDateTo]],0,IF(CONTAL[[#This Row],[AllowanceDateFrom]]&lt;CONTAL[[#This Row],[AllowanceDateTo]],0,1)))</f>
        <v>0</v>
      </c>
      <c r="L27" s="57" cm="1">
        <f t="array" aca="1" ref="L27" ca="1">IF(CELL("format",CONTAL[[#This Row],[ContractDateFrom]])="D1",0,1)+IF(CELL("format",CONTAL[[#This Row],[ContractDateTo]])="D1",0,1)+IF(CELL("format",CONTAL[[#This Row],[AllowanceDateFrom]])="D1",0,1)+IF(CELL("format",CONTAL[[#This Row],[AllowanceDateTo]])="D1",0,1)</f>
        <v>0</v>
      </c>
      <c r="M27" s="57">
        <f>IF(OR(CONTAL[[#This Row],[IgnoreFte]]=TRUE,CONTAL[[#This Row],[IgnoreFte]]=FALSE),0,1)</f>
        <v>0</v>
      </c>
      <c r="N27" s="57">
        <f>IF(LEN(CONTAL[[#This Row],[Notes]])&lt;4000,0,1)</f>
        <v>0</v>
      </c>
      <c r="O27" s="112">
        <f>COUNTBLANK(CONTAL[[#This Row],[AllowanceCode]:[AllowanceDateFrom]])+COUNTBLANK(CONTAL[[#This Row],[IgnoreFte]]:CONTAL[[#This Row],[IgnoreFte]])</f>
        <v>0</v>
      </c>
      <c r="P27" s="57">
        <f ca="1">SUM(CONTAL[[#This Row],[Contract Issue]:[Blank in column]])</f>
        <v>0</v>
      </c>
      <c r="R27" s="12" t="s">
        <v>2094</v>
      </c>
      <c r="S27" s="12">
        <v>91073575</v>
      </c>
      <c r="T27" s="12" t="s">
        <v>4401</v>
      </c>
      <c r="U27" s="57" t="str">
        <f>_xlfn.XLOOKUP(CONTAL[[#This Row],[StaffMemberCode]],StaffMembers!O:O,StaffMembers!R:R)</f>
        <v>Sonia Pollard</v>
      </c>
      <c r="V27" s="12" t="s">
        <v>1178</v>
      </c>
      <c r="W27" s="12" t="s">
        <v>2499</v>
      </c>
      <c r="X27" s="21">
        <v>45901</v>
      </c>
      <c r="Z27" s="12" t="s">
        <v>1136</v>
      </c>
      <c r="AA27" s="20" t="s">
        <v>1363</v>
      </c>
      <c r="AB27" s="21">
        <v>45901</v>
      </c>
      <c r="AD27" s="157" t="b">
        <v>0</v>
      </c>
    </row>
    <row r="28" spans="1:30" x14ac:dyDescent="0.3">
      <c r="A28" s="12" t="str">
        <f t="shared" si="0"/>
        <v>BLS9107352491073524ATEASTCH45901</v>
      </c>
      <c r="B28" s="12" t="str">
        <f>CONTAL[[#This Row],[StaffMemberCode]]&amp;CONTAL[[#This Row],[AllowancePointCode]]&amp;CONTAL[[#This Row],[ContractReference]]&amp;CONTAL[[#This Row],[SchoolCode]]</f>
        <v>91073524TLR2A91073524ABLS</v>
      </c>
      <c r="C28" s="57">
        <f>IF(COUNTIF(ContractsTeachFTE!A:A,ContractAllowances!A28)&gt;0,0,IF(COUNTIF(ContractsSupportHours!A:A,ContractAllowances!A28)&gt;0,0,1))</f>
        <v>0</v>
      </c>
      <c r="D28" s="57">
        <f>IF(_xlfn.XLOOKUP(CONTAL[[#This Row],[AllowancePointCode]],ALLWCPTS[AllowancePointCode],ALLWCPTS[AvailableToAllSchools])=TRUE,0,IFERROR(IF(FIND(CONTAL[[#This Row],[SchoolCode]],_xlfn.XLOOKUP(CONTAL[[#This Row],[AllowancePointCode]],ALLWCPTS[AllowancePointCode],ALLWCPTS[SchoolCodes]))&gt;=1,0,1),1))</f>
        <v>0</v>
      </c>
      <c r="E28" s="57" cm="1">
        <f t="array" ref="E28">IF(_xlfn.XLOOKUP(CONTAL[[#This Row],[DepartmentCode]],DEPTS[DepartmentCode],DEPTS[AvailableToAllSchools],1,0,)=TRUE,0,IF(ISERROR(FIND(CONTAL[[#This Row],[SchoolCode]],_xlfn.TEXTJOIN(",",TRUE,_xlfn.UNIQUE(IF(DEPTS[DepartmentCode]=CONTAL[[#This Row],[DepartmentCode]],DEPTS[SchoolCodes],""))))),1,0))</f>
        <v>0</v>
      </c>
      <c r="F28" s="57">
        <f>IF(COUNTIF(ALLWCTYPE[AllowanceTypeCode],CONTAL[[#This Row],[AllowanceCode]])&gt;0,0,1)</f>
        <v>0</v>
      </c>
      <c r="G28" s="57">
        <f>IF(COUNTIF(ALLWCPTS[AllowancePointCode],CONTAL[[#This Row],[AllowancePointCode]])&gt;0,0,1)</f>
        <v>0</v>
      </c>
      <c r="H28" s="57">
        <f>COUNTIF(CONTAL[Person+AllowancePoint+ContractRef+SchoolCode],CONTAL[[#This Row],[Person+AllowancePoint+ContractRef+SchoolCode]])-1</f>
        <v>0</v>
      </c>
      <c r="I28" s="57">
        <f t="shared" si="1"/>
        <v>0</v>
      </c>
      <c r="J28" s="57">
        <f>IF(ISBLANK(CONTAL[[#This Row],[ContractDateTo]]),0,IF(CONTAL[[#This Row],[ContractDateFrom]]=CONTAL[[#This Row],[ContractDateTo]],0,IF(CONTAL[[#This Row],[ContractDateFrom]]&lt;CONTAL[[#This Row],[ContractDateTo]],0,1)))</f>
        <v>0</v>
      </c>
      <c r="K28" s="57">
        <f>IF(ISBLANK(CONTAL[[#This Row],[AllowanceDateTo]]),0,IF(CONTAL[[#This Row],[AllowanceDateFrom]]=CONTAL[[#This Row],[AllowanceDateTo]],0,IF(CONTAL[[#This Row],[AllowanceDateFrom]]&lt;CONTAL[[#This Row],[AllowanceDateTo]],0,1)))</f>
        <v>0</v>
      </c>
      <c r="L28" s="57" cm="1">
        <f t="array" aca="1" ref="L28" ca="1">IF(CELL("format",CONTAL[[#This Row],[ContractDateFrom]])="D1",0,1)+IF(CELL("format",CONTAL[[#This Row],[ContractDateTo]])="D1",0,1)+IF(CELL("format",CONTAL[[#This Row],[AllowanceDateFrom]])="D1",0,1)+IF(CELL("format",CONTAL[[#This Row],[AllowanceDateTo]])="D1",0,1)</f>
        <v>0</v>
      </c>
      <c r="M28" s="57">
        <f>IF(OR(CONTAL[[#This Row],[IgnoreFte]]=TRUE,CONTAL[[#This Row],[IgnoreFte]]=FALSE),0,1)</f>
        <v>0</v>
      </c>
      <c r="N28" s="57">
        <f>IF(LEN(CONTAL[[#This Row],[Notes]])&lt;4000,0,1)</f>
        <v>0</v>
      </c>
      <c r="O28" s="112">
        <f>COUNTBLANK(CONTAL[[#This Row],[AllowanceCode]:[AllowanceDateFrom]])+COUNTBLANK(CONTAL[[#This Row],[IgnoreFte]]:CONTAL[[#This Row],[IgnoreFte]])</f>
        <v>0</v>
      </c>
      <c r="P28" s="57">
        <f ca="1">SUM(CONTAL[[#This Row],[Contract Issue]:[Blank in column]])</f>
        <v>0</v>
      </c>
      <c r="R28" s="12" t="s">
        <v>2094</v>
      </c>
      <c r="S28" s="12">
        <v>91073524</v>
      </c>
      <c r="T28" s="12" t="s">
        <v>4402</v>
      </c>
      <c r="U28" s="57" t="str">
        <f>_xlfn.XLOOKUP(CONTAL[[#This Row],[StaffMemberCode]],StaffMembers!O:O,StaffMembers!R:R)</f>
        <v>Jessica Edwards</v>
      </c>
      <c r="V28" s="12" t="s">
        <v>1178</v>
      </c>
      <c r="W28" s="12" t="s">
        <v>2499</v>
      </c>
      <c r="X28" s="21">
        <v>45901</v>
      </c>
      <c r="Z28" s="12" t="s">
        <v>1136</v>
      </c>
      <c r="AA28" s="20" t="s">
        <v>1363</v>
      </c>
      <c r="AB28" s="21">
        <v>45901</v>
      </c>
      <c r="AD28" s="157" t="b">
        <v>0</v>
      </c>
    </row>
    <row r="29" spans="1:30" x14ac:dyDescent="0.3">
      <c r="A29" s="12" t="str">
        <f t="shared" si="0"/>
        <v>BLS9107357291073572ATEASTCH45901</v>
      </c>
      <c r="B29" s="12" t="str">
        <f>CONTAL[[#This Row],[StaffMemberCode]]&amp;CONTAL[[#This Row],[AllowancePointCode]]&amp;CONTAL[[#This Row],[ContractReference]]&amp;CONTAL[[#This Row],[SchoolCode]]</f>
        <v>91073572TLR2A91073572ABLS</v>
      </c>
      <c r="C29" s="57">
        <f>IF(COUNTIF(ContractsTeachFTE!A:A,ContractAllowances!A29)&gt;0,0,IF(COUNTIF(ContractsSupportHours!A:A,ContractAllowances!A29)&gt;0,0,1))</f>
        <v>0</v>
      </c>
      <c r="D29" s="57">
        <f>IF(_xlfn.XLOOKUP(CONTAL[[#This Row],[AllowancePointCode]],ALLWCPTS[AllowancePointCode],ALLWCPTS[AvailableToAllSchools])=TRUE,0,IFERROR(IF(FIND(CONTAL[[#This Row],[SchoolCode]],_xlfn.XLOOKUP(CONTAL[[#This Row],[AllowancePointCode]],ALLWCPTS[AllowancePointCode],ALLWCPTS[SchoolCodes]))&gt;=1,0,1),1))</f>
        <v>0</v>
      </c>
      <c r="E29" s="57" cm="1">
        <f t="array" ref="E29">IF(_xlfn.XLOOKUP(CONTAL[[#This Row],[DepartmentCode]],DEPTS[DepartmentCode],DEPTS[AvailableToAllSchools],1,0,)=TRUE,0,IF(ISERROR(FIND(CONTAL[[#This Row],[SchoolCode]],_xlfn.TEXTJOIN(",",TRUE,_xlfn.UNIQUE(IF(DEPTS[DepartmentCode]=CONTAL[[#This Row],[DepartmentCode]],DEPTS[SchoolCodes],""))))),1,0))</f>
        <v>0</v>
      </c>
      <c r="F29" s="57">
        <f>IF(COUNTIF(ALLWCTYPE[AllowanceTypeCode],CONTAL[[#This Row],[AllowanceCode]])&gt;0,0,1)</f>
        <v>0</v>
      </c>
      <c r="G29" s="57">
        <f>IF(COUNTIF(ALLWCPTS[AllowancePointCode],CONTAL[[#This Row],[AllowancePointCode]])&gt;0,0,1)</f>
        <v>0</v>
      </c>
      <c r="H29" s="57">
        <f>COUNTIF(CONTAL[Person+AllowancePoint+ContractRef+SchoolCode],CONTAL[[#This Row],[Person+AllowancePoint+ContractRef+SchoolCode]])-1</f>
        <v>0</v>
      </c>
      <c r="I29" s="57">
        <f t="shared" si="1"/>
        <v>0</v>
      </c>
      <c r="J29" s="57">
        <f>IF(ISBLANK(CONTAL[[#This Row],[ContractDateTo]]),0,IF(CONTAL[[#This Row],[ContractDateFrom]]=CONTAL[[#This Row],[ContractDateTo]],0,IF(CONTAL[[#This Row],[ContractDateFrom]]&lt;CONTAL[[#This Row],[ContractDateTo]],0,1)))</f>
        <v>0</v>
      </c>
      <c r="K29" s="57">
        <f>IF(ISBLANK(CONTAL[[#This Row],[AllowanceDateTo]]),0,IF(CONTAL[[#This Row],[AllowanceDateFrom]]=CONTAL[[#This Row],[AllowanceDateTo]],0,IF(CONTAL[[#This Row],[AllowanceDateFrom]]&lt;CONTAL[[#This Row],[AllowanceDateTo]],0,1)))</f>
        <v>0</v>
      </c>
      <c r="L29" s="57" cm="1">
        <f t="array" aca="1" ref="L29" ca="1">IF(CELL("format",CONTAL[[#This Row],[ContractDateFrom]])="D1",0,1)+IF(CELL("format",CONTAL[[#This Row],[ContractDateTo]])="D1",0,1)+IF(CELL("format",CONTAL[[#This Row],[AllowanceDateFrom]])="D1",0,1)+IF(CELL("format",CONTAL[[#This Row],[AllowanceDateTo]])="D1",0,1)</f>
        <v>0</v>
      </c>
      <c r="M29" s="57">
        <f>IF(OR(CONTAL[[#This Row],[IgnoreFte]]=TRUE,CONTAL[[#This Row],[IgnoreFte]]=FALSE),0,1)</f>
        <v>0</v>
      </c>
      <c r="N29" s="57">
        <f>IF(LEN(CONTAL[[#This Row],[Notes]])&lt;4000,0,1)</f>
        <v>0</v>
      </c>
      <c r="O29" s="112">
        <f>COUNTBLANK(CONTAL[[#This Row],[AllowanceCode]:[AllowanceDateFrom]])+COUNTBLANK(CONTAL[[#This Row],[IgnoreFte]]:CONTAL[[#This Row],[IgnoreFte]])</f>
        <v>0</v>
      </c>
      <c r="P29" s="57">
        <f ca="1">SUM(CONTAL[[#This Row],[Contract Issue]:[Blank in column]])</f>
        <v>0</v>
      </c>
      <c r="R29" s="12" t="s">
        <v>2094</v>
      </c>
      <c r="S29" s="12">
        <v>91073572</v>
      </c>
      <c r="T29" s="12" t="s">
        <v>4403</v>
      </c>
      <c r="U29" s="57" t="str">
        <f>_xlfn.XLOOKUP(CONTAL[[#This Row],[StaffMemberCode]],StaffMembers!O:O,StaffMembers!R:R)</f>
        <v>Matthew Hayhurst</v>
      </c>
      <c r="V29" s="12" t="s">
        <v>1178</v>
      </c>
      <c r="W29" s="12" t="s">
        <v>2499</v>
      </c>
      <c r="X29" s="21">
        <v>45901</v>
      </c>
      <c r="Z29" s="12" t="s">
        <v>1136</v>
      </c>
      <c r="AA29" s="20" t="s">
        <v>1363</v>
      </c>
      <c r="AB29" s="21">
        <v>45901</v>
      </c>
      <c r="AD29" s="157" t="b">
        <v>0</v>
      </c>
    </row>
    <row r="30" spans="1:30" x14ac:dyDescent="0.3">
      <c r="A30" s="12" t="str">
        <f t="shared" si="0"/>
        <v>BLS9107345091073450ATEASTCH45901</v>
      </c>
      <c r="B30" s="12" t="str">
        <f>CONTAL[[#This Row],[StaffMemberCode]]&amp;CONTAL[[#This Row],[AllowancePointCode]]&amp;CONTAL[[#This Row],[ContractReference]]&amp;CONTAL[[#This Row],[SchoolCode]]</f>
        <v>91073450TLR2A91073450ABLS</v>
      </c>
      <c r="C30" s="57">
        <f>IF(COUNTIF(ContractsTeachFTE!A:A,ContractAllowances!A30)&gt;0,0,IF(COUNTIF(ContractsSupportHours!A:A,ContractAllowances!A30)&gt;0,0,1))</f>
        <v>0</v>
      </c>
      <c r="D30" s="57">
        <f>IF(_xlfn.XLOOKUP(CONTAL[[#This Row],[AllowancePointCode]],ALLWCPTS[AllowancePointCode],ALLWCPTS[AvailableToAllSchools])=TRUE,0,IFERROR(IF(FIND(CONTAL[[#This Row],[SchoolCode]],_xlfn.XLOOKUP(CONTAL[[#This Row],[AllowancePointCode]],ALLWCPTS[AllowancePointCode],ALLWCPTS[SchoolCodes]))&gt;=1,0,1),1))</f>
        <v>0</v>
      </c>
      <c r="E30" s="57" cm="1">
        <f t="array" ref="E30">IF(_xlfn.XLOOKUP(CONTAL[[#This Row],[DepartmentCode]],DEPTS[DepartmentCode],DEPTS[AvailableToAllSchools],1,0,)=TRUE,0,IF(ISERROR(FIND(CONTAL[[#This Row],[SchoolCode]],_xlfn.TEXTJOIN(",",TRUE,_xlfn.UNIQUE(IF(DEPTS[DepartmentCode]=CONTAL[[#This Row],[DepartmentCode]],DEPTS[SchoolCodes],""))))),1,0))</f>
        <v>0</v>
      </c>
      <c r="F30" s="57">
        <f>IF(COUNTIF(ALLWCTYPE[AllowanceTypeCode],CONTAL[[#This Row],[AllowanceCode]])&gt;0,0,1)</f>
        <v>0</v>
      </c>
      <c r="G30" s="57">
        <f>IF(COUNTIF(ALLWCPTS[AllowancePointCode],CONTAL[[#This Row],[AllowancePointCode]])&gt;0,0,1)</f>
        <v>0</v>
      </c>
      <c r="H30" s="57">
        <f>COUNTIF(CONTAL[Person+AllowancePoint+ContractRef+SchoolCode],CONTAL[[#This Row],[Person+AllowancePoint+ContractRef+SchoolCode]])-1</f>
        <v>0</v>
      </c>
      <c r="I30" s="57">
        <f t="shared" si="1"/>
        <v>0</v>
      </c>
      <c r="J30" s="57">
        <f>IF(ISBLANK(CONTAL[[#This Row],[ContractDateTo]]),0,IF(CONTAL[[#This Row],[ContractDateFrom]]=CONTAL[[#This Row],[ContractDateTo]],0,IF(CONTAL[[#This Row],[ContractDateFrom]]&lt;CONTAL[[#This Row],[ContractDateTo]],0,1)))</f>
        <v>0</v>
      </c>
      <c r="K30" s="57">
        <f>IF(ISBLANK(CONTAL[[#This Row],[AllowanceDateTo]]),0,IF(CONTAL[[#This Row],[AllowanceDateFrom]]=CONTAL[[#This Row],[AllowanceDateTo]],0,IF(CONTAL[[#This Row],[AllowanceDateFrom]]&lt;CONTAL[[#This Row],[AllowanceDateTo]],0,1)))</f>
        <v>0</v>
      </c>
      <c r="L30" s="57" cm="1">
        <f t="array" aca="1" ref="L30" ca="1">IF(CELL("format",CONTAL[[#This Row],[ContractDateFrom]])="D1",0,1)+IF(CELL("format",CONTAL[[#This Row],[ContractDateTo]])="D1",0,1)+IF(CELL("format",CONTAL[[#This Row],[AllowanceDateFrom]])="D1",0,1)+IF(CELL("format",CONTAL[[#This Row],[AllowanceDateTo]])="D1",0,1)</f>
        <v>0</v>
      </c>
      <c r="M30" s="57">
        <f>IF(OR(CONTAL[[#This Row],[IgnoreFte]]=TRUE,CONTAL[[#This Row],[IgnoreFte]]=FALSE),0,1)</f>
        <v>0</v>
      </c>
      <c r="N30" s="57">
        <f>IF(LEN(CONTAL[[#This Row],[Notes]])&lt;4000,0,1)</f>
        <v>0</v>
      </c>
      <c r="O30" s="112">
        <f>COUNTBLANK(CONTAL[[#This Row],[AllowanceCode]:[AllowanceDateFrom]])+COUNTBLANK(CONTAL[[#This Row],[IgnoreFte]]:CONTAL[[#This Row],[IgnoreFte]])</f>
        <v>0</v>
      </c>
      <c r="P30" s="57">
        <f ca="1">SUM(CONTAL[[#This Row],[Contract Issue]:[Blank in column]])</f>
        <v>0</v>
      </c>
      <c r="R30" s="12" t="s">
        <v>2094</v>
      </c>
      <c r="S30" s="12">
        <v>91073450</v>
      </c>
      <c r="T30" s="12" t="s">
        <v>4404</v>
      </c>
      <c r="U30" s="57" t="str">
        <f>_xlfn.XLOOKUP(CONTAL[[#This Row],[StaffMemberCode]],StaffMembers!O:O,StaffMembers!R:R)</f>
        <v>Sarah Meredith</v>
      </c>
      <c r="V30" s="12" t="s">
        <v>1178</v>
      </c>
      <c r="W30" s="12" t="s">
        <v>2499</v>
      </c>
      <c r="X30" s="21">
        <v>45901</v>
      </c>
      <c r="Z30" s="12" t="s">
        <v>1136</v>
      </c>
      <c r="AA30" s="20" t="s">
        <v>1363</v>
      </c>
      <c r="AB30" s="21">
        <v>45901</v>
      </c>
      <c r="AD30" s="157" t="b">
        <v>0</v>
      </c>
    </row>
    <row r="31" spans="1:30" x14ac:dyDescent="0.3">
      <c r="A31" s="12" t="str">
        <f t="shared" si="0"/>
        <v>BLS9107353091073530ATEASTCH45901</v>
      </c>
      <c r="B31" s="12" t="str">
        <f>CONTAL[[#This Row],[StaffMemberCode]]&amp;CONTAL[[#This Row],[AllowancePointCode]]&amp;CONTAL[[#This Row],[ContractReference]]&amp;CONTAL[[#This Row],[SchoolCode]]</f>
        <v>91073530TLR2A91073530ABLS</v>
      </c>
      <c r="C31" s="57">
        <f>IF(COUNTIF(ContractsTeachFTE!A:A,ContractAllowances!A31)&gt;0,0,IF(COUNTIF(ContractsSupportHours!A:A,ContractAllowances!A31)&gt;0,0,1))</f>
        <v>0</v>
      </c>
      <c r="D31" s="57">
        <f>IF(_xlfn.XLOOKUP(CONTAL[[#This Row],[AllowancePointCode]],ALLWCPTS[AllowancePointCode],ALLWCPTS[AvailableToAllSchools])=TRUE,0,IFERROR(IF(FIND(CONTAL[[#This Row],[SchoolCode]],_xlfn.XLOOKUP(CONTAL[[#This Row],[AllowancePointCode]],ALLWCPTS[AllowancePointCode],ALLWCPTS[SchoolCodes]))&gt;=1,0,1),1))</f>
        <v>0</v>
      </c>
      <c r="E31" s="57" cm="1">
        <f t="array" ref="E31">IF(_xlfn.XLOOKUP(CONTAL[[#This Row],[DepartmentCode]],DEPTS[DepartmentCode],DEPTS[AvailableToAllSchools],1,0,)=TRUE,0,IF(ISERROR(FIND(CONTAL[[#This Row],[SchoolCode]],_xlfn.TEXTJOIN(",",TRUE,_xlfn.UNIQUE(IF(DEPTS[DepartmentCode]=CONTAL[[#This Row],[DepartmentCode]],DEPTS[SchoolCodes],""))))),1,0))</f>
        <v>0</v>
      </c>
      <c r="F31" s="57">
        <f>IF(COUNTIF(ALLWCTYPE[AllowanceTypeCode],CONTAL[[#This Row],[AllowanceCode]])&gt;0,0,1)</f>
        <v>0</v>
      </c>
      <c r="G31" s="57">
        <f>IF(COUNTIF(ALLWCPTS[AllowancePointCode],CONTAL[[#This Row],[AllowancePointCode]])&gt;0,0,1)</f>
        <v>0</v>
      </c>
      <c r="H31" s="57">
        <f>COUNTIF(CONTAL[Person+AllowancePoint+ContractRef+SchoolCode],CONTAL[[#This Row],[Person+AllowancePoint+ContractRef+SchoolCode]])-1</f>
        <v>0</v>
      </c>
      <c r="I31" s="57">
        <f t="shared" si="1"/>
        <v>0</v>
      </c>
      <c r="J31" s="57">
        <f>IF(ISBLANK(CONTAL[[#This Row],[ContractDateTo]]),0,IF(CONTAL[[#This Row],[ContractDateFrom]]=CONTAL[[#This Row],[ContractDateTo]],0,IF(CONTAL[[#This Row],[ContractDateFrom]]&lt;CONTAL[[#This Row],[ContractDateTo]],0,1)))</f>
        <v>0</v>
      </c>
      <c r="K31" s="57">
        <f>IF(ISBLANK(CONTAL[[#This Row],[AllowanceDateTo]]),0,IF(CONTAL[[#This Row],[AllowanceDateFrom]]=CONTAL[[#This Row],[AllowanceDateTo]],0,IF(CONTAL[[#This Row],[AllowanceDateFrom]]&lt;CONTAL[[#This Row],[AllowanceDateTo]],0,1)))</f>
        <v>0</v>
      </c>
      <c r="L31" s="57" cm="1">
        <f t="array" aca="1" ref="L31" ca="1">IF(CELL("format",CONTAL[[#This Row],[ContractDateFrom]])="D1",0,1)+IF(CELL("format",CONTAL[[#This Row],[ContractDateTo]])="D1",0,1)+IF(CELL("format",CONTAL[[#This Row],[AllowanceDateFrom]])="D1",0,1)+IF(CELL("format",CONTAL[[#This Row],[AllowanceDateTo]])="D1",0,1)</f>
        <v>0</v>
      </c>
      <c r="M31" s="57">
        <f>IF(OR(CONTAL[[#This Row],[IgnoreFte]]=TRUE,CONTAL[[#This Row],[IgnoreFte]]=FALSE),0,1)</f>
        <v>0</v>
      </c>
      <c r="N31" s="57">
        <f>IF(LEN(CONTAL[[#This Row],[Notes]])&lt;4000,0,1)</f>
        <v>0</v>
      </c>
      <c r="O31" s="112">
        <f>COUNTBLANK(CONTAL[[#This Row],[AllowanceCode]:[AllowanceDateFrom]])+COUNTBLANK(CONTAL[[#This Row],[IgnoreFte]]:CONTAL[[#This Row],[IgnoreFte]])</f>
        <v>0</v>
      </c>
      <c r="P31" s="57">
        <f ca="1">SUM(CONTAL[[#This Row],[Contract Issue]:[Blank in column]])</f>
        <v>0</v>
      </c>
      <c r="R31" s="12" t="s">
        <v>2094</v>
      </c>
      <c r="S31" s="12">
        <v>91073530</v>
      </c>
      <c r="T31" s="12" t="s">
        <v>4405</v>
      </c>
      <c r="U31" s="57" t="str">
        <f>_xlfn.XLOOKUP(CONTAL[[#This Row],[StaffMemberCode]],StaffMembers!O:O,StaffMembers!R:R)</f>
        <v>Jenny Sykes</v>
      </c>
      <c r="V31" s="12" t="s">
        <v>1178</v>
      </c>
      <c r="W31" s="12" t="s">
        <v>2499</v>
      </c>
      <c r="X31" s="21">
        <v>45901</v>
      </c>
      <c r="Z31" s="12" t="s">
        <v>1136</v>
      </c>
      <c r="AA31" s="20" t="s">
        <v>1363</v>
      </c>
      <c r="AB31" s="21">
        <v>45901</v>
      </c>
      <c r="AD31" s="157" t="b">
        <v>0</v>
      </c>
    </row>
    <row r="32" spans="1:30" x14ac:dyDescent="0.3">
      <c r="A32" s="12" t="str">
        <f t="shared" si="0"/>
        <v>ALS9107378491073784ATEASTCH45901</v>
      </c>
      <c r="B32" s="12" t="str">
        <f>CONTAL[[#This Row],[StaffMemberCode]]&amp;CONTAL[[#This Row],[AllowancePointCode]]&amp;CONTAL[[#This Row],[ContractReference]]&amp;CONTAL[[#This Row],[SchoolCode]]</f>
        <v>91073784TLR2A91073784AALS</v>
      </c>
      <c r="C32" s="57">
        <f>IF(COUNTIF(ContractsTeachFTE!A:A,ContractAllowances!A32)&gt;0,0,IF(COUNTIF(ContractsSupportHours!A:A,ContractAllowances!A32)&gt;0,0,1))</f>
        <v>0</v>
      </c>
      <c r="D32" s="57">
        <f>IF(_xlfn.XLOOKUP(CONTAL[[#This Row],[AllowancePointCode]],ALLWCPTS[AllowancePointCode],ALLWCPTS[AvailableToAllSchools])=TRUE,0,IFERROR(IF(FIND(CONTAL[[#This Row],[SchoolCode]],_xlfn.XLOOKUP(CONTAL[[#This Row],[AllowancePointCode]],ALLWCPTS[AllowancePointCode],ALLWCPTS[SchoolCodes]))&gt;=1,0,1),1))</f>
        <v>0</v>
      </c>
      <c r="E32" s="57" cm="1">
        <f t="array" ref="E32">IF(_xlfn.XLOOKUP(CONTAL[[#This Row],[DepartmentCode]],DEPTS[DepartmentCode],DEPTS[AvailableToAllSchools],1,0,)=TRUE,0,IF(ISERROR(FIND(CONTAL[[#This Row],[SchoolCode]],_xlfn.TEXTJOIN(",",TRUE,_xlfn.UNIQUE(IF(DEPTS[DepartmentCode]=CONTAL[[#This Row],[DepartmentCode]],DEPTS[SchoolCodes],""))))),1,0))</f>
        <v>0</v>
      </c>
      <c r="F32" s="57">
        <f>IF(COUNTIF(ALLWCTYPE[AllowanceTypeCode],CONTAL[[#This Row],[AllowanceCode]])&gt;0,0,1)</f>
        <v>0</v>
      </c>
      <c r="G32" s="57">
        <f>IF(COUNTIF(ALLWCPTS[AllowancePointCode],CONTAL[[#This Row],[AllowancePointCode]])&gt;0,0,1)</f>
        <v>0</v>
      </c>
      <c r="H32" s="57">
        <f>COUNTIF(CONTAL[Person+AllowancePoint+ContractRef+SchoolCode],CONTAL[[#This Row],[Person+AllowancePoint+ContractRef+SchoolCode]])-1</f>
        <v>0</v>
      </c>
      <c r="I32" s="57">
        <f t="shared" si="1"/>
        <v>0</v>
      </c>
      <c r="J32" s="57">
        <f>IF(ISBLANK(CONTAL[[#This Row],[ContractDateTo]]),0,IF(CONTAL[[#This Row],[ContractDateFrom]]=CONTAL[[#This Row],[ContractDateTo]],0,IF(CONTAL[[#This Row],[ContractDateFrom]]&lt;CONTAL[[#This Row],[ContractDateTo]],0,1)))</f>
        <v>0</v>
      </c>
      <c r="K32" s="57">
        <f>IF(ISBLANK(CONTAL[[#This Row],[AllowanceDateTo]]),0,IF(CONTAL[[#This Row],[AllowanceDateFrom]]=CONTAL[[#This Row],[AllowanceDateTo]],0,IF(CONTAL[[#This Row],[AllowanceDateFrom]]&lt;CONTAL[[#This Row],[AllowanceDateTo]],0,1)))</f>
        <v>0</v>
      </c>
      <c r="L32" s="57" cm="1">
        <f t="array" aca="1" ref="L32" ca="1">IF(CELL("format",CONTAL[[#This Row],[ContractDateFrom]])="D1",0,1)+IF(CELL("format",CONTAL[[#This Row],[ContractDateTo]])="D1",0,1)+IF(CELL("format",CONTAL[[#This Row],[AllowanceDateFrom]])="D1",0,1)+IF(CELL("format",CONTAL[[#This Row],[AllowanceDateTo]])="D1",0,1)</f>
        <v>0</v>
      </c>
      <c r="M32" s="57">
        <f>IF(OR(CONTAL[[#This Row],[IgnoreFte]]=TRUE,CONTAL[[#This Row],[IgnoreFte]]=FALSE),0,1)</f>
        <v>0</v>
      </c>
      <c r="N32" s="57">
        <f>IF(LEN(CONTAL[[#This Row],[Notes]])&lt;4000,0,1)</f>
        <v>0</v>
      </c>
      <c r="O32" s="112">
        <f>COUNTBLANK(CONTAL[[#This Row],[AllowanceCode]:[AllowanceDateFrom]])+COUNTBLANK(CONTAL[[#This Row],[IgnoreFte]]:CONTAL[[#This Row],[IgnoreFte]])</f>
        <v>0</v>
      </c>
      <c r="P32" s="57">
        <f ca="1">SUM(CONTAL[[#This Row],[Contract Issue]:[Blank in column]])</f>
        <v>0</v>
      </c>
      <c r="R32" s="12" t="s">
        <v>2082</v>
      </c>
      <c r="S32" s="12">
        <v>91073784</v>
      </c>
      <c r="T32" s="12" t="s">
        <v>4406</v>
      </c>
      <c r="U32" s="57" t="str">
        <f>_xlfn.XLOOKUP(CONTAL[[#This Row],[StaffMemberCode]],StaffMembers!O:O,StaffMembers!R:R)</f>
        <v>Adam Bailey</v>
      </c>
      <c r="V32" s="12" t="s">
        <v>1178</v>
      </c>
      <c r="W32" s="12" t="s">
        <v>2499</v>
      </c>
      <c r="X32" s="21">
        <v>45901</v>
      </c>
      <c r="Z32" s="12" t="s">
        <v>1136</v>
      </c>
      <c r="AA32" s="20" t="s">
        <v>1363</v>
      </c>
      <c r="AB32" s="21">
        <v>45901</v>
      </c>
      <c r="AD32" s="157" t="b">
        <v>0</v>
      </c>
    </row>
    <row r="33" spans="1:30" x14ac:dyDescent="0.3">
      <c r="A33" s="12" t="str">
        <f t="shared" si="0"/>
        <v>BLS9107354891073548ATEASTCH45901</v>
      </c>
      <c r="B33" s="12" t="str">
        <f>CONTAL[[#This Row],[StaffMemberCode]]&amp;CONTAL[[#This Row],[AllowancePointCode]]&amp;CONTAL[[#This Row],[ContractReference]]&amp;CONTAL[[#This Row],[SchoolCode]]</f>
        <v>91073548TLR2A91073548ABLS</v>
      </c>
      <c r="C33" s="57">
        <f>IF(COUNTIF(ContractsTeachFTE!A:A,ContractAllowances!A33)&gt;0,0,IF(COUNTIF(ContractsSupportHours!A:A,ContractAllowances!A33)&gt;0,0,1))</f>
        <v>0</v>
      </c>
      <c r="D33" s="57">
        <f>IF(_xlfn.XLOOKUP(CONTAL[[#This Row],[AllowancePointCode]],ALLWCPTS[AllowancePointCode],ALLWCPTS[AvailableToAllSchools])=TRUE,0,IFERROR(IF(FIND(CONTAL[[#This Row],[SchoolCode]],_xlfn.XLOOKUP(CONTAL[[#This Row],[AllowancePointCode]],ALLWCPTS[AllowancePointCode],ALLWCPTS[SchoolCodes]))&gt;=1,0,1),1))</f>
        <v>0</v>
      </c>
      <c r="E33" s="57" cm="1">
        <f t="array" ref="E33">IF(_xlfn.XLOOKUP(CONTAL[[#This Row],[DepartmentCode]],DEPTS[DepartmentCode],DEPTS[AvailableToAllSchools],1,0,)=TRUE,0,IF(ISERROR(FIND(CONTAL[[#This Row],[SchoolCode]],_xlfn.TEXTJOIN(",",TRUE,_xlfn.UNIQUE(IF(DEPTS[DepartmentCode]=CONTAL[[#This Row],[DepartmentCode]],DEPTS[SchoolCodes],""))))),1,0))</f>
        <v>0</v>
      </c>
      <c r="F33" s="57">
        <f>IF(COUNTIF(ALLWCTYPE[AllowanceTypeCode],CONTAL[[#This Row],[AllowanceCode]])&gt;0,0,1)</f>
        <v>0</v>
      </c>
      <c r="G33" s="57">
        <f>IF(COUNTIF(ALLWCPTS[AllowancePointCode],CONTAL[[#This Row],[AllowancePointCode]])&gt;0,0,1)</f>
        <v>0</v>
      </c>
      <c r="H33" s="57">
        <f>COUNTIF(CONTAL[Person+AllowancePoint+ContractRef+SchoolCode],CONTAL[[#This Row],[Person+AllowancePoint+ContractRef+SchoolCode]])-1</f>
        <v>0</v>
      </c>
      <c r="I33" s="57">
        <f t="shared" si="1"/>
        <v>0</v>
      </c>
      <c r="J33" s="57">
        <f>IF(ISBLANK(CONTAL[[#This Row],[ContractDateTo]]),0,IF(CONTAL[[#This Row],[ContractDateFrom]]=CONTAL[[#This Row],[ContractDateTo]],0,IF(CONTAL[[#This Row],[ContractDateFrom]]&lt;CONTAL[[#This Row],[ContractDateTo]],0,1)))</f>
        <v>0</v>
      </c>
      <c r="K33" s="57">
        <f>IF(ISBLANK(CONTAL[[#This Row],[AllowanceDateTo]]),0,IF(CONTAL[[#This Row],[AllowanceDateFrom]]=CONTAL[[#This Row],[AllowanceDateTo]],0,IF(CONTAL[[#This Row],[AllowanceDateFrom]]&lt;CONTAL[[#This Row],[AllowanceDateTo]],0,1)))</f>
        <v>0</v>
      </c>
      <c r="L33" s="57" cm="1">
        <f t="array" aca="1" ref="L33" ca="1">IF(CELL("format",CONTAL[[#This Row],[ContractDateFrom]])="D1",0,1)+IF(CELL("format",CONTAL[[#This Row],[ContractDateTo]])="D1",0,1)+IF(CELL("format",CONTAL[[#This Row],[AllowanceDateFrom]])="D1",0,1)+IF(CELL("format",CONTAL[[#This Row],[AllowanceDateTo]])="D1",0,1)</f>
        <v>0</v>
      </c>
      <c r="M33" s="57">
        <f>IF(OR(CONTAL[[#This Row],[IgnoreFte]]=TRUE,CONTAL[[#This Row],[IgnoreFte]]=FALSE),0,1)</f>
        <v>0</v>
      </c>
      <c r="N33" s="57">
        <f>IF(LEN(CONTAL[[#This Row],[Notes]])&lt;4000,0,1)</f>
        <v>0</v>
      </c>
      <c r="O33" s="112">
        <f>COUNTBLANK(CONTAL[[#This Row],[AllowanceCode]:[AllowanceDateFrom]])+COUNTBLANK(CONTAL[[#This Row],[IgnoreFte]]:CONTAL[[#This Row],[IgnoreFte]])</f>
        <v>0</v>
      </c>
      <c r="P33" s="57">
        <f ca="1">SUM(CONTAL[[#This Row],[Contract Issue]:[Blank in column]])</f>
        <v>0</v>
      </c>
      <c r="R33" s="12" t="s">
        <v>2094</v>
      </c>
      <c r="S33" s="12">
        <v>91073548</v>
      </c>
      <c r="T33" s="12" t="s">
        <v>4407</v>
      </c>
      <c r="U33" s="57" t="str">
        <f>_xlfn.XLOOKUP(CONTAL[[#This Row],[StaffMemberCode]],StaffMembers!O:O,StaffMembers!R:R)</f>
        <v>Benjamin Elliot</v>
      </c>
      <c r="V33" s="12" t="s">
        <v>1178</v>
      </c>
      <c r="W33" s="12" t="s">
        <v>2499</v>
      </c>
      <c r="X33" s="21">
        <v>45901</v>
      </c>
      <c r="Z33" s="12" t="s">
        <v>1136</v>
      </c>
      <c r="AA33" s="20" t="s">
        <v>1363</v>
      </c>
      <c r="AB33" s="21">
        <v>45901</v>
      </c>
      <c r="AD33" s="157" t="b">
        <v>0</v>
      </c>
    </row>
    <row r="34" spans="1:30" x14ac:dyDescent="0.3">
      <c r="A34" s="12" t="str">
        <f t="shared" si="0"/>
        <v>BLS9107344991073449ATEASTCH45901</v>
      </c>
      <c r="B34" s="12" t="str">
        <f>CONTAL[[#This Row],[StaffMemberCode]]&amp;CONTAL[[#This Row],[AllowancePointCode]]&amp;CONTAL[[#This Row],[ContractReference]]&amp;CONTAL[[#This Row],[SchoolCode]]</f>
        <v>91073449TLR2A91073449ABLS</v>
      </c>
      <c r="C34" s="57">
        <f>IF(COUNTIF(ContractsTeachFTE!A:A,ContractAllowances!A34)&gt;0,0,IF(COUNTIF(ContractsSupportHours!A:A,ContractAllowances!A34)&gt;0,0,1))</f>
        <v>0</v>
      </c>
      <c r="D34" s="57">
        <f>IF(_xlfn.XLOOKUP(CONTAL[[#This Row],[AllowancePointCode]],ALLWCPTS[AllowancePointCode],ALLWCPTS[AvailableToAllSchools])=TRUE,0,IFERROR(IF(FIND(CONTAL[[#This Row],[SchoolCode]],_xlfn.XLOOKUP(CONTAL[[#This Row],[AllowancePointCode]],ALLWCPTS[AllowancePointCode],ALLWCPTS[SchoolCodes]))&gt;=1,0,1),1))</f>
        <v>0</v>
      </c>
      <c r="E34" s="57" cm="1">
        <f t="array" ref="E34">IF(_xlfn.XLOOKUP(CONTAL[[#This Row],[DepartmentCode]],DEPTS[DepartmentCode],DEPTS[AvailableToAllSchools],1,0,)=TRUE,0,IF(ISERROR(FIND(CONTAL[[#This Row],[SchoolCode]],_xlfn.TEXTJOIN(",",TRUE,_xlfn.UNIQUE(IF(DEPTS[DepartmentCode]=CONTAL[[#This Row],[DepartmentCode]],DEPTS[SchoolCodes],""))))),1,0))</f>
        <v>0</v>
      </c>
      <c r="F34" s="57">
        <f>IF(COUNTIF(ALLWCTYPE[AllowanceTypeCode],CONTAL[[#This Row],[AllowanceCode]])&gt;0,0,1)</f>
        <v>0</v>
      </c>
      <c r="G34" s="57">
        <f>IF(COUNTIF(ALLWCPTS[AllowancePointCode],CONTAL[[#This Row],[AllowancePointCode]])&gt;0,0,1)</f>
        <v>0</v>
      </c>
      <c r="H34" s="57">
        <f>COUNTIF(CONTAL[Person+AllowancePoint+ContractRef+SchoolCode],CONTAL[[#This Row],[Person+AllowancePoint+ContractRef+SchoolCode]])-1</f>
        <v>0</v>
      </c>
      <c r="I34" s="57">
        <f t="shared" si="1"/>
        <v>0</v>
      </c>
      <c r="J34" s="57">
        <f>IF(ISBLANK(CONTAL[[#This Row],[ContractDateTo]]),0,IF(CONTAL[[#This Row],[ContractDateFrom]]=CONTAL[[#This Row],[ContractDateTo]],0,IF(CONTAL[[#This Row],[ContractDateFrom]]&lt;CONTAL[[#This Row],[ContractDateTo]],0,1)))</f>
        <v>0</v>
      </c>
      <c r="K34" s="57">
        <f>IF(ISBLANK(CONTAL[[#This Row],[AllowanceDateTo]]),0,IF(CONTAL[[#This Row],[AllowanceDateFrom]]=CONTAL[[#This Row],[AllowanceDateTo]],0,IF(CONTAL[[#This Row],[AllowanceDateFrom]]&lt;CONTAL[[#This Row],[AllowanceDateTo]],0,1)))</f>
        <v>0</v>
      </c>
      <c r="L34" s="57" cm="1">
        <f t="array" aca="1" ref="L34" ca="1">IF(CELL("format",CONTAL[[#This Row],[ContractDateFrom]])="D1",0,1)+IF(CELL("format",CONTAL[[#This Row],[ContractDateTo]])="D1",0,1)+IF(CELL("format",CONTAL[[#This Row],[AllowanceDateFrom]])="D1",0,1)+IF(CELL("format",CONTAL[[#This Row],[AllowanceDateTo]])="D1",0,1)</f>
        <v>0</v>
      </c>
      <c r="M34" s="57">
        <f>IF(OR(CONTAL[[#This Row],[IgnoreFte]]=TRUE,CONTAL[[#This Row],[IgnoreFte]]=FALSE),0,1)</f>
        <v>0</v>
      </c>
      <c r="N34" s="57">
        <f>IF(LEN(CONTAL[[#This Row],[Notes]])&lt;4000,0,1)</f>
        <v>0</v>
      </c>
      <c r="O34" s="112">
        <f>COUNTBLANK(CONTAL[[#This Row],[AllowanceCode]:[AllowanceDateFrom]])+COUNTBLANK(CONTAL[[#This Row],[IgnoreFte]]:CONTAL[[#This Row],[IgnoreFte]])</f>
        <v>0</v>
      </c>
      <c r="P34" s="57">
        <f ca="1">SUM(CONTAL[[#This Row],[Contract Issue]:[Blank in column]])</f>
        <v>0</v>
      </c>
      <c r="R34" s="12" t="s">
        <v>2094</v>
      </c>
      <c r="S34" s="12">
        <v>91073449</v>
      </c>
      <c r="T34" s="12" t="s">
        <v>4408</v>
      </c>
      <c r="U34" s="57" t="str">
        <f>_xlfn.XLOOKUP(CONTAL[[#This Row],[StaffMemberCode]],StaffMembers!O:O,StaffMembers!R:R)</f>
        <v>Caroline Vernon</v>
      </c>
      <c r="V34" s="12" t="s">
        <v>1178</v>
      </c>
      <c r="W34" s="12" t="s">
        <v>2499</v>
      </c>
      <c r="X34" s="21">
        <v>45901</v>
      </c>
      <c r="Z34" s="12" t="s">
        <v>1136</v>
      </c>
      <c r="AA34" s="20" t="s">
        <v>1363</v>
      </c>
      <c r="AB34" s="21">
        <v>45901</v>
      </c>
      <c r="AD34" s="157" t="b">
        <v>0</v>
      </c>
    </row>
    <row r="35" spans="1:30" x14ac:dyDescent="0.3">
      <c r="A35" s="12" t="str">
        <f t="shared" si="0"/>
        <v>BLS9107355991073559ATEASTCH45901</v>
      </c>
      <c r="B35" s="12" t="str">
        <f>CONTAL[[#This Row],[StaffMemberCode]]&amp;CONTAL[[#This Row],[AllowancePointCode]]&amp;CONTAL[[#This Row],[ContractReference]]&amp;CONTAL[[#This Row],[SchoolCode]]</f>
        <v>91073559TLR2A91073559ABLS</v>
      </c>
      <c r="C35" s="57">
        <f>IF(COUNTIF(ContractsTeachFTE!A:A,ContractAllowances!A35)&gt;0,0,IF(COUNTIF(ContractsSupportHours!A:A,ContractAllowances!A35)&gt;0,0,1))</f>
        <v>0</v>
      </c>
      <c r="D35" s="57">
        <f>IF(_xlfn.XLOOKUP(CONTAL[[#This Row],[AllowancePointCode]],ALLWCPTS[AllowancePointCode],ALLWCPTS[AvailableToAllSchools])=TRUE,0,IFERROR(IF(FIND(CONTAL[[#This Row],[SchoolCode]],_xlfn.XLOOKUP(CONTAL[[#This Row],[AllowancePointCode]],ALLWCPTS[AllowancePointCode],ALLWCPTS[SchoolCodes]))&gt;=1,0,1),1))</f>
        <v>0</v>
      </c>
      <c r="E35" s="57" cm="1">
        <f t="array" ref="E35">IF(_xlfn.XLOOKUP(CONTAL[[#This Row],[DepartmentCode]],DEPTS[DepartmentCode],DEPTS[AvailableToAllSchools],1,0,)=TRUE,0,IF(ISERROR(FIND(CONTAL[[#This Row],[SchoolCode]],_xlfn.TEXTJOIN(",",TRUE,_xlfn.UNIQUE(IF(DEPTS[DepartmentCode]=CONTAL[[#This Row],[DepartmentCode]],DEPTS[SchoolCodes],""))))),1,0))</f>
        <v>0</v>
      </c>
      <c r="F35" s="57">
        <f>IF(COUNTIF(ALLWCTYPE[AllowanceTypeCode],CONTAL[[#This Row],[AllowanceCode]])&gt;0,0,1)</f>
        <v>0</v>
      </c>
      <c r="G35" s="57">
        <f>IF(COUNTIF(ALLWCPTS[AllowancePointCode],CONTAL[[#This Row],[AllowancePointCode]])&gt;0,0,1)</f>
        <v>0</v>
      </c>
      <c r="H35" s="57">
        <f>COUNTIF(CONTAL[Person+AllowancePoint+ContractRef+SchoolCode],CONTAL[[#This Row],[Person+AllowancePoint+ContractRef+SchoolCode]])-1</f>
        <v>0</v>
      </c>
      <c r="I35" s="57">
        <f t="shared" si="1"/>
        <v>0</v>
      </c>
      <c r="J35" s="57">
        <f>IF(ISBLANK(CONTAL[[#This Row],[ContractDateTo]]),0,IF(CONTAL[[#This Row],[ContractDateFrom]]=CONTAL[[#This Row],[ContractDateTo]],0,IF(CONTAL[[#This Row],[ContractDateFrom]]&lt;CONTAL[[#This Row],[ContractDateTo]],0,1)))</f>
        <v>0</v>
      </c>
      <c r="K35" s="57">
        <f>IF(ISBLANK(CONTAL[[#This Row],[AllowanceDateTo]]),0,IF(CONTAL[[#This Row],[AllowanceDateFrom]]=CONTAL[[#This Row],[AllowanceDateTo]],0,IF(CONTAL[[#This Row],[AllowanceDateFrom]]&lt;CONTAL[[#This Row],[AllowanceDateTo]],0,1)))</f>
        <v>0</v>
      </c>
      <c r="L35" s="57" cm="1">
        <f t="array" aca="1" ref="L35" ca="1">IF(CELL("format",CONTAL[[#This Row],[ContractDateFrom]])="D1",0,1)+IF(CELL("format",CONTAL[[#This Row],[ContractDateTo]])="D1",0,1)+IF(CELL("format",CONTAL[[#This Row],[AllowanceDateFrom]])="D1",0,1)+IF(CELL("format",CONTAL[[#This Row],[AllowanceDateTo]])="D1",0,1)</f>
        <v>0</v>
      </c>
      <c r="M35" s="57">
        <f>IF(OR(CONTAL[[#This Row],[IgnoreFte]]=TRUE,CONTAL[[#This Row],[IgnoreFte]]=FALSE),0,1)</f>
        <v>0</v>
      </c>
      <c r="N35" s="57">
        <f>IF(LEN(CONTAL[[#This Row],[Notes]])&lt;4000,0,1)</f>
        <v>0</v>
      </c>
      <c r="O35" s="112">
        <f>COUNTBLANK(CONTAL[[#This Row],[AllowanceCode]:[AllowanceDateFrom]])+COUNTBLANK(CONTAL[[#This Row],[IgnoreFte]]:CONTAL[[#This Row],[IgnoreFte]])</f>
        <v>0</v>
      </c>
      <c r="P35" s="57">
        <f ca="1">SUM(CONTAL[[#This Row],[Contract Issue]:[Blank in column]])</f>
        <v>0</v>
      </c>
      <c r="R35" s="12" t="s">
        <v>2094</v>
      </c>
      <c r="S35" s="12">
        <v>91073559</v>
      </c>
      <c r="T35" s="12" t="s">
        <v>4409</v>
      </c>
      <c r="U35" s="57" t="str">
        <f>_xlfn.XLOOKUP(CONTAL[[#This Row],[StaffMemberCode]],StaffMembers!O:O,StaffMembers!R:R)</f>
        <v>Christopher Pollard</v>
      </c>
      <c r="V35" s="12" t="s">
        <v>1178</v>
      </c>
      <c r="W35" s="12" t="s">
        <v>2499</v>
      </c>
      <c r="X35" s="21">
        <v>45901</v>
      </c>
      <c r="Z35" s="12" t="s">
        <v>1136</v>
      </c>
      <c r="AA35" s="20" t="s">
        <v>1363</v>
      </c>
      <c r="AB35" s="21">
        <v>45901</v>
      </c>
      <c r="AD35" s="157" t="b">
        <v>0</v>
      </c>
    </row>
    <row r="36" spans="1:30" x14ac:dyDescent="0.3">
      <c r="A36" s="12" t="str">
        <f t="shared" ref="A36:A67" si="2">R36&amp;S36&amp;T36&amp;V36&amp;W36&amp;X36</f>
        <v>ALS9107377291073772ATEASTCH45901</v>
      </c>
      <c r="B36" s="12" t="str">
        <f>CONTAL[[#This Row],[StaffMemberCode]]&amp;CONTAL[[#This Row],[AllowancePointCode]]&amp;CONTAL[[#This Row],[ContractReference]]&amp;CONTAL[[#This Row],[SchoolCode]]</f>
        <v>91073772TLR2A91073772AALS</v>
      </c>
      <c r="C36" s="57">
        <f>IF(COUNTIF(ContractsTeachFTE!A:A,ContractAllowances!A36)&gt;0,0,IF(COUNTIF(ContractsSupportHours!A:A,ContractAllowances!A36)&gt;0,0,1))</f>
        <v>0</v>
      </c>
      <c r="D36" s="57">
        <f>IF(_xlfn.XLOOKUP(CONTAL[[#This Row],[AllowancePointCode]],ALLWCPTS[AllowancePointCode],ALLWCPTS[AvailableToAllSchools])=TRUE,0,IFERROR(IF(FIND(CONTAL[[#This Row],[SchoolCode]],_xlfn.XLOOKUP(CONTAL[[#This Row],[AllowancePointCode]],ALLWCPTS[AllowancePointCode],ALLWCPTS[SchoolCodes]))&gt;=1,0,1),1))</f>
        <v>0</v>
      </c>
      <c r="E36" s="57" cm="1">
        <f t="array" ref="E36">IF(_xlfn.XLOOKUP(CONTAL[[#This Row],[DepartmentCode]],DEPTS[DepartmentCode],DEPTS[AvailableToAllSchools],1,0,)=TRUE,0,IF(ISERROR(FIND(CONTAL[[#This Row],[SchoolCode]],_xlfn.TEXTJOIN(",",TRUE,_xlfn.UNIQUE(IF(DEPTS[DepartmentCode]=CONTAL[[#This Row],[DepartmentCode]],DEPTS[SchoolCodes],""))))),1,0))</f>
        <v>0</v>
      </c>
      <c r="F36" s="57">
        <f>IF(COUNTIF(ALLWCTYPE[AllowanceTypeCode],CONTAL[[#This Row],[AllowanceCode]])&gt;0,0,1)</f>
        <v>0</v>
      </c>
      <c r="G36" s="57">
        <f>IF(COUNTIF(ALLWCPTS[AllowancePointCode],CONTAL[[#This Row],[AllowancePointCode]])&gt;0,0,1)</f>
        <v>0</v>
      </c>
      <c r="H36" s="57">
        <f>COUNTIF(CONTAL[Person+AllowancePoint+ContractRef+SchoolCode],CONTAL[[#This Row],[Person+AllowancePoint+ContractRef+SchoolCode]])-1</f>
        <v>0</v>
      </c>
      <c r="I36" s="57">
        <f t="shared" ref="I36:I67" si="3">IF(X36&gt;AB36,1,0)</f>
        <v>0</v>
      </c>
      <c r="J36" s="57">
        <f>IF(ISBLANK(CONTAL[[#This Row],[ContractDateTo]]),0,IF(CONTAL[[#This Row],[ContractDateFrom]]=CONTAL[[#This Row],[ContractDateTo]],0,IF(CONTAL[[#This Row],[ContractDateFrom]]&lt;CONTAL[[#This Row],[ContractDateTo]],0,1)))</f>
        <v>0</v>
      </c>
      <c r="K36" s="57">
        <f>IF(ISBLANK(CONTAL[[#This Row],[AllowanceDateTo]]),0,IF(CONTAL[[#This Row],[AllowanceDateFrom]]=CONTAL[[#This Row],[AllowanceDateTo]],0,IF(CONTAL[[#This Row],[AllowanceDateFrom]]&lt;CONTAL[[#This Row],[AllowanceDateTo]],0,1)))</f>
        <v>0</v>
      </c>
      <c r="L36" s="57" cm="1">
        <f t="array" aca="1" ref="L36" ca="1">IF(CELL("format",CONTAL[[#This Row],[ContractDateFrom]])="D1",0,1)+IF(CELL("format",CONTAL[[#This Row],[ContractDateTo]])="D1",0,1)+IF(CELL("format",CONTAL[[#This Row],[AllowanceDateFrom]])="D1",0,1)+IF(CELL("format",CONTAL[[#This Row],[AllowanceDateTo]])="D1",0,1)</f>
        <v>0</v>
      </c>
      <c r="M36" s="57">
        <f>IF(OR(CONTAL[[#This Row],[IgnoreFte]]=TRUE,CONTAL[[#This Row],[IgnoreFte]]=FALSE),0,1)</f>
        <v>0</v>
      </c>
      <c r="N36" s="57">
        <f>IF(LEN(CONTAL[[#This Row],[Notes]])&lt;4000,0,1)</f>
        <v>0</v>
      </c>
      <c r="O36" s="112">
        <f>COUNTBLANK(CONTAL[[#This Row],[AllowanceCode]:[AllowanceDateFrom]])+COUNTBLANK(CONTAL[[#This Row],[IgnoreFte]]:CONTAL[[#This Row],[IgnoreFte]])</f>
        <v>0</v>
      </c>
      <c r="P36" s="57">
        <f ca="1">SUM(CONTAL[[#This Row],[Contract Issue]:[Blank in column]])</f>
        <v>0</v>
      </c>
      <c r="R36" s="12" t="s">
        <v>2082</v>
      </c>
      <c r="S36" s="12">
        <v>91073772</v>
      </c>
      <c r="T36" s="12" t="s">
        <v>4410</v>
      </c>
      <c r="U36" s="57" t="str">
        <f>_xlfn.XLOOKUP(CONTAL[[#This Row],[StaffMemberCode]],StaffMembers!O:O,StaffMembers!R:R)</f>
        <v>Gillian Smith</v>
      </c>
      <c r="V36" s="12" t="s">
        <v>1178</v>
      </c>
      <c r="W36" s="12" t="s">
        <v>2499</v>
      </c>
      <c r="X36" s="21">
        <v>45901</v>
      </c>
      <c r="Z36" s="12" t="s">
        <v>1136</v>
      </c>
      <c r="AA36" s="20" t="s">
        <v>1363</v>
      </c>
      <c r="AB36" s="21">
        <v>45901</v>
      </c>
      <c r="AD36" s="157" t="b">
        <v>0</v>
      </c>
    </row>
    <row r="37" spans="1:30" x14ac:dyDescent="0.3">
      <c r="A37" s="12" t="str">
        <f t="shared" si="2"/>
        <v>BLS9107348891073488ATEASTCH45901</v>
      </c>
      <c r="B37" s="12" t="str">
        <f>CONTAL[[#This Row],[StaffMemberCode]]&amp;CONTAL[[#This Row],[AllowancePointCode]]&amp;CONTAL[[#This Row],[ContractReference]]&amp;CONTAL[[#This Row],[SchoolCode]]</f>
        <v>91073488TLR2A91073488ABLS</v>
      </c>
      <c r="C37" s="57">
        <f>IF(COUNTIF(ContractsTeachFTE!A:A,ContractAllowances!A37)&gt;0,0,IF(COUNTIF(ContractsSupportHours!A:A,ContractAllowances!A37)&gt;0,0,1))</f>
        <v>0</v>
      </c>
      <c r="D37" s="57">
        <f>IF(_xlfn.XLOOKUP(CONTAL[[#This Row],[AllowancePointCode]],ALLWCPTS[AllowancePointCode],ALLWCPTS[AvailableToAllSchools])=TRUE,0,IFERROR(IF(FIND(CONTAL[[#This Row],[SchoolCode]],_xlfn.XLOOKUP(CONTAL[[#This Row],[AllowancePointCode]],ALLWCPTS[AllowancePointCode],ALLWCPTS[SchoolCodes]))&gt;=1,0,1),1))</f>
        <v>0</v>
      </c>
      <c r="E37" s="57" cm="1">
        <f t="array" ref="E37">IF(_xlfn.XLOOKUP(CONTAL[[#This Row],[DepartmentCode]],DEPTS[DepartmentCode],DEPTS[AvailableToAllSchools],1,0,)=TRUE,0,IF(ISERROR(FIND(CONTAL[[#This Row],[SchoolCode]],_xlfn.TEXTJOIN(",",TRUE,_xlfn.UNIQUE(IF(DEPTS[DepartmentCode]=CONTAL[[#This Row],[DepartmentCode]],DEPTS[SchoolCodes],""))))),1,0))</f>
        <v>0</v>
      </c>
      <c r="F37" s="57">
        <f>IF(COUNTIF(ALLWCTYPE[AllowanceTypeCode],CONTAL[[#This Row],[AllowanceCode]])&gt;0,0,1)</f>
        <v>0</v>
      </c>
      <c r="G37" s="57">
        <f>IF(COUNTIF(ALLWCPTS[AllowancePointCode],CONTAL[[#This Row],[AllowancePointCode]])&gt;0,0,1)</f>
        <v>0</v>
      </c>
      <c r="H37" s="57">
        <f>COUNTIF(CONTAL[Person+AllowancePoint+ContractRef+SchoolCode],CONTAL[[#This Row],[Person+AllowancePoint+ContractRef+SchoolCode]])-1</f>
        <v>0</v>
      </c>
      <c r="I37" s="57">
        <f t="shared" si="3"/>
        <v>0</v>
      </c>
      <c r="J37" s="57">
        <f>IF(ISBLANK(CONTAL[[#This Row],[ContractDateTo]]),0,IF(CONTAL[[#This Row],[ContractDateFrom]]=CONTAL[[#This Row],[ContractDateTo]],0,IF(CONTAL[[#This Row],[ContractDateFrom]]&lt;CONTAL[[#This Row],[ContractDateTo]],0,1)))</f>
        <v>0</v>
      </c>
      <c r="K37" s="57">
        <f>IF(ISBLANK(CONTAL[[#This Row],[AllowanceDateTo]]),0,IF(CONTAL[[#This Row],[AllowanceDateFrom]]=CONTAL[[#This Row],[AllowanceDateTo]],0,IF(CONTAL[[#This Row],[AllowanceDateFrom]]&lt;CONTAL[[#This Row],[AllowanceDateTo]],0,1)))</f>
        <v>0</v>
      </c>
      <c r="L37" s="57" cm="1">
        <f t="array" aca="1" ref="L37" ca="1">IF(CELL("format",CONTAL[[#This Row],[ContractDateFrom]])="D1",0,1)+IF(CELL("format",CONTAL[[#This Row],[ContractDateTo]])="D1",0,1)+IF(CELL("format",CONTAL[[#This Row],[AllowanceDateFrom]])="D1",0,1)+IF(CELL("format",CONTAL[[#This Row],[AllowanceDateTo]])="D1",0,1)</f>
        <v>0</v>
      </c>
      <c r="M37" s="57">
        <f>IF(OR(CONTAL[[#This Row],[IgnoreFte]]=TRUE,CONTAL[[#This Row],[IgnoreFte]]=FALSE),0,1)</f>
        <v>0</v>
      </c>
      <c r="N37" s="57">
        <f>IF(LEN(CONTAL[[#This Row],[Notes]])&lt;4000,0,1)</f>
        <v>0</v>
      </c>
      <c r="O37" s="112">
        <f>COUNTBLANK(CONTAL[[#This Row],[AllowanceCode]:[AllowanceDateFrom]])+COUNTBLANK(CONTAL[[#This Row],[IgnoreFte]]:CONTAL[[#This Row],[IgnoreFte]])</f>
        <v>0</v>
      </c>
      <c r="P37" s="57">
        <f ca="1">SUM(CONTAL[[#This Row],[Contract Issue]:[Blank in column]])</f>
        <v>0</v>
      </c>
      <c r="R37" s="12" t="s">
        <v>2094</v>
      </c>
      <c r="S37" s="12">
        <v>91073488</v>
      </c>
      <c r="T37" s="12" t="s">
        <v>4411</v>
      </c>
      <c r="U37" s="57" t="str">
        <f>_xlfn.XLOOKUP(CONTAL[[#This Row],[StaffMemberCode]],StaffMembers!O:O,StaffMembers!R:R)</f>
        <v>Helen Nicholson</v>
      </c>
      <c r="V37" s="12" t="s">
        <v>1178</v>
      </c>
      <c r="W37" s="12" t="s">
        <v>2499</v>
      </c>
      <c r="X37" s="21">
        <v>45901</v>
      </c>
      <c r="Z37" s="12" t="s">
        <v>1136</v>
      </c>
      <c r="AA37" s="20" t="s">
        <v>1363</v>
      </c>
      <c r="AB37" s="21">
        <v>45901</v>
      </c>
      <c r="AD37" s="157" t="b">
        <v>0</v>
      </c>
    </row>
    <row r="38" spans="1:30" x14ac:dyDescent="0.3">
      <c r="A38" s="12" t="str">
        <f t="shared" si="2"/>
        <v>BLS9107343691073436ATEASTCH45901</v>
      </c>
      <c r="B38" s="12" t="str">
        <f>CONTAL[[#This Row],[StaffMemberCode]]&amp;CONTAL[[#This Row],[AllowancePointCode]]&amp;CONTAL[[#This Row],[ContractReference]]&amp;CONTAL[[#This Row],[SchoolCode]]</f>
        <v>91073436TLR2A91073436ABLS</v>
      </c>
      <c r="C38" s="57">
        <f>IF(COUNTIF(ContractsTeachFTE!A:A,ContractAllowances!A38)&gt;0,0,IF(COUNTIF(ContractsSupportHours!A:A,ContractAllowances!A38)&gt;0,0,1))</f>
        <v>0</v>
      </c>
      <c r="D38" s="57">
        <f>IF(_xlfn.XLOOKUP(CONTAL[[#This Row],[AllowancePointCode]],ALLWCPTS[AllowancePointCode],ALLWCPTS[AvailableToAllSchools])=TRUE,0,IFERROR(IF(FIND(CONTAL[[#This Row],[SchoolCode]],_xlfn.XLOOKUP(CONTAL[[#This Row],[AllowancePointCode]],ALLWCPTS[AllowancePointCode],ALLWCPTS[SchoolCodes]))&gt;=1,0,1),1))</f>
        <v>0</v>
      </c>
      <c r="E38" s="57" cm="1">
        <f t="array" ref="E38">IF(_xlfn.XLOOKUP(CONTAL[[#This Row],[DepartmentCode]],DEPTS[DepartmentCode],DEPTS[AvailableToAllSchools],1,0,)=TRUE,0,IF(ISERROR(FIND(CONTAL[[#This Row],[SchoolCode]],_xlfn.TEXTJOIN(",",TRUE,_xlfn.UNIQUE(IF(DEPTS[DepartmentCode]=CONTAL[[#This Row],[DepartmentCode]],DEPTS[SchoolCodes],""))))),1,0))</f>
        <v>0</v>
      </c>
      <c r="F38" s="57">
        <f>IF(COUNTIF(ALLWCTYPE[AllowanceTypeCode],CONTAL[[#This Row],[AllowanceCode]])&gt;0,0,1)</f>
        <v>0</v>
      </c>
      <c r="G38" s="57">
        <f>IF(COUNTIF(ALLWCPTS[AllowancePointCode],CONTAL[[#This Row],[AllowancePointCode]])&gt;0,0,1)</f>
        <v>0</v>
      </c>
      <c r="H38" s="57">
        <f>COUNTIF(CONTAL[Person+AllowancePoint+ContractRef+SchoolCode],CONTAL[[#This Row],[Person+AllowancePoint+ContractRef+SchoolCode]])-1</f>
        <v>0</v>
      </c>
      <c r="I38" s="57">
        <f t="shared" si="3"/>
        <v>0</v>
      </c>
      <c r="J38" s="57">
        <f>IF(ISBLANK(CONTAL[[#This Row],[ContractDateTo]]),0,IF(CONTAL[[#This Row],[ContractDateFrom]]=CONTAL[[#This Row],[ContractDateTo]],0,IF(CONTAL[[#This Row],[ContractDateFrom]]&lt;CONTAL[[#This Row],[ContractDateTo]],0,1)))</f>
        <v>0</v>
      </c>
      <c r="K38" s="57">
        <f>IF(ISBLANK(CONTAL[[#This Row],[AllowanceDateTo]]),0,IF(CONTAL[[#This Row],[AllowanceDateFrom]]=CONTAL[[#This Row],[AllowanceDateTo]],0,IF(CONTAL[[#This Row],[AllowanceDateFrom]]&lt;CONTAL[[#This Row],[AllowanceDateTo]],0,1)))</f>
        <v>0</v>
      </c>
      <c r="L38" s="57" cm="1">
        <f t="array" aca="1" ref="L38" ca="1">IF(CELL("format",CONTAL[[#This Row],[ContractDateFrom]])="D1",0,1)+IF(CELL("format",CONTAL[[#This Row],[ContractDateTo]])="D1",0,1)+IF(CELL("format",CONTAL[[#This Row],[AllowanceDateFrom]])="D1",0,1)+IF(CELL("format",CONTAL[[#This Row],[AllowanceDateTo]])="D1",0,1)</f>
        <v>0</v>
      </c>
      <c r="M38" s="57">
        <f>IF(OR(CONTAL[[#This Row],[IgnoreFte]]=TRUE,CONTAL[[#This Row],[IgnoreFte]]=FALSE),0,1)</f>
        <v>0</v>
      </c>
      <c r="N38" s="57">
        <f>IF(LEN(CONTAL[[#This Row],[Notes]])&lt;4000,0,1)</f>
        <v>0</v>
      </c>
      <c r="O38" s="112">
        <f>COUNTBLANK(CONTAL[[#This Row],[AllowanceCode]:[AllowanceDateFrom]])+COUNTBLANK(CONTAL[[#This Row],[IgnoreFte]]:CONTAL[[#This Row],[IgnoreFte]])</f>
        <v>0</v>
      </c>
      <c r="P38" s="57">
        <f ca="1">SUM(CONTAL[[#This Row],[Contract Issue]:[Blank in column]])</f>
        <v>0</v>
      </c>
      <c r="R38" s="12" t="s">
        <v>2094</v>
      </c>
      <c r="S38" s="12">
        <v>91073436</v>
      </c>
      <c r="T38" s="12" t="s">
        <v>4412</v>
      </c>
      <c r="U38" s="57" t="str">
        <f>_xlfn.XLOOKUP(CONTAL[[#This Row],[StaffMemberCode]],StaffMembers!O:O,StaffMembers!R:R)</f>
        <v>Imogen Astles</v>
      </c>
      <c r="V38" s="12" t="s">
        <v>1178</v>
      </c>
      <c r="W38" s="12" t="s">
        <v>2499</v>
      </c>
      <c r="X38" s="21">
        <v>45901</v>
      </c>
      <c r="Z38" s="12" t="s">
        <v>1136</v>
      </c>
      <c r="AA38" s="20" t="s">
        <v>1363</v>
      </c>
      <c r="AB38" s="21">
        <v>45901</v>
      </c>
      <c r="AD38" s="157" t="b">
        <v>0</v>
      </c>
    </row>
    <row r="39" spans="1:30" x14ac:dyDescent="0.3">
      <c r="A39" s="12" t="str">
        <f t="shared" si="2"/>
        <v>ALS9107381791073817ATEASTCH45901</v>
      </c>
      <c r="B39" s="12" t="str">
        <f>CONTAL[[#This Row],[StaffMemberCode]]&amp;CONTAL[[#This Row],[AllowancePointCode]]&amp;CONTAL[[#This Row],[ContractReference]]&amp;CONTAL[[#This Row],[SchoolCode]]</f>
        <v>91073817TLR2A91073817AALS</v>
      </c>
      <c r="C39" s="57">
        <f>IF(COUNTIF(ContractsTeachFTE!A:A,ContractAllowances!A39)&gt;0,0,IF(COUNTIF(ContractsSupportHours!A:A,ContractAllowances!A39)&gt;0,0,1))</f>
        <v>0</v>
      </c>
      <c r="D39" s="57">
        <f>IF(_xlfn.XLOOKUP(CONTAL[[#This Row],[AllowancePointCode]],ALLWCPTS[AllowancePointCode],ALLWCPTS[AvailableToAllSchools])=TRUE,0,IFERROR(IF(FIND(CONTAL[[#This Row],[SchoolCode]],_xlfn.XLOOKUP(CONTAL[[#This Row],[AllowancePointCode]],ALLWCPTS[AllowancePointCode],ALLWCPTS[SchoolCodes]))&gt;=1,0,1),1))</f>
        <v>0</v>
      </c>
      <c r="E39" s="57" cm="1">
        <f t="array" ref="E39">IF(_xlfn.XLOOKUP(CONTAL[[#This Row],[DepartmentCode]],DEPTS[DepartmentCode],DEPTS[AvailableToAllSchools],1,0,)=TRUE,0,IF(ISERROR(FIND(CONTAL[[#This Row],[SchoolCode]],_xlfn.TEXTJOIN(",",TRUE,_xlfn.UNIQUE(IF(DEPTS[DepartmentCode]=CONTAL[[#This Row],[DepartmentCode]],DEPTS[SchoolCodes],""))))),1,0))</f>
        <v>0</v>
      </c>
      <c r="F39" s="57">
        <f>IF(COUNTIF(ALLWCTYPE[AllowanceTypeCode],CONTAL[[#This Row],[AllowanceCode]])&gt;0,0,1)</f>
        <v>0</v>
      </c>
      <c r="G39" s="57">
        <f>IF(COUNTIF(ALLWCPTS[AllowancePointCode],CONTAL[[#This Row],[AllowancePointCode]])&gt;0,0,1)</f>
        <v>0</v>
      </c>
      <c r="H39" s="57">
        <f>COUNTIF(CONTAL[Person+AllowancePoint+ContractRef+SchoolCode],CONTAL[[#This Row],[Person+AllowancePoint+ContractRef+SchoolCode]])-1</f>
        <v>0</v>
      </c>
      <c r="I39" s="57">
        <f t="shared" si="3"/>
        <v>0</v>
      </c>
      <c r="J39" s="57">
        <f>IF(ISBLANK(CONTAL[[#This Row],[ContractDateTo]]),0,IF(CONTAL[[#This Row],[ContractDateFrom]]=CONTAL[[#This Row],[ContractDateTo]],0,IF(CONTAL[[#This Row],[ContractDateFrom]]&lt;CONTAL[[#This Row],[ContractDateTo]],0,1)))</f>
        <v>0</v>
      </c>
      <c r="K39" s="57">
        <f>IF(ISBLANK(CONTAL[[#This Row],[AllowanceDateTo]]),0,IF(CONTAL[[#This Row],[AllowanceDateFrom]]=CONTAL[[#This Row],[AllowanceDateTo]],0,IF(CONTAL[[#This Row],[AllowanceDateFrom]]&lt;CONTAL[[#This Row],[AllowanceDateTo]],0,1)))</f>
        <v>0</v>
      </c>
      <c r="L39" s="57" cm="1">
        <f t="array" aca="1" ref="L39" ca="1">IF(CELL("format",CONTAL[[#This Row],[ContractDateFrom]])="D1",0,1)+IF(CELL("format",CONTAL[[#This Row],[ContractDateTo]])="D1",0,1)+IF(CELL("format",CONTAL[[#This Row],[AllowanceDateFrom]])="D1",0,1)+IF(CELL("format",CONTAL[[#This Row],[AllowanceDateTo]])="D1",0,1)</f>
        <v>0</v>
      </c>
      <c r="M39" s="57">
        <f>IF(OR(CONTAL[[#This Row],[IgnoreFte]]=TRUE,CONTAL[[#This Row],[IgnoreFte]]=FALSE),0,1)</f>
        <v>0</v>
      </c>
      <c r="N39" s="57">
        <f>IF(LEN(CONTAL[[#This Row],[Notes]])&lt;4000,0,1)</f>
        <v>0</v>
      </c>
      <c r="O39" s="112">
        <f>COUNTBLANK(CONTAL[[#This Row],[AllowanceCode]:[AllowanceDateFrom]])+COUNTBLANK(CONTAL[[#This Row],[IgnoreFte]]:CONTAL[[#This Row],[IgnoreFte]])</f>
        <v>0</v>
      </c>
      <c r="P39" s="57">
        <f ca="1">SUM(CONTAL[[#This Row],[Contract Issue]:[Blank in column]])</f>
        <v>0</v>
      </c>
      <c r="R39" s="12" t="s">
        <v>2082</v>
      </c>
      <c r="S39" s="12">
        <v>91073817</v>
      </c>
      <c r="T39" s="12" t="s">
        <v>4413</v>
      </c>
      <c r="U39" s="57" t="str">
        <f>_xlfn.XLOOKUP(CONTAL[[#This Row],[StaffMemberCode]],StaffMembers!O:O,StaffMembers!R:R)</f>
        <v>Jack Powell</v>
      </c>
      <c r="V39" s="12" t="s">
        <v>1178</v>
      </c>
      <c r="W39" s="12" t="s">
        <v>2499</v>
      </c>
      <c r="X39" s="21">
        <v>45901</v>
      </c>
      <c r="Z39" s="12" t="s">
        <v>1136</v>
      </c>
      <c r="AA39" s="20" t="s">
        <v>1363</v>
      </c>
      <c r="AB39" s="21">
        <v>45901</v>
      </c>
      <c r="AD39" s="157" t="b">
        <v>0</v>
      </c>
    </row>
    <row r="40" spans="1:30" x14ac:dyDescent="0.3">
      <c r="A40" s="12" t="str">
        <f t="shared" si="2"/>
        <v>ALS9107384891073848ATEASTCH45901</v>
      </c>
      <c r="B40" s="12" t="str">
        <f>CONTAL[[#This Row],[StaffMemberCode]]&amp;CONTAL[[#This Row],[AllowancePointCode]]&amp;CONTAL[[#This Row],[ContractReference]]&amp;CONTAL[[#This Row],[SchoolCode]]</f>
        <v>91073848TLR2A91073848AALS</v>
      </c>
      <c r="C40" s="57">
        <f>IF(COUNTIF(ContractsTeachFTE!A:A,ContractAllowances!A40)&gt;0,0,IF(COUNTIF(ContractsSupportHours!A:A,ContractAllowances!A40)&gt;0,0,1))</f>
        <v>0</v>
      </c>
      <c r="D40" s="57">
        <f>IF(_xlfn.XLOOKUP(CONTAL[[#This Row],[AllowancePointCode]],ALLWCPTS[AllowancePointCode],ALLWCPTS[AvailableToAllSchools])=TRUE,0,IFERROR(IF(FIND(CONTAL[[#This Row],[SchoolCode]],_xlfn.XLOOKUP(CONTAL[[#This Row],[AllowancePointCode]],ALLWCPTS[AllowancePointCode],ALLWCPTS[SchoolCodes]))&gt;=1,0,1),1))</f>
        <v>0</v>
      </c>
      <c r="E40" s="57" cm="1">
        <f t="array" ref="E40">IF(_xlfn.XLOOKUP(CONTAL[[#This Row],[DepartmentCode]],DEPTS[DepartmentCode],DEPTS[AvailableToAllSchools],1,0,)=TRUE,0,IF(ISERROR(FIND(CONTAL[[#This Row],[SchoolCode]],_xlfn.TEXTJOIN(",",TRUE,_xlfn.UNIQUE(IF(DEPTS[DepartmentCode]=CONTAL[[#This Row],[DepartmentCode]],DEPTS[SchoolCodes],""))))),1,0))</f>
        <v>0</v>
      </c>
      <c r="F40" s="57">
        <f>IF(COUNTIF(ALLWCTYPE[AllowanceTypeCode],CONTAL[[#This Row],[AllowanceCode]])&gt;0,0,1)</f>
        <v>0</v>
      </c>
      <c r="G40" s="57">
        <f>IF(COUNTIF(ALLWCPTS[AllowancePointCode],CONTAL[[#This Row],[AllowancePointCode]])&gt;0,0,1)</f>
        <v>0</v>
      </c>
      <c r="H40" s="57">
        <f>COUNTIF(CONTAL[Person+AllowancePoint+ContractRef+SchoolCode],CONTAL[[#This Row],[Person+AllowancePoint+ContractRef+SchoolCode]])-1</f>
        <v>0</v>
      </c>
      <c r="I40" s="57">
        <f t="shared" si="3"/>
        <v>0</v>
      </c>
      <c r="J40" s="57">
        <f>IF(ISBLANK(CONTAL[[#This Row],[ContractDateTo]]),0,IF(CONTAL[[#This Row],[ContractDateFrom]]=CONTAL[[#This Row],[ContractDateTo]],0,IF(CONTAL[[#This Row],[ContractDateFrom]]&lt;CONTAL[[#This Row],[ContractDateTo]],0,1)))</f>
        <v>0</v>
      </c>
      <c r="K40" s="57">
        <f>IF(ISBLANK(CONTAL[[#This Row],[AllowanceDateTo]]),0,IF(CONTAL[[#This Row],[AllowanceDateFrom]]=CONTAL[[#This Row],[AllowanceDateTo]],0,IF(CONTAL[[#This Row],[AllowanceDateFrom]]&lt;CONTAL[[#This Row],[AllowanceDateTo]],0,1)))</f>
        <v>0</v>
      </c>
      <c r="L40" s="57" cm="1">
        <f t="array" aca="1" ref="L40" ca="1">IF(CELL("format",CONTAL[[#This Row],[ContractDateFrom]])="D1",0,1)+IF(CELL("format",CONTAL[[#This Row],[ContractDateTo]])="D1",0,1)+IF(CELL("format",CONTAL[[#This Row],[AllowanceDateFrom]])="D1",0,1)+IF(CELL("format",CONTAL[[#This Row],[AllowanceDateTo]])="D1",0,1)</f>
        <v>0</v>
      </c>
      <c r="M40" s="57">
        <f>IF(OR(CONTAL[[#This Row],[IgnoreFte]]=TRUE,CONTAL[[#This Row],[IgnoreFte]]=FALSE),0,1)</f>
        <v>0</v>
      </c>
      <c r="N40" s="57">
        <f>IF(LEN(CONTAL[[#This Row],[Notes]])&lt;4000,0,1)</f>
        <v>0</v>
      </c>
      <c r="O40" s="112">
        <f>COUNTBLANK(CONTAL[[#This Row],[AllowanceCode]:[AllowanceDateFrom]])+COUNTBLANK(CONTAL[[#This Row],[IgnoreFte]]:CONTAL[[#This Row],[IgnoreFte]])</f>
        <v>0</v>
      </c>
      <c r="P40" s="57">
        <f ca="1">SUM(CONTAL[[#This Row],[Contract Issue]:[Blank in column]])</f>
        <v>0</v>
      </c>
      <c r="R40" s="12" t="s">
        <v>2082</v>
      </c>
      <c r="S40" s="12">
        <v>91073848</v>
      </c>
      <c r="T40" s="12" t="s">
        <v>4414</v>
      </c>
      <c r="U40" s="57" t="str">
        <f>_xlfn.XLOOKUP(CONTAL[[#This Row],[StaffMemberCode]],StaffMembers!O:O,StaffMembers!R:R)</f>
        <v>Jennifer Getty</v>
      </c>
      <c r="V40" s="12" t="s">
        <v>1178</v>
      </c>
      <c r="W40" s="12" t="s">
        <v>2499</v>
      </c>
      <c r="X40" s="21">
        <v>45901</v>
      </c>
      <c r="Z40" s="12" t="s">
        <v>1136</v>
      </c>
      <c r="AA40" s="20" t="s">
        <v>1363</v>
      </c>
      <c r="AB40" s="21">
        <v>45901</v>
      </c>
      <c r="AD40" s="157" t="b">
        <v>0</v>
      </c>
    </row>
    <row r="41" spans="1:30" x14ac:dyDescent="0.3">
      <c r="A41" s="12" t="str">
        <f t="shared" si="2"/>
        <v>ALS9107374091073740ATEASTCH45901</v>
      </c>
      <c r="B41" s="12" t="str">
        <f>CONTAL[[#This Row],[StaffMemberCode]]&amp;CONTAL[[#This Row],[AllowancePointCode]]&amp;CONTAL[[#This Row],[ContractReference]]&amp;CONTAL[[#This Row],[SchoolCode]]</f>
        <v>91073740TLR2A91073740AALS</v>
      </c>
      <c r="C41" s="57">
        <f>IF(COUNTIF(ContractsTeachFTE!A:A,ContractAllowances!A41)&gt;0,0,IF(COUNTIF(ContractsSupportHours!A:A,ContractAllowances!A41)&gt;0,0,1))</f>
        <v>0</v>
      </c>
      <c r="D41" s="57">
        <f>IF(_xlfn.XLOOKUP(CONTAL[[#This Row],[AllowancePointCode]],ALLWCPTS[AllowancePointCode],ALLWCPTS[AvailableToAllSchools])=TRUE,0,IFERROR(IF(FIND(CONTAL[[#This Row],[SchoolCode]],_xlfn.XLOOKUP(CONTAL[[#This Row],[AllowancePointCode]],ALLWCPTS[AllowancePointCode],ALLWCPTS[SchoolCodes]))&gt;=1,0,1),1))</f>
        <v>0</v>
      </c>
      <c r="E41" s="57" cm="1">
        <f t="array" ref="E41">IF(_xlfn.XLOOKUP(CONTAL[[#This Row],[DepartmentCode]],DEPTS[DepartmentCode],DEPTS[AvailableToAllSchools],1,0,)=TRUE,0,IF(ISERROR(FIND(CONTAL[[#This Row],[SchoolCode]],_xlfn.TEXTJOIN(",",TRUE,_xlfn.UNIQUE(IF(DEPTS[DepartmentCode]=CONTAL[[#This Row],[DepartmentCode]],DEPTS[SchoolCodes],""))))),1,0))</f>
        <v>0</v>
      </c>
      <c r="F41" s="57">
        <f>IF(COUNTIF(ALLWCTYPE[AllowanceTypeCode],CONTAL[[#This Row],[AllowanceCode]])&gt;0,0,1)</f>
        <v>0</v>
      </c>
      <c r="G41" s="57">
        <f>IF(COUNTIF(ALLWCPTS[AllowancePointCode],CONTAL[[#This Row],[AllowancePointCode]])&gt;0,0,1)</f>
        <v>0</v>
      </c>
      <c r="H41" s="57">
        <f>COUNTIF(CONTAL[Person+AllowancePoint+ContractRef+SchoolCode],CONTAL[[#This Row],[Person+AllowancePoint+ContractRef+SchoolCode]])-1</f>
        <v>0</v>
      </c>
      <c r="I41" s="57">
        <f t="shared" si="3"/>
        <v>0</v>
      </c>
      <c r="J41" s="57">
        <f>IF(ISBLANK(CONTAL[[#This Row],[ContractDateTo]]),0,IF(CONTAL[[#This Row],[ContractDateFrom]]=CONTAL[[#This Row],[ContractDateTo]],0,IF(CONTAL[[#This Row],[ContractDateFrom]]&lt;CONTAL[[#This Row],[ContractDateTo]],0,1)))</f>
        <v>0</v>
      </c>
      <c r="K41" s="57">
        <f>IF(ISBLANK(CONTAL[[#This Row],[AllowanceDateTo]]),0,IF(CONTAL[[#This Row],[AllowanceDateFrom]]=CONTAL[[#This Row],[AllowanceDateTo]],0,IF(CONTAL[[#This Row],[AllowanceDateFrom]]&lt;CONTAL[[#This Row],[AllowanceDateTo]],0,1)))</f>
        <v>0</v>
      </c>
      <c r="L41" s="57" cm="1">
        <f t="array" aca="1" ref="L41" ca="1">IF(CELL("format",CONTAL[[#This Row],[ContractDateFrom]])="D1",0,1)+IF(CELL("format",CONTAL[[#This Row],[ContractDateTo]])="D1",0,1)+IF(CELL("format",CONTAL[[#This Row],[AllowanceDateFrom]])="D1",0,1)+IF(CELL("format",CONTAL[[#This Row],[AllowanceDateTo]])="D1",0,1)</f>
        <v>0</v>
      </c>
      <c r="M41" s="57">
        <f>IF(OR(CONTAL[[#This Row],[IgnoreFte]]=TRUE,CONTAL[[#This Row],[IgnoreFte]]=FALSE),0,1)</f>
        <v>0</v>
      </c>
      <c r="N41" s="57">
        <f>IF(LEN(CONTAL[[#This Row],[Notes]])&lt;4000,0,1)</f>
        <v>0</v>
      </c>
      <c r="O41" s="112">
        <f>COUNTBLANK(CONTAL[[#This Row],[AllowanceCode]:[AllowanceDateFrom]])+COUNTBLANK(CONTAL[[#This Row],[IgnoreFte]]:CONTAL[[#This Row],[IgnoreFte]])</f>
        <v>0</v>
      </c>
      <c r="P41" s="57">
        <f ca="1">SUM(CONTAL[[#This Row],[Contract Issue]:[Blank in column]])</f>
        <v>0</v>
      </c>
      <c r="R41" s="12" t="s">
        <v>2082</v>
      </c>
      <c r="S41" s="12">
        <v>91073740</v>
      </c>
      <c r="T41" s="12" t="s">
        <v>4415</v>
      </c>
      <c r="U41" s="57" t="str">
        <f>_xlfn.XLOOKUP(CONTAL[[#This Row],[StaffMemberCode]],StaffMembers!O:O,StaffMembers!R:R)</f>
        <v>Jenny Doran</v>
      </c>
      <c r="V41" s="12" t="s">
        <v>1178</v>
      </c>
      <c r="W41" s="12" t="s">
        <v>2499</v>
      </c>
      <c r="X41" s="21">
        <v>45901</v>
      </c>
      <c r="Z41" s="12" t="s">
        <v>1136</v>
      </c>
      <c r="AA41" s="20" t="s">
        <v>1363</v>
      </c>
      <c r="AB41" s="21">
        <v>45901</v>
      </c>
      <c r="AD41" s="157" t="b">
        <v>0</v>
      </c>
    </row>
    <row r="42" spans="1:30" x14ac:dyDescent="0.3">
      <c r="A42" s="12" t="str">
        <f t="shared" si="2"/>
        <v>BLS9107355591073555ATEASTCH45901</v>
      </c>
      <c r="B42" s="12" t="str">
        <f>CONTAL[[#This Row],[StaffMemberCode]]&amp;CONTAL[[#This Row],[AllowancePointCode]]&amp;CONTAL[[#This Row],[ContractReference]]&amp;CONTAL[[#This Row],[SchoolCode]]</f>
        <v>91073555TLR2A91073555ABLS</v>
      </c>
      <c r="C42" s="57">
        <f>IF(COUNTIF(ContractsTeachFTE!A:A,ContractAllowances!A42)&gt;0,0,IF(COUNTIF(ContractsSupportHours!A:A,ContractAllowances!A42)&gt;0,0,1))</f>
        <v>0</v>
      </c>
      <c r="D42" s="57">
        <f>IF(_xlfn.XLOOKUP(CONTAL[[#This Row],[AllowancePointCode]],ALLWCPTS[AllowancePointCode],ALLWCPTS[AvailableToAllSchools])=TRUE,0,IFERROR(IF(FIND(CONTAL[[#This Row],[SchoolCode]],_xlfn.XLOOKUP(CONTAL[[#This Row],[AllowancePointCode]],ALLWCPTS[AllowancePointCode],ALLWCPTS[SchoolCodes]))&gt;=1,0,1),1))</f>
        <v>0</v>
      </c>
      <c r="E42" s="57" cm="1">
        <f t="array" ref="E42">IF(_xlfn.XLOOKUP(CONTAL[[#This Row],[DepartmentCode]],DEPTS[DepartmentCode],DEPTS[AvailableToAllSchools],1,0,)=TRUE,0,IF(ISERROR(FIND(CONTAL[[#This Row],[SchoolCode]],_xlfn.TEXTJOIN(",",TRUE,_xlfn.UNIQUE(IF(DEPTS[DepartmentCode]=CONTAL[[#This Row],[DepartmentCode]],DEPTS[SchoolCodes],""))))),1,0))</f>
        <v>0</v>
      </c>
      <c r="F42" s="57">
        <f>IF(COUNTIF(ALLWCTYPE[AllowanceTypeCode],CONTAL[[#This Row],[AllowanceCode]])&gt;0,0,1)</f>
        <v>0</v>
      </c>
      <c r="G42" s="57">
        <f>IF(COUNTIF(ALLWCPTS[AllowancePointCode],CONTAL[[#This Row],[AllowancePointCode]])&gt;0,0,1)</f>
        <v>0</v>
      </c>
      <c r="H42" s="57">
        <f>COUNTIF(CONTAL[Person+AllowancePoint+ContractRef+SchoolCode],CONTAL[[#This Row],[Person+AllowancePoint+ContractRef+SchoolCode]])-1</f>
        <v>0</v>
      </c>
      <c r="I42" s="57">
        <f t="shared" si="3"/>
        <v>0</v>
      </c>
      <c r="J42" s="57">
        <f>IF(ISBLANK(CONTAL[[#This Row],[ContractDateTo]]),0,IF(CONTAL[[#This Row],[ContractDateFrom]]=CONTAL[[#This Row],[ContractDateTo]],0,IF(CONTAL[[#This Row],[ContractDateFrom]]&lt;CONTAL[[#This Row],[ContractDateTo]],0,1)))</f>
        <v>0</v>
      </c>
      <c r="K42" s="57">
        <f>IF(ISBLANK(CONTAL[[#This Row],[AllowanceDateTo]]),0,IF(CONTAL[[#This Row],[AllowanceDateFrom]]=CONTAL[[#This Row],[AllowanceDateTo]],0,IF(CONTAL[[#This Row],[AllowanceDateFrom]]&lt;CONTAL[[#This Row],[AllowanceDateTo]],0,1)))</f>
        <v>0</v>
      </c>
      <c r="L42" s="57" cm="1">
        <f t="array" aca="1" ref="L42" ca="1">IF(CELL("format",CONTAL[[#This Row],[ContractDateFrom]])="D1",0,1)+IF(CELL("format",CONTAL[[#This Row],[ContractDateTo]])="D1",0,1)+IF(CELL("format",CONTAL[[#This Row],[AllowanceDateFrom]])="D1",0,1)+IF(CELL("format",CONTAL[[#This Row],[AllowanceDateTo]])="D1",0,1)</f>
        <v>0</v>
      </c>
      <c r="M42" s="57">
        <f>IF(OR(CONTAL[[#This Row],[IgnoreFte]]=TRUE,CONTAL[[#This Row],[IgnoreFte]]=FALSE),0,1)</f>
        <v>0</v>
      </c>
      <c r="N42" s="57">
        <f>IF(LEN(CONTAL[[#This Row],[Notes]])&lt;4000,0,1)</f>
        <v>0</v>
      </c>
      <c r="O42" s="112">
        <f>COUNTBLANK(CONTAL[[#This Row],[AllowanceCode]:[AllowanceDateFrom]])+COUNTBLANK(CONTAL[[#This Row],[IgnoreFte]]:CONTAL[[#This Row],[IgnoreFte]])</f>
        <v>0</v>
      </c>
      <c r="P42" s="57">
        <f ca="1">SUM(CONTAL[[#This Row],[Contract Issue]:[Blank in column]])</f>
        <v>0</v>
      </c>
      <c r="R42" s="12" t="s">
        <v>2094</v>
      </c>
      <c r="S42" s="12">
        <v>91073555</v>
      </c>
      <c r="T42" s="12" t="s">
        <v>4416</v>
      </c>
      <c r="U42" s="57" t="str">
        <f>_xlfn.XLOOKUP(CONTAL[[#This Row],[StaffMemberCode]],StaffMembers!O:O,StaffMembers!R:R)</f>
        <v>Jordan Morris</v>
      </c>
      <c r="V42" s="12" t="s">
        <v>1178</v>
      </c>
      <c r="W42" s="12" t="s">
        <v>2499</v>
      </c>
      <c r="X42" s="21">
        <v>45901</v>
      </c>
      <c r="Z42" s="12" t="s">
        <v>1136</v>
      </c>
      <c r="AA42" s="20" t="s">
        <v>1363</v>
      </c>
      <c r="AB42" s="21">
        <v>45901</v>
      </c>
      <c r="AD42" s="157" t="b">
        <v>0</v>
      </c>
    </row>
    <row r="43" spans="1:30" x14ac:dyDescent="0.3">
      <c r="A43" s="12" t="str">
        <f t="shared" si="2"/>
        <v>BLS9107355191073551ATEASTCH45901</v>
      </c>
      <c r="B43" s="12" t="str">
        <f>CONTAL[[#This Row],[StaffMemberCode]]&amp;CONTAL[[#This Row],[AllowancePointCode]]&amp;CONTAL[[#This Row],[ContractReference]]&amp;CONTAL[[#This Row],[SchoolCode]]</f>
        <v>91073551TLR2A91073551ABLS</v>
      </c>
      <c r="C43" s="57">
        <f>IF(COUNTIF(ContractsTeachFTE!A:A,ContractAllowances!A43)&gt;0,0,IF(COUNTIF(ContractsSupportHours!A:A,ContractAllowances!A43)&gt;0,0,1))</f>
        <v>0</v>
      </c>
      <c r="D43" s="57">
        <f>IF(_xlfn.XLOOKUP(CONTAL[[#This Row],[AllowancePointCode]],ALLWCPTS[AllowancePointCode],ALLWCPTS[AvailableToAllSchools])=TRUE,0,IFERROR(IF(FIND(CONTAL[[#This Row],[SchoolCode]],_xlfn.XLOOKUP(CONTAL[[#This Row],[AllowancePointCode]],ALLWCPTS[AllowancePointCode],ALLWCPTS[SchoolCodes]))&gt;=1,0,1),1))</f>
        <v>0</v>
      </c>
      <c r="E43" s="57" cm="1">
        <f t="array" ref="E43">IF(_xlfn.XLOOKUP(CONTAL[[#This Row],[DepartmentCode]],DEPTS[DepartmentCode],DEPTS[AvailableToAllSchools],1,0,)=TRUE,0,IF(ISERROR(FIND(CONTAL[[#This Row],[SchoolCode]],_xlfn.TEXTJOIN(",",TRUE,_xlfn.UNIQUE(IF(DEPTS[DepartmentCode]=CONTAL[[#This Row],[DepartmentCode]],DEPTS[SchoolCodes],""))))),1,0))</f>
        <v>0</v>
      </c>
      <c r="F43" s="57">
        <f>IF(COUNTIF(ALLWCTYPE[AllowanceTypeCode],CONTAL[[#This Row],[AllowanceCode]])&gt;0,0,1)</f>
        <v>0</v>
      </c>
      <c r="G43" s="57">
        <f>IF(COUNTIF(ALLWCPTS[AllowancePointCode],CONTAL[[#This Row],[AllowancePointCode]])&gt;0,0,1)</f>
        <v>0</v>
      </c>
      <c r="H43" s="57">
        <f>COUNTIF(CONTAL[Person+AllowancePoint+ContractRef+SchoolCode],CONTAL[[#This Row],[Person+AllowancePoint+ContractRef+SchoolCode]])-1</f>
        <v>0</v>
      </c>
      <c r="I43" s="57">
        <f t="shared" si="3"/>
        <v>0</v>
      </c>
      <c r="J43" s="57">
        <f>IF(ISBLANK(CONTAL[[#This Row],[ContractDateTo]]),0,IF(CONTAL[[#This Row],[ContractDateFrom]]=CONTAL[[#This Row],[ContractDateTo]],0,IF(CONTAL[[#This Row],[ContractDateFrom]]&lt;CONTAL[[#This Row],[ContractDateTo]],0,1)))</f>
        <v>0</v>
      </c>
      <c r="K43" s="57">
        <f>IF(ISBLANK(CONTAL[[#This Row],[AllowanceDateTo]]),0,IF(CONTAL[[#This Row],[AllowanceDateFrom]]=CONTAL[[#This Row],[AllowanceDateTo]],0,IF(CONTAL[[#This Row],[AllowanceDateFrom]]&lt;CONTAL[[#This Row],[AllowanceDateTo]],0,1)))</f>
        <v>0</v>
      </c>
      <c r="L43" s="57" cm="1">
        <f t="array" aca="1" ref="L43" ca="1">IF(CELL("format",CONTAL[[#This Row],[ContractDateFrom]])="D1",0,1)+IF(CELL("format",CONTAL[[#This Row],[ContractDateTo]])="D1",0,1)+IF(CELL("format",CONTAL[[#This Row],[AllowanceDateFrom]])="D1",0,1)+IF(CELL("format",CONTAL[[#This Row],[AllowanceDateTo]])="D1",0,1)</f>
        <v>0</v>
      </c>
      <c r="M43" s="57">
        <f>IF(OR(CONTAL[[#This Row],[IgnoreFte]]=TRUE,CONTAL[[#This Row],[IgnoreFte]]=FALSE),0,1)</f>
        <v>0</v>
      </c>
      <c r="N43" s="57">
        <f>IF(LEN(CONTAL[[#This Row],[Notes]])&lt;4000,0,1)</f>
        <v>0</v>
      </c>
      <c r="O43" s="112">
        <f>COUNTBLANK(CONTAL[[#This Row],[AllowanceCode]:[AllowanceDateFrom]])+COUNTBLANK(CONTAL[[#This Row],[IgnoreFte]]:CONTAL[[#This Row],[IgnoreFte]])</f>
        <v>0</v>
      </c>
      <c r="P43" s="57">
        <f ca="1">SUM(CONTAL[[#This Row],[Contract Issue]:[Blank in column]])</f>
        <v>0</v>
      </c>
      <c r="R43" s="12" t="s">
        <v>2094</v>
      </c>
      <c r="S43" s="12">
        <v>91073551</v>
      </c>
      <c r="T43" s="12" t="s">
        <v>4417</v>
      </c>
      <c r="U43" s="57" t="str">
        <f>_xlfn.XLOOKUP(CONTAL[[#This Row],[StaffMemberCode]],StaffMembers!O:O,StaffMembers!R:R)</f>
        <v>Karen Ingram</v>
      </c>
      <c r="V43" s="12" t="s">
        <v>1178</v>
      </c>
      <c r="W43" s="12" t="s">
        <v>2499</v>
      </c>
      <c r="X43" s="21">
        <v>45901</v>
      </c>
      <c r="Z43" s="12" t="s">
        <v>1136</v>
      </c>
      <c r="AA43" s="20" t="s">
        <v>1363</v>
      </c>
      <c r="AB43" s="21">
        <v>45901</v>
      </c>
      <c r="AD43" s="157" t="b">
        <v>0</v>
      </c>
    </row>
    <row r="44" spans="1:30" x14ac:dyDescent="0.3">
      <c r="A44" s="12" t="str">
        <f t="shared" si="2"/>
        <v>BLS9107358491073584ATEASTCH45901</v>
      </c>
      <c r="B44" s="12" t="str">
        <f>CONTAL[[#This Row],[StaffMemberCode]]&amp;CONTAL[[#This Row],[AllowancePointCode]]&amp;CONTAL[[#This Row],[ContractReference]]&amp;CONTAL[[#This Row],[SchoolCode]]</f>
        <v>91073584TLR2A91073584ABLS</v>
      </c>
      <c r="C44" s="57">
        <f>IF(COUNTIF(ContractsTeachFTE!A:A,ContractAllowances!A44)&gt;0,0,IF(COUNTIF(ContractsSupportHours!A:A,ContractAllowances!A44)&gt;0,0,1))</f>
        <v>0</v>
      </c>
      <c r="D44" s="57">
        <f>IF(_xlfn.XLOOKUP(CONTAL[[#This Row],[AllowancePointCode]],ALLWCPTS[AllowancePointCode],ALLWCPTS[AvailableToAllSchools])=TRUE,0,IFERROR(IF(FIND(CONTAL[[#This Row],[SchoolCode]],_xlfn.XLOOKUP(CONTAL[[#This Row],[AllowancePointCode]],ALLWCPTS[AllowancePointCode],ALLWCPTS[SchoolCodes]))&gt;=1,0,1),1))</f>
        <v>0</v>
      </c>
      <c r="E44" s="57" cm="1">
        <f t="array" ref="E44">IF(_xlfn.XLOOKUP(CONTAL[[#This Row],[DepartmentCode]],DEPTS[DepartmentCode],DEPTS[AvailableToAllSchools],1,0,)=TRUE,0,IF(ISERROR(FIND(CONTAL[[#This Row],[SchoolCode]],_xlfn.TEXTJOIN(",",TRUE,_xlfn.UNIQUE(IF(DEPTS[DepartmentCode]=CONTAL[[#This Row],[DepartmentCode]],DEPTS[SchoolCodes],""))))),1,0))</f>
        <v>0</v>
      </c>
      <c r="F44" s="57">
        <f>IF(COUNTIF(ALLWCTYPE[AllowanceTypeCode],CONTAL[[#This Row],[AllowanceCode]])&gt;0,0,1)</f>
        <v>0</v>
      </c>
      <c r="G44" s="57">
        <f>IF(COUNTIF(ALLWCPTS[AllowancePointCode],CONTAL[[#This Row],[AllowancePointCode]])&gt;0,0,1)</f>
        <v>0</v>
      </c>
      <c r="H44" s="57">
        <f>COUNTIF(CONTAL[Person+AllowancePoint+ContractRef+SchoolCode],CONTAL[[#This Row],[Person+AllowancePoint+ContractRef+SchoolCode]])-1</f>
        <v>0</v>
      </c>
      <c r="I44" s="57">
        <f t="shared" si="3"/>
        <v>0</v>
      </c>
      <c r="J44" s="57">
        <f>IF(ISBLANK(CONTAL[[#This Row],[ContractDateTo]]),0,IF(CONTAL[[#This Row],[ContractDateFrom]]=CONTAL[[#This Row],[ContractDateTo]],0,IF(CONTAL[[#This Row],[ContractDateFrom]]&lt;CONTAL[[#This Row],[ContractDateTo]],0,1)))</f>
        <v>0</v>
      </c>
      <c r="K44" s="57">
        <f>IF(ISBLANK(CONTAL[[#This Row],[AllowanceDateTo]]),0,IF(CONTAL[[#This Row],[AllowanceDateFrom]]=CONTAL[[#This Row],[AllowanceDateTo]],0,IF(CONTAL[[#This Row],[AllowanceDateFrom]]&lt;CONTAL[[#This Row],[AllowanceDateTo]],0,1)))</f>
        <v>0</v>
      </c>
      <c r="L44" s="57" cm="1">
        <f t="array" aca="1" ref="L44" ca="1">IF(CELL("format",CONTAL[[#This Row],[ContractDateFrom]])="D1",0,1)+IF(CELL("format",CONTAL[[#This Row],[ContractDateTo]])="D1",0,1)+IF(CELL("format",CONTAL[[#This Row],[AllowanceDateFrom]])="D1",0,1)+IF(CELL("format",CONTAL[[#This Row],[AllowanceDateTo]])="D1",0,1)</f>
        <v>0</v>
      </c>
      <c r="M44" s="57">
        <f>IF(OR(CONTAL[[#This Row],[IgnoreFte]]=TRUE,CONTAL[[#This Row],[IgnoreFte]]=FALSE),0,1)</f>
        <v>0</v>
      </c>
      <c r="N44" s="57">
        <f>IF(LEN(CONTAL[[#This Row],[Notes]])&lt;4000,0,1)</f>
        <v>0</v>
      </c>
      <c r="O44" s="112">
        <f>COUNTBLANK(CONTAL[[#This Row],[AllowanceCode]:[AllowanceDateFrom]])+COUNTBLANK(CONTAL[[#This Row],[IgnoreFte]]:CONTAL[[#This Row],[IgnoreFte]])</f>
        <v>0</v>
      </c>
      <c r="P44" s="57">
        <f ca="1">SUM(CONTAL[[#This Row],[Contract Issue]:[Blank in column]])</f>
        <v>0</v>
      </c>
      <c r="R44" s="12" t="s">
        <v>2094</v>
      </c>
      <c r="S44" s="12">
        <v>91073584</v>
      </c>
      <c r="T44" s="12" t="s">
        <v>4418</v>
      </c>
      <c r="U44" s="57" t="str">
        <f>_xlfn.XLOOKUP(CONTAL[[#This Row],[StaffMemberCode]],StaffMembers!O:O,StaffMembers!R:R)</f>
        <v>Kate Barber</v>
      </c>
      <c r="V44" s="12" t="s">
        <v>1178</v>
      </c>
      <c r="W44" s="12" t="s">
        <v>2499</v>
      </c>
      <c r="X44" s="21">
        <v>45901</v>
      </c>
      <c r="Z44" s="12" t="s">
        <v>1136</v>
      </c>
      <c r="AA44" s="20" t="s">
        <v>1363</v>
      </c>
      <c r="AB44" s="21">
        <v>45901</v>
      </c>
      <c r="AD44" s="157" t="b">
        <v>0</v>
      </c>
    </row>
    <row r="45" spans="1:30" x14ac:dyDescent="0.3">
      <c r="A45" s="12" t="str">
        <f t="shared" si="2"/>
        <v>BLS9107344191073441ATEASTCH45901</v>
      </c>
      <c r="B45" s="12" t="str">
        <f>CONTAL[[#This Row],[StaffMemberCode]]&amp;CONTAL[[#This Row],[AllowancePointCode]]&amp;CONTAL[[#This Row],[ContractReference]]&amp;CONTAL[[#This Row],[SchoolCode]]</f>
        <v>91073441TLR2A91073441ABLS</v>
      </c>
      <c r="C45" s="57">
        <f>IF(COUNTIF(ContractsTeachFTE!A:A,ContractAllowances!A45)&gt;0,0,IF(COUNTIF(ContractsSupportHours!A:A,ContractAllowances!A45)&gt;0,0,1))</f>
        <v>0</v>
      </c>
      <c r="D45" s="57">
        <f>IF(_xlfn.XLOOKUP(CONTAL[[#This Row],[AllowancePointCode]],ALLWCPTS[AllowancePointCode],ALLWCPTS[AvailableToAllSchools])=TRUE,0,IFERROR(IF(FIND(CONTAL[[#This Row],[SchoolCode]],_xlfn.XLOOKUP(CONTAL[[#This Row],[AllowancePointCode]],ALLWCPTS[AllowancePointCode],ALLWCPTS[SchoolCodes]))&gt;=1,0,1),1))</f>
        <v>0</v>
      </c>
      <c r="E45" s="57" cm="1">
        <f t="array" ref="E45">IF(_xlfn.XLOOKUP(CONTAL[[#This Row],[DepartmentCode]],DEPTS[DepartmentCode],DEPTS[AvailableToAllSchools],1,0,)=TRUE,0,IF(ISERROR(FIND(CONTAL[[#This Row],[SchoolCode]],_xlfn.TEXTJOIN(",",TRUE,_xlfn.UNIQUE(IF(DEPTS[DepartmentCode]=CONTAL[[#This Row],[DepartmentCode]],DEPTS[SchoolCodes],""))))),1,0))</f>
        <v>0</v>
      </c>
      <c r="F45" s="57">
        <f>IF(COUNTIF(ALLWCTYPE[AllowanceTypeCode],CONTAL[[#This Row],[AllowanceCode]])&gt;0,0,1)</f>
        <v>0</v>
      </c>
      <c r="G45" s="57">
        <f>IF(COUNTIF(ALLWCPTS[AllowancePointCode],CONTAL[[#This Row],[AllowancePointCode]])&gt;0,0,1)</f>
        <v>0</v>
      </c>
      <c r="H45" s="57">
        <f>COUNTIF(CONTAL[Person+AllowancePoint+ContractRef+SchoolCode],CONTAL[[#This Row],[Person+AllowancePoint+ContractRef+SchoolCode]])-1</f>
        <v>0</v>
      </c>
      <c r="I45" s="57">
        <f t="shared" si="3"/>
        <v>0</v>
      </c>
      <c r="J45" s="57">
        <f>IF(ISBLANK(CONTAL[[#This Row],[ContractDateTo]]),0,IF(CONTAL[[#This Row],[ContractDateFrom]]=CONTAL[[#This Row],[ContractDateTo]],0,IF(CONTAL[[#This Row],[ContractDateFrom]]&lt;CONTAL[[#This Row],[ContractDateTo]],0,1)))</f>
        <v>0</v>
      </c>
      <c r="K45" s="57">
        <f>IF(ISBLANK(CONTAL[[#This Row],[AllowanceDateTo]]),0,IF(CONTAL[[#This Row],[AllowanceDateFrom]]=CONTAL[[#This Row],[AllowanceDateTo]],0,IF(CONTAL[[#This Row],[AllowanceDateFrom]]&lt;CONTAL[[#This Row],[AllowanceDateTo]],0,1)))</f>
        <v>0</v>
      </c>
      <c r="L45" s="57" cm="1">
        <f t="array" aca="1" ref="L45" ca="1">IF(CELL("format",CONTAL[[#This Row],[ContractDateFrom]])="D1",0,1)+IF(CELL("format",CONTAL[[#This Row],[ContractDateTo]])="D1",0,1)+IF(CELL("format",CONTAL[[#This Row],[AllowanceDateFrom]])="D1",0,1)+IF(CELL("format",CONTAL[[#This Row],[AllowanceDateTo]])="D1",0,1)</f>
        <v>0</v>
      </c>
      <c r="M45" s="57">
        <f>IF(OR(CONTAL[[#This Row],[IgnoreFte]]=TRUE,CONTAL[[#This Row],[IgnoreFte]]=FALSE),0,1)</f>
        <v>0</v>
      </c>
      <c r="N45" s="57">
        <f>IF(LEN(CONTAL[[#This Row],[Notes]])&lt;4000,0,1)</f>
        <v>0</v>
      </c>
      <c r="O45" s="112">
        <f>COUNTBLANK(CONTAL[[#This Row],[AllowanceCode]:[AllowanceDateFrom]])+COUNTBLANK(CONTAL[[#This Row],[IgnoreFte]]:CONTAL[[#This Row],[IgnoreFte]])</f>
        <v>0</v>
      </c>
      <c r="P45" s="57">
        <f ca="1">SUM(CONTAL[[#This Row],[Contract Issue]:[Blank in column]])</f>
        <v>0</v>
      </c>
      <c r="R45" s="12" t="s">
        <v>2094</v>
      </c>
      <c r="S45" s="12">
        <v>91073441</v>
      </c>
      <c r="T45" s="12" t="s">
        <v>4419</v>
      </c>
      <c r="U45" s="57" t="str">
        <f>_xlfn.XLOOKUP(CONTAL[[#This Row],[StaffMemberCode]],StaffMembers!O:O,StaffMembers!R:R)</f>
        <v>Kirsty MacGregor</v>
      </c>
      <c r="V45" s="12" t="s">
        <v>1178</v>
      </c>
      <c r="W45" s="12" t="s">
        <v>2499</v>
      </c>
      <c r="X45" s="21">
        <v>45901</v>
      </c>
      <c r="Z45" s="12" t="s">
        <v>1136</v>
      </c>
      <c r="AA45" s="20" t="s">
        <v>1363</v>
      </c>
      <c r="AB45" s="21">
        <v>45901</v>
      </c>
      <c r="AD45" s="157" t="b">
        <v>0</v>
      </c>
    </row>
    <row r="46" spans="1:30" x14ac:dyDescent="0.3">
      <c r="A46" s="12" t="str">
        <f t="shared" si="2"/>
        <v>BLS9107354691073546ATEASTCH45901</v>
      </c>
      <c r="B46" s="12" t="str">
        <f>CONTAL[[#This Row],[StaffMemberCode]]&amp;CONTAL[[#This Row],[AllowancePointCode]]&amp;CONTAL[[#This Row],[ContractReference]]&amp;CONTAL[[#This Row],[SchoolCode]]</f>
        <v>91073546TLR2A91073546ABLS</v>
      </c>
      <c r="C46" s="57">
        <f>IF(COUNTIF(ContractsTeachFTE!A:A,ContractAllowances!A46)&gt;0,0,IF(COUNTIF(ContractsSupportHours!A:A,ContractAllowances!A46)&gt;0,0,1))</f>
        <v>0</v>
      </c>
      <c r="D46" s="57">
        <f>IF(_xlfn.XLOOKUP(CONTAL[[#This Row],[AllowancePointCode]],ALLWCPTS[AllowancePointCode],ALLWCPTS[AvailableToAllSchools])=TRUE,0,IFERROR(IF(FIND(CONTAL[[#This Row],[SchoolCode]],_xlfn.XLOOKUP(CONTAL[[#This Row],[AllowancePointCode]],ALLWCPTS[AllowancePointCode],ALLWCPTS[SchoolCodes]))&gt;=1,0,1),1))</f>
        <v>0</v>
      </c>
      <c r="E46" s="57" cm="1">
        <f t="array" ref="E46">IF(_xlfn.XLOOKUP(CONTAL[[#This Row],[DepartmentCode]],DEPTS[DepartmentCode],DEPTS[AvailableToAllSchools],1,0,)=TRUE,0,IF(ISERROR(FIND(CONTAL[[#This Row],[SchoolCode]],_xlfn.TEXTJOIN(",",TRUE,_xlfn.UNIQUE(IF(DEPTS[DepartmentCode]=CONTAL[[#This Row],[DepartmentCode]],DEPTS[SchoolCodes],""))))),1,0))</f>
        <v>0</v>
      </c>
      <c r="F46" s="57">
        <f>IF(COUNTIF(ALLWCTYPE[AllowanceTypeCode],CONTAL[[#This Row],[AllowanceCode]])&gt;0,0,1)</f>
        <v>0</v>
      </c>
      <c r="G46" s="57">
        <f>IF(COUNTIF(ALLWCPTS[AllowancePointCode],CONTAL[[#This Row],[AllowancePointCode]])&gt;0,0,1)</f>
        <v>0</v>
      </c>
      <c r="H46" s="57">
        <f>COUNTIF(CONTAL[Person+AllowancePoint+ContractRef+SchoolCode],CONTAL[[#This Row],[Person+AllowancePoint+ContractRef+SchoolCode]])-1</f>
        <v>0</v>
      </c>
      <c r="I46" s="57">
        <f t="shared" si="3"/>
        <v>0</v>
      </c>
      <c r="J46" s="57">
        <f>IF(ISBLANK(CONTAL[[#This Row],[ContractDateTo]]),0,IF(CONTAL[[#This Row],[ContractDateFrom]]=CONTAL[[#This Row],[ContractDateTo]],0,IF(CONTAL[[#This Row],[ContractDateFrom]]&lt;CONTAL[[#This Row],[ContractDateTo]],0,1)))</f>
        <v>0</v>
      </c>
      <c r="K46" s="57">
        <f>IF(ISBLANK(CONTAL[[#This Row],[AllowanceDateTo]]),0,IF(CONTAL[[#This Row],[AllowanceDateFrom]]=CONTAL[[#This Row],[AllowanceDateTo]],0,IF(CONTAL[[#This Row],[AllowanceDateFrom]]&lt;CONTAL[[#This Row],[AllowanceDateTo]],0,1)))</f>
        <v>0</v>
      </c>
      <c r="L46" s="57" cm="1">
        <f t="array" aca="1" ref="L46" ca="1">IF(CELL("format",CONTAL[[#This Row],[ContractDateFrom]])="D1",0,1)+IF(CELL("format",CONTAL[[#This Row],[ContractDateTo]])="D1",0,1)+IF(CELL("format",CONTAL[[#This Row],[AllowanceDateFrom]])="D1",0,1)+IF(CELL("format",CONTAL[[#This Row],[AllowanceDateTo]])="D1",0,1)</f>
        <v>0</v>
      </c>
      <c r="M46" s="57">
        <f>IF(OR(CONTAL[[#This Row],[IgnoreFte]]=TRUE,CONTAL[[#This Row],[IgnoreFte]]=FALSE),0,1)</f>
        <v>0</v>
      </c>
      <c r="N46" s="57">
        <f>IF(LEN(CONTAL[[#This Row],[Notes]])&lt;4000,0,1)</f>
        <v>0</v>
      </c>
      <c r="O46" s="112">
        <f>COUNTBLANK(CONTAL[[#This Row],[AllowanceCode]:[AllowanceDateFrom]])+COUNTBLANK(CONTAL[[#This Row],[IgnoreFte]]:CONTAL[[#This Row],[IgnoreFte]])</f>
        <v>0</v>
      </c>
      <c r="P46" s="57">
        <f ca="1">SUM(CONTAL[[#This Row],[Contract Issue]:[Blank in column]])</f>
        <v>0</v>
      </c>
      <c r="R46" s="12" t="s">
        <v>2094</v>
      </c>
      <c r="S46" s="12">
        <v>91073546</v>
      </c>
      <c r="T46" s="12" t="s">
        <v>4420</v>
      </c>
      <c r="U46" s="57" t="str">
        <f>_xlfn.XLOOKUP(CONTAL[[#This Row],[StaffMemberCode]],StaffMembers!O:O,StaffMembers!R:R)</f>
        <v>Liam Mulhern</v>
      </c>
      <c r="V46" s="12" t="s">
        <v>1178</v>
      </c>
      <c r="W46" s="12" t="s">
        <v>2499</v>
      </c>
      <c r="X46" s="21">
        <v>45901</v>
      </c>
      <c r="Z46" s="12" t="s">
        <v>1136</v>
      </c>
      <c r="AA46" s="20" t="s">
        <v>1363</v>
      </c>
      <c r="AB46" s="21">
        <v>45901</v>
      </c>
      <c r="AD46" s="157" t="b">
        <v>0</v>
      </c>
    </row>
    <row r="47" spans="1:30" x14ac:dyDescent="0.3">
      <c r="A47" s="12" t="str">
        <f t="shared" si="2"/>
        <v>SBL9107575391075753ATEASTCH45901</v>
      </c>
      <c r="B47" s="12" t="str">
        <f>CONTAL[[#This Row],[StaffMemberCode]]&amp;CONTAL[[#This Row],[AllowancePointCode]]&amp;CONTAL[[#This Row],[ContractReference]]&amp;CONTAL[[#This Row],[SchoolCode]]</f>
        <v>91075753TLR2A91075753ASBL</v>
      </c>
      <c r="C47" s="57">
        <f>IF(COUNTIF(ContractsTeachFTE!A:A,ContractAllowances!A47)&gt;0,0,IF(COUNTIF(ContractsSupportHours!A:A,ContractAllowances!A47)&gt;0,0,1))</f>
        <v>0</v>
      </c>
      <c r="D47" s="57">
        <f>IF(_xlfn.XLOOKUP(CONTAL[[#This Row],[AllowancePointCode]],ALLWCPTS[AllowancePointCode],ALLWCPTS[AvailableToAllSchools])=TRUE,0,IFERROR(IF(FIND(CONTAL[[#This Row],[SchoolCode]],_xlfn.XLOOKUP(CONTAL[[#This Row],[AllowancePointCode]],ALLWCPTS[AllowancePointCode],ALLWCPTS[SchoolCodes]))&gt;=1,0,1),1))</f>
        <v>0</v>
      </c>
      <c r="E47" s="57" cm="1">
        <f t="array" ref="E47">IF(_xlfn.XLOOKUP(CONTAL[[#This Row],[DepartmentCode]],DEPTS[DepartmentCode],DEPTS[AvailableToAllSchools],1,0,)=TRUE,0,IF(ISERROR(FIND(CONTAL[[#This Row],[SchoolCode]],_xlfn.TEXTJOIN(",",TRUE,_xlfn.UNIQUE(IF(DEPTS[DepartmentCode]=CONTAL[[#This Row],[DepartmentCode]],DEPTS[SchoolCodes],""))))),1,0))</f>
        <v>0</v>
      </c>
      <c r="F47" s="57">
        <f>IF(COUNTIF(ALLWCTYPE[AllowanceTypeCode],CONTAL[[#This Row],[AllowanceCode]])&gt;0,0,1)</f>
        <v>0</v>
      </c>
      <c r="G47" s="57">
        <f>IF(COUNTIF(ALLWCPTS[AllowancePointCode],CONTAL[[#This Row],[AllowancePointCode]])&gt;0,0,1)</f>
        <v>0</v>
      </c>
      <c r="H47" s="57">
        <f>COUNTIF(CONTAL[Person+AllowancePoint+ContractRef+SchoolCode],CONTAL[[#This Row],[Person+AllowancePoint+ContractRef+SchoolCode]])-1</f>
        <v>0</v>
      </c>
      <c r="I47" s="57">
        <f t="shared" si="3"/>
        <v>0</v>
      </c>
      <c r="J47" s="57">
        <f>IF(ISBLANK(CONTAL[[#This Row],[ContractDateTo]]),0,IF(CONTAL[[#This Row],[ContractDateFrom]]=CONTAL[[#This Row],[ContractDateTo]],0,IF(CONTAL[[#This Row],[ContractDateFrom]]&lt;CONTAL[[#This Row],[ContractDateTo]],0,1)))</f>
        <v>0</v>
      </c>
      <c r="K47" s="57">
        <f>IF(ISBLANK(CONTAL[[#This Row],[AllowanceDateTo]]),0,IF(CONTAL[[#This Row],[AllowanceDateFrom]]=CONTAL[[#This Row],[AllowanceDateTo]],0,IF(CONTAL[[#This Row],[AllowanceDateFrom]]&lt;CONTAL[[#This Row],[AllowanceDateTo]],0,1)))</f>
        <v>0</v>
      </c>
      <c r="L47" s="57" cm="1">
        <f t="array" aca="1" ref="L47" ca="1">IF(CELL("format",CONTAL[[#This Row],[ContractDateFrom]])="D1",0,1)+IF(CELL("format",CONTAL[[#This Row],[ContractDateTo]])="D1",0,1)+IF(CELL("format",CONTAL[[#This Row],[AllowanceDateFrom]])="D1",0,1)+IF(CELL("format",CONTAL[[#This Row],[AllowanceDateTo]])="D1",0,1)</f>
        <v>0</v>
      </c>
      <c r="M47" s="57">
        <f>IF(OR(CONTAL[[#This Row],[IgnoreFte]]=TRUE,CONTAL[[#This Row],[IgnoreFte]]=FALSE),0,1)</f>
        <v>0</v>
      </c>
      <c r="N47" s="57">
        <f>IF(LEN(CONTAL[[#This Row],[Notes]])&lt;4000,0,1)</f>
        <v>0</v>
      </c>
      <c r="O47" s="112">
        <f>COUNTBLANK(CONTAL[[#This Row],[AllowanceCode]:[AllowanceDateFrom]])+COUNTBLANK(CONTAL[[#This Row],[IgnoreFte]]:CONTAL[[#This Row],[IgnoreFte]])</f>
        <v>0</v>
      </c>
      <c r="P47" s="57">
        <f ca="1">SUM(CONTAL[[#This Row],[Contract Issue]:[Blank in column]])</f>
        <v>0</v>
      </c>
      <c r="R47" s="12" t="s">
        <v>2200</v>
      </c>
      <c r="S47" s="12">
        <v>91075753</v>
      </c>
      <c r="T47" s="12" t="s">
        <v>4421</v>
      </c>
      <c r="U47" s="57" t="str">
        <f>_xlfn.XLOOKUP(CONTAL[[#This Row],[StaffMemberCode]],StaffMembers!O:O,StaffMembers!R:R)</f>
        <v>Matthew Beeston</v>
      </c>
      <c r="V47" s="12" t="s">
        <v>1178</v>
      </c>
      <c r="W47" s="12" t="s">
        <v>2499</v>
      </c>
      <c r="X47" s="21">
        <v>45901</v>
      </c>
      <c r="Z47" s="12" t="s">
        <v>1136</v>
      </c>
      <c r="AA47" s="20" t="s">
        <v>1363</v>
      </c>
      <c r="AB47" s="21">
        <v>45901</v>
      </c>
      <c r="AD47" s="157" t="b">
        <v>0</v>
      </c>
    </row>
    <row r="48" spans="1:30" x14ac:dyDescent="0.3">
      <c r="A48" s="12" t="str">
        <f t="shared" si="2"/>
        <v>BLS9107357391073573ATEASTCH45901</v>
      </c>
      <c r="B48" s="12" t="str">
        <f>CONTAL[[#This Row],[StaffMemberCode]]&amp;CONTAL[[#This Row],[AllowancePointCode]]&amp;CONTAL[[#This Row],[ContractReference]]&amp;CONTAL[[#This Row],[SchoolCode]]</f>
        <v>91073573TLR2A91073573ABLS</v>
      </c>
      <c r="C48" s="57">
        <f>IF(COUNTIF(ContractsTeachFTE!A:A,ContractAllowances!A48)&gt;0,0,IF(COUNTIF(ContractsSupportHours!A:A,ContractAllowances!A48)&gt;0,0,1))</f>
        <v>0</v>
      </c>
      <c r="D48" s="57">
        <f>IF(_xlfn.XLOOKUP(CONTAL[[#This Row],[AllowancePointCode]],ALLWCPTS[AllowancePointCode],ALLWCPTS[AvailableToAllSchools])=TRUE,0,IFERROR(IF(FIND(CONTAL[[#This Row],[SchoolCode]],_xlfn.XLOOKUP(CONTAL[[#This Row],[AllowancePointCode]],ALLWCPTS[AllowancePointCode],ALLWCPTS[SchoolCodes]))&gt;=1,0,1),1))</f>
        <v>0</v>
      </c>
      <c r="E48" s="57" cm="1">
        <f t="array" ref="E48">IF(_xlfn.XLOOKUP(CONTAL[[#This Row],[DepartmentCode]],DEPTS[DepartmentCode],DEPTS[AvailableToAllSchools],1,0,)=TRUE,0,IF(ISERROR(FIND(CONTAL[[#This Row],[SchoolCode]],_xlfn.TEXTJOIN(",",TRUE,_xlfn.UNIQUE(IF(DEPTS[DepartmentCode]=CONTAL[[#This Row],[DepartmentCode]],DEPTS[SchoolCodes],""))))),1,0))</f>
        <v>0</v>
      </c>
      <c r="F48" s="57">
        <f>IF(COUNTIF(ALLWCTYPE[AllowanceTypeCode],CONTAL[[#This Row],[AllowanceCode]])&gt;0,0,1)</f>
        <v>0</v>
      </c>
      <c r="G48" s="57">
        <f>IF(COUNTIF(ALLWCPTS[AllowancePointCode],CONTAL[[#This Row],[AllowancePointCode]])&gt;0,0,1)</f>
        <v>0</v>
      </c>
      <c r="H48" s="57">
        <f>COUNTIF(CONTAL[Person+AllowancePoint+ContractRef+SchoolCode],CONTAL[[#This Row],[Person+AllowancePoint+ContractRef+SchoolCode]])-1</f>
        <v>0</v>
      </c>
      <c r="I48" s="57">
        <f t="shared" si="3"/>
        <v>0</v>
      </c>
      <c r="J48" s="57">
        <f>IF(ISBLANK(CONTAL[[#This Row],[ContractDateTo]]),0,IF(CONTAL[[#This Row],[ContractDateFrom]]=CONTAL[[#This Row],[ContractDateTo]],0,IF(CONTAL[[#This Row],[ContractDateFrom]]&lt;CONTAL[[#This Row],[ContractDateTo]],0,1)))</f>
        <v>0</v>
      </c>
      <c r="K48" s="57">
        <f>IF(ISBLANK(CONTAL[[#This Row],[AllowanceDateTo]]),0,IF(CONTAL[[#This Row],[AllowanceDateFrom]]=CONTAL[[#This Row],[AllowanceDateTo]],0,IF(CONTAL[[#This Row],[AllowanceDateFrom]]&lt;CONTAL[[#This Row],[AllowanceDateTo]],0,1)))</f>
        <v>0</v>
      </c>
      <c r="L48" s="57" cm="1">
        <f t="array" aca="1" ref="L48" ca="1">IF(CELL("format",CONTAL[[#This Row],[ContractDateFrom]])="D1",0,1)+IF(CELL("format",CONTAL[[#This Row],[ContractDateTo]])="D1",0,1)+IF(CELL("format",CONTAL[[#This Row],[AllowanceDateFrom]])="D1",0,1)+IF(CELL("format",CONTAL[[#This Row],[AllowanceDateTo]])="D1",0,1)</f>
        <v>0</v>
      </c>
      <c r="M48" s="57">
        <f>IF(OR(CONTAL[[#This Row],[IgnoreFte]]=TRUE,CONTAL[[#This Row],[IgnoreFte]]=FALSE),0,1)</f>
        <v>0</v>
      </c>
      <c r="N48" s="57">
        <f>IF(LEN(CONTAL[[#This Row],[Notes]])&lt;4000,0,1)</f>
        <v>0</v>
      </c>
      <c r="O48" s="112">
        <f>COUNTBLANK(CONTAL[[#This Row],[AllowanceCode]:[AllowanceDateFrom]])+COUNTBLANK(CONTAL[[#This Row],[IgnoreFte]]:CONTAL[[#This Row],[IgnoreFte]])</f>
        <v>0</v>
      </c>
      <c r="P48" s="57">
        <f ca="1">SUM(CONTAL[[#This Row],[Contract Issue]:[Blank in column]])</f>
        <v>0</v>
      </c>
      <c r="R48" s="12" t="s">
        <v>2094</v>
      </c>
      <c r="S48" s="12">
        <v>91073573</v>
      </c>
      <c r="T48" s="12" t="s">
        <v>4422</v>
      </c>
      <c r="U48" s="57" t="str">
        <f>_xlfn.XLOOKUP(CONTAL[[#This Row],[StaffMemberCode]],StaffMembers!O:O,StaffMembers!R:R)</f>
        <v>Samantha Cooney</v>
      </c>
      <c r="V48" s="12" t="s">
        <v>1178</v>
      </c>
      <c r="W48" s="12" t="s">
        <v>2499</v>
      </c>
      <c r="X48" s="21">
        <v>45901</v>
      </c>
      <c r="Z48" s="12" t="s">
        <v>1136</v>
      </c>
      <c r="AA48" s="20" t="s">
        <v>1363</v>
      </c>
      <c r="AB48" s="21">
        <v>45901</v>
      </c>
      <c r="AD48" s="157" t="b">
        <v>0</v>
      </c>
    </row>
    <row r="49" spans="1:30" x14ac:dyDescent="0.3">
      <c r="A49" s="12" t="str">
        <f t="shared" si="2"/>
        <v>BLS9107358091073580ATEASTCH45901</v>
      </c>
      <c r="B49" s="12" t="str">
        <f>CONTAL[[#This Row],[StaffMemberCode]]&amp;CONTAL[[#This Row],[AllowancePointCode]]&amp;CONTAL[[#This Row],[ContractReference]]&amp;CONTAL[[#This Row],[SchoolCode]]</f>
        <v>91073580TLR2A91073580ABLS</v>
      </c>
      <c r="C49" s="57">
        <f>IF(COUNTIF(ContractsTeachFTE!A:A,ContractAllowances!A49)&gt;0,0,IF(COUNTIF(ContractsSupportHours!A:A,ContractAllowances!A49)&gt;0,0,1))</f>
        <v>0</v>
      </c>
      <c r="D49" s="57">
        <f>IF(_xlfn.XLOOKUP(CONTAL[[#This Row],[AllowancePointCode]],ALLWCPTS[AllowancePointCode],ALLWCPTS[AvailableToAllSchools])=TRUE,0,IFERROR(IF(FIND(CONTAL[[#This Row],[SchoolCode]],_xlfn.XLOOKUP(CONTAL[[#This Row],[AllowancePointCode]],ALLWCPTS[AllowancePointCode],ALLWCPTS[SchoolCodes]))&gt;=1,0,1),1))</f>
        <v>0</v>
      </c>
      <c r="E49" s="57" cm="1">
        <f t="array" ref="E49">IF(_xlfn.XLOOKUP(CONTAL[[#This Row],[DepartmentCode]],DEPTS[DepartmentCode],DEPTS[AvailableToAllSchools],1,0,)=TRUE,0,IF(ISERROR(FIND(CONTAL[[#This Row],[SchoolCode]],_xlfn.TEXTJOIN(",",TRUE,_xlfn.UNIQUE(IF(DEPTS[DepartmentCode]=CONTAL[[#This Row],[DepartmentCode]],DEPTS[SchoolCodes],""))))),1,0))</f>
        <v>0</v>
      </c>
      <c r="F49" s="57">
        <f>IF(COUNTIF(ALLWCTYPE[AllowanceTypeCode],CONTAL[[#This Row],[AllowanceCode]])&gt;0,0,1)</f>
        <v>0</v>
      </c>
      <c r="G49" s="57">
        <f>IF(COUNTIF(ALLWCPTS[AllowancePointCode],CONTAL[[#This Row],[AllowancePointCode]])&gt;0,0,1)</f>
        <v>0</v>
      </c>
      <c r="H49" s="57">
        <f>COUNTIF(CONTAL[Person+AllowancePoint+ContractRef+SchoolCode],CONTAL[[#This Row],[Person+AllowancePoint+ContractRef+SchoolCode]])-1</f>
        <v>0</v>
      </c>
      <c r="I49" s="57">
        <f t="shared" si="3"/>
        <v>0</v>
      </c>
      <c r="J49" s="57">
        <f>IF(ISBLANK(CONTAL[[#This Row],[ContractDateTo]]),0,IF(CONTAL[[#This Row],[ContractDateFrom]]=CONTAL[[#This Row],[ContractDateTo]],0,IF(CONTAL[[#This Row],[ContractDateFrom]]&lt;CONTAL[[#This Row],[ContractDateTo]],0,1)))</f>
        <v>0</v>
      </c>
      <c r="K49" s="57">
        <f>IF(ISBLANK(CONTAL[[#This Row],[AllowanceDateTo]]),0,IF(CONTAL[[#This Row],[AllowanceDateFrom]]=CONTAL[[#This Row],[AllowanceDateTo]],0,IF(CONTAL[[#This Row],[AllowanceDateFrom]]&lt;CONTAL[[#This Row],[AllowanceDateTo]],0,1)))</f>
        <v>0</v>
      </c>
      <c r="L49" s="57" cm="1">
        <f t="array" aca="1" ref="L49" ca="1">IF(CELL("format",CONTAL[[#This Row],[ContractDateFrom]])="D1",0,1)+IF(CELL("format",CONTAL[[#This Row],[ContractDateTo]])="D1",0,1)+IF(CELL("format",CONTAL[[#This Row],[AllowanceDateFrom]])="D1",0,1)+IF(CELL("format",CONTAL[[#This Row],[AllowanceDateTo]])="D1",0,1)</f>
        <v>0</v>
      </c>
      <c r="M49" s="57">
        <f>IF(OR(CONTAL[[#This Row],[IgnoreFte]]=TRUE,CONTAL[[#This Row],[IgnoreFte]]=FALSE),0,1)</f>
        <v>0</v>
      </c>
      <c r="N49" s="57">
        <f>IF(LEN(CONTAL[[#This Row],[Notes]])&lt;4000,0,1)</f>
        <v>0</v>
      </c>
      <c r="O49" s="112">
        <f>COUNTBLANK(CONTAL[[#This Row],[AllowanceCode]:[AllowanceDateFrom]])+COUNTBLANK(CONTAL[[#This Row],[IgnoreFte]]:CONTAL[[#This Row],[IgnoreFte]])</f>
        <v>0</v>
      </c>
      <c r="P49" s="57">
        <f ca="1">SUM(CONTAL[[#This Row],[Contract Issue]:[Blank in column]])</f>
        <v>0</v>
      </c>
      <c r="R49" s="12" t="s">
        <v>2094</v>
      </c>
      <c r="S49" s="12">
        <v>91073580</v>
      </c>
      <c r="T49" s="12" t="s">
        <v>4423</v>
      </c>
      <c r="U49" s="57" t="str">
        <f>_xlfn.XLOOKUP(CONTAL[[#This Row],[StaffMemberCode]],StaffMembers!O:O,StaffMembers!R:R)</f>
        <v>Sian Willington</v>
      </c>
      <c r="V49" s="12" t="s">
        <v>1178</v>
      </c>
      <c r="W49" s="12" t="s">
        <v>2499</v>
      </c>
      <c r="X49" s="21">
        <v>45901</v>
      </c>
      <c r="Z49" s="12" t="s">
        <v>1136</v>
      </c>
      <c r="AA49" s="20" t="s">
        <v>1363</v>
      </c>
      <c r="AB49" s="21">
        <v>45901</v>
      </c>
      <c r="AD49" s="157" t="b">
        <v>0</v>
      </c>
    </row>
    <row r="50" spans="1:30" x14ac:dyDescent="0.3">
      <c r="A50" s="12" t="str">
        <f t="shared" si="2"/>
        <v>ALS9107368891073688ATEASTCH45901</v>
      </c>
      <c r="B50" s="12" t="str">
        <f>CONTAL[[#This Row],[StaffMemberCode]]&amp;CONTAL[[#This Row],[AllowancePointCode]]&amp;CONTAL[[#This Row],[ContractReference]]&amp;CONTAL[[#This Row],[SchoolCode]]</f>
        <v>91073688TLR2B91073688AALS</v>
      </c>
      <c r="C50" s="57">
        <f>IF(COUNTIF(ContractsTeachFTE!A:A,ContractAllowances!A50)&gt;0,0,IF(COUNTIF(ContractsSupportHours!A:A,ContractAllowances!A50)&gt;0,0,1))</f>
        <v>0</v>
      </c>
      <c r="D50" s="57">
        <f>IF(_xlfn.XLOOKUP(CONTAL[[#This Row],[AllowancePointCode]],ALLWCPTS[AllowancePointCode],ALLWCPTS[AvailableToAllSchools])=TRUE,0,IFERROR(IF(FIND(CONTAL[[#This Row],[SchoolCode]],_xlfn.XLOOKUP(CONTAL[[#This Row],[AllowancePointCode]],ALLWCPTS[AllowancePointCode],ALLWCPTS[SchoolCodes]))&gt;=1,0,1),1))</f>
        <v>0</v>
      </c>
      <c r="E50" s="57" cm="1">
        <f t="array" ref="E50">IF(_xlfn.XLOOKUP(CONTAL[[#This Row],[DepartmentCode]],DEPTS[DepartmentCode],DEPTS[AvailableToAllSchools],1,0,)=TRUE,0,IF(ISERROR(FIND(CONTAL[[#This Row],[SchoolCode]],_xlfn.TEXTJOIN(",",TRUE,_xlfn.UNIQUE(IF(DEPTS[DepartmentCode]=CONTAL[[#This Row],[DepartmentCode]],DEPTS[SchoolCodes],""))))),1,0))</f>
        <v>0</v>
      </c>
      <c r="F50" s="57">
        <f>IF(COUNTIF(ALLWCTYPE[AllowanceTypeCode],CONTAL[[#This Row],[AllowanceCode]])&gt;0,0,1)</f>
        <v>0</v>
      </c>
      <c r="G50" s="57">
        <f>IF(COUNTIF(ALLWCPTS[AllowancePointCode],CONTAL[[#This Row],[AllowancePointCode]])&gt;0,0,1)</f>
        <v>0</v>
      </c>
      <c r="H50" s="57">
        <f>COUNTIF(CONTAL[Person+AllowancePoint+ContractRef+SchoolCode],CONTAL[[#This Row],[Person+AllowancePoint+ContractRef+SchoolCode]])-1</f>
        <v>0</v>
      </c>
      <c r="I50" s="57">
        <f t="shared" si="3"/>
        <v>0</v>
      </c>
      <c r="J50" s="57">
        <f>IF(ISBLANK(CONTAL[[#This Row],[ContractDateTo]]),0,IF(CONTAL[[#This Row],[ContractDateFrom]]=CONTAL[[#This Row],[ContractDateTo]],0,IF(CONTAL[[#This Row],[ContractDateFrom]]&lt;CONTAL[[#This Row],[ContractDateTo]],0,1)))</f>
        <v>0</v>
      </c>
      <c r="K50" s="57">
        <f>IF(ISBLANK(CONTAL[[#This Row],[AllowanceDateTo]]),0,IF(CONTAL[[#This Row],[AllowanceDateFrom]]=CONTAL[[#This Row],[AllowanceDateTo]],0,IF(CONTAL[[#This Row],[AllowanceDateFrom]]&lt;CONTAL[[#This Row],[AllowanceDateTo]],0,1)))</f>
        <v>0</v>
      </c>
      <c r="L50" s="57" cm="1">
        <f t="array" aca="1" ref="L50" ca="1">IF(CELL("format",CONTAL[[#This Row],[ContractDateFrom]])="D1",0,1)+IF(CELL("format",CONTAL[[#This Row],[ContractDateTo]])="D1",0,1)+IF(CELL("format",CONTAL[[#This Row],[AllowanceDateFrom]])="D1",0,1)+IF(CELL("format",CONTAL[[#This Row],[AllowanceDateTo]])="D1",0,1)</f>
        <v>0</v>
      </c>
      <c r="M50" s="57">
        <f>IF(OR(CONTAL[[#This Row],[IgnoreFte]]=TRUE,CONTAL[[#This Row],[IgnoreFte]]=FALSE),0,1)</f>
        <v>0</v>
      </c>
      <c r="N50" s="57">
        <f>IF(LEN(CONTAL[[#This Row],[Notes]])&lt;4000,0,1)</f>
        <v>0</v>
      </c>
      <c r="O50" s="112">
        <f>COUNTBLANK(CONTAL[[#This Row],[AllowanceCode]:[AllowanceDateFrom]])+COUNTBLANK(CONTAL[[#This Row],[IgnoreFte]]:CONTAL[[#This Row],[IgnoreFte]])</f>
        <v>0</v>
      </c>
      <c r="P50" s="57">
        <f ca="1">SUM(CONTAL[[#This Row],[Contract Issue]:[Blank in column]])</f>
        <v>0</v>
      </c>
      <c r="R50" s="12" t="s">
        <v>2082</v>
      </c>
      <c r="S50" s="12">
        <v>91073688</v>
      </c>
      <c r="T50" s="12" t="s">
        <v>4424</v>
      </c>
      <c r="U50" s="57" t="str">
        <f>_xlfn.XLOOKUP(CONTAL[[#This Row],[StaffMemberCode]],StaffMembers!O:O,StaffMembers!R:R)</f>
        <v>Alexandra Heath</v>
      </c>
      <c r="V50" s="12" t="s">
        <v>1178</v>
      </c>
      <c r="W50" s="12" t="s">
        <v>2499</v>
      </c>
      <c r="X50" s="21">
        <v>45901</v>
      </c>
      <c r="Z50" s="12" t="s">
        <v>1136</v>
      </c>
      <c r="AA50" s="20" t="s">
        <v>1364</v>
      </c>
      <c r="AB50" s="21">
        <v>45901</v>
      </c>
      <c r="AD50" s="157" t="b">
        <v>0</v>
      </c>
    </row>
    <row r="51" spans="1:30" x14ac:dyDescent="0.3">
      <c r="A51" s="12" t="str">
        <f t="shared" si="2"/>
        <v>ALS9107368991073689ATEASTCH45901</v>
      </c>
      <c r="B51" s="12" t="str">
        <f>CONTAL[[#This Row],[StaffMemberCode]]&amp;CONTAL[[#This Row],[AllowancePointCode]]&amp;CONTAL[[#This Row],[ContractReference]]&amp;CONTAL[[#This Row],[SchoolCode]]</f>
        <v>91073689TLR2B91073689AALS</v>
      </c>
      <c r="C51" s="57">
        <f>IF(COUNTIF(ContractsTeachFTE!A:A,ContractAllowances!A51)&gt;0,0,IF(COUNTIF(ContractsSupportHours!A:A,ContractAllowances!A51)&gt;0,0,1))</f>
        <v>0</v>
      </c>
      <c r="D51" s="57">
        <f>IF(_xlfn.XLOOKUP(CONTAL[[#This Row],[AllowancePointCode]],ALLWCPTS[AllowancePointCode],ALLWCPTS[AvailableToAllSchools])=TRUE,0,IFERROR(IF(FIND(CONTAL[[#This Row],[SchoolCode]],_xlfn.XLOOKUP(CONTAL[[#This Row],[AllowancePointCode]],ALLWCPTS[AllowancePointCode],ALLWCPTS[SchoolCodes]))&gt;=1,0,1),1))</f>
        <v>0</v>
      </c>
      <c r="E51" s="57" cm="1">
        <f t="array" ref="E51">IF(_xlfn.XLOOKUP(CONTAL[[#This Row],[DepartmentCode]],DEPTS[DepartmentCode],DEPTS[AvailableToAllSchools],1,0,)=TRUE,0,IF(ISERROR(FIND(CONTAL[[#This Row],[SchoolCode]],_xlfn.TEXTJOIN(",",TRUE,_xlfn.UNIQUE(IF(DEPTS[DepartmentCode]=CONTAL[[#This Row],[DepartmentCode]],DEPTS[SchoolCodes],""))))),1,0))</f>
        <v>0</v>
      </c>
      <c r="F51" s="57">
        <f>IF(COUNTIF(ALLWCTYPE[AllowanceTypeCode],CONTAL[[#This Row],[AllowanceCode]])&gt;0,0,1)</f>
        <v>0</v>
      </c>
      <c r="G51" s="57">
        <f>IF(COUNTIF(ALLWCPTS[AllowancePointCode],CONTAL[[#This Row],[AllowancePointCode]])&gt;0,0,1)</f>
        <v>0</v>
      </c>
      <c r="H51" s="57">
        <f>COUNTIF(CONTAL[Person+AllowancePoint+ContractRef+SchoolCode],CONTAL[[#This Row],[Person+AllowancePoint+ContractRef+SchoolCode]])-1</f>
        <v>0</v>
      </c>
      <c r="I51" s="57">
        <f t="shared" si="3"/>
        <v>0</v>
      </c>
      <c r="J51" s="57">
        <f>IF(ISBLANK(CONTAL[[#This Row],[ContractDateTo]]),0,IF(CONTAL[[#This Row],[ContractDateFrom]]=CONTAL[[#This Row],[ContractDateTo]],0,IF(CONTAL[[#This Row],[ContractDateFrom]]&lt;CONTAL[[#This Row],[ContractDateTo]],0,1)))</f>
        <v>0</v>
      </c>
      <c r="K51" s="57">
        <f>IF(ISBLANK(CONTAL[[#This Row],[AllowanceDateTo]]),0,IF(CONTAL[[#This Row],[AllowanceDateFrom]]=CONTAL[[#This Row],[AllowanceDateTo]],0,IF(CONTAL[[#This Row],[AllowanceDateFrom]]&lt;CONTAL[[#This Row],[AllowanceDateTo]],0,1)))</f>
        <v>0</v>
      </c>
      <c r="L51" s="57" cm="1">
        <f t="array" aca="1" ref="L51" ca="1">IF(CELL("format",CONTAL[[#This Row],[ContractDateFrom]])="D1",0,1)+IF(CELL("format",CONTAL[[#This Row],[ContractDateTo]])="D1",0,1)+IF(CELL("format",CONTAL[[#This Row],[AllowanceDateFrom]])="D1",0,1)+IF(CELL("format",CONTAL[[#This Row],[AllowanceDateTo]])="D1",0,1)</f>
        <v>0</v>
      </c>
      <c r="M51" s="57">
        <f>IF(OR(CONTAL[[#This Row],[IgnoreFte]]=TRUE,CONTAL[[#This Row],[IgnoreFte]]=FALSE),0,1)</f>
        <v>0</v>
      </c>
      <c r="N51" s="57">
        <f>IF(LEN(CONTAL[[#This Row],[Notes]])&lt;4000,0,1)</f>
        <v>0</v>
      </c>
      <c r="O51" s="112">
        <f>COUNTBLANK(CONTAL[[#This Row],[AllowanceCode]:[AllowanceDateFrom]])+COUNTBLANK(CONTAL[[#This Row],[IgnoreFte]]:CONTAL[[#This Row],[IgnoreFte]])</f>
        <v>0</v>
      </c>
      <c r="P51" s="57">
        <f ca="1">SUM(CONTAL[[#This Row],[Contract Issue]:[Blank in column]])</f>
        <v>0</v>
      </c>
      <c r="R51" s="12" t="s">
        <v>2082</v>
      </c>
      <c r="S51" s="12">
        <v>91073689</v>
      </c>
      <c r="T51" s="12" t="s">
        <v>4425</v>
      </c>
      <c r="U51" s="57" t="str">
        <f>_xlfn.XLOOKUP(CONTAL[[#This Row],[StaffMemberCode]],StaffMembers!O:O,StaffMembers!R:R)</f>
        <v>Alison Sutch</v>
      </c>
      <c r="V51" s="12" t="s">
        <v>1178</v>
      </c>
      <c r="W51" s="12" t="s">
        <v>2499</v>
      </c>
      <c r="X51" s="21">
        <v>45901</v>
      </c>
      <c r="Z51" s="12" t="s">
        <v>1136</v>
      </c>
      <c r="AA51" s="20" t="s">
        <v>1364</v>
      </c>
      <c r="AB51" s="21">
        <v>45901</v>
      </c>
      <c r="AD51" s="157" t="b">
        <v>0</v>
      </c>
    </row>
    <row r="52" spans="1:30" x14ac:dyDescent="0.3">
      <c r="A52" s="12" t="str">
        <f t="shared" si="2"/>
        <v>ALS9107370091073700ATEASTCH45901</v>
      </c>
      <c r="B52" s="12" t="str">
        <f>CONTAL[[#This Row],[StaffMemberCode]]&amp;CONTAL[[#This Row],[AllowancePointCode]]&amp;CONTAL[[#This Row],[ContractReference]]&amp;CONTAL[[#This Row],[SchoolCode]]</f>
        <v>91073700TLR2B91073700AALS</v>
      </c>
      <c r="C52" s="57">
        <f>IF(COUNTIF(ContractsTeachFTE!A:A,ContractAllowances!A52)&gt;0,0,IF(COUNTIF(ContractsSupportHours!A:A,ContractAllowances!A52)&gt;0,0,1))</f>
        <v>0</v>
      </c>
      <c r="D52" s="57">
        <f>IF(_xlfn.XLOOKUP(CONTAL[[#This Row],[AllowancePointCode]],ALLWCPTS[AllowancePointCode],ALLWCPTS[AvailableToAllSchools])=TRUE,0,IFERROR(IF(FIND(CONTAL[[#This Row],[SchoolCode]],_xlfn.XLOOKUP(CONTAL[[#This Row],[AllowancePointCode]],ALLWCPTS[AllowancePointCode],ALLWCPTS[SchoolCodes]))&gt;=1,0,1),1))</f>
        <v>0</v>
      </c>
      <c r="E52" s="57" cm="1">
        <f t="array" ref="E52">IF(_xlfn.XLOOKUP(CONTAL[[#This Row],[DepartmentCode]],DEPTS[DepartmentCode],DEPTS[AvailableToAllSchools],1,0,)=TRUE,0,IF(ISERROR(FIND(CONTAL[[#This Row],[SchoolCode]],_xlfn.TEXTJOIN(",",TRUE,_xlfn.UNIQUE(IF(DEPTS[DepartmentCode]=CONTAL[[#This Row],[DepartmentCode]],DEPTS[SchoolCodes],""))))),1,0))</f>
        <v>0</v>
      </c>
      <c r="F52" s="57">
        <f>IF(COUNTIF(ALLWCTYPE[AllowanceTypeCode],CONTAL[[#This Row],[AllowanceCode]])&gt;0,0,1)</f>
        <v>0</v>
      </c>
      <c r="G52" s="57">
        <f>IF(COUNTIF(ALLWCPTS[AllowancePointCode],CONTAL[[#This Row],[AllowancePointCode]])&gt;0,0,1)</f>
        <v>0</v>
      </c>
      <c r="H52" s="57">
        <f>COUNTIF(CONTAL[Person+AllowancePoint+ContractRef+SchoolCode],CONTAL[[#This Row],[Person+AllowancePoint+ContractRef+SchoolCode]])-1</f>
        <v>0</v>
      </c>
      <c r="I52" s="57">
        <f t="shared" si="3"/>
        <v>0</v>
      </c>
      <c r="J52" s="57">
        <f>IF(ISBLANK(CONTAL[[#This Row],[ContractDateTo]]),0,IF(CONTAL[[#This Row],[ContractDateFrom]]=CONTAL[[#This Row],[ContractDateTo]],0,IF(CONTAL[[#This Row],[ContractDateFrom]]&lt;CONTAL[[#This Row],[ContractDateTo]],0,1)))</f>
        <v>0</v>
      </c>
      <c r="K52" s="57">
        <f>IF(ISBLANK(CONTAL[[#This Row],[AllowanceDateTo]]),0,IF(CONTAL[[#This Row],[AllowanceDateFrom]]=CONTAL[[#This Row],[AllowanceDateTo]],0,IF(CONTAL[[#This Row],[AllowanceDateFrom]]&lt;CONTAL[[#This Row],[AllowanceDateTo]],0,1)))</f>
        <v>0</v>
      </c>
      <c r="L52" s="57" cm="1">
        <f t="array" aca="1" ref="L52" ca="1">IF(CELL("format",CONTAL[[#This Row],[ContractDateFrom]])="D1",0,1)+IF(CELL("format",CONTAL[[#This Row],[ContractDateTo]])="D1",0,1)+IF(CELL("format",CONTAL[[#This Row],[AllowanceDateFrom]])="D1",0,1)+IF(CELL("format",CONTAL[[#This Row],[AllowanceDateTo]])="D1",0,1)</f>
        <v>0</v>
      </c>
      <c r="M52" s="57">
        <f>IF(OR(CONTAL[[#This Row],[IgnoreFte]]=TRUE,CONTAL[[#This Row],[IgnoreFte]]=FALSE),0,1)</f>
        <v>0</v>
      </c>
      <c r="N52" s="57">
        <f>IF(LEN(CONTAL[[#This Row],[Notes]])&lt;4000,0,1)</f>
        <v>0</v>
      </c>
      <c r="O52" s="112">
        <f>COUNTBLANK(CONTAL[[#This Row],[AllowanceCode]:[AllowanceDateFrom]])+COUNTBLANK(CONTAL[[#This Row],[IgnoreFte]]:CONTAL[[#This Row],[IgnoreFte]])</f>
        <v>0</v>
      </c>
      <c r="P52" s="57">
        <f ca="1">SUM(CONTAL[[#This Row],[Contract Issue]:[Blank in column]])</f>
        <v>0</v>
      </c>
      <c r="R52" s="12" t="s">
        <v>2082</v>
      </c>
      <c r="S52" s="12">
        <v>91073700</v>
      </c>
      <c r="T52" s="12" t="s">
        <v>4426</v>
      </c>
      <c r="U52" s="57" t="str">
        <f>_xlfn.XLOOKUP(CONTAL[[#This Row],[StaffMemberCode]],StaffMembers!O:O,StaffMembers!R:R)</f>
        <v>Cathy Hewitson</v>
      </c>
      <c r="V52" s="12" t="s">
        <v>1178</v>
      </c>
      <c r="W52" s="12" t="s">
        <v>2499</v>
      </c>
      <c r="X52" s="21">
        <v>45901</v>
      </c>
      <c r="Z52" s="12" t="s">
        <v>1136</v>
      </c>
      <c r="AA52" s="20" t="s">
        <v>1364</v>
      </c>
      <c r="AB52" s="21">
        <v>45901</v>
      </c>
      <c r="AD52" s="157" t="b">
        <v>0</v>
      </c>
    </row>
    <row r="53" spans="1:30" x14ac:dyDescent="0.3">
      <c r="A53" s="12" t="str">
        <f t="shared" si="2"/>
        <v>ALS9107368791073687ATEASTCH45901</v>
      </c>
      <c r="B53" s="12" t="str">
        <f>CONTAL[[#This Row],[StaffMemberCode]]&amp;CONTAL[[#This Row],[AllowancePointCode]]&amp;CONTAL[[#This Row],[ContractReference]]&amp;CONTAL[[#This Row],[SchoolCode]]</f>
        <v>91073687TLR2B91073687AALS</v>
      </c>
      <c r="C53" s="57">
        <f>IF(COUNTIF(ContractsTeachFTE!A:A,ContractAllowances!A53)&gt;0,0,IF(COUNTIF(ContractsSupportHours!A:A,ContractAllowances!A53)&gt;0,0,1))</f>
        <v>0</v>
      </c>
      <c r="D53" s="57">
        <f>IF(_xlfn.XLOOKUP(CONTAL[[#This Row],[AllowancePointCode]],ALLWCPTS[AllowancePointCode],ALLWCPTS[AvailableToAllSchools])=TRUE,0,IFERROR(IF(FIND(CONTAL[[#This Row],[SchoolCode]],_xlfn.XLOOKUP(CONTAL[[#This Row],[AllowancePointCode]],ALLWCPTS[AllowancePointCode],ALLWCPTS[SchoolCodes]))&gt;=1,0,1),1))</f>
        <v>0</v>
      </c>
      <c r="E53" s="57" cm="1">
        <f t="array" ref="E53">IF(_xlfn.XLOOKUP(CONTAL[[#This Row],[DepartmentCode]],DEPTS[DepartmentCode],DEPTS[AvailableToAllSchools],1,0,)=TRUE,0,IF(ISERROR(FIND(CONTAL[[#This Row],[SchoolCode]],_xlfn.TEXTJOIN(",",TRUE,_xlfn.UNIQUE(IF(DEPTS[DepartmentCode]=CONTAL[[#This Row],[DepartmentCode]],DEPTS[SchoolCodes],""))))),1,0))</f>
        <v>0</v>
      </c>
      <c r="F53" s="57">
        <f>IF(COUNTIF(ALLWCTYPE[AllowanceTypeCode],CONTAL[[#This Row],[AllowanceCode]])&gt;0,0,1)</f>
        <v>0</v>
      </c>
      <c r="G53" s="57">
        <f>IF(COUNTIF(ALLWCPTS[AllowancePointCode],CONTAL[[#This Row],[AllowancePointCode]])&gt;0,0,1)</f>
        <v>0</v>
      </c>
      <c r="H53" s="57">
        <f>COUNTIF(CONTAL[Person+AllowancePoint+ContractRef+SchoolCode],CONTAL[[#This Row],[Person+AllowancePoint+ContractRef+SchoolCode]])-1</f>
        <v>0</v>
      </c>
      <c r="I53" s="57">
        <f t="shared" si="3"/>
        <v>0</v>
      </c>
      <c r="J53" s="57">
        <f>IF(ISBLANK(CONTAL[[#This Row],[ContractDateTo]]),0,IF(CONTAL[[#This Row],[ContractDateFrom]]=CONTAL[[#This Row],[ContractDateTo]],0,IF(CONTAL[[#This Row],[ContractDateFrom]]&lt;CONTAL[[#This Row],[ContractDateTo]],0,1)))</f>
        <v>0</v>
      </c>
      <c r="K53" s="57">
        <f>IF(ISBLANK(CONTAL[[#This Row],[AllowanceDateTo]]),0,IF(CONTAL[[#This Row],[AllowanceDateFrom]]=CONTAL[[#This Row],[AllowanceDateTo]],0,IF(CONTAL[[#This Row],[AllowanceDateFrom]]&lt;CONTAL[[#This Row],[AllowanceDateTo]],0,1)))</f>
        <v>0</v>
      </c>
      <c r="L53" s="57" cm="1">
        <f t="array" aca="1" ref="L53" ca="1">IF(CELL("format",CONTAL[[#This Row],[ContractDateFrom]])="D1",0,1)+IF(CELL("format",CONTAL[[#This Row],[ContractDateTo]])="D1",0,1)+IF(CELL("format",CONTAL[[#This Row],[AllowanceDateFrom]])="D1",0,1)+IF(CELL("format",CONTAL[[#This Row],[AllowanceDateTo]])="D1",0,1)</f>
        <v>0</v>
      </c>
      <c r="M53" s="57">
        <f>IF(OR(CONTAL[[#This Row],[IgnoreFte]]=TRUE,CONTAL[[#This Row],[IgnoreFte]]=FALSE),0,1)</f>
        <v>0</v>
      </c>
      <c r="N53" s="57">
        <f>IF(LEN(CONTAL[[#This Row],[Notes]])&lt;4000,0,1)</f>
        <v>0</v>
      </c>
      <c r="O53" s="112">
        <f>COUNTBLANK(CONTAL[[#This Row],[AllowanceCode]:[AllowanceDateFrom]])+COUNTBLANK(CONTAL[[#This Row],[IgnoreFte]]:CONTAL[[#This Row],[IgnoreFte]])</f>
        <v>0</v>
      </c>
      <c r="P53" s="57">
        <f ca="1">SUM(CONTAL[[#This Row],[Contract Issue]:[Blank in column]])</f>
        <v>0</v>
      </c>
      <c r="R53" s="12" t="s">
        <v>2082</v>
      </c>
      <c r="S53" s="12">
        <v>91073687</v>
      </c>
      <c r="T53" s="12" t="s">
        <v>4427</v>
      </c>
      <c r="U53" s="57" t="str">
        <f>_xlfn.XLOOKUP(CONTAL[[#This Row],[StaffMemberCode]],StaffMembers!O:O,StaffMembers!R:R)</f>
        <v>Claire Terry</v>
      </c>
      <c r="V53" s="12" t="s">
        <v>1178</v>
      </c>
      <c r="W53" s="12" t="s">
        <v>2499</v>
      </c>
      <c r="X53" s="21">
        <v>45901</v>
      </c>
      <c r="Z53" s="12" t="s">
        <v>1136</v>
      </c>
      <c r="AA53" s="20" t="s">
        <v>1364</v>
      </c>
      <c r="AB53" s="21">
        <v>45901</v>
      </c>
      <c r="AD53" s="157" t="b">
        <v>0</v>
      </c>
    </row>
    <row r="54" spans="1:30" x14ac:dyDescent="0.3">
      <c r="A54" s="12" t="str">
        <f t="shared" si="2"/>
        <v>ALS9107372691073726ATEASTCH45901</v>
      </c>
      <c r="B54" s="12" t="str">
        <f>CONTAL[[#This Row],[StaffMemberCode]]&amp;CONTAL[[#This Row],[AllowancePointCode]]&amp;CONTAL[[#This Row],[ContractReference]]&amp;CONTAL[[#This Row],[SchoolCode]]</f>
        <v>91073726TLR2B91073726AALS</v>
      </c>
      <c r="C54" s="57">
        <f>IF(COUNTIF(ContractsTeachFTE!A:A,ContractAllowances!A54)&gt;0,0,IF(COUNTIF(ContractsSupportHours!A:A,ContractAllowances!A54)&gt;0,0,1))</f>
        <v>0</v>
      </c>
      <c r="D54" s="57">
        <f>IF(_xlfn.XLOOKUP(CONTAL[[#This Row],[AllowancePointCode]],ALLWCPTS[AllowancePointCode],ALLWCPTS[AvailableToAllSchools])=TRUE,0,IFERROR(IF(FIND(CONTAL[[#This Row],[SchoolCode]],_xlfn.XLOOKUP(CONTAL[[#This Row],[AllowancePointCode]],ALLWCPTS[AllowancePointCode],ALLWCPTS[SchoolCodes]))&gt;=1,0,1),1))</f>
        <v>0</v>
      </c>
      <c r="E54" s="57" cm="1">
        <f t="array" ref="E54">IF(_xlfn.XLOOKUP(CONTAL[[#This Row],[DepartmentCode]],DEPTS[DepartmentCode],DEPTS[AvailableToAllSchools],1,0,)=TRUE,0,IF(ISERROR(FIND(CONTAL[[#This Row],[SchoolCode]],_xlfn.TEXTJOIN(",",TRUE,_xlfn.UNIQUE(IF(DEPTS[DepartmentCode]=CONTAL[[#This Row],[DepartmentCode]],DEPTS[SchoolCodes],""))))),1,0))</f>
        <v>0</v>
      </c>
      <c r="F54" s="57">
        <f>IF(COUNTIF(ALLWCTYPE[AllowanceTypeCode],CONTAL[[#This Row],[AllowanceCode]])&gt;0,0,1)</f>
        <v>0</v>
      </c>
      <c r="G54" s="57">
        <f>IF(COUNTIF(ALLWCPTS[AllowancePointCode],CONTAL[[#This Row],[AllowancePointCode]])&gt;0,0,1)</f>
        <v>0</v>
      </c>
      <c r="H54" s="57">
        <f>COUNTIF(CONTAL[Person+AllowancePoint+ContractRef+SchoolCode],CONTAL[[#This Row],[Person+AllowancePoint+ContractRef+SchoolCode]])-1</f>
        <v>0</v>
      </c>
      <c r="I54" s="57">
        <f t="shared" si="3"/>
        <v>0</v>
      </c>
      <c r="J54" s="57">
        <f>IF(ISBLANK(CONTAL[[#This Row],[ContractDateTo]]),0,IF(CONTAL[[#This Row],[ContractDateFrom]]=CONTAL[[#This Row],[ContractDateTo]],0,IF(CONTAL[[#This Row],[ContractDateFrom]]&lt;CONTAL[[#This Row],[ContractDateTo]],0,1)))</f>
        <v>0</v>
      </c>
      <c r="K54" s="57">
        <f>IF(ISBLANK(CONTAL[[#This Row],[AllowanceDateTo]]),0,IF(CONTAL[[#This Row],[AllowanceDateFrom]]=CONTAL[[#This Row],[AllowanceDateTo]],0,IF(CONTAL[[#This Row],[AllowanceDateFrom]]&lt;CONTAL[[#This Row],[AllowanceDateTo]],0,1)))</f>
        <v>0</v>
      </c>
      <c r="L54" s="57" cm="1">
        <f t="array" aca="1" ref="L54" ca="1">IF(CELL("format",CONTAL[[#This Row],[ContractDateFrom]])="D1",0,1)+IF(CELL("format",CONTAL[[#This Row],[ContractDateTo]])="D1",0,1)+IF(CELL("format",CONTAL[[#This Row],[AllowanceDateFrom]])="D1",0,1)+IF(CELL("format",CONTAL[[#This Row],[AllowanceDateTo]])="D1",0,1)</f>
        <v>0</v>
      </c>
      <c r="M54" s="57">
        <f>IF(OR(CONTAL[[#This Row],[IgnoreFte]]=TRUE,CONTAL[[#This Row],[IgnoreFte]]=FALSE),0,1)</f>
        <v>0</v>
      </c>
      <c r="N54" s="57">
        <f>IF(LEN(CONTAL[[#This Row],[Notes]])&lt;4000,0,1)</f>
        <v>0</v>
      </c>
      <c r="O54" s="112">
        <f>COUNTBLANK(CONTAL[[#This Row],[AllowanceCode]:[AllowanceDateFrom]])+COUNTBLANK(CONTAL[[#This Row],[IgnoreFte]]:CONTAL[[#This Row],[IgnoreFte]])</f>
        <v>0</v>
      </c>
      <c r="P54" s="57">
        <f ca="1">SUM(CONTAL[[#This Row],[Contract Issue]:[Blank in column]])</f>
        <v>0</v>
      </c>
      <c r="R54" s="12" t="s">
        <v>2082</v>
      </c>
      <c r="S54" s="12">
        <v>91073726</v>
      </c>
      <c r="T54" s="12" t="s">
        <v>4428</v>
      </c>
      <c r="U54" s="57" t="str">
        <f>_xlfn.XLOOKUP(CONTAL[[#This Row],[StaffMemberCode]],StaffMembers!O:O,StaffMembers!R:R)</f>
        <v>Danielle Baskerville</v>
      </c>
      <c r="V54" s="12" t="s">
        <v>1178</v>
      </c>
      <c r="W54" s="12" t="s">
        <v>2499</v>
      </c>
      <c r="X54" s="21">
        <v>45901</v>
      </c>
      <c r="Z54" s="12" t="s">
        <v>1136</v>
      </c>
      <c r="AA54" s="20" t="s">
        <v>1364</v>
      </c>
      <c r="AB54" s="21">
        <v>45901</v>
      </c>
      <c r="AD54" s="157" t="b">
        <v>0</v>
      </c>
    </row>
    <row r="55" spans="1:30" x14ac:dyDescent="0.3">
      <c r="A55" s="12" t="str">
        <f t="shared" si="2"/>
        <v>ALS9107374891073748ATEASTCH45901</v>
      </c>
      <c r="B55" s="12" t="str">
        <f>CONTAL[[#This Row],[StaffMemberCode]]&amp;CONTAL[[#This Row],[AllowancePointCode]]&amp;CONTAL[[#This Row],[ContractReference]]&amp;CONTAL[[#This Row],[SchoolCode]]</f>
        <v>91073748TLR2B91073748AALS</v>
      </c>
      <c r="C55" s="57">
        <f>IF(COUNTIF(ContractsTeachFTE!A:A,ContractAllowances!A55)&gt;0,0,IF(COUNTIF(ContractsSupportHours!A:A,ContractAllowances!A55)&gt;0,0,1))</f>
        <v>0</v>
      </c>
      <c r="D55" s="57">
        <f>IF(_xlfn.XLOOKUP(CONTAL[[#This Row],[AllowancePointCode]],ALLWCPTS[AllowancePointCode],ALLWCPTS[AvailableToAllSchools])=TRUE,0,IFERROR(IF(FIND(CONTAL[[#This Row],[SchoolCode]],_xlfn.XLOOKUP(CONTAL[[#This Row],[AllowancePointCode]],ALLWCPTS[AllowancePointCode],ALLWCPTS[SchoolCodes]))&gt;=1,0,1),1))</f>
        <v>0</v>
      </c>
      <c r="E55" s="57" cm="1">
        <f t="array" ref="E55">IF(_xlfn.XLOOKUP(CONTAL[[#This Row],[DepartmentCode]],DEPTS[DepartmentCode],DEPTS[AvailableToAllSchools],1,0,)=TRUE,0,IF(ISERROR(FIND(CONTAL[[#This Row],[SchoolCode]],_xlfn.TEXTJOIN(",",TRUE,_xlfn.UNIQUE(IF(DEPTS[DepartmentCode]=CONTAL[[#This Row],[DepartmentCode]],DEPTS[SchoolCodes],""))))),1,0))</f>
        <v>0</v>
      </c>
      <c r="F55" s="57">
        <f>IF(COUNTIF(ALLWCTYPE[AllowanceTypeCode],CONTAL[[#This Row],[AllowanceCode]])&gt;0,0,1)</f>
        <v>0</v>
      </c>
      <c r="G55" s="57">
        <f>IF(COUNTIF(ALLWCPTS[AllowancePointCode],CONTAL[[#This Row],[AllowancePointCode]])&gt;0,0,1)</f>
        <v>0</v>
      </c>
      <c r="H55" s="57">
        <f>COUNTIF(CONTAL[Person+AllowancePoint+ContractRef+SchoolCode],CONTAL[[#This Row],[Person+AllowancePoint+ContractRef+SchoolCode]])-1</f>
        <v>0</v>
      </c>
      <c r="I55" s="57">
        <f t="shared" si="3"/>
        <v>0</v>
      </c>
      <c r="J55" s="57">
        <f>IF(ISBLANK(CONTAL[[#This Row],[ContractDateTo]]),0,IF(CONTAL[[#This Row],[ContractDateFrom]]=CONTAL[[#This Row],[ContractDateTo]],0,IF(CONTAL[[#This Row],[ContractDateFrom]]&lt;CONTAL[[#This Row],[ContractDateTo]],0,1)))</f>
        <v>0</v>
      </c>
      <c r="K55" s="57">
        <f>IF(ISBLANK(CONTAL[[#This Row],[AllowanceDateTo]]),0,IF(CONTAL[[#This Row],[AllowanceDateFrom]]=CONTAL[[#This Row],[AllowanceDateTo]],0,IF(CONTAL[[#This Row],[AllowanceDateFrom]]&lt;CONTAL[[#This Row],[AllowanceDateTo]],0,1)))</f>
        <v>0</v>
      </c>
      <c r="L55" s="57" cm="1">
        <f t="array" aca="1" ref="L55" ca="1">IF(CELL("format",CONTAL[[#This Row],[ContractDateFrom]])="D1",0,1)+IF(CELL("format",CONTAL[[#This Row],[ContractDateTo]])="D1",0,1)+IF(CELL("format",CONTAL[[#This Row],[AllowanceDateFrom]])="D1",0,1)+IF(CELL("format",CONTAL[[#This Row],[AllowanceDateTo]])="D1",0,1)</f>
        <v>0</v>
      </c>
      <c r="M55" s="57">
        <f>IF(OR(CONTAL[[#This Row],[IgnoreFte]]=TRUE,CONTAL[[#This Row],[IgnoreFte]]=FALSE),0,1)</f>
        <v>0</v>
      </c>
      <c r="N55" s="57">
        <f>IF(LEN(CONTAL[[#This Row],[Notes]])&lt;4000,0,1)</f>
        <v>0</v>
      </c>
      <c r="O55" s="112">
        <f>COUNTBLANK(CONTAL[[#This Row],[AllowanceCode]:[AllowanceDateFrom]])+COUNTBLANK(CONTAL[[#This Row],[IgnoreFte]]:CONTAL[[#This Row],[IgnoreFte]])</f>
        <v>0</v>
      </c>
      <c r="P55" s="57">
        <f ca="1">SUM(CONTAL[[#This Row],[Contract Issue]:[Blank in column]])</f>
        <v>0</v>
      </c>
      <c r="R55" s="12" t="s">
        <v>2082</v>
      </c>
      <c r="S55" s="12">
        <v>91073748</v>
      </c>
      <c r="T55" s="12" t="s">
        <v>4429</v>
      </c>
      <c r="U55" s="57" t="str">
        <f>_xlfn.XLOOKUP(CONTAL[[#This Row],[StaffMemberCode]],StaffMembers!O:O,StaffMembers!R:R)</f>
        <v>Darren Hodgkinson</v>
      </c>
      <c r="V55" s="12" t="s">
        <v>1178</v>
      </c>
      <c r="W55" s="12" t="s">
        <v>2499</v>
      </c>
      <c r="X55" s="21">
        <v>45901</v>
      </c>
      <c r="Z55" s="12" t="s">
        <v>1136</v>
      </c>
      <c r="AA55" s="20" t="s">
        <v>1364</v>
      </c>
      <c r="AB55" s="21">
        <v>45901</v>
      </c>
      <c r="AD55" s="157" t="b">
        <v>0</v>
      </c>
    </row>
    <row r="56" spans="1:30" x14ac:dyDescent="0.3">
      <c r="A56" s="12" t="str">
        <f t="shared" si="2"/>
        <v>ALS9107366491073664ATEASTCH45901</v>
      </c>
      <c r="B56" s="12" t="str">
        <f>CONTAL[[#This Row],[StaffMemberCode]]&amp;CONTAL[[#This Row],[AllowancePointCode]]&amp;CONTAL[[#This Row],[ContractReference]]&amp;CONTAL[[#This Row],[SchoolCode]]</f>
        <v>91073664TLR2B91073664AALS</v>
      </c>
      <c r="C56" s="57">
        <f>IF(COUNTIF(ContractsTeachFTE!A:A,ContractAllowances!A56)&gt;0,0,IF(COUNTIF(ContractsSupportHours!A:A,ContractAllowances!A56)&gt;0,0,1))</f>
        <v>0</v>
      </c>
      <c r="D56" s="57">
        <f>IF(_xlfn.XLOOKUP(CONTAL[[#This Row],[AllowancePointCode]],ALLWCPTS[AllowancePointCode],ALLWCPTS[AvailableToAllSchools])=TRUE,0,IFERROR(IF(FIND(CONTAL[[#This Row],[SchoolCode]],_xlfn.XLOOKUP(CONTAL[[#This Row],[AllowancePointCode]],ALLWCPTS[AllowancePointCode],ALLWCPTS[SchoolCodes]))&gt;=1,0,1),1))</f>
        <v>0</v>
      </c>
      <c r="E56" s="57" cm="1">
        <f t="array" ref="E56">IF(_xlfn.XLOOKUP(CONTAL[[#This Row],[DepartmentCode]],DEPTS[DepartmentCode],DEPTS[AvailableToAllSchools],1,0,)=TRUE,0,IF(ISERROR(FIND(CONTAL[[#This Row],[SchoolCode]],_xlfn.TEXTJOIN(",",TRUE,_xlfn.UNIQUE(IF(DEPTS[DepartmentCode]=CONTAL[[#This Row],[DepartmentCode]],DEPTS[SchoolCodes],""))))),1,0))</f>
        <v>0</v>
      </c>
      <c r="F56" s="57">
        <f>IF(COUNTIF(ALLWCTYPE[AllowanceTypeCode],CONTAL[[#This Row],[AllowanceCode]])&gt;0,0,1)</f>
        <v>0</v>
      </c>
      <c r="G56" s="57">
        <f>IF(COUNTIF(ALLWCPTS[AllowancePointCode],CONTAL[[#This Row],[AllowancePointCode]])&gt;0,0,1)</f>
        <v>0</v>
      </c>
      <c r="H56" s="57">
        <f>COUNTIF(CONTAL[Person+AllowancePoint+ContractRef+SchoolCode],CONTAL[[#This Row],[Person+AllowancePoint+ContractRef+SchoolCode]])-1</f>
        <v>0</v>
      </c>
      <c r="I56" s="57">
        <f t="shared" si="3"/>
        <v>0</v>
      </c>
      <c r="J56" s="57">
        <f>IF(ISBLANK(CONTAL[[#This Row],[ContractDateTo]]),0,IF(CONTAL[[#This Row],[ContractDateFrom]]=CONTAL[[#This Row],[ContractDateTo]],0,IF(CONTAL[[#This Row],[ContractDateFrom]]&lt;CONTAL[[#This Row],[ContractDateTo]],0,1)))</f>
        <v>0</v>
      </c>
      <c r="K56" s="57">
        <f>IF(ISBLANK(CONTAL[[#This Row],[AllowanceDateTo]]),0,IF(CONTAL[[#This Row],[AllowanceDateFrom]]=CONTAL[[#This Row],[AllowanceDateTo]],0,IF(CONTAL[[#This Row],[AllowanceDateFrom]]&lt;CONTAL[[#This Row],[AllowanceDateTo]],0,1)))</f>
        <v>0</v>
      </c>
      <c r="L56" s="57" cm="1">
        <f t="array" aca="1" ref="L56" ca="1">IF(CELL("format",CONTAL[[#This Row],[ContractDateFrom]])="D1",0,1)+IF(CELL("format",CONTAL[[#This Row],[ContractDateTo]])="D1",0,1)+IF(CELL("format",CONTAL[[#This Row],[AllowanceDateFrom]])="D1",0,1)+IF(CELL("format",CONTAL[[#This Row],[AllowanceDateTo]])="D1",0,1)</f>
        <v>0</v>
      </c>
      <c r="M56" s="57">
        <f>IF(OR(CONTAL[[#This Row],[IgnoreFte]]=TRUE,CONTAL[[#This Row],[IgnoreFte]]=FALSE),0,1)</f>
        <v>0</v>
      </c>
      <c r="N56" s="57">
        <f>IF(LEN(CONTAL[[#This Row],[Notes]])&lt;4000,0,1)</f>
        <v>0</v>
      </c>
      <c r="O56" s="112">
        <f>COUNTBLANK(CONTAL[[#This Row],[AllowanceCode]:[AllowanceDateFrom]])+COUNTBLANK(CONTAL[[#This Row],[IgnoreFte]]:CONTAL[[#This Row],[IgnoreFte]])</f>
        <v>0</v>
      </c>
      <c r="P56" s="57">
        <f ca="1">SUM(CONTAL[[#This Row],[Contract Issue]:[Blank in column]])</f>
        <v>0</v>
      </c>
      <c r="R56" s="12" t="s">
        <v>2082</v>
      </c>
      <c r="S56" s="12">
        <v>91073664</v>
      </c>
      <c r="T56" s="12" t="s">
        <v>4430</v>
      </c>
      <c r="U56" s="57" t="str">
        <f>_xlfn.XLOOKUP(CONTAL[[#This Row],[StaffMemberCode]],StaffMembers!O:O,StaffMembers!R:R)</f>
        <v>Elizabeth Riding</v>
      </c>
      <c r="V56" s="12" t="s">
        <v>1178</v>
      </c>
      <c r="W56" s="12" t="s">
        <v>2499</v>
      </c>
      <c r="X56" s="21">
        <v>45901</v>
      </c>
      <c r="Z56" s="12" t="s">
        <v>1136</v>
      </c>
      <c r="AA56" s="20" t="s">
        <v>1364</v>
      </c>
      <c r="AB56" s="21">
        <v>45901</v>
      </c>
      <c r="AD56" s="157" t="b">
        <v>0</v>
      </c>
    </row>
    <row r="57" spans="1:30" x14ac:dyDescent="0.3">
      <c r="A57" s="12" t="str">
        <f t="shared" si="2"/>
        <v>ALS9107373991073739ATEASTCH45901</v>
      </c>
      <c r="B57" s="12" t="str">
        <f>CONTAL[[#This Row],[StaffMemberCode]]&amp;CONTAL[[#This Row],[AllowancePointCode]]&amp;CONTAL[[#This Row],[ContractReference]]&amp;CONTAL[[#This Row],[SchoolCode]]</f>
        <v>91073739TLR2B91073739AALS</v>
      </c>
      <c r="C57" s="57">
        <f>IF(COUNTIF(ContractsTeachFTE!A:A,ContractAllowances!A57)&gt;0,0,IF(COUNTIF(ContractsSupportHours!A:A,ContractAllowances!A57)&gt;0,0,1))</f>
        <v>0</v>
      </c>
      <c r="D57" s="57">
        <f>IF(_xlfn.XLOOKUP(CONTAL[[#This Row],[AllowancePointCode]],ALLWCPTS[AllowancePointCode],ALLWCPTS[AvailableToAllSchools])=TRUE,0,IFERROR(IF(FIND(CONTAL[[#This Row],[SchoolCode]],_xlfn.XLOOKUP(CONTAL[[#This Row],[AllowancePointCode]],ALLWCPTS[AllowancePointCode],ALLWCPTS[SchoolCodes]))&gt;=1,0,1),1))</f>
        <v>0</v>
      </c>
      <c r="E57" s="57" cm="1">
        <f t="array" ref="E57">IF(_xlfn.XLOOKUP(CONTAL[[#This Row],[DepartmentCode]],DEPTS[DepartmentCode],DEPTS[AvailableToAllSchools],1,0,)=TRUE,0,IF(ISERROR(FIND(CONTAL[[#This Row],[SchoolCode]],_xlfn.TEXTJOIN(",",TRUE,_xlfn.UNIQUE(IF(DEPTS[DepartmentCode]=CONTAL[[#This Row],[DepartmentCode]],DEPTS[SchoolCodes],""))))),1,0))</f>
        <v>0</v>
      </c>
      <c r="F57" s="57">
        <f>IF(COUNTIF(ALLWCTYPE[AllowanceTypeCode],CONTAL[[#This Row],[AllowanceCode]])&gt;0,0,1)</f>
        <v>0</v>
      </c>
      <c r="G57" s="57">
        <f>IF(COUNTIF(ALLWCPTS[AllowancePointCode],CONTAL[[#This Row],[AllowancePointCode]])&gt;0,0,1)</f>
        <v>0</v>
      </c>
      <c r="H57" s="57">
        <f>COUNTIF(CONTAL[Person+AllowancePoint+ContractRef+SchoolCode],CONTAL[[#This Row],[Person+AllowancePoint+ContractRef+SchoolCode]])-1</f>
        <v>0</v>
      </c>
      <c r="I57" s="57">
        <f t="shared" si="3"/>
        <v>0</v>
      </c>
      <c r="J57" s="57">
        <f>IF(ISBLANK(CONTAL[[#This Row],[ContractDateTo]]),0,IF(CONTAL[[#This Row],[ContractDateFrom]]=CONTAL[[#This Row],[ContractDateTo]],0,IF(CONTAL[[#This Row],[ContractDateFrom]]&lt;CONTAL[[#This Row],[ContractDateTo]],0,1)))</f>
        <v>0</v>
      </c>
      <c r="K57" s="57">
        <f>IF(ISBLANK(CONTAL[[#This Row],[AllowanceDateTo]]),0,IF(CONTAL[[#This Row],[AllowanceDateFrom]]=CONTAL[[#This Row],[AllowanceDateTo]],0,IF(CONTAL[[#This Row],[AllowanceDateFrom]]&lt;CONTAL[[#This Row],[AllowanceDateTo]],0,1)))</f>
        <v>0</v>
      </c>
      <c r="L57" s="57" cm="1">
        <f t="array" aca="1" ref="L57" ca="1">IF(CELL("format",CONTAL[[#This Row],[ContractDateFrom]])="D1",0,1)+IF(CELL("format",CONTAL[[#This Row],[ContractDateTo]])="D1",0,1)+IF(CELL("format",CONTAL[[#This Row],[AllowanceDateFrom]])="D1",0,1)+IF(CELL("format",CONTAL[[#This Row],[AllowanceDateTo]])="D1",0,1)</f>
        <v>0</v>
      </c>
      <c r="M57" s="57">
        <f>IF(OR(CONTAL[[#This Row],[IgnoreFte]]=TRUE,CONTAL[[#This Row],[IgnoreFte]]=FALSE),0,1)</f>
        <v>0</v>
      </c>
      <c r="N57" s="57">
        <f>IF(LEN(CONTAL[[#This Row],[Notes]])&lt;4000,0,1)</f>
        <v>0</v>
      </c>
      <c r="O57" s="112">
        <f>COUNTBLANK(CONTAL[[#This Row],[AllowanceCode]:[AllowanceDateFrom]])+COUNTBLANK(CONTAL[[#This Row],[IgnoreFte]]:CONTAL[[#This Row],[IgnoreFte]])</f>
        <v>0</v>
      </c>
      <c r="P57" s="57">
        <f ca="1">SUM(CONTAL[[#This Row],[Contract Issue]:[Blank in column]])</f>
        <v>0</v>
      </c>
      <c r="R57" s="12" t="s">
        <v>2082</v>
      </c>
      <c r="S57" s="12">
        <v>91073739</v>
      </c>
      <c r="T57" s="12" t="s">
        <v>4431</v>
      </c>
      <c r="U57" s="57" t="str">
        <f>_xlfn.XLOOKUP(CONTAL[[#This Row],[StaffMemberCode]],StaffMembers!O:O,StaffMembers!R:R)</f>
        <v>Francis Askew</v>
      </c>
      <c r="V57" s="12" t="s">
        <v>1178</v>
      </c>
      <c r="W57" s="12" t="s">
        <v>2499</v>
      </c>
      <c r="X57" s="21">
        <v>45901</v>
      </c>
      <c r="Z57" s="12" t="s">
        <v>1136</v>
      </c>
      <c r="AA57" s="20" t="s">
        <v>1364</v>
      </c>
      <c r="AB57" s="21">
        <v>45901</v>
      </c>
      <c r="AD57" s="157" t="b">
        <v>0</v>
      </c>
    </row>
    <row r="58" spans="1:30" x14ac:dyDescent="0.3">
      <c r="A58" s="12" t="str">
        <f t="shared" si="2"/>
        <v>ALS9107372091073720ATEASTCH45901</v>
      </c>
      <c r="B58" s="12" t="str">
        <f>CONTAL[[#This Row],[StaffMemberCode]]&amp;CONTAL[[#This Row],[AllowancePointCode]]&amp;CONTAL[[#This Row],[ContractReference]]&amp;CONTAL[[#This Row],[SchoolCode]]</f>
        <v>91073720TLR2B91073720AALS</v>
      </c>
      <c r="C58" s="57">
        <f>IF(COUNTIF(ContractsTeachFTE!A:A,ContractAllowances!A58)&gt;0,0,IF(COUNTIF(ContractsSupportHours!A:A,ContractAllowances!A58)&gt;0,0,1))</f>
        <v>0</v>
      </c>
      <c r="D58" s="57">
        <f>IF(_xlfn.XLOOKUP(CONTAL[[#This Row],[AllowancePointCode]],ALLWCPTS[AllowancePointCode],ALLWCPTS[AvailableToAllSchools])=TRUE,0,IFERROR(IF(FIND(CONTAL[[#This Row],[SchoolCode]],_xlfn.XLOOKUP(CONTAL[[#This Row],[AllowancePointCode]],ALLWCPTS[AllowancePointCode],ALLWCPTS[SchoolCodes]))&gt;=1,0,1),1))</f>
        <v>0</v>
      </c>
      <c r="E58" s="57" cm="1">
        <f t="array" ref="E58">IF(_xlfn.XLOOKUP(CONTAL[[#This Row],[DepartmentCode]],DEPTS[DepartmentCode],DEPTS[AvailableToAllSchools],1,0,)=TRUE,0,IF(ISERROR(FIND(CONTAL[[#This Row],[SchoolCode]],_xlfn.TEXTJOIN(",",TRUE,_xlfn.UNIQUE(IF(DEPTS[DepartmentCode]=CONTAL[[#This Row],[DepartmentCode]],DEPTS[SchoolCodes],""))))),1,0))</f>
        <v>0</v>
      </c>
      <c r="F58" s="57">
        <f>IF(COUNTIF(ALLWCTYPE[AllowanceTypeCode],CONTAL[[#This Row],[AllowanceCode]])&gt;0,0,1)</f>
        <v>0</v>
      </c>
      <c r="G58" s="57">
        <f>IF(COUNTIF(ALLWCPTS[AllowancePointCode],CONTAL[[#This Row],[AllowancePointCode]])&gt;0,0,1)</f>
        <v>0</v>
      </c>
      <c r="H58" s="57">
        <f>COUNTIF(CONTAL[Person+AllowancePoint+ContractRef+SchoolCode],CONTAL[[#This Row],[Person+AllowancePoint+ContractRef+SchoolCode]])-1</f>
        <v>0</v>
      </c>
      <c r="I58" s="57">
        <f t="shared" si="3"/>
        <v>0</v>
      </c>
      <c r="J58" s="57">
        <f>IF(ISBLANK(CONTAL[[#This Row],[ContractDateTo]]),0,IF(CONTAL[[#This Row],[ContractDateFrom]]=CONTAL[[#This Row],[ContractDateTo]],0,IF(CONTAL[[#This Row],[ContractDateFrom]]&lt;CONTAL[[#This Row],[ContractDateTo]],0,1)))</f>
        <v>0</v>
      </c>
      <c r="K58" s="57">
        <f>IF(ISBLANK(CONTAL[[#This Row],[AllowanceDateTo]]),0,IF(CONTAL[[#This Row],[AllowanceDateFrom]]=CONTAL[[#This Row],[AllowanceDateTo]],0,IF(CONTAL[[#This Row],[AllowanceDateFrom]]&lt;CONTAL[[#This Row],[AllowanceDateTo]],0,1)))</f>
        <v>0</v>
      </c>
      <c r="L58" s="57" cm="1">
        <f t="array" aca="1" ref="L58" ca="1">IF(CELL("format",CONTAL[[#This Row],[ContractDateFrom]])="D1",0,1)+IF(CELL("format",CONTAL[[#This Row],[ContractDateTo]])="D1",0,1)+IF(CELL("format",CONTAL[[#This Row],[AllowanceDateFrom]])="D1",0,1)+IF(CELL("format",CONTAL[[#This Row],[AllowanceDateTo]])="D1",0,1)</f>
        <v>0</v>
      </c>
      <c r="M58" s="57">
        <f>IF(OR(CONTAL[[#This Row],[IgnoreFte]]=TRUE,CONTAL[[#This Row],[IgnoreFte]]=FALSE),0,1)</f>
        <v>0</v>
      </c>
      <c r="N58" s="57">
        <f>IF(LEN(CONTAL[[#This Row],[Notes]])&lt;4000,0,1)</f>
        <v>0</v>
      </c>
      <c r="O58" s="112">
        <f>COUNTBLANK(CONTAL[[#This Row],[AllowanceCode]:[AllowanceDateFrom]])+COUNTBLANK(CONTAL[[#This Row],[IgnoreFte]]:CONTAL[[#This Row],[IgnoreFte]])</f>
        <v>0</v>
      </c>
      <c r="P58" s="57">
        <f ca="1">SUM(CONTAL[[#This Row],[Contract Issue]:[Blank in column]])</f>
        <v>0</v>
      </c>
      <c r="R58" s="12" t="s">
        <v>2082</v>
      </c>
      <c r="S58" s="12">
        <v>91073720</v>
      </c>
      <c r="T58" s="12" t="s">
        <v>4432</v>
      </c>
      <c r="U58" s="57" t="str">
        <f>_xlfn.XLOOKUP(CONTAL[[#This Row],[StaffMemberCode]],StaffMembers!O:O,StaffMembers!R:R)</f>
        <v>Gemma Wilson</v>
      </c>
      <c r="V58" s="12" t="s">
        <v>1178</v>
      </c>
      <c r="W58" s="12" t="s">
        <v>2499</v>
      </c>
      <c r="X58" s="21">
        <v>45901</v>
      </c>
      <c r="Z58" s="12" t="s">
        <v>1136</v>
      </c>
      <c r="AA58" s="20" t="s">
        <v>1364</v>
      </c>
      <c r="AB58" s="21">
        <v>45901</v>
      </c>
      <c r="AD58" s="157" t="b">
        <v>0</v>
      </c>
    </row>
    <row r="59" spans="1:30" x14ac:dyDescent="0.3">
      <c r="A59" s="12" t="str">
        <f t="shared" si="2"/>
        <v>ALS9107369291073692ATEASTCH45901</v>
      </c>
      <c r="B59" s="12" t="str">
        <f>CONTAL[[#This Row],[StaffMemberCode]]&amp;CONTAL[[#This Row],[AllowancePointCode]]&amp;CONTAL[[#This Row],[ContractReference]]&amp;CONTAL[[#This Row],[SchoolCode]]</f>
        <v>91073692TLR2B91073692AALS</v>
      </c>
      <c r="C59" s="57">
        <f>IF(COUNTIF(ContractsTeachFTE!A:A,ContractAllowances!A59)&gt;0,0,IF(COUNTIF(ContractsSupportHours!A:A,ContractAllowances!A59)&gt;0,0,1))</f>
        <v>0</v>
      </c>
      <c r="D59" s="57">
        <f>IF(_xlfn.XLOOKUP(CONTAL[[#This Row],[AllowancePointCode]],ALLWCPTS[AllowancePointCode],ALLWCPTS[AvailableToAllSchools])=TRUE,0,IFERROR(IF(FIND(CONTAL[[#This Row],[SchoolCode]],_xlfn.XLOOKUP(CONTAL[[#This Row],[AllowancePointCode]],ALLWCPTS[AllowancePointCode],ALLWCPTS[SchoolCodes]))&gt;=1,0,1),1))</f>
        <v>0</v>
      </c>
      <c r="E59" s="57" cm="1">
        <f t="array" ref="E59">IF(_xlfn.XLOOKUP(CONTAL[[#This Row],[DepartmentCode]],DEPTS[DepartmentCode],DEPTS[AvailableToAllSchools],1,0,)=TRUE,0,IF(ISERROR(FIND(CONTAL[[#This Row],[SchoolCode]],_xlfn.TEXTJOIN(",",TRUE,_xlfn.UNIQUE(IF(DEPTS[DepartmentCode]=CONTAL[[#This Row],[DepartmentCode]],DEPTS[SchoolCodes],""))))),1,0))</f>
        <v>0</v>
      </c>
      <c r="F59" s="57">
        <f>IF(COUNTIF(ALLWCTYPE[AllowanceTypeCode],CONTAL[[#This Row],[AllowanceCode]])&gt;0,0,1)</f>
        <v>0</v>
      </c>
      <c r="G59" s="57">
        <f>IF(COUNTIF(ALLWCPTS[AllowancePointCode],CONTAL[[#This Row],[AllowancePointCode]])&gt;0,0,1)</f>
        <v>0</v>
      </c>
      <c r="H59" s="57">
        <f>COUNTIF(CONTAL[Person+AllowancePoint+ContractRef+SchoolCode],CONTAL[[#This Row],[Person+AllowancePoint+ContractRef+SchoolCode]])-1</f>
        <v>0</v>
      </c>
      <c r="I59" s="57">
        <f t="shared" si="3"/>
        <v>0</v>
      </c>
      <c r="J59" s="57">
        <f>IF(ISBLANK(CONTAL[[#This Row],[ContractDateTo]]),0,IF(CONTAL[[#This Row],[ContractDateFrom]]=CONTAL[[#This Row],[ContractDateTo]],0,IF(CONTAL[[#This Row],[ContractDateFrom]]&lt;CONTAL[[#This Row],[ContractDateTo]],0,1)))</f>
        <v>0</v>
      </c>
      <c r="K59" s="57">
        <f>IF(ISBLANK(CONTAL[[#This Row],[AllowanceDateTo]]),0,IF(CONTAL[[#This Row],[AllowanceDateFrom]]=CONTAL[[#This Row],[AllowanceDateTo]],0,IF(CONTAL[[#This Row],[AllowanceDateFrom]]&lt;CONTAL[[#This Row],[AllowanceDateTo]],0,1)))</f>
        <v>0</v>
      </c>
      <c r="L59" s="57" cm="1">
        <f t="array" aca="1" ref="L59" ca="1">IF(CELL("format",CONTAL[[#This Row],[ContractDateFrom]])="D1",0,1)+IF(CELL("format",CONTAL[[#This Row],[ContractDateTo]])="D1",0,1)+IF(CELL("format",CONTAL[[#This Row],[AllowanceDateFrom]])="D1",0,1)+IF(CELL("format",CONTAL[[#This Row],[AllowanceDateTo]])="D1",0,1)</f>
        <v>0</v>
      </c>
      <c r="M59" s="57">
        <f>IF(OR(CONTAL[[#This Row],[IgnoreFte]]=TRUE,CONTAL[[#This Row],[IgnoreFte]]=FALSE),0,1)</f>
        <v>0</v>
      </c>
      <c r="N59" s="57">
        <f>IF(LEN(CONTAL[[#This Row],[Notes]])&lt;4000,0,1)</f>
        <v>0</v>
      </c>
      <c r="O59" s="112">
        <f>COUNTBLANK(CONTAL[[#This Row],[AllowanceCode]:[AllowanceDateFrom]])+COUNTBLANK(CONTAL[[#This Row],[IgnoreFte]]:CONTAL[[#This Row],[IgnoreFte]])</f>
        <v>0</v>
      </c>
      <c r="P59" s="57">
        <f ca="1">SUM(CONTAL[[#This Row],[Contract Issue]:[Blank in column]])</f>
        <v>0</v>
      </c>
      <c r="R59" s="12" t="s">
        <v>2082</v>
      </c>
      <c r="S59" s="12">
        <v>91073692</v>
      </c>
      <c r="T59" s="12" t="s">
        <v>4433</v>
      </c>
      <c r="U59" s="57" t="str">
        <f>_xlfn.XLOOKUP(CONTAL[[#This Row],[StaffMemberCode]],StaffMembers!O:O,StaffMembers!R:R)</f>
        <v>Jane Tucker</v>
      </c>
      <c r="V59" s="12" t="s">
        <v>1178</v>
      </c>
      <c r="W59" s="12" t="s">
        <v>2499</v>
      </c>
      <c r="X59" s="21">
        <v>45901</v>
      </c>
      <c r="Z59" s="12" t="s">
        <v>1136</v>
      </c>
      <c r="AA59" s="20" t="s">
        <v>1364</v>
      </c>
      <c r="AB59" s="21">
        <v>45901</v>
      </c>
      <c r="AD59" s="157" t="b">
        <v>0</v>
      </c>
    </row>
    <row r="60" spans="1:30" x14ac:dyDescent="0.3">
      <c r="A60" s="12" t="str">
        <f t="shared" si="2"/>
        <v>BLS9107344391073443ATEASTCH45901</v>
      </c>
      <c r="B60" s="12" t="str">
        <f>CONTAL[[#This Row],[StaffMemberCode]]&amp;CONTAL[[#This Row],[AllowancePointCode]]&amp;CONTAL[[#This Row],[ContractReference]]&amp;CONTAL[[#This Row],[SchoolCode]]</f>
        <v>91073443TLR2B91073443ABLS</v>
      </c>
      <c r="C60" s="57">
        <f>IF(COUNTIF(ContractsTeachFTE!A:A,ContractAllowances!A60)&gt;0,0,IF(COUNTIF(ContractsSupportHours!A:A,ContractAllowances!A60)&gt;0,0,1))</f>
        <v>0</v>
      </c>
      <c r="D60" s="57">
        <f>IF(_xlfn.XLOOKUP(CONTAL[[#This Row],[AllowancePointCode]],ALLWCPTS[AllowancePointCode],ALLWCPTS[AvailableToAllSchools])=TRUE,0,IFERROR(IF(FIND(CONTAL[[#This Row],[SchoolCode]],_xlfn.XLOOKUP(CONTAL[[#This Row],[AllowancePointCode]],ALLWCPTS[AllowancePointCode],ALLWCPTS[SchoolCodes]))&gt;=1,0,1),1))</f>
        <v>0</v>
      </c>
      <c r="E60" s="57" cm="1">
        <f t="array" ref="E60">IF(_xlfn.XLOOKUP(CONTAL[[#This Row],[DepartmentCode]],DEPTS[DepartmentCode],DEPTS[AvailableToAllSchools],1,0,)=TRUE,0,IF(ISERROR(FIND(CONTAL[[#This Row],[SchoolCode]],_xlfn.TEXTJOIN(",",TRUE,_xlfn.UNIQUE(IF(DEPTS[DepartmentCode]=CONTAL[[#This Row],[DepartmentCode]],DEPTS[SchoolCodes],""))))),1,0))</f>
        <v>0</v>
      </c>
      <c r="F60" s="57">
        <f>IF(COUNTIF(ALLWCTYPE[AllowanceTypeCode],CONTAL[[#This Row],[AllowanceCode]])&gt;0,0,1)</f>
        <v>0</v>
      </c>
      <c r="G60" s="57">
        <f>IF(COUNTIF(ALLWCPTS[AllowancePointCode],CONTAL[[#This Row],[AllowancePointCode]])&gt;0,0,1)</f>
        <v>0</v>
      </c>
      <c r="H60" s="57">
        <f>COUNTIF(CONTAL[Person+AllowancePoint+ContractRef+SchoolCode],CONTAL[[#This Row],[Person+AllowancePoint+ContractRef+SchoolCode]])-1</f>
        <v>0</v>
      </c>
      <c r="I60" s="57">
        <f t="shared" si="3"/>
        <v>0</v>
      </c>
      <c r="J60" s="57">
        <f>IF(ISBLANK(CONTAL[[#This Row],[ContractDateTo]]),0,IF(CONTAL[[#This Row],[ContractDateFrom]]=CONTAL[[#This Row],[ContractDateTo]],0,IF(CONTAL[[#This Row],[ContractDateFrom]]&lt;CONTAL[[#This Row],[ContractDateTo]],0,1)))</f>
        <v>0</v>
      </c>
      <c r="K60" s="57">
        <f>IF(ISBLANK(CONTAL[[#This Row],[AllowanceDateTo]]),0,IF(CONTAL[[#This Row],[AllowanceDateFrom]]=CONTAL[[#This Row],[AllowanceDateTo]],0,IF(CONTAL[[#This Row],[AllowanceDateFrom]]&lt;CONTAL[[#This Row],[AllowanceDateTo]],0,1)))</f>
        <v>0</v>
      </c>
      <c r="L60" s="57" cm="1">
        <f t="array" aca="1" ref="L60" ca="1">IF(CELL("format",CONTAL[[#This Row],[ContractDateFrom]])="D1",0,1)+IF(CELL("format",CONTAL[[#This Row],[ContractDateTo]])="D1",0,1)+IF(CELL("format",CONTAL[[#This Row],[AllowanceDateFrom]])="D1",0,1)+IF(CELL("format",CONTAL[[#This Row],[AllowanceDateTo]])="D1",0,1)</f>
        <v>0</v>
      </c>
      <c r="M60" s="57">
        <f>IF(OR(CONTAL[[#This Row],[IgnoreFte]]=TRUE,CONTAL[[#This Row],[IgnoreFte]]=FALSE),0,1)</f>
        <v>0</v>
      </c>
      <c r="N60" s="57">
        <f>IF(LEN(CONTAL[[#This Row],[Notes]])&lt;4000,0,1)</f>
        <v>0</v>
      </c>
      <c r="O60" s="112">
        <f>COUNTBLANK(CONTAL[[#This Row],[AllowanceCode]:[AllowanceDateFrom]])+COUNTBLANK(CONTAL[[#This Row],[IgnoreFte]]:CONTAL[[#This Row],[IgnoreFte]])</f>
        <v>0</v>
      </c>
      <c r="P60" s="57">
        <f ca="1">SUM(CONTAL[[#This Row],[Contract Issue]:[Blank in column]])</f>
        <v>0</v>
      </c>
      <c r="R60" s="12" t="s">
        <v>2094</v>
      </c>
      <c r="S60" s="12">
        <v>91073443</v>
      </c>
      <c r="T60" s="12" t="s">
        <v>4434</v>
      </c>
      <c r="U60" s="57" t="str">
        <f>_xlfn.XLOOKUP(CONTAL[[#This Row],[StaffMemberCode]],StaffMembers!O:O,StaffMembers!R:R)</f>
        <v>Jay Greaves</v>
      </c>
      <c r="V60" s="12" t="s">
        <v>1178</v>
      </c>
      <c r="W60" s="12" t="s">
        <v>2499</v>
      </c>
      <c r="X60" s="21">
        <v>45901</v>
      </c>
      <c r="Z60" s="12" t="s">
        <v>1136</v>
      </c>
      <c r="AA60" s="20" t="s">
        <v>1364</v>
      </c>
      <c r="AB60" s="21">
        <v>45901</v>
      </c>
      <c r="AD60" s="157" t="b">
        <v>0</v>
      </c>
    </row>
    <row r="61" spans="1:30" x14ac:dyDescent="0.3">
      <c r="A61" s="12" t="str">
        <f t="shared" si="2"/>
        <v>ALS9132408191324081ATEASTCH45901</v>
      </c>
      <c r="B61" s="12" t="str">
        <f>CONTAL[[#This Row],[StaffMemberCode]]&amp;CONTAL[[#This Row],[AllowancePointCode]]&amp;CONTAL[[#This Row],[ContractReference]]&amp;CONTAL[[#This Row],[SchoolCode]]</f>
        <v>91324081TLR2B91324081AALS</v>
      </c>
      <c r="C61" s="57">
        <f>IF(COUNTIF(ContractsTeachFTE!A:A,ContractAllowances!A61)&gt;0,0,IF(COUNTIF(ContractsSupportHours!A:A,ContractAllowances!A61)&gt;0,0,1))</f>
        <v>0</v>
      </c>
      <c r="D61" s="57">
        <f>IF(_xlfn.XLOOKUP(CONTAL[[#This Row],[AllowancePointCode]],ALLWCPTS[AllowancePointCode],ALLWCPTS[AvailableToAllSchools])=TRUE,0,IFERROR(IF(FIND(CONTAL[[#This Row],[SchoolCode]],_xlfn.XLOOKUP(CONTAL[[#This Row],[AllowancePointCode]],ALLWCPTS[AllowancePointCode],ALLWCPTS[SchoolCodes]))&gt;=1,0,1),1))</f>
        <v>0</v>
      </c>
      <c r="E61" s="57" cm="1">
        <f t="array" ref="E61">IF(_xlfn.XLOOKUP(CONTAL[[#This Row],[DepartmentCode]],DEPTS[DepartmentCode],DEPTS[AvailableToAllSchools],1,0,)=TRUE,0,IF(ISERROR(FIND(CONTAL[[#This Row],[SchoolCode]],_xlfn.TEXTJOIN(",",TRUE,_xlfn.UNIQUE(IF(DEPTS[DepartmentCode]=CONTAL[[#This Row],[DepartmentCode]],DEPTS[SchoolCodes],""))))),1,0))</f>
        <v>0</v>
      </c>
      <c r="F61" s="57">
        <f>IF(COUNTIF(ALLWCTYPE[AllowanceTypeCode],CONTAL[[#This Row],[AllowanceCode]])&gt;0,0,1)</f>
        <v>0</v>
      </c>
      <c r="G61" s="57">
        <f>IF(COUNTIF(ALLWCPTS[AllowancePointCode],CONTAL[[#This Row],[AllowancePointCode]])&gt;0,0,1)</f>
        <v>0</v>
      </c>
      <c r="H61" s="57">
        <f>COUNTIF(CONTAL[Person+AllowancePoint+ContractRef+SchoolCode],CONTAL[[#This Row],[Person+AllowancePoint+ContractRef+SchoolCode]])-1</f>
        <v>0</v>
      </c>
      <c r="I61" s="57">
        <f t="shared" si="3"/>
        <v>0</v>
      </c>
      <c r="J61" s="57">
        <f>IF(ISBLANK(CONTAL[[#This Row],[ContractDateTo]]),0,IF(CONTAL[[#This Row],[ContractDateFrom]]=CONTAL[[#This Row],[ContractDateTo]],0,IF(CONTAL[[#This Row],[ContractDateFrom]]&lt;CONTAL[[#This Row],[ContractDateTo]],0,1)))</f>
        <v>0</v>
      </c>
      <c r="K61" s="57">
        <f>IF(ISBLANK(CONTAL[[#This Row],[AllowanceDateTo]]),0,IF(CONTAL[[#This Row],[AllowanceDateFrom]]=CONTAL[[#This Row],[AllowanceDateTo]],0,IF(CONTAL[[#This Row],[AllowanceDateFrom]]&lt;CONTAL[[#This Row],[AllowanceDateTo]],0,1)))</f>
        <v>0</v>
      </c>
      <c r="L61" s="57" cm="1">
        <f t="array" aca="1" ref="L61" ca="1">IF(CELL("format",CONTAL[[#This Row],[ContractDateFrom]])="D1",0,1)+IF(CELL("format",CONTAL[[#This Row],[ContractDateTo]])="D1",0,1)+IF(CELL("format",CONTAL[[#This Row],[AllowanceDateFrom]])="D1",0,1)+IF(CELL("format",CONTAL[[#This Row],[AllowanceDateTo]])="D1",0,1)</f>
        <v>0</v>
      </c>
      <c r="M61" s="57">
        <f>IF(OR(CONTAL[[#This Row],[IgnoreFte]]=TRUE,CONTAL[[#This Row],[IgnoreFte]]=FALSE),0,1)</f>
        <v>0</v>
      </c>
      <c r="N61" s="57">
        <f>IF(LEN(CONTAL[[#This Row],[Notes]])&lt;4000,0,1)</f>
        <v>0</v>
      </c>
      <c r="O61" s="112">
        <f>COUNTBLANK(CONTAL[[#This Row],[AllowanceCode]:[AllowanceDateFrom]])+COUNTBLANK(CONTAL[[#This Row],[IgnoreFte]]:CONTAL[[#This Row],[IgnoreFte]])</f>
        <v>0</v>
      </c>
      <c r="P61" s="57">
        <f ca="1">SUM(CONTAL[[#This Row],[Contract Issue]:[Blank in column]])</f>
        <v>0</v>
      </c>
      <c r="R61" s="12" t="s">
        <v>2082</v>
      </c>
      <c r="S61" s="12">
        <v>91324081</v>
      </c>
      <c r="T61" s="12" t="s">
        <v>4435</v>
      </c>
      <c r="U61" s="57" t="str">
        <f>_xlfn.XLOOKUP(CONTAL[[#This Row],[StaffMemberCode]],StaffMembers!O:O,StaffMembers!R:R)</f>
        <v>Jayde Holland</v>
      </c>
      <c r="V61" s="12" t="s">
        <v>1178</v>
      </c>
      <c r="W61" s="12" t="s">
        <v>2499</v>
      </c>
      <c r="X61" s="21">
        <v>45901</v>
      </c>
      <c r="Z61" s="12" t="s">
        <v>1136</v>
      </c>
      <c r="AA61" s="20" t="s">
        <v>1364</v>
      </c>
      <c r="AB61" s="21">
        <v>45901</v>
      </c>
      <c r="AD61" s="157" t="b">
        <v>0</v>
      </c>
    </row>
    <row r="62" spans="1:30" x14ac:dyDescent="0.3">
      <c r="A62" s="12" t="str">
        <f t="shared" si="2"/>
        <v>ALS9107375991073759ATEASTCH45901</v>
      </c>
      <c r="B62" s="12" t="str">
        <f>CONTAL[[#This Row],[StaffMemberCode]]&amp;CONTAL[[#This Row],[AllowancePointCode]]&amp;CONTAL[[#This Row],[ContractReference]]&amp;CONTAL[[#This Row],[SchoolCode]]</f>
        <v>91073759TLR2B91073759AALS</v>
      </c>
      <c r="C62" s="57">
        <f>IF(COUNTIF(ContractsTeachFTE!A:A,ContractAllowances!A62)&gt;0,0,IF(COUNTIF(ContractsSupportHours!A:A,ContractAllowances!A62)&gt;0,0,1))</f>
        <v>0</v>
      </c>
      <c r="D62" s="57">
        <f>IF(_xlfn.XLOOKUP(CONTAL[[#This Row],[AllowancePointCode]],ALLWCPTS[AllowancePointCode],ALLWCPTS[AvailableToAllSchools])=TRUE,0,IFERROR(IF(FIND(CONTAL[[#This Row],[SchoolCode]],_xlfn.XLOOKUP(CONTAL[[#This Row],[AllowancePointCode]],ALLWCPTS[AllowancePointCode],ALLWCPTS[SchoolCodes]))&gt;=1,0,1),1))</f>
        <v>0</v>
      </c>
      <c r="E62" s="57" cm="1">
        <f t="array" ref="E62">IF(_xlfn.XLOOKUP(CONTAL[[#This Row],[DepartmentCode]],DEPTS[DepartmentCode],DEPTS[AvailableToAllSchools],1,0,)=TRUE,0,IF(ISERROR(FIND(CONTAL[[#This Row],[SchoolCode]],_xlfn.TEXTJOIN(",",TRUE,_xlfn.UNIQUE(IF(DEPTS[DepartmentCode]=CONTAL[[#This Row],[DepartmentCode]],DEPTS[SchoolCodes],""))))),1,0))</f>
        <v>0</v>
      </c>
      <c r="F62" s="57">
        <f>IF(COUNTIF(ALLWCTYPE[AllowanceTypeCode],CONTAL[[#This Row],[AllowanceCode]])&gt;0,0,1)</f>
        <v>0</v>
      </c>
      <c r="G62" s="57">
        <f>IF(COUNTIF(ALLWCPTS[AllowancePointCode],CONTAL[[#This Row],[AllowancePointCode]])&gt;0,0,1)</f>
        <v>0</v>
      </c>
      <c r="H62" s="57">
        <f>COUNTIF(CONTAL[Person+AllowancePoint+ContractRef+SchoolCode],CONTAL[[#This Row],[Person+AllowancePoint+ContractRef+SchoolCode]])-1</f>
        <v>0</v>
      </c>
      <c r="I62" s="57">
        <f t="shared" si="3"/>
        <v>0</v>
      </c>
      <c r="J62" s="57">
        <f>IF(ISBLANK(CONTAL[[#This Row],[ContractDateTo]]),0,IF(CONTAL[[#This Row],[ContractDateFrom]]=CONTAL[[#This Row],[ContractDateTo]],0,IF(CONTAL[[#This Row],[ContractDateFrom]]&lt;CONTAL[[#This Row],[ContractDateTo]],0,1)))</f>
        <v>0</v>
      </c>
      <c r="K62" s="57">
        <f>IF(ISBLANK(CONTAL[[#This Row],[AllowanceDateTo]]),0,IF(CONTAL[[#This Row],[AllowanceDateFrom]]=CONTAL[[#This Row],[AllowanceDateTo]],0,IF(CONTAL[[#This Row],[AllowanceDateFrom]]&lt;CONTAL[[#This Row],[AllowanceDateTo]],0,1)))</f>
        <v>0</v>
      </c>
      <c r="L62" s="57" cm="1">
        <f t="array" aca="1" ref="L62" ca="1">IF(CELL("format",CONTAL[[#This Row],[ContractDateFrom]])="D1",0,1)+IF(CELL("format",CONTAL[[#This Row],[ContractDateTo]])="D1",0,1)+IF(CELL("format",CONTAL[[#This Row],[AllowanceDateFrom]])="D1",0,1)+IF(CELL("format",CONTAL[[#This Row],[AllowanceDateTo]])="D1",0,1)</f>
        <v>0</v>
      </c>
      <c r="M62" s="57">
        <f>IF(OR(CONTAL[[#This Row],[IgnoreFte]]=TRUE,CONTAL[[#This Row],[IgnoreFte]]=FALSE),0,1)</f>
        <v>0</v>
      </c>
      <c r="N62" s="57">
        <f>IF(LEN(CONTAL[[#This Row],[Notes]])&lt;4000,0,1)</f>
        <v>0</v>
      </c>
      <c r="O62" s="112">
        <f>COUNTBLANK(CONTAL[[#This Row],[AllowanceCode]:[AllowanceDateFrom]])+COUNTBLANK(CONTAL[[#This Row],[IgnoreFte]]:CONTAL[[#This Row],[IgnoreFte]])</f>
        <v>0</v>
      </c>
      <c r="P62" s="57">
        <f ca="1">SUM(CONTAL[[#This Row],[Contract Issue]:[Blank in column]])</f>
        <v>0</v>
      </c>
      <c r="R62" s="12" t="s">
        <v>2082</v>
      </c>
      <c r="S62" s="12">
        <v>91073759</v>
      </c>
      <c r="T62" s="12" t="s">
        <v>4436</v>
      </c>
      <c r="U62" s="57" t="str">
        <f>_xlfn.XLOOKUP(CONTAL[[#This Row],[StaffMemberCode]],StaffMembers!O:O,StaffMembers!R:R)</f>
        <v>Jemma Smith</v>
      </c>
      <c r="V62" s="12" t="s">
        <v>1178</v>
      </c>
      <c r="W62" s="12" t="s">
        <v>2499</v>
      </c>
      <c r="X62" s="21">
        <v>45901</v>
      </c>
      <c r="Z62" s="12" t="s">
        <v>1136</v>
      </c>
      <c r="AA62" s="20" t="s">
        <v>1364</v>
      </c>
      <c r="AB62" s="21">
        <v>45901</v>
      </c>
      <c r="AD62" s="157" t="b">
        <v>0</v>
      </c>
    </row>
    <row r="63" spans="1:30" x14ac:dyDescent="0.3">
      <c r="A63" s="12" t="str">
        <f t="shared" si="2"/>
        <v>BLS9107347491073474ATEASTCH45901</v>
      </c>
      <c r="B63" s="12" t="str">
        <f>CONTAL[[#This Row],[StaffMemberCode]]&amp;CONTAL[[#This Row],[AllowancePointCode]]&amp;CONTAL[[#This Row],[ContractReference]]&amp;CONTAL[[#This Row],[SchoolCode]]</f>
        <v>91073474TLR2B91073474ABLS</v>
      </c>
      <c r="C63" s="57">
        <f>IF(COUNTIF(ContractsTeachFTE!A:A,ContractAllowances!A63)&gt;0,0,IF(COUNTIF(ContractsSupportHours!A:A,ContractAllowances!A63)&gt;0,0,1))</f>
        <v>0</v>
      </c>
      <c r="D63" s="57">
        <f>IF(_xlfn.XLOOKUP(CONTAL[[#This Row],[AllowancePointCode]],ALLWCPTS[AllowancePointCode],ALLWCPTS[AvailableToAllSchools])=TRUE,0,IFERROR(IF(FIND(CONTAL[[#This Row],[SchoolCode]],_xlfn.XLOOKUP(CONTAL[[#This Row],[AllowancePointCode]],ALLWCPTS[AllowancePointCode],ALLWCPTS[SchoolCodes]))&gt;=1,0,1),1))</f>
        <v>0</v>
      </c>
      <c r="E63" s="57" cm="1">
        <f t="array" ref="E63">IF(_xlfn.XLOOKUP(CONTAL[[#This Row],[DepartmentCode]],DEPTS[DepartmentCode],DEPTS[AvailableToAllSchools],1,0,)=TRUE,0,IF(ISERROR(FIND(CONTAL[[#This Row],[SchoolCode]],_xlfn.TEXTJOIN(",",TRUE,_xlfn.UNIQUE(IF(DEPTS[DepartmentCode]=CONTAL[[#This Row],[DepartmentCode]],DEPTS[SchoolCodes],""))))),1,0))</f>
        <v>0</v>
      </c>
      <c r="F63" s="57">
        <f>IF(COUNTIF(ALLWCTYPE[AllowanceTypeCode],CONTAL[[#This Row],[AllowanceCode]])&gt;0,0,1)</f>
        <v>0</v>
      </c>
      <c r="G63" s="57">
        <f>IF(COUNTIF(ALLWCPTS[AllowancePointCode],CONTAL[[#This Row],[AllowancePointCode]])&gt;0,0,1)</f>
        <v>0</v>
      </c>
      <c r="H63" s="57">
        <f>COUNTIF(CONTAL[Person+AllowancePoint+ContractRef+SchoolCode],CONTAL[[#This Row],[Person+AllowancePoint+ContractRef+SchoolCode]])-1</f>
        <v>0</v>
      </c>
      <c r="I63" s="57">
        <f t="shared" si="3"/>
        <v>0</v>
      </c>
      <c r="J63" s="57">
        <f>IF(ISBLANK(CONTAL[[#This Row],[ContractDateTo]]),0,IF(CONTAL[[#This Row],[ContractDateFrom]]=CONTAL[[#This Row],[ContractDateTo]],0,IF(CONTAL[[#This Row],[ContractDateFrom]]&lt;CONTAL[[#This Row],[ContractDateTo]],0,1)))</f>
        <v>0</v>
      </c>
      <c r="K63" s="57">
        <f>IF(ISBLANK(CONTAL[[#This Row],[AllowanceDateTo]]),0,IF(CONTAL[[#This Row],[AllowanceDateFrom]]=CONTAL[[#This Row],[AllowanceDateTo]],0,IF(CONTAL[[#This Row],[AllowanceDateFrom]]&lt;CONTAL[[#This Row],[AllowanceDateTo]],0,1)))</f>
        <v>0</v>
      </c>
      <c r="L63" s="57" cm="1">
        <f t="array" aca="1" ref="L63" ca="1">IF(CELL("format",CONTAL[[#This Row],[ContractDateFrom]])="D1",0,1)+IF(CELL("format",CONTAL[[#This Row],[ContractDateTo]])="D1",0,1)+IF(CELL("format",CONTAL[[#This Row],[AllowanceDateFrom]])="D1",0,1)+IF(CELL("format",CONTAL[[#This Row],[AllowanceDateTo]])="D1",0,1)</f>
        <v>0</v>
      </c>
      <c r="M63" s="57">
        <f>IF(OR(CONTAL[[#This Row],[IgnoreFte]]=TRUE,CONTAL[[#This Row],[IgnoreFte]]=FALSE),0,1)</f>
        <v>0</v>
      </c>
      <c r="N63" s="57">
        <f>IF(LEN(CONTAL[[#This Row],[Notes]])&lt;4000,0,1)</f>
        <v>0</v>
      </c>
      <c r="O63" s="112">
        <f>COUNTBLANK(CONTAL[[#This Row],[AllowanceCode]:[AllowanceDateFrom]])+COUNTBLANK(CONTAL[[#This Row],[IgnoreFte]]:CONTAL[[#This Row],[IgnoreFte]])</f>
        <v>0</v>
      </c>
      <c r="P63" s="57">
        <f ca="1">SUM(CONTAL[[#This Row],[Contract Issue]:[Blank in column]])</f>
        <v>0</v>
      </c>
      <c r="R63" s="12" t="s">
        <v>2094</v>
      </c>
      <c r="S63" s="12">
        <v>91073474</v>
      </c>
      <c r="T63" s="12" t="s">
        <v>4437</v>
      </c>
      <c r="U63" s="57" t="str">
        <f>_xlfn.XLOOKUP(CONTAL[[#This Row],[StaffMemberCode]],StaffMembers!O:O,StaffMembers!R:R)</f>
        <v>Jennifer Mooney</v>
      </c>
      <c r="V63" s="12" t="s">
        <v>1178</v>
      </c>
      <c r="W63" s="12" t="s">
        <v>2499</v>
      </c>
      <c r="X63" s="21">
        <v>45901</v>
      </c>
      <c r="Z63" s="12" t="s">
        <v>1136</v>
      </c>
      <c r="AA63" s="20" t="s">
        <v>1364</v>
      </c>
      <c r="AB63" s="21">
        <v>45901</v>
      </c>
      <c r="AD63" s="157" t="b">
        <v>0</v>
      </c>
    </row>
    <row r="64" spans="1:30" x14ac:dyDescent="0.3">
      <c r="A64" s="12" t="str">
        <f t="shared" si="2"/>
        <v>ALS9107366691073666ATEASTCH45901</v>
      </c>
      <c r="B64" s="12" t="str">
        <f>CONTAL[[#This Row],[StaffMemberCode]]&amp;CONTAL[[#This Row],[AllowancePointCode]]&amp;CONTAL[[#This Row],[ContractReference]]&amp;CONTAL[[#This Row],[SchoolCode]]</f>
        <v>91073666TLR2B91073666AALS</v>
      </c>
      <c r="C64" s="57">
        <f>IF(COUNTIF(ContractsTeachFTE!A:A,ContractAllowances!A64)&gt;0,0,IF(COUNTIF(ContractsSupportHours!A:A,ContractAllowances!A64)&gt;0,0,1))</f>
        <v>0</v>
      </c>
      <c r="D64" s="57">
        <f>IF(_xlfn.XLOOKUP(CONTAL[[#This Row],[AllowancePointCode]],ALLWCPTS[AllowancePointCode],ALLWCPTS[AvailableToAllSchools])=TRUE,0,IFERROR(IF(FIND(CONTAL[[#This Row],[SchoolCode]],_xlfn.XLOOKUP(CONTAL[[#This Row],[AllowancePointCode]],ALLWCPTS[AllowancePointCode],ALLWCPTS[SchoolCodes]))&gt;=1,0,1),1))</f>
        <v>0</v>
      </c>
      <c r="E64" s="57" cm="1">
        <f t="array" ref="E64">IF(_xlfn.XLOOKUP(CONTAL[[#This Row],[DepartmentCode]],DEPTS[DepartmentCode],DEPTS[AvailableToAllSchools],1,0,)=TRUE,0,IF(ISERROR(FIND(CONTAL[[#This Row],[SchoolCode]],_xlfn.TEXTJOIN(",",TRUE,_xlfn.UNIQUE(IF(DEPTS[DepartmentCode]=CONTAL[[#This Row],[DepartmentCode]],DEPTS[SchoolCodes],""))))),1,0))</f>
        <v>0</v>
      </c>
      <c r="F64" s="57">
        <f>IF(COUNTIF(ALLWCTYPE[AllowanceTypeCode],CONTAL[[#This Row],[AllowanceCode]])&gt;0,0,1)</f>
        <v>0</v>
      </c>
      <c r="G64" s="57">
        <f>IF(COUNTIF(ALLWCPTS[AllowancePointCode],CONTAL[[#This Row],[AllowancePointCode]])&gt;0,0,1)</f>
        <v>0</v>
      </c>
      <c r="H64" s="57">
        <f>COUNTIF(CONTAL[Person+AllowancePoint+ContractRef+SchoolCode],CONTAL[[#This Row],[Person+AllowancePoint+ContractRef+SchoolCode]])-1</f>
        <v>0</v>
      </c>
      <c r="I64" s="57">
        <f t="shared" si="3"/>
        <v>0</v>
      </c>
      <c r="J64" s="57">
        <f>IF(ISBLANK(CONTAL[[#This Row],[ContractDateTo]]),0,IF(CONTAL[[#This Row],[ContractDateFrom]]=CONTAL[[#This Row],[ContractDateTo]],0,IF(CONTAL[[#This Row],[ContractDateFrom]]&lt;CONTAL[[#This Row],[ContractDateTo]],0,1)))</f>
        <v>0</v>
      </c>
      <c r="K64" s="57">
        <f>IF(ISBLANK(CONTAL[[#This Row],[AllowanceDateTo]]),0,IF(CONTAL[[#This Row],[AllowanceDateFrom]]=CONTAL[[#This Row],[AllowanceDateTo]],0,IF(CONTAL[[#This Row],[AllowanceDateFrom]]&lt;CONTAL[[#This Row],[AllowanceDateTo]],0,1)))</f>
        <v>0</v>
      </c>
      <c r="L64" s="57" cm="1">
        <f t="array" aca="1" ref="L64" ca="1">IF(CELL("format",CONTAL[[#This Row],[ContractDateFrom]])="D1",0,1)+IF(CELL("format",CONTAL[[#This Row],[ContractDateTo]])="D1",0,1)+IF(CELL("format",CONTAL[[#This Row],[AllowanceDateFrom]])="D1",0,1)+IF(CELL("format",CONTAL[[#This Row],[AllowanceDateTo]])="D1",0,1)</f>
        <v>0</v>
      </c>
      <c r="M64" s="57">
        <f>IF(OR(CONTAL[[#This Row],[IgnoreFte]]=TRUE,CONTAL[[#This Row],[IgnoreFte]]=FALSE),0,1)</f>
        <v>0</v>
      </c>
      <c r="N64" s="57">
        <f>IF(LEN(CONTAL[[#This Row],[Notes]])&lt;4000,0,1)</f>
        <v>0</v>
      </c>
      <c r="O64" s="112">
        <f>COUNTBLANK(CONTAL[[#This Row],[AllowanceCode]:[AllowanceDateFrom]])+COUNTBLANK(CONTAL[[#This Row],[IgnoreFte]]:CONTAL[[#This Row],[IgnoreFte]])</f>
        <v>0</v>
      </c>
      <c r="P64" s="57">
        <f ca="1">SUM(CONTAL[[#This Row],[Contract Issue]:[Blank in column]])</f>
        <v>0</v>
      </c>
      <c r="R64" s="12" t="s">
        <v>2082</v>
      </c>
      <c r="S64" s="12">
        <v>91073666</v>
      </c>
      <c r="T64" s="12" t="s">
        <v>4438</v>
      </c>
      <c r="U64" s="57" t="str">
        <f>_xlfn.XLOOKUP(CONTAL[[#This Row],[StaffMemberCode]],StaffMembers!O:O,StaffMembers!R:R)</f>
        <v>Kathryn Hey</v>
      </c>
      <c r="V64" s="12" t="s">
        <v>1178</v>
      </c>
      <c r="W64" s="12" t="s">
        <v>2499</v>
      </c>
      <c r="X64" s="21">
        <v>45901</v>
      </c>
      <c r="Z64" s="12" t="s">
        <v>1136</v>
      </c>
      <c r="AA64" s="20" t="s">
        <v>1364</v>
      </c>
      <c r="AB64" s="21">
        <v>45901</v>
      </c>
      <c r="AD64" s="157" t="b">
        <v>0</v>
      </c>
    </row>
    <row r="65" spans="1:30" x14ac:dyDescent="0.3">
      <c r="A65" s="12" t="str">
        <f t="shared" si="2"/>
        <v>ALS9107375191073751ATEASTCH45901</v>
      </c>
      <c r="B65" s="12" t="str">
        <f>CONTAL[[#This Row],[StaffMemberCode]]&amp;CONTAL[[#This Row],[AllowancePointCode]]&amp;CONTAL[[#This Row],[ContractReference]]&amp;CONTAL[[#This Row],[SchoolCode]]</f>
        <v>91073751TLR2B91073751AALS</v>
      </c>
      <c r="C65" s="57">
        <f>IF(COUNTIF(ContractsTeachFTE!A:A,ContractAllowances!A65)&gt;0,0,IF(COUNTIF(ContractsSupportHours!A:A,ContractAllowances!A65)&gt;0,0,1))</f>
        <v>0</v>
      </c>
      <c r="D65" s="57">
        <f>IF(_xlfn.XLOOKUP(CONTAL[[#This Row],[AllowancePointCode]],ALLWCPTS[AllowancePointCode],ALLWCPTS[AvailableToAllSchools])=TRUE,0,IFERROR(IF(FIND(CONTAL[[#This Row],[SchoolCode]],_xlfn.XLOOKUP(CONTAL[[#This Row],[AllowancePointCode]],ALLWCPTS[AllowancePointCode],ALLWCPTS[SchoolCodes]))&gt;=1,0,1),1))</f>
        <v>0</v>
      </c>
      <c r="E65" s="57" cm="1">
        <f t="array" ref="E65">IF(_xlfn.XLOOKUP(CONTAL[[#This Row],[DepartmentCode]],DEPTS[DepartmentCode],DEPTS[AvailableToAllSchools],1,0,)=TRUE,0,IF(ISERROR(FIND(CONTAL[[#This Row],[SchoolCode]],_xlfn.TEXTJOIN(",",TRUE,_xlfn.UNIQUE(IF(DEPTS[DepartmentCode]=CONTAL[[#This Row],[DepartmentCode]],DEPTS[SchoolCodes],""))))),1,0))</f>
        <v>0</v>
      </c>
      <c r="F65" s="57">
        <f>IF(COUNTIF(ALLWCTYPE[AllowanceTypeCode],CONTAL[[#This Row],[AllowanceCode]])&gt;0,0,1)</f>
        <v>0</v>
      </c>
      <c r="G65" s="57">
        <f>IF(COUNTIF(ALLWCPTS[AllowancePointCode],CONTAL[[#This Row],[AllowancePointCode]])&gt;0,0,1)</f>
        <v>0</v>
      </c>
      <c r="H65" s="57">
        <f>COUNTIF(CONTAL[Person+AllowancePoint+ContractRef+SchoolCode],CONTAL[[#This Row],[Person+AllowancePoint+ContractRef+SchoolCode]])-1</f>
        <v>0</v>
      </c>
      <c r="I65" s="57">
        <f t="shared" si="3"/>
        <v>0</v>
      </c>
      <c r="J65" s="57">
        <f>IF(ISBLANK(CONTAL[[#This Row],[ContractDateTo]]),0,IF(CONTAL[[#This Row],[ContractDateFrom]]=CONTAL[[#This Row],[ContractDateTo]],0,IF(CONTAL[[#This Row],[ContractDateFrom]]&lt;CONTAL[[#This Row],[ContractDateTo]],0,1)))</f>
        <v>0</v>
      </c>
      <c r="K65" s="57">
        <f>IF(ISBLANK(CONTAL[[#This Row],[AllowanceDateTo]]),0,IF(CONTAL[[#This Row],[AllowanceDateFrom]]=CONTAL[[#This Row],[AllowanceDateTo]],0,IF(CONTAL[[#This Row],[AllowanceDateFrom]]&lt;CONTAL[[#This Row],[AllowanceDateTo]],0,1)))</f>
        <v>0</v>
      </c>
      <c r="L65" s="57" cm="1">
        <f t="array" aca="1" ref="L65" ca="1">IF(CELL("format",CONTAL[[#This Row],[ContractDateFrom]])="D1",0,1)+IF(CELL("format",CONTAL[[#This Row],[ContractDateTo]])="D1",0,1)+IF(CELL("format",CONTAL[[#This Row],[AllowanceDateFrom]])="D1",0,1)+IF(CELL("format",CONTAL[[#This Row],[AllowanceDateTo]])="D1",0,1)</f>
        <v>0</v>
      </c>
      <c r="M65" s="57">
        <f>IF(OR(CONTAL[[#This Row],[IgnoreFte]]=TRUE,CONTAL[[#This Row],[IgnoreFte]]=FALSE),0,1)</f>
        <v>0</v>
      </c>
      <c r="N65" s="57">
        <f>IF(LEN(CONTAL[[#This Row],[Notes]])&lt;4000,0,1)</f>
        <v>0</v>
      </c>
      <c r="O65" s="112">
        <f>COUNTBLANK(CONTAL[[#This Row],[AllowanceCode]:[AllowanceDateFrom]])+COUNTBLANK(CONTAL[[#This Row],[IgnoreFte]]:CONTAL[[#This Row],[IgnoreFte]])</f>
        <v>0</v>
      </c>
      <c r="P65" s="57">
        <f ca="1">SUM(CONTAL[[#This Row],[Contract Issue]:[Blank in column]])</f>
        <v>0</v>
      </c>
      <c r="R65" s="12" t="s">
        <v>2082</v>
      </c>
      <c r="S65" s="12">
        <v>91073751</v>
      </c>
      <c r="T65" s="12" t="s">
        <v>4439</v>
      </c>
      <c r="U65" s="57" t="str">
        <f>_xlfn.XLOOKUP(CONTAL[[#This Row],[StaffMemberCode]],StaffMembers!O:O,StaffMembers!R:R)</f>
        <v>Laura Carrigg</v>
      </c>
      <c r="V65" s="12" t="s">
        <v>1178</v>
      </c>
      <c r="W65" s="12" t="s">
        <v>2499</v>
      </c>
      <c r="X65" s="21">
        <v>45901</v>
      </c>
      <c r="Z65" s="12" t="s">
        <v>1136</v>
      </c>
      <c r="AA65" s="20" t="s">
        <v>1364</v>
      </c>
      <c r="AB65" s="21">
        <v>45901</v>
      </c>
      <c r="AD65" s="157" t="b">
        <v>0</v>
      </c>
    </row>
    <row r="66" spans="1:30" x14ac:dyDescent="0.3">
      <c r="A66" s="12" t="str">
        <f t="shared" si="2"/>
        <v>ALS9107369391073693ATEASTCH45901</v>
      </c>
      <c r="B66" s="12" t="str">
        <f>CONTAL[[#This Row],[StaffMemberCode]]&amp;CONTAL[[#This Row],[AllowancePointCode]]&amp;CONTAL[[#This Row],[ContractReference]]&amp;CONTAL[[#This Row],[SchoolCode]]</f>
        <v>91073693TLR2B91073693AALS</v>
      </c>
      <c r="C66" s="57">
        <f>IF(COUNTIF(ContractsTeachFTE!A:A,ContractAllowances!A66)&gt;0,0,IF(COUNTIF(ContractsSupportHours!A:A,ContractAllowances!A66)&gt;0,0,1))</f>
        <v>0</v>
      </c>
      <c r="D66" s="57">
        <f>IF(_xlfn.XLOOKUP(CONTAL[[#This Row],[AllowancePointCode]],ALLWCPTS[AllowancePointCode],ALLWCPTS[AvailableToAllSchools])=TRUE,0,IFERROR(IF(FIND(CONTAL[[#This Row],[SchoolCode]],_xlfn.XLOOKUP(CONTAL[[#This Row],[AllowancePointCode]],ALLWCPTS[AllowancePointCode],ALLWCPTS[SchoolCodes]))&gt;=1,0,1),1))</f>
        <v>0</v>
      </c>
      <c r="E66" s="57" cm="1">
        <f t="array" ref="E66">IF(_xlfn.XLOOKUP(CONTAL[[#This Row],[DepartmentCode]],DEPTS[DepartmentCode],DEPTS[AvailableToAllSchools],1,0,)=TRUE,0,IF(ISERROR(FIND(CONTAL[[#This Row],[SchoolCode]],_xlfn.TEXTJOIN(",",TRUE,_xlfn.UNIQUE(IF(DEPTS[DepartmentCode]=CONTAL[[#This Row],[DepartmentCode]],DEPTS[SchoolCodes],""))))),1,0))</f>
        <v>0</v>
      </c>
      <c r="F66" s="57">
        <f>IF(COUNTIF(ALLWCTYPE[AllowanceTypeCode],CONTAL[[#This Row],[AllowanceCode]])&gt;0,0,1)</f>
        <v>0</v>
      </c>
      <c r="G66" s="57">
        <f>IF(COUNTIF(ALLWCPTS[AllowancePointCode],CONTAL[[#This Row],[AllowancePointCode]])&gt;0,0,1)</f>
        <v>0</v>
      </c>
      <c r="H66" s="57">
        <f>COUNTIF(CONTAL[Person+AllowancePoint+ContractRef+SchoolCode],CONTAL[[#This Row],[Person+AllowancePoint+ContractRef+SchoolCode]])-1</f>
        <v>0</v>
      </c>
      <c r="I66" s="57">
        <f t="shared" si="3"/>
        <v>0</v>
      </c>
      <c r="J66" s="57">
        <f>IF(ISBLANK(CONTAL[[#This Row],[ContractDateTo]]),0,IF(CONTAL[[#This Row],[ContractDateFrom]]=CONTAL[[#This Row],[ContractDateTo]],0,IF(CONTAL[[#This Row],[ContractDateFrom]]&lt;CONTAL[[#This Row],[ContractDateTo]],0,1)))</f>
        <v>0</v>
      </c>
      <c r="K66" s="57">
        <f>IF(ISBLANK(CONTAL[[#This Row],[AllowanceDateTo]]),0,IF(CONTAL[[#This Row],[AllowanceDateFrom]]=CONTAL[[#This Row],[AllowanceDateTo]],0,IF(CONTAL[[#This Row],[AllowanceDateFrom]]&lt;CONTAL[[#This Row],[AllowanceDateTo]],0,1)))</f>
        <v>0</v>
      </c>
      <c r="L66" s="57" cm="1">
        <f t="array" aca="1" ref="L66" ca="1">IF(CELL("format",CONTAL[[#This Row],[ContractDateFrom]])="D1",0,1)+IF(CELL("format",CONTAL[[#This Row],[ContractDateTo]])="D1",0,1)+IF(CELL("format",CONTAL[[#This Row],[AllowanceDateFrom]])="D1",0,1)+IF(CELL("format",CONTAL[[#This Row],[AllowanceDateTo]])="D1",0,1)</f>
        <v>0</v>
      </c>
      <c r="M66" s="57">
        <f>IF(OR(CONTAL[[#This Row],[IgnoreFte]]=TRUE,CONTAL[[#This Row],[IgnoreFte]]=FALSE),0,1)</f>
        <v>0</v>
      </c>
      <c r="N66" s="57">
        <f>IF(LEN(CONTAL[[#This Row],[Notes]])&lt;4000,0,1)</f>
        <v>0</v>
      </c>
      <c r="O66" s="112">
        <f>COUNTBLANK(CONTAL[[#This Row],[AllowanceCode]:[AllowanceDateFrom]])+COUNTBLANK(CONTAL[[#This Row],[IgnoreFte]]:CONTAL[[#This Row],[IgnoreFte]])</f>
        <v>0</v>
      </c>
      <c r="P66" s="57">
        <f ca="1">SUM(CONTAL[[#This Row],[Contract Issue]:[Blank in column]])</f>
        <v>0</v>
      </c>
      <c r="R66" s="12" t="s">
        <v>2082</v>
      </c>
      <c r="S66" s="12">
        <v>91073693</v>
      </c>
      <c r="T66" s="12" t="s">
        <v>4440</v>
      </c>
      <c r="U66" s="57" t="str">
        <f>_xlfn.XLOOKUP(CONTAL[[#This Row],[StaffMemberCode]],StaffMembers!O:O,StaffMembers!R:R)</f>
        <v>Lisa Donathy</v>
      </c>
      <c r="V66" s="12" t="s">
        <v>1178</v>
      </c>
      <c r="W66" s="12" t="s">
        <v>2499</v>
      </c>
      <c r="X66" s="21">
        <v>45901</v>
      </c>
      <c r="Z66" s="12" t="s">
        <v>1136</v>
      </c>
      <c r="AA66" s="20" t="s">
        <v>1364</v>
      </c>
      <c r="AB66" s="21">
        <v>45901</v>
      </c>
      <c r="AD66" s="157" t="b">
        <v>0</v>
      </c>
    </row>
    <row r="67" spans="1:30" x14ac:dyDescent="0.3">
      <c r="A67" s="12" t="str">
        <f t="shared" si="2"/>
        <v>ALS9107376391073763ATEASTCH45901</v>
      </c>
      <c r="B67" s="12" t="str">
        <f>CONTAL[[#This Row],[StaffMemberCode]]&amp;CONTAL[[#This Row],[AllowancePointCode]]&amp;CONTAL[[#This Row],[ContractReference]]&amp;CONTAL[[#This Row],[SchoolCode]]</f>
        <v>91073763TLR2B91073763AALS</v>
      </c>
      <c r="C67" s="57">
        <f>IF(COUNTIF(ContractsTeachFTE!A:A,ContractAllowances!A67)&gt;0,0,IF(COUNTIF(ContractsSupportHours!A:A,ContractAllowances!A67)&gt;0,0,1))</f>
        <v>0</v>
      </c>
      <c r="D67" s="57">
        <f>IF(_xlfn.XLOOKUP(CONTAL[[#This Row],[AllowancePointCode]],ALLWCPTS[AllowancePointCode],ALLWCPTS[AvailableToAllSchools])=TRUE,0,IFERROR(IF(FIND(CONTAL[[#This Row],[SchoolCode]],_xlfn.XLOOKUP(CONTAL[[#This Row],[AllowancePointCode]],ALLWCPTS[AllowancePointCode],ALLWCPTS[SchoolCodes]))&gt;=1,0,1),1))</f>
        <v>0</v>
      </c>
      <c r="E67" s="57" cm="1">
        <f t="array" ref="E67">IF(_xlfn.XLOOKUP(CONTAL[[#This Row],[DepartmentCode]],DEPTS[DepartmentCode],DEPTS[AvailableToAllSchools],1,0,)=TRUE,0,IF(ISERROR(FIND(CONTAL[[#This Row],[SchoolCode]],_xlfn.TEXTJOIN(",",TRUE,_xlfn.UNIQUE(IF(DEPTS[DepartmentCode]=CONTAL[[#This Row],[DepartmentCode]],DEPTS[SchoolCodes],""))))),1,0))</f>
        <v>0</v>
      </c>
      <c r="F67" s="57">
        <f>IF(COUNTIF(ALLWCTYPE[AllowanceTypeCode],CONTAL[[#This Row],[AllowanceCode]])&gt;0,0,1)</f>
        <v>0</v>
      </c>
      <c r="G67" s="57">
        <f>IF(COUNTIF(ALLWCPTS[AllowancePointCode],CONTAL[[#This Row],[AllowancePointCode]])&gt;0,0,1)</f>
        <v>0</v>
      </c>
      <c r="H67" s="57">
        <f>COUNTIF(CONTAL[Person+AllowancePoint+ContractRef+SchoolCode],CONTAL[[#This Row],[Person+AllowancePoint+ContractRef+SchoolCode]])-1</f>
        <v>0</v>
      </c>
      <c r="I67" s="57">
        <f t="shared" si="3"/>
        <v>0</v>
      </c>
      <c r="J67" s="57">
        <f>IF(ISBLANK(CONTAL[[#This Row],[ContractDateTo]]),0,IF(CONTAL[[#This Row],[ContractDateFrom]]=CONTAL[[#This Row],[ContractDateTo]],0,IF(CONTAL[[#This Row],[ContractDateFrom]]&lt;CONTAL[[#This Row],[ContractDateTo]],0,1)))</f>
        <v>0</v>
      </c>
      <c r="K67" s="57">
        <f>IF(ISBLANK(CONTAL[[#This Row],[AllowanceDateTo]]),0,IF(CONTAL[[#This Row],[AllowanceDateFrom]]=CONTAL[[#This Row],[AllowanceDateTo]],0,IF(CONTAL[[#This Row],[AllowanceDateFrom]]&lt;CONTAL[[#This Row],[AllowanceDateTo]],0,1)))</f>
        <v>0</v>
      </c>
      <c r="L67" s="57" cm="1">
        <f t="array" aca="1" ref="L67" ca="1">IF(CELL("format",CONTAL[[#This Row],[ContractDateFrom]])="D1",0,1)+IF(CELL("format",CONTAL[[#This Row],[ContractDateTo]])="D1",0,1)+IF(CELL("format",CONTAL[[#This Row],[AllowanceDateFrom]])="D1",0,1)+IF(CELL("format",CONTAL[[#This Row],[AllowanceDateTo]])="D1",0,1)</f>
        <v>0</v>
      </c>
      <c r="M67" s="57">
        <f>IF(OR(CONTAL[[#This Row],[IgnoreFte]]=TRUE,CONTAL[[#This Row],[IgnoreFte]]=FALSE),0,1)</f>
        <v>0</v>
      </c>
      <c r="N67" s="57">
        <f>IF(LEN(CONTAL[[#This Row],[Notes]])&lt;4000,0,1)</f>
        <v>0</v>
      </c>
      <c r="O67" s="112">
        <f>COUNTBLANK(CONTAL[[#This Row],[AllowanceCode]:[AllowanceDateFrom]])+COUNTBLANK(CONTAL[[#This Row],[IgnoreFte]]:CONTAL[[#This Row],[IgnoreFte]])</f>
        <v>0</v>
      </c>
      <c r="P67" s="57">
        <f ca="1">SUM(CONTAL[[#This Row],[Contract Issue]:[Blank in column]])</f>
        <v>0</v>
      </c>
      <c r="R67" s="12" t="s">
        <v>2082</v>
      </c>
      <c r="S67" s="12">
        <v>91073763</v>
      </c>
      <c r="T67" s="12" t="s">
        <v>4441</v>
      </c>
      <c r="U67" s="57" t="str">
        <f>_xlfn.XLOOKUP(CONTAL[[#This Row],[StaffMemberCode]],StaffMembers!O:O,StaffMembers!R:R)</f>
        <v>Sarah Skingle</v>
      </c>
      <c r="V67" s="12" t="s">
        <v>1178</v>
      </c>
      <c r="W67" s="12" t="s">
        <v>2499</v>
      </c>
      <c r="X67" s="21">
        <v>45901</v>
      </c>
      <c r="Z67" s="12" t="s">
        <v>1136</v>
      </c>
      <c r="AA67" s="20" t="s">
        <v>1364</v>
      </c>
      <c r="AB67" s="21">
        <v>45901</v>
      </c>
      <c r="AD67" s="157" t="b">
        <v>0</v>
      </c>
    </row>
    <row r="68" spans="1:30" x14ac:dyDescent="0.3">
      <c r="A68" s="12" t="str">
        <f t="shared" ref="A68:A73" si="4">R68&amp;S68&amp;T68&amp;V68&amp;W68&amp;X68</f>
        <v>ALS9107367291073672ATEASTCH45901</v>
      </c>
      <c r="B68" s="12" t="str">
        <f>CONTAL[[#This Row],[StaffMemberCode]]&amp;CONTAL[[#This Row],[AllowancePointCode]]&amp;CONTAL[[#This Row],[ContractReference]]&amp;CONTAL[[#This Row],[SchoolCode]]</f>
        <v>91073672TLR2B91073672AALS</v>
      </c>
      <c r="C68" s="57">
        <f>IF(COUNTIF(ContractsTeachFTE!A:A,ContractAllowances!A68)&gt;0,0,IF(COUNTIF(ContractsSupportHours!A:A,ContractAllowances!A68)&gt;0,0,1))</f>
        <v>0</v>
      </c>
      <c r="D68" s="57">
        <f>IF(_xlfn.XLOOKUP(CONTAL[[#This Row],[AllowancePointCode]],ALLWCPTS[AllowancePointCode],ALLWCPTS[AvailableToAllSchools])=TRUE,0,IFERROR(IF(FIND(CONTAL[[#This Row],[SchoolCode]],_xlfn.XLOOKUP(CONTAL[[#This Row],[AllowancePointCode]],ALLWCPTS[AllowancePointCode],ALLWCPTS[SchoolCodes]))&gt;=1,0,1),1))</f>
        <v>0</v>
      </c>
      <c r="E68" s="57" cm="1">
        <f t="array" ref="E68">IF(_xlfn.XLOOKUP(CONTAL[[#This Row],[DepartmentCode]],DEPTS[DepartmentCode],DEPTS[AvailableToAllSchools],1,0,)=TRUE,0,IF(ISERROR(FIND(CONTAL[[#This Row],[SchoolCode]],_xlfn.TEXTJOIN(",",TRUE,_xlfn.UNIQUE(IF(DEPTS[DepartmentCode]=CONTAL[[#This Row],[DepartmentCode]],DEPTS[SchoolCodes],""))))),1,0))</f>
        <v>0</v>
      </c>
      <c r="F68" s="57">
        <f>IF(COUNTIF(ALLWCTYPE[AllowanceTypeCode],CONTAL[[#This Row],[AllowanceCode]])&gt;0,0,1)</f>
        <v>0</v>
      </c>
      <c r="G68" s="57">
        <f>IF(COUNTIF(ALLWCPTS[AllowancePointCode],CONTAL[[#This Row],[AllowancePointCode]])&gt;0,0,1)</f>
        <v>0</v>
      </c>
      <c r="H68" s="57">
        <f>COUNTIF(CONTAL[Person+AllowancePoint+ContractRef+SchoolCode],CONTAL[[#This Row],[Person+AllowancePoint+ContractRef+SchoolCode]])-1</f>
        <v>0</v>
      </c>
      <c r="I68" s="57">
        <f t="shared" ref="I68:I73" si="5">IF(X68&gt;AB68,1,0)</f>
        <v>0</v>
      </c>
      <c r="J68" s="57">
        <f>IF(ISBLANK(CONTAL[[#This Row],[ContractDateTo]]),0,IF(CONTAL[[#This Row],[ContractDateFrom]]=CONTAL[[#This Row],[ContractDateTo]],0,IF(CONTAL[[#This Row],[ContractDateFrom]]&lt;CONTAL[[#This Row],[ContractDateTo]],0,1)))</f>
        <v>0</v>
      </c>
      <c r="K68" s="57">
        <f>IF(ISBLANK(CONTAL[[#This Row],[AllowanceDateTo]]),0,IF(CONTAL[[#This Row],[AllowanceDateFrom]]=CONTAL[[#This Row],[AllowanceDateTo]],0,IF(CONTAL[[#This Row],[AllowanceDateFrom]]&lt;CONTAL[[#This Row],[AllowanceDateTo]],0,1)))</f>
        <v>0</v>
      </c>
      <c r="L68" s="57" cm="1">
        <f t="array" aca="1" ref="L68" ca="1">IF(CELL("format",CONTAL[[#This Row],[ContractDateFrom]])="D1",0,1)+IF(CELL("format",CONTAL[[#This Row],[ContractDateTo]])="D1",0,1)+IF(CELL("format",CONTAL[[#This Row],[AllowanceDateFrom]])="D1",0,1)+IF(CELL("format",CONTAL[[#This Row],[AllowanceDateTo]])="D1",0,1)</f>
        <v>0</v>
      </c>
      <c r="M68" s="57">
        <f>IF(OR(CONTAL[[#This Row],[IgnoreFte]]=TRUE,CONTAL[[#This Row],[IgnoreFte]]=FALSE),0,1)</f>
        <v>0</v>
      </c>
      <c r="N68" s="57">
        <f>IF(LEN(CONTAL[[#This Row],[Notes]])&lt;4000,0,1)</f>
        <v>0</v>
      </c>
      <c r="O68" s="112">
        <f>COUNTBLANK(CONTAL[[#This Row],[AllowanceCode]:[AllowanceDateFrom]])+COUNTBLANK(CONTAL[[#This Row],[IgnoreFte]]:CONTAL[[#This Row],[IgnoreFte]])</f>
        <v>0</v>
      </c>
      <c r="P68" s="57">
        <f ca="1">SUM(CONTAL[[#This Row],[Contract Issue]:[Blank in column]])</f>
        <v>0</v>
      </c>
      <c r="R68" s="12" t="s">
        <v>2082</v>
      </c>
      <c r="S68" s="12">
        <v>91073672</v>
      </c>
      <c r="T68" s="12" t="s">
        <v>4442</v>
      </c>
      <c r="U68" s="57" t="str">
        <f>_xlfn.XLOOKUP(CONTAL[[#This Row],[StaffMemberCode]],StaffMembers!O:O,StaffMembers!R:R)</f>
        <v>Sonja Hollins-Wright</v>
      </c>
      <c r="V68" s="12" t="s">
        <v>1178</v>
      </c>
      <c r="W68" s="12" t="s">
        <v>2499</v>
      </c>
      <c r="X68" s="21">
        <v>45901</v>
      </c>
      <c r="Z68" s="12" t="s">
        <v>1136</v>
      </c>
      <c r="AA68" s="20" t="s">
        <v>1364</v>
      </c>
      <c r="AB68" s="21">
        <v>45901</v>
      </c>
      <c r="AD68" s="157" t="b">
        <v>0</v>
      </c>
    </row>
    <row r="69" spans="1:30" x14ac:dyDescent="0.3">
      <c r="A69" s="12" t="str">
        <f t="shared" si="4"/>
        <v>ALS9107368691073686ATEASTCH45901</v>
      </c>
      <c r="B69" s="12" t="str">
        <f>CONTAL[[#This Row],[StaffMemberCode]]&amp;CONTAL[[#This Row],[AllowancePointCode]]&amp;CONTAL[[#This Row],[ContractReference]]&amp;CONTAL[[#This Row],[SchoolCode]]</f>
        <v>91073686TLR2B91073686AALS</v>
      </c>
      <c r="C69" s="57">
        <f>IF(COUNTIF(ContractsTeachFTE!A:A,ContractAllowances!A69)&gt;0,0,IF(COUNTIF(ContractsSupportHours!A:A,ContractAllowances!A69)&gt;0,0,1))</f>
        <v>0</v>
      </c>
      <c r="D69" s="57">
        <f>IF(_xlfn.XLOOKUP(CONTAL[[#This Row],[AllowancePointCode]],ALLWCPTS[AllowancePointCode],ALLWCPTS[AvailableToAllSchools])=TRUE,0,IFERROR(IF(FIND(CONTAL[[#This Row],[SchoolCode]],_xlfn.XLOOKUP(CONTAL[[#This Row],[AllowancePointCode]],ALLWCPTS[AllowancePointCode],ALLWCPTS[SchoolCodes]))&gt;=1,0,1),1))</f>
        <v>0</v>
      </c>
      <c r="E69" s="57" cm="1">
        <f t="array" ref="E69">IF(_xlfn.XLOOKUP(CONTAL[[#This Row],[DepartmentCode]],DEPTS[DepartmentCode],DEPTS[AvailableToAllSchools],1,0,)=TRUE,0,IF(ISERROR(FIND(CONTAL[[#This Row],[SchoolCode]],_xlfn.TEXTJOIN(",",TRUE,_xlfn.UNIQUE(IF(DEPTS[DepartmentCode]=CONTAL[[#This Row],[DepartmentCode]],DEPTS[SchoolCodes],""))))),1,0))</f>
        <v>0</v>
      </c>
      <c r="F69" s="57">
        <f>IF(COUNTIF(ALLWCTYPE[AllowanceTypeCode],CONTAL[[#This Row],[AllowanceCode]])&gt;0,0,1)</f>
        <v>0</v>
      </c>
      <c r="G69" s="57">
        <f>IF(COUNTIF(ALLWCPTS[AllowancePointCode],CONTAL[[#This Row],[AllowancePointCode]])&gt;0,0,1)</f>
        <v>0</v>
      </c>
      <c r="H69" s="57">
        <f>COUNTIF(CONTAL[Person+AllowancePoint+ContractRef+SchoolCode],CONTAL[[#This Row],[Person+AllowancePoint+ContractRef+SchoolCode]])-1</f>
        <v>0</v>
      </c>
      <c r="I69" s="57">
        <f t="shared" si="5"/>
        <v>0</v>
      </c>
      <c r="J69" s="57">
        <f>IF(ISBLANK(CONTAL[[#This Row],[ContractDateTo]]),0,IF(CONTAL[[#This Row],[ContractDateFrom]]=CONTAL[[#This Row],[ContractDateTo]],0,IF(CONTAL[[#This Row],[ContractDateFrom]]&lt;CONTAL[[#This Row],[ContractDateTo]],0,1)))</f>
        <v>0</v>
      </c>
      <c r="K69" s="57">
        <f>IF(ISBLANK(CONTAL[[#This Row],[AllowanceDateTo]]),0,IF(CONTAL[[#This Row],[AllowanceDateFrom]]=CONTAL[[#This Row],[AllowanceDateTo]],0,IF(CONTAL[[#This Row],[AllowanceDateFrom]]&lt;CONTAL[[#This Row],[AllowanceDateTo]],0,1)))</f>
        <v>0</v>
      </c>
      <c r="L69" s="57" cm="1">
        <f t="array" aca="1" ref="L69" ca="1">IF(CELL("format",CONTAL[[#This Row],[ContractDateFrom]])="D1",0,1)+IF(CELL("format",CONTAL[[#This Row],[ContractDateTo]])="D1",0,1)+IF(CELL("format",CONTAL[[#This Row],[AllowanceDateFrom]])="D1",0,1)+IF(CELL("format",CONTAL[[#This Row],[AllowanceDateTo]])="D1",0,1)</f>
        <v>0</v>
      </c>
      <c r="M69" s="57">
        <f>IF(OR(CONTAL[[#This Row],[IgnoreFte]]=TRUE,CONTAL[[#This Row],[IgnoreFte]]=FALSE),0,1)</f>
        <v>0</v>
      </c>
      <c r="N69" s="57">
        <f>IF(LEN(CONTAL[[#This Row],[Notes]])&lt;4000,0,1)</f>
        <v>0</v>
      </c>
      <c r="O69" s="112">
        <f>COUNTBLANK(CONTAL[[#This Row],[AllowanceCode]:[AllowanceDateFrom]])+COUNTBLANK(CONTAL[[#This Row],[IgnoreFte]]:CONTAL[[#This Row],[IgnoreFte]])</f>
        <v>0</v>
      </c>
      <c r="P69" s="57">
        <f ca="1">SUM(CONTAL[[#This Row],[Contract Issue]:[Blank in column]])</f>
        <v>0</v>
      </c>
      <c r="R69" s="12" t="s">
        <v>2082</v>
      </c>
      <c r="S69" s="12">
        <v>91073686</v>
      </c>
      <c r="T69" s="12" t="s">
        <v>4443</v>
      </c>
      <c r="U69" s="57" t="str">
        <f>_xlfn.XLOOKUP(CONTAL[[#This Row],[StaffMemberCode]],StaffMembers!O:O,StaffMembers!R:R)</f>
        <v>Toni Brookshaw</v>
      </c>
      <c r="V69" s="12" t="s">
        <v>1178</v>
      </c>
      <c r="W69" s="12" t="s">
        <v>2499</v>
      </c>
      <c r="X69" s="21">
        <v>45901</v>
      </c>
      <c r="Z69" s="12" t="s">
        <v>1136</v>
      </c>
      <c r="AA69" s="20" t="s">
        <v>1364</v>
      </c>
      <c r="AB69" s="21">
        <v>45901</v>
      </c>
      <c r="AD69" s="157" t="b">
        <v>0</v>
      </c>
    </row>
    <row r="70" spans="1:30" x14ac:dyDescent="0.3">
      <c r="A70" s="12" t="str">
        <f t="shared" si="4"/>
        <v>ALS9107375891073758ATEASTCH45901</v>
      </c>
      <c r="B70" s="12" t="str">
        <f>CONTAL[[#This Row],[StaffMemberCode]]&amp;CONTAL[[#This Row],[AllowancePointCode]]&amp;CONTAL[[#This Row],[ContractReference]]&amp;CONTAL[[#This Row],[SchoolCode]]</f>
        <v>91073758TLR2B91073758AALS</v>
      </c>
      <c r="C70" s="57">
        <f>IF(COUNTIF(ContractsTeachFTE!A:A,ContractAllowances!A70)&gt;0,0,IF(COUNTIF(ContractsSupportHours!A:A,ContractAllowances!A70)&gt;0,0,1))</f>
        <v>0</v>
      </c>
      <c r="D70" s="57">
        <f>IF(_xlfn.XLOOKUP(CONTAL[[#This Row],[AllowancePointCode]],ALLWCPTS[AllowancePointCode],ALLWCPTS[AvailableToAllSchools])=TRUE,0,IFERROR(IF(FIND(CONTAL[[#This Row],[SchoolCode]],_xlfn.XLOOKUP(CONTAL[[#This Row],[AllowancePointCode]],ALLWCPTS[AllowancePointCode],ALLWCPTS[SchoolCodes]))&gt;=1,0,1),1))</f>
        <v>0</v>
      </c>
      <c r="E70" s="57" cm="1">
        <f t="array" ref="E70">IF(_xlfn.XLOOKUP(CONTAL[[#This Row],[DepartmentCode]],DEPTS[DepartmentCode],DEPTS[AvailableToAllSchools],1,0,)=TRUE,0,IF(ISERROR(FIND(CONTAL[[#This Row],[SchoolCode]],_xlfn.TEXTJOIN(",",TRUE,_xlfn.UNIQUE(IF(DEPTS[DepartmentCode]=CONTAL[[#This Row],[DepartmentCode]],DEPTS[SchoolCodes],""))))),1,0))</f>
        <v>0</v>
      </c>
      <c r="F70" s="57">
        <f>IF(COUNTIF(ALLWCTYPE[AllowanceTypeCode],CONTAL[[#This Row],[AllowanceCode]])&gt;0,0,1)</f>
        <v>0</v>
      </c>
      <c r="G70" s="57">
        <f>IF(COUNTIF(ALLWCPTS[AllowancePointCode],CONTAL[[#This Row],[AllowancePointCode]])&gt;0,0,1)</f>
        <v>0</v>
      </c>
      <c r="H70" s="57">
        <f>COUNTIF(CONTAL[Person+AllowancePoint+ContractRef+SchoolCode],CONTAL[[#This Row],[Person+AllowancePoint+ContractRef+SchoolCode]])-1</f>
        <v>0</v>
      </c>
      <c r="I70" s="57">
        <f t="shared" si="5"/>
        <v>0</v>
      </c>
      <c r="J70" s="57">
        <f>IF(ISBLANK(CONTAL[[#This Row],[ContractDateTo]]),0,IF(CONTAL[[#This Row],[ContractDateFrom]]=CONTAL[[#This Row],[ContractDateTo]],0,IF(CONTAL[[#This Row],[ContractDateFrom]]&lt;CONTAL[[#This Row],[ContractDateTo]],0,1)))</f>
        <v>0</v>
      </c>
      <c r="K70" s="57">
        <f>IF(ISBLANK(CONTAL[[#This Row],[AllowanceDateTo]]),0,IF(CONTAL[[#This Row],[AllowanceDateFrom]]=CONTAL[[#This Row],[AllowanceDateTo]],0,IF(CONTAL[[#This Row],[AllowanceDateFrom]]&lt;CONTAL[[#This Row],[AllowanceDateTo]],0,1)))</f>
        <v>0</v>
      </c>
      <c r="L70" s="57" cm="1">
        <f t="array" aca="1" ref="L70" ca="1">IF(CELL("format",CONTAL[[#This Row],[ContractDateFrom]])="D1",0,1)+IF(CELL("format",CONTAL[[#This Row],[ContractDateTo]])="D1",0,1)+IF(CELL("format",CONTAL[[#This Row],[AllowanceDateFrom]])="D1",0,1)+IF(CELL("format",CONTAL[[#This Row],[AllowanceDateTo]])="D1",0,1)</f>
        <v>0</v>
      </c>
      <c r="M70" s="57">
        <f>IF(OR(CONTAL[[#This Row],[IgnoreFte]]=TRUE,CONTAL[[#This Row],[IgnoreFte]]=FALSE),0,1)</f>
        <v>0</v>
      </c>
      <c r="N70" s="57">
        <f>IF(LEN(CONTAL[[#This Row],[Notes]])&lt;4000,0,1)</f>
        <v>0</v>
      </c>
      <c r="O70" s="112">
        <f>COUNTBLANK(CONTAL[[#This Row],[AllowanceCode]:[AllowanceDateFrom]])+COUNTBLANK(CONTAL[[#This Row],[IgnoreFte]]:CONTAL[[#This Row],[IgnoreFte]])</f>
        <v>0</v>
      </c>
      <c r="P70" s="57">
        <f ca="1">SUM(CONTAL[[#This Row],[Contract Issue]:[Blank in column]])</f>
        <v>0</v>
      </c>
      <c r="R70" s="12" t="s">
        <v>2082</v>
      </c>
      <c r="S70" s="12">
        <v>91073758</v>
      </c>
      <c r="T70" s="12" t="s">
        <v>4444</v>
      </c>
      <c r="U70" s="57" t="str">
        <f>_xlfn.XLOOKUP(CONTAL[[#This Row],[StaffMemberCode]],StaffMembers!O:O,StaffMembers!R:R)</f>
        <v>William Potts</v>
      </c>
      <c r="V70" s="12" t="s">
        <v>1178</v>
      </c>
      <c r="W70" s="12" t="s">
        <v>2499</v>
      </c>
      <c r="X70" s="21">
        <v>45901</v>
      </c>
      <c r="Z70" s="12" t="s">
        <v>1136</v>
      </c>
      <c r="AA70" s="20" t="s">
        <v>1364</v>
      </c>
      <c r="AB70" s="21">
        <v>45901</v>
      </c>
      <c r="AD70" s="157" t="b">
        <v>0</v>
      </c>
    </row>
    <row r="71" spans="1:30" x14ac:dyDescent="0.3">
      <c r="A71" s="12" t="str">
        <f t="shared" si="4"/>
        <v>ALS9132460991324609AAHT_MAINSTCH45901</v>
      </c>
      <c r="B71" s="12" t="str">
        <f>CONTAL[[#This Row],[StaffMemberCode]]&amp;CONTAL[[#This Row],[AllowancePointCode]]&amp;CONTAL[[#This Row],[ContractReference]]&amp;CONTAL[[#This Row],[SchoolCode]]</f>
        <v>91324609TLR391324609AALS</v>
      </c>
      <c r="C71" s="57">
        <f>IF(COUNTIF(ContractsTeachFTE!A:A,ContractAllowances!A71)&gt;0,0,IF(COUNTIF(ContractsSupportHours!A:A,ContractAllowances!A71)&gt;0,0,1))</f>
        <v>0</v>
      </c>
      <c r="D71" s="57">
        <f>IF(_xlfn.XLOOKUP(CONTAL[[#This Row],[AllowancePointCode]],ALLWCPTS[AllowancePointCode],ALLWCPTS[AvailableToAllSchools])=TRUE,0,IFERROR(IF(FIND(CONTAL[[#This Row],[SchoolCode]],_xlfn.XLOOKUP(CONTAL[[#This Row],[AllowancePointCode]],ALLWCPTS[AllowancePointCode],ALLWCPTS[SchoolCodes]))&gt;=1,0,1),1))</f>
        <v>0</v>
      </c>
      <c r="E71" s="57" cm="1">
        <f t="array" ref="E71">IF(_xlfn.XLOOKUP(CONTAL[[#This Row],[DepartmentCode]],DEPTS[DepartmentCode],DEPTS[AvailableToAllSchools],1,0,)=TRUE,0,IF(ISERROR(FIND(CONTAL[[#This Row],[SchoolCode]],_xlfn.TEXTJOIN(",",TRUE,_xlfn.UNIQUE(IF(DEPTS[DepartmentCode]=CONTAL[[#This Row],[DepartmentCode]],DEPTS[SchoolCodes],""))))),1,0))</f>
        <v>0</v>
      </c>
      <c r="F71" s="57">
        <f>IF(COUNTIF(ALLWCTYPE[AllowanceTypeCode],CONTAL[[#This Row],[AllowanceCode]])&gt;0,0,1)</f>
        <v>0</v>
      </c>
      <c r="G71" s="57">
        <f>IF(COUNTIF(ALLWCPTS[AllowancePointCode],CONTAL[[#This Row],[AllowancePointCode]])&gt;0,0,1)</f>
        <v>0</v>
      </c>
      <c r="H71" s="57">
        <f>COUNTIF(CONTAL[Person+AllowancePoint+ContractRef+SchoolCode],CONTAL[[#This Row],[Person+AllowancePoint+ContractRef+SchoolCode]])-1</f>
        <v>0</v>
      </c>
      <c r="I71" s="57">
        <f t="shared" si="5"/>
        <v>0</v>
      </c>
      <c r="J71" s="57">
        <f>IF(ISBLANK(CONTAL[[#This Row],[ContractDateTo]]),0,IF(CONTAL[[#This Row],[ContractDateFrom]]=CONTAL[[#This Row],[ContractDateTo]],0,IF(CONTAL[[#This Row],[ContractDateFrom]]&lt;CONTAL[[#This Row],[ContractDateTo]],0,1)))</f>
        <v>0</v>
      </c>
      <c r="K71" s="57">
        <f>IF(ISBLANK(CONTAL[[#This Row],[AllowanceDateTo]]),0,IF(CONTAL[[#This Row],[AllowanceDateFrom]]=CONTAL[[#This Row],[AllowanceDateTo]],0,IF(CONTAL[[#This Row],[AllowanceDateFrom]]&lt;CONTAL[[#This Row],[AllowanceDateTo]],0,1)))</f>
        <v>0</v>
      </c>
      <c r="L71" s="57" cm="1">
        <f t="array" aca="1" ref="L71" ca="1">IF(CELL("format",CONTAL[[#This Row],[ContractDateFrom]])="D1",0,1)+IF(CELL("format",CONTAL[[#This Row],[ContractDateTo]])="D1",0,1)+IF(CELL("format",CONTAL[[#This Row],[AllowanceDateFrom]])="D1",0,1)+IF(CELL("format",CONTAL[[#This Row],[AllowanceDateTo]])="D1",0,1)</f>
        <v>0</v>
      </c>
      <c r="M71" s="57">
        <f>IF(OR(CONTAL[[#This Row],[IgnoreFte]]=TRUE,CONTAL[[#This Row],[IgnoreFte]]=FALSE),0,1)</f>
        <v>0</v>
      </c>
      <c r="N71" s="57">
        <f>IF(LEN(CONTAL[[#This Row],[Notes]])&lt;4000,0,1)</f>
        <v>0</v>
      </c>
      <c r="O71" s="112">
        <f>COUNTBLANK(CONTAL[[#This Row],[AllowanceCode]:[AllowanceDateFrom]])+COUNTBLANK(CONTAL[[#This Row],[IgnoreFte]]:CONTAL[[#This Row],[IgnoreFte]])</f>
        <v>0</v>
      </c>
      <c r="P71" s="57">
        <f ca="1">SUM(CONTAL[[#This Row],[Contract Issue]:[Blank in column]])</f>
        <v>0</v>
      </c>
      <c r="R71" s="12" t="s">
        <v>2082</v>
      </c>
      <c r="S71" s="12">
        <v>91324609</v>
      </c>
      <c r="T71" s="12" t="s">
        <v>4445</v>
      </c>
      <c r="U71" s="57" t="str">
        <f>_xlfn.XLOOKUP(CONTAL[[#This Row],[StaffMemberCode]],StaffMembers!O:O,StaffMembers!R:R)</f>
        <v>Margaret Woods</v>
      </c>
      <c r="V71" s="12" t="s">
        <v>4167</v>
      </c>
      <c r="W71" s="12" t="s">
        <v>2499</v>
      </c>
      <c r="X71" s="21">
        <v>45901</v>
      </c>
      <c r="Z71" s="12" t="s">
        <v>1136</v>
      </c>
      <c r="AA71" s="20" t="s">
        <v>3080</v>
      </c>
      <c r="AB71" s="21">
        <v>45901</v>
      </c>
      <c r="AD71" s="157" t="b">
        <v>0</v>
      </c>
    </row>
    <row r="72" spans="1:30" x14ac:dyDescent="0.3">
      <c r="A72" s="12" t="str">
        <f t="shared" si="4"/>
        <v>ALS9107377391073773ATEASTCH45901</v>
      </c>
      <c r="B72" s="12" t="str">
        <f>CONTAL[[#This Row],[StaffMemberCode]]&amp;CONTAL[[#This Row],[AllowancePointCode]]&amp;CONTAL[[#This Row],[ContractReference]]&amp;CONTAL[[#This Row],[SchoolCode]]</f>
        <v>91073773TLR391073773AALS</v>
      </c>
      <c r="C72" s="57">
        <f>IF(COUNTIF(ContractsTeachFTE!A:A,ContractAllowances!A72)&gt;0,0,IF(COUNTIF(ContractsSupportHours!A:A,ContractAllowances!A72)&gt;0,0,1))</f>
        <v>0</v>
      </c>
      <c r="D72" s="57">
        <f>IF(_xlfn.XLOOKUP(CONTAL[[#This Row],[AllowancePointCode]],ALLWCPTS[AllowancePointCode],ALLWCPTS[AvailableToAllSchools])=TRUE,0,IFERROR(IF(FIND(CONTAL[[#This Row],[SchoolCode]],_xlfn.XLOOKUP(CONTAL[[#This Row],[AllowancePointCode]],ALLWCPTS[AllowancePointCode],ALLWCPTS[SchoolCodes]))&gt;=1,0,1),1))</f>
        <v>0</v>
      </c>
      <c r="E72" s="57" cm="1">
        <f t="array" ref="E72">IF(_xlfn.XLOOKUP(CONTAL[[#This Row],[DepartmentCode]],DEPTS[DepartmentCode],DEPTS[AvailableToAllSchools],1,0,)=TRUE,0,IF(ISERROR(FIND(CONTAL[[#This Row],[SchoolCode]],_xlfn.TEXTJOIN(",",TRUE,_xlfn.UNIQUE(IF(DEPTS[DepartmentCode]=CONTAL[[#This Row],[DepartmentCode]],DEPTS[SchoolCodes],""))))),1,0))</f>
        <v>0</v>
      </c>
      <c r="F72" s="57">
        <f>IF(COUNTIF(ALLWCTYPE[AllowanceTypeCode],CONTAL[[#This Row],[AllowanceCode]])&gt;0,0,1)</f>
        <v>0</v>
      </c>
      <c r="G72" s="57">
        <f>IF(COUNTIF(ALLWCPTS[AllowancePointCode],CONTAL[[#This Row],[AllowancePointCode]])&gt;0,0,1)</f>
        <v>0</v>
      </c>
      <c r="H72" s="57">
        <f>COUNTIF(CONTAL[Person+AllowancePoint+ContractRef+SchoolCode],CONTAL[[#This Row],[Person+AllowancePoint+ContractRef+SchoolCode]])-1</f>
        <v>0</v>
      </c>
      <c r="I72" s="57">
        <f t="shared" si="5"/>
        <v>0</v>
      </c>
      <c r="J72" s="57">
        <f>IF(ISBLANK(CONTAL[[#This Row],[ContractDateTo]]),0,IF(CONTAL[[#This Row],[ContractDateFrom]]=CONTAL[[#This Row],[ContractDateTo]],0,IF(CONTAL[[#This Row],[ContractDateFrom]]&lt;CONTAL[[#This Row],[ContractDateTo]],0,1)))</f>
        <v>0</v>
      </c>
      <c r="K72" s="57">
        <f>IF(ISBLANK(CONTAL[[#This Row],[AllowanceDateTo]]),0,IF(CONTAL[[#This Row],[AllowanceDateFrom]]=CONTAL[[#This Row],[AllowanceDateTo]],0,IF(CONTAL[[#This Row],[AllowanceDateFrom]]&lt;CONTAL[[#This Row],[AllowanceDateTo]],0,1)))</f>
        <v>0</v>
      </c>
      <c r="L72" s="57" cm="1">
        <f t="array" aca="1" ref="L72" ca="1">IF(CELL("format",CONTAL[[#This Row],[ContractDateFrom]])="D1",0,1)+IF(CELL("format",CONTAL[[#This Row],[ContractDateTo]])="D1",0,1)+IF(CELL("format",CONTAL[[#This Row],[AllowanceDateFrom]])="D1",0,1)+IF(CELL("format",CONTAL[[#This Row],[AllowanceDateTo]])="D1",0,1)</f>
        <v>0</v>
      </c>
      <c r="M72" s="57">
        <f>IF(OR(CONTAL[[#This Row],[IgnoreFte]]=TRUE,CONTAL[[#This Row],[IgnoreFte]]=FALSE),0,1)</f>
        <v>0</v>
      </c>
      <c r="N72" s="57">
        <f>IF(LEN(CONTAL[[#This Row],[Notes]])&lt;4000,0,1)</f>
        <v>0</v>
      </c>
      <c r="O72" s="112">
        <f>COUNTBLANK(CONTAL[[#This Row],[AllowanceCode]:[AllowanceDateFrom]])+COUNTBLANK(CONTAL[[#This Row],[IgnoreFte]]:CONTAL[[#This Row],[IgnoreFte]])</f>
        <v>0</v>
      </c>
      <c r="P72" s="57">
        <f ca="1">SUM(CONTAL[[#This Row],[Contract Issue]:[Blank in column]])</f>
        <v>0</v>
      </c>
      <c r="R72" s="12" t="s">
        <v>2082</v>
      </c>
      <c r="S72" s="12">
        <v>91073773</v>
      </c>
      <c r="T72" s="12" t="s">
        <v>4446</v>
      </c>
      <c r="U72" s="57" t="str">
        <f>_xlfn.XLOOKUP(CONTAL[[#This Row],[StaffMemberCode]],StaffMembers!O:O,StaffMembers!R:R)</f>
        <v>Katherine Meacock</v>
      </c>
      <c r="V72" s="12" t="s">
        <v>1178</v>
      </c>
      <c r="W72" s="12" t="s">
        <v>2499</v>
      </c>
      <c r="X72" s="21">
        <v>45901</v>
      </c>
      <c r="Z72" s="12" t="s">
        <v>1136</v>
      </c>
      <c r="AA72" s="20" t="s">
        <v>3080</v>
      </c>
      <c r="AB72" s="21">
        <v>45901</v>
      </c>
      <c r="AD72" s="157" t="b">
        <v>0</v>
      </c>
    </row>
    <row r="73" spans="1:30" x14ac:dyDescent="0.3">
      <c r="A73" s="12" t="str">
        <f t="shared" si="4"/>
        <v>ALS9107368391073683ATEASTCH45901</v>
      </c>
      <c r="B73" s="12" t="str">
        <f>CONTAL[[#This Row],[StaffMemberCode]]&amp;CONTAL[[#This Row],[AllowancePointCode]]&amp;CONTAL[[#This Row],[ContractReference]]&amp;CONTAL[[#This Row],[SchoolCode]]</f>
        <v>91073683TLR3D91073683AALS</v>
      </c>
      <c r="C73" s="57">
        <f>IF(COUNTIF(ContractsTeachFTE!A:A,ContractAllowances!A73)&gt;0,0,IF(COUNTIF(ContractsSupportHours!A:A,ContractAllowances!A73)&gt;0,0,1))</f>
        <v>0</v>
      </c>
      <c r="D73" s="57">
        <f>IF(_xlfn.XLOOKUP(CONTAL[[#This Row],[AllowancePointCode]],ALLWCPTS[AllowancePointCode],ALLWCPTS[AvailableToAllSchools])=TRUE,0,IFERROR(IF(FIND(CONTAL[[#This Row],[SchoolCode]],_xlfn.XLOOKUP(CONTAL[[#This Row],[AllowancePointCode]],ALLWCPTS[AllowancePointCode],ALLWCPTS[SchoolCodes]))&gt;=1,0,1),1))</f>
        <v>0</v>
      </c>
      <c r="E73" s="57" cm="1">
        <f t="array" ref="E73">IF(_xlfn.XLOOKUP(CONTAL[[#This Row],[DepartmentCode]],DEPTS[DepartmentCode],DEPTS[AvailableToAllSchools],1,0,)=TRUE,0,IF(ISERROR(FIND(CONTAL[[#This Row],[SchoolCode]],_xlfn.TEXTJOIN(",",TRUE,_xlfn.UNIQUE(IF(DEPTS[DepartmentCode]=CONTAL[[#This Row],[DepartmentCode]],DEPTS[SchoolCodes],""))))),1,0))</f>
        <v>0</v>
      </c>
      <c r="F73" s="57">
        <f>IF(COUNTIF(ALLWCTYPE[AllowanceTypeCode],CONTAL[[#This Row],[AllowanceCode]])&gt;0,0,1)</f>
        <v>0</v>
      </c>
      <c r="G73" s="57">
        <f>IF(COUNTIF(ALLWCPTS[AllowancePointCode],CONTAL[[#This Row],[AllowancePointCode]])&gt;0,0,1)</f>
        <v>0</v>
      </c>
      <c r="H73" s="57">
        <f>COUNTIF(CONTAL[Person+AllowancePoint+ContractRef+SchoolCode],CONTAL[[#This Row],[Person+AllowancePoint+ContractRef+SchoolCode]])-1</f>
        <v>0</v>
      </c>
      <c r="I73" s="57">
        <f t="shared" si="5"/>
        <v>0</v>
      </c>
      <c r="J73" s="57">
        <f>IF(ISBLANK(CONTAL[[#This Row],[ContractDateTo]]),0,IF(CONTAL[[#This Row],[ContractDateFrom]]=CONTAL[[#This Row],[ContractDateTo]],0,IF(CONTAL[[#This Row],[ContractDateFrom]]&lt;CONTAL[[#This Row],[ContractDateTo]],0,1)))</f>
        <v>0</v>
      </c>
      <c r="K73" s="57">
        <f>IF(ISBLANK(CONTAL[[#This Row],[AllowanceDateTo]]),0,IF(CONTAL[[#This Row],[AllowanceDateFrom]]=CONTAL[[#This Row],[AllowanceDateTo]],0,IF(CONTAL[[#This Row],[AllowanceDateFrom]]&lt;CONTAL[[#This Row],[AllowanceDateTo]],0,1)))</f>
        <v>0</v>
      </c>
      <c r="L73" s="57" cm="1">
        <f t="array" aca="1" ref="L73" ca="1">IF(CELL("format",CONTAL[[#This Row],[ContractDateFrom]])="D1",0,1)+IF(CELL("format",CONTAL[[#This Row],[ContractDateTo]])="D1",0,1)+IF(CELL("format",CONTAL[[#This Row],[AllowanceDateFrom]])="D1",0,1)+IF(CELL("format",CONTAL[[#This Row],[AllowanceDateTo]])="D1",0,1)</f>
        <v>0</v>
      </c>
      <c r="M73" s="57">
        <f>IF(OR(CONTAL[[#This Row],[IgnoreFte]]=TRUE,CONTAL[[#This Row],[IgnoreFte]]=FALSE),0,1)</f>
        <v>0</v>
      </c>
      <c r="N73" s="57">
        <f>IF(LEN(CONTAL[[#This Row],[Notes]])&lt;4000,0,1)</f>
        <v>0</v>
      </c>
      <c r="O73" s="112">
        <f>COUNTBLANK(CONTAL[[#This Row],[AllowanceCode]:[AllowanceDateFrom]])+COUNTBLANK(CONTAL[[#This Row],[IgnoreFte]]:CONTAL[[#This Row],[IgnoreFte]])</f>
        <v>0</v>
      </c>
      <c r="P73" s="57">
        <f ca="1">SUM(CONTAL[[#This Row],[Contract Issue]:[Blank in column]])</f>
        <v>0</v>
      </c>
      <c r="R73" s="12" t="s">
        <v>2082</v>
      </c>
      <c r="S73" s="12">
        <v>91073683</v>
      </c>
      <c r="T73" s="12" t="s">
        <v>4447</v>
      </c>
      <c r="U73" s="57" t="str">
        <f>_xlfn.XLOOKUP(CONTAL[[#This Row],[StaffMemberCode]],StaffMembers!O:O,StaffMembers!R:R)</f>
        <v>Laura Carney-Cox</v>
      </c>
      <c r="V73" s="12" t="s">
        <v>1178</v>
      </c>
      <c r="W73" s="12" t="s">
        <v>2499</v>
      </c>
      <c r="X73" s="21">
        <v>45901</v>
      </c>
      <c r="Z73" s="12" t="s">
        <v>1136</v>
      </c>
      <c r="AA73" s="20" t="s">
        <v>3079</v>
      </c>
      <c r="AB73" s="21">
        <v>45901</v>
      </c>
      <c r="AD73" s="157" t="b">
        <v>0</v>
      </c>
    </row>
    <row r="74" spans="1:30" x14ac:dyDescent="0.3">
      <c r="A74" s="12" t="str">
        <f t="shared" ref="A74:A101" si="6">R74&amp;S74&amp;T74&amp;V74&amp;W74&amp;X74</f>
        <v>MLB10005317112919SIMS_OFFSFIN46023</v>
      </c>
      <c r="B74" s="12" t="str">
        <f>CONTAL[[#This Row],[StaffMemberCode]]&amp;CONTAL[[#This Row],[AllowancePointCode]]&amp;CONTAL[[#This Row],[ContractReference]]&amp;CONTAL[[#This Row],[SchoolCode]]</f>
        <v>10005317TLR2A112919MLB</v>
      </c>
      <c r="C74" s="57">
        <f>IF(COUNTIF(ContractsTeachFTE!A:A,ContractAllowances!A74)&gt;0,0,IF(COUNTIF(ContractsSupportHours!A:A,ContractAllowances!A74)&gt;0,0,1))</f>
        <v>0</v>
      </c>
      <c r="D74" s="57">
        <f>IF(_xlfn.XLOOKUP(CONTAL[[#This Row],[AllowancePointCode]],ALLWCPTS[AllowancePointCode],ALLWCPTS[AvailableToAllSchools])=TRUE,0,IFERROR(IF(FIND(CONTAL[[#This Row],[SchoolCode]],_xlfn.XLOOKUP(CONTAL[[#This Row],[AllowancePointCode]],ALLWCPTS[AllowancePointCode],ALLWCPTS[SchoolCodes]))&gt;=1,0,1),1))</f>
        <v>0</v>
      </c>
      <c r="E74" s="57" cm="1">
        <f t="array" ref="E74">IF(_xlfn.XLOOKUP(CONTAL[[#This Row],[DepartmentCode]],DEPTS[DepartmentCode],DEPTS[AvailableToAllSchools],1,0,)=TRUE,0,IF(ISERROR(FIND(CONTAL[[#This Row],[SchoolCode]],_xlfn.TEXTJOIN(",",TRUE,_xlfn.UNIQUE(IF(DEPTS[DepartmentCode]=CONTAL[[#This Row],[DepartmentCode]],DEPTS[SchoolCodes],""))))),1,0))</f>
        <v>0</v>
      </c>
      <c r="F74" s="57">
        <f>IF(COUNTIF(ALLWCTYPE[AllowanceTypeCode],CONTAL[[#This Row],[AllowanceCode]])&gt;0,0,1)</f>
        <v>0</v>
      </c>
      <c r="G74" s="57">
        <f>IF(COUNTIF(ALLWCPTS[AllowancePointCode],CONTAL[[#This Row],[AllowancePointCode]])&gt;0,0,1)</f>
        <v>0</v>
      </c>
      <c r="H74" s="57">
        <f>COUNTIF(CONTAL[Person+AllowancePoint+ContractRef+SchoolCode],CONTAL[[#This Row],[Person+AllowancePoint+ContractRef+SchoolCode]])-1</f>
        <v>0</v>
      </c>
      <c r="I74" s="57">
        <f t="shared" ref="I74:I101" si="7">IF(X74&gt;AB74,1,0)</f>
        <v>0</v>
      </c>
      <c r="J74" s="57">
        <f>IF(ISBLANK(CONTAL[[#This Row],[ContractDateTo]]),0,IF(CONTAL[[#This Row],[ContractDateFrom]]=CONTAL[[#This Row],[ContractDateTo]],0,IF(CONTAL[[#This Row],[ContractDateFrom]]&lt;CONTAL[[#This Row],[ContractDateTo]],0,1)))</f>
        <v>0</v>
      </c>
      <c r="K74" s="57">
        <f>IF(ISBLANK(CONTAL[[#This Row],[AllowanceDateTo]]),0,IF(CONTAL[[#This Row],[AllowanceDateFrom]]=CONTAL[[#This Row],[AllowanceDateTo]],0,IF(CONTAL[[#This Row],[AllowanceDateFrom]]&lt;CONTAL[[#This Row],[AllowanceDateTo]],0,1)))</f>
        <v>0</v>
      </c>
      <c r="L74" s="57" cm="1">
        <f t="array" aca="1" ref="L74" ca="1">IF(CELL("format",CONTAL[[#This Row],[ContractDateFrom]])="D1",0,1)+IF(CELL("format",CONTAL[[#This Row],[ContractDateTo]])="D1",0,1)+IF(CELL("format",CONTAL[[#This Row],[AllowanceDateFrom]])="D1",0,1)+IF(CELL("format",CONTAL[[#This Row],[AllowanceDateTo]])="D1",0,1)</f>
        <v>0</v>
      </c>
      <c r="M74" s="57">
        <f>IF(OR(CONTAL[[#This Row],[IgnoreFte]]=TRUE,CONTAL[[#This Row],[IgnoreFte]]=FALSE),0,1)</f>
        <v>0</v>
      </c>
      <c r="N74" s="57">
        <f>IF(LEN(CONTAL[[#This Row],[Notes]])&lt;4000,0,1)</f>
        <v>0</v>
      </c>
      <c r="O74" s="112">
        <f>COUNTBLANK(CONTAL[[#This Row],[AllowanceCode]:[AllowanceDateFrom]])+COUNTBLANK(CONTAL[[#This Row],[IgnoreFte]]:CONTAL[[#This Row],[IgnoreFte]])</f>
        <v>0</v>
      </c>
      <c r="P74" s="57">
        <f ca="1">SUM(CONTAL[[#This Row],[Contract Issue]:[Blank in column]])</f>
        <v>0</v>
      </c>
      <c r="R74" s="12" t="s">
        <v>2126</v>
      </c>
      <c r="S74" s="12">
        <v>10005317</v>
      </c>
      <c r="T74" s="12">
        <v>112919</v>
      </c>
      <c r="U74" s="57" t="str">
        <f>_xlfn.XLOOKUP(CONTAL[[#This Row],[StaffMemberCode]],StaffMembers!O:O,StaffMembers!R:R)</f>
        <v>Nicola Hemmings</v>
      </c>
      <c r="V74" s="12" t="s">
        <v>4273</v>
      </c>
      <c r="W74" s="12" t="s">
        <v>2483</v>
      </c>
      <c r="X74" s="21">
        <v>46023</v>
      </c>
      <c r="Z74" s="12" t="s">
        <v>1136</v>
      </c>
      <c r="AA74" s="20" t="s">
        <v>1363</v>
      </c>
      <c r="AB74" s="21">
        <v>46023</v>
      </c>
      <c r="AD74" s="157" t="b">
        <v>0</v>
      </c>
    </row>
    <row r="75" spans="1:30" x14ac:dyDescent="0.3">
      <c r="A75" s="12" t="str">
        <f t="shared" si="6"/>
        <v>MLB10005303112508OFF_MGRSFIN46023</v>
      </c>
      <c r="B75" s="12" t="str">
        <f>CONTAL[[#This Row],[StaffMemberCode]]&amp;CONTAL[[#This Row],[AllowancePointCode]]&amp;CONTAL[[#This Row],[ContractReference]]&amp;CONTAL[[#This Row],[SchoolCode]]</f>
        <v>10005303TLR2A112508MLB</v>
      </c>
      <c r="C75" s="57">
        <f>IF(COUNTIF(ContractsTeachFTE!A:A,ContractAllowances!A75)&gt;0,0,IF(COUNTIF(ContractsSupportHours!A:A,ContractAllowances!A75)&gt;0,0,1))</f>
        <v>0</v>
      </c>
      <c r="D75" s="57">
        <f>IF(_xlfn.XLOOKUP(CONTAL[[#This Row],[AllowancePointCode]],ALLWCPTS[AllowancePointCode],ALLWCPTS[AvailableToAllSchools])=TRUE,0,IFERROR(IF(FIND(CONTAL[[#This Row],[SchoolCode]],_xlfn.XLOOKUP(CONTAL[[#This Row],[AllowancePointCode]],ALLWCPTS[AllowancePointCode],ALLWCPTS[SchoolCodes]))&gt;=1,0,1),1))</f>
        <v>0</v>
      </c>
      <c r="E75" s="57" cm="1">
        <f t="array" ref="E75">IF(_xlfn.XLOOKUP(CONTAL[[#This Row],[DepartmentCode]],DEPTS[DepartmentCode],DEPTS[AvailableToAllSchools],1,0,)=TRUE,0,IF(ISERROR(FIND(CONTAL[[#This Row],[SchoolCode]],_xlfn.TEXTJOIN(",",TRUE,_xlfn.UNIQUE(IF(DEPTS[DepartmentCode]=CONTAL[[#This Row],[DepartmentCode]],DEPTS[SchoolCodes],""))))),1,0))</f>
        <v>0</v>
      </c>
      <c r="F75" s="57">
        <f>IF(COUNTIF(ALLWCTYPE[AllowanceTypeCode],CONTAL[[#This Row],[AllowanceCode]])&gt;0,0,1)</f>
        <v>0</v>
      </c>
      <c r="G75" s="57">
        <f>IF(COUNTIF(ALLWCPTS[AllowancePointCode],CONTAL[[#This Row],[AllowancePointCode]])&gt;0,0,1)</f>
        <v>0</v>
      </c>
      <c r="H75" s="57">
        <f>COUNTIF(CONTAL[Person+AllowancePoint+ContractRef+SchoolCode],CONTAL[[#This Row],[Person+AllowancePoint+ContractRef+SchoolCode]])-1</f>
        <v>0</v>
      </c>
      <c r="I75" s="57">
        <f t="shared" si="7"/>
        <v>0</v>
      </c>
      <c r="J75" s="57">
        <f>IF(ISBLANK(CONTAL[[#This Row],[ContractDateTo]]),0,IF(CONTAL[[#This Row],[ContractDateFrom]]=CONTAL[[#This Row],[ContractDateTo]],0,IF(CONTAL[[#This Row],[ContractDateFrom]]&lt;CONTAL[[#This Row],[ContractDateTo]],0,1)))</f>
        <v>0</v>
      </c>
      <c r="K75" s="57">
        <f>IF(ISBLANK(CONTAL[[#This Row],[AllowanceDateTo]]),0,IF(CONTAL[[#This Row],[AllowanceDateFrom]]=CONTAL[[#This Row],[AllowanceDateTo]],0,IF(CONTAL[[#This Row],[AllowanceDateFrom]]&lt;CONTAL[[#This Row],[AllowanceDateTo]],0,1)))</f>
        <v>0</v>
      </c>
      <c r="L75" s="57" cm="1">
        <f t="array" aca="1" ref="L75" ca="1">IF(CELL("format",CONTAL[[#This Row],[ContractDateFrom]])="D1",0,1)+IF(CELL("format",CONTAL[[#This Row],[ContractDateTo]])="D1",0,1)+IF(CELL("format",CONTAL[[#This Row],[AllowanceDateFrom]])="D1",0,1)+IF(CELL("format",CONTAL[[#This Row],[AllowanceDateTo]])="D1",0,1)</f>
        <v>0</v>
      </c>
      <c r="M75" s="57">
        <f>IF(OR(CONTAL[[#This Row],[IgnoreFte]]=TRUE,CONTAL[[#This Row],[IgnoreFte]]=FALSE),0,1)</f>
        <v>0</v>
      </c>
      <c r="N75" s="57">
        <f>IF(LEN(CONTAL[[#This Row],[Notes]])&lt;4000,0,1)</f>
        <v>0</v>
      </c>
      <c r="O75" s="112">
        <f>COUNTBLANK(CONTAL[[#This Row],[AllowanceCode]:[AllowanceDateFrom]])+COUNTBLANK(CONTAL[[#This Row],[IgnoreFte]]:CONTAL[[#This Row],[IgnoreFte]])</f>
        <v>0</v>
      </c>
      <c r="P75" s="57">
        <f ca="1">SUM(CONTAL[[#This Row],[Contract Issue]:[Blank in column]])</f>
        <v>0</v>
      </c>
      <c r="R75" s="12" t="s">
        <v>2126</v>
      </c>
      <c r="S75" s="12">
        <v>10005303</v>
      </c>
      <c r="T75" s="12">
        <v>112508</v>
      </c>
      <c r="U75" s="57" t="str">
        <f>_xlfn.XLOOKUP(CONTAL[[#This Row],[StaffMemberCode]],StaffMembers!O:O,StaffMembers!R:R)</f>
        <v>Victoria Denny</v>
      </c>
      <c r="V75" s="12" t="s">
        <v>4259</v>
      </c>
      <c r="W75" s="12" t="s">
        <v>2483</v>
      </c>
      <c r="X75" s="21">
        <v>46023</v>
      </c>
      <c r="Z75" s="12" t="s">
        <v>1136</v>
      </c>
      <c r="AA75" s="20" t="s">
        <v>1363</v>
      </c>
      <c r="AB75" s="21">
        <v>46023</v>
      </c>
      <c r="AD75" s="157" t="b">
        <v>0</v>
      </c>
    </row>
    <row r="76" spans="1:30" x14ac:dyDescent="0.3">
      <c r="A76" s="12" t="str">
        <f t="shared" si="6"/>
        <v>MLB10005309106077SOFT_DEV_TECSFIN46023</v>
      </c>
      <c r="B76" s="12" t="str">
        <f>CONTAL[[#This Row],[StaffMemberCode]]&amp;CONTAL[[#This Row],[AllowancePointCode]]&amp;CONTAL[[#This Row],[ContractReference]]&amp;CONTAL[[#This Row],[SchoolCode]]</f>
        <v>10005309TLR2A106077MLB</v>
      </c>
      <c r="C76" s="57">
        <f>IF(COUNTIF(ContractsTeachFTE!A:A,ContractAllowances!A76)&gt;0,0,IF(COUNTIF(ContractsSupportHours!A:A,ContractAllowances!A76)&gt;0,0,1))</f>
        <v>0</v>
      </c>
      <c r="D76" s="57">
        <f>IF(_xlfn.XLOOKUP(CONTAL[[#This Row],[AllowancePointCode]],ALLWCPTS[AllowancePointCode],ALLWCPTS[AvailableToAllSchools])=TRUE,0,IFERROR(IF(FIND(CONTAL[[#This Row],[SchoolCode]],_xlfn.XLOOKUP(CONTAL[[#This Row],[AllowancePointCode]],ALLWCPTS[AllowancePointCode],ALLWCPTS[SchoolCodes]))&gt;=1,0,1),1))</f>
        <v>0</v>
      </c>
      <c r="E76" s="57" cm="1">
        <f t="array" ref="E76">IF(_xlfn.XLOOKUP(CONTAL[[#This Row],[DepartmentCode]],DEPTS[DepartmentCode],DEPTS[AvailableToAllSchools],1,0,)=TRUE,0,IF(ISERROR(FIND(CONTAL[[#This Row],[SchoolCode]],_xlfn.TEXTJOIN(",",TRUE,_xlfn.UNIQUE(IF(DEPTS[DepartmentCode]=CONTAL[[#This Row],[DepartmentCode]],DEPTS[SchoolCodes],""))))),1,0))</f>
        <v>0</v>
      </c>
      <c r="F76" s="57">
        <f>IF(COUNTIF(ALLWCTYPE[AllowanceTypeCode],CONTAL[[#This Row],[AllowanceCode]])&gt;0,0,1)</f>
        <v>0</v>
      </c>
      <c r="G76" s="57">
        <f>IF(COUNTIF(ALLWCPTS[AllowancePointCode],CONTAL[[#This Row],[AllowancePointCode]])&gt;0,0,1)</f>
        <v>0</v>
      </c>
      <c r="H76" s="57">
        <f>COUNTIF(CONTAL[Person+AllowancePoint+ContractRef+SchoolCode],CONTAL[[#This Row],[Person+AllowancePoint+ContractRef+SchoolCode]])-1</f>
        <v>0</v>
      </c>
      <c r="I76" s="57">
        <f t="shared" si="7"/>
        <v>0</v>
      </c>
      <c r="J76" s="57">
        <f>IF(ISBLANK(CONTAL[[#This Row],[ContractDateTo]]),0,IF(CONTAL[[#This Row],[ContractDateFrom]]=CONTAL[[#This Row],[ContractDateTo]],0,IF(CONTAL[[#This Row],[ContractDateFrom]]&lt;CONTAL[[#This Row],[ContractDateTo]],0,1)))</f>
        <v>0</v>
      </c>
      <c r="K76" s="57">
        <f>IF(ISBLANK(CONTAL[[#This Row],[AllowanceDateTo]]),0,IF(CONTAL[[#This Row],[AllowanceDateFrom]]=CONTAL[[#This Row],[AllowanceDateTo]],0,IF(CONTAL[[#This Row],[AllowanceDateFrom]]&lt;CONTAL[[#This Row],[AllowanceDateTo]],0,1)))</f>
        <v>0</v>
      </c>
      <c r="L76" s="57" cm="1">
        <f t="array" aca="1" ref="L76" ca="1">IF(CELL("format",CONTAL[[#This Row],[ContractDateFrom]])="D1",0,1)+IF(CELL("format",CONTAL[[#This Row],[ContractDateTo]])="D1",0,1)+IF(CELL("format",CONTAL[[#This Row],[AllowanceDateFrom]])="D1",0,1)+IF(CELL("format",CONTAL[[#This Row],[AllowanceDateTo]])="D1",0,1)</f>
        <v>0</v>
      </c>
      <c r="M76" s="57">
        <f>IF(OR(CONTAL[[#This Row],[IgnoreFte]]=TRUE,CONTAL[[#This Row],[IgnoreFte]]=FALSE),0,1)</f>
        <v>0</v>
      </c>
      <c r="N76" s="57">
        <f>IF(LEN(CONTAL[[#This Row],[Notes]])&lt;4000,0,1)</f>
        <v>0</v>
      </c>
      <c r="O76" s="112">
        <f>COUNTBLANK(CONTAL[[#This Row],[AllowanceCode]:[AllowanceDateFrom]])+COUNTBLANK(CONTAL[[#This Row],[IgnoreFte]]:CONTAL[[#This Row],[IgnoreFte]])</f>
        <v>0</v>
      </c>
      <c r="P76" s="57">
        <f ca="1">SUM(CONTAL[[#This Row],[Contract Issue]:[Blank in column]])</f>
        <v>0</v>
      </c>
      <c r="R76" s="12" t="s">
        <v>2126</v>
      </c>
      <c r="S76" s="12">
        <v>10005309</v>
      </c>
      <c r="T76" s="12">
        <v>106077</v>
      </c>
      <c r="U76" s="57" t="str">
        <f>_xlfn.XLOOKUP(CONTAL[[#This Row],[StaffMemberCode]],StaffMembers!O:O,StaffMembers!R:R)</f>
        <v>Karl Stockton</v>
      </c>
      <c r="V76" s="12" t="s">
        <v>4275</v>
      </c>
      <c r="W76" s="12" t="s">
        <v>2483</v>
      </c>
      <c r="X76" s="21">
        <v>46023</v>
      </c>
      <c r="Z76" s="12" t="s">
        <v>1136</v>
      </c>
      <c r="AA76" s="20" t="s">
        <v>1363</v>
      </c>
      <c r="AB76" s="21">
        <v>46023</v>
      </c>
      <c r="AD76" s="157" t="b">
        <v>0</v>
      </c>
    </row>
    <row r="77" spans="1:30" x14ac:dyDescent="0.3">
      <c r="A77" s="12" t="str">
        <f t="shared" si="6"/>
        <v>MLB10008048110866SITE_OFFSPREM46023</v>
      </c>
      <c r="B77" s="12" t="str">
        <f>CONTAL[[#This Row],[StaffMemberCode]]&amp;CONTAL[[#This Row],[AllowancePointCode]]&amp;CONTAL[[#This Row],[ContractReference]]&amp;CONTAL[[#This Row],[SchoolCode]]</f>
        <v>10008048TLR2A110866MLB</v>
      </c>
      <c r="C77" s="57">
        <f>IF(COUNTIF(ContractsTeachFTE!A:A,ContractAllowances!A77)&gt;0,0,IF(COUNTIF(ContractsSupportHours!A:A,ContractAllowances!A77)&gt;0,0,1))</f>
        <v>0</v>
      </c>
      <c r="D77" s="57">
        <f>IF(_xlfn.XLOOKUP(CONTAL[[#This Row],[AllowancePointCode]],ALLWCPTS[AllowancePointCode],ALLWCPTS[AvailableToAllSchools])=TRUE,0,IFERROR(IF(FIND(CONTAL[[#This Row],[SchoolCode]],_xlfn.XLOOKUP(CONTAL[[#This Row],[AllowancePointCode]],ALLWCPTS[AllowancePointCode],ALLWCPTS[SchoolCodes]))&gt;=1,0,1),1))</f>
        <v>0</v>
      </c>
      <c r="E77" s="57" cm="1">
        <f t="array" ref="E77">IF(_xlfn.XLOOKUP(CONTAL[[#This Row],[DepartmentCode]],DEPTS[DepartmentCode],DEPTS[AvailableToAllSchools],1,0,)=TRUE,0,IF(ISERROR(FIND(CONTAL[[#This Row],[SchoolCode]],_xlfn.TEXTJOIN(",",TRUE,_xlfn.UNIQUE(IF(DEPTS[DepartmentCode]=CONTAL[[#This Row],[DepartmentCode]],DEPTS[SchoolCodes],""))))),1,0))</f>
        <v>0</v>
      </c>
      <c r="F77" s="57">
        <f>IF(COUNTIF(ALLWCTYPE[AllowanceTypeCode],CONTAL[[#This Row],[AllowanceCode]])&gt;0,0,1)</f>
        <v>0</v>
      </c>
      <c r="G77" s="57">
        <f>IF(COUNTIF(ALLWCPTS[AllowancePointCode],CONTAL[[#This Row],[AllowancePointCode]])&gt;0,0,1)</f>
        <v>0</v>
      </c>
      <c r="H77" s="57">
        <f>COUNTIF(CONTAL[Person+AllowancePoint+ContractRef+SchoolCode],CONTAL[[#This Row],[Person+AllowancePoint+ContractRef+SchoolCode]])-1</f>
        <v>0</v>
      </c>
      <c r="I77" s="57">
        <f t="shared" si="7"/>
        <v>0</v>
      </c>
      <c r="J77" s="57">
        <f>IF(ISBLANK(CONTAL[[#This Row],[ContractDateTo]]),0,IF(CONTAL[[#This Row],[ContractDateFrom]]=CONTAL[[#This Row],[ContractDateTo]],0,IF(CONTAL[[#This Row],[ContractDateFrom]]&lt;CONTAL[[#This Row],[ContractDateTo]],0,1)))</f>
        <v>0</v>
      </c>
      <c r="K77" s="57">
        <f>IF(ISBLANK(CONTAL[[#This Row],[AllowanceDateTo]]),0,IF(CONTAL[[#This Row],[AllowanceDateFrom]]=CONTAL[[#This Row],[AllowanceDateTo]],0,IF(CONTAL[[#This Row],[AllowanceDateFrom]]&lt;CONTAL[[#This Row],[AllowanceDateTo]],0,1)))</f>
        <v>0</v>
      </c>
      <c r="L77" s="57" cm="1">
        <f t="array" aca="1" ref="L77" ca="1">IF(CELL("format",CONTAL[[#This Row],[ContractDateFrom]])="D1",0,1)+IF(CELL("format",CONTAL[[#This Row],[ContractDateTo]])="D1",0,1)+IF(CELL("format",CONTAL[[#This Row],[AllowanceDateFrom]])="D1",0,1)+IF(CELL("format",CONTAL[[#This Row],[AllowanceDateTo]])="D1",0,1)</f>
        <v>0</v>
      </c>
      <c r="M77" s="57">
        <f>IF(OR(CONTAL[[#This Row],[IgnoreFte]]=TRUE,CONTAL[[#This Row],[IgnoreFte]]=FALSE),0,1)</f>
        <v>0</v>
      </c>
      <c r="N77" s="57">
        <f>IF(LEN(CONTAL[[#This Row],[Notes]])&lt;4000,0,1)</f>
        <v>0</v>
      </c>
      <c r="O77" s="112">
        <f>COUNTBLANK(CONTAL[[#This Row],[AllowanceCode]:[AllowanceDateFrom]])+COUNTBLANK(CONTAL[[#This Row],[IgnoreFte]]:CONTAL[[#This Row],[IgnoreFte]])</f>
        <v>0</v>
      </c>
      <c r="P77" s="57">
        <f ca="1">SUM(CONTAL[[#This Row],[Contract Issue]:[Blank in column]])</f>
        <v>0</v>
      </c>
      <c r="R77" s="12" t="s">
        <v>2126</v>
      </c>
      <c r="S77" s="12">
        <v>10008048</v>
      </c>
      <c r="T77" s="12">
        <v>110866</v>
      </c>
      <c r="U77" s="57" t="str">
        <f>_xlfn.XLOOKUP(CONTAL[[#This Row],[StaffMemberCode]],StaffMembers!O:O,StaffMembers!R:R)</f>
        <v>Wayne Newton</v>
      </c>
      <c r="V77" s="12" t="s">
        <v>4299</v>
      </c>
      <c r="W77" s="12" t="s">
        <v>2495</v>
      </c>
      <c r="X77" s="21">
        <v>46023</v>
      </c>
      <c r="Z77" s="12" t="s">
        <v>1136</v>
      </c>
      <c r="AA77" s="20" t="s">
        <v>1363</v>
      </c>
      <c r="AB77" s="21">
        <v>46023</v>
      </c>
      <c r="AD77" s="157" t="b">
        <v>0</v>
      </c>
    </row>
    <row r="78" spans="1:30" x14ac:dyDescent="0.3">
      <c r="A78" s="12" t="str">
        <f t="shared" si="6"/>
        <v>MLB10005337106109TEASTCH46023</v>
      </c>
      <c r="B78" s="12" t="str">
        <f>CONTAL[[#This Row],[StaffMemberCode]]&amp;CONTAL[[#This Row],[AllowancePointCode]]&amp;CONTAL[[#This Row],[ContractReference]]&amp;CONTAL[[#This Row],[SchoolCode]]</f>
        <v>10005337TLR2A106109MLB</v>
      </c>
      <c r="C78" s="57">
        <f>IF(COUNTIF(ContractsTeachFTE!A:A,ContractAllowances!A78)&gt;0,0,IF(COUNTIF(ContractsSupportHours!A:A,ContractAllowances!A78)&gt;0,0,1))</f>
        <v>0</v>
      </c>
      <c r="D78" s="57">
        <f>IF(_xlfn.XLOOKUP(CONTAL[[#This Row],[AllowancePointCode]],ALLWCPTS[AllowancePointCode],ALLWCPTS[AvailableToAllSchools])=TRUE,0,IFERROR(IF(FIND(CONTAL[[#This Row],[SchoolCode]],_xlfn.XLOOKUP(CONTAL[[#This Row],[AllowancePointCode]],ALLWCPTS[AllowancePointCode],ALLWCPTS[SchoolCodes]))&gt;=1,0,1),1))</f>
        <v>0</v>
      </c>
      <c r="E78" s="57" cm="1">
        <f t="array" ref="E78">IF(_xlfn.XLOOKUP(CONTAL[[#This Row],[DepartmentCode]],DEPTS[DepartmentCode],DEPTS[AvailableToAllSchools],1,0,)=TRUE,0,IF(ISERROR(FIND(CONTAL[[#This Row],[SchoolCode]],_xlfn.TEXTJOIN(",",TRUE,_xlfn.UNIQUE(IF(DEPTS[DepartmentCode]=CONTAL[[#This Row],[DepartmentCode]],DEPTS[SchoolCodes],""))))),1,0))</f>
        <v>0</v>
      </c>
      <c r="F78" s="57">
        <f>IF(COUNTIF(ALLWCTYPE[AllowanceTypeCode],CONTAL[[#This Row],[AllowanceCode]])&gt;0,0,1)</f>
        <v>0</v>
      </c>
      <c r="G78" s="57">
        <f>IF(COUNTIF(ALLWCPTS[AllowancePointCode],CONTAL[[#This Row],[AllowancePointCode]])&gt;0,0,1)</f>
        <v>0</v>
      </c>
      <c r="H78" s="57">
        <f>COUNTIF(CONTAL[Person+AllowancePoint+ContractRef+SchoolCode],CONTAL[[#This Row],[Person+AllowancePoint+ContractRef+SchoolCode]])-1</f>
        <v>0</v>
      </c>
      <c r="I78" s="57">
        <f t="shared" si="7"/>
        <v>0</v>
      </c>
      <c r="J78" s="57">
        <f>IF(ISBLANK(CONTAL[[#This Row],[ContractDateTo]]),0,IF(CONTAL[[#This Row],[ContractDateFrom]]=CONTAL[[#This Row],[ContractDateTo]],0,IF(CONTAL[[#This Row],[ContractDateFrom]]&lt;CONTAL[[#This Row],[ContractDateTo]],0,1)))</f>
        <v>0</v>
      </c>
      <c r="K78" s="57">
        <f>IF(ISBLANK(CONTAL[[#This Row],[AllowanceDateTo]]),0,IF(CONTAL[[#This Row],[AllowanceDateFrom]]=CONTAL[[#This Row],[AllowanceDateTo]],0,IF(CONTAL[[#This Row],[AllowanceDateFrom]]&lt;CONTAL[[#This Row],[AllowanceDateTo]],0,1)))</f>
        <v>0</v>
      </c>
      <c r="L78" s="57" cm="1">
        <f t="array" aca="1" ref="L78" ca="1">IF(CELL("format",CONTAL[[#This Row],[ContractDateFrom]])="D1",0,1)+IF(CELL("format",CONTAL[[#This Row],[ContractDateTo]])="D1",0,1)+IF(CELL("format",CONTAL[[#This Row],[AllowanceDateFrom]])="D1",0,1)+IF(CELL("format",CONTAL[[#This Row],[AllowanceDateTo]])="D1",0,1)</f>
        <v>0</v>
      </c>
      <c r="M78" s="57">
        <f>IF(OR(CONTAL[[#This Row],[IgnoreFte]]=TRUE,CONTAL[[#This Row],[IgnoreFte]]=FALSE),0,1)</f>
        <v>0</v>
      </c>
      <c r="N78" s="57">
        <f>IF(LEN(CONTAL[[#This Row],[Notes]])&lt;4000,0,1)</f>
        <v>0</v>
      </c>
      <c r="O78" s="112">
        <f>COUNTBLANK(CONTAL[[#This Row],[AllowanceCode]:[AllowanceDateFrom]])+COUNTBLANK(CONTAL[[#This Row],[IgnoreFte]]:CONTAL[[#This Row],[IgnoreFte]])</f>
        <v>0</v>
      </c>
      <c r="P78" s="57">
        <f ca="1">SUM(CONTAL[[#This Row],[Contract Issue]:[Blank in column]])</f>
        <v>0</v>
      </c>
      <c r="R78" s="12" t="s">
        <v>2126</v>
      </c>
      <c r="S78" s="12">
        <v>10005337</v>
      </c>
      <c r="T78" s="12">
        <v>106109</v>
      </c>
      <c r="U78" s="57" t="str">
        <f>_xlfn.XLOOKUP(CONTAL[[#This Row],[StaffMemberCode]],StaffMembers!O:O,StaffMembers!R:R)</f>
        <v>Matthew Snape</v>
      </c>
      <c r="V78" s="12" t="s">
        <v>1178</v>
      </c>
      <c r="W78" s="12" t="s">
        <v>2499</v>
      </c>
      <c r="X78" s="21">
        <v>46023</v>
      </c>
      <c r="Z78" s="12" t="s">
        <v>1136</v>
      </c>
      <c r="AA78" s="20" t="s">
        <v>1363</v>
      </c>
      <c r="AB78" s="21">
        <v>46023</v>
      </c>
      <c r="AD78" s="157" t="b">
        <v>0</v>
      </c>
    </row>
    <row r="79" spans="1:30" x14ac:dyDescent="0.3">
      <c r="A79" s="12" t="str">
        <f t="shared" si="6"/>
        <v>MLB10009099109641TEASTCH46023</v>
      </c>
      <c r="B79" s="12" t="str">
        <f>CONTAL[[#This Row],[StaffMemberCode]]&amp;CONTAL[[#This Row],[AllowancePointCode]]&amp;CONTAL[[#This Row],[ContractReference]]&amp;CONTAL[[#This Row],[SchoolCode]]</f>
        <v>10009099TLR2A109641MLB</v>
      </c>
      <c r="C79" s="57">
        <f>IF(COUNTIF(ContractsTeachFTE!A:A,ContractAllowances!A79)&gt;0,0,IF(COUNTIF(ContractsSupportHours!A:A,ContractAllowances!A79)&gt;0,0,1))</f>
        <v>0</v>
      </c>
      <c r="D79" s="57">
        <f>IF(_xlfn.XLOOKUP(CONTAL[[#This Row],[AllowancePointCode]],ALLWCPTS[AllowancePointCode],ALLWCPTS[AvailableToAllSchools])=TRUE,0,IFERROR(IF(FIND(CONTAL[[#This Row],[SchoolCode]],_xlfn.XLOOKUP(CONTAL[[#This Row],[AllowancePointCode]],ALLWCPTS[AllowancePointCode],ALLWCPTS[SchoolCodes]))&gt;=1,0,1),1))</f>
        <v>0</v>
      </c>
      <c r="E79" s="57" cm="1">
        <f t="array" ref="E79">IF(_xlfn.XLOOKUP(CONTAL[[#This Row],[DepartmentCode]],DEPTS[DepartmentCode],DEPTS[AvailableToAllSchools],1,0,)=TRUE,0,IF(ISERROR(FIND(CONTAL[[#This Row],[SchoolCode]],_xlfn.TEXTJOIN(",",TRUE,_xlfn.UNIQUE(IF(DEPTS[DepartmentCode]=CONTAL[[#This Row],[DepartmentCode]],DEPTS[SchoolCodes],""))))),1,0))</f>
        <v>0</v>
      </c>
      <c r="F79" s="57">
        <f>IF(COUNTIF(ALLWCTYPE[AllowanceTypeCode],CONTAL[[#This Row],[AllowanceCode]])&gt;0,0,1)</f>
        <v>0</v>
      </c>
      <c r="G79" s="57">
        <f>IF(COUNTIF(ALLWCPTS[AllowancePointCode],CONTAL[[#This Row],[AllowancePointCode]])&gt;0,0,1)</f>
        <v>0</v>
      </c>
      <c r="H79" s="57">
        <f>COUNTIF(CONTAL[Person+AllowancePoint+ContractRef+SchoolCode],CONTAL[[#This Row],[Person+AllowancePoint+ContractRef+SchoolCode]])-1</f>
        <v>0</v>
      </c>
      <c r="I79" s="57">
        <f t="shared" si="7"/>
        <v>0</v>
      </c>
      <c r="J79" s="57">
        <f>IF(ISBLANK(CONTAL[[#This Row],[ContractDateTo]]),0,IF(CONTAL[[#This Row],[ContractDateFrom]]=CONTAL[[#This Row],[ContractDateTo]],0,IF(CONTAL[[#This Row],[ContractDateFrom]]&lt;CONTAL[[#This Row],[ContractDateTo]],0,1)))</f>
        <v>0</v>
      </c>
      <c r="K79" s="57">
        <f>IF(ISBLANK(CONTAL[[#This Row],[AllowanceDateTo]]),0,IF(CONTAL[[#This Row],[AllowanceDateFrom]]=CONTAL[[#This Row],[AllowanceDateTo]],0,IF(CONTAL[[#This Row],[AllowanceDateFrom]]&lt;CONTAL[[#This Row],[AllowanceDateTo]],0,1)))</f>
        <v>0</v>
      </c>
      <c r="L79" s="57" cm="1">
        <f t="array" aca="1" ref="L79" ca="1">IF(CELL("format",CONTAL[[#This Row],[ContractDateFrom]])="D1",0,1)+IF(CELL("format",CONTAL[[#This Row],[ContractDateTo]])="D1",0,1)+IF(CELL("format",CONTAL[[#This Row],[AllowanceDateFrom]])="D1",0,1)+IF(CELL("format",CONTAL[[#This Row],[AllowanceDateTo]])="D1",0,1)</f>
        <v>0</v>
      </c>
      <c r="M79" s="57">
        <f>IF(OR(CONTAL[[#This Row],[IgnoreFte]]=TRUE,CONTAL[[#This Row],[IgnoreFte]]=FALSE),0,1)</f>
        <v>0</v>
      </c>
      <c r="N79" s="57">
        <f>IF(LEN(CONTAL[[#This Row],[Notes]])&lt;4000,0,1)</f>
        <v>0</v>
      </c>
      <c r="O79" s="112">
        <f>COUNTBLANK(CONTAL[[#This Row],[AllowanceCode]:[AllowanceDateFrom]])+COUNTBLANK(CONTAL[[#This Row],[IgnoreFte]]:CONTAL[[#This Row],[IgnoreFte]])</f>
        <v>0</v>
      </c>
      <c r="P79" s="57">
        <f ca="1">SUM(CONTAL[[#This Row],[Contract Issue]:[Blank in column]])</f>
        <v>0</v>
      </c>
      <c r="R79" s="12" t="s">
        <v>2126</v>
      </c>
      <c r="S79" s="12">
        <v>10009099</v>
      </c>
      <c r="T79" s="12">
        <v>109641</v>
      </c>
      <c r="U79" s="57" t="str">
        <f>_xlfn.XLOOKUP(CONTAL[[#This Row],[StaffMemberCode]],StaffMembers!O:O,StaffMembers!R:R)</f>
        <v>Adam Oliver</v>
      </c>
      <c r="V79" s="12" t="s">
        <v>1178</v>
      </c>
      <c r="W79" s="12" t="s">
        <v>2499</v>
      </c>
      <c r="X79" s="21">
        <v>46023</v>
      </c>
      <c r="Z79" s="12" t="s">
        <v>1136</v>
      </c>
      <c r="AA79" s="20" t="s">
        <v>1363</v>
      </c>
      <c r="AB79" s="21">
        <v>46023</v>
      </c>
      <c r="AD79" s="157" t="b">
        <v>0</v>
      </c>
    </row>
    <row r="80" spans="1:30" x14ac:dyDescent="0.3">
      <c r="A80" s="12" t="str">
        <f t="shared" si="6"/>
        <v>MLB10012808106073TEASTCH46023</v>
      </c>
      <c r="B80" s="12" t="str">
        <f>CONTAL[[#This Row],[StaffMemberCode]]&amp;CONTAL[[#This Row],[AllowancePointCode]]&amp;CONTAL[[#This Row],[ContractReference]]&amp;CONTAL[[#This Row],[SchoolCode]]</f>
        <v>10012808TLR2A106073MLB</v>
      </c>
      <c r="C80" s="57">
        <f>IF(COUNTIF(ContractsTeachFTE!A:A,ContractAllowances!A80)&gt;0,0,IF(COUNTIF(ContractsSupportHours!A:A,ContractAllowances!A80)&gt;0,0,1))</f>
        <v>0</v>
      </c>
      <c r="D80" s="57">
        <f>IF(_xlfn.XLOOKUP(CONTAL[[#This Row],[AllowancePointCode]],ALLWCPTS[AllowancePointCode],ALLWCPTS[AvailableToAllSchools])=TRUE,0,IFERROR(IF(FIND(CONTAL[[#This Row],[SchoolCode]],_xlfn.XLOOKUP(CONTAL[[#This Row],[AllowancePointCode]],ALLWCPTS[AllowancePointCode],ALLWCPTS[SchoolCodes]))&gt;=1,0,1),1))</f>
        <v>0</v>
      </c>
      <c r="E80" s="57" cm="1">
        <f t="array" ref="E80">IF(_xlfn.XLOOKUP(CONTAL[[#This Row],[DepartmentCode]],DEPTS[DepartmentCode],DEPTS[AvailableToAllSchools],1,0,)=TRUE,0,IF(ISERROR(FIND(CONTAL[[#This Row],[SchoolCode]],_xlfn.TEXTJOIN(",",TRUE,_xlfn.UNIQUE(IF(DEPTS[DepartmentCode]=CONTAL[[#This Row],[DepartmentCode]],DEPTS[SchoolCodes],""))))),1,0))</f>
        <v>0</v>
      </c>
      <c r="F80" s="57">
        <f>IF(COUNTIF(ALLWCTYPE[AllowanceTypeCode],CONTAL[[#This Row],[AllowanceCode]])&gt;0,0,1)</f>
        <v>0</v>
      </c>
      <c r="G80" s="57">
        <f>IF(COUNTIF(ALLWCPTS[AllowancePointCode],CONTAL[[#This Row],[AllowancePointCode]])&gt;0,0,1)</f>
        <v>0</v>
      </c>
      <c r="H80" s="57">
        <f>COUNTIF(CONTAL[Person+AllowancePoint+ContractRef+SchoolCode],CONTAL[[#This Row],[Person+AllowancePoint+ContractRef+SchoolCode]])-1</f>
        <v>0</v>
      </c>
      <c r="I80" s="57">
        <f t="shared" si="7"/>
        <v>0</v>
      </c>
      <c r="J80" s="57">
        <f>IF(ISBLANK(CONTAL[[#This Row],[ContractDateTo]]),0,IF(CONTAL[[#This Row],[ContractDateFrom]]=CONTAL[[#This Row],[ContractDateTo]],0,IF(CONTAL[[#This Row],[ContractDateFrom]]&lt;CONTAL[[#This Row],[ContractDateTo]],0,1)))</f>
        <v>0</v>
      </c>
      <c r="K80" s="57">
        <f>IF(ISBLANK(CONTAL[[#This Row],[AllowanceDateTo]]),0,IF(CONTAL[[#This Row],[AllowanceDateFrom]]=CONTAL[[#This Row],[AllowanceDateTo]],0,IF(CONTAL[[#This Row],[AllowanceDateFrom]]&lt;CONTAL[[#This Row],[AllowanceDateTo]],0,1)))</f>
        <v>0</v>
      </c>
      <c r="L80" s="57" cm="1">
        <f t="array" aca="1" ref="L80" ca="1">IF(CELL("format",CONTAL[[#This Row],[ContractDateFrom]])="D1",0,1)+IF(CELL("format",CONTAL[[#This Row],[ContractDateTo]])="D1",0,1)+IF(CELL("format",CONTAL[[#This Row],[AllowanceDateFrom]])="D1",0,1)+IF(CELL("format",CONTAL[[#This Row],[AllowanceDateTo]])="D1",0,1)</f>
        <v>0</v>
      </c>
      <c r="M80" s="57">
        <f>IF(OR(CONTAL[[#This Row],[IgnoreFte]]=TRUE,CONTAL[[#This Row],[IgnoreFte]]=FALSE),0,1)</f>
        <v>0</v>
      </c>
      <c r="N80" s="57">
        <f>IF(LEN(CONTAL[[#This Row],[Notes]])&lt;4000,0,1)</f>
        <v>0</v>
      </c>
      <c r="O80" s="112">
        <f>COUNTBLANK(CONTAL[[#This Row],[AllowanceCode]:[AllowanceDateFrom]])+COUNTBLANK(CONTAL[[#This Row],[IgnoreFte]]:CONTAL[[#This Row],[IgnoreFte]])</f>
        <v>0</v>
      </c>
      <c r="P80" s="57">
        <f ca="1">SUM(CONTAL[[#This Row],[Contract Issue]:[Blank in column]])</f>
        <v>0</v>
      </c>
      <c r="R80" s="12" t="s">
        <v>2126</v>
      </c>
      <c r="S80" s="12">
        <v>10012808</v>
      </c>
      <c r="T80" s="12">
        <v>106073</v>
      </c>
      <c r="U80" s="57" t="str">
        <f>_xlfn.XLOOKUP(CONTAL[[#This Row],[StaffMemberCode]],StaffMembers!O:O,StaffMembers!R:R)</f>
        <v>Peter Adams</v>
      </c>
      <c r="V80" s="12" t="s">
        <v>1178</v>
      </c>
      <c r="W80" s="12" t="s">
        <v>2499</v>
      </c>
      <c r="X80" s="21">
        <v>46023</v>
      </c>
      <c r="Z80" s="12" t="s">
        <v>1136</v>
      </c>
      <c r="AA80" s="20" t="s">
        <v>1363</v>
      </c>
      <c r="AB80" s="21">
        <v>46023</v>
      </c>
      <c r="AD80" s="157" t="b">
        <v>0</v>
      </c>
    </row>
    <row r="81" spans="1:30" x14ac:dyDescent="0.3">
      <c r="A81" s="12" t="str">
        <f t="shared" si="6"/>
        <v>MLB10005298106063TEASTCH46023</v>
      </c>
      <c r="B81" s="12" t="str">
        <f>CONTAL[[#This Row],[StaffMemberCode]]&amp;CONTAL[[#This Row],[AllowancePointCode]]&amp;CONTAL[[#This Row],[ContractReference]]&amp;CONTAL[[#This Row],[SchoolCode]]</f>
        <v>10005298TLR2A106063MLB</v>
      </c>
      <c r="C81" s="57">
        <f>IF(COUNTIF(ContractsTeachFTE!A:A,ContractAllowances!A81)&gt;0,0,IF(COUNTIF(ContractsSupportHours!A:A,ContractAllowances!A81)&gt;0,0,1))</f>
        <v>0</v>
      </c>
      <c r="D81" s="57">
        <f>IF(_xlfn.XLOOKUP(CONTAL[[#This Row],[AllowancePointCode]],ALLWCPTS[AllowancePointCode],ALLWCPTS[AvailableToAllSchools])=TRUE,0,IFERROR(IF(FIND(CONTAL[[#This Row],[SchoolCode]],_xlfn.XLOOKUP(CONTAL[[#This Row],[AllowancePointCode]],ALLWCPTS[AllowancePointCode],ALLWCPTS[SchoolCodes]))&gt;=1,0,1),1))</f>
        <v>0</v>
      </c>
      <c r="E81" s="57" cm="1">
        <f t="array" ref="E81">IF(_xlfn.XLOOKUP(CONTAL[[#This Row],[DepartmentCode]],DEPTS[DepartmentCode],DEPTS[AvailableToAllSchools],1,0,)=TRUE,0,IF(ISERROR(FIND(CONTAL[[#This Row],[SchoolCode]],_xlfn.TEXTJOIN(",",TRUE,_xlfn.UNIQUE(IF(DEPTS[DepartmentCode]=CONTAL[[#This Row],[DepartmentCode]],DEPTS[SchoolCodes],""))))),1,0))</f>
        <v>0</v>
      </c>
      <c r="F81" s="57">
        <f>IF(COUNTIF(ALLWCTYPE[AllowanceTypeCode],CONTAL[[#This Row],[AllowanceCode]])&gt;0,0,1)</f>
        <v>0</v>
      </c>
      <c r="G81" s="57">
        <f>IF(COUNTIF(ALLWCPTS[AllowancePointCode],CONTAL[[#This Row],[AllowancePointCode]])&gt;0,0,1)</f>
        <v>0</v>
      </c>
      <c r="H81" s="57">
        <f>COUNTIF(CONTAL[Person+AllowancePoint+ContractRef+SchoolCode],CONTAL[[#This Row],[Person+AllowancePoint+ContractRef+SchoolCode]])-1</f>
        <v>0</v>
      </c>
      <c r="I81" s="57">
        <f t="shared" si="7"/>
        <v>0</v>
      </c>
      <c r="J81" s="57">
        <f>IF(ISBLANK(CONTAL[[#This Row],[ContractDateTo]]),0,IF(CONTAL[[#This Row],[ContractDateFrom]]=CONTAL[[#This Row],[ContractDateTo]],0,IF(CONTAL[[#This Row],[ContractDateFrom]]&lt;CONTAL[[#This Row],[ContractDateTo]],0,1)))</f>
        <v>0</v>
      </c>
      <c r="K81" s="57">
        <f>IF(ISBLANK(CONTAL[[#This Row],[AllowanceDateTo]]),0,IF(CONTAL[[#This Row],[AllowanceDateFrom]]=CONTAL[[#This Row],[AllowanceDateTo]],0,IF(CONTAL[[#This Row],[AllowanceDateFrom]]&lt;CONTAL[[#This Row],[AllowanceDateTo]],0,1)))</f>
        <v>0</v>
      </c>
      <c r="L81" s="57" cm="1">
        <f t="array" aca="1" ref="L81" ca="1">IF(CELL("format",CONTAL[[#This Row],[ContractDateFrom]])="D1",0,1)+IF(CELL("format",CONTAL[[#This Row],[ContractDateTo]])="D1",0,1)+IF(CELL("format",CONTAL[[#This Row],[AllowanceDateFrom]])="D1",0,1)+IF(CELL("format",CONTAL[[#This Row],[AllowanceDateTo]])="D1",0,1)</f>
        <v>0</v>
      </c>
      <c r="M81" s="57">
        <f>IF(OR(CONTAL[[#This Row],[IgnoreFte]]=TRUE,CONTAL[[#This Row],[IgnoreFte]]=FALSE),0,1)</f>
        <v>0</v>
      </c>
      <c r="N81" s="57">
        <f>IF(LEN(CONTAL[[#This Row],[Notes]])&lt;4000,0,1)</f>
        <v>0</v>
      </c>
      <c r="O81" s="112">
        <f>COUNTBLANK(CONTAL[[#This Row],[AllowanceCode]:[AllowanceDateFrom]])+COUNTBLANK(CONTAL[[#This Row],[IgnoreFte]]:CONTAL[[#This Row],[IgnoreFte]])</f>
        <v>0</v>
      </c>
      <c r="P81" s="57">
        <f ca="1">SUM(CONTAL[[#This Row],[Contract Issue]:[Blank in column]])</f>
        <v>0</v>
      </c>
      <c r="R81" s="12" t="s">
        <v>2126</v>
      </c>
      <c r="S81" s="12">
        <v>10005298</v>
      </c>
      <c r="T81" s="12">
        <v>106063</v>
      </c>
      <c r="U81" s="57" t="str">
        <f>_xlfn.XLOOKUP(CONTAL[[#This Row],[StaffMemberCode]],StaffMembers!O:O,StaffMembers!R:R)</f>
        <v>Jennifer Harding</v>
      </c>
      <c r="V81" s="12" t="s">
        <v>1178</v>
      </c>
      <c r="W81" s="12" t="s">
        <v>2499</v>
      </c>
      <c r="X81" s="21">
        <v>46023</v>
      </c>
      <c r="Z81" s="12" t="s">
        <v>1136</v>
      </c>
      <c r="AA81" s="20" t="s">
        <v>1363</v>
      </c>
      <c r="AB81" s="21">
        <v>46023</v>
      </c>
      <c r="AD81" s="157" t="b">
        <v>0</v>
      </c>
    </row>
    <row r="82" spans="1:30" x14ac:dyDescent="0.3">
      <c r="A82" s="12" t="str">
        <f t="shared" si="6"/>
        <v>MLB10005342106115TEASTCH46023</v>
      </c>
      <c r="B82" s="12" t="str">
        <f>CONTAL[[#This Row],[StaffMemberCode]]&amp;CONTAL[[#This Row],[AllowancePointCode]]&amp;CONTAL[[#This Row],[ContractReference]]&amp;CONTAL[[#This Row],[SchoolCode]]</f>
        <v>10005342TLR2A106115MLB</v>
      </c>
      <c r="C82" s="57">
        <f>IF(COUNTIF(ContractsTeachFTE!A:A,ContractAllowances!A82)&gt;0,0,IF(COUNTIF(ContractsSupportHours!A:A,ContractAllowances!A82)&gt;0,0,1))</f>
        <v>0</v>
      </c>
      <c r="D82" s="57">
        <f>IF(_xlfn.XLOOKUP(CONTAL[[#This Row],[AllowancePointCode]],ALLWCPTS[AllowancePointCode],ALLWCPTS[AvailableToAllSchools])=TRUE,0,IFERROR(IF(FIND(CONTAL[[#This Row],[SchoolCode]],_xlfn.XLOOKUP(CONTAL[[#This Row],[AllowancePointCode]],ALLWCPTS[AllowancePointCode],ALLWCPTS[SchoolCodes]))&gt;=1,0,1),1))</f>
        <v>0</v>
      </c>
      <c r="E82" s="57" cm="1">
        <f t="array" ref="E82">IF(_xlfn.XLOOKUP(CONTAL[[#This Row],[DepartmentCode]],DEPTS[DepartmentCode],DEPTS[AvailableToAllSchools],1,0,)=TRUE,0,IF(ISERROR(FIND(CONTAL[[#This Row],[SchoolCode]],_xlfn.TEXTJOIN(",",TRUE,_xlfn.UNIQUE(IF(DEPTS[DepartmentCode]=CONTAL[[#This Row],[DepartmentCode]],DEPTS[SchoolCodes],""))))),1,0))</f>
        <v>0</v>
      </c>
      <c r="F82" s="57">
        <f>IF(COUNTIF(ALLWCTYPE[AllowanceTypeCode],CONTAL[[#This Row],[AllowanceCode]])&gt;0,0,1)</f>
        <v>0</v>
      </c>
      <c r="G82" s="57">
        <f>IF(COUNTIF(ALLWCPTS[AllowancePointCode],CONTAL[[#This Row],[AllowancePointCode]])&gt;0,0,1)</f>
        <v>0</v>
      </c>
      <c r="H82" s="57">
        <f>COUNTIF(CONTAL[Person+AllowancePoint+ContractRef+SchoolCode],CONTAL[[#This Row],[Person+AllowancePoint+ContractRef+SchoolCode]])-1</f>
        <v>0</v>
      </c>
      <c r="I82" s="57">
        <f t="shared" si="7"/>
        <v>0</v>
      </c>
      <c r="J82" s="57">
        <f>IF(ISBLANK(CONTAL[[#This Row],[ContractDateTo]]),0,IF(CONTAL[[#This Row],[ContractDateFrom]]=CONTAL[[#This Row],[ContractDateTo]],0,IF(CONTAL[[#This Row],[ContractDateFrom]]&lt;CONTAL[[#This Row],[ContractDateTo]],0,1)))</f>
        <v>0</v>
      </c>
      <c r="K82" s="57">
        <f>IF(ISBLANK(CONTAL[[#This Row],[AllowanceDateTo]]),0,IF(CONTAL[[#This Row],[AllowanceDateFrom]]=CONTAL[[#This Row],[AllowanceDateTo]],0,IF(CONTAL[[#This Row],[AllowanceDateFrom]]&lt;CONTAL[[#This Row],[AllowanceDateTo]],0,1)))</f>
        <v>0</v>
      </c>
      <c r="L82" s="57" cm="1">
        <f t="array" aca="1" ref="L82" ca="1">IF(CELL("format",CONTAL[[#This Row],[ContractDateFrom]])="D1",0,1)+IF(CELL("format",CONTAL[[#This Row],[ContractDateTo]])="D1",0,1)+IF(CELL("format",CONTAL[[#This Row],[AllowanceDateFrom]])="D1",0,1)+IF(CELL("format",CONTAL[[#This Row],[AllowanceDateTo]])="D1",0,1)</f>
        <v>0</v>
      </c>
      <c r="M82" s="57">
        <f>IF(OR(CONTAL[[#This Row],[IgnoreFte]]=TRUE,CONTAL[[#This Row],[IgnoreFte]]=FALSE),0,1)</f>
        <v>0</v>
      </c>
      <c r="N82" s="57">
        <f>IF(LEN(CONTAL[[#This Row],[Notes]])&lt;4000,0,1)</f>
        <v>0</v>
      </c>
      <c r="O82" s="112">
        <f>COUNTBLANK(CONTAL[[#This Row],[AllowanceCode]:[AllowanceDateFrom]])+COUNTBLANK(CONTAL[[#This Row],[IgnoreFte]]:CONTAL[[#This Row],[IgnoreFte]])</f>
        <v>0</v>
      </c>
      <c r="P82" s="57">
        <f ca="1">SUM(CONTAL[[#This Row],[Contract Issue]:[Blank in column]])</f>
        <v>0</v>
      </c>
      <c r="R82" s="12" t="s">
        <v>2126</v>
      </c>
      <c r="S82" s="12">
        <v>10005342</v>
      </c>
      <c r="T82" s="12">
        <v>106115</v>
      </c>
      <c r="U82" s="57" t="str">
        <f>_xlfn.XLOOKUP(CONTAL[[#This Row],[StaffMemberCode]],StaffMembers!O:O,StaffMembers!R:R)</f>
        <v>Philip Sweetman</v>
      </c>
      <c r="V82" s="12" t="s">
        <v>1178</v>
      </c>
      <c r="W82" s="12" t="s">
        <v>2499</v>
      </c>
      <c r="X82" s="21">
        <v>46023</v>
      </c>
      <c r="Z82" s="12" t="s">
        <v>1136</v>
      </c>
      <c r="AA82" s="20" t="s">
        <v>1363</v>
      </c>
      <c r="AB82" s="21">
        <v>46023</v>
      </c>
      <c r="AD82" s="157" t="b">
        <v>0</v>
      </c>
    </row>
    <row r="83" spans="1:30" x14ac:dyDescent="0.3">
      <c r="A83" s="12" t="str">
        <f t="shared" si="6"/>
        <v>MLB10005331106103TEASTCH46023</v>
      </c>
      <c r="B83" s="12" t="str">
        <f>CONTAL[[#This Row],[StaffMemberCode]]&amp;CONTAL[[#This Row],[AllowancePointCode]]&amp;CONTAL[[#This Row],[ContractReference]]&amp;CONTAL[[#This Row],[SchoolCode]]</f>
        <v>10005331TLR2A106103MLB</v>
      </c>
      <c r="C83" s="57">
        <f>IF(COUNTIF(ContractsTeachFTE!A:A,ContractAllowances!A83)&gt;0,0,IF(COUNTIF(ContractsSupportHours!A:A,ContractAllowances!A83)&gt;0,0,1))</f>
        <v>0</v>
      </c>
      <c r="D83" s="57">
        <f>IF(_xlfn.XLOOKUP(CONTAL[[#This Row],[AllowancePointCode]],ALLWCPTS[AllowancePointCode],ALLWCPTS[AvailableToAllSchools])=TRUE,0,IFERROR(IF(FIND(CONTAL[[#This Row],[SchoolCode]],_xlfn.XLOOKUP(CONTAL[[#This Row],[AllowancePointCode]],ALLWCPTS[AllowancePointCode],ALLWCPTS[SchoolCodes]))&gt;=1,0,1),1))</f>
        <v>0</v>
      </c>
      <c r="E83" s="57" cm="1">
        <f t="array" ref="E83">IF(_xlfn.XLOOKUP(CONTAL[[#This Row],[DepartmentCode]],DEPTS[DepartmentCode],DEPTS[AvailableToAllSchools],1,0,)=TRUE,0,IF(ISERROR(FIND(CONTAL[[#This Row],[SchoolCode]],_xlfn.TEXTJOIN(",",TRUE,_xlfn.UNIQUE(IF(DEPTS[DepartmentCode]=CONTAL[[#This Row],[DepartmentCode]],DEPTS[SchoolCodes],""))))),1,0))</f>
        <v>0</v>
      </c>
      <c r="F83" s="57">
        <f>IF(COUNTIF(ALLWCTYPE[AllowanceTypeCode],CONTAL[[#This Row],[AllowanceCode]])&gt;0,0,1)</f>
        <v>0</v>
      </c>
      <c r="G83" s="57">
        <f>IF(COUNTIF(ALLWCPTS[AllowancePointCode],CONTAL[[#This Row],[AllowancePointCode]])&gt;0,0,1)</f>
        <v>0</v>
      </c>
      <c r="H83" s="57">
        <f>COUNTIF(CONTAL[Person+AllowancePoint+ContractRef+SchoolCode],CONTAL[[#This Row],[Person+AllowancePoint+ContractRef+SchoolCode]])-1</f>
        <v>0</v>
      </c>
      <c r="I83" s="57">
        <f t="shared" si="7"/>
        <v>0</v>
      </c>
      <c r="J83" s="57">
        <f>IF(ISBLANK(CONTAL[[#This Row],[ContractDateTo]]),0,IF(CONTAL[[#This Row],[ContractDateFrom]]=CONTAL[[#This Row],[ContractDateTo]],0,IF(CONTAL[[#This Row],[ContractDateFrom]]&lt;CONTAL[[#This Row],[ContractDateTo]],0,1)))</f>
        <v>0</v>
      </c>
      <c r="K83" s="57">
        <f>IF(ISBLANK(CONTAL[[#This Row],[AllowanceDateTo]]),0,IF(CONTAL[[#This Row],[AllowanceDateFrom]]=CONTAL[[#This Row],[AllowanceDateTo]],0,IF(CONTAL[[#This Row],[AllowanceDateFrom]]&lt;CONTAL[[#This Row],[AllowanceDateTo]],0,1)))</f>
        <v>0</v>
      </c>
      <c r="L83" s="57" cm="1">
        <f t="array" aca="1" ref="L83" ca="1">IF(CELL("format",CONTAL[[#This Row],[ContractDateFrom]])="D1",0,1)+IF(CELL("format",CONTAL[[#This Row],[ContractDateTo]])="D1",0,1)+IF(CELL("format",CONTAL[[#This Row],[AllowanceDateFrom]])="D1",0,1)+IF(CELL("format",CONTAL[[#This Row],[AllowanceDateTo]])="D1",0,1)</f>
        <v>0</v>
      </c>
      <c r="M83" s="57">
        <f>IF(OR(CONTAL[[#This Row],[IgnoreFte]]=TRUE,CONTAL[[#This Row],[IgnoreFte]]=FALSE),0,1)</f>
        <v>0</v>
      </c>
      <c r="N83" s="57">
        <f>IF(LEN(CONTAL[[#This Row],[Notes]])&lt;4000,0,1)</f>
        <v>0</v>
      </c>
      <c r="O83" s="112">
        <f>COUNTBLANK(CONTAL[[#This Row],[AllowanceCode]:[AllowanceDateFrom]])+COUNTBLANK(CONTAL[[#This Row],[IgnoreFte]]:CONTAL[[#This Row],[IgnoreFte]])</f>
        <v>0</v>
      </c>
      <c r="P83" s="57">
        <f ca="1">SUM(CONTAL[[#This Row],[Contract Issue]:[Blank in column]])</f>
        <v>0</v>
      </c>
      <c r="R83" s="12" t="s">
        <v>2126</v>
      </c>
      <c r="S83" s="12">
        <v>10005331</v>
      </c>
      <c r="T83" s="12">
        <v>106103</v>
      </c>
      <c r="U83" s="57" t="str">
        <f>_xlfn.XLOOKUP(CONTAL[[#This Row],[StaffMemberCode]],StaffMembers!O:O,StaffMembers!R:R)</f>
        <v>Victoria Thorley</v>
      </c>
      <c r="V83" s="12" t="s">
        <v>1178</v>
      </c>
      <c r="W83" s="12" t="s">
        <v>2499</v>
      </c>
      <c r="X83" s="21">
        <v>46023</v>
      </c>
      <c r="Z83" s="12" t="s">
        <v>1136</v>
      </c>
      <c r="AA83" s="20" t="s">
        <v>1363</v>
      </c>
      <c r="AB83" s="21">
        <v>46023</v>
      </c>
      <c r="AD83" s="157" t="b">
        <v>0</v>
      </c>
    </row>
    <row r="84" spans="1:30" x14ac:dyDescent="0.3">
      <c r="A84" s="12" t="str">
        <f t="shared" si="6"/>
        <v>MLB10010505109640TEASTCH46023</v>
      </c>
      <c r="B84" s="12" t="str">
        <f>CONTAL[[#This Row],[StaffMemberCode]]&amp;CONTAL[[#This Row],[AllowancePointCode]]&amp;CONTAL[[#This Row],[ContractReference]]&amp;CONTAL[[#This Row],[SchoolCode]]</f>
        <v>10010505TLR2A109640MLB</v>
      </c>
      <c r="C84" s="57">
        <f>IF(COUNTIF(ContractsTeachFTE!A:A,ContractAllowances!A84)&gt;0,0,IF(COUNTIF(ContractsSupportHours!A:A,ContractAllowances!A84)&gt;0,0,1))</f>
        <v>0</v>
      </c>
      <c r="D84" s="57">
        <f>IF(_xlfn.XLOOKUP(CONTAL[[#This Row],[AllowancePointCode]],ALLWCPTS[AllowancePointCode],ALLWCPTS[AvailableToAllSchools])=TRUE,0,IFERROR(IF(FIND(CONTAL[[#This Row],[SchoolCode]],_xlfn.XLOOKUP(CONTAL[[#This Row],[AllowancePointCode]],ALLWCPTS[AllowancePointCode],ALLWCPTS[SchoolCodes]))&gt;=1,0,1),1))</f>
        <v>0</v>
      </c>
      <c r="E84" s="57" cm="1">
        <f t="array" ref="E84">IF(_xlfn.XLOOKUP(CONTAL[[#This Row],[DepartmentCode]],DEPTS[DepartmentCode],DEPTS[AvailableToAllSchools],1,0,)=TRUE,0,IF(ISERROR(FIND(CONTAL[[#This Row],[SchoolCode]],_xlfn.TEXTJOIN(",",TRUE,_xlfn.UNIQUE(IF(DEPTS[DepartmentCode]=CONTAL[[#This Row],[DepartmentCode]],DEPTS[SchoolCodes],""))))),1,0))</f>
        <v>0</v>
      </c>
      <c r="F84" s="57">
        <f>IF(COUNTIF(ALLWCTYPE[AllowanceTypeCode],CONTAL[[#This Row],[AllowanceCode]])&gt;0,0,1)</f>
        <v>0</v>
      </c>
      <c r="G84" s="57">
        <f>IF(COUNTIF(ALLWCPTS[AllowancePointCode],CONTAL[[#This Row],[AllowancePointCode]])&gt;0,0,1)</f>
        <v>0</v>
      </c>
      <c r="H84" s="57">
        <f>COUNTIF(CONTAL[Person+AllowancePoint+ContractRef+SchoolCode],CONTAL[[#This Row],[Person+AllowancePoint+ContractRef+SchoolCode]])-1</f>
        <v>0</v>
      </c>
      <c r="I84" s="57">
        <f t="shared" si="7"/>
        <v>0</v>
      </c>
      <c r="J84" s="57">
        <f>IF(ISBLANK(CONTAL[[#This Row],[ContractDateTo]]),0,IF(CONTAL[[#This Row],[ContractDateFrom]]=CONTAL[[#This Row],[ContractDateTo]],0,IF(CONTAL[[#This Row],[ContractDateFrom]]&lt;CONTAL[[#This Row],[ContractDateTo]],0,1)))</f>
        <v>0</v>
      </c>
      <c r="K84" s="57">
        <f>IF(ISBLANK(CONTAL[[#This Row],[AllowanceDateTo]]),0,IF(CONTAL[[#This Row],[AllowanceDateFrom]]=CONTAL[[#This Row],[AllowanceDateTo]],0,IF(CONTAL[[#This Row],[AllowanceDateFrom]]&lt;CONTAL[[#This Row],[AllowanceDateTo]],0,1)))</f>
        <v>0</v>
      </c>
      <c r="L84" s="57" cm="1">
        <f t="array" aca="1" ref="L84" ca="1">IF(CELL("format",CONTAL[[#This Row],[ContractDateFrom]])="D1",0,1)+IF(CELL("format",CONTAL[[#This Row],[ContractDateTo]])="D1",0,1)+IF(CELL("format",CONTAL[[#This Row],[AllowanceDateFrom]])="D1",0,1)+IF(CELL("format",CONTAL[[#This Row],[AllowanceDateTo]])="D1",0,1)</f>
        <v>0</v>
      </c>
      <c r="M84" s="57">
        <f>IF(OR(CONTAL[[#This Row],[IgnoreFte]]=TRUE,CONTAL[[#This Row],[IgnoreFte]]=FALSE),0,1)</f>
        <v>0</v>
      </c>
      <c r="N84" s="57">
        <f>IF(LEN(CONTAL[[#This Row],[Notes]])&lt;4000,0,1)</f>
        <v>0</v>
      </c>
      <c r="O84" s="112">
        <f>COUNTBLANK(CONTAL[[#This Row],[AllowanceCode]:[AllowanceDateFrom]])+COUNTBLANK(CONTAL[[#This Row],[IgnoreFte]]:CONTAL[[#This Row],[IgnoreFte]])</f>
        <v>0</v>
      </c>
      <c r="P84" s="57">
        <f ca="1">SUM(CONTAL[[#This Row],[Contract Issue]:[Blank in column]])</f>
        <v>0</v>
      </c>
      <c r="R84" s="12" t="s">
        <v>2126</v>
      </c>
      <c r="S84" s="12">
        <v>10010505</v>
      </c>
      <c r="T84" s="12">
        <v>109640</v>
      </c>
      <c r="U84" s="57" t="str">
        <f>_xlfn.XLOOKUP(CONTAL[[#This Row],[StaffMemberCode]],StaffMembers!O:O,StaffMembers!R:R)</f>
        <v>Charlie Wyatt</v>
      </c>
      <c r="V84" s="12" t="s">
        <v>1178</v>
      </c>
      <c r="W84" s="12" t="s">
        <v>2499</v>
      </c>
      <c r="X84" s="21">
        <v>46023</v>
      </c>
      <c r="Z84" s="12" t="s">
        <v>1136</v>
      </c>
      <c r="AA84" s="20" t="s">
        <v>1363</v>
      </c>
      <c r="AB84" s="21">
        <v>46023</v>
      </c>
      <c r="AD84" s="157" t="b">
        <v>0</v>
      </c>
    </row>
    <row r="85" spans="1:30" x14ac:dyDescent="0.3">
      <c r="A85" s="12" t="str">
        <f t="shared" si="6"/>
        <v>MLB10007458108437TEASTCH46023</v>
      </c>
      <c r="B85" s="12" t="str">
        <f>CONTAL[[#This Row],[StaffMemberCode]]&amp;CONTAL[[#This Row],[AllowancePointCode]]&amp;CONTAL[[#This Row],[ContractReference]]&amp;CONTAL[[#This Row],[SchoolCode]]</f>
        <v>10007458TLR2A108437MLB</v>
      </c>
      <c r="C85" s="57">
        <f>IF(COUNTIF(ContractsTeachFTE!A:A,ContractAllowances!A85)&gt;0,0,IF(COUNTIF(ContractsSupportHours!A:A,ContractAllowances!A85)&gt;0,0,1))</f>
        <v>0</v>
      </c>
      <c r="D85" s="57">
        <f>IF(_xlfn.XLOOKUP(CONTAL[[#This Row],[AllowancePointCode]],ALLWCPTS[AllowancePointCode],ALLWCPTS[AvailableToAllSchools])=TRUE,0,IFERROR(IF(FIND(CONTAL[[#This Row],[SchoolCode]],_xlfn.XLOOKUP(CONTAL[[#This Row],[AllowancePointCode]],ALLWCPTS[AllowancePointCode],ALLWCPTS[SchoolCodes]))&gt;=1,0,1),1))</f>
        <v>0</v>
      </c>
      <c r="E85" s="57" cm="1">
        <f t="array" ref="E85">IF(_xlfn.XLOOKUP(CONTAL[[#This Row],[DepartmentCode]],DEPTS[DepartmentCode],DEPTS[AvailableToAllSchools],1,0,)=TRUE,0,IF(ISERROR(FIND(CONTAL[[#This Row],[SchoolCode]],_xlfn.TEXTJOIN(",",TRUE,_xlfn.UNIQUE(IF(DEPTS[DepartmentCode]=CONTAL[[#This Row],[DepartmentCode]],DEPTS[SchoolCodes],""))))),1,0))</f>
        <v>0</v>
      </c>
      <c r="F85" s="57">
        <f>IF(COUNTIF(ALLWCTYPE[AllowanceTypeCode],CONTAL[[#This Row],[AllowanceCode]])&gt;0,0,1)</f>
        <v>0</v>
      </c>
      <c r="G85" s="57">
        <f>IF(COUNTIF(ALLWCPTS[AllowancePointCode],CONTAL[[#This Row],[AllowancePointCode]])&gt;0,0,1)</f>
        <v>0</v>
      </c>
      <c r="H85" s="57">
        <f>COUNTIF(CONTAL[Person+AllowancePoint+ContractRef+SchoolCode],CONTAL[[#This Row],[Person+AllowancePoint+ContractRef+SchoolCode]])-1</f>
        <v>0</v>
      </c>
      <c r="I85" s="57">
        <f t="shared" si="7"/>
        <v>0</v>
      </c>
      <c r="J85" s="57">
        <f>IF(ISBLANK(CONTAL[[#This Row],[ContractDateTo]]),0,IF(CONTAL[[#This Row],[ContractDateFrom]]=CONTAL[[#This Row],[ContractDateTo]],0,IF(CONTAL[[#This Row],[ContractDateFrom]]&lt;CONTAL[[#This Row],[ContractDateTo]],0,1)))</f>
        <v>0</v>
      </c>
      <c r="K85" s="57">
        <f>IF(ISBLANK(CONTAL[[#This Row],[AllowanceDateTo]]),0,IF(CONTAL[[#This Row],[AllowanceDateFrom]]=CONTAL[[#This Row],[AllowanceDateTo]],0,IF(CONTAL[[#This Row],[AllowanceDateFrom]]&lt;CONTAL[[#This Row],[AllowanceDateTo]],0,1)))</f>
        <v>0</v>
      </c>
      <c r="L85" s="57" cm="1">
        <f t="array" aca="1" ref="L85" ca="1">IF(CELL("format",CONTAL[[#This Row],[ContractDateFrom]])="D1",0,1)+IF(CELL("format",CONTAL[[#This Row],[ContractDateTo]])="D1",0,1)+IF(CELL("format",CONTAL[[#This Row],[AllowanceDateFrom]])="D1",0,1)+IF(CELL("format",CONTAL[[#This Row],[AllowanceDateTo]])="D1",0,1)</f>
        <v>0</v>
      </c>
      <c r="M85" s="57">
        <f>IF(OR(CONTAL[[#This Row],[IgnoreFte]]=TRUE,CONTAL[[#This Row],[IgnoreFte]]=FALSE),0,1)</f>
        <v>0</v>
      </c>
      <c r="N85" s="57">
        <f>IF(LEN(CONTAL[[#This Row],[Notes]])&lt;4000,0,1)</f>
        <v>0</v>
      </c>
      <c r="O85" s="112">
        <f>COUNTBLANK(CONTAL[[#This Row],[AllowanceCode]:[AllowanceDateFrom]])+COUNTBLANK(CONTAL[[#This Row],[IgnoreFte]]:CONTAL[[#This Row],[IgnoreFte]])</f>
        <v>0</v>
      </c>
      <c r="P85" s="57">
        <f ca="1">SUM(CONTAL[[#This Row],[Contract Issue]:[Blank in column]])</f>
        <v>0</v>
      </c>
      <c r="R85" s="12" t="s">
        <v>2126</v>
      </c>
      <c r="S85" s="12">
        <v>10007458</v>
      </c>
      <c r="T85" s="12">
        <v>108437</v>
      </c>
      <c r="U85" s="57" t="str">
        <f>_xlfn.XLOOKUP(CONTAL[[#This Row],[StaffMemberCode]],StaffMembers!O:O,StaffMembers!R:R)</f>
        <v>Natalie Elkin</v>
      </c>
      <c r="V85" s="12" t="s">
        <v>1178</v>
      </c>
      <c r="W85" s="12" t="s">
        <v>2499</v>
      </c>
      <c r="X85" s="21">
        <v>46023</v>
      </c>
      <c r="Z85" s="12" t="s">
        <v>1136</v>
      </c>
      <c r="AA85" s="20" t="s">
        <v>1363</v>
      </c>
      <c r="AB85" s="21">
        <v>46023</v>
      </c>
      <c r="AD85" s="157" t="b">
        <v>0</v>
      </c>
    </row>
    <row r="86" spans="1:30" x14ac:dyDescent="0.3">
      <c r="A86" s="12" t="str">
        <f t="shared" si="6"/>
        <v>MLB10014573106049TEASTCH46023</v>
      </c>
      <c r="B86" s="12" t="str">
        <f>CONTAL[[#This Row],[StaffMemberCode]]&amp;CONTAL[[#This Row],[AllowancePointCode]]&amp;CONTAL[[#This Row],[ContractReference]]&amp;CONTAL[[#This Row],[SchoolCode]]</f>
        <v>10014573TLR2A106049MLB</v>
      </c>
      <c r="C86" s="57">
        <f>IF(COUNTIF(ContractsTeachFTE!A:A,ContractAllowances!A86)&gt;0,0,IF(COUNTIF(ContractsSupportHours!A:A,ContractAllowances!A86)&gt;0,0,1))</f>
        <v>0</v>
      </c>
      <c r="D86" s="57">
        <f>IF(_xlfn.XLOOKUP(CONTAL[[#This Row],[AllowancePointCode]],ALLWCPTS[AllowancePointCode],ALLWCPTS[AvailableToAllSchools])=TRUE,0,IFERROR(IF(FIND(CONTAL[[#This Row],[SchoolCode]],_xlfn.XLOOKUP(CONTAL[[#This Row],[AllowancePointCode]],ALLWCPTS[AllowancePointCode],ALLWCPTS[SchoolCodes]))&gt;=1,0,1),1))</f>
        <v>0</v>
      </c>
      <c r="E86" s="57" cm="1">
        <f t="array" ref="E86">IF(_xlfn.XLOOKUP(CONTAL[[#This Row],[DepartmentCode]],DEPTS[DepartmentCode],DEPTS[AvailableToAllSchools],1,0,)=TRUE,0,IF(ISERROR(FIND(CONTAL[[#This Row],[SchoolCode]],_xlfn.TEXTJOIN(",",TRUE,_xlfn.UNIQUE(IF(DEPTS[DepartmentCode]=CONTAL[[#This Row],[DepartmentCode]],DEPTS[SchoolCodes],""))))),1,0))</f>
        <v>0</v>
      </c>
      <c r="F86" s="57">
        <f>IF(COUNTIF(ALLWCTYPE[AllowanceTypeCode],CONTAL[[#This Row],[AllowanceCode]])&gt;0,0,1)</f>
        <v>0</v>
      </c>
      <c r="G86" s="57">
        <f>IF(COUNTIF(ALLWCPTS[AllowancePointCode],CONTAL[[#This Row],[AllowancePointCode]])&gt;0,0,1)</f>
        <v>0</v>
      </c>
      <c r="H86" s="57">
        <f>COUNTIF(CONTAL[Person+AllowancePoint+ContractRef+SchoolCode],CONTAL[[#This Row],[Person+AllowancePoint+ContractRef+SchoolCode]])-1</f>
        <v>0</v>
      </c>
      <c r="I86" s="57">
        <f t="shared" si="7"/>
        <v>0</v>
      </c>
      <c r="J86" s="57">
        <f>IF(ISBLANK(CONTAL[[#This Row],[ContractDateTo]]),0,IF(CONTAL[[#This Row],[ContractDateFrom]]=CONTAL[[#This Row],[ContractDateTo]],0,IF(CONTAL[[#This Row],[ContractDateFrom]]&lt;CONTAL[[#This Row],[ContractDateTo]],0,1)))</f>
        <v>0</v>
      </c>
      <c r="K86" s="57">
        <f>IF(ISBLANK(CONTAL[[#This Row],[AllowanceDateTo]]),0,IF(CONTAL[[#This Row],[AllowanceDateFrom]]=CONTAL[[#This Row],[AllowanceDateTo]],0,IF(CONTAL[[#This Row],[AllowanceDateFrom]]&lt;CONTAL[[#This Row],[AllowanceDateTo]],0,1)))</f>
        <v>0</v>
      </c>
      <c r="L86" s="57" cm="1">
        <f t="array" aca="1" ref="L86" ca="1">IF(CELL("format",CONTAL[[#This Row],[ContractDateFrom]])="D1",0,1)+IF(CELL("format",CONTAL[[#This Row],[ContractDateTo]])="D1",0,1)+IF(CELL("format",CONTAL[[#This Row],[AllowanceDateFrom]])="D1",0,1)+IF(CELL("format",CONTAL[[#This Row],[AllowanceDateTo]])="D1",0,1)</f>
        <v>0</v>
      </c>
      <c r="M86" s="57">
        <f>IF(OR(CONTAL[[#This Row],[IgnoreFte]]=TRUE,CONTAL[[#This Row],[IgnoreFte]]=FALSE),0,1)</f>
        <v>0</v>
      </c>
      <c r="N86" s="57">
        <f>IF(LEN(CONTAL[[#This Row],[Notes]])&lt;4000,0,1)</f>
        <v>0</v>
      </c>
      <c r="O86" s="112">
        <f>COUNTBLANK(CONTAL[[#This Row],[AllowanceCode]:[AllowanceDateFrom]])+COUNTBLANK(CONTAL[[#This Row],[IgnoreFte]]:CONTAL[[#This Row],[IgnoreFte]])</f>
        <v>0</v>
      </c>
      <c r="P86" s="57">
        <f ca="1">SUM(CONTAL[[#This Row],[Contract Issue]:[Blank in column]])</f>
        <v>0</v>
      </c>
      <c r="R86" s="12" t="s">
        <v>2126</v>
      </c>
      <c r="S86" s="12">
        <v>10014573</v>
      </c>
      <c r="T86" s="12">
        <v>106049</v>
      </c>
      <c r="U86" s="57" t="str">
        <f>_xlfn.XLOOKUP(CONTAL[[#This Row],[StaffMemberCode]],StaffMembers!O:O,StaffMembers!R:R)</f>
        <v>Gemma Springhall</v>
      </c>
      <c r="V86" s="12" t="s">
        <v>1178</v>
      </c>
      <c r="W86" s="12" t="s">
        <v>2499</v>
      </c>
      <c r="X86" s="21">
        <v>46023</v>
      </c>
      <c r="Z86" s="12" t="s">
        <v>1136</v>
      </c>
      <c r="AA86" s="20" t="s">
        <v>1363</v>
      </c>
      <c r="AB86" s="21">
        <v>46023</v>
      </c>
      <c r="AD86" s="157" t="b">
        <v>0</v>
      </c>
    </row>
    <row r="87" spans="1:30" x14ac:dyDescent="0.3">
      <c r="A87" s="12" t="str">
        <f t="shared" si="6"/>
        <v>MLB10012805106825TEASTCH46023</v>
      </c>
      <c r="B87" s="12" t="str">
        <f>CONTAL[[#This Row],[StaffMemberCode]]&amp;CONTAL[[#This Row],[AllowancePointCode]]&amp;CONTAL[[#This Row],[ContractReference]]&amp;CONTAL[[#This Row],[SchoolCode]]</f>
        <v>10012805TLR2A106825MLB</v>
      </c>
      <c r="C87" s="57">
        <f>IF(COUNTIF(ContractsTeachFTE!A:A,ContractAllowances!A87)&gt;0,0,IF(COUNTIF(ContractsSupportHours!A:A,ContractAllowances!A87)&gt;0,0,1))</f>
        <v>0</v>
      </c>
      <c r="D87" s="57">
        <f>IF(_xlfn.XLOOKUP(CONTAL[[#This Row],[AllowancePointCode]],ALLWCPTS[AllowancePointCode],ALLWCPTS[AvailableToAllSchools])=TRUE,0,IFERROR(IF(FIND(CONTAL[[#This Row],[SchoolCode]],_xlfn.XLOOKUP(CONTAL[[#This Row],[AllowancePointCode]],ALLWCPTS[AllowancePointCode],ALLWCPTS[SchoolCodes]))&gt;=1,0,1),1))</f>
        <v>0</v>
      </c>
      <c r="E87" s="57" cm="1">
        <f t="array" ref="E87">IF(_xlfn.XLOOKUP(CONTAL[[#This Row],[DepartmentCode]],DEPTS[DepartmentCode],DEPTS[AvailableToAllSchools],1,0,)=TRUE,0,IF(ISERROR(FIND(CONTAL[[#This Row],[SchoolCode]],_xlfn.TEXTJOIN(",",TRUE,_xlfn.UNIQUE(IF(DEPTS[DepartmentCode]=CONTAL[[#This Row],[DepartmentCode]],DEPTS[SchoolCodes],""))))),1,0))</f>
        <v>0</v>
      </c>
      <c r="F87" s="57">
        <f>IF(COUNTIF(ALLWCTYPE[AllowanceTypeCode],CONTAL[[#This Row],[AllowanceCode]])&gt;0,0,1)</f>
        <v>0</v>
      </c>
      <c r="G87" s="57">
        <f>IF(COUNTIF(ALLWCPTS[AllowancePointCode],CONTAL[[#This Row],[AllowancePointCode]])&gt;0,0,1)</f>
        <v>0</v>
      </c>
      <c r="H87" s="57">
        <f>COUNTIF(CONTAL[Person+AllowancePoint+ContractRef+SchoolCode],CONTAL[[#This Row],[Person+AllowancePoint+ContractRef+SchoolCode]])-1</f>
        <v>0</v>
      </c>
      <c r="I87" s="57">
        <f t="shared" si="7"/>
        <v>0</v>
      </c>
      <c r="J87" s="57">
        <f>IF(ISBLANK(CONTAL[[#This Row],[ContractDateTo]]),0,IF(CONTAL[[#This Row],[ContractDateFrom]]=CONTAL[[#This Row],[ContractDateTo]],0,IF(CONTAL[[#This Row],[ContractDateFrom]]&lt;CONTAL[[#This Row],[ContractDateTo]],0,1)))</f>
        <v>0</v>
      </c>
      <c r="K87" s="57">
        <f>IF(ISBLANK(CONTAL[[#This Row],[AllowanceDateTo]]),0,IF(CONTAL[[#This Row],[AllowanceDateFrom]]=CONTAL[[#This Row],[AllowanceDateTo]],0,IF(CONTAL[[#This Row],[AllowanceDateFrom]]&lt;CONTAL[[#This Row],[AllowanceDateTo]],0,1)))</f>
        <v>0</v>
      </c>
      <c r="L87" s="57" cm="1">
        <f t="array" aca="1" ref="L87" ca="1">IF(CELL("format",CONTAL[[#This Row],[ContractDateFrom]])="D1",0,1)+IF(CELL("format",CONTAL[[#This Row],[ContractDateTo]])="D1",0,1)+IF(CELL("format",CONTAL[[#This Row],[AllowanceDateFrom]])="D1",0,1)+IF(CELL("format",CONTAL[[#This Row],[AllowanceDateTo]])="D1",0,1)</f>
        <v>0</v>
      </c>
      <c r="M87" s="57">
        <f>IF(OR(CONTAL[[#This Row],[IgnoreFte]]=TRUE,CONTAL[[#This Row],[IgnoreFte]]=FALSE),0,1)</f>
        <v>0</v>
      </c>
      <c r="N87" s="57">
        <f>IF(LEN(CONTAL[[#This Row],[Notes]])&lt;4000,0,1)</f>
        <v>0</v>
      </c>
      <c r="O87" s="112">
        <f>COUNTBLANK(CONTAL[[#This Row],[AllowanceCode]:[AllowanceDateFrom]])+COUNTBLANK(CONTAL[[#This Row],[IgnoreFte]]:CONTAL[[#This Row],[IgnoreFte]])</f>
        <v>0</v>
      </c>
      <c r="P87" s="57">
        <f ca="1">SUM(CONTAL[[#This Row],[Contract Issue]:[Blank in column]])</f>
        <v>0</v>
      </c>
      <c r="R87" s="12" t="s">
        <v>2126</v>
      </c>
      <c r="S87" s="12">
        <v>10012805</v>
      </c>
      <c r="T87" s="12">
        <v>106825</v>
      </c>
      <c r="U87" s="57" t="str">
        <f>_xlfn.XLOOKUP(CONTAL[[#This Row],[StaffMemberCode]],StaffMembers!O:O,StaffMembers!R:R)</f>
        <v>James Hawkins</v>
      </c>
      <c r="V87" s="12" t="s">
        <v>1178</v>
      </c>
      <c r="W87" s="12" t="s">
        <v>2499</v>
      </c>
      <c r="X87" s="21">
        <v>46023</v>
      </c>
      <c r="Z87" s="12" t="s">
        <v>1136</v>
      </c>
      <c r="AA87" s="20" t="s">
        <v>1363</v>
      </c>
      <c r="AB87" s="21">
        <v>46023</v>
      </c>
      <c r="AD87" s="157" t="b">
        <v>0</v>
      </c>
    </row>
    <row r="88" spans="1:30" x14ac:dyDescent="0.3">
      <c r="A88" s="12" t="str">
        <f t="shared" si="6"/>
        <v>MLB10005293106058TEASTCH46023</v>
      </c>
      <c r="B88" s="12" t="str">
        <f>CONTAL[[#This Row],[StaffMemberCode]]&amp;CONTAL[[#This Row],[AllowancePointCode]]&amp;CONTAL[[#This Row],[ContractReference]]&amp;CONTAL[[#This Row],[SchoolCode]]</f>
        <v>10005293TLR2A106058MLB</v>
      </c>
      <c r="C88" s="57">
        <f>IF(COUNTIF(ContractsTeachFTE!A:A,ContractAllowances!A88)&gt;0,0,IF(COUNTIF(ContractsSupportHours!A:A,ContractAllowances!A88)&gt;0,0,1))</f>
        <v>0</v>
      </c>
      <c r="D88" s="57">
        <f>IF(_xlfn.XLOOKUP(CONTAL[[#This Row],[AllowancePointCode]],ALLWCPTS[AllowancePointCode],ALLWCPTS[AvailableToAllSchools])=TRUE,0,IFERROR(IF(FIND(CONTAL[[#This Row],[SchoolCode]],_xlfn.XLOOKUP(CONTAL[[#This Row],[AllowancePointCode]],ALLWCPTS[AllowancePointCode],ALLWCPTS[SchoolCodes]))&gt;=1,0,1),1))</f>
        <v>0</v>
      </c>
      <c r="E88" s="57" cm="1">
        <f t="array" ref="E88">IF(_xlfn.XLOOKUP(CONTAL[[#This Row],[DepartmentCode]],DEPTS[DepartmentCode],DEPTS[AvailableToAllSchools],1,0,)=TRUE,0,IF(ISERROR(FIND(CONTAL[[#This Row],[SchoolCode]],_xlfn.TEXTJOIN(",",TRUE,_xlfn.UNIQUE(IF(DEPTS[DepartmentCode]=CONTAL[[#This Row],[DepartmentCode]],DEPTS[SchoolCodes],""))))),1,0))</f>
        <v>0</v>
      </c>
      <c r="F88" s="57">
        <f>IF(COUNTIF(ALLWCTYPE[AllowanceTypeCode],CONTAL[[#This Row],[AllowanceCode]])&gt;0,0,1)</f>
        <v>0</v>
      </c>
      <c r="G88" s="57">
        <f>IF(COUNTIF(ALLWCPTS[AllowancePointCode],CONTAL[[#This Row],[AllowancePointCode]])&gt;0,0,1)</f>
        <v>0</v>
      </c>
      <c r="H88" s="57">
        <f>COUNTIF(CONTAL[Person+AllowancePoint+ContractRef+SchoolCode],CONTAL[[#This Row],[Person+AllowancePoint+ContractRef+SchoolCode]])-1</f>
        <v>0</v>
      </c>
      <c r="I88" s="57">
        <f t="shared" si="7"/>
        <v>0</v>
      </c>
      <c r="J88" s="57">
        <f>IF(ISBLANK(CONTAL[[#This Row],[ContractDateTo]]),0,IF(CONTAL[[#This Row],[ContractDateFrom]]=CONTAL[[#This Row],[ContractDateTo]],0,IF(CONTAL[[#This Row],[ContractDateFrom]]&lt;CONTAL[[#This Row],[ContractDateTo]],0,1)))</f>
        <v>0</v>
      </c>
      <c r="K88" s="57">
        <f>IF(ISBLANK(CONTAL[[#This Row],[AllowanceDateTo]]),0,IF(CONTAL[[#This Row],[AllowanceDateFrom]]=CONTAL[[#This Row],[AllowanceDateTo]],0,IF(CONTAL[[#This Row],[AllowanceDateFrom]]&lt;CONTAL[[#This Row],[AllowanceDateTo]],0,1)))</f>
        <v>0</v>
      </c>
      <c r="L88" s="57" cm="1">
        <f t="array" aca="1" ref="L88" ca="1">IF(CELL("format",CONTAL[[#This Row],[ContractDateFrom]])="D1",0,1)+IF(CELL("format",CONTAL[[#This Row],[ContractDateTo]])="D1",0,1)+IF(CELL("format",CONTAL[[#This Row],[AllowanceDateFrom]])="D1",0,1)+IF(CELL("format",CONTAL[[#This Row],[AllowanceDateTo]])="D1",0,1)</f>
        <v>0</v>
      </c>
      <c r="M88" s="57">
        <f>IF(OR(CONTAL[[#This Row],[IgnoreFte]]=TRUE,CONTAL[[#This Row],[IgnoreFte]]=FALSE),0,1)</f>
        <v>0</v>
      </c>
      <c r="N88" s="57">
        <f>IF(LEN(CONTAL[[#This Row],[Notes]])&lt;4000,0,1)</f>
        <v>0</v>
      </c>
      <c r="O88" s="112">
        <f>COUNTBLANK(CONTAL[[#This Row],[AllowanceCode]:[AllowanceDateFrom]])+COUNTBLANK(CONTAL[[#This Row],[IgnoreFte]]:CONTAL[[#This Row],[IgnoreFte]])</f>
        <v>0</v>
      </c>
      <c r="P88" s="57">
        <f ca="1">SUM(CONTAL[[#This Row],[Contract Issue]:[Blank in column]])</f>
        <v>0</v>
      </c>
      <c r="R88" s="12" t="s">
        <v>2126</v>
      </c>
      <c r="S88" s="12">
        <v>10005293</v>
      </c>
      <c r="T88" s="12">
        <v>106058</v>
      </c>
      <c r="U88" s="57" t="str">
        <f>_xlfn.XLOOKUP(CONTAL[[#This Row],[StaffMemberCode]],StaffMembers!O:O,StaffMembers!R:R)</f>
        <v>Emmie Gabbatiss</v>
      </c>
      <c r="V88" s="12" t="s">
        <v>1178</v>
      </c>
      <c r="W88" s="12" t="s">
        <v>2499</v>
      </c>
      <c r="X88" s="21">
        <v>46023</v>
      </c>
      <c r="Z88" s="12" t="s">
        <v>1136</v>
      </c>
      <c r="AA88" s="20" t="s">
        <v>1363</v>
      </c>
      <c r="AB88" s="21">
        <v>46023</v>
      </c>
      <c r="AD88" s="157" t="b">
        <v>0</v>
      </c>
    </row>
    <row r="89" spans="1:30" x14ac:dyDescent="0.3">
      <c r="A89" s="12" t="str">
        <f t="shared" si="6"/>
        <v>MLB10005367106145TEASTCH46023</v>
      </c>
      <c r="B89" s="12" t="str">
        <f>CONTAL[[#This Row],[StaffMemberCode]]&amp;CONTAL[[#This Row],[AllowancePointCode]]&amp;CONTAL[[#This Row],[ContractReference]]&amp;CONTAL[[#This Row],[SchoolCode]]</f>
        <v>10005367TLR2A106145MLB</v>
      </c>
      <c r="C89" s="57">
        <f>IF(COUNTIF(ContractsTeachFTE!A:A,ContractAllowances!A89)&gt;0,0,IF(COUNTIF(ContractsSupportHours!A:A,ContractAllowances!A89)&gt;0,0,1))</f>
        <v>0</v>
      </c>
      <c r="D89" s="57">
        <f>IF(_xlfn.XLOOKUP(CONTAL[[#This Row],[AllowancePointCode]],ALLWCPTS[AllowancePointCode],ALLWCPTS[AvailableToAllSchools])=TRUE,0,IFERROR(IF(FIND(CONTAL[[#This Row],[SchoolCode]],_xlfn.XLOOKUP(CONTAL[[#This Row],[AllowancePointCode]],ALLWCPTS[AllowancePointCode],ALLWCPTS[SchoolCodes]))&gt;=1,0,1),1))</f>
        <v>0</v>
      </c>
      <c r="E89" s="57" cm="1">
        <f t="array" ref="E89">IF(_xlfn.XLOOKUP(CONTAL[[#This Row],[DepartmentCode]],DEPTS[DepartmentCode],DEPTS[AvailableToAllSchools],1,0,)=TRUE,0,IF(ISERROR(FIND(CONTAL[[#This Row],[SchoolCode]],_xlfn.TEXTJOIN(",",TRUE,_xlfn.UNIQUE(IF(DEPTS[DepartmentCode]=CONTAL[[#This Row],[DepartmentCode]],DEPTS[SchoolCodes],""))))),1,0))</f>
        <v>0</v>
      </c>
      <c r="F89" s="57">
        <f>IF(COUNTIF(ALLWCTYPE[AllowanceTypeCode],CONTAL[[#This Row],[AllowanceCode]])&gt;0,0,1)</f>
        <v>0</v>
      </c>
      <c r="G89" s="57">
        <f>IF(COUNTIF(ALLWCPTS[AllowancePointCode],CONTAL[[#This Row],[AllowancePointCode]])&gt;0,0,1)</f>
        <v>0</v>
      </c>
      <c r="H89" s="57">
        <f>COUNTIF(CONTAL[Person+AllowancePoint+ContractRef+SchoolCode],CONTAL[[#This Row],[Person+AllowancePoint+ContractRef+SchoolCode]])-1</f>
        <v>0</v>
      </c>
      <c r="I89" s="57">
        <f t="shared" si="7"/>
        <v>0</v>
      </c>
      <c r="J89" s="57">
        <f>IF(ISBLANK(CONTAL[[#This Row],[ContractDateTo]]),0,IF(CONTAL[[#This Row],[ContractDateFrom]]=CONTAL[[#This Row],[ContractDateTo]],0,IF(CONTAL[[#This Row],[ContractDateFrom]]&lt;CONTAL[[#This Row],[ContractDateTo]],0,1)))</f>
        <v>0</v>
      </c>
      <c r="K89" s="57">
        <f>IF(ISBLANK(CONTAL[[#This Row],[AllowanceDateTo]]),0,IF(CONTAL[[#This Row],[AllowanceDateFrom]]=CONTAL[[#This Row],[AllowanceDateTo]],0,IF(CONTAL[[#This Row],[AllowanceDateFrom]]&lt;CONTAL[[#This Row],[AllowanceDateTo]],0,1)))</f>
        <v>0</v>
      </c>
      <c r="L89" s="57" cm="1">
        <f t="array" aca="1" ref="L89" ca="1">IF(CELL("format",CONTAL[[#This Row],[ContractDateFrom]])="D1",0,1)+IF(CELL("format",CONTAL[[#This Row],[ContractDateTo]])="D1",0,1)+IF(CELL("format",CONTAL[[#This Row],[AllowanceDateFrom]])="D1",0,1)+IF(CELL("format",CONTAL[[#This Row],[AllowanceDateTo]])="D1",0,1)</f>
        <v>0</v>
      </c>
      <c r="M89" s="57">
        <f>IF(OR(CONTAL[[#This Row],[IgnoreFte]]=TRUE,CONTAL[[#This Row],[IgnoreFte]]=FALSE),0,1)</f>
        <v>0</v>
      </c>
      <c r="N89" s="57">
        <f>IF(LEN(CONTAL[[#This Row],[Notes]])&lt;4000,0,1)</f>
        <v>0</v>
      </c>
      <c r="O89" s="112">
        <f>COUNTBLANK(CONTAL[[#This Row],[AllowanceCode]:[AllowanceDateFrom]])+COUNTBLANK(CONTAL[[#This Row],[IgnoreFte]]:CONTAL[[#This Row],[IgnoreFte]])</f>
        <v>0</v>
      </c>
      <c r="P89" s="57">
        <f ca="1">SUM(CONTAL[[#This Row],[Contract Issue]:[Blank in column]])</f>
        <v>0</v>
      </c>
      <c r="R89" s="12" t="s">
        <v>2126</v>
      </c>
      <c r="S89" s="12">
        <v>10005367</v>
      </c>
      <c r="T89" s="12">
        <v>106145</v>
      </c>
      <c r="U89" s="57" t="str">
        <f>_xlfn.XLOOKUP(CONTAL[[#This Row],[StaffMemberCode]],StaffMembers!O:O,StaffMembers!R:R)</f>
        <v>James Clarkson</v>
      </c>
      <c r="V89" s="12" t="s">
        <v>1178</v>
      </c>
      <c r="W89" s="12" t="s">
        <v>2499</v>
      </c>
      <c r="X89" s="21">
        <v>46023</v>
      </c>
      <c r="Z89" s="12" t="s">
        <v>1136</v>
      </c>
      <c r="AA89" s="20" t="s">
        <v>1363</v>
      </c>
      <c r="AB89" s="21">
        <v>46023</v>
      </c>
      <c r="AD89" s="157" t="b">
        <v>0</v>
      </c>
    </row>
    <row r="90" spans="1:30" x14ac:dyDescent="0.3">
      <c r="A90" s="12" t="str">
        <f t="shared" si="6"/>
        <v>MLB10010502106053TEASTCH46023</v>
      </c>
      <c r="B90" s="12" t="str">
        <f>CONTAL[[#This Row],[StaffMemberCode]]&amp;CONTAL[[#This Row],[AllowancePointCode]]&amp;CONTAL[[#This Row],[ContractReference]]&amp;CONTAL[[#This Row],[SchoolCode]]</f>
        <v>10010502TLR2A106053MLB</v>
      </c>
      <c r="C90" s="57">
        <f>IF(COUNTIF(ContractsTeachFTE!A:A,ContractAllowances!A90)&gt;0,0,IF(COUNTIF(ContractsSupportHours!A:A,ContractAllowances!A90)&gt;0,0,1))</f>
        <v>0</v>
      </c>
      <c r="D90" s="57">
        <f>IF(_xlfn.XLOOKUP(CONTAL[[#This Row],[AllowancePointCode]],ALLWCPTS[AllowancePointCode],ALLWCPTS[AvailableToAllSchools])=TRUE,0,IFERROR(IF(FIND(CONTAL[[#This Row],[SchoolCode]],_xlfn.XLOOKUP(CONTAL[[#This Row],[AllowancePointCode]],ALLWCPTS[AllowancePointCode],ALLWCPTS[SchoolCodes]))&gt;=1,0,1),1))</f>
        <v>0</v>
      </c>
      <c r="E90" s="57" cm="1">
        <f t="array" ref="E90">IF(_xlfn.XLOOKUP(CONTAL[[#This Row],[DepartmentCode]],DEPTS[DepartmentCode],DEPTS[AvailableToAllSchools],1,0,)=TRUE,0,IF(ISERROR(FIND(CONTAL[[#This Row],[SchoolCode]],_xlfn.TEXTJOIN(",",TRUE,_xlfn.UNIQUE(IF(DEPTS[DepartmentCode]=CONTAL[[#This Row],[DepartmentCode]],DEPTS[SchoolCodes],""))))),1,0))</f>
        <v>0</v>
      </c>
      <c r="F90" s="57">
        <f>IF(COUNTIF(ALLWCTYPE[AllowanceTypeCode],CONTAL[[#This Row],[AllowanceCode]])&gt;0,0,1)</f>
        <v>0</v>
      </c>
      <c r="G90" s="57">
        <f>IF(COUNTIF(ALLWCPTS[AllowancePointCode],CONTAL[[#This Row],[AllowancePointCode]])&gt;0,0,1)</f>
        <v>0</v>
      </c>
      <c r="H90" s="57">
        <f>COUNTIF(CONTAL[Person+AllowancePoint+ContractRef+SchoolCode],CONTAL[[#This Row],[Person+AllowancePoint+ContractRef+SchoolCode]])-1</f>
        <v>0</v>
      </c>
      <c r="I90" s="57">
        <f t="shared" si="7"/>
        <v>0</v>
      </c>
      <c r="J90" s="57">
        <f>IF(ISBLANK(CONTAL[[#This Row],[ContractDateTo]]),0,IF(CONTAL[[#This Row],[ContractDateFrom]]=CONTAL[[#This Row],[ContractDateTo]],0,IF(CONTAL[[#This Row],[ContractDateFrom]]&lt;CONTAL[[#This Row],[ContractDateTo]],0,1)))</f>
        <v>0</v>
      </c>
      <c r="K90" s="57">
        <f>IF(ISBLANK(CONTAL[[#This Row],[AllowanceDateTo]]),0,IF(CONTAL[[#This Row],[AllowanceDateFrom]]=CONTAL[[#This Row],[AllowanceDateTo]],0,IF(CONTAL[[#This Row],[AllowanceDateFrom]]&lt;CONTAL[[#This Row],[AllowanceDateTo]],0,1)))</f>
        <v>0</v>
      </c>
      <c r="L90" s="57" cm="1">
        <f t="array" aca="1" ref="L90" ca="1">IF(CELL("format",CONTAL[[#This Row],[ContractDateFrom]])="D1",0,1)+IF(CELL("format",CONTAL[[#This Row],[ContractDateTo]])="D1",0,1)+IF(CELL("format",CONTAL[[#This Row],[AllowanceDateFrom]])="D1",0,1)+IF(CELL("format",CONTAL[[#This Row],[AllowanceDateTo]])="D1",0,1)</f>
        <v>0</v>
      </c>
      <c r="M90" s="57">
        <f>IF(OR(CONTAL[[#This Row],[IgnoreFte]]=TRUE,CONTAL[[#This Row],[IgnoreFte]]=FALSE),0,1)</f>
        <v>0</v>
      </c>
      <c r="N90" s="57">
        <f>IF(LEN(CONTAL[[#This Row],[Notes]])&lt;4000,0,1)</f>
        <v>0</v>
      </c>
      <c r="O90" s="112">
        <f>COUNTBLANK(CONTAL[[#This Row],[AllowanceCode]:[AllowanceDateFrom]])+COUNTBLANK(CONTAL[[#This Row],[IgnoreFte]]:CONTAL[[#This Row],[IgnoreFte]])</f>
        <v>0</v>
      </c>
      <c r="P90" s="57">
        <f ca="1">SUM(CONTAL[[#This Row],[Contract Issue]:[Blank in column]])</f>
        <v>0</v>
      </c>
      <c r="R90" s="12" t="s">
        <v>2126</v>
      </c>
      <c r="S90" s="12">
        <v>10010502</v>
      </c>
      <c r="T90" s="12">
        <v>106053</v>
      </c>
      <c r="U90" s="57" t="str">
        <f>_xlfn.XLOOKUP(CONTAL[[#This Row],[StaffMemberCode]],StaffMembers!O:O,StaffMembers!R:R)</f>
        <v>James Condliffe</v>
      </c>
      <c r="V90" s="12" t="s">
        <v>1178</v>
      </c>
      <c r="W90" s="12" t="s">
        <v>2499</v>
      </c>
      <c r="X90" s="21">
        <v>46023</v>
      </c>
      <c r="Z90" s="12" t="s">
        <v>1136</v>
      </c>
      <c r="AA90" s="20" t="s">
        <v>1363</v>
      </c>
      <c r="AB90" s="21">
        <v>46023</v>
      </c>
      <c r="AD90" s="157" t="b">
        <v>0</v>
      </c>
    </row>
    <row r="91" spans="1:30" x14ac:dyDescent="0.3">
      <c r="A91" s="12" t="str">
        <f t="shared" si="6"/>
        <v>MLB10005326106097TEASTCH46023</v>
      </c>
      <c r="B91" s="12" t="str">
        <f>CONTAL[[#This Row],[StaffMemberCode]]&amp;CONTAL[[#This Row],[AllowancePointCode]]&amp;CONTAL[[#This Row],[ContractReference]]&amp;CONTAL[[#This Row],[SchoolCode]]</f>
        <v>10005326TLR2A106097MLB</v>
      </c>
      <c r="C91" s="57">
        <f>IF(COUNTIF(ContractsTeachFTE!A:A,ContractAllowances!A91)&gt;0,0,IF(COUNTIF(ContractsSupportHours!A:A,ContractAllowances!A91)&gt;0,0,1))</f>
        <v>0</v>
      </c>
      <c r="D91" s="57">
        <f>IF(_xlfn.XLOOKUP(CONTAL[[#This Row],[AllowancePointCode]],ALLWCPTS[AllowancePointCode],ALLWCPTS[AvailableToAllSchools])=TRUE,0,IFERROR(IF(FIND(CONTAL[[#This Row],[SchoolCode]],_xlfn.XLOOKUP(CONTAL[[#This Row],[AllowancePointCode]],ALLWCPTS[AllowancePointCode],ALLWCPTS[SchoolCodes]))&gt;=1,0,1),1))</f>
        <v>0</v>
      </c>
      <c r="E91" s="57" cm="1">
        <f t="array" ref="E91">IF(_xlfn.XLOOKUP(CONTAL[[#This Row],[DepartmentCode]],DEPTS[DepartmentCode],DEPTS[AvailableToAllSchools],1,0,)=TRUE,0,IF(ISERROR(FIND(CONTAL[[#This Row],[SchoolCode]],_xlfn.TEXTJOIN(",",TRUE,_xlfn.UNIQUE(IF(DEPTS[DepartmentCode]=CONTAL[[#This Row],[DepartmentCode]],DEPTS[SchoolCodes],""))))),1,0))</f>
        <v>0</v>
      </c>
      <c r="F91" s="57">
        <f>IF(COUNTIF(ALLWCTYPE[AllowanceTypeCode],CONTAL[[#This Row],[AllowanceCode]])&gt;0,0,1)</f>
        <v>0</v>
      </c>
      <c r="G91" s="57">
        <f>IF(COUNTIF(ALLWCPTS[AllowancePointCode],CONTAL[[#This Row],[AllowancePointCode]])&gt;0,0,1)</f>
        <v>0</v>
      </c>
      <c r="H91" s="57">
        <f>COUNTIF(CONTAL[Person+AllowancePoint+ContractRef+SchoolCode],CONTAL[[#This Row],[Person+AllowancePoint+ContractRef+SchoolCode]])-1</f>
        <v>0</v>
      </c>
      <c r="I91" s="57">
        <f t="shared" si="7"/>
        <v>0</v>
      </c>
      <c r="J91" s="57">
        <f>IF(ISBLANK(CONTAL[[#This Row],[ContractDateTo]]),0,IF(CONTAL[[#This Row],[ContractDateFrom]]=CONTAL[[#This Row],[ContractDateTo]],0,IF(CONTAL[[#This Row],[ContractDateFrom]]&lt;CONTAL[[#This Row],[ContractDateTo]],0,1)))</f>
        <v>0</v>
      </c>
      <c r="K91" s="57">
        <f>IF(ISBLANK(CONTAL[[#This Row],[AllowanceDateTo]]),0,IF(CONTAL[[#This Row],[AllowanceDateFrom]]=CONTAL[[#This Row],[AllowanceDateTo]],0,IF(CONTAL[[#This Row],[AllowanceDateFrom]]&lt;CONTAL[[#This Row],[AllowanceDateTo]],0,1)))</f>
        <v>0</v>
      </c>
      <c r="L91" s="57" cm="1">
        <f t="array" aca="1" ref="L91" ca="1">IF(CELL("format",CONTAL[[#This Row],[ContractDateFrom]])="D1",0,1)+IF(CELL("format",CONTAL[[#This Row],[ContractDateTo]])="D1",0,1)+IF(CELL("format",CONTAL[[#This Row],[AllowanceDateFrom]])="D1",0,1)+IF(CELL("format",CONTAL[[#This Row],[AllowanceDateTo]])="D1",0,1)</f>
        <v>0</v>
      </c>
      <c r="M91" s="57">
        <f>IF(OR(CONTAL[[#This Row],[IgnoreFte]]=TRUE,CONTAL[[#This Row],[IgnoreFte]]=FALSE),0,1)</f>
        <v>0</v>
      </c>
      <c r="N91" s="57">
        <f>IF(LEN(CONTAL[[#This Row],[Notes]])&lt;4000,0,1)</f>
        <v>0</v>
      </c>
      <c r="O91" s="112">
        <f>COUNTBLANK(CONTAL[[#This Row],[AllowanceCode]:[AllowanceDateFrom]])+COUNTBLANK(CONTAL[[#This Row],[IgnoreFte]]:CONTAL[[#This Row],[IgnoreFte]])</f>
        <v>0</v>
      </c>
      <c r="P91" s="57">
        <f ca="1">SUM(CONTAL[[#This Row],[Contract Issue]:[Blank in column]])</f>
        <v>0</v>
      </c>
      <c r="R91" s="12" t="s">
        <v>2126</v>
      </c>
      <c r="S91" s="12">
        <v>10005326</v>
      </c>
      <c r="T91" s="12">
        <v>106097</v>
      </c>
      <c r="U91" s="57" t="str">
        <f>_xlfn.XLOOKUP(CONTAL[[#This Row],[StaffMemberCode]],StaffMembers!O:O,StaffMembers!R:R)</f>
        <v>Katherine Hoey</v>
      </c>
      <c r="V91" s="12" t="s">
        <v>1178</v>
      </c>
      <c r="W91" s="12" t="s">
        <v>2499</v>
      </c>
      <c r="X91" s="21">
        <v>46023</v>
      </c>
      <c r="Z91" s="12" t="s">
        <v>1136</v>
      </c>
      <c r="AA91" s="20" t="s">
        <v>1363</v>
      </c>
      <c r="AB91" s="21">
        <v>46023</v>
      </c>
      <c r="AD91" s="157" t="b">
        <v>0</v>
      </c>
    </row>
    <row r="92" spans="1:30" x14ac:dyDescent="0.3">
      <c r="A92" s="12" t="str">
        <f t="shared" si="6"/>
        <v>MLB10005312106080TEASTCH46023</v>
      </c>
      <c r="B92" s="12" t="str">
        <f>CONTAL[[#This Row],[StaffMemberCode]]&amp;CONTAL[[#This Row],[AllowancePointCode]]&amp;CONTAL[[#This Row],[ContractReference]]&amp;CONTAL[[#This Row],[SchoolCode]]</f>
        <v>10005312TLR2A106080MLB</v>
      </c>
      <c r="C92" s="57">
        <f>IF(COUNTIF(ContractsTeachFTE!A:A,ContractAllowances!A92)&gt;0,0,IF(COUNTIF(ContractsSupportHours!A:A,ContractAllowances!A92)&gt;0,0,1))</f>
        <v>0</v>
      </c>
      <c r="D92" s="57">
        <f>IF(_xlfn.XLOOKUP(CONTAL[[#This Row],[AllowancePointCode]],ALLWCPTS[AllowancePointCode],ALLWCPTS[AvailableToAllSchools])=TRUE,0,IFERROR(IF(FIND(CONTAL[[#This Row],[SchoolCode]],_xlfn.XLOOKUP(CONTAL[[#This Row],[AllowancePointCode]],ALLWCPTS[AllowancePointCode],ALLWCPTS[SchoolCodes]))&gt;=1,0,1),1))</f>
        <v>0</v>
      </c>
      <c r="E92" s="57" cm="1">
        <f t="array" ref="E92">IF(_xlfn.XLOOKUP(CONTAL[[#This Row],[DepartmentCode]],DEPTS[DepartmentCode],DEPTS[AvailableToAllSchools],1,0,)=TRUE,0,IF(ISERROR(FIND(CONTAL[[#This Row],[SchoolCode]],_xlfn.TEXTJOIN(",",TRUE,_xlfn.UNIQUE(IF(DEPTS[DepartmentCode]=CONTAL[[#This Row],[DepartmentCode]],DEPTS[SchoolCodes],""))))),1,0))</f>
        <v>0</v>
      </c>
      <c r="F92" s="57">
        <f>IF(COUNTIF(ALLWCTYPE[AllowanceTypeCode],CONTAL[[#This Row],[AllowanceCode]])&gt;0,0,1)</f>
        <v>0</v>
      </c>
      <c r="G92" s="57">
        <f>IF(COUNTIF(ALLWCPTS[AllowancePointCode],CONTAL[[#This Row],[AllowancePointCode]])&gt;0,0,1)</f>
        <v>0</v>
      </c>
      <c r="H92" s="57">
        <f>COUNTIF(CONTAL[Person+AllowancePoint+ContractRef+SchoolCode],CONTAL[[#This Row],[Person+AllowancePoint+ContractRef+SchoolCode]])-1</f>
        <v>0</v>
      </c>
      <c r="I92" s="57">
        <f t="shared" si="7"/>
        <v>0</v>
      </c>
      <c r="J92" s="57">
        <f>IF(ISBLANK(CONTAL[[#This Row],[ContractDateTo]]),0,IF(CONTAL[[#This Row],[ContractDateFrom]]=CONTAL[[#This Row],[ContractDateTo]],0,IF(CONTAL[[#This Row],[ContractDateFrom]]&lt;CONTAL[[#This Row],[ContractDateTo]],0,1)))</f>
        <v>0</v>
      </c>
      <c r="K92" s="57">
        <f>IF(ISBLANK(CONTAL[[#This Row],[AllowanceDateTo]]),0,IF(CONTAL[[#This Row],[AllowanceDateFrom]]=CONTAL[[#This Row],[AllowanceDateTo]],0,IF(CONTAL[[#This Row],[AllowanceDateFrom]]&lt;CONTAL[[#This Row],[AllowanceDateTo]],0,1)))</f>
        <v>0</v>
      </c>
      <c r="L92" s="57" cm="1">
        <f t="array" aca="1" ref="L92" ca="1">IF(CELL("format",CONTAL[[#This Row],[ContractDateFrom]])="D1",0,1)+IF(CELL("format",CONTAL[[#This Row],[ContractDateTo]])="D1",0,1)+IF(CELL("format",CONTAL[[#This Row],[AllowanceDateFrom]])="D1",0,1)+IF(CELL("format",CONTAL[[#This Row],[AllowanceDateTo]])="D1",0,1)</f>
        <v>0</v>
      </c>
      <c r="M92" s="57">
        <f>IF(OR(CONTAL[[#This Row],[IgnoreFte]]=TRUE,CONTAL[[#This Row],[IgnoreFte]]=FALSE),0,1)</f>
        <v>0</v>
      </c>
      <c r="N92" s="57">
        <f>IF(LEN(CONTAL[[#This Row],[Notes]])&lt;4000,0,1)</f>
        <v>0</v>
      </c>
      <c r="O92" s="112">
        <f>COUNTBLANK(CONTAL[[#This Row],[AllowanceCode]:[AllowanceDateFrom]])+COUNTBLANK(CONTAL[[#This Row],[IgnoreFte]]:CONTAL[[#This Row],[IgnoreFte]])</f>
        <v>0</v>
      </c>
      <c r="P92" s="57">
        <f ca="1">SUM(CONTAL[[#This Row],[Contract Issue]:[Blank in column]])</f>
        <v>0</v>
      </c>
      <c r="R92" s="12" t="s">
        <v>2126</v>
      </c>
      <c r="S92" s="12">
        <v>10005312</v>
      </c>
      <c r="T92" s="12">
        <v>106080</v>
      </c>
      <c r="U92" s="57" t="str">
        <f>_xlfn.XLOOKUP(CONTAL[[#This Row],[StaffMemberCode]],StaffMembers!O:O,StaffMembers!R:R)</f>
        <v>Kathryn Batty</v>
      </c>
      <c r="V92" s="12" t="s">
        <v>1178</v>
      </c>
      <c r="W92" s="12" t="s">
        <v>2499</v>
      </c>
      <c r="X92" s="21">
        <v>46023</v>
      </c>
      <c r="Z92" s="12" t="s">
        <v>1136</v>
      </c>
      <c r="AA92" s="20" t="s">
        <v>1363</v>
      </c>
      <c r="AB92" s="21">
        <v>46023</v>
      </c>
      <c r="AD92" s="157" t="b">
        <v>0</v>
      </c>
    </row>
    <row r="93" spans="1:30" x14ac:dyDescent="0.3">
      <c r="A93" s="12" t="str">
        <f t="shared" si="6"/>
        <v>MLB10005345106118TEASTCH46023</v>
      </c>
      <c r="B93" s="12" t="str">
        <f>CONTAL[[#This Row],[StaffMemberCode]]&amp;CONTAL[[#This Row],[AllowancePointCode]]&amp;CONTAL[[#This Row],[ContractReference]]&amp;CONTAL[[#This Row],[SchoolCode]]</f>
        <v>10005345TLR2A106118MLB</v>
      </c>
      <c r="C93" s="57">
        <f>IF(COUNTIF(ContractsTeachFTE!A:A,ContractAllowances!A93)&gt;0,0,IF(COUNTIF(ContractsSupportHours!A:A,ContractAllowances!A93)&gt;0,0,1))</f>
        <v>0</v>
      </c>
      <c r="D93" s="57">
        <f>IF(_xlfn.XLOOKUP(CONTAL[[#This Row],[AllowancePointCode]],ALLWCPTS[AllowancePointCode],ALLWCPTS[AvailableToAllSchools])=TRUE,0,IFERROR(IF(FIND(CONTAL[[#This Row],[SchoolCode]],_xlfn.XLOOKUP(CONTAL[[#This Row],[AllowancePointCode]],ALLWCPTS[AllowancePointCode],ALLWCPTS[SchoolCodes]))&gt;=1,0,1),1))</f>
        <v>0</v>
      </c>
      <c r="E93" s="57" cm="1">
        <f t="array" ref="E93">IF(_xlfn.XLOOKUP(CONTAL[[#This Row],[DepartmentCode]],DEPTS[DepartmentCode],DEPTS[AvailableToAllSchools],1,0,)=TRUE,0,IF(ISERROR(FIND(CONTAL[[#This Row],[SchoolCode]],_xlfn.TEXTJOIN(",",TRUE,_xlfn.UNIQUE(IF(DEPTS[DepartmentCode]=CONTAL[[#This Row],[DepartmentCode]],DEPTS[SchoolCodes],""))))),1,0))</f>
        <v>0</v>
      </c>
      <c r="F93" s="57">
        <f>IF(COUNTIF(ALLWCTYPE[AllowanceTypeCode],CONTAL[[#This Row],[AllowanceCode]])&gt;0,0,1)</f>
        <v>0</v>
      </c>
      <c r="G93" s="57">
        <f>IF(COUNTIF(ALLWCPTS[AllowancePointCode],CONTAL[[#This Row],[AllowancePointCode]])&gt;0,0,1)</f>
        <v>0</v>
      </c>
      <c r="H93" s="57">
        <f>COUNTIF(CONTAL[Person+AllowancePoint+ContractRef+SchoolCode],CONTAL[[#This Row],[Person+AllowancePoint+ContractRef+SchoolCode]])-1</f>
        <v>0</v>
      </c>
      <c r="I93" s="57">
        <f t="shared" si="7"/>
        <v>0</v>
      </c>
      <c r="J93" s="57">
        <f>IF(ISBLANK(CONTAL[[#This Row],[ContractDateTo]]),0,IF(CONTAL[[#This Row],[ContractDateFrom]]=CONTAL[[#This Row],[ContractDateTo]],0,IF(CONTAL[[#This Row],[ContractDateFrom]]&lt;CONTAL[[#This Row],[ContractDateTo]],0,1)))</f>
        <v>0</v>
      </c>
      <c r="K93" s="57">
        <f>IF(ISBLANK(CONTAL[[#This Row],[AllowanceDateTo]]),0,IF(CONTAL[[#This Row],[AllowanceDateFrom]]=CONTAL[[#This Row],[AllowanceDateTo]],0,IF(CONTAL[[#This Row],[AllowanceDateFrom]]&lt;CONTAL[[#This Row],[AllowanceDateTo]],0,1)))</f>
        <v>0</v>
      </c>
      <c r="L93" s="57" cm="1">
        <f t="array" aca="1" ref="L93" ca="1">IF(CELL("format",CONTAL[[#This Row],[ContractDateFrom]])="D1",0,1)+IF(CELL("format",CONTAL[[#This Row],[ContractDateTo]])="D1",0,1)+IF(CELL("format",CONTAL[[#This Row],[AllowanceDateFrom]])="D1",0,1)+IF(CELL("format",CONTAL[[#This Row],[AllowanceDateTo]])="D1",0,1)</f>
        <v>0</v>
      </c>
      <c r="M93" s="57">
        <f>IF(OR(CONTAL[[#This Row],[IgnoreFte]]=TRUE,CONTAL[[#This Row],[IgnoreFte]]=FALSE),0,1)</f>
        <v>0</v>
      </c>
      <c r="N93" s="57">
        <f>IF(LEN(CONTAL[[#This Row],[Notes]])&lt;4000,0,1)</f>
        <v>0</v>
      </c>
      <c r="O93" s="112">
        <f>COUNTBLANK(CONTAL[[#This Row],[AllowanceCode]:[AllowanceDateFrom]])+COUNTBLANK(CONTAL[[#This Row],[IgnoreFte]]:CONTAL[[#This Row],[IgnoreFte]])</f>
        <v>0</v>
      </c>
      <c r="P93" s="57">
        <f ca="1">SUM(CONTAL[[#This Row],[Contract Issue]:[Blank in column]])</f>
        <v>0</v>
      </c>
      <c r="R93" s="12" t="s">
        <v>2126</v>
      </c>
      <c r="S93" s="12">
        <v>10005345</v>
      </c>
      <c r="T93" s="12">
        <v>106118</v>
      </c>
      <c r="U93" s="57" t="str">
        <f>_xlfn.XLOOKUP(CONTAL[[#This Row],[StaffMemberCode]],StaffMembers!O:O,StaffMembers!R:R)</f>
        <v>Rachel Sinden</v>
      </c>
      <c r="V93" s="12" t="s">
        <v>1178</v>
      </c>
      <c r="W93" s="12" t="s">
        <v>2499</v>
      </c>
      <c r="X93" s="21">
        <v>46023</v>
      </c>
      <c r="Z93" s="12" t="s">
        <v>1136</v>
      </c>
      <c r="AA93" s="20" t="s">
        <v>1363</v>
      </c>
      <c r="AB93" s="21">
        <v>46023</v>
      </c>
      <c r="AD93" s="157" t="b">
        <v>0</v>
      </c>
    </row>
    <row r="94" spans="1:30" x14ac:dyDescent="0.3">
      <c r="A94" s="12" t="str">
        <f t="shared" si="6"/>
        <v>MLB10016230106093TEASTCH46023</v>
      </c>
      <c r="B94" s="12" t="str">
        <f>CONTAL[[#This Row],[StaffMemberCode]]&amp;CONTAL[[#This Row],[AllowancePointCode]]&amp;CONTAL[[#This Row],[ContractReference]]&amp;CONTAL[[#This Row],[SchoolCode]]</f>
        <v>10016230TLR2A106093MLB</v>
      </c>
      <c r="C94" s="57">
        <f>IF(COUNTIF(ContractsTeachFTE!A:A,ContractAllowances!A94)&gt;0,0,IF(COUNTIF(ContractsSupportHours!A:A,ContractAllowances!A94)&gt;0,0,1))</f>
        <v>0</v>
      </c>
      <c r="D94" s="57">
        <f>IF(_xlfn.XLOOKUP(CONTAL[[#This Row],[AllowancePointCode]],ALLWCPTS[AllowancePointCode],ALLWCPTS[AvailableToAllSchools])=TRUE,0,IFERROR(IF(FIND(CONTAL[[#This Row],[SchoolCode]],_xlfn.XLOOKUP(CONTAL[[#This Row],[AllowancePointCode]],ALLWCPTS[AllowancePointCode],ALLWCPTS[SchoolCodes]))&gt;=1,0,1),1))</f>
        <v>0</v>
      </c>
      <c r="E94" s="57" cm="1">
        <f t="array" ref="E94">IF(_xlfn.XLOOKUP(CONTAL[[#This Row],[DepartmentCode]],DEPTS[DepartmentCode],DEPTS[AvailableToAllSchools],1,0,)=TRUE,0,IF(ISERROR(FIND(CONTAL[[#This Row],[SchoolCode]],_xlfn.TEXTJOIN(",",TRUE,_xlfn.UNIQUE(IF(DEPTS[DepartmentCode]=CONTAL[[#This Row],[DepartmentCode]],DEPTS[SchoolCodes],""))))),1,0))</f>
        <v>0</v>
      </c>
      <c r="F94" s="57">
        <f>IF(COUNTIF(ALLWCTYPE[AllowanceTypeCode],CONTAL[[#This Row],[AllowanceCode]])&gt;0,0,1)</f>
        <v>0</v>
      </c>
      <c r="G94" s="57">
        <f>IF(COUNTIF(ALLWCPTS[AllowancePointCode],CONTAL[[#This Row],[AllowancePointCode]])&gt;0,0,1)</f>
        <v>0</v>
      </c>
      <c r="H94" s="57">
        <f>COUNTIF(CONTAL[Person+AllowancePoint+ContractRef+SchoolCode],CONTAL[[#This Row],[Person+AllowancePoint+ContractRef+SchoolCode]])-1</f>
        <v>0</v>
      </c>
      <c r="I94" s="57">
        <f t="shared" si="7"/>
        <v>0</v>
      </c>
      <c r="J94" s="57">
        <f>IF(ISBLANK(CONTAL[[#This Row],[ContractDateTo]]),0,IF(CONTAL[[#This Row],[ContractDateFrom]]=CONTAL[[#This Row],[ContractDateTo]],0,IF(CONTAL[[#This Row],[ContractDateFrom]]&lt;CONTAL[[#This Row],[ContractDateTo]],0,1)))</f>
        <v>0</v>
      </c>
      <c r="K94" s="57">
        <f>IF(ISBLANK(CONTAL[[#This Row],[AllowanceDateTo]]),0,IF(CONTAL[[#This Row],[AllowanceDateFrom]]=CONTAL[[#This Row],[AllowanceDateTo]],0,IF(CONTAL[[#This Row],[AllowanceDateFrom]]&lt;CONTAL[[#This Row],[AllowanceDateTo]],0,1)))</f>
        <v>0</v>
      </c>
      <c r="L94" s="57" cm="1">
        <f t="array" aca="1" ref="L94" ca="1">IF(CELL("format",CONTAL[[#This Row],[ContractDateFrom]])="D1",0,1)+IF(CELL("format",CONTAL[[#This Row],[ContractDateTo]])="D1",0,1)+IF(CELL("format",CONTAL[[#This Row],[AllowanceDateFrom]])="D1",0,1)+IF(CELL("format",CONTAL[[#This Row],[AllowanceDateTo]])="D1",0,1)</f>
        <v>0</v>
      </c>
      <c r="M94" s="57">
        <f>IF(OR(CONTAL[[#This Row],[IgnoreFte]]=TRUE,CONTAL[[#This Row],[IgnoreFte]]=FALSE),0,1)</f>
        <v>0</v>
      </c>
      <c r="N94" s="57">
        <f>IF(LEN(CONTAL[[#This Row],[Notes]])&lt;4000,0,1)</f>
        <v>0</v>
      </c>
      <c r="O94" s="112">
        <f>COUNTBLANK(CONTAL[[#This Row],[AllowanceCode]:[AllowanceDateFrom]])+COUNTBLANK(CONTAL[[#This Row],[IgnoreFte]]:CONTAL[[#This Row],[IgnoreFte]])</f>
        <v>0</v>
      </c>
      <c r="P94" s="57">
        <f ca="1">SUM(CONTAL[[#This Row],[Contract Issue]:[Blank in column]])</f>
        <v>0</v>
      </c>
      <c r="R94" s="12" t="s">
        <v>2126</v>
      </c>
      <c r="S94" s="12">
        <v>10016230</v>
      </c>
      <c r="T94" s="12">
        <v>106093</v>
      </c>
      <c r="U94" s="57" t="str">
        <f>_xlfn.XLOOKUP(CONTAL[[#This Row],[StaffMemberCode]],StaffMembers!O:O,StaffMembers!R:R)</f>
        <v>Rebecca Catchpole</v>
      </c>
      <c r="V94" s="12" t="s">
        <v>1178</v>
      </c>
      <c r="W94" s="12" t="s">
        <v>2499</v>
      </c>
      <c r="X94" s="21">
        <v>46023</v>
      </c>
      <c r="Z94" s="12" t="s">
        <v>1136</v>
      </c>
      <c r="AA94" s="20" t="s">
        <v>1363</v>
      </c>
      <c r="AB94" s="21">
        <v>46023</v>
      </c>
      <c r="AD94" s="157" t="b">
        <v>0</v>
      </c>
    </row>
    <row r="95" spans="1:30" x14ac:dyDescent="0.3">
      <c r="A95" s="12" t="str">
        <f t="shared" si="6"/>
        <v>MLB10009094109636TEASTCH46023</v>
      </c>
      <c r="B95" s="12" t="str">
        <f>CONTAL[[#This Row],[StaffMemberCode]]&amp;CONTAL[[#This Row],[AllowancePointCode]]&amp;CONTAL[[#This Row],[ContractReference]]&amp;CONTAL[[#This Row],[SchoolCode]]</f>
        <v>10009094TLR2A109636MLB</v>
      </c>
      <c r="C95" s="57">
        <f>IF(COUNTIF(ContractsTeachFTE!A:A,ContractAllowances!A95)&gt;0,0,IF(COUNTIF(ContractsSupportHours!A:A,ContractAllowances!A95)&gt;0,0,1))</f>
        <v>0</v>
      </c>
      <c r="D95" s="57">
        <f>IF(_xlfn.XLOOKUP(CONTAL[[#This Row],[AllowancePointCode]],ALLWCPTS[AllowancePointCode],ALLWCPTS[AvailableToAllSchools])=TRUE,0,IFERROR(IF(FIND(CONTAL[[#This Row],[SchoolCode]],_xlfn.XLOOKUP(CONTAL[[#This Row],[AllowancePointCode]],ALLWCPTS[AllowancePointCode],ALLWCPTS[SchoolCodes]))&gt;=1,0,1),1))</f>
        <v>0</v>
      </c>
      <c r="E95" s="57" cm="1">
        <f t="array" ref="E95">IF(_xlfn.XLOOKUP(CONTAL[[#This Row],[DepartmentCode]],DEPTS[DepartmentCode],DEPTS[AvailableToAllSchools],1,0,)=TRUE,0,IF(ISERROR(FIND(CONTAL[[#This Row],[SchoolCode]],_xlfn.TEXTJOIN(",",TRUE,_xlfn.UNIQUE(IF(DEPTS[DepartmentCode]=CONTAL[[#This Row],[DepartmentCode]],DEPTS[SchoolCodes],""))))),1,0))</f>
        <v>0</v>
      </c>
      <c r="F95" s="57">
        <f>IF(COUNTIF(ALLWCTYPE[AllowanceTypeCode],CONTAL[[#This Row],[AllowanceCode]])&gt;0,0,1)</f>
        <v>0</v>
      </c>
      <c r="G95" s="57">
        <f>IF(COUNTIF(ALLWCPTS[AllowancePointCode],CONTAL[[#This Row],[AllowancePointCode]])&gt;0,0,1)</f>
        <v>0</v>
      </c>
      <c r="H95" s="57">
        <f>COUNTIF(CONTAL[Person+AllowancePoint+ContractRef+SchoolCode],CONTAL[[#This Row],[Person+AllowancePoint+ContractRef+SchoolCode]])-1</f>
        <v>0</v>
      </c>
      <c r="I95" s="57">
        <f t="shared" si="7"/>
        <v>0</v>
      </c>
      <c r="J95" s="57">
        <f>IF(ISBLANK(CONTAL[[#This Row],[ContractDateTo]]),0,IF(CONTAL[[#This Row],[ContractDateFrom]]=CONTAL[[#This Row],[ContractDateTo]],0,IF(CONTAL[[#This Row],[ContractDateFrom]]&lt;CONTAL[[#This Row],[ContractDateTo]],0,1)))</f>
        <v>0</v>
      </c>
      <c r="K95" s="57">
        <f>IF(ISBLANK(CONTAL[[#This Row],[AllowanceDateTo]]),0,IF(CONTAL[[#This Row],[AllowanceDateFrom]]=CONTAL[[#This Row],[AllowanceDateTo]],0,IF(CONTAL[[#This Row],[AllowanceDateFrom]]&lt;CONTAL[[#This Row],[AllowanceDateTo]],0,1)))</f>
        <v>0</v>
      </c>
      <c r="L95" s="57" cm="1">
        <f t="array" aca="1" ref="L95" ca="1">IF(CELL("format",CONTAL[[#This Row],[ContractDateFrom]])="D1",0,1)+IF(CELL("format",CONTAL[[#This Row],[ContractDateTo]])="D1",0,1)+IF(CELL("format",CONTAL[[#This Row],[AllowanceDateFrom]])="D1",0,1)+IF(CELL("format",CONTAL[[#This Row],[AllowanceDateTo]])="D1",0,1)</f>
        <v>0</v>
      </c>
      <c r="M95" s="57">
        <f>IF(OR(CONTAL[[#This Row],[IgnoreFte]]=TRUE,CONTAL[[#This Row],[IgnoreFte]]=FALSE),0,1)</f>
        <v>0</v>
      </c>
      <c r="N95" s="57">
        <f>IF(LEN(CONTAL[[#This Row],[Notes]])&lt;4000,0,1)</f>
        <v>0</v>
      </c>
      <c r="O95" s="112">
        <f>COUNTBLANK(CONTAL[[#This Row],[AllowanceCode]:[AllowanceDateFrom]])+COUNTBLANK(CONTAL[[#This Row],[IgnoreFte]]:CONTAL[[#This Row],[IgnoreFte]])</f>
        <v>0</v>
      </c>
      <c r="P95" s="57">
        <f ca="1">SUM(CONTAL[[#This Row],[Contract Issue]:[Blank in column]])</f>
        <v>0</v>
      </c>
      <c r="R95" s="12" t="s">
        <v>2126</v>
      </c>
      <c r="S95" s="12">
        <v>10009094</v>
      </c>
      <c r="T95" s="12">
        <v>109636</v>
      </c>
      <c r="U95" s="57" t="str">
        <f>_xlfn.XLOOKUP(CONTAL[[#This Row],[StaffMemberCode]],StaffMembers!O:O,StaffMembers!R:R)</f>
        <v>Sarah Parker</v>
      </c>
      <c r="V95" s="12" t="s">
        <v>1178</v>
      </c>
      <c r="W95" s="12" t="s">
        <v>2499</v>
      </c>
      <c r="X95" s="21">
        <v>46023</v>
      </c>
      <c r="Z95" s="12" t="s">
        <v>1136</v>
      </c>
      <c r="AA95" s="20" t="s">
        <v>1363</v>
      </c>
      <c r="AB95" s="21">
        <v>46023</v>
      </c>
      <c r="AD95" s="157" t="b">
        <v>0</v>
      </c>
    </row>
    <row r="96" spans="1:30" x14ac:dyDescent="0.3">
      <c r="A96" s="12" t="str">
        <f t="shared" si="6"/>
        <v>MLB10014567106046TEASTCH46023</v>
      </c>
      <c r="B96" s="12" t="str">
        <f>CONTAL[[#This Row],[StaffMemberCode]]&amp;CONTAL[[#This Row],[AllowancePointCode]]&amp;CONTAL[[#This Row],[ContractReference]]&amp;CONTAL[[#This Row],[SchoolCode]]</f>
        <v>10014567TLR2A106046MLB</v>
      </c>
      <c r="C96" s="57">
        <f>IF(COUNTIF(ContractsTeachFTE!A:A,ContractAllowances!A96)&gt;0,0,IF(COUNTIF(ContractsSupportHours!A:A,ContractAllowances!A96)&gt;0,0,1))</f>
        <v>0</v>
      </c>
      <c r="D96" s="57">
        <f>IF(_xlfn.XLOOKUP(CONTAL[[#This Row],[AllowancePointCode]],ALLWCPTS[AllowancePointCode],ALLWCPTS[AvailableToAllSchools])=TRUE,0,IFERROR(IF(FIND(CONTAL[[#This Row],[SchoolCode]],_xlfn.XLOOKUP(CONTAL[[#This Row],[AllowancePointCode]],ALLWCPTS[AllowancePointCode],ALLWCPTS[SchoolCodes]))&gt;=1,0,1),1))</f>
        <v>0</v>
      </c>
      <c r="E96" s="57" cm="1">
        <f t="array" ref="E96">IF(_xlfn.XLOOKUP(CONTAL[[#This Row],[DepartmentCode]],DEPTS[DepartmentCode],DEPTS[AvailableToAllSchools],1,0,)=TRUE,0,IF(ISERROR(FIND(CONTAL[[#This Row],[SchoolCode]],_xlfn.TEXTJOIN(",",TRUE,_xlfn.UNIQUE(IF(DEPTS[DepartmentCode]=CONTAL[[#This Row],[DepartmentCode]],DEPTS[SchoolCodes],""))))),1,0))</f>
        <v>0</v>
      </c>
      <c r="F96" s="57">
        <f>IF(COUNTIF(ALLWCTYPE[AllowanceTypeCode],CONTAL[[#This Row],[AllowanceCode]])&gt;0,0,1)</f>
        <v>0</v>
      </c>
      <c r="G96" s="57">
        <f>IF(COUNTIF(ALLWCPTS[AllowancePointCode],CONTAL[[#This Row],[AllowancePointCode]])&gt;0,0,1)</f>
        <v>0</v>
      </c>
      <c r="H96" s="57">
        <f>COUNTIF(CONTAL[Person+AllowancePoint+ContractRef+SchoolCode],CONTAL[[#This Row],[Person+AllowancePoint+ContractRef+SchoolCode]])-1</f>
        <v>0</v>
      </c>
      <c r="I96" s="57">
        <f t="shared" si="7"/>
        <v>0</v>
      </c>
      <c r="J96" s="57">
        <f>IF(ISBLANK(CONTAL[[#This Row],[ContractDateTo]]),0,IF(CONTAL[[#This Row],[ContractDateFrom]]=CONTAL[[#This Row],[ContractDateTo]],0,IF(CONTAL[[#This Row],[ContractDateFrom]]&lt;CONTAL[[#This Row],[ContractDateTo]],0,1)))</f>
        <v>0</v>
      </c>
      <c r="K96" s="57">
        <f>IF(ISBLANK(CONTAL[[#This Row],[AllowanceDateTo]]),0,IF(CONTAL[[#This Row],[AllowanceDateFrom]]=CONTAL[[#This Row],[AllowanceDateTo]],0,IF(CONTAL[[#This Row],[AllowanceDateFrom]]&lt;CONTAL[[#This Row],[AllowanceDateTo]],0,1)))</f>
        <v>0</v>
      </c>
      <c r="L96" s="57" cm="1">
        <f t="array" aca="1" ref="L96" ca="1">IF(CELL("format",CONTAL[[#This Row],[ContractDateFrom]])="D1",0,1)+IF(CELL("format",CONTAL[[#This Row],[ContractDateTo]])="D1",0,1)+IF(CELL("format",CONTAL[[#This Row],[AllowanceDateFrom]])="D1",0,1)+IF(CELL("format",CONTAL[[#This Row],[AllowanceDateTo]])="D1",0,1)</f>
        <v>0</v>
      </c>
      <c r="M96" s="57">
        <f>IF(OR(CONTAL[[#This Row],[IgnoreFte]]=TRUE,CONTAL[[#This Row],[IgnoreFte]]=FALSE),0,1)</f>
        <v>0</v>
      </c>
      <c r="N96" s="57">
        <f>IF(LEN(CONTAL[[#This Row],[Notes]])&lt;4000,0,1)</f>
        <v>0</v>
      </c>
      <c r="O96" s="112">
        <f>COUNTBLANK(CONTAL[[#This Row],[AllowanceCode]:[AllowanceDateFrom]])+COUNTBLANK(CONTAL[[#This Row],[IgnoreFte]]:CONTAL[[#This Row],[IgnoreFte]])</f>
        <v>0</v>
      </c>
      <c r="P96" s="57">
        <f ca="1">SUM(CONTAL[[#This Row],[Contract Issue]:[Blank in column]])</f>
        <v>0</v>
      </c>
      <c r="R96" s="12" t="s">
        <v>2126</v>
      </c>
      <c r="S96" s="12">
        <v>10014567</v>
      </c>
      <c r="T96" s="12">
        <v>106046</v>
      </c>
      <c r="U96" s="57" t="str">
        <f>_xlfn.XLOOKUP(CONTAL[[#This Row],[StaffMemberCode]],StaffMembers!O:O,StaffMembers!R:R)</f>
        <v>William Ludlow</v>
      </c>
      <c r="V96" s="12" t="s">
        <v>1178</v>
      </c>
      <c r="W96" s="12" t="s">
        <v>2499</v>
      </c>
      <c r="X96" s="21">
        <v>46023</v>
      </c>
      <c r="Z96" s="12" t="s">
        <v>1136</v>
      </c>
      <c r="AA96" s="20" t="s">
        <v>1363</v>
      </c>
      <c r="AB96" s="21">
        <v>46023</v>
      </c>
      <c r="AD96" s="157" t="b">
        <v>0</v>
      </c>
    </row>
    <row r="97" spans="1:30" x14ac:dyDescent="0.3">
      <c r="A97" s="12" t="str">
        <f t="shared" si="6"/>
        <v>MLB10005350106125TEASTCH46023</v>
      </c>
      <c r="B97" s="12" t="str">
        <f>CONTAL[[#This Row],[StaffMemberCode]]&amp;CONTAL[[#This Row],[AllowancePointCode]]&amp;CONTAL[[#This Row],[ContractReference]]&amp;CONTAL[[#This Row],[SchoolCode]]</f>
        <v>10005350TLR2C106125MLB</v>
      </c>
      <c r="C97" s="57">
        <f>IF(COUNTIF(ContractsTeachFTE!A:A,ContractAllowances!A97)&gt;0,0,IF(COUNTIF(ContractsSupportHours!A:A,ContractAllowances!A97)&gt;0,0,1))</f>
        <v>0</v>
      </c>
      <c r="D97" s="57">
        <f>IF(_xlfn.XLOOKUP(CONTAL[[#This Row],[AllowancePointCode]],ALLWCPTS[AllowancePointCode],ALLWCPTS[AvailableToAllSchools])=TRUE,0,IFERROR(IF(FIND(CONTAL[[#This Row],[SchoolCode]],_xlfn.XLOOKUP(CONTAL[[#This Row],[AllowancePointCode]],ALLWCPTS[AllowancePointCode],ALLWCPTS[SchoolCodes]))&gt;=1,0,1),1))</f>
        <v>0</v>
      </c>
      <c r="E97" s="57" cm="1">
        <f t="array" ref="E97">IF(_xlfn.XLOOKUP(CONTAL[[#This Row],[DepartmentCode]],DEPTS[DepartmentCode],DEPTS[AvailableToAllSchools],1,0,)=TRUE,0,IF(ISERROR(FIND(CONTAL[[#This Row],[SchoolCode]],_xlfn.TEXTJOIN(",",TRUE,_xlfn.UNIQUE(IF(DEPTS[DepartmentCode]=CONTAL[[#This Row],[DepartmentCode]],DEPTS[SchoolCodes],""))))),1,0))</f>
        <v>0</v>
      </c>
      <c r="F97" s="57">
        <f>IF(COUNTIF(ALLWCTYPE[AllowanceTypeCode],CONTAL[[#This Row],[AllowanceCode]])&gt;0,0,1)</f>
        <v>0</v>
      </c>
      <c r="G97" s="57">
        <f>IF(COUNTIF(ALLWCPTS[AllowancePointCode],CONTAL[[#This Row],[AllowancePointCode]])&gt;0,0,1)</f>
        <v>0</v>
      </c>
      <c r="H97" s="57">
        <f>COUNTIF(CONTAL[Person+AllowancePoint+ContractRef+SchoolCode],CONTAL[[#This Row],[Person+AllowancePoint+ContractRef+SchoolCode]])-1</f>
        <v>0</v>
      </c>
      <c r="I97" s="57">
        <f t="shared" si="7"/>
        <v>0</v>
      </c>
      <c r="J97" s="57">
        <f>IF(ISBLANK(CONTAL[[#This Row],[ContractDateTo]]),0,IF(CONTAL[[#This Row],[ContractDateFrom]]=CONTAL[[#This Row],[ContractDateTo]],0,IF(CONTAL[[#This Row],[ContractDateFrom]]&lt;CONTAL[[#This Row],[ContractDateTo]],0,1)))</f>
        <v>0</v>
      </c>
      <c r="K97" s="57">
        <f>IF(ISBLANK(CONTAL[[#This Row],[AllowanceDateTo]]),0,IF(CONTAL[[#This Row],[AllowanceDateFrom]]=CONTAL[[#This Row],[AllowanceDateTo]],0,IF(CONTAL[[#This Row],[AllowanceDateFrom]]&lt;CONTAL[[#This Row],[AllowanceDateTo]],0,1)))</f>
        <v>0</v>
      </c>
      <c r="L97" s="57" cm="1">
        <f t="array" aca="1" ref="L97" ca="1">IF(CELL("format",CONTAL[[#This Row],[ContractDateFrom]])="D1",0,1)+IF(CELL("format",CONTAL[[#This Row],[ContractDateTo]])="D1",0,1)+IF(CELL("format",CONTAL[[#This Row],[AllowanceDateFrom]])="D1",0,1)+IF(CELL("format",CONTAL[[#This Row],[AllowanceDateTo]])="D1",0,1)</f>
        <v>0</v>
      </c>
      <c r="M97" s="57">
        <f>IF(OR(CONTAL[[#This Row],[IgnoreFte]]=TRUE,CONTAL[[#This Row],[IgnoreFte]]=FALSE),0,1)</f>
        <v>0</v>
      </c>
      <c r="N97" s="57">
        <f>IF(LEN(CONTAL[[#This Row],[Notes]])&lt;4000,0,1)</f>
        <v>0</v>
      </c>
      <c r="O97" s="112">
        <f>COUNTBLANK(CONTAL[[#This Row],[AllowanceCode]:[AllowanceDateFrom]])+COUNTBLANK(CONTAL[[#This Row],[IgnoreFte]]:CONTAL[[#This Row],[IgnoreFte]])</f>
        <v>0</v>
      </c>
      <c r="P97" s="57">
        <f ca="1">SUM(CONTAL[[#This Row],[Contract Issue]:[Blank in column]])</f>
        <v>0</v>
      </c>
      <c r="R97" s="12" t="s">
        <v>2126</v>
      </c>
      <c r="S97" s="12">
        <v>10005350</v>
      </c>
      <c r="T97" s="12">
        <v>106125</v>
      </c>
      <c r="U97" s="57" t="str">
        <f>_xlfn.XLOOKUP(CONTAL[[#This Row],[StaffMemberCode]],StaffMembers!O:O,StaffMembers!R:R)</f>
        <v>Gwendal Guichoux</v>
      </c>
      <c r="V97" s="12" t="s">
        <v>1178</v>
      </c>
      <c r="W97" s="12" t="s">
        <v>2499</v>
      </c>
      <c r="X97" s="21">
        <v>46023</v>
      </c>
      <c r="Z97" s="12" t="s">
        <v>1136</v>
      </c>
      <c r="AA97" s="20" t="s">
        <v>1365</v>
      </c>
      <c r="AB97" s="21">
        <v>46023</v>
      </c>
      <c r="AD97" s="157" t="b">
        <v>0</v>
      </c>
    </row>
    <row r="98" spans="1:30" x14ac:dyDescent="0.3">
      <c r="A98" s="12" t="str">
        <f t="shared" si="6"/>
        <v>MLB10015720106074TEASTCH46023</v>
      </c>
      <c r="B98" s="12" t="str">
        <f>CONTAL[[#This Row],[StaffMemberCode]]&amp;CONTAL[[#This Row],[AllowancePointCode]]&amp;CONTAL[[#This Row],[ContractReference]]&amp;CONTAL[[#This Row],[SchoolCode]]</f>
        <v>10015720TLR2C106074MLB</v>
      </c>
      <c r="C98" s="57">
        <f>IF(COUNTIF(ContractsTeachFTE!A:A,ContractAllowances!A98)&gt;0,0,IF(COUNTIF(ContractsSupportHours!A:A,ContractAllowances!A98)&gt;0,0,1))</f>
        <v>0</v>
      </c>
      <c r="D98" s="57">
        <f>IF(_xlfn.XLOOKUP(CONTAL[[#This Row],[AllowancePointCode]],ALLWCPTS[AllowancePointCode],ALLWCPTS[AvailableToAllSchools])=TRUE,0,IFERROR(IF(FIND(CONTAL[[#This Row],[SchoolCode]],_xlfn.XLOOKUP(CONTAL[[#This Row],[AllowancePointCode]],ALLWCPTS[AllowancePointCode],ALLWCPTS[SchoolCodes]))&gt;=1,0,1),1))</f>
        <v>0</v>
      </c>
      <c r="E98" s="57" cm="1">
        <f t="array" ref="E98">IF(_xlfn.XLOOKUP(CONTAL[[#This Row],[DepartmentCode]],DEPTS[DepartmentCode],DEPTS[AvailableToAllSchools],1,0,)=TRUE,0,IF(ISERROR(FIND(CONTAL[[#This Row],[SchoolCode]],_xlfn.TEXTJOIN(",",TRUE,_xlfn.UNIQUE(IF(DEPTS[DepartmentCode]=CONTAL[[#This Row],[DepartmentCode]],DEPTS[SchoolCodes],""))))),1,0))</f>
        <v>0</v>
      </c>
      <c r="F98" s="57">
        <f>IF(COUNTIF(ALLWCTYPE[AllowanceTypeCode],CONTAL[[#This Row],[AllowanceCode]])&gt;0,0,1)</f>
        <v>0</v>
      </c>
      <c r="G98" s="57">
        <f>IF(COUNTIF(ALLWCPTS[AllowancePointCode],CONTAL[[#This Row],[AllowancePointCode]])&gt;0,0,1)</f>
        <v>0</v>
      </c>
      <c r="H98" s="57">
        <f>COUNTIF(CONTAL[Person+AllowancePoint+ContractRef+SchoolCode],CONTAL[[#This Row],[Person+AllowancePoint+ContractRef+SchoolCode]])-1</f>
        <v>0</v>
      </c>
      <c r="I98" s="57">
        <f t="shared" si="7"/>
        <v>0</v>
      </c>
      <c r="J98" s="57">
        <f>IF(ISBLANK(CONTAL[[#This Row],[ContractDateTo]]),0,IF(CONTAL[[#This Row],[ContractDateFrom]]=CONTAL[[#This Row],[ContractDateTo]],0,IF(CONTAL[[#This Row],[ContractDateFrom]]&lt;CONTAL[[#This Row],[ContractDateTo]],0,1)))</f>
        <v>0</v>
      </c>
      <c r="K98" s="57">
        <f>IF(ISBLANK(CONTAL[[#This Row],[AllowanceDateTo]]),0,IF(CONTAL[[#This Row],[AllowanceDateFrom]]=CONTAL[[#This Row],[AllowanceDateTo]],0,IF(CONTAL[[#This Row],[AllowanceDateFrom]]&lt;CONTAL[[#This Row],[AllowanceDateTo]],0,1)))</f>
        <v>0</v>
      </c>
      <c r="L98" s="57" cm="1">
        <f t="array" aca="1" ref="L98" ca="1">IF(CELL("format",CONTAL[[#This Row],[ContractDateFrom]])="D1",0,1)+IF(CELL("format",CONTAL[[#This Row],[ContractDateTo]])="D1",0,1)+IF(CELL("format",CONTAL[[#This Row],[AllowanceDateFrom]])="D1",0,1)+IF(CELL("format",CONTAL[[#This Row],[AllowanceDateTo]])="D1",0,1)</f>
        <v>0</v>
      </c>
      <c r="M98" s="57">
        <f>IF(OR(CONTAL[[#This Row],[IgnoreFte]]=TRUE,CONTAL[[#This Row],[IgnoreFte]]=FALSE),0,1)</f>
        <v>0</v>
      </c>
      <c r="N98" s="57">
        <f>IF(LEN(CONTAL[[#This Row],[Notes]])&lt;4000,0,1)</f>
        <v>0</v>
      </c>
      <c r="O98" s="112">
        <f>COUNTBLANK(CONTAL[[#This Row],[AllowanceCode]:[AllowanceDateFrom]])+COUNTBLANK(CONTAL[[#This Row],[IgnoreFte]]:CONTAL[[#This Row],[IgnoreFte]])</f>
        <v>0</v>
      </c>
      <c r="P98" s="57">
        <f ca="1">SUM(CONTAL[[#This Row],[Contract Issue]:[Blank in column]])</f>
        <v>0</v>
      </c>
      <c r="R98" s="12" t="s">
        <v>2126</v>
      </c>
      <c r="S98" s="12">
        <v>10015720</v>
      </c>
      <c r="T98" s="12">
        <v>106074</v>
      </c>
      <c r="U98" s="57" t="str">
        <f>_xlfn.XLOOKUP(CONTAL[[#This Row],[StaffMemberCode]],StaffMembers!O:O,StaffMembers!R:R)</f>
        <v>William Smithson</v>
      </c>
      <c r="V98" s="12" t="s">
        <v>1178</v>
      </c>
      <c r="W98" s="12" t="s">
        <v>2499</v>
      </c>
      <c r="X98" s="21">
        <v>46023</v>
      </c>
      <c r="Z98" s="12" t="s">
        <v>1136</v>
      </c>
      <c r="AA98" s="20" t="s">
        <v>1365</v>
      </c>
      <c r="AB98" s="21">
        <v>46023</v>
      </c>
      <c r="AD98" s="157" t="b">
        <v>0</v>
      </c>
    </row>
    <row r="99" spans="1:30" x14ac:dyDescent="0.3">
      <c r="A99" s="12" t="str">
        <f t="shared" si="6"/>
        <v>MLB10005896112878OFF_ASTSFIN46023</v>
      </c>
      <c r="B99" s="12" t="str">
        <f>CONTAL[[#This Row],[StaffMemberCode]]&amp;CONTAL[[#This Row],[AllowancePointCode]]&amp;CONTAL[[#This Row],[ContractReference]]&amp;CONTAL[[#This Row],[SchoolCode]]</f>
        <v>10005896TLR3D112878MLB</v>
      </c>
      <c r="C99" s="57">
        <f>IF(COUNTIF(ContractsTeachFTE!A:A,ContractAllowances!A99)&gt;0,0,IF(COUNTIF(ContractsSupportHours!A:A,ContractAllowances!A99)&gt;0,0,1))</f>
        <v>0</v>
      </c>
      <c r="D99" s="57">
        <f>IF(_xlfn.XLOOKUP(CONTAL[[#This Row],[AllowancePointCode]],ALLWCPTS[AllowancePointCode],ALLWCPTS[AvailableToAllSchools])=TRUE,0,IFERROR(IF(FIND(CONTAL[[#This Row],[SchoolCode]],_xlfn.XLOOKUP(CONTAL[[#This Row],[AllowancePointCode]],ALLWCPTS[AllowancePointCode],ALLWCPTS[SchoolCodes]))&gt;=1,0,1),1))</f>
        <v>0</v>
      </c>
      <c r="E99" s="57" cm="1">
        <f t="array" ref="E99">IF(_xlfn.XLOOKUP(CONTAL[[#This Row],[DepartmentCode]],DEPTS[DepartmentCode],DEPTS[AvailableToAllSchools],1,0,)=TRUE,0,IF(ISERROR(FIND(CONTAL[[#This Row],[SchoolCode]],_xlfn.TEXTJOIN(",",TRUE,_xlfn.UNIQUE(IF(DEPTS[DepartmentCode]=CONTAL[[#This Row],[DepartmentCode]],DEPTS[SchoolCodes],""))))),1,0))</f>
        <v>0</v>
      </c>
      <c r="F99" s="57">
        <f>IF(COUNTIF(ALLWCTYPE[AllowanceTypeCode],CONTAL[[#This Row],[AllowanceCode]])&gt;0,0,1)</f>
        <v>0</v>
      </c>
      <c r="G99" s="57">
        <f>IF(COUNTIF(ALLWCPTS[AllowancePointCode],CONTAL[[#This Row],[AllowancePointCode]])&gt;0,0,1)</f>
        <v>0</v>
      </c>
      <c r="H99" s="57">
        <f>COUNTIF(CONTAL[Person+AllowancePoint+ContractRef+SchoolCode],CONTAL[[#This Row],[Person+AllowancePoint+ContractRef+SchoolCode]])-1</f>
        <v>0</v>
      </c>
      <c r="I99" s="57">
        <f t="shared" si="7"/>
        <v>0</v>
      </c>
      <c r="J99" s="57">
        <f>IF(ISBLANK(CONTAL[[#This Row],[ContractDateTo]]),0,IF(CONTAL[[#This Row],[ContractDateFrom]]=CONTAL[[#This Row],[ContractDateTo]],0,IF(CONTAL[[#This Row],[ContractDateFrom]]&lt;CONTAL[[#This Row],[ContractDateTo]],0,1)))</f>
        <v>0</v>
      </c>
      <c r="K99" s="57">
        <f>IF(ISBLANK(CONTAL[[#This Row],[AllowanceDateTo]]),0,IF(CONTAL[[#This Row],[AllowanceDateFrom]]=CONTAL[[#This Row],[AllowanceDateTo]],0,IF(CONTAL[[#This Row],[AllowanceDateFrom]]&lt;CONTAL[[#This Row],[AllowanceDateTo]],0,1)))</f>
        <v>0</v>
      </c>
      <c r="L99" s="57" cm="1">
        <f t="array" aca="1" ref="L99" ca="1">IF(CELL("format",CONTAL[[#This Row],[ContractDateFrom]])="D1",0,1)+IF(CELL("format",CONTAL[[#This Row],[ContractDateTo]])="D1",0,1)+IF(CELL("format",CONTAL[[#This Row],[AllowanceDateFrom]])="D1",0,1)+IF(CELL("format",CONTAL[[#This Row],[AllowanceDateTo]])="D1",0,1)</f>
        <v>0</v>
      </c>
      <c r="M99" s="57">
        <f>IF(OR(CONTAL[[#This Row],[IgnoreFte]]=TRUE,CONTAL[[#This Row],[IgnoreFte]]=FALSE),0,1)</f>
        <v>0</v>
      </c>
      <c r="N99" s="57">
        <f>IF(LEN(CONTAL[[#This Row],[Notes]])&lt;4000,0,1)</f>
        <v>0</v>
      </c>
      <c r="O99" s="112">
        <f>COUNTBLANK(CONTAL[[#This Row],[AllowanceCode]:[AllowanceDateFrom]])+COUNTBLANK(CONTAL[[#This Row],[IgnoreFte]]:CONTAL[[#This Row],[IgnoreFte]])</f>
        <v>0</v>
      </c>
      <c r="P99" s="57">
        <f ca="1">SUM(CONTAL[[#This Row],[Contract Issue]:[Blank in column]])</f>
        <v>0</v>
      </c>
      <c r="R99" s="12" t="s">
        <v>2126</v>
      </c>
      <c r="S99" s="12">
        <v>10005896</v>
      </c>
      <c r="T99" s="12">
        <v>112878</v>
      </c>
      <c r="U99" s="57" t="str">
        <f>_xlfn.XLOOKUP(CONTAL[[#This Row],[StaffMemberCode]],StaffMembers!O:O,StaffMembers!R:R)</f>
        <v>Hayley Dickinson</v>
      </c>
      <c r="V99" s="12" t="s">
        <v>4257</v>
      </c>
      <c r="W99" s="12" t="s">
        <v>2483</v>
      </c>
      <c r="X99" s="21">
        <v>46023</v>
      </c>
      <c r="Z99" s="12" t="s">
        <v>1136</v>
      </c>
      <c r="AA99" s="20" t="s">
        <v>3079</v>
      </c>
      <c r="AB99" s="21">
        <v>46023</v>
      </c>
      <c r="AD99" s="157" t="b">
        <v>0</v>
      </c>
    </row>
    <row r="100" spans="1:30" x14ac:dyDescent="0.3">
      <c r="A100" s="12" t="str">
        <f t="shared" si="6"/>
        <v>MLB10005296106061TEASTCH46023</v>
      </c>
      <c r="B100" s="12" t="str">
        <f>CONTAL[[#This Row],[StaffMemberCode]]&amp;CONTAL[[#This Row],[AllowancePointCode]]&amp;CONTAL[[#This Row],[ContractReference]]&amp;CONTAL[[#This Row],[SchoolCode]]</f>
        <v>10005296TLR3D106061MLB</v>
      </c>
      <c r="C100" s="57">
        <f>IF(COUNTIF(ContractsTeachFTE!A:A,ContractAllowances!A100)&gt;0,0,IF(COUNTIF(ContractsSupportHours!A:A,ContractAllowances!A100)&gt;0,0,1))</f>
        <v>0</v>
      </c>
      <c r="D100" s="57">
        <f>IF(_xlfn.XLOOKUP(CONTAL[[#This Row],[AllowancePointCode]],ALLWCPTS[AllowancePointCode],ALLWCPTS[AvailableToAllSchools])=TRUE,0,IFERROR(IF(FIND(CONTAL[[#This Row],[SchoolCode]],_xlfn.XLOOKUP(CONTAL[[#This Row],[AllowancePointCode]],ALLWCPTS[AllowancePointCode],ALLWCPTS[SchoolCodes]))&gt;=1,0,1),1))</f>
        <v>0</v>
      </c>
      <c r="E100" s="57" cm="1">
        <f t="array" ref="E100">IF(_xlfn.XLOOKUP(CONTAL[[#This Row],[DepartmentCode]],DEPTS[DepartmentCode],DEPTS[AvailableToAllSchools],1,0,)=TRUE,0,IF(ISERROR(FIND(CONTAL[[#This Row],[SchoolCode]],_xlfn.TEXTJOIN(",",TRUE,_xlfn.UNIQUE(IF(DEPTS[DepartmentCode]=CONTAL[[#This Row],[DepartmentCode]],DEPTS[SchoolCodes],""))))),1,0))</f>
        <v>0</v>
      </c>
      <c r="F100" s="57">
        <f>IF(COUNTIF(ALLWCTYPE[AllowanceTypeCode],CONTAL[[#This Row],[AllowanceCode]])&gt;0,0,1)</f>
        <v>0</v>
      </c>
      <c r="G100" s="57">
        <f>IF(COUNTIF(ALLWCPTS[AllowancePointCode],CONTAL[[#This Row],[AllowancePointCode]])&gt;0,0,1)</f>
        <v>0</v>
      </c>
      <c r="H100" s="57">
        <f>COUNTIF(CONTAL[Person+AllowancePoint+ContractRef+SchoolCode],CONTAL[[#This Row],[Person+AllowancePoint+ContractRef+SchoolCode]])-1</f>
        <v>0</v>
      </c>
      <c r="I100" s="57">
        <f t="shared" si="7"/>
        <v>0</v>
      </c>
      <c r="J100" s="57">
        <f>IF(ISBLANK(CONTAL[[#This Row],[ContractDateTo]]),0,IF(CONTAL[[#This Row],[ContractDateFrom]]=CONTAL[[#This Row],[ContractDateTo]],0,IF(CONTAL[[#This Row],[ContractDateFrom]]&lt;CONTAL[[#This Row],[ContractDateTo]],0,1)))</f>
        <v>0</v>
      </c>
      <c r="K100" s="57">
        <f>IF(ISBLANK(CONTAL[[#This Row],[AllowanceDateTo]]),0,IF(CONTAL[[#This Row],[AllowanceDateFrom]]=CONTAL[[#This Row],[AllowanceDateTo]],0,IF(CONTAL[[#This Row],[AllowanceDateFrom]]&lt;CONTAL[[#This Row],[AllowanceDateTo]],0,1)))</f>
        <v>0</v>
      </c>
      <c r="L100" s="57" cm="1">
        <f t="array" aca="1" ref="L100" ca="1">IF(CELL("format",CONTAL[[#This Row],[ContractDateFrom]])="D1",0,1)+IF(CELL("format",CONTAL[[#This Row],[ContractDateTo]])="D1",0,1)+IF(CELL("format",CONTAL[[#This Row],[AllowanceDateFrom]])="D1",0,1)+IF(CELL("format",CONTAL[[#This Row],[AllowanceDateTo]])="D1",0,1)</f>
        <v>0</v>
      </c>
      <c r="M100" s="57">
        <f>IF(OR(CONTAL[[#This Row],[IgnoreFte]]=TRUE,CONTAL[[#This Row],[IgnoreFte]]=FALSE),0,1)</f>
        <v>0</v>
      </c>
      <c r="N100" s="57">
        <f>IF(LEN(CONTAL[[#This Row],[Notes]])&lt;4000,0,1)</f>
        <v>0</v>
      </c>
      <c r="O100" s="112">
        <f>COUNTBLANK(CONTAL[[#This Row],[AllowanceCode]:[AllowanceDateFrom]])+COUNTBLANK(CONTAL[[#This Row],[IgnoreFte]]:CONTAL[[#This Row],[IgnoreFte]])</f>
        <v>0</v>
      </c>
      <c r="P100" s="57">
        <f ca="1">SUM(CONTAL[[#This Row],[Contract Issue]:[Blank in column]])</f>
        <v>0</v>
      </c>
      <c r="R100" s="12" t="s">
        <v>2126</v>
      </c>
      <c r="S100" s="12">
        <v>10005296</v>
      </c>
      <c r="T100" s="12">
        <v>106061</v>
      </c>
      <c r="U100" s="57" t="str">
        <f>_xlfn.XLOOKUP(CONTAL[[#This Row],[StaffMemberCode]],StaffMembers!O:O,StaffMembers!R:R)</f>
        <v>Andrea Bargery</v>
      </c>
      <c r="V100" s="12" t="s">
        <v>1178</v>
      </c>
      <c r="W100" s="12" t="s">
        <v>2499</v>
      </c>
      <c r="X100" s="21">
        <v>46023</v>
      </c>
      <c r="Z100" s="12" t="s">
        <v>1136</v>
      </c>
      <c r="AA100" s="20" t="s">
        <v>3079</v>
      </c>
      <c r="AB100" s="21">
        <v>46023</v>
      </c>
      <c r="AD100" s="157" t="b">
        <v>0</v>
      </c>
    </row>
    <row r="101" spans="1:30" x14ac:dyDescent="0.3">
      <c r="A101" s="12" t="str">
        <f t="shared" si="6"/>
        <v>MLB10005330106102TEASTCH46023</v>
      </c>
      <c r="B101" s="12" t="str">
        <f>CONTAL[[#This Row],[StaffMemberCode]]&amp;CONTAL[[#This Row],[AllowancePointCode]]&amp;CONTAL[[#This Row],[ContractReference]]&amp;CONTAL[[#This Row],[SchoolCode]]</f>
        <v>10005330TLR3D106102MLB</v>
      </c>
      <c r="C101" s="57">
        <f>IF(COUNTIF(ContractsTeachFTE!A:A,ContractAllowances!A101)&gt;0,0,IF(COUNTIF(ContractsSupportHours!A:A,ContractAllowances!A101)&gt;0,0,1))</f>
        <v>0</v>
      </c>
      <c r="D101" s="57">
        <f>IF(_xlfn.XLOOKUP(CONTAL[[#This Row],[AllowancePointCode]],ALLWCPTS[AllowancePointCode],ALLWCPTS[AvailableToAllSchools])=TRUE,0,IFERROR(IF(FIND(CONTAL[[#This Row],[SchoolCode]],_xlfn.XLOOKUP(CONTAL[[#This Row],[AllowancePointCode]],ALLWCPTS[AllowancePointCode],ALLWCPTS[SchoolCodes]))&gt;=1,0,1),1))</f>
        <v>0</v>
      </c>
      <c r="E101" s="57" cm="1">
        <f t="array" ref="E101">IF(_xlfn.XLOOKUP(CONTAL[[#This Row],[DepartmentCode]],DEPTS[DepartmentCode],DEPTS[AvailableToAllSchools],1,0,)=TRUE,0,IF(ISERROR(FIND(CONTAL[[#This Row],[SchoolCode]],_xlfn.TEXTJOIN(",",TRUE,_xlfn.UNIQUE(IF(DEPTS[DepartmentCode]=CONTAL[[#This Row],[DepartmentCode]],DEPTS[SchoolCodes],""))))),1,0))</f>
        <v>0</v>
      </c>
      <c r="F101" s="57">
        <f>IF(COUNTIF(ALLWCTYPE[AllowanceTypeCode],CONTAL[[#This Row],[AllowanceCode]])&gt;0,0,1)</f>
        <v>0</v>
      </c>
      <c r="G101" s="57">
        <f>IF(COUNTIF(ALLWCPTS[AllowancePointCode],CONTAL[[#This Row],[AllowancePointCode]])&gt;0,0,1)</f>
        <v>0</v>
      </c>
      <c r="H101" s="57">
        <f>COUNTIF(CONTAL[Person+AllowancePoint+ContractRef+SchoolCode],CONTAL[[#This Row],[Person+AllowancePoint+ContractRef+SchoolCode]])-1</f>
        <v>0</v>
      </c>
      <c r="I101" s="57">
        <f t="shared" si="7"/>
        <v>0</v>
      </c>
      <c r="J101" s="57">
        <f>IF(ISBLANK(CONTAL[[#This Row],[ContractDateTo]]),0,IF(CONTAL[[#This Row],[ContractDateFrom]]=CONTAL[[#This Row],[ContractDateTo]],0,IF(CONTAL[[#This Row],[ContractDateFrom]]&lt;CONTAL[[#This Row],[ContractDateTo]],0,1)))</f>
        <v>0</v>
      </c>
      <c r="K101" s="57">
        <f>IF(ISBLANK(CONTAL[[#This Row],[AllowanceDateTo]]),0,IF(CONTAL[[#This Row],[AllowanceDateFrom]]=CONTAL[[#This Row],[AllowanceDateTo]],0,IF(CONTAL[[#This Row],[AllowanceDateFrom]]&lt;CONTAL[[#This Row],[AllowanceDateTo]],0,1)))</f>
        <v>0</v>
      </c>
      <c r="L101" s="57" cm="1">
        <f t="array" aca="1" ref="L101" ca="1">IF(CELL("format",CONTAL[[#This Row],[ContractDateFrom]])="D1",0,1)+IF(CELL("format",CONTAL[[#This Row],[ContractDateTo]])="D1",0,1)+IF(CELL("format",CONTAL[[#This Row],[AllowanceDateFrom]])="D1",0,1)+IF(CELL("format",CONTAL[[#This Row],[AllowanceDateTo]])="D1",0,1)</f>
        <v>0</v>
      </c>
      <c r="M101" s="57">
        <f>IF(OR(CONTAL[[#This Row],[IgnoreFte]]=TRUE,CONTAL[[#This Row],[IgnoreFte]]=FALSE),0,1)</f>
        <v>0</v>
      </c>
      <c r="N101" s="57">
        <f>IF(LEN(CONTAL[[#This Row],[Notes]])&lt;4000,0,1)</f>
        <v>0</v>
      </c>
      <c r="O101" s="112">
        <f>COUNTBLANK(CONTAL[[#This Row],[AllowanceCode]:[AllowanceDateFrom]])+COUNTBLANK(CONTAL[[#This Row],[IgnoreFte]]:CONTAL[[#This Row],[IgnoreFte]])</f>
        <v>0</v>
      </c>
      <c r="P101" s="57">
        <f ca="1">SUM(CONTAL[[#This Row],[Contract Issue]:[Blank in column]])</f>
        <v>0</v>
      </c>
      <c r="R101" s="12" t="s">
        <v>2126</v>
      </c>
      <c r="S101" s="12">
        <v>10005330</v>
      </c>
      <c r="T101" s="12">
        <v>106102</v>
      </c>
      <c r="U101" s="57" t="str">
        <f>_xlfn.XLOOKUP(CONTAL[[#This Row],[StaffMemberCode]],StaffMembers!O:O,StaffMembers!R:R)</f>
        <v>Rachel Coney</v>
      </c>
      <c r="V101" s="12" t="s">
        <v>1178</v>
      </c>
      <c r="W101" s="12" t="s">
        <v>2499</v>
      </c>
      <c r="X101" s="21">
        <v>46023</v>
      </c>
      <c r="Z101" s="12" t="s">
        <v>1136</v>
      </c>
      <c r="AA101" s="20" t="s">
        <v>3079</v>
      </c>
      <c r="AB101" s="21">
        <v>46023</v>
      </c>
      <c r="AD101" s="157" t="b">
        <v>0</v>
      </c>
    </row>
  </sheetData>
  <phoneticPr fontId="2" type="noConversion"/>
  <conditionalFormatting sqref="S1:S1048576">
    <cfRule type="duplicateValues" dxfId="1" priority="1"/>
  </conditionalFormatting>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97DFA4A-7E94-4F27-A6F3-F345F65157C9}">
          <x14:formula1>
            <xm:f>Depts!$G:$G</xm:f>
          </x14:formula1>
          <xm:sqref>W1:W1048576</xm:sqref>
        </x14:dataValidation>
      </x14:dataValidation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B4B2-3CBB-4B4D-968B-348C0AC083AF}">
  <sheetPr codeName="Sheet42">
    <tabColor theme="9" tint="0.39997558519241921"/>
  </sheetPr>
  <dimension ref="A1:AB83"/>
  <sheetViews>
    <sheetView topLeftCell="M1" zoomScale="90" zoomScaleNormal="90" workbookViewId="0">
      <pane ySplit="1" topLeftCell="A68" activePane="bottomLeft" state="frozen"/>
      <selection activeCell="D2" sqref="D2"/>
      <selection pane="bottomLeft" activeCell="M44" sqref="A44:XFD45"/>
    </sheetView>
  </sheetViews>
  <sheetFormatPr defaultColWidth="9.33203125" defaultRowHeight="14.4" outlineLevelCol="1" x14ac:dyDescent="0.3"/>
  <cols>
    <col min="1" max="1" width="8.5546875" style="12" hidden="1" customWidth="1" outlineLevel="1"/>
    <col min="2" max="2" width="15" style="12" hidden="1" customWidth="1" outlineLevel="1"/>
    <col min="3" max="5" width="10.44140625" style="12" hidden="1" customWidth="1" outlineLevel="1"/>
    <col min="6" max="6" width="13.6640625" style="12" hidden="1" customWidth="1" outlineLevel="1"/>
    <col min="7" max="12" width="10.6640625" style="12" hidden="1" customWidth="1" outlineLevel="1"/>
    <col min="13" max="13" width="10.6640625" style="12" customWidth="1" collapsed="1"/>
    <col min="14" max="14" width="12.6640625" style="12" bestFit="1" customWidth="1"/>
    <col min="15" max="15" width="12.33203125" style="12" bestFit="1" customWidth="1"/>
    <col min="16" max="16" width="12.5546875" style="12" customWidth="1"/>
    <col min="17" max="17" width="12.33203125" style="12" customWidth="1"/>
    <col min="18" max="18" width="19.5546875" style="12" customWidth="1"/>
    <col min="19" max="19" width="13.88671875" customWidth="1"/>
    <col min="20" max="20" width="11.5546875" style="12" customWidth="1"/>
    <col min="21" max="21" width="11.88671875" style="21" customWidth="1"/>
    <col min="22" max="22" width="12.33203125" style="21" customWidth="1"/>
    <col min="23" max="23" width="10.88671875" style="12" customWidth="1"/>
    <col min="24" max="24" width="11.33203125" style="21" customWidth="1"/>
    <col min="25" max="25" width="11.5546875" style="21" customWidth="1"/>
    <col min="26" max="26" width="16" style="12" customWidth="1"/>
    <col min="27" max="27" width="15.88671875" style="16" customWidth="1"/>
    <col min="28" max="28" width="10.5546875" style="12" customWidth="1"/>
    <col min="29" max="16384" width="9.33203125" style="12"/>
  </cols>
  <sheetData>
    <row r="1" spans="1:28" s="24" customFormat="1" ht="57.6" x14ac:dyDescent="0.3">
      <c r="A1" s="24" t="s">
        <v>1637</v>
      </c>
      <c r="B1" s="24" t="s">
        <v>1752</v>
      </c>
      <c r="C1" s="59" t="s">
        <v>1652</v>
      </c>
      <c r="D1" s="65" t="s">
        <v>1689</v>
      </c>
      <c r="E1" s="59" t="s">
        <v>1654</v>
      </c>
      <c r="F1" s="144" t="s">
        <v>1655</v>
      </c>
      <c r="G1" s="59" t="s">
        <v>1662</v>
      </c>
      <c r="H1" s="65" t="s">
        <v>1653</v>
      </c>
      <c r="I1" s="65" t="s">
        <v>1656</v>
      </c>
      <c r="J1" s="65" t="s">
        <v>1726</v>
      </c>
      <c r="K1" s="65" t="s">
        <v>1640</v>
      </c>
      <c r="L1" s="53" t="s">
        <v>1661</v>
      </c>
      <c r="M1" s="59" t="s">
        <v>1047</v>
      </c>
      <c r="N1" s="67" t="s">
        <v>1049</v>
      </c>
      <c r="O1" s="67" t="s">
        <v>890</v>
      </c>
      <c r="P1" s="67" t="s">
        <v>1199</v>
      </c>
      <c r="Q1" s="67" t="s">
        <v>1228</v>
      </c>
      <c r="R1" s="65" t="s">
        <v>1229</v>
      </c>
      <c r="S1" s="67" t="s">
        <v>1208</v>
      </c>
      <c r="T1" s="67" t="s">
        <v>903</v>
      </c>
      <c r="U1" s="61" t="s">
        <v>1230</v>
      </c>
      <c r="V1" s="61" t="s">
        <v>1231</v>
      </c>
      <c r="W1" s="67" t="s">
        <v>1195</v>
      </c>
      <c r="X1" s="61" t="s">
        <v>1232</v>
      </c>
      <c r="Y1" s="61" t="s">
        <v>1233</v>
      </c>
      <c r="Z1" s="67" t="s">
        <v>1718</v>
      </c>
      <c r="AA1" s="72" t="s">
        <v>1719</v>
      </c>
      <c r="AB1" s="67" t="s">
        <v>56</v>
      </c>
    </row>
    <row r="2" spans="1:28" x14ac:dyDescent="0.3">
      <c r="A2" s="12" t="str">
        <f t="shared" ref="A2:A33" si="0">O2&amp;P2&amp;Q2&amp;S2&amp;T2&amp;U2</f>
        <v>MLB10009099109641TEASTCH46023</v>
      </c>
      <c r="B2" s="12" t="str">
        <f>CONTADJ[[#This Row],[StaffMemberCode]]&amp;CONTADJ[[#This Row],[AdjustmentTypeCode]]&amp;CONTADJ[[#This Row],[ContractReference]]&amp;CONTADJ[[#This Row],[SchoolCode]]</f>
        <v>10009099RR109641MLB</v>
      </c>
      <c r="C2" s="57">
        <f>IF(COUNTIF(ContractsTeachFTE!A:A,ContractAdjustments!A76)&gt;0,0,IF(COUNTIF(ContractsSupportHours!A:A,ContractAdjustments!A76)&gt;0,0,1))</f>
        <v>0</v>
      </c>
      <c r="D2" s="57" cm="1">
        <f t="array" ref="D2">IF(_xlfn.XLOOKUP(CONTADJ[[#This Row],[DepartmentCode]],DEPTS[DepartmentCode],DEPTS[AvailableToAllSchools],1,0,)=TRUE,0,IF(ISERROR(FIND(CONTADJ[[#This Row],[SchoolCode]],_xlfn.TEXTJOIN(",",TRUE,_xlfn.UNIQUE(IF(DEPTS[DepartmentCode]=CONTADJ[[#This Row],[DepartmentCode]],DEPTS[SchoolCodes],""))))),1,0))</f>
        <v>0</v>
      </c>
      <c r="E2" s="57">
        <f>IF(COUNTIF(ADJTYPE[AdjustmentTypeCode],CONTADJ[[#This Row],[AdjustmentTypeCode]])&gt;0,0,1)</f>
        <v>0</v>
      </c>
      <c r="F2" s="57">
        <f>COUNTIF(CONTADJ[Person+Adj Type Point+Contract Ref+SchoolCode],CONTADJ[[#This Row],[Person+Adj Type Point+Contract Ref+SchoolCode]]-1)</f>
        <v>0</v>
      </c>
      <c r="G2" s="57">
        <f t="shared" ref="G2:G33" si="1">IF(U2&gt;X2,1,0)</f>
        <v>0</v>
      </c>
      <c r="H2" s="57">
        <f>IF(ISBLANK(CONTADJ[[#This Row],[ContractDateTo]]),0,IF(CONTADJ[[#This Row],[ContractDateFrom]]=CONTADJ[[#This Row],[ContractDateTo]],0,IF(CONTADJ[[#This Row],[ContractDateFrom]]&lt;CONTADJ[[#This Row],[ContractDateTo]],0,1)))</f>
        <v>0</v>
      </c>
      <c r="I2" s="57">
        <f>IF(ISBLANK(CONTADJ[[#This Row],[AdjustmentDateTo]]),0,IF(CONTADJ[[#This Row],[AdjustmentDateFrom]]=CONTADJ[[#This Row],[AdjustmentDateTo]],0,IF(CONTADJ[[#This Row],[AdjustmentDateFrom]]&lt;CONTADJ[[#This Row],[AdjustmentDateTo]],0,1)))</f>
        <v>0</v>
      </c>
      <c r="J2" s="57" cm="1">
        <f t="array" aca="1" ref="J2" ca="1">IF(CELL("format",CONTADJ[[#This Row],[ContractDateFrom]])="D1",0,1)+IF(CELL("format",CONTADJ[[#This Row],[ContractDateTo]])="D1",0,1)+IF(CELL("format",CONTADJ[[#This Row],[AdjustmentDateFrom]])="D1",0,1)+IF(CELL("format",CONTADJ[[#This Row],[AdjustmentDateTo]])="D1",0,1)</f>
        <v>0</v>
      </c>
      <c r="K2" s="57">
        <f>IF(LEN(CONTADJ[[#This Row],[Notes]])&lt;4000,0,1)</f>
        <v>0</v>
      </c>
      <c r="L2" s="57">
        <f>COUNTBLANK(CONTADJ[[#This Row],[AnnualValuePreAnnualFte]:[AnnualValuePostAnnualFte]])</f>
        <v>0</v>
      </c>
      <c r="M2" s="57">
        <f ca="1">SUM(CONTADJ[[#This Row],[Contract Issue]:[Blank in column]])</f>
        <v>0</v>
      </c>
      <c r="O2" s="12" t="s">
        <v>2126</v>
      </c>
      <c r="P2" s="12">
        <v>10009099</v>
      </c>
      <c r="Q2" s="12">
        <v>109641</v>
      </c>
      <c r="R2" s="57" t="str">
        <f>_xlfn.XLOOKUP(CONTADJ[[#This Row],[StaffMemberCode]],StaffMembers!O:O,StaffMembers!R:R)</f>
        <v>Adam Oliver</v>
      </c>
      <c r="S2" s="12" t="s">
        <v>1178</v>
      </c>
      <c r="T2" s="12" t="s">
        <v>2499</v>
      </c>
      <c r="U2" s="21">
        <v>46023</v>
      </c>
      <c r="W2" s="12" t="s">
        <v>3151</v>
      </c>
      <c r="X2" s="21">
        <v>46023</v>
      </c>
      <c r="Z2" s="12">
        <v>0</v>
      </c>
      <c r="AA2" s="14">
        <v>2323</v>
      </c>
    </row>
    <row r="3" spans="1:28" x14ac:dyDescent="0.3">
      <c r="A3" s="12" t="str">
        <f t="shared" si="0"/>
        <v>MLB10005299106064TEASTCH46023</v>
      </c>
      <c r="B3" s="12" t="str">
        <f>CONTADJ[[#This Row],[StaffMemberCode]]&amp;CONTADJ[[#This Row],[AdjustmentTypeCode]]&amp;CONTADJ[[#This Row],[ContractReference]]&amp;CONTADJ[[#This Row],[SchoolCode]]</f>
        <v>10005299TLR_OTH106064MLB</v>
      </c>
      <c r="C3" s="57">
        <f>IF(COUNTIF(ContractsTeachFTE!A:A,ContractAdjustments!A50)&gt;0,0,IF(COUNTIF(ContractsSupportHours!A:A,ContractAdjustments!A50)&gt;0,0,1))</f>
        <v>0</v>
      </c>
      <c r="D3" s="57" cm="1">
        <f t="array" ref="D3">IF(_xlfn.XLOOKUP(CONTADJ[[#This Row],[DepartmentCode]],DEPTS[DepartmentCode],DEPTS[AvailableToAllSchools],1,0,)=TRUE,0,IF(ISERROR(FIND(CONTADJ[[#This Row],[SchoolCode]],_xlfn.TEXTJOIN(",",TRUE,_xlfn.UNIQUE(IF(DEPTS[DepartmentCode]=CONTADJ[[#This Row],[DepartmentCode]],DEPTS[SchoolCodes],""))))),1,0))</f>
        <v>0</v>
      </c>
      <c r="E3" s="57">
        <f>IF(COUNTIF(ADJTYPE[AdjustmentTypeCode],CONTADJ[[#This Row],[AdjustmentTypeCode]])&gt;0,0,1)</f>
        <v>0</v>
      </c>
      <c r="F3" s="57">
        <f>COUNTIF(CONTADJ[Person+Adj Type Point+Contract Ref+SchoolCode],CONTADJ[[#This Row],[Person+Adj Type Point+Contract Ref+SchoolCode]]-1)</f>
        <v>0</v>
      </c>
      <c r="G3" s="57">
        <f t="shared" si="1"/>
        <v>0</v>
      </c>
      <c r="H3" s="57">
        <f>IF(ISBLANK(CONTADJ[[#This Row],[ContractDateTo]]),0,IF(CONTADJ[[#This Row],[ContractDateFrom]]=CONTADJ[[#This Row],[ContractDateTo]],0,IF(CONTADJ[[#This Row],[ContractDateFrom]]&lt;CONTADJ[[#This Row],[ContractDateTo]],0,1)))</f>
        <v>0</v>
      </c>
      <c r="I3" s="57">
        <f>IF(ISBLANK(CONTADJ[[#This Row],[AdjustmentDateTo]]),0,IF(CONTADJ[[#This Row],[AdjustmentDateFrom]]=CONTADJ[[#This Row],[AdjustmentDateTo]],0,IF(CONTADJ[[#This Row],[AdjustmentDateFrom]]&lt;CONTADJ[[#This Row],[AdjustmentDateTo]],0,1)))</f>
        <v>0</v>
      </c>
      <c r="J3" s="57" cm="1">
        <f t="array" aca="1" ref="J3" ca="1">IF(CELL("format",CONTADJ[[#This Row],[ContractDateFrom]])="D1",0,1)+IF(CELL("format",CONTADJ[[#This Row],[ContractDateTo]])="D1",0,1)+IF(CELL("format",CONTADJ[[#This Row],[AdjustmentDateFrom]])="D1",0,1)+IF(CELL("format",CONTADJ[[#This Row],[AdjustmentDateTo]])="D1",0,1)</f>
        <v>0</v>
      </c>
      <c r="K3" s="57">
        <f>IF(LEN(CONTADJ[[#This Row],[Notes]])&lt;4000,0,1)</f>
        <v>0</v>
      </c>
      <c r="L3" s="57">
        <f>COUNTBLANK(CONTADJ[[#This Row],[AnnualValuePreAnnualFte]:[AnnualValuePostAnnualFte]])</f>
        <v>0</v>
      </c>
      <c r="M3" s="57">
        <f ca="1">SUM(CONTADJ[[#This Row],[Contract Issue]:[Blank in column]])</f>
        <v>0</v>
      </c>
      <c r="O3" s="12" t="s">
        <v>2126</v>
      </c>
      <c r="P3" s="12">
        <v>10005299</v>
      </c>
      <c r="Q3" s="12">
        <v>106064</v>
      </c>
      <c r="R3" s="57" t="str">
        <f>_xlfn.XLOOKUP(CONTADJ[[#This Row],[StaffMemberCode]],StaffMembers!O:O,StaffMembers!R:R)</f>
        <v>Alan Killalee</v>
      </c>
      <c r="S3" s="12" t="s">
        <v>1178</v>
      </c>
      <c r="T3" s="12" t="s">
        <v>2499</v>
      </c>
      <c r="U3" s="21">
        <v>46023</v>
      </c>
      <c r="W3" s="12" t="s">
        <v>4324</v>
      </c>
      <c r="X3" s="21">
        <v>46023</v>
      </c>
      <c r="Z3" s="12">
        <v>0</v>
      </c>
      <c r="AA3" s="14">
        <v>13221</v>
      </c>
      <c r="AB3" s="12" t="s">
        <v>4895</v>
      </c>
    </row>
    <row r="4" spans="1:28" x14ac:dyDescent="0.3">
      <c r="A4" s="12" t="str">
        <f t="shared" si="0"/>
        <v>MLB10005299106064TEASTCH46023</v>
      </c>
      <c r="B4" s="12" t="str">
        <f>CONTADJ[[#This Row],[StaffMemberCode]]&amp;CONTADJ[[#This Row],[AdjustmentTypeCode]]&amp;CONTADJ[[#This Row],[ContractReference]]&amp;CONTADJ[[#This Row],[SchoolCode]]</f>
        <v>10005299RR106064MLB</v>
      </c>
      <c r="C4" s="57">
        <f>IF(COUNTIF(ContractsTeachFTE!A:A,ContractAdjustments!A73)&gt;0,0,IF(COUNTIF(ContractsSupportHours!A:A,ContractAdjustments!A73)&gt;0,0,1))</f>
        <v>0</v>
      </c>
      <c r="D4" s="57" cm="1">
        <f t="array" ref="D4">IF(_xlfn.XLOOKUP(CONTADJ[[#This Row],[DepartmentCode]],DEPTS[DepartmentCode],DEPTS[AvailableToAllSchools],1,0,)=TRUE,0,IF(ISERROR(FIND(CONTADJ[[#This Row],[SchoolCode]],_xlfn.TEXTJOIN(",",TRUE,_xlfn.UNIQUE(IF(DEPTS[DepartmentCode]=CONTADJ[[#This Row],[DepartmentCode]],DEPTS[SchoolCodes],""))))),1,0))</f>
        <v>0</v>
      </c>
      <c r="E4" s="57">
        <f>IF(COUNTIF(ADJTYPE[AdjustmentTypeCode],CONTADJ[[#This Row],[AdjustmentTypeCode]])&gt;0,0,1)</f>
        <v>0</v>
      </c>
      <c r="F4" s="57">
        <f>COUNTIF(CONTADJ[Person+Adj Type Point+Contract Ref+SchoolCode],CONTADJ[[#This Row],[Person+Adj Type Point+Contract Ref+SchoolCode]]-1)</f>
        <v>0</v>
      </c>
      <c r="G4" s="57">
        <f t="shared" si="1"/>
        <v>0</v>
      </c>
      <c r="H4" s="57">
        <f>IF(ISBLANK(CONTADJ[[#This Row],[ContractDateTo]]),0,IF(CONTADJ[[#This Row],[ContractDateFrom]]=CONTADJ[[#This Row],[ContractDateTo]],0,IF(CONTADJ[[#This Row],[ContractDateFrom]]&lt;CONTADJ[[#This Row],[ContractDateTo]],0,1)))</f>
        <v>0</v>
      </c>
      <c r="I4" s="57">
        <f>IF(ISBLANK(CONTADJ[[#This Row],[AdjustmentDateTo]]),0,IF(CONTADJ[[#This Row],[AdjustmentDateFrom]]=CONTADJ[[#This Row],[AdjustmentDateTo]],0,IF(CONTADJ[[#This Row],[AdjustmentDateFrom]]&lt;CONTADJ[[#This Row],[AdjustmentDateTo]],0,1)))</f>
        <v>0</v>
      </c>
      <c r="J4" s="57" cm="1">
        <f t="array" aca="1" ref="J4" ca="1">IF(CELL("format",CONTADJ[[#This Row],[ContractDateFrom]])="D1",0,1)+IF(CELL("format",CONTADJ[[#This Row],[ContractDateTo]])="D1",0,1)+IF(CELL("format",CONTADJ[[#This Row],[AdjustmentDateFrom]])="D1",0,1)+IF(CELL("format",CONTADJ[[#This Row],[AdjustmentDateTo]])="D1",0,1)</f>
        <v>0</v>
      </c>
      <c r="K4" s="57">
        <f>IF(LEN(CONTADJ[[#This Row],[Notes]])&lt;4000,0,1)</f>
        <v>0</v>
      </c>
      <c r="L4" s="57">
        <f>COUNTBLANK(CONTADJ[[#This Row],[AnnualValuePreAnnualFte]:[AnnualValuePostAnnualFte]])</f>
        <v>0</v>
      </c>
      <c r="M4" s="57">
        <f ca="1">SUM(CONTADJ[[#This Row],[Contract Issue]:[Blank in column]])</f>
        <v>0</v>
      </c>
      <c r="O4" s="12" t="s">
        <v>2126</v>
      </c>
      <c r="P4" s="12">
        <v>10005299</v>
      </c>
      <c r="Q4" s="12">
        <v>106064</v>
      </c>
      <c r="R4" s="57" t="str">
        <f>_xlfn.XLOOKUP(CONTADJ[[#This Row],[StaffMemberCode]],StaffMembers!O:O,StaffMembers!R:R)</f>
        <v>Alan Killalee</v>
      </c>
      <c r="S4" s="12" t="s">
        <v>1178</v>
      </c>
      <c r="T4" s="12" t="s">
        <v>2499</v>
      </c>
      <c r="U4" s="21">
        <v>46023</v>
      </c>
      <c r="W4" s="12" t="s">
        <v>3151</v>
      </c>
      <c r="X4" s="21">
        <v>46023</v>
      </c>
      <c r="Z4" s="12">
        <v>0</v>
      </c>
      <c r="AA4" s="14">
        <v>5849</v>
      </c>
    </row>
    <row r="5" spans="1:28" x14ac:dyDescent="0.3">
      <c r="A5" s="12" t="str">
        <f t="shared" si="0"/>
        <v>MLB10005338106110TEASTCH46023</v>
      </c>
      <c r="B5" s="12" t="str">
        <f>CONTADJ[[#This Row],[StaffMemberCode]]&amp;CONTADJ[[#This Row],[AdjustmentTypeCode]]&amp;CONTADJ[[#This Row],[ContractReference]]&amp;CONTADJ[[#This Row],[SchoolCode]]</f>
        <v>10005338TLR_OTH106110MLB</v>
      </c>
      <c r="C5" s="57">
        <f>IF(COUNTIF(ContractsTeachFTE!A:A,ContractAdjustments!A60)&gt;0,0,IF(COUNTIF(ContractsSupportHours!A:A,ContractAdjustments!A60)&gt;0,0,1))</f>
        <v>0</v>
      </c>
      <c r="D5" s="57" cm="1">
        <f t="array" ref="D5">IF(_xlfn.XLOOKUP(CONTADJ[[#This Row],[DepartmentCode]],DEPTS[DepartmentCode],DEPTS[AvailableToAllSchools],1,0,)=TRUE,0,IF(ISERROR(FIND(CONTADJ[[#This Row],[SchoolCode]],_xlfn.TEXTJOIN(",",TRUE,_xlfn.UNIQUE(IF(DEPTS[DepartmentCode]=CONTADJ[[#This Row],[DepartmentCode]],DEPTS[SchoolCodes],""))))),1,0))</f>
        <v>0</v>
      </c>
      <c r="E5" s="57">
        <f>IF(COUNTIF(ADJTYPE[AdjustmentTypeCode],CONTADJ[[#This Row],[AdjustmentTypeCode]])&gt;0,0,1)</f>
        <v>0</v>
      </c>
      <c r="F5" s="57">
        <f>COUNTIF(CONTADJ[Person+Adj Type Point+Contract Ref+SchoolCode],CONTADJ[[#This Row],[Person+Adj Type Point+Contract Ref+SchoolCode]]-1)</f>
        <v>0</v>
      </c>
      <c r="G5" s="57">
        <f t="shared" si="1"/>
        <v>0</v>
      </c>
      <c r="H5" s="57">
        <f>IF(ISBLANK(CONTADJ[[#This Row],[ContractDateTo]]),0,IF(CONTADJ[[#This Row],[ContractDateFrom]]=CONTADJ[[#This Row],[ContractDateTo]],0,IF(CONTADJ[[#This Row],[ContractDateFrom]]&lt;CONTADJ[[#This Row],[ContractDateTo]],0,1)))</f>
        <v>0</v>
      </c>
      <c r="I5" s="57">
        <f>IF(ISBLANK(CONTADJ[[#This Row],[AdjustmentDateTo]]),0,IF(CONTADJ[[#This Row],[AdjustmentDateFrom]]=CONTADJ[[#This Row],[AdjustmentDateTo]],0,IF(CONTADJ[[#This Row],[AdjustmentDateFrom]]&lt;CONTADJ[[#This Row],[AdjustmentDateTo]],0,1)))</f>
        <v>0</v>
      </c>
      <c r="J5" s="57" cm="1">
        <f t="array" aca="1" ref="J5" ca="1">IF(CELL("format",CONTADJ[[#This Row],[ContractDateFrom]])="D1",0,1)+IF(CELL("format",CONTADJ[[#This Row],[ContractDateTo]])="D1",0,1)+IF(CELL("format",CONTADJ[[#This Row],[AdjustmentDateFrom]])="D1",0,1)+IF(CELL("format",CONTADJ[[#This Row],[AdjustmentDateTo]])="D1",0,1)</f>
        <v>0</v>
      </c>
      <c r="K5" s="57">
        <f>IF(LEN(CONTADJ[[#This Row],[Notes]])&lt;4000,0,1)</f>
        <v>0</v>
      </c>
      <c r="L5" s="57">
        <f>COUNTBLANK(CONTADJ[[#This Row],[AnnualValuePreAnnualFte]:[AnnualValuePostAnnualFte]])</f>
        <v>0</v>
      </c>
      <c r="M5" s="57">
        <f ca="1">SUM(CONTADJ[[#This Row],[Contract Issue]:[Blank in column]])</f>
        <v>0</v>
      </c>
      <c r="O5" s="12" t="s">
        <v>2126</v>
      </c>
      <c r="P5" s="12">
        <v>10005338</v>
      </c>
      <c r="Q5" s="12">
        <v>106110</v>
      </c>
      <c r="R5" s="57" t="str">
        <f>_xlfn.XLOOKUP(CONTADJ[[#This Row],[StaffMemberCode]],StaffMembers!O:O,StaffMembers!R:R)</f>
        <v>Alistair Reed</v>
      </c>
      <c r="S5" s="12" t="s">
        <v>1178</v>
      </c>
      <c r="T5" s="12" t="s">
        <v>2499</v>
      </c>
      <c r="U5" s="21">
        <v>46023</v>
      </c>
      <c r="W5" s="12" t="s">
        <v>4324</v>
      </c>
      <c r="X5" s="21">
        <v>46023</v>
      </c>
      <c r="Z5" s="12">
        <v>0</v>
      </c>
      <c r="AA5" s="14">
        <v>5849</v>
      </c>
      <c r="AB5" s="12" t="s">
        <v>4896</v>
      </c>
    </row>
    <row r="6" spans="1:28" x14ac:dyDescent="0.3">
      <c r="A6" s="12" t="str">
        <f t="shared" si="0"/>
        <v>BLS9107346591073465ATEASTCH45901</v>
      </c>
      <c r="B6" s="12" t="str">
        <f>CONTADJ[[#This Row],[StaffMemberCode]]&amp;CONTADJ[[#This Row],[AdjustmentTypeCode]]&amp;CONTADJ[[#This Row],[ContractReference]]&amp;CONTADJ[[#This Row],[SchoolCode]]</f>
        <v>91073465JOB91073465ABLS</v>
      </c>
      <c r="C6" s="57">
        <f>IF(COUNTIF(ContractsTeachFTE!A:A,ContractAdjustments!A29)&gt;0,0,IF(COUNTIF(ContractsSupportHours!A:A,ContractAdjustments!A29)&gt;0,0,1))</f>
        <v>0</v>
      </c>
      <c r="D6" s="57" cm="1">
        <f t="array" ref="D6">IF(_xlfn.XLOOKUP(CONTADJ[[#This Row],[DepartmentCode]],DEPTS[DepartmentCode],DEPTS[AvailableToAllSchools],1,0,)=TRUE,0,IF(ISERROR(FIND(CONTADJ[[#This Row],[SchoolCode]],_xlfn.TEXTJOIN(",",TRUE,_xlfn.UNIQUE(IF(DEPTS[DepartmentCode]=CONTADJ[[#This Row],[DepartmentCode]],DEPTS[SchoolCodes],""))))),1,0))</f>
        <v>0</v>
      </c>
      <c r="E6" s="57">
        <f>IF(COUNTIF(ADJTYPE[AdjustmentTypeCode],CONTADJ[[#This Row],[AdjustmentTypeCode]])&gt;0,0,1)</f>
        <v>0</v>
      </c>
      <c r="F6" s="57">
        <f>COUNTIF(CONTADJ[Person+Adj Type Point+Contract Ref+SchoolCode],CONTADJ[[#This Row],[Person+Adj Type Point+Contract Ref+SchoolCode]]-1)</f>
        <v>0</v>
      </c>
      <c r="G6" s="57">
        <f t="shared" si="1"/>
        <v>0</v>
      </c>
      <c r="H6" s="57">
        <f>IF(ISBLANK(CONTADJ[[#This Row],[ContractDateTo]]),0,IF(CONTADJ[[#This Row],[ContractDateFrom]]=CONTADJ[[#This Row],[ContractDateTo]],0,IF(CONTADJ[[#This Row],[ContractDateFrom]]&lt;CONTADJ[[#This Row],[ContractDateTo]],0,1)))</f>
        <v>0</v>
      </c>
      <c r="I6" s="57">
        <f>IF(ISBLANK(CONTADJ[[#This Row],[AdjustmentDateTo]]),0,IF(CONTADJ[[#This Row],[AdjustmentDateFrom]]=CONTADJ[[#This Row],[AdjustmentDateTo]],0,IF(CONTADJ[[#This Row],[AdjustmentDateFrom]]&lt;CONTADJ[[#This Row],[AdjustmentDateTo]],0,1)))</f>
        <v>0</v>
      </c>
      <c r="J6" s="57" cm="1">
        <f t="array" aca="1" ref="J6" ca="1">IF(CELL("format",CONTADJ[[#This Row],[ContractDateFrom]])="D1",0,1)+IF(CELL("format",CONTADJ[[#This Row],[ContractDateTo]])="D1",0,1)+IF(CELL("format",CONTADJ[[#This Row],[AdjustmentDateFrom]])="D1",0,1)+IF(CELL("format",CONTADJ[[#This Row],[AdjustmentDateTo]])="D1",0,1)</f>
        <v>0</v>
      </c>
      <c r="K6" s="57">
        <f>IF(LEN(CONTADJ[[#This Row],[Notes]])&lt;4000,0,1)</f>
        <v>0</v>
      </c>
      <c r="L6" s="57">
        <f>COUNTBLANK(CONTADJ[[#This Row],[AnnualValuePreAnnualFte]:[AnnualValuePostAnnualFte]])</f>
        <v>0</v>
      </c>
      <c r="M6" s="57">
        <f ca="1">SUM(CONTADJ[[#This Row],[Contract Issue]:[Blank in column]])</f>
        <v>0</v>
      </c>
      <c r="O6" s="12" t="s">
        <v>2094</v>
      </c>
      <c r="P6" s="12">
        <v>91073465</v>
      </c>
      <c r="Q6" s="12" t="s">
        <v>4386</v>
      </c>
      <c r="R6" s="57" t="str">
        <f>_xlfn.XLOOKUP(CONTADJ[[#This Row],[StaffMemberCode]],StaffMembers!O:O,StaffMembers!R:R)</f>
        <v>Andrea Sanders</v>
      </c>
      <c r="S6" s="12" t="s">
        <v>1178</v>
      </c>
      <c r="T6" s="12" t="s">
        <v>2499</v>
      </c>
      <c r="U6" s="21">
        <v>45901</v>
      </c>
      <c r="W6" s="12" t="s">
        <v>3157</v>
      </c>
      <c r="X6" s="21">
        <v>45901</v>
      </c>
      <c r="Z6" s="12">
        <v>0</v>
      </c>
      <c r="AA6" s="14">
        <v>5807</v>
      </c>
    </row>
    <row r="7" spans="1:28" x14ac:dyDescent="0.3">
      <c r="A7" s="12" t="str">
        <f t="shared" si="0"/>
        <v>MLB10005323106094TEASTCH46023</v>
      </c>
      <c r="B7" s="12" t="str">
        <f>CONTADJ[[#This Row],[StaffMemberCode]]&amp;CONTADJ[[#This Row],[AdjustmentTypeCode]]&amp;CONTADJ[[#This Row],[ContractReference]]&amp;CONTADJ[[#This Row],[SchoolCode]]</f>
        <v>10005323TLR_OTH106094MLB</v>
      </c>
      <c r="C7" s="57">
        <f>IF(COUNTIF(ContractsTeachFTE!A:A,ContractAdjustments!A58)&gt;0,0,IF(COUNTIF(ContractsSupportHours!A:A,ContractAdjustments!A58)&gt;0,0,1))</f>
        <v>0</v>
      </c>
      <c r="D7" s="57" cm="1">
        <f t="array" ref="D7">IF(_xlfn.XLOOKUP(CONTADJ[[#This Row],[DepartmentCode]],DEPTS[DepartmentCode],DEPTS[AvailableToAllSchools],1,0,)=TRUE,0,IF(ISERROR(FIND(CONTADJ[[#This Row],[SchoolCode]],_xlfn.TEXTJOIN(",",TRUE,_xlfn.UNIQUE(IF(DEPTS[DepartmentCode]=CONTADJ[[#This Row],[DepartmentCode]],DEPTS[SchoolCodes],""))))),1,0))</f>
        <v>0</v>
      </c>
      <c r="E7" s="57">
        <f>IF(COUNTIF(ADJTYPE[AdjustmentTypeCode],CONTADJ[[#This Row],[AdjustmentTypeCode]])&gt;0,0,1)</f>
        <v>0</v>
      </c>
      <c r="F7" s="57">
        <f>COUNTIF(CONTADJ[Person+Adj Type Point+Contract Ref+SchoolCode],CONTADJ[[#This Row],[Person+Adj Type Point+Contract Ref+SchoolCode]]-1)</f>
        <v>0</v>
      </c>
      <c r="G7" s="57">
        <f t="shared" si="1"/>
        <v>0</v>
      </c>
      <c r="H7" s="57">
        <f>IF(ISBLANK(CONTADJ[[#This Row],[ContractDateTo]]),0,IF(CONTADJ[[#This Row],[ContractDateFrom]]=CONTADJ[[#This Row],[ContractDateTo]],0,IF(CONTADJ[[#This Row],[ContractDateFrom]]&lt;CONTADJ[[#This Row],[ContractDateTo]],0,1)))</f>
        <v>0</v>
      </c>
      <c r="I7" s="57">
        <f>IF(ISBLANK(CONTADJ[[#This Row],[AdjustmentDateTo]]),0,IF(CONTADJ[[#This Row],[AdjustmentDateFrom]]=CONTADJ[[#This Row],[AdjustmentDateTo]],0,IF(CONTADJ[[#This Row],[AdjustmentDateFrom]]&lt;CONTADJ[[#This Row],[AdjustmentDateTo]],0,1)))</f>
        <v>0</v>
      </c>
      <c r="J7" s="57" cm="1">
        <f t="array" aca="1" ref="J7" ca="1">IF(CELL("format",CONTADJ[[#This Row],[ContractDateFrom]])="D1",0,1)+IF(CELL("format",CONTADJ[[#This Row],[ContractDateTo]])="D1",0,1)+IF(CELL("format",CONTADJ[[#This Row],[AdjustmentDateFrom]])="D1",0,1)+IF(CELL("format",CONTADJ[[#This Row],[AdjustmentDateTo]])="D1",0,1)</f>
        <v>0</v>
      </c>
      <c r="K7" s="57">
        <f>IF(LEN(CONTADJ[[#This Row],[Notes]])&lt;4000,0,1)</f>
        <v>0</v>
      </c>
      <c r="L7" s="57">
        <f>COUNTBLANK(CONTADJ[[#This Row],[AnnualValuePreAnnualFte]:[AnnualValuePostAnnualFte]])</f>
        <v>0</v>
      </c>
      <c r="M7" s="57">
        <f ca="1">SUM(CONTADJ[[#This Row],[Contract Issue]:[Blank in column]])</f>
        <v>0</v>
      </c>
      <c r="O7" s="12" t="s">
        <v>2126</v>
      </c>
      <c r="P7" s="12">
        <v>10005323</v>
      </c>
      <c r="Q7" s="12">
        <v>106094</v>
      </c>
      <c r="R7" s="57" t="str">
        <f>_xlfn.XLOOKUP(CONTADJ[[#This Row],[StaffMemberCode]],StaffMembers!O:O,StaffMembers!R:R)</f>
        <v>Andrew Brownsword</v>
      </c>
      <c r="S7" s="12" t="s">
        <v>1178</v>
      </c>
      <c r="T7" s="12" t="s">
        <v>2499</v>
      </c>
      <c r="U7" s="21">
        <v>46023</v>
      </c>
      <c r="W7" s="12" t="s">
        <v>4324</v>
      </c>
      <c r="X7" s="21">
        <v>46023</v>
      </c>
      <c r="Z7" s="12">
        <v>0</v>
      </c>
      <c r="AA7" s="14">
        <v>5849</v>
      </c>
      <c r="AB7" s="12" t="s">
        <v>4896</v>
      </c>
    </row>
    <row r="8" spans="1:28" x14ac:dyDescent="0.3">
      <c r="A8" s="12" t="str">
        <f t="shared" si="0"/>
        <v>MLB10005323106094TEASTCH46023</v>
      </c>
      <c r="B8" s="12" t="str">
        <f>CONTADJ[[#This Row],[StaffMemberCode]]&amp;CONTADJ[[#This Row],[AdjustmentTypeCode]]&amp;CONTADJ[[#This Row],[ContractReference]]&amp;CONTADJ[[#This Row],[SchoolCode]]</f>
        <v>10005323RR106094MLB</v>
      </c>
      <c r="C8" s="57">
        <f>IF(COUNTIF(ContractsTeachFTE!A:A,ContractAdjustments!A75)&gt;0,0,IF(COUNTIF(ContractsSupportHours!A:A,ContractAdjustments!A75)&gt;0,0,1))</f>
        <v>1</v>
      </c>
      <c r="D8" s="57" cm="1">
        <f t="array" ref="D8">IF(_xlfn.XLOOKUP(CONTADJ[[#This Row],[DepartmentCode]],DEPTS[DepartmentCode],DEPTS[AvailableToAllSchools],1,0,)=TRUE,0,IF(ISERROR(FIND(CONTADJ[[#This Row],[SchoolCode]],_xlfn.TEXTJOIN(",",TRUE,_xlfn.UNIQUE(IF(DEPTS[DepartmentCode]=CONTADJ[[#This Row],[DepartmentCode]],DEPTS[SchoolCodes],""))))),1,0))</f>
        <v>0</v>
      </c>
      <c r="E8" s="57">
        <f>IF(COUNTIF(ADJTYPE[AdjustmentTypeCode],CONTADJ[[#This Row],[AdjustmentTypeCode]])&gt;0,0,1)</f>
        <v>0</v>
      </c>
      <c r="F8" s="57">
        <f>COUNTIF(CONTADJ[Person+Adj Type Point+Contract Ref+SchoolCode],CONTADJ[[#This Row],[Person+Adj Type Point+Contract Ref+SchoolCode]]-1)</f>
        <v>0</v>
      </c>
      <c r="G8" s="57">
        <f t="shared" si="1"/>
        <v>0</v>
      </c>
      <c r="H8" s="57">
        <f>IF(ISBLANK(CONTADJ[[#This Row],[ContractDateTo]]),0,IF(CONTADJ[[#This Row],[ContractDateFrom]]=CONTADJ[[#This Row],[ContractDateTo]],0,IF(CONTADJ[[#This Row],[ContractDateFrom]]&lt;CONTADJ[[#This Row],[ContractDateTo]],0,1)))</f>
        <v>0</v>
      </c>
      <c r="I8" s="57">
        <f>IF(ISBLANK(CONTADJ[[#This Row],[AdjustmentDateTo]]),0,IF(CONTADJ[[#This Row],[AdjustmentDateFrom]]=CONTADJ[[#This Row],[AdjustmentDateTo]],0,IF(CONTADJ[[#This Row],[AdjustmentDateFrom]]&lt;CONTADJ[[#This Row],[AdjustmentDateTo]],0,1)))</f>
        <v>0</v>
      </c>
      <c r="J8" s="57" cm="1">
        <f t="array" aca="1" ref="J8" ca="1">IF(CELL("format",CONTADJ[[#This Row],[ContractDateFrom]])="D1",0,1)+IF(CELL("format",CONTADJ[[#This Row],[ContractDateTo]])="D1",0,1)+IF(CELL("format",CONTADJ[[#This Row],[AdjustmentDateFrom]])="D1",0,1)+IF(CELL("format",CONTADJ[[#This Row],[AdjustmentDateTo]])="D1",0,1)</f>
        <v>0</v>
      </c>
      <c r="K8" s="57">
        <f>IF(LEN(CONTADJ[[#This Row],[Notes]])&lt;4000,0,1)</f>
        <v>0</v>
      </c>
      <c r="L8" s="57">
        <f>COUNTBLANK(CONTADJ[[#This Row],[AnnualValuePreAnnualFte]:[AnnualValuePostAnnualFte]])</f>
        <v>0</v>
      </c>
      <c r="M8" s="57">
        <f ca="1">SUM(CONTADJ[[#This Row],[Contract Issue]:[Blank in column]])</f>
        <v>1</v>
      </c>
      <c r="O8" s="12" t="s">
        <v>2126</v>
      </c>
      <c r="P8" s="12">
        <v>10005323</v>
      </c>
      <c r="Q8" s="12">
        <v>106094</v>
      </c>
      <c r="R8" s="57" t="str">
        <f>_xlfn.XLOOKUP(CONTADJ[[#This Row],[StaffMemberCode]],StaffMembers!O:O,StaffMembers!R:R)</f>
        <v>Andrew Brownsword</v>
      </c>
      <c r="S8" s="12" t="s">
        <v>1178</v>
      </c>
      <c r="T8" s="12" t="s">
        <v>2499</v>
      </c>
      <c r="U8" s="21">
        <v>46023</v>
      </c>
      <c r="W8" s="12" t="s">
        <v>3151</v>
      </c>
      <c r="X8" s="21">
        <v>46023</v>
      </c>
      <c r="Z8" s="12">
        <v>0</v>
      </c>
      <c r="AA8" s="14">
        <v>3527</v>
      </c>
    </row>
    <row r="9" spans="1:28" x14ac:dyDescent="0.3">
      <c r="A9" s="12" t="str">
        <f t="shared" si="0"/>
        <v>MLB10006806110356TEASTCH46023</v>
      </c>
      <c r="B9" s="12" t="str">
        <f>CONTADJ[[#This Row],[StaffMemberCode]]&amp;CONTADJ[[#This Row],[AdjustmentTypeCode]]&amp;CONTADJ[[#This Row],[ContractReference]]&amp;CONTADJ[[#This Row],[SchoolCode]]</f>
        <v>10006806TLR_OTH110356MLB</v>
      </c>
      <c r="C9" s="57">
        <f>IF(COUNTIF(ContractsTeachFTE!A:A,ContractAdjustments!A66)&gt;0,0,IF(COUNTIF(ContractsSupportHours!A:A,ContractAdjustments!A66)&gt;0,0,1))</f>
        <v>0</v>
      </c>
      <c r="D9" s="57" cm="1">
        <f t="array" ref="D9">IF(_xlfn.XLOOKUP(CONTADJ[[#This Row],[DepartmentCode]],DEPTS[DepartmentCode],DEPTS[AvailableToAllSchools],1,0,)=TRUE,0,IF(ISERROR(FIND(CONTADJ[[#This Row],[SchoolCode]],_xlfn.TEXTJOIN(",",TRUE,_xlfn.UNIQUE(IF(DEPTS[DepartmentCode]=CONTADJ[[#This Row],[DepartmentCode]],DEPTS[SchoolCodes],""))))),1,0))</f>
        <v>0</v>
      </c>
      <c r="E9" s="57">
        <f>IF(COUNTIF(ADJTYPE[AdjustmentTypeCode],CONTADJ[[#This Row],[AdjustmentTypeCode]])&gt;0,0,1)</f>
        <v>0</v>
      </c>
      <c r="F9" s="57">
        <f>COUNTIF(CONTADJ[Person+Adj Type Point+Contract Ref+SchoolCode],CONTADJ[[#This Row],[Person+Adj Type Point+Contract Ref+SchoolCode]]-1)</f>
        <v>0</v>
      </c>
      <c r="G9" s="57">
        <f t="shared" si="1"/>
        <v>0</v>
      </c>
      <c r="H9" s="57">
        <f>IF(ISBLANK(CONTADJ[[#This Row],[ContractDateTo]]),0,IF(CONTADJ[[#This Row],[ContractDateFrom]]=CONTADJ[[#This Row],[ContractDateTo]],0,IF(CONTADJ[[#This Row],[ContractDateFrom]]&lt;CONTADJ[[#This Row],[ContractDateTo]],0,1)))</f>
        <v>0</v>
      </c>
      <c r="I9" s="57">
        <f>IF(ISBLANK(CONTADJ[[#This Row],[AdjustmentDateTo]]),0,IF(CONTADJ[[#This Row],[AdjustmentDateFrom]]=CONTADJ[[#This Row],[AdjustmentDateTo]],0,IF(CONTADJ[[#This Row],[AdjustmentDateFrom]]&lt;CONTADJ[[#This Row],[AdjustmentDateTo]],0,1)))</f>
        <v>0</v>
      </c>
      <c r="J9" s="57" cm="1">
        <f t="array" aca="1" ref="J9" ca="1">IF(CELL("format",CONTADJ[[#This Row],[ContractDateFrom]])="D1",0,1)+IF(CELL("format",CONTADJ[[#This Row],[ContractDateTo]])="D1",0,1)+IF(CELL("format",CONTADJ[[#This Row],[AdjustmentDateFrom]])="D1",0,1)+IF(CELL("format",CONTADJ[[#This Row],[AdjustmentDateTo]])="D1",0,1)</f>
        <v>0</v>
      </c>
      <c r="K9" s="57">
        <f>IF(LEN(CONTADJ[[#This Row],[Notes]])&lt;4000,0,1)</f>
        <v>0</v>
      </c>
      <c r="L9" s="57">
        <f>COUNTBLANK(CONTADJ[[#This Row],[AnnualValuePreAnnualFte]:[AnnualValuePostAnnualFte]])</f>
        <v>0</v>
      </c>
      <c r="M9" s="57">
        <f ca="1">SUM(CONTADJ[[#This Row],[Contract Issue]:[Blank in column]])</f>
        <v>0</v>
      </c>
      <c r="O9" s="12" t="s">
        <v>2126</v>
      </c>
      <c r="P9" s="12">
        <v>10006806</v>
      </c>
      <c r="Q9" s="12">
        <v>110356</v>
      </c>
      <c r="R9" s="57" t="str">
        <f>_xlfn.XLOOKUP(CONTADJ[[#This Row],[StaffMemberCode]],StaffMembers!O:O,StaffMembers!R:R)</f>
        <v>Andrew Terry</v>
      </c>
      <c r="S9" s="12" t="s">
        <v>1178</v>
      </c>
      <c r="T9" s="12" t="s">
        <v>2499</v>
      </c>
      <c r="U9" s="21">
        <v>46023</v>
      </c>
      <c r="W9" s="12" t="s">
        <v>4324</v>
      </c>
      <c r="X9" s="21">
        <v>46023</v>
      </c>
      <c r="Z9" s="12">
        <v>0</v>
      </c>
      <c r="AA9" s="14">
        <v>2645</v>
      </c>
      <c r="AB9" s="12" t="s">
        <v>3080</v>
      </c>
    </row>
    <row r="10" spans="1:28" x14ac:dyDescent="0.3">
      <c r="A10" s="12" t="str">
        <f t="shared" si="0"/>
        <v>ALS91073734TEASTCH45901</v>
      </c>
      <c r="B10" s="12" t="str">
        <f>CONTADJ[[#This Row],[StaffMemberCode]]&amp;CONTADJ[[#This Row],[AdjustmentTypeCode]]&amp;CONTADJ[[#This Row],[ContractReference]]&amp;CONTADJ[[#This Row],[SchoolCode]]</f>
        <v>91073734RESALS</v>
      </c>
      <c r="C10" s="57">
        <f>IF(COUNTIF(ContractsTeachFTE!A:A,ContractAdjustments!A14)&gt;0,0,IF(COUNTIF(ContractsSupportHours!A:A,ContractAdjustments!A14)&gt;0,0,1))</f>
        <v>0</v>
      </c>
      <c r="D10" s="57" cm="1">
        <f t="array" ref="D10">IF(_xlfn.XLOOKUP(CONTADJ[[#This Row],[DepartmentCode]],DEPTS[DepartmentCode],DEPTS[AvailableToAllSchools],1,0,)=TRUE,0,IF(ISERROR(FIND(CONTADJ[[#This Row],[SchoolCode]],_xlfn.TEXTJOIN(",",TRUE,_xlfn.UNIQUE(IF(DEPTS[DepartmentCode]=CONTADJ[[#This Row],[DepartmentCode]],DEPTS[SchoolCodes],""))))),1,0))</f>
        <v>0</v>
      </c>
      <c r="E10" s="57">
        <f>IF(COUNTIF(ADJTYPE[AdjustmentTypeCode],CONTADJ[[#This Row],[AdjustmentTypeCode]])&gt;0,0,1)</f>
        <v>0</v>
      </c>
      <c r="F10" s="57">
        <f>COUNTIF(CONTADJ[Person+Adj Type Point+Contract Ref+SchoolCode],CONTADJ[[#This Row],[Person+Adj Type Point+Contract Ref+SchoolCode]]-1)</f>
        <v>0</v>
      </c>
      <c r="G10" s="57">
        <f t="shared" si="1"/>
        <v>0</v>
      </c>
      <c r="H10" s="57">
        <f>IF(ISBLANK(CONTADJ[[#This Row],[ContractDateTo]]),0,IF(CONTADJ[[#This Row],[ContractDateFrom]]=CONTADJ[[#This Row],[ContractDateTo]],0,IF(CONTADJ[[#This Row],[ContractDateFrom]]&lt;CONTADJ[[#This Row],[ContractDateTo]],0,1)))</f>
        <v>0</v>
      </c>
      <c r="I10" s="57">
        <f>IF(ISBLANK(CONTADJ[[#This Row],[AdjustmentDateTo]]),0,IF(CONTADJ[[#This Row],[AdjustmentDateFrom]]=CONTADJ[[#This Row],[AdjustmentDateTo]],0,IF(CONTADJ[[#This Row],[AdjustmentDateFrom]]&lt;CONTADJ[[#This Row],[AdjustmentDateTo]],0,1)))</f>
        <v>0</v>
      </c>
      <c r="J10" s="57" cm="1">
        <f t="array" aca="1" ref="J10" ca="1">IF(CELL("format",CONTADJ[[#This Row],[ContractDateFrom]])="D1",0,1)+IF(CELL("format",CONTADJ[[#This Row],[ContractDateTo]])="D1",0,1)+IF(CELL("format",CONTADJ[[#This Row],[AdjustmentDateFrom]])="D1",0,1)+IF(CELL("format",CONTADJ[[#This Row],[AdjustmentDateTo]])="D1",0,1)</f>
        <v>0</v>
      </c>
      <c r="K10" s="57">
        <f>IF(LEN(CONTADJ[[#This Row],[Notes]])&lt;4000,0,1)</f>
        <v>0</v>
      </c>
      <c r="L10" s="57">
        <f>COUNTBLANK(CONTADJ[[#This Row],[AnnualValuePreAnnualFte]:[AnnualValuePostAnnualFte]])</f>
        <v>0</v>
      </c>
      <c r="M10" s="57">
        <f ca="1">SUM(CONTADJ[[#This Row],[Contract Issue]:[Blank in column]])</f>
        <v>0</v>
      </c>
      <c r="O10" s="12" t="s">
        <v>2082</v>
      </c>
      <c r="P10" s="12">
        <v>91073734</v>
      </c>
      <c r="R10" s="57" t="str">
        <f>_xlfn.XLOOKUP(CONTADJ[[#This Row],[StaffMemberCode]],StaffMembers!O:O,StaffMembers!R:R)</f>
        <v>Bethany Brittain</v>
      </c>
      <c r="S10" s="12" t="s">
        <v>1178</v>
      </c>
      <c r="T10" s="12" t="s">
        <v>2499</v>
      </c>
      <c r="U10" s="21">
        <v>45901</v>
      </c>
      <c r="W10" s="12" t="s">
        <v>3149</v>
      </c>
      <c r="X10" s="21">
        <v>45901</v>
      </c>
      <c r="Z10" s="12">
        <v>0</v>
      </c>
      <c r="AA10" s="14">
        <v>1600</v>
      </c>
    </row>
    <row r="11" spans="1:28" x14ac:dyDescent="0.3">
      <c r="A11" s="12" t="str">
        <f t="shared" si="0"/>
        <v>BLS9107358891073588ATASTA45901</v>
      </c>
      <c r="B11" s="12" t="str">
        <f>CONTADJ[[#This Row],[StaffMemberCode]]&amp;CONTADJ[[#This Row],[AdjustmentTypeCode]]&amp;CONTADJ[[#This Row],[ContractReference]]&amp;CONTADJ[[#This Row],[SchoolCode]]</f>
        <v>91073588FA91073588ABLS</v>
      </c>
      <c r="C11" s="57">
        <f>IF(COUNTIF(ContractsTeachFTE!A:A,ContractAdjustments!A5)&gt;0,0,IF(COUNTIF(ContractsSupportHours!A:A,ContractAdjustments!A5)&gt;0,0,1))</f>
        <v>0</v>
      </c>
      <c r="D11" s="57" cm="1">
        <f t="array" ref="D11">IF(_xlfn.XLOOKUP(CONTADJ[[#This Row],[DepartmentCode]],DEPTS[DepartmentCode],DEPTS[AvailableToAllSchools],1,0,)=TRUE,0,IF(ISERROR(FIND(CONTADJ[[#This Row],[SchoolCode]],_xlfn.TEXTJOIN(",",TRUE,_xlfn.UNIQUE(IF(DEPTS[DepartmentCode]=CONTADJ[[#This Row],[DepartmentCode]],DEPTS[SchoolCodes],""))))),1,0))</f>
        <v>0</v>
      </c>
      <c r="E11" s="57">
        <f>IF(COUNTIF(ADJTYPE[AdjustmentTypeCode],CONTADJ[[#This Row],[AdjustmentTypeCode]])&gt;0,0,1)</f>
        <v>0</v>
      </c>
      <c r="F11" s="57">
        <f>COUNTIF(CONTADJ[Person+Adj Type Point+Contract Ref+SchoolCode],CONTADJ[[#This Row],[Person+Adj Type Point+Contract Ref+SchoolCode]]-1)</f>
        <v>0</v>
      </c>
      <c r="G11" s="57">
        <f t="shared" si="1"/>
        <v>0</v>
      </c>
      <c r="H11" s="57">
        <f>IF(ISBLANK(CONTADJ[[#This Row],[ContractDateTo]]),0,IF(CONTADJ[[#This Row],[ContractDateFrom]]=CONTADJ[[#This Row],[ContractDateTo]],0,IF(CONTADJ[[#This Row],[ContractDateFrom]]&lt;CONTADJ[[#This Row],[ContractDateTo]],0,1)))</f>
        <v>0</v>
      </c>
      <c r="I11" s="57">
        <f>IF(ISBLANK(CONTADJ[[#This Row],[AdjustmentDateTo]]),0,IF(CONTADJ[[#This Row],[AdjustmentDateFrom]]=CONTADJ[[#This Row],[AdjustmentDateTo]],0,IF(CONTADJ[[#This Row],[AdjustmentDateFrom]]&lt;CONTADJ[[#This Row],[AdjustmentDateTo]],0,1)))</f>
        <v>0</v>
      </c>
      <c r="J11" s="57" cm="1">
        <f t="array" aca="1" ref="J11" ca="1">IF(CELL("format",CONTADJ[[#This Row],[ContractDateFrom]])="D1",0,1)+IF(CELL("format",CONTADJ[[#This Row],[ContractDateTo]])="D1",0,1)+IF(CELL("format",CONTADJ[[#This Row],[AdjustmentDateFrom]])="D1",0,1)+IF(CELL("format",CONTADJ[[#This Row],[AdjustmentDateTo]])="D1",0,1)</f>
        <v>0</v>
      </c>
      <c r="K11" s="57">
        <f>IF(LEN(CONTADJ[[#This Row],[Notes]])&lt;4000,0,1)</f>
        <v>0</v>
      </c>
      <c r="L11" s="57">
        <f>COUNTBLANK(CONTADJ[[#This Row],[AnnualValuePreAnnualFte]:[AnnualValuePostAnnualFte]])</f>
        <v>0</v>
      </c>
      <c r="M11" s="57">
        <f ca="1">SUM(CONTADJ[[#This Row],[Contract Issue]:[Blank in column]])</f>
        <v>0</v>
      </c>
      <c r="O11" s="12" t="s">
        <v>2094</v>
      </c>
      <c r="P11" s="12">
        <v>91073588</v>
      </c>
      <c r="Q11" s="12" t="s">
        <v>4773</v>
      </c>
      <c r="R11" s="57" t="str">
        <f>_xlfn.XLOOKUP(CONTADJ[[#This Row],[StaffMemberCode]],StaffMembers!O:O,StaffMembers!R:R)</f>
        <v>Charlotte Lean</v>
      </c>
      <c r="S11" s="12" t="s">
        <v>1180</v>
      </c>
      <c r="T11" s="12" t="s">
        <v>2497</v>
      </c>
      <c r="U11" s="21">
        <v>45901</v>
      </c>
      <c r="W11" s="12" t="s">
        <v>3148</v>
      </c>
      <c r="X11" s="21">
        <v>45901</v>
      </c>
      <c r="Z11" s="12">
        <v>0</v>
      </c>
      <c r="AA11" s="14">
        <v>120</v>
      </c>
    </row>
    <row r="12" spans="1:28" x14ac:dyDescent="0.3">
      <c r="A12" s="12" t="str">
        <f t="shared" si="0"/>
        <v>BLS9107358891073588ATASTA45901</v>
      </c>
      <c r="B12" s="12" t="str">
        <f>CONTADJ[[#This Row],[StaffMemberCode]]&amp;CONTADJ[[#This Row],[AdjustmentTypeCode]]&amp;CONTADJ[[#This Row],[ContractReference]]&amp;CONTADJ[[#This Row],[SchoolCode]]</f>
        <v>91073588JOB91073588ABLS</v>
      </c>
      <c r="C12" s="57">
        <f>IF(COUNTIF(ContractsTeachFTE!A:A,ContractAdjustments!A17)&gt;0,0,IF(COUNTIF(ContractsSupportHours!A:A,ContractAdjustments!A17)&gt;0,0,1))</f>
        <v>0</v>
      </c>
      <c r="D12" s="57" cm="1">
        <f t="array" ref="D12">IF(_xlfn.XLOOKUP(CONTADJ[[#This Row],[DepartmentCode]],DEPTS[DepartmentCode],DEPTS[AvailableToAllSchools],1,0,)=TRUE,0,IF(ISERROR(FIND(CONTADJ[[#This Row],[SchoolCode]],_xlfn.TEXTJOIN(",",TRUE,_xlfn.UNIQUE(IF(DEPTS[DepartmentCode]=CONTADJ[[#This Row],[DepartmentCode]],DEPTS[SchoolCodes],""))))),1,0))</f>
        <v>0</v>
      </c>
      <c r="E12" s="57">
        <f>IF(COUNTIF(ADJTYPE[AdjustmentTypeCode],CONTADJ[[#This Row],[AdjustmentTypeCode]])&gt;0,0,1)</f>
        <v>0</v>
      </c>
      <c r="F12" s="57">
        <f>COUNTIF(CONTADJ[Person+Adj Type Point+Contract Ref+SchoolCode],CONTADJ[[#This Row],[Person+Adj Type Point+Contract Ref+SchoolCode]]-1)</f>
        <v>0</v>
      </c>
      <c r="G12" s="57">
        <f t="shared" si="1"/>
        <v>0</v>
      </c>
      <c r="H12" s="57">
        <f>IF(ISBLANK(CONTADJ[[#This Row],[ContractDateTo]]),0,IF(CONTADJ[[#This Row],[ContractDateFrom]]=CONTADJ[[#This Row],[ContractDateTo]],0,IF(CONTADJ[[#This Row],[ContractDateFrom]]&lt;CONTADJ[[#This Row],[ContractDateTo]],0,1)))</f>
        <v>0</v>
      </c>
      <c r="I12" s="57">
        <f>IF(ISBLANK(CONTADJ[[#This Row],[AdjustmentDateTo]]),0,IF(CONTADJ[[#This Row],[AdjustmentDateFrom]]=CONTADJ[[#This Row],[AdjustmentDateTo]],0,IF(CONTADJ[[#This Row],[AdjustmentDateFrom]]&lt;CONTADJ[[#This Row],[AdjustmentDateTo]],0,1)))</f>
        <v>0</v>
      </c>
      <c r="J12" s="57" cm="1">
        <f t="array" aca="1" ref="J12" ca="1">IF(CELL("format",CONTADJ[[#This Row],[ContractDateFrom]])="D1",0,1)+IF(CELL("format",CONTADJ[[#This Row],[ContractDateTo]])="D1",0,1)+IF(CELL("format",CONTADJ[[#This Row],[AdjustmentDateFrom]])="D1",0,1)+IF(CELL("format",CONTADJ[[#This Row],[AdjustmentDateTo]])="D1",0,1)</f>
        <v>0</v>
      </c>
      <c r="K12" s="57">
        <f>IF(LEN(CONTADJ[[#This Row],[Notes]])&lt;4000,0,1)</f>
        <v>0</v>
      </c>
      <c r="L12" s="57">
        <f>COUNTBLANK(CONTADJ[[#This Row],[AnnualValuePreAnnualFte]:[AnnualValuePostAnnualFte]])</f>
        <v>0</v>
      </c>
      <c r="M12" s="57">
        <f ca="1">SUM(CONTADJ[[#This Row],[Contract Issue]:[Blank in column]])</f>
        <v>0</v>
      </c>
      <c r="O12" s="12" t="s">
        <v>2094</v>
      </c>
      <c r="P12" s="12">
        <v>91073588</v>
      </c>
      <c r="Q12" s="12" t="s">
        <v>4773</v>
      </c>
      <c r="R12" s="57" t="str">
        <f>_xlfn.XLOOKUP(CONTADJ[[#This Row],[StaffMemberCode]],StaffMembers!O:O,StaffMembers!R:R)</f>
        <v>Charlotte Lean</v>
      </c>
      <c r="S12" s="12" t="s">
        <v>1180</v>
      </c>
      <c r="T12" s="12" t="s">
        <v>2497</v>
      </c>
      <c r="U12" s="21">
        <v>45901</v>
      </c>
      <c r="W12" s="12" t="s">
        <v>3157</v>
      </c>
      <c r="X12" s="21">
        <v>45901</v>
      </c>
      <c r="Z12" s="12">
        <v>0</v>
      </c>
      <c r="AA12" s="14">
        <v>3527</v>
      </c>
    </row>
    <row r="13" spans="1:28" x14ac:dyDescent="0.3">
      <c r="A13" s="12" t="str">
        <f t="shared" si="0"/>
        <v>BLS9107349091073490ATEASTCH45901</v>
      </c>
      <c r="B13" s="12" t="str">
        <f>CONTADJ[[#This Row],[StaffMemberCode]]&amp;CONTADJ[[#This Row],[AdjustmentTypeCode]]&amp;CONTADJ[[#This Row],[ContractReference]]&amp;CONTADJ[[#This Row],[SchoolCode]]</f>
        <v>91073490JOB91073490ABLS</v>
      </c>
      <c r="C13" s="57">
        <f>IF(COUNTIF(ContractsTeachFTE!A:A,ContractAdjustments!A27)&gt;0,0,IF(COUNTIF(ContractsSupportHours!A:A,ContractAdjustments!A27)&gt;0,0,1))</f>
        <v>0</v>
      </c>
      <c r="D13" s="57" cm="1">
        <f t="array" ref="D13">IF(_xlfn.XLOOKUP(CONTADJ[[#This Row],[DepartmentCode]],DEPTS[DepartmentCode],DEPTS[AvailableToAllSchools],1,0,)=TRUE,0,IF(ISERROR(FIND(CONTADJ[[#This Row],[SchoolCode]],_xlfn.TEXTJOIN(",",TRUE,_xlfn.UNIQUE(IF(DEPTS[DepartmentCode]=CONTADJ[[#This Row],[DepartmentCode]],DEPTS[SchoolCodes],""))))),1,0))</f>
        <v>0</v>
      </c>
      <c r="E13" s="57">
        <f>IF(COUNTIF(ADJTYPE[AdjustmentTypeCode],CONTADJ[[#This Row],[AdjustmentTypeCode]])&gt;0,0,1)</f>
        <v>0</v>
      </c>
      <c r="F13" s="57">
        <f>COUNTIF(CONTADJ[Person+Adj Type Point+Contract Ref+SchoolCode],CONTADJ[[#This Row],[Person+Adj Type Point+Contract Ref+SchoolCode]]-1)</f>
        <v>0</v>
      </c>
      <c r="G13" s="57">
        <f t="shared" si="1"/>
        <v>0</v>
      </c>
      <c r="H13" s="57">
        <f>IF(ISBLANK(CONTADJ[[#This Row],[ContractDateTo]]),0,IF(CONTADJ[[#This Row],[ContractDateFrom]]=CONTADJ[[#This Row],[ContractDateTo]],0,IF(CONTADJ[[#This Row],[ContractDateFrom]]&lt;CONTADJ[[#This Row],[ContractDateTo]],0,1)))</f>
        <v>0</v>
      </c>
      <c r="I13" s="57">
        <f>IF(ISBLANK(CONTADJ[[#This Row],[AdjustmentDateTo]]),0,IF(CONTADJ[[#This Row],[AdjustmentDateFrom]]=CONTADJ[[#This Row],[AdjustmentDateTo]],0,IF(CONTADJ[[#This Row],[AdjustmentDateFrom]]&lt;CONTADJ[[#This Row],[AdjustmentDateTo]],0,1)))</f>
        <v>0</v>
      </c>
      <c r="J13" s="57" cm="1">
        <f t="array" aca="1" ref="J13" ca="1">IF(CELL("format",CONTADJ[[#This Row],[ContractDateFrom]])="D1",0,1)+IF(CELL("format",CONTADJ[[#This Row],[ContractDateTo]])="D1",0,1)+IF(CELL("format",CONTADJ[[#This Row],[AdjustmentDateFrom]])="D1",0,1)+IF(CELL("format",CONTADJ[[#This Row],[AdjustmentDateTo]])="D1",0,1)</f>
        <v>0</v>
      </c>
      <c r="K13" s="57">
        <f>IF(LEN(CONTADJ[[#This Row],[Notes]])&lt;4000,0,1)</f>
        <v>0</v>
      </c>
      <c r="L13" s="57">
        <f>COUNTBLANK(CONTADJ[[#This Row],[AnnualValuePreAnnualFte]:[AnnualValuePostAnnualFte]])</f>
        <v>0</v>
      </c>
      <c r="M13" s="57">
        <f ca="1">SUM(CONTADJ[[#This Row],[Contract Issue]:[Blank in column]])</f>
        <v>0</v>
      </c>
      <c r="O13" s="12" t="s">
        <v>2094</v>
      </c>
      <c r="P13" s="12">
        <v>91073490</v>
      </c>
      <c r="Q13" s="12" t="s">
        <v>4384</v>
      </c>
      <c r="R13" s="57" t="str">
        <f>_xlfn.XLOOKUP(CONTADJ[[#This Row],[StaffMemberCode]],StaffMembers!O:O,StaffMembers!R:R)</f>
        <v>Christopher Cooney</v>
      </c>
      <c r="S13" s="12" t="s">
        <v>1178</v>
      </c>
      <c r="T13" s="12" t="s">
        <v>2499</v>
      </c>
      <c r="U13" s="21">
        <v>45901</v>
      </c>
      <c r="W13" s="12" t="s">
        <v>3157</v>
      </c>
      <c r="X13" s="21">
        <v>45901</v>
      </c>
      <c r="Z13" s="12">
        <v>0</v>
      </c>
      <c r="AA13" s="14">
        <v>3527</v>
      </c>
    </row>
    <row r="14" spans="1:28" x14ac:dyDescent="0.3">
      <c r="A14" s="12" t="str">
        <f t="shared" si="0"/>
        <v>MLB10006388107275TEASTCH46023</v>
      </c>
      <c r="B14" s="12" t="str">
        <f>CONTADJ[[#This Row],[StaffMemberCode]]&amp;CONTADJ[[#This Row],[AdjustmentTypeCode]]&amp;CONTADJ[[#This Row],[ContractReference]]&amp;CONTADJ[[#This Row],[SchoolCode]]</f>
        <v>10006388TLR_OTH107275MLB</v>
      </c>
      <c r="C14" s="57">
        <f>IF(COUNTIF(ContractsTeachFTE!A:A,ContractAdjustments!A61)&gt;0,0,IF(COUNTIF(ContractsSupportHours!A:A,ContractAdjustments!A61)&gt;0,0,1))</f>
        <v>0</v>
      </c>
      <c r="D14" s="57" cm="1">
        <f t="array" ref="D14">IF(_xlfn.XLOOKUP(CONTADJ[[#This Row],[DepartmentCode]],DEPTS[DepartmentCode],DEPTS[AvailableToAllSchools],1,0,)=TRUE,0,IF(ISERROR(FIND(CONTADJ[[#This Row],[SchoolCode]],_xlfn.TEXTJOIN(",",TRUE,_xlfn.UNIQUE(IF(DEPTS[DepartmentCode]=CONTADJ[[#This Row],[DepartmentCode]],DEPTS[SchoolCodes],""))))),1,0))</f>
        <v>0</v>
      </c>
      <c r="E14" s="57">
        <f>IF(COUNTIF(ADJTYPE[AdjustmentTypeCode],CONTADJ[[#This Row],[AdjustmentTypeCode]])&gt;0,0,1)</f>
        <v>0</v>
      </c>
      <c r="F14" s="57">
        <f>COUNTIF(CONTADJ[Person+Adj Type Point+Contract Ref+SchoolCode],CONTADJ[[#This Row],[Person+Adj Type Point+Contract Ref+SchoolCode]]-1)</f>
        <v>0</v>
      </c>
      <c r="G14" s="57">
        <f t="shared" si="1"/>
        <v>0</v>
      </c>
      <c r="H14" s="57">
        <f>IF(ISBLANK(CONTADJ[[#This Row],[ContractDateTo]]),0,IF(CONTADJ[[#This Row],[ContractDateFrom]]=CONTADJ[[#This Row],[ContractDateTo]],0,IF(CONTADJ[[#This Row],[ContractDateFrom]]&lt;CONTADJ[[#This Row],[ContractDateTo]],0,1)))</f>
        <v>0</v>
      </c>
      <c r="I14" s="57">
        <f>IF(ISBLANK(CONTADJ[[#This Row],[AdjustmentDateTo]]),0,IF(CONTADJ[[#This Row],[AdjustmentDateFrom]]=CONTADJ[[#This Row],[AdjustmentDateTo]],0,IF(CONTADJ[[#This Row],[AdjustmentDateFrom]]&lt;CONTADJ[[#This Row],[AdjustmentDateTo]],0,1)))</f>
        <v>0</v>
      </c>
      <c r="J14" s="57" cm="1">
        <f t="array" aca="1" ref="J14" ca="1">IF(CELL("format",CONTADJ[[#This Row],[ContractDateFrom]])="D1",0,1)+IF(CELL("format",CONTADJ[[#This Row],[ContractDateTo]])="D1",0,1)+IF(CELL("format",CONTADJ[[#This Row],[AdjustmentDateFrom]])="D1",0,1)+IF(CELL("format",CONTADJ[[#This Row],[AdjustmentDateTo]])="D1",0,1)</f>
        <v>0</v>
      </c>
      <c r="K14" s="57">
        <f>IF(LEN(CONTADJ[[#This Row],[Notes]])&lt;4000,0,1)</f>
        <v>0</v>
      </c>
      <c r="L14" s="57">
        <f>COUNTBLANK(CONTADJ[[#This Row],[AnnualValuePreAnnualFte]:[AnnualValuePostAnnualFte]])</f>
        <v>0</v>
      </c>
      <c r="M14" s="57">
        <f ca="1">SUM(CONTADJ[[#This Row],[Contract Issue]:[Blank in column]])</f>
        <v>0</v>
      </c>
      <c r="O14" s="12" t="s">
        <v>2126</v>
      </c>
      <c r="P14" s="12">
        <v>10006388</v>
      </c>
      <c r="Q14" s="12">
        <v>107275</v>
      </c>
      <c r="R14" s="57" t="str">
        <f>_xlfn.XLOOKUP(CONTADJ[[#This Row],[StaffMemberCode]],StaffMembers!O:O,StaffMembers!R:R)</f>
        <v>Craig Robinson</v>
      </c>
      <c r="S14" s="12" t="s">
        <v>1178</v>
      </c>
      <c r="T14" s="12" t="s">
        <v>2499</v>
      </c>
      <c r="U14" s="21">
        <v>46023</v>
      </c>
      <c r="W14" s="12" t="s">
        <v>4324</v>
      </c>
      <c r="X14" s="21">
        <v>46023</v>
      </c>
      <c r="Z14" s="12">
        <v>0</v>
      </c>
      <c r="AA14" s="14">
        <v>5849</v>
      </c>
      <c r="AB14" s="12" t="s">
        <v>4896</v>
      </c>
    </row>
    <row r="15" spans="1:28" x14ac:dyDescent="0.3">
      <c r="A15" s="12" t="str">
        <f t="shared" si="0"/>
        <v>MAT9132355491323554ASITE_SUPSPREM45901</v>
      </c>
      <c r="B15" s="12" t="str">
        <f>CONTADJ[[#This Row],[StaffMemberCode]]&amp;CONTADJ[[#This Row],[AdjustmentTypeCode]]&amp;CONTADJ[[#This Row],[ContractReference]]&amp;CONTADJ[[#This Row],[SchoolCode]]</f>
        <v>91323554FA91323554AMAT</v>
      </c>
      <c r="C15" s="57">
        <f>IF(COUNTIF(ContractsTeachFTE!A:A,ContractAdjustments!A4)&gt;0,0,IF(COUNTIF(ContractsSupportHours!A:A,ContractAdjustments!A4)&gt;0,0,1))</f>
        <v>0</v>
      </c>
      <c r="D15" s="57" cm="1">
        <f t="array" ref="D15">IF(_xlfn.XLOOKUP(CONTADJ[[#This Row],[DepartmentCode]],DEPTS[DepartmentCode],DEPTS[AvailableToAllSchools],1,0,)=TRUE,0,IF(ISERROR(FIND(CONTADJ[[#This Row],[SchoolCode]],_xlfn.TEXTJOIN(",",TRUE,_xlfn.UNIQUE(IF(DEPTS[DepartmentCode]=CONTADJ[[#This Row],[DepartmentCode]],DEPTS[SchoolCodes],""))))),1,0))</f>
        <v>1</v>
      </c>
      <c r="E15" s="57">
        <f>IF(COUNTIF(ADJTYPE[AdjustmentTypeCode],CONTADJ[[#This Row],[AdjustmentTypeCode]])&gt;0,0,1)</f>
        <v>0</v>
      </c>
      <c r="F15" s="57">
        <f>COUNTIF(CONTADJ[Person+Adj Type Point+Contract Ref+SchoolCode],CONTADJ[[#This Row],[Person+Adj Type Point+Contract Ref+SchoolCode]]-1)</f>
        <v>0</v>
      </c>
      <c r="G15" s="57">
        <f t="shared" si="1"/>
        <v>0</v>
      </c>
      <c r="H15" s="57">
        <f>IF(ISBLANK(CONTADJ[[#This Row],[ContractDateTo]]),0,IF(CONTADJ[[#This Row],[ContractDateFrom]]=CONTADJ[[#This Row],[ContractDateTo]],0,IF(CONTADJ[[#This Row],[ContractDateFrom]]&lt;CONTADJ[[#This Row],[ContractDateTo]],0,1)))</f>
        <v>0</v>
      </c>
      <c r="I15" s="57">
        <f>IF(ISBLANK(CONTADJ[[#This Row],[AdjustmentDateTo]]),0,IF(CONTADJ[[#This Row],[AdjustmentDateFrom]]=CONTADJ[[#This Row],[AdjustmentDateTo]],0,IF(CONTADJ[[#This Row],[AdjustmentDateFrom]]&lt;CONTADJ[[#This Row],[AdjustmentDateTo]],0,1)))</f>
        <v>0</v>
      </c>
      <c r="J15" s="57" cm="1">
        <f t="array" aca="1" ref="J15" ca="1">IF(CELL("format",CONTADJ[[#This Row],[ContractDateFrom]])="D1",0,1)+IF(CELL("format",CONTADJ[[#This Row],[ContractDateTo]])="D1",0,1)+IF(CELL("format",CONTADJ[[#This Row],[AdjustmentDateFrom]])="D1",0,1)+IF(CELL("format",CONTADJ[[#This Row],[AdjustmentDateTo]])="D1",0,1)</f>
        <v>0</v>
      </c>
      <c r="K15" s="57">
        <f>IF(LEN(CONTADJ[[#This Row],[Notes]])&lt;4000,0,1)</f>
        <v>0</v>
      </c>
      <c r="L15" s="57">
        <f>COUNTBLANK(CONTADJ[[#This Row],[AnnualValuePreAnnualFte]:[AnnualValuePostAnnualFte]])</f>
        <v>0</v>
      </c>
      <c r="M15" s="57">
        <f ca="1">SUM(CONTADJ[[#This Row],[Contract Issue]:[Blank in column]])</f>
        <v>1</v>
      </c>
      <c r="O15" s="12" t="s">
        <v>51</v>
      </c>
      <c r="P15" s="12">
        <v>91323554</v>
      </c>
      <c r="Q15" s="12" t="s">
        <v>4763</v>
      </c>
      <c r="R15" s="57" t="str">
        <f>_xlfn.XLOOKUP(CONTADJ[[#This Row],[StaffMemberCode]],StaffMembers!O:O,StaffMembers!R:R)</f>
        <v>Declan Bailey</v>
      </c>
      <c r="S15" s="12" t="s">
        <v>4301</v>
      </c>
      <c r="T15" s="12" t="s">
        <v>2495</v>
      </c>
      <c r="U15" s="21">
        <v>45901</v>
      </c>
      <c r="W15" s="12" t="s">
        <v>3148</v>
      </c>
      <c r="X15" s="21">
        <v>45901</v>
      </c>
      <c r="Z15" s="12">
        <v>0</v>
      </c>
      <c r="AA15" s="14">
        <v>120</v>
      </c>
    </row>
    <row r="16" spans="1:28" x14ac:dyDescent="0.3">
      <c r="A16" s="12" t="str">
        <f t="shared" si="0"/>
        <v>ALS91324723RECSFIN45901</v>
      </c>
      <c r="B16" s="12" t="str">
        <f>CONTADJ[[#This Row],[StaffMemberCode]]&amp;CONTADJ[[#This Row],[AdjustmentTypeCode]]&amp;CONTADJ[[#This Row],[ContractReference]]&amp;CONTADJ[[#This Row],[SchoolCode]]</f>
        <v>91324723RESALS</v>
      </c>
      <c r="C16" s="57">
        <f>IF(COUNTIF(ContractsTeachFTE!A:A,ContractAdjustments!A11)&gt;0,0,IF(COUNTIF(ContractsSupportHours!A:A,ContractAdjustments!A11)&gt;0,0,1))</f>
        <v>0</v>
      </c>
      <c r="D16" s="57" cm="1">
        <f t="array" ref="D16">IF(_xlfn.XLOOKUP(CONTADJ[[#This Row],[DepartmentCode]],DEPTS[DepartmentCode],DEPTS[AvailableToAllSchools],1,0,)=TRUE,0,IF(ISERROR(FIND(CONTADJ[[#This Row],[SchoolCode]],_xlfn.TEXTJOIN(",",TRUE,_xlfn.UNIQUE(IF(DEPTS[DepartmentCode]=CONTADJ[[#This Row],[DepartmentCode]],DEPTS[SchoolCodes],""))))),1,0))</f>
        <v>0</v>
      </c>
      <c r="E16" s="57">
        <f>IF(COUNTIF(ADJTYPE[AdjustmentTypeCode],CONTADJ[[#This Row],[AdjustmentTypeCode]])&gt;0,0,1)</f>
        <v>0</v>
      </c>
      <c r="F16" s="57">
        <f>COUNTIF(CONTADJ[Person+Adj Type Point+Contract Ref+SchoolCode],CONTADJ[[#This Row],[Person+Adj Type Point+Contract Ref+SchoolCode]]-1)</f>
        <v>0</v>
      </c>
      <c r="G16" s="57">
        <f t="shared" si="1"/>
        <v>0</v>
      </c>
      <c r="H16" s="57">
        <f>IF(ISBLANK(CONTADJ[[#This Row],[ContractDateTo]]),0,IF(CONTADJ[[#This Row],[ContractDateFrom]]=CONTADJ[[#This Row],[ContractDateTo]],0,IF(CONTADJ[[#This Row],[ContractDateFrom]]&lt;CONTADJ[[#This Row],[ContractDateTo]],0,1)))</f>
        <v>0</v>
      </c>
      <c r="I16" s="57">
        <f>IF(ISBLANK(CONTADJ[[#This Row],[AdjustmentDateTo]]),0,IF(CONTADJ[[#This Row],[AdjustmentDateFrom]]=CONTADJ[[#This Row],[AdjustmentDateTo]],0,IF(CONTADJ[[#This Row],[AdjustmentDateFrom]]&lt;CONTADJ[[#This Row],[AdjustmentDateTo]],0,1)))</f>
        <v>0</v>
      </c>
      <c r="J16" s="57" cm="1">
        <f t="array" aca="1" ref="J16" ca="1">IF(CELL("format",CONTADJ[[#This Row],[ContractDateFrom]])="D1",0,1)+IF(CELL("format",CONTADJ[[#This Row],[ContractDateTo]])="D1",0,1)+IF(CELL("format",CONTADJ[[#This Row],[AdjustmentDateFrom]])="D1",0,1)+IF(CELL("format",CONTADJ[[#This Row],[AdjustmentDateTo]])="D1",0,1)</f>
        <v>0</v>
      </c>
      <c r="K16" s="57">
        <f>IF(LEN(CONTADJ[[#This Row],[Notes]])&lt;4000,0,1)</f>
        <v>0</v>
      </c>
      <c r="L16" s="57">
        <f>COUNTBLANK(CONTADJ[[#This Row],[AnnualValuePreAnnualFte]:[AnnualValuePostAnnualFte]])</f>
        <v>0</v>
      </c>
      <c r="M16" s="57">
        <f ca="1">SUM(CONTADJ[[#This Row],[Contract Issue]:[Blank in column]])</f>
        <v>0</v>
      </c>
      <c r="O16" s="12" t="s">
        <v>2082</v>
      </c>
      <c r="P16" s="12">
        <v>91324723</v>
      </c>
      <c r="R16" s="57" t="str">
        <f>_xlfn.XLOOKUP(CONTADJ[[#This Row],[StaffMemberCode]],StaffMembers!O:O,StaffMembers!R:R)</f>
        <v>Elaine Abbott</v>
      </c>
      <c r="S16" s="12" t="s">
        <v>1563</v>
      </c>
      <c r="T16" s="12" t="s">
        <v>2483</v>
      </c>
      <c r="U16" s="21">
        <v>45901</v>
      </c>
      <c r="W16" s="12" t="s">
        <v>3149</v>
      </c>
      <c r="X16" s="21">
        <v>45901</v>
      </c>
      <c r="Z16" s="12">
        <v>0</v>
      </c>
      <c r="AA16" s="14">
        <v>1600</v>
      </c>
    </row>
    <row r="17" spans="1:28" x14ac:dyDescent="0.3">
      <c r="A17" s="12" t="str">
        <f t="shared" si="0"/>
        <v>BLS9107345791073457ATEASTCH45901</v>
      </c>
      <c r="B17" s="12" t="str">
        <f>CONTADJ[[#This Row],[StaffMemberCode]]&amp;CONTADJ[[#This Row],[AdjustmentTypeCode]]&amp;CONTADJ[[#This Row],[ContractReference]]&amp;CONTADJ[[#This Row],[SchoolCode]]</f>
        <v>91073457JOB91073457ABLS</v>
      </c>
      <c r="C17" s="57">
        <f>IF(COUNTIF(ContractsTeachFTE!A:A,ContractAdjustments!A30)&gt;0,0,IF(COUNTIF(ContractsSupportHours!A:A,ContractAdjustments!A30)&gt;0,0,1))</f>
        <v>0</v>
      </c>
      <c r="D17" s="57" cm="1">
        <f t="array" ref="D17">IF(_xlfn.XLOOKUP(CONTADJ[[#This Row],[DepartmentCode]],DEPTS[DepartmentCode],DEPTS[AvailableToAllSchools],1,0,)=TRUE,0,IF(ISERROR(FIND(CONTADJ[[#This Row],[SchoolCode]],_xlfn.TEXTJOIN(",",TRUE,_xlfn.UNIQUE(IF(DEPTS[DepartmentCode]=CONTADJ[[#This Row],[DepartmentCode]],DEPTS[SchoolCodes],""))))),1,0))</f>
        <v>0</v>
      </c>
      <c r="E17" s="57">
        <f>IF(COUNTIF(ADJTYPE[AdjustmentTypeCode],CONTADJ[[#This Row],[AdjustmentTypeCode]])&gt;0,0,1)</f>
        <v>0</v>
      </c>
      <c r="F17" s="57">
        <f>COUNTIF(CONTADJ[Person+Adj Type Point+Contract Ref+SchoolCode],CONTADJ[[#This Row],[Person+Adj Type Point+Contract Ref+SchoolCode]]-1)</f>
        <v>0</v>
      </c>
      <c r="G17" s="57">
        <f t="shared" si="1"/>
        <v>0</v>
      </c>
      <c r="H17" s="57">
        <f>IF(ISBLANK(CONTADJ[[#This Row],[ContractDateTo]]),0,IF(CONTADJ[[#This Row],[ContractDateFrom]]=CONTADJ[[#This Row],[ContractDateTo]],0,IF(CONTADJ[[#This Row],[ContractDateFrom]]&lt;CONTADJ[[#This Row],[ContractDateTo]],0,1)))</f>
        <v>0</v>
      </c>
      <c r="I17" s="57">
        <f>IF(ISBLANK(CONTADJ[[#This Row],[AdjustmentDateTo]]),0,IF(CONTADJ[[#This Row],[AdjustmentDateFrom]]=CONTADJ[[#This Row],[AdjustmentDateTo]],0,IF(CONTADJ[[#This Row],[AdjustmentDateFrom]]&lt;CONTADJ[[#This Row],[AdjustmentDateTo]],0,1)))</f>
        <v>0</v>
      </c>
      <c r="J17" s="57" cm="1">
        <f t="array" aca="1" ref="J17" ca="1">IF(CELL("format",CONTADJ[[#This Row],[ContractDateFrom]])="D1",0,1)+IF(CELL("format",CONTADJ[[#This Row],[ContractDateTo]])="D1",0,1)+IF(CELL("format",CONTADJ[[#This Row],[AdjustmentDateFrom]])="D1",0,1)+IF(CELL("format",CONTADJ[[#This Row],[AdjustmentDateTo]])="D1",0,1)</f>
        <v>0</v>
      </c>
      <c r="K17" s="57">
        <f>IF(LEN(CONTADJ[[#This Row],[Notes]])&lt;4000,0,1)</f>
        <v>0</v>
      </c>
      <c r="L17" s="57">
        <f>COUNTBLANK(CONTADJ[[#This Row],[AnnualValuePreAnnualFte]:[AnnualValuePostAnnualFte]])</f>
        <v>0</v>
      </c>
      <c r="M17" s="57">
        <f ca="1">SUM(CONTADJ[[#This Row],[Contract Issue]:[Blank in column]])</f>
        <v>0</v>
      </c>
      <c r="O17" s="12" t="s">
        <v>2094</v>
      </c>
      <c r="P17" s="12">
        <v>91073457</v>
      </c>
      <c r="Q17" s="12" t="s">
        <v>4387</v>
      </c>
      <c r="R17" s="57" t="str">
        <f>_xlfn.XLOOKUP(CONTADJ[[#This Row],[StaffMemberCode]],StaffMembers!O:O,StaffMembers!R:R)</f>
        <v>Elaine Fenech</v>
      </c>
      <c r="S17" s="12" t="s">
        <v>1178</v>
      </c>
      <c r="T17" s="12" t="s">
        <v>2499</v>
      </c>
      <c r="U17" s="21">
        <v>45901</v>
      </c>
      <c r="W17" s="12" t="s">
        <v>3157</v>
      </c>
      <c r="X17" s="21">
        <v>45901</v>
      </c>
      <c r="Z17" s="12">
        <v>0</v>
      </c>
      <c r="AA17" s="14">
        <v>5807</v>
      </c>
    </row>
    <row r="18" spans="1:28" x14ac:dyDescent="0.3">
      <c r="A18" s="12" t="str">
        <f t="shared" si="0"/>
        <v>MLB10012810106104TEASTCH46023</v>
      </c>
      <c r="B18" s="12" t="str">
        <f>CONTADJ[[#This Row],[StaffMemberCode]]&amp;CONTADJ[[#This Row],[AdjustmentTypeCode]]&amp;CONTADJ[[#This Row],[ContractReference]]&amp;CONTADJ[[#This Row],[SchoolCode]]</f>
        <v>10012810TLR_OTH106104MLB</v>
      </c>
      <c r="C18" s="57">
        <f>IF(COUNTIF(ContractsTeachFTE!A:A,ContractAdjustments!A54)&gt;0,0,IF(COUNTIF(ContractsSupportHours!A:A,ContractAdjustments!A54)&gt;0,0,1))</f>
        <v>0</v>
      </c>
      <c r="D18" s="57" cm="1">
        <f t="array" ref="D18">IF(_xlfn.XLOOKUP(CONTADJ[[#This Row],[DepartmentCode]],DEPTS[DepartmentCode],DEPTS[AvailableToAllSchools],1,0,)=TRUE,0,IF(ISERROR(FIND(CONTADJ[[#This Row],[SchoolCode]],_xlfn.TEXTJOIN(",",TRUE,_xlfn.UNIQUE(IF(DEPTS[DepartmentCode]=CONTADJ[[#This Row],[DepartmentCode]],DEPTS[SchoolCodes],""))))),1,0))</f>
        <v>0</v>
      </c>
      <c r="E18" s="57">
        <f>IF(COUNTIF(ADJTYPE[AdjustmentTypeCode],CONTADJ[[#This Row],[AdjustmentTypeCode]])&gt;0,0,1)</f>
        <v>0</v>
      </c>
      <c r="F18" s="57">
        <f>COUNTIF(CONTADJ[Person+Adj Type Point+Contract Ref+SchoolCode],CONTADJ[[#This Row],[Person+Adj Type Point+Contract Ref+SchoolCode]]-1)</f>
        <v>0</v>
      </c>
      <c r="G18" s="57">
        <f t="shared" si="1"/>
        <v>0</v>
      </c>
      <c r="H18" s="57">
        <f>IF(ISBLANK(CONTADJ[[#This Row],[ContractDateTo]]),0,IF(CONTADJ[[#This Row],[ContractDateFrom]]=CONTADJ[[#This Row],[ContractDateTo]],0,IF(CONTADJ[[#This Row],[ContractDateFrom]]&lt;CONTADJ[[#This Row],[ContractDateTo]],0,1)))</f>
        <v>0</v>
      </c>
      <c r="I18" s="57">
        <f>IF(ISBLANK(CONTADJ[[#This Row],[AdjustmentDateTo]]),0,IF(CONTADJ[[#This Row],[AdjustmentDateFrom]]=CONTADJ[[#This Row],[AdjustmentDateTo]],0,IF(CONTADJ[[#This Row],[AdjustmentDateFrom]]&lt;CONTADJ[[#This Row],[AdjustmentDateTo]],0,1)))</f>
        <v>0</v>
      </c>
      <c r="J18" s="57" cm="1">
        <f t="array" aca="1" ref="J18" ca="1">IF(CELL("format",CONTADJ[[#This Row],[ContractDateFrom]])="D1",0,1)+IF(CELL("format",CONTADJ[[#This Row],[ContractDateTo]])="D1",0,1)+IF(CELL("format",CONTADJ[[#This Row],[AdjustmentDateFrom]])="D1",0,1)+IF(CELL("format",CONTADJ[[#This Row],[AdjustmentDateTo]])="D1",0,1)</f>
        <v>0</v>
      </c>
      <c r="K18" s="57">
        <f>IF(LEN(CONTADJ[[#This Row],[Notes]])&lt;4000,0,1)</f>
        <v>0</v>
      </c>
      <c r="L18" s="57">
        <f>COUNTBLANK(CONTADJ[[#This Row],[AnnualValuePreAnnualFte]:[AnnualValuePostAnnualFte]])</f>
        <v>0</v>
      </c>
      <c r="M18" s="57">
        <f ca="1">SUM(CONTADJ[[#This Row],[Contract Issue]:[Blank in column]])</f>
        <v>0</v>
      </c>
      <c r="O18" s="12" t="s">
        <v>2126</v>
      </c>
      <c r="P18" s="12">
        <v>10012810</v>
      </c>
      <c r="Q18" s="12">
        <v>106104</v>
      </c>
      <c r="R18" s="57" t="str">
        <f>_xlfn.XLOOKUP(CONTADJ[[#This Row],[StaffMemberCode]],StaffMembers!O:O,StaffMembers!R:R)</f>
        <v>Emma Addy</v>
      </c>
      <c r="S18" s="12" t="s">
        <v>1178</v>
      </c>
      <c r="T18" s="12" t="s">
        <v>2499</v>
      </c>
      <c r="U18" s="21">
        <v>46023</v>
      </c>
      <c r="W18" s="12" t="s">
        <v>4324</v>
      </c>
      <c r="X18" s="21">
        <v>46023</v>
      </c>
      <c r="Z18" s="12">
        <v>0</v>
      </c>
      <c r="AA18" s="14">
        <v>13221</v>
      </c>
      <c r="AB18" s="12" t="s">
        <v>4895</v>
      </c>
    </row>
    <row r="19" spans="1:28" x14ac:dyDescent="0.3">
      <c r="A19" s="12" t="str">
        <f t="shared" si="0"/>
        <v>MLB10014614108313TEASTCH46023</v>
      </c>
      <c r="B19" s="12" t="str">
        <f>CONTADJ[[#This Row],[StaffMemberCode]]&amp;CONTADJ[[#This Row],[AdjustmentTypeCode]]&amp;CONTADJ[[#This Row],[ContractReference]]&amp;CONTADJ[[#This Row],[SchoolCode]]</f>
        <v>10014614TLR_OTH108313MLB</v>
      </c>
      <c r="C19" s="57">
        <f>IF(COUNTIF(ContractsTeachFTE!A:A,ContractAdjustments!A62)&gt;0,0,IF(COUNTIF(ContractsSupportHours!A:A,ContractAdjustments!A62)&gt;0,0,1))</f>
        <v>0</v>
      </c>
      <c r="D19" s="57" cm="1">
        <f t="array" ref="D19">IF(_xlfn.XLOOKUP(CONTADJ[[#This Row],[DepartmentCode]],DEPTS[DepartmentCode],DEPTS[AvailableToAllSchools],1,0,)=TRUE,0,IF(ISERROR(FIND(CONTADJ[[#This Row],[SchoolCode]],_xlfn.TEXTJOIN(",",TRUE,_xlfn.UNIQUE(IF(DEPTS[DepartmentCode]=CONTADJ[[#This Row],[DepartmentCode]],DEPTS[SchoolCodes],""))))),1,0))</f>
        <v>0</v>
      </c>
      <c r="E19" s="57">
        <f>IF(COUNTIF(ADJTYPE[AdjustmentTypeCode],CONTADJ[[#This Row],[AdjustmentTypeCode]])&gt;0,0,1)</f>
        <v>0</v>
      </c>
      <c r="F19" s="57">
        <f>COUNTIF(CONTADJ[Person+Adj Type Point+Contract Ref+SchoolCode],CONTADJ[[#This Row],[Person+Adj Type Point+Contract Ref+SchoolCode]]-1)</f>
        <v>0</v>
      </c>
      <c r="G19" s="57">
        <f t="shared" si="1"/>
        <v>0</v>
      </c>
      <c r="H19" s="57">
        <f>IF(ISBLANK(CONTADJ[[#This Row],[ContractDateTo]]),0,IF(CONTADJ[[#This Row],[ContractDateFrom]]=CONTADJ[[#This Row],[ContractDateTo]],0,IF(CONTADJ[[#This Row],[ContractDateFrom]]&lt;CONTADJ[[#This Row],[ContractDateTo]],0,1)))</f>
        <v>0</v>
      </c>
      <c r="I19" s="57">
        <f>IF(ISBLANK(CONTADJ[[#This Row],[AdjustmentDateTo]]),0,IF(CONTADJ[[#This Row],[AdjustmentDateFrom]]=CONTADJ[[#This Row],[AdjustmentDateTo]],0,IF(CONTADJ[[#This Row],[AdjustmentDateFrom]]&lt;CONTADJ[[#This Row],[AdjustmentDateTo]],0,1)))</f>
        <v>0</v>
      </c>
      <c r="J19" s="57" cm="1">
        <f t="array" aca="1" ref="J19" ca="1">IF(CELL("format",CONTADJ[[#This Row],[ContractDateFrom]])="D1",0,1)+IF(CELL("format",CONTADJ[[#This Row],[ContractDateTo]])="D1",0,1)+IF(CELL("format",CONTADJ[[#This Row],[AdjustmentDateFrom]])="D1",0,1)+IF(CELL("format",CONTADJ[[#This Row],[AdjustmentDateTo]])="D1",0,1)</f>
        <v>0</v>
      </c>
      <c r="K19" s="57">
        <f>IF(LEN(CONTADJ[[#This Row],[Notes]])&lt;4000,0,1)</f>
        <v>0</v>
      </c>
      <c r="L19" s="57">
        <f>COUNTBLANK(CONTADJ[[#This Row],[AnnualValuePreAnnualFte]:[AnnualValuePostAnnualFte]])</f>
        <v>0</v>
      </c>
      <c r="M19" s="57">
        <f ca="1">SUM(CONTADJ[[#This Row],[Contract Issue]:[Blank in column]])</f>
        <v>0</v>
      </c>
      <c r="O19" s="12" t="s">
        <v>2126</v>
      </c>
      <c r="P19" s="12">
        <v>10014614</v>
      </c>
      <c r="Q19" s="12">
        <v>108313</v>
      </c>
      <c r="R19" s="57" t="str">
        <f>_xlfn.XLOOKUP(CONTADJ[[#This Row],[StaffMemberCode]],StaffMembers!O:O,StaffMembers!R:R)</f>
        <v>Emma Austin</v>
      </c>
      <c r="S19" s="12" t="s">
        <v>1178</v>
      </c>
      <c r="T19" s="12" t="s">
        <v>2499</v>
      </c>
      <c r="U19" s="21">
        <v>46023</v>
      </c>
      <c r="W19" s="12" t="s">
        <v>4324</v>
      </c>
      <c r="X19" s="21">
        <v>46023</v>
      </c>
      <c r="Z19" s="12">
        <v>0</v>
      </c>
      <c r="AA19" s="14">
        <v>5849</v>
      </c>
      <c r="AB19" s="12" t="s">
        <v>4896</v>
      </c>
    </row>
    <row r="20" spans="1:28" x14ac:dyDescent="0.3">
      <c r="A20" s="12" t="str">
        <f t="shared" si="0"/>
        <v>BLS9107354091073540ATEASTCH45901</v>
      </c>
      <c r="B20" s="12" t="str">
        <f>CONTADJ[[#This Row],[StaffMemberCode]]&amp;CONTADJ[[#This Row],[AdjustmentTypeCode]]&amp;CONTADJ[[#This Row],[ContractReference]]&amp;CONTADJ[[#This Row],[SchoolCode]]</f>
        <v>91073540JOB91073540ABLS</v>
      </c>
      <c r="C20" s="57">
        <f>IF(COUNTIF(ContractsTeachFTE!A:A,ContractAdjustments!A24)&gt;0,0,IF(COUNTIF(ContractsSupportHours!A:A,ContractAdjustments!A24)&gt;0,0,1))</f>
        <v>0</v>
      </c>
      <c r="D20" s="57" cm="1">
        <f t="array" ref="D20">IF(_xlfn.XLOOKUP(CONTADJ[[#This Row],[DepartmentCode]],DEPTS[DepartmentCode],DEPTS[AvailableToAllSchools],1,0,)=TRUE,0,IF(ISERROR(FIND(CONTADJ[[#This Row],[SchoolCode]],_xlfn.TEXTJOIN(",",TRUE,_xlfn.UNIQUE(IF(DEPTS[DepartmentCode]=CONTADJ[[#This Row],[DepartmentCode]],DEPTS[SchoolCodes],""))))),1,0))</f>
        <v>0</v>
      </c>
      <c r="E20" s="57">
        <f>IF(COUNTIF(ADJTYPE[AdjustmentTypeCode],CONTADJ[[#This Row],[AdjustmentTypeCode]])&gt;0,0,1)</f>
        <v>0</v>
      </c>
      <c r="F20" s="57">
        <f>COUNTIF(CONTADJ[Person+Adj Type Point+Contract Ref+SchoolCode],CONTADJ[[#This Row],[Person+Adj Type Point+Contract Ref+SchoolCode]]-1)</f>
        <v>0</v>
      </c>
      <c r="G20" s="57">
        <f t="shared" si="1"/>
        <v>0</v>
      </c>
      <c r="H20" s="57">
        <f>IF(ISBLANK(CONTADJ[[#This Row],[ContractDateTo]]),0,IF(CONTADJ[[#This Row],[ContractDateFrom]]=CONTADJ[[#This Row],[ContractDateTo]],0,IF(CONTADJ[[#This Row],[ContractDateFrom]]&lt;CONTADJ[[#This Row],[ContractDateTo]],0,1)))</f>
        <v>0</v>
      </c>
      <c r="I20" s="57">
        <f>IF(ISBLANK(CONTADJ[[#This Row],[AdjustmentDateTo]]),0,IF(CONTADJ[[#This Row],[AdjustmentDateFrom]]=CONTADJ[[#This Row],[AdjustmentDateTo]],0,IF(CONTADJ[[#This Row],[AdjustmentDateFrom]]&lt;CONTADJ[[#This Row],[AdjustmentDateTo]],0,1)))</f>
        <v>0</v>
      </c>
      <c r="J20" s="57" cm="1">
        <f t="array" aca="1" ref="J20" ca="1">IF(CELL("format",CONTADJ[[#This Row],[ContractDateFrom]])="D1",0,1)+IF(CELL("format",CONTADJ[[#This Row],[ContractDateTo]])="D1",0,1)+IF(CELL("format",CONTADJ[[#This Row],[AdjustmentDateFrom]])="D1",0,1)+IF(CELL("format",CONTADJ[[#This Row],[AdjustmentDateTo]])="D1",0,1)</f>
        <v>0</v>
      </c>
      <c r="K20" s="57">
        <f>IF(LEN(CONTADJ[[#This Row],[Notes]])&lt;4000,0,1)</f>
        <v>0</v>
      </c>
      <c r="L20" s="57">
        <f>COUNTBLANK(CONTADJ[[#This Row],[AnnualValuePreAnnualFte]:[AnnualValuePostAnnualFte]])</f>
        <v>0</v>
      </c>
      <c r="M20" s="57">
        <f ca="1">SUM(CONTADJ[[#This Row],[Contract Issue]:[Blank in column]])</f>
        <v>0</v>
      </c>
      <c r="O20" s="12" t="s">
        <v>2094</v>
      </c>
      <c r="P20" s="12">
        <v>91073540</v>
      </c>
      <c r="Q20" s="12" t="s">
        <v>4381</v>
      </c>
      <c r="R20" s="57" t="str">
        <f>_xlfn.XLOOKUP(CONTADJ[[#This Row],[StaffMemberCode]],StaffMembers!O:O,StaffMembers!R:R)</f>
        <v>Emma Dunning</v>
      </c>
      <c r="S20" s="12" t="s">
        <v>1178</v>
      </c>
      <c r="T20" s="12" t="s">
        <v>2499</v>
      </c>
      <c r="U20" s="21">
        <v>45901</v>
      </c>
      <c r="W20" s="12" t="s">
        <v>3157</v>
      </c>
      <c r="X20" s="21">
        <v>45901</v>
      </c>
      <c r="Z20" s="12">
        <v>0</v>
      </c>
      <c r="AA20" s="14">
        <v>1410.8</v>
      </c>
    </row>
    <row r="21" spans="1:28" x14ac:dyDescent="0.3">
      <c r="A21" s="12" t="str">
        <f t="shared" si="0"/>
        <v>BLS9107350991073509ATASTA45901</v>
      </c>
      <c r="B21" s="12" t="str">
        <f>CONTADJ[[#This Row],[StaffMemberCode]]&amp;CONTADJ[[#This Row],[AdjustmentTypeCode]]&amp;CONTADJ[[#This Row],[ContractReference]]&amp;CONTADJ[[#This Row],[SchoolCode]]</f>
        <v>91073509FA91073509ABLS</v>
      </c>
      <c r="C21" s="57">
        <f>IF(COUNTIF(ContractsTeachFTE!A:A,ContractAdjustments!A6)&gt;0,0,IF(COUNTIF(ContractsSupportHours!A:A,ContractAdjustments!A6)&gt;0,0,1))</f>
        <v>0</v>
      </c>
      <c r="D21" s="57" cm="1">
        <f t="array" ref="D21">IF(_xlfn.XLOOKUP(CONTADJ[[#This Row],[DepartmentCode]],DEPTS[DepartmentCode],DEPTS[AvailableToAllSchools],1,0,)=TRUE,0,IF(ISERROR(FIND(CONTADJ[[#This Row],[SchoolCode]],_xlfn.TEXTJOIN(",",TRUE,_xlfn.UNIQUE(IF(DEPTS[DepartmentCode]=CONTADJ[[#This Row],[DepartmentCode]],DEPTS[SchoolCodes],""))))),1,0))</f>
        <v>0</v>
      </c>
      <c r="E21" s="57">
        <f>IF(COUNTIF(ADJTYPE[AdjustmentTypeCode],CONTADJ[[#This Row],[AdjustmentTypeCode]])&gt;0,0,1)</f>
        <v>0</v>
      </c>
      <c r="F21" s="57">
        <f>COUNTIF(CONTADJ[Person+Adj Type Point+Contract Ref+SchoolCode],CONTADJ[[#This Row],[Person+Adj Type Point+Contract Ref+SchoolCode]]-1)</f>
        <v>0</v>
      </c>
      <c r="G21" s="57">
        <f t="shared" si="1"/>
        <v>0</v>
      </c>
      <c r="H21" s="57">
        <f>IF(ISBLANK(CONTADJ[[#This Row],[ContractDateTo]]),0,IF(CONTADJ[[#This Row],[ContractDateFrom]]=CONTADJ[[#This Row],[ContractDateTo]],0,IF(CONTADJ[[#This Row],[ContractDateFrom]]&lt;CONTADJ[[#This Row],[ContractDateTo]],0,1)))</f>
        <v>0</v>
      </c>
      <c r="I21" s="57">
        <f>IF(ISBLANK(CONTADJ[[#This Row],[AdjustmentDateTo]]),0,IF(CONTADJ[[#This Row],[AdjustmentDateFrom]]=CONTADJ[[#This Row],[AdjustmentDateTo]],0,IF(CONTADJ[[#This Row],[AdjustmentDateFrom]]&lt;CONTADJ[[#This Row],[AdjustmentDateTo]],0,1)))</f>
        <v>0</v>
      </c>
      <c r="J21" s="57" cm="1">
        <f t="array" aca="1" ref="J21" ca="1">IF(CELL("format",CONTADJ[[#This Row],[ContractDateFrom]])="D1",0,1)+IF(CELL("format",CONTADJ[[#This Row],[ContractDateTo]])="D1",0,1)+IF(CELL("format",CONTADJ[[#This Row],[AdjustmentDateFrom]])="D1",0,1)+IF(CELL("format",CONTADJ[[#This Row],[AdjustmentDateTo]])="D1",0,1)</f>
        <v>0</v>
      </c>
      <c r="K21" s="57">
        <f>IF(LEN(CONTADJ[[#This Row],[Notes]])&lt;4000,0,1)</f>
        <v>0</v>
      </c>
      <c r="L21" s="57">
        <f>COUNTBLANK(CONTADJ[[#This Row],[AnnualValuePreAnnualFte]:[AnnualValuePostAnnualFte]])</f>
        <v>0</v>
      </c>
      <c r="M21" s="57">
        <f ca="1">SUM(CONTADJ[[#This Row],[Contract Issue]:[Blank in column]])</f>
        <v>0</v>
      </c>
      <c r="O21" s="12" t="s">
        <v>2094</v>
      </c>
      <c r="P21" s="12">
        <v>91073509</v>
      </c>
      <c r="Q21" s="12" t="s">
        <v>4774</v>
      </c>
      <c r="R21" s="57" t="str">
        <f>_xlfn.XLOOKUP(CONTADJ[[#This Row],[StaffMemberCode]],StaffMembers!O:O,StaffMembers!R:R)</f>
        <v>Emma Small</v>
      </c>
      <c r="S21" s="12" t="s">
        <v>1180</v>
      </c>
      <c r="T21" s="12" t="s">
        <v>2497</v>
      </c>
      <c r="U21" s="21">
        <v>45901</v>
      </c>
      <c r="W21" s="12" t="s">
        <v>3148</v>
      </c>
      <c r="X21" s="21">
        <v>45901</v>
      </c>
      <c r="Z21" s="12">
        <v>0</v>
      </c>
      <c r="AA21" s="14">
        <v>120</v>
      </c>
    </row>
    <row r="22" spans="1:28" x14ac:dyDescent="0.3">
      <c r="A22" s="12" t="str">
        <f t="shared" si="0"/>
        <v>MLB10015776109812TEASTCH46023</v>
      </c>
      <c r="B22" s="12" t="str">
        <f>CONTADJ[[#This Row],[StaffMemberCode]]&amp;CONTADJ[[#This Row],[AdjustmentTypeCode]]&amp;CONTADJ[[#This Row],[ContractReference]]&amp;CONTADJ[[#This Row],[SchoolCode]]</f>
        <v>10015776TLR_OTH109812MLB</v>
      </c>
      <c r="C22" s="57">
        <f>IF(COUNTIF(ContractsTeachFTE!A:A,ContractAdjustments!A63)&gt;0,0,IF(COUNTIF(ContractsSupportHours!A:A,ContractAdjustments!A63)&gt;0,0,1))</f>
        <v>0</v>
      </c>
      <c r="D22" s="57" cm="1">
        <f t="array" ref="D22">IF(_xlfn.XLOOKUP(CONTADJ[[#This Row],[DepartmentCode]],DEPTS[DepartmentCode],DEPTS[AvailableToAllSchools],1,0,)=TRUE,0,IF(ISERROR(FIND(CONTADJ[[#This Row],[SchoolCode]],_xlfn.TEXTJOIN(",",TRUE,_xlfn.UNIQUE(IF(DEPTS[DepartmentCode]=CONTADJ[[#This Row],[DepartmentCode]],DEPTS[SchoolCodes],""))))),1,0))</f>
        <v>0</v>
      </c>
      <c r="E22" s="57">
        <f>IF(COUNTIF(ADJTYPE[AdjustmentTypeCode],CONTADJ[[#This Row],[AdjustmentTypeCode]])&gt;0,0,1)</f>
        <v>0</v>
      </c>
      <c r="F22" s="57">
        <f>COUNTIF(CONTADJ[Person+Adj Type Point+Contract Ref+SchoolCode],CONTADJ[[#This Row],[Person+Adj Type Point+Contract Ref+SchoolCode]]-1)</f>
        <v>0</v>
      </c>
      <c r="G22" s="57">
        <f t="shared" si="1"/>
        <v>0</v>
      </c>
      <c r="H22" s="57">
        <f>IF(ISBLANK(CONTADJ[[#This Row],[ContractDateTo]]),0,IF(CONTADJ[[#This Row],[ContractDateFrom]]=CONTADJ[[#This Row],[ContractDateTo]],0,IF(CONTADJ[[#This Row],[ContractDateFrom]]&lt;CONTADJ[[#This Row],[ContractDateTo]],0,1)))</f>
        <v>0</v>
      </c>
      <c r="I22" s="57">
        <f>IF(ISBLANK(CONTADJ[[#This Row],[AdjustmentDateTo]]),0,IF(CONTADJ[[#This Row],[AdjustmentDateFrom]]=CONTADJ[[#This Row],[AdjustmentDateTo]],0,IF(CONTADJ[[#This Row],[AdjustmentDateFrom]]&lt;CONTADJ[[#This Row],[AdjustmentDateTo]],0,1)))</f>
        <v>0</v>
      </c>
      <c r="J22" s="57" cm="1">
        <f t="array" aca="1" ref="J22" ca="1">IF(CELL("format",CONTADJ[[#This Row],[ContractDateFrom]])="D1",0,1)+IF(CELL("format",CONTADJ[[#This Row],[ContractDateTo]])="D1",0,1)+IF(CELL("format",CONTADJ[[#This Row],[AdjustmentDateFrom]])="D1",0,1)+IF(CELL("format",CONTADJ[[#This Row],[AdjustmentDateTo]])="D1",0,1)</f>
        <v>0</v>
      </c>
      <c r="K22" s="57">
        <f>IF(LEN(CONTADJ[[#This Row],[Notes]])&lt;4000,0,1)</f>
        <v>0</v>
      </c>
      <c r="L22" s="57">
        <f>COUNTBLANK(CONTADJ[[#This Row],[AnnualValuePreAnnualFte]:[AnnualValuePostAnnualFte]])</f>
        <v>0</v>
      </c>
      <c r="M22" s="57">
        <f ca="1">SUM(CONTADJ[[#This Row],[Contract Issue]:[Blank in column]])</f>
        <v>0</v>
      </c>
      <c r="O22" s="12" t="s">
        <v>2126</v>
      </c>
      <c r="P22" s="12">
        <v>10015776</v>
      </c>
      <c r="Q22" s="12">
        <v>109812</v>
      </c>
      <c r="R22" s="57" t="str">
        <f>_xlfn.XLOOKUP(CONTADJ[[#This Row],[StaffMemberCode]],StaffMembers!O:O,StaffMembers!R:R)</f>
        <v>Geoffrey Smith</v>
      </c>
      <c r="S22" s="12" t="s">
        <v>1178</v>
      </c>
      <c r="T22" s="12" t="s">
        <v>2499</v>
      </c>
      <c r="U22" s="21">
        <v>46023</v>
      </c>
      <c r="W22" s="12" t="s">
        <v>4324</v>
      </c>
      <c r="X22" s="21">
        <v>46023</v>
      </c>
      <c r="Z22" s="12">
        <v>0</v>
      </c>
      <c r="AA22" s="14">
        <v>5849</v>
      </c>
      <c r="AB22" s="12" t="s">
        <v>4896</v>
      </c>
    </row>
    <row r="23" spans="1:28" x14ac:dyDescent="0.3">
      <c r="A23" s="12" t="str">
        <f t="shared" si="0"/>
        <v>MLB10012815106128TEASTCH46023</v>
      </c>
      <c r="B23" s="12" t="str">
        <f>CONTADJ[[#This Row],[StaffMemberCode]]&amp;CONTADJ[[#This Row],[AdjustmentTypeCode]]&amp;CONTADJ[[#This Row],[ContractReference]]&amp;CONTADJ[[#This Row],[SchoolCode]]</f>
        <v>10012815TLR_OTH106128MLB</v>
      </c>
      <c r="C23" s="57">
        <f>IF(COUNTIF(ContractsTeachFTE!A:A,ContractAdjustments!A67)&gt;0,0,IF(COUNTIF(ContractsSupportHours!A:A,ContractAdjustments!A67)&gt;0,0,1))</f>
        <v>0</v>
      </c>
      <c r="D23" s="57" cm="1">
        <f t="array" ref="D23">IF(_xlfn.XLOOKUP(CONTADJ[[#This Row],[DepartmentCode]],DEPTS[DepartmentCode],DEPTS[AvailableToAllSchools],1,0,)=TRUE,0,IF(ISERROR(FIND(CONTADJ[[#This Row],[SchoolCode]],_xlfn.TEXTJOIN(",",TRUE,_xlfn.UNIQUE(IF(DEPTS[DepartmentCode]=CONTADJ[[#This Row],[DepartmentCode]],DEPTS[SchoolCodes],""))))),1,0))</f>
        <v>0</v>
      </c>
      <c r="E23" s="57">
        <f>IF(COUNTIF(ADJTYPE[AdjustmentTypeCode],CONTADJ[[#This Row],[AdjustmentTypeCode]])&gt;0,0,1)</f>
        <v>0</v>
      </c>
      <c r="F23" s="57">
        <f>COUNTIF(CONTADJ[Person+Adj Type Point+Contract Ref+SchoolCode],CONTADJ[[#This Row],[Person+Adj Type Point+Contract Ref+SchoolCode]]-1)</f>
        <v>0</v>
      </c>
      <c r="G23" s="57">
        <f t="shared" si="1"/>
        <v>0</v>
      </c>
      <c r="H23" s="57">
        <f>IF(ISBLANK(CONTADJ[[#This Row],[ContractDateTo]]),0,IF(CONTADJ[[#This Row],[ContractDateFrom]]=CONTADJ[[#This Row],[ContractDateTo]],0,IF(CONTADJ[[#This Row],[ContractDateFrom]]&lt;CONTADJ[[#This Row],[ContractDateTo]],0,1)))</f>
        <v>0</v>
      </c>
      <c r="I23" s="57">
        <f>IF(ISBLANK(CONTADJ[[#This Row],[AdjustmentDateTo]]),0,IF(CONTADJ[[#This Row],[AdjustmentDateFrom]]=CONTADJ[[#This Row],[AdjustmentDateTo]],0,IF(CONTADJ[[#This Row],[AdjustmentDateFrom]]&lt;CONTADJ[[#This Row],[AdjustmentDateTo]],0,1)))</f>
        <v>0</v>
      </c>
      <c r="J23" s="57" cm="1">
        <f t="array" aca="1" ref="J23" ca="1">IF(CELL("format",CONTADJ[[#This Row],[ContractDateFrom]])="D1",0,1)+IF(CELL("format",CONTADJ[[#This Row],[ContractDateTo]])="D1",0,1)+IF(CELL("format",CONTADJ[[#This Row],[AdjustmentDateFrom]])="D1",0,1)+IF(CELL("format",CONTADJ[[#This Row],[AdjustmentDateTo]])="D1",0,1)</f>
        <v>0</v>
      </c>
      <c r="K23" s="57">
        <f>IF(LEN(CONTADJ[[#This Row],[Notes]])&lt;4000,0,1)</f>
        <v>0</v>
      </c>
      <c r="L23" s="57">
        <f>COUNTBLANK(CONTADJ[[#This Row],[AnnualValuePreAnnualFte]:[AnnualValuePostAnnualFte]])</f>
        <v>0</v>
      </c>
      <c r="M23" s="57">
        <f ca="1">SUM(CONTADJ[[#This Row],[Contract Issue]:[Blank in column]])</f>
        <v>0</v>
      </c>
      <c r="O23" s="12" t="s">
        <v>2126</v>
      </c>
      <c r="P23" s="12">
        <v>10012815</v>
      </c>
      <c r="Q23" s="12">
        <v>106128</v>
      </c>
      <c r="R23" s="57" t="str">
        <f>_xlfn.XLOOKUP(CONTADJ[[#This Row],[StaffMemberCode]],StaffMembers!O:O,StaffMembers!R:R)</f>
        <v>George Szczadylo</v>
      </c>
      <c r="S23" s="12" t="s">
        <v>1178</v>
      </c>
      <c r="T23" s="12" t="s">
        <v>2499</v>
      </c>
      <c r="U23" s="21">
        <v>46023</v>
      </c>
      <c r="W23" s="12" t="s">
        <v>4324</v>
      </c>
      <c r="X23" s="21">
        <v>46023</v>
      </c>
      <c r="Z23" s="12">
        <v>0</v>
      </c>
      <c r="AA23" s="14">
        <v>2645</v>
      </c>
      <c r="AB23" s="12" t="s">
        <v>3080</v>
      </c>
    </row>
    <row r="24" spans="1:28" x14ac:dyDescent="0.3">
      <c r="A24" s="12" t="str">
        <f t="shared" si="0"/>
        <v>MLB10005896112878OFF_ASTSFIN46023</v>
      </c>
      <c r="B24" s="12" t="str">
        <f>CONTADJ[[#This Row],[StaffMemberCode]]&amp;CONTADJ[[#This Row],[AdjustmentTypeCode]]&amp;CONTADJ[[#This Row],[ContractReference]]&amp;CONTADJ[[#This Row],[SchoolCode]]</f>
        <v>10005896FA112878MLB</v>
      </c>
      <c r="C24" s="57">
        <f>IF(COUNTIF(ContractsTeachFTE!A:A,ContractAdjustments!A70)&gt;0,0,IF(COUNTIF(ContractsSupportHours!A:A,ContractAdjustments!A70)&gt;0,0,1))</f>
        <v>0</v>
      </c>
      <c r="D24" s="57" cm="1">
        <f t="array" ref="D24">IF(_xlfn.XLOOKUP(CONTADJ[[#This Row],[DepartmentCode]],DEPTS[DepartmentCode],DEPTS[AvailableToAllSchools],1,0,)=TRUE,0,IF(ISERROR(FIND(CONTADJ[[#This Row],[SchoolCode]],_xlfn.TEXTJOIN(",",TRUE,_xlfn.UNIQUE(IF(DEPTS[DepartmentCode]=CONTADJ[[#This Row],[DepartmentCode]],DEPTS[SchoolCodes],""))))),1,0))</f>
        <v>0</v>
      </c>
      <c r="E24" s="57">
        <f>IF(COUNTIF(ADJTYPE[AdjustmentTypeCode],CONTADJ[[#This Row],[AdjustmentTypeCode]])&gt;0,0,1)</f>
        <v>0</v>
      </c>
      <c r="F24" s="57">
        <f>COUNTIF(CONTADJ[Person+Adj Type Point+Contract Ref+SchoolCode],CONTADJ[[#This Row],[Person+Adj Type Point+Contract Ref+SchoolCode]]-1)</f>
        <v>0</v>
      </c>
      <c r="G24" s="57">
        <f t="shared" si="1"/>
        <v>0</v>
      </c>
      <c r="H24" s="57">
        <f>IF(ISBLANK(CONTADJ[[#This Row],[ContractDateTo]]),0,IF(CONTADJ[[#This Row],[ContractDateFrom]]=CONTADJ[[#This Row],[ContractDateTo]],0,IF(CONTADJ[[#This Row],[ContractDateFrom]]&lt;CONTADJ[[#This Row],[ContractDateTo]],0,1)))</f>
        <v>0</v>
      </c>
      <c r="I24" s="57">
        <f>IF(ISBLANK(CONTADJ[[#This Row],[AdjustmentDateTo]]),0,IF(CONTADJ[[#This Row],[AdjustmentDateFrom]]=CONTADJ[[#This Row],[AdjustmentDateTo]],0,IF(CONTADJ[[#This Row],[AdjustmentDateFrom]]&lt;CONTADJ[[#This Row],[AdjustmentDateTo]],0,1)))</f>
        <v>0</v>
      </c>
      <c r="J24" s="57" cm="1">
        <f t="array" aca="1" ref="J24" ca="1">IF(CELL("format",CONTADJ[[#This Row],[ContractDateFrom]])="D1",0,1)+IF(CELL("format",CONTADJ[[#This Row],[ContractDateTo]])="D1",0,1)+IF(CELL("format",CONTADJ[[#This Row],[AdjustmentDateFrom]])="D1",0,1)+IF(CELL("format",CONTADJ[[#This Row],[AdjustmentDateTo]])="D1",0,1)</f>
        <v>0</v>
      </c>
      <c r="K24" s="57">
        <f>IF(LEN(CONTADJ[[#This Row],[Notes]])&lt;4000,0,1)</f>
        <v>0</v>
      </c>
      <c r="L24" s="57">
        <f>COUNTBLANK(CONTADJ[[#This Row],[AnnualValuePreAnnualFte]:[AnnualValuePostAnnualFte]])</f>
        <v>0</v>
      </c>
      <c r="M24" s="57">
        <f ca="1">SUM(CONTADJ[[#This Row],[Contract Issue]:[Blank in column]])</f>
        <v>0</v>
      </c>
      <c r="O24" s="12" t="s">
        <v>2126</v>
      </c>
      <c r="P24" s="12">
        <v>10005896</v>
      </c>
      <c r="Q24" s="12">
        <v>112878</v>
      </c>
      <c r="R24" s="57" t="str">
        <f>_xlfn.XLOOKUP(CONTADJ[[#This Row],[StaffMemberCode]],StaffMembers!O:O,StaffMembers!R:R)</f>
        <v>Hayley Dickinson</v>
      </c>
      <c r="S24" s="12" t="s">
        <v>4257</v>
      </c>
      <c r="T24" s="12" t="s">
        <v>2483</v>
      </c>
      <c r="U24" s="21">
        <v>46023</v>
      </c>
      <c r="W24" s="12" t="s">
        <v>3148</v>
      </c>
      <c r="X24" s="21">
        <v>46023</v>
      </c>
      <c r="Z24" s="12">
        <v>0</v>
      </c>
      <c r="AA24" s="14">
        <v>120</v>
      </c>
    </row>
    <row r="25" spans="1:28" x14ac:dyDescent="0.3">
      <c r="A25" s="12" t="str">
        <f t="shared" si="0"/>
        <v>MLB10007344108312TEASTCH46023</v>
      </c>
      <c r="B25" s="12" t="str">
        <f>CONTADJ[[#This Row],[StaffMemberCode]]&amp;CONTADJ[[#This Row],[AdjustmentTypeCode]]&amp;CONTADJ[[#This Row],[ContractReference]]&amp;CONTADJ[[#This Row],[SchoolCode]]</f>
        <v>10007344TLR_OTH108312MLB</v>
      </c>
      <c r="C25" s="57">
        <f>IF(COUNTIF(ContractsTeachFTE!A:A,ContractAdjustments!A53)&gt;0,0,IF(COUNTIF(ContractsSupportHours!A:A,ContractAdjustments!A53)&gt;0,0,1))</f>
        <v>0</v>
      </c>
      <c r="D25" s="57" cm="1">
        <f t="array" ref="D25">IF(_xlfn.XLOOKUP(CONTADJ[[#This Row],[DepartmentCode]],DEPTS[DepartmentCode],DEPTS[AvailableToAllSchools],1,0,)=TRUE,0,IF(ISERROR(FIND(CONTADJ[[#This Row],[SchoolCode]],_xlfn.TEXTJOIN(",",TRUE,_xlfn.UNIQUE(IF(DEPTS[DepartmentCode]=CONTADJ[[#This Row],[DepartmentCode]],DEPTS[SchoolCodes],""))))),1,0))</f>
        <v>0</v>
      </c>
      <c r="E25" s="57">
        <f>IF(COUNTIF(ADJTYPE[AdjustmentTypeCode],CONTADJ[[#This Row],[AdjustmentTypeCode]])&gt;0,0,1)</f>
        <v>0</v>
      </c>
      <c r="F25" s="57">
        <f>COUNTIF(CONTADJ[Person+Adj Type Point+Contract Ref+SchoolCode],CONTADJ[[#This Row],[Person+Adj Type Point+Contract Ref+SchoolCode]]-1)</f>
        <v>0</v>
      </c>
      <c r="G25" s="57">
        <f t="shared" si="1"/>
        <v>0</v>
      </c>
      <c r="H25" s="57">
        <f>IF(ISBLANK(CONTADJ[[#This Row],[ContractDateTo]]),0,IF(CONTADJ[[#This Row],[ContractDateFrom]]=CONTADJ[[#This Row],[ContractDateTo]],0,IF(CONTADJ[[#This Row],[ContractDateFrom]]&lt;CONTADJ[[#This Row],[ContractDateTo]],0,1)))</f>
        <v>0</v>
      </c>
      <c r="I25" s="57">
        <f>IF(ISBLANK(CONTADJ[[#This Row],[AdjustmentDateTo]]),0,IF(CONTADJ[[#This Row],[AdjustmentDateFrom]]=CONTADJ[[#This Row],[AdjustmentDateTo]],0,IF(CONTADJ[[#This Row],[AdjustmentDateFrom]]&lt;CONTADJ[[#This Row],[AdjustmentDateTo]],0,1)))</f>
        <v>0</v>
      </c>
      <c r="J25" s="57" cm="1">
        <f t="array" aca="1" ref="J25" ca="1">IF(CELL("format",CONTADJ[[#This Row],[ContractDateFrom]])="D1",0,1)+IF(CELL("format",CONTADJ[[#This Row],[ContractDateTo]])="D1",0,1)+IF(CELL("format",CONTADJ[[#This Row],[AdjustmentDateFrom]])="D1",0,1)+IF(CELL("format",CONTADJ[[#This Row],[AdjustmentDateTo]])="D1",0,1)</f>
        <v>0</v>
      </c>
      <c r="K25" s="57">
        <f>IF(LEN(CONTADJ[[#This Row],[Notes]])&lt;4000,0,1)</f>
        <v>0</v>
      </c>
      <c r="L25" s="57">
        <f>COUNTBLANK(CONTADJ[[#This Row],[AnnualValuePreAnnualFte]:[AnnualValuePostAnnualFte]])</f>
        <v>0</v>
      </c>
      <c r="M25" s="57">
        <f ca="1">SUM(CONTADJ[[#This Row],[Contract Issue]:[Blank in column]])</f>
        <v>0</v>
      </c>
      <c r="O25" s="12" t="s">
        <v>2126</v>
      </c>
      <c r="P25" s="12">
        <v>10007344</v>
      </c>
      <c r="Q25" s="12">
        <v>108312</v>
      </c>
      <c r="R25" s="57" t="str">
        <f>_xlfn.XLOOKUP(CONTADJ[[#This Row],[StaffMemberCode]],StaffMembers!O:O,StaffMembers!R:R)</f>
        <v>Helen Jones</v>
      </c>
      <c r="S25" s="12" t="s">
        <v>1178</v>
      </c>
      <c r="T25" s="12" t="s">
        <v>2499</v>
      </c>
      <c r="U25" s="21">
        <v>46023</v>
      </c>
      <c r="W25" s="12" t="s">
        <v>4324</v>
      </c>
      <c r="X25" s="21">
        <v>46023</v>
      </c>
      <c r="Z25" s="12">
        <v>0</v>
      </c>
      <c r="AA25" s="14">
        <v>13221</v>
      </c>
      <c r="AB25" s="12" t="s">
        <v>4895</v>
      </c>
    </row>
    <row r="26" spans="1:28" x14ac:dyDescent="0.3">
      <c r="A26" s="12" t="str">
        <f t="shared" si="0"/>
        <v>MLB10010228110864SITE_OFFSPREM46023</v>
      </c>
      <c r="B26" s="12" t="str">
        <f>CONTADJ[[#This Row],[StaffMemberCode]]&amp;CONTADJ[[#This Row],[AdjustmentTypeCode]]&amp;CONTADJ[[#This Row],[ContractReference]]&amp;CONTADJ[[#This Row],[SchoolCode]]</f>
        <v>10010228PA110864MLB</v>
      </c>
      <c r="C26" s="57">
        <f>IF(COUNTIF(ContractsTeachFTE!A:A,ContractAdjustments!A49)&gt;0,0,IF(COUNTIF(ContractsSupportHours!A:A,ContractAdjustments!A49)&gt;0,0,1))</f>
        <v>0</v>
      </c>
      <c r="D26" s="57" cm="1">
        <f t="array" ref="D26">IF(_xlfn.XLOOKUP(CONTADJ[[#This Row],[DepartmentCode]],DEPTS[DepartmentCode],DEPTS[AvailableToAllSchools],1,0,)=TRUE,0,IF(ISERROR(FIND(CONTADJ[[#This Row],[SchoolCode]],_xlfn.TEXTJOIN(",",TRUE,_xlfn.UNIQUE(IF(DEPTS[DepartmentCode]=CONTADJ[[#This Row],[DepartmentCode]],DEPTS[SchoolCodes],""))))),1,0))</f>
        <v>0</v>
      </c>
      <c r="E26" s="57">
        <f>IF(COUNTIF(ADJTYPE[AdjustmentTypeCode],CONTADJ[[#This Row],[AdjustmentTypeCode]])&gt;0,0,1)</f>
        <v>0</v>
      </c>
      <c r="F26" s="57">
        <f>COUNTIF(CONTADJ[Person+Adj Type Point+Contract Ref+SchoolCode],CONTADJ[[#This Row],[Person+Adj Type Point+Contract Ref+SchoolCode]]-1)</f>
        <v>0</v>
      </c>
      <c r="G26" s="57">
        <f t="shared" si="1"/>
        <v>0</v>
      </c>
      <c r="H26" s="57">
        <f>IF(ISBLANK(CONTADJ[[#This Row],[ContractDateTo]]),0,IF(CONTADJ[[#This Row],[ContractDateFrom]]=CONTADJ[[#This Row],[ContractDateTo]],0,IF(CONTADJ[[#This Row],[ContractDateFrom]]&lt;CONTADJ[[#This Row],[ContractDateTo]],0,1)))</f>
        <v>0</v>
      </c>
      <c r="I26" s="57">
        <f>IF(ISBLANK(CONTADJ[[#This Row],[AdjustmentDateTo]]),0,IF(CONTADJ[[#This Row],[AdjustmentDateFrom]]=CONTADJ[[#This Row],[AdjustmentDateTo]],0,IF(CONTADJ[[#This Row],[AdjustmentDateFrom]]&lt;CONTADJ[[#This Row],[AdjustmentDateTo]],0,1)))</f>
        <v>0</v>
      </c>
      <c r="J26" s="57" cm="1">
        <f t="array" aca="1" ref="J26" ca="1">IF(CELL("format",CONTADJ[[#This Row],[ContractDateFrom]])="D1",0,1)+IF(CELL("format",CONTADJ[[#This Row],[ContractDateTo]])="D1",0,1)+IF(CELL("format",CONTADJ[[#This Row],[AdjustmentDateFrom]])="D1",0,1)+IF(CELL("format",CONTADJ[[#This Row],[AdjustmentDateTo]])="D1",0,1)</f>
        <v>0</v>
      </c>
      <c r="K26" s="57">
        <f>IF(LEN(CONTADJ[[#This Row],[Notes]])&lt;4000,0,1)</f>
        <v>0</v>
      </c>
      <c r="L26" s="57">
        <f>COUNTBLANK(CONTADJ[[#This Row],[AnnualValuePreAnnualFte]:[AnnualValuePostAnnualFte]])</f>
        <v>0</v>
      </c>
      <c r="M26" s="57">
        <f ca="1">SUM(CONTADJ[[#This Row],[Contract Issue]:[Blank in column]])</f>
        <v>0</v>
      </c>
      <c r="O26" s="12" t="s">
        <v>2126</v>
      </c>
      <c r="P26" s="12">
        <v>10010228</v>
      </c>
      <c r="Q26" s="12">
        <v>110864</v>
      </c>
      <c r="R26" s="57" t="str">
        <f>_xlfn.XLOOKUP(CONTADJ[[#This Row],[StaffMemberCode]],StaffMembers!O:O,StaffMembers!R:R)</f>
        <v>Iozsef-Laszlo Ambrus</v>
      </c>
      <c r="S26" s="12" t="s">
        <v>4299</v>
      </c>
      <c r="T26" s="12" t="s">
        <v>2495</v>
      </c>
      <c r="U26" s="21">
        <v>46023</v>
      </c>
      <c r="W26" s="12" t="s">
        <v>3156</v>
      </c>
      <c r="X26" s="21">
        <v>46023</v>
      </c>
      <c r="Z26" s="12">
        <v>0</v>
      </c>
      <c r="AA26" s="14">
        <v>35.4</v>
      </c>
    </row>
    <row r="27" spans="1:28" x14ac:dyDescent="0.3">
      <c r="A27" s="12" t="str">
        <f t="shared" si="0"/>
        <v>MLB10010228110864SITE_OFFSPREM46023</v>
      </c>
      <c r="B27" s="12" t="str">
        <f>CONTADJ[[#This Row],[StaffMemberCode]]&amp;CONTADJ[[#This Row],[AdjustmentTypeCode]]&amp;CONTADJ[[#This Row],[ContractReference]]&amp;CONTADJ[[#This Row],[SchoolCode]]</f>
        <v>10010228SFT110864MLB</v>
      </c>
      <c r="C27" s="57">
        <f>IF(COUNTIF(ContractsTeachFTE!A:A,ContractAdjustments!A82)&gt;0,0,IF(COUNTIF(ContractsSupportHours!A:A,ContractAdjustments!A82)&gt;0,0,1))</f>
        <v>0</v>
      </c>
      <c r="D27" s="57" cm="1">
        <f t="array" ref="D27">IF(_xlfn.XLOOKUP(CONTADJ[[#This Row],[DepartmentCode]],DEPTS[DepartmentCode],DEPTS[AvailableToAllSchools],1,0,)=TRUE,0,IF(ISERROR(FIND(CONTADJ[[#This Row],[SchoolCode]],_xlfn.TEXTJOIN(",",TRUE,_xlfn.UNIQUE(IF(DEPTS[DepartmentCode]=CONTADJ[[#This Row],[DepartmentCode]],DEPTS[SchoolCodes],""))))),1,0))</f>
        <v>0</v>
      </c>
      <c r="E27" s="57">
        <f>IF(COUNTIF(ADJTYPE[AdjustmentTypeCode],CONTADJ[[#This Row],[AdjustmentTypeCode]])&gt;0,0,1)</f>
        <v>0</v>
      </c>
      <c r="F27" s="57">
        <f>COUNTIF(CONTADJ[Person+Adj Type Point+Contract Ref+SchoolCode],CONTADJ[[#This Row],[Person+Adj Type Point+Contract Ref+SchoolCode]]-1)</f>
        <v>0</v>
      </c>
      <c r="G27" s="57">
        <f t="shared" si="1"/>
        <v>0</v>
      </c>
      <c r="H27" s="57">
        <f>IF(ISBLANK(CONTADJ[[#This Row],[ContractDateTo]]),0,IF(CONTADJ[[#This Row],[ContractDateFrom]]=CONTADJ[[#This Row],[ContractDateTo]],0,IF(CONTADJ[[#This Row],[ContractDateFrom]]&lt;CONTADJ[[#This Row],[ContractDateTo]],0,1)))</f>
        <v>0</v>
      </c>
      <c r="I27" s="57">
        <f>IF(ISBLANK(CONTADJ[[#This Row],[AdjustmentDateTo]]),0,IF(CONTADJ[[#This Row],[AdjustmentDateFrom]]=CONTADJ[[#This Row],[AdjustmentDateTo]],0,IF(CONTADJ[[#This Row],[AdjustmentDateFrom]]&lt;CONTADJ[[#This Row],[AdjustmentDateTo]],0,1)))</f>
        <v>0</v>
      </c>
      <c r="J27" s="57" cm="1">
        <f t="array" aca="1" ref="J27" ca="1">IF(CELL("format",CONTADJ[[#This Row],[ContractDateFrom]])="D1",0,1)+IF(CELL("format",CONTADJ[[#This Row],[ContractDateTo]])="D1",0,1)+IF(CELL("format",CONTADJ[[#This Row],[AdjustmentDateFrom]])="D1",0,1)+IF(CELL("format",CONTADJ[[#This Row],[AdjustmentDateTo]])="D1",0,1)</f>
        <v>0</v>
      </c>
      <c r="K27" s="57">
        <f>IF(LEN(CONTADJ[[#This Row],[Notes]])&lt;4000,0,1)</f>
        <v>0</v>
      </c>
      <c r="L27" s="57">
        <f>COUNTBLANK(CONTADJ[[#This Row],[AnnualValuePreAnnualFte]:[AnnualValuePostAnnualFte]])</f>
        <v>0</v>
      </c>
      <c r="M27" s="57">
        <f ca="1">SUM(CONTADJ[[#This Row],[Contract Issue]:[Blank in column]])</f>
        <v>0</v>
      </c>
      <c r="O27" s="12" t="s">
        <v>2126</v>
      </c>
      <c r="P27" s="12">
        <v>10010228</v>
      </c>
      <c r="Q27" s="12">
        <v>110864</v>
      </c>
      <c r="R27" s="57" t="str">
        <f>_xlfn.XLOOKUP(CONTADJ[[#This Row],[StaffMemberCode]],StaffMembers!O:O,StaffMembers!R:R)</f>
        <v>Iozsef-Laszlo Ambrus</v>
      </c>
      <c r="S27" s="12" t="s">
        <v>4299</v>
      </c>
      <c r="T27" s="12" t="s">
        <v>2495</v>
      </c>
      <c r="U27" s="21">
        <v>46023</v>
      </c>
      <c r="W27" s="12" t="s">
        <v>3153</v>
      </c>
      <c r="X27" s="21">
        <v>46023</v>
      </c>
      <c r="Z27" s="12">
        <v>0</v>
      </c>
      <c r="AA27" s="14">
        <v>47.2</v>
      </c>
    </row>
    <row r="28" spans="1:28" x14ac:dyDescent="0.3">
      <c r="A28" s="12" t="str">
        <f t="shared" si="0"/>
        <v>MLB10007788106113CLE_SUPSPREM46023</v>
      </c>
      <c r="B28" s="12" t="str">
        <f>CONTADJ[[#This Row],[StaffMemberCode]]&amp;CONTADJ[[#This Row],[AdjustmentTypeCode]]&amp;CONTADJ[[#This Row],[ContractReference]]&amp;CONTADJ[[#This Row],[SchoolCode]]</f>
        <v>10007788FA106113MLB</v>
      </c>
      <c r="C28" s="57">
        <f>IF(COUNTIF(ContractsTeachFTE!A:A,ContractAdjustments!A40)&gt;0,0,IF(COUNTIF(ContractsSupportHours!A:A,ContractAdjustments!A40)&gt;0,0,1))</f>
        <v>0</v>
      </c>
      <c r="D28" s="57" cm="1">
        <f t="array" ref="D28">IF(_xlfn.XLOOKUP(CONTADJ[[#This Row],[DepartmentCode]],DEPTS[DepartmentCode],DEPTS[AvailableToAllSchools],1,0,)=TRUE,0,IF(ISERROR(FIND(CONTADJ[[#This Row],[SchoolCode]],_xlfn.TEXTJOIN(",",TRUE,_xlfn.UNIQUE(IF(DEPTS[DepartmentCode]=CONTADJ[[#This Row],[DepartmentCode]],DEPTS[SchoolCodes],""))))),1,0))</f>
        <v>0</v>
      </c>
      <c r="E28" s="57">
        <f>IF(COUNTIF(ADJTYPE[AdjustmentTypeCode],CONTADJ[[#This Row],[AdjustmentTypeCode]])&gt;0,0,1)</f>
        <v>0</v>
      </c>
      <c r="F28" s="57">
        <f>COUNTIF(CONTADJ[Person+Adj Type Point+Contract Ref+SchoolCode],CONTADJ[[#This Row],[Person+Adj Type Point+Contract Ref+SchoolCode]]-1)</f>
        <v>0</v>
      </c>
      <c r="G28" s="57">
        <f t="shared" si="1"/>
        <v>0</v>
      </c>
      <c r="H28" s="57">
        <f>IF(ISBLANK(CONTADJ[[#This Row],[ContractDateTo]]),0,IF(CONTADJ[[#This Row],[ContractDateFrom]]=CONTADJ[[#This Row],[ContractDateTo]],0,IF(CONTADJ[[#This Row],[ContractDateFrom]]&lt;CONTADJ[[#This Row],[ContractDateTo]],0,1)))</f>
        <v>0</v>
      </c>
      <c r="I28" s="57">
        <f>IF(ISBLANK(CONTADJ[[#This Row],[AdjustmentDateTo]]),0,IF(CONTADJ[[#This Row],[AdjustmentDateFrom]]=CONTADJ[[#This Row],[AdjustmentDateTo]],0,IF(CONTADJ[[#This Row],[AdjustmentDateFrom]]&lt;CONTADJ[[#This Row],[AdjustmentDateTo]],0,1)))</f>
        <v>0</v>
      </c>
      <c r="J28" s="57" cm="1">
        <f t="array" aca="1" ref="J28" ca="1">IF(CELL("format",CONTADJ[[#This Row],[ContractDateFrom]])="D1",0,1)+IF(CELL("format",CONTADJ[[#This Row],[ContractDateTo]])="D1",0,1)+IF(CELL("format",CONTADJ[[#This Row],[AdjustmentDateFrom]])="D1",0,1)+IF(CELL("format",CONTADJ[[#This Row],[AdjustmentDateTo]])="D1",0,1)</f>
        <v>0</v>
      </c>
      <c r="K28" s="57">
        <f>IF(LEN(CONTADJ[[#This Row],[Notes]])&lt;4000,0,1)</f>
        <v>0</v>
      </c>
      <c r="L28" s="57">
        <f>COUNTBLANK(CONTADJ[[#This Row],[AnnualValuePreAnnualFte]:[AnnualValuePostAnnualFte]])</f>
        <v>0</v>
      </c>
      <c r="M28" s="57">
        <f ca="1">SUM(CONTADJ[[#This Row],[Contract Issue]:[Blank in column]])</f>
        <v>0</v>
      </c>
      <c r="O28" s="12" t="s">
        <v>2126</v>
      </c>
      <c r="P28" s="12">
        <v>10007788</v>
      </c>
      <c r="Q28" s="12">
        <v>106113</v>
      </c>
      <c r="R28" s="57" t="str">
        <f>_xlfn.XLOOKUP(CONTADJ[[#This Row],[StaffMemberCode]],StaffMembers!O:O,StaffMembers!R:R)</f>
        <v>Janet Erlam</v>
      </c>
      <c r="S28" s="12" t="s">
        <v>4305</v>
      </c>
      <c r="T28" s="12" t="s">
        <v>2495</v>
      </c>
      <c r="U28" s="21">
        <v>46023</v>
      </c>
      <c r="W28" s="12" t="s">
        <v>3148</v>
      </c>
      <c r="X28" s="21">
        <v>46023</v>
      </c>
      <c r="Z28" s="12">
        <v>0</v>
      </c>
      <c r="AA28" s="14">
        <v>120</v>
      </c>
    </row>
    <row r="29" spans="1:28" x14ac:dyDescent="0.3">
      <c r="A29" s="12" t="str">
        <f t="shared" si="0"/>
        <v>MLB10005300106065AHT_MAINSTCH46023</v>
      </c>
      <c r="B29" s="12" t="str">
        <f>CONTADJ[[#This Row],[StaffMemberCode]]&amp;CONTADJ[[#This Row],[AdjustmentTypeCode]]&amp;CONTADJ[[#This Row],[ContractReference]]&amp;CONTADJ[[#This Row],[SchoolCode]]</f>
        <v>10005300TLR_OTH106065MLB</v>
      </c>
      <c r="C29" s="57">
        <f>IF(COUNTIF(ContractsTeachFTE!A:A,ContractAdjustments!A52)&gt;0,0,IF(COUNTIF(ContractsSupportHours!A:A,ContractAdjustments!A52)&gt;0,0,1))</f>
        <v>0</v>
      </c>
      <c r="D29" s="57" cm="1">
        <f t="array" ref="D29">IF(_xlfn.XLOOKUP(CONTADJ[[#This Row],[DepartmentCode]],DEPTS[DepartmentCode],DEPTS[AvailableToAllSchools],1,0,)=TRUE,0,IF(ISERROR(FIND(CONTADJ[[#This Row],[SchoolCode]],_xlfn.TEXTJOIN(",",TRUE,_xlfn.UNIQUE(IF(DEPTS[DepartmentCode]=CONTADJ[[#This Row],[DepartmentCode]],DEPTS[SchoolCodes],""))))),1,0))</f>
        <v>0</v>
      </c>
      <c r="E29" s="57">
        <f>IF(COUNTIF(ADJTYPE[AdjustmentTypeCode],CONTADJ[[#This Row],[AdjustmentTypeCode]])&gt;0,0,1)</f>
        <v>0</v>
      </c>
      <c r="F29" s="57">
        <f>COUNTIF(CONTADJ[Person+Adj Type Point+Contract Ref+SchoolCode],CONTADJ[[#This Row],[Person+Adj Type Point+Contract Ref+SchoolCode]]-1)</f>
        <v>0</v>
      </c>
      <c r="G29" s="57">
        <f t="shared" si="1"/>
        <v>0</v>
      </c>
      <c r="H29" s="57">
        <f>IF(ISBLANK(CONTADJ[[#This Row],[ContractDateTo]]),0,IF(CONTADJ[[#This Row],[ContractDateFrom]]=CONTADJ[[#This Row],[ContractDateTo]],0,IF(CONTADJ[[#This Row],[ContractDateFrom]]&lt;CONTADJ[[#This Row],[ContractDateTo]],0,1)))</f>
        <v>0</v>
      </c>
      <c r="I29" s="57">
        <f>IF(ISBLANK(CONTADJ[[#This Row],[AdjustmentDateTo]]),0,IF(CONTADJ[[#This Row],[AdjustmentDateFrom]]=CONTADJ[[#This Row],[AdjustmentDateTo]],0,IF(CONTADJ[[#This Row],[AdjustmentDateFrom]]&lt;CONTADJ[[#This Row],[AdjustmentDateTo]],0,1)))</f>
        <v>0</v>
      </c>
      <c r="J29" s="57" cm="1">
        <f t="array" aca="1" ref="J29" ca="1">IF(CELL("format",CONTADJ[[#This Row],[ContractDateFrom]])="D1",0,1)+IF(CELL("format",CONTADJ[[#This Row],[ContractDateTo]])="D1",0,1)+IF(CELL("format",CONTADJ[[#This Row],[AdjustmentDateFrom]])="D1",0,1)+IF(CELL("format",CONTADJ[[#This Row],[AdjustmentDateTo]])="D1",0,1)</f>
        <v>0</v>
      </c>
      <c r="K29" s="57">
        <f>IF(LEN(CONTADJ[[#This Row],[Notes]])&lt;4000,0,1)</f>
        <v>0</v>
      </c>
      <c r="L29" s="57">
        <f>COUNTBLANK(CONTADJ[[#This Row],[AnnualValuePreAnnualFte]:[AnnualValuePostAnnualFte]])</f>
        <v>0</v>
      </c>
      <c r="M29" s="57">
        <f ca="1">SUM(CONTADJ[[#This Row],[Contract Issue]:[Blank in column]])</f>
        <v>0</v>
      </c>
      <c r="O29" s="12" t="s">
        <v>2126</v>
      </c>
      <c r="P29" s="12">
        <v>10005300</v>
      </c>
      <c r="Q29" s="12">
        <v>106065</v>
      </c>
      <c r="R29" s="57" t="str">
        <f>_xlfn.XLOOKUP(CONTADJ[[#This Row],[StaffMemberCode]],StaffMembers!O:O,StaffMembers!R:R)</f>
        <v>Jennifer Aspinall</v>
      </c>
      <c r="S29" s="12" t="s">
        <v>4167</v>
      </c>
      <c r="T29" s="12" t="s">
        <v>2499</v>
      </c>
      <c r="U29" s="21">
        <v>46023</v>
      </c>
      <c r="W29" s="12" t="s">
        <v>4324</v>
      </c>
      <c r="X29" s="21">
        <v>46023</v>
      </c>
      <c r="Z29" s="12">
        <v>0</v>
      </c>
      <c r="AA29" s="14">
        <v>13221</v>
      </c>
      <c r="AB29" s="12" t="s">
        <v>4895</v>
      </c>
    </row>
    <row r="30" spans="1:28" x14ac:dyDescent="0.3">
      <c r="A30" s="12" t="str">
        <f t="shared" si="0"/>
        <v>MLB10005298106063TEASTCH46023</v>
      </c>
      <c r="B30" s="12" t="str">
        <f>CONTADJ[[#This Row],[StaffMemberCode]]&amp;CONTADJ[[#This Row],[AdjustmentTypeCode]]&amp;CONTADJ[[#This Row],[ContractReference]]&amp;CONTADJ[[#This Row],[SchoolCode]]</f>
        <v>10005298RR106063MLB</v>
      </c>
      <c r="C30" s="57">
        <f>IF(COUNTIF(ContractsTeachFTE!A:A,ContractAdjustments!A78)&gt;0,0,IF(COUNTIF(ContractsSupportHours!A:A,ContractAdjustments!A78)&gt;0,0,1))</f>
        <v>0</v>
      </c>
      <c r="D30" s="57" cm="1">
        <f t="array" ref="D30">IF(_xlfn.XLOOKUP(CONTADJ[[#This Row],[DepartmentCode]],DEPTS[DepartmentCode],DEPTS[AvailableToAllSchools],1,0,)=TRUE,0,IF(ISERROR(FIND(CONTADJ[[#This Row],[SchoolCode]],_xlfn.TEXTJOIN(",",TRUE,_xlfn.UNIQUE(IF(DEPTS[DepartmentCode]=CONTADJ[[#This Row],[DepartmentCode]],DEPTS[SchoolCodes],""))))),1,0))</f>
        <v>0</v>
      </c>
      <c r="E30" s="57">
        <f>IF(COUNTIF(ADJTYPE[AdjustmentTypeCode],CONTADJ[[#This Row],[AdjustmentTypeCode]])&gt;0,0,1)</f>
        <v>0</v>
      </c>
      <c r="F30" s="57">
        <f>COUNTIF(CONTADJ[Person+Adj Type Point+Contract Ref+SchoolCode],CONTADJ[[#This Row],[Person+Adj Type Point+Contract Ref+SchoolCode]]-1)</f>
        <v>0</v>
      </c>
      <c r="G30" s="57">
        <f t="shared" si="1"/>
        <v>0</v>
      </c>
      <c r="H30" s="57">
        <f>IF(ISBLANK(CONTADJ[[#This Row],[ContractDateTo]]),0,IF(CONTADJ[[#This Row],[ContractDateFrom]]=CONTADJ[[#This Row],[ContractDateTo]],0,IF(CONTADJ[[#This Row],[ContractDateFrom]]&lt;CONTADJ[[#This Row],[ContractDateTo]],0,1)))</f>
        <v>0</v>
      </c>
      <c r="I30" s="57">
        <f>IF(ISBLANK(CONTADJ[[#This Row],[AdjustmentDateTo]]),0,IF(CONTADJ[[#This Row],[AdjustmentDateFrom]]=CONTADJ[[#This Row],[AdjustmentDateTo]],0,IF(CONTADJ[[#This Row],[AdjustmentDateFrom]]&lt;CONTADJ[[#This Row],[AdjustmentDateTo]],0,1)))</f>
        <v>0</v>
      </c>
      <c r="J30" s="57" cm="1">
        <f t="array" aca="1" ref="J30" ca="1">IF(CELL("format",CONTADJ[[#This Row],[ContractDateFrom]])="D1",0,1)+IF(CELL("format",CONTADJ[[#This Row],[ContractDateTo]])="D1",0,1)+IF(CELL("format",CONTADJ[[#This Row],[AdjustmentDateFrom]])="D1",0,1)+IF(CELL("format",CONTADJ[[#This Row],[AdjustmentDateTo]])="D1",0,1)</f>
        <v>0</v>
      </c>
      <c r="K30" s="57">
        <f>IF(LEN(CONTADJ[[#This Row],[Notes]])&lt;4000,0,1)</f>
        <v>0</v>
      </c>
      <c r="L30" s="57">
        <f>COUNTBLANK(CONTADJ[[#This Row],[AnnualValuePreAnnualFte]:[AnnualValuePostAnnualFte]])</f>
        <v>0</v>
      </c>
      <c r="M30" s="57">
        <f ca="1">SUM(CONTADJ[[#This Row],[Contract Issue]:[Blank in column]])</f>
        <v>0</v>
      </c>
      <c r="O30" s="12" t="s">
        <v>2126</v>
      </c>
      <c r="P30" s="12">
        <v>10005298</v>
      </c>
      <c r="Q30" s="12">
        <v>106063</v>
      </c>
      <c r="R30" s="57" t="str">
        <f>_xlfn.XLOOKUP(CONTADJ[[#This Row],[StaffMemberCode]],StaffMembers!O:O,StaffMembers!R:R)</f>
        <v>Jennifer Harding</v>
      </c>
      <c r="S30" s="12" t="s">
        <v>1178</v>
      </c>
      <c r="T30" s="12" t="s">
        <v>2499</v>
      </c>
      <c r="U30" s="21">
        <v>46023</v>
      </c>
      <c r="W30" s="12" t="s">
        <v>3151</v>
      </c>
      <c r="X30" s="21">
        <v>46023</v>
      </c>
      <c r="Z30" s="12">
        <v>0</v>
      </c>
      <c r="AA30" s="14">
        <v>3527</v>
      </c>
    </row>
    <row r="31" spans="1:28" x14ac:dyDescent="0.3">
      <c r="A31" s="12" t="str">
        <f t="shared" si="0"/>
        <v>BLS9107353591073535ATEASTCH45901</v>
      </c>
      <c r="B31" s="12" t="str">
        <f>CONTADJ[[#This Row],[StaffMemberCode]]&amp;CONTADJ[[#This Row],[AdjustmentTypeCode]]&amp;CONTADJ[[#This Row],[ContractReference]]&amp;CONTADJ[[#This Row],[SchoolCode]]</f>
        <v>91073535JOB91073535ABLS</v>
      </c>
      <c r="C31" s="57">
        <f>IF(COUNTIF(ContractsTeachFTE!A:A,ContractAdjustments!A7)&gt;0,0,IF(COUNTIF(ContractsSupportHours!A:A,ContractAdjustments!A7)&gt;0,0,1))</f>
        <v>0</v>
      </c>
      <c r="D31" s="57" cm="1">
        <f t="array" ref="D31">IF(_xlfn.XLOOKUP(CONTADJ[[#This Row],[DepartmentCode]],DEPTS[DepartmentCode],DEPTS[AvailableToAllSchools],1,0,)=TRUE,0,IF(ISERROR(FIND(CONTADJ[[#This Row],[SchoolCode]],_xlfn.TEXTJOIN(",",TRUE,_xlfn.UNIQUE(IF(DEPTS[DepartmentCode]=CONTADJ[[#This Row],[DepartmentCode]],DEPTS[SchoolCodes],""))))),1,0))</f>
        <v>0</v>
      </c>
      <c r="E31" s="57">
        <f>IF(COUNTIF(ADJTYPE[AdjustmentTypeCode],CONTADJ[[#This Row],[AdjustmentTypeCode]])&gt;0,0,1)</f>
        <v>0</v>
      </c>
      <c r="F31" s="57">
        <f>COUNTIF(CONTADJ[Person+Adj Type Point+Contract Ref+SchoolCode],CONTADJ[[#This Row],[Person+Adj Type Point+Contract Ref+SchoolCode]]-1)</f>
        <v>0</v>
      </c>
      <c r="G31" s="57">
        <f t="shared" si="1"/>
        <v>0</v>
      </c>
      <c r="H31" s="57">
        <f>IF(ISBLANK(CONTADJ[[#This Row],[ContractDateTo]]),0,IF(CONTADJ[[#This Row],[ContractDateFrom]]=CONTADJ[[#This Row],[ContractDateTo]],0,IF(CONTADJ[[#This Row],[ContractDateFrom]]&lt;CONTADJ[[#This Row],[ContractDateTo]],0,1)))</f>
        <v>0</v>
      </c>
      <c r="I31" s="57">
        <f>IF(ISBLANK(CONTADJ[[#This Row],[AdjustmentDateTo]]),0,IF(CONTADJ[[#This Row],[AdjustmentDateFrom]]=CONTADJ[[#This Row],[AdjustmentDateTo]],0,IF(CONTADJ[[#This Row],[AdjustmentDateFrom]]&lt;CONTADJ[[#This Row],[AdjustmentDateTo]],0,1)))</f>
        <v>0</v>
      </c>
      <c r="J31" s="57" cm="1">
        <f t="array" aca="1" ref="J31" ca="1">IF(CELL("format",CONTADJ[[#This Row],[ContractDateFrom]])="D1",0,1)+IF(CELL("format",CONTADJ[[#This Row],[ContractDateTo]])="D1",0,1)+IF(CELL("format",CONTADJ[[#This Row],[AdjustmentDateFrom]])="D1",0,1)+IF(CELL("format",CONTADJ[[#This Row],[AdjustmentDateTo]])="D1",0,1)</f>
        <v>0</v>
      </c>
      <c r="K31" s="57">
        <f>IF(LEN(CONTADJ[[#This Row],[Notes]])&lt;4000,0,1)</f>
        <v>0</v>
      </c>
      <c r="L31" s="57">
        <f>COUNTBLANK(CONTADJ[[#This Row],[AnnualValuePreAnnualFte]:[AnnualValuePostAnnualFte]])</f>
        <v>0</v>
      </c>
      <c r="M31" s="57">
        <f ca="1">SUM(CONTADJ[[#This Row],[Contract Issue]:[Blank in column]])</f>
        <v>0</v>
      </c>
      <c r="O31" s="12" t="s">
        <v>2094</v>
      </c>
      <c r="P31" s="12">
        <v>91073535</v>
      </c>
      <c r="Q31" s="12" t="s">
        <v>4448</v>
      </c>
      <c r="R31" s="57" t="str">
        <f>_xlfn.XLOOKUP(CONTADJ[[#This Row],[StaffMemberCode]],StaffMembers!O:O,StaffMembers!R:R)</f>
        <v>Jennifer Spragg</v>
      </c>
      <c r="S31" s="12" t="s">
        <v>1178</v>
      </c>
      <c r="T31" s="12" t="s">
        <v>2499</v>
      </c>
      <c r="U31" s="21">
        <v>45901</v>
      </c>
      <c r="W31" s="12" t="s">
        <v>3157</v>
      </c>
      <c r="X31" s="21">
        <v>45901</v>
      </c>
      <c r="Z31" s="12">
        <v>0</v>
      </c>
      <c r="AA31" s="14">
        <v>3527</v>
      </c>
    </row>
    <row r="32" spans="1:28" x14ac:dyDescent="0.3">
      <c r="A32" s="12" t="str">
        <f t="shared" si="0"/>
        <v>BLS9107353091073530ATEASTCH45901</v>
      </c>
      <c r="B32" s="12" t="str">
        <f>CONTADJ[[#This Row],[StaffMemberCode]]&amp;CONTADJ[[#This Row],[AdjustmentTypeCode]]&amp;CONTADJ[[#This Row],[ContractReference]]&amp;CONTADJ[[#This Row],[SchoolCode]]</f>
        <v>91073530RES91073530ABLS</v>
      </c>
      <c r="C32" s="57">
        <f>IF(COUNTIF(ContractsTeachFTE!A:A,ContractAdjustments!A36)&gt;0,0,IF(COUNTIF(ContractsSupportHours!A:A,ContractAdjustments!A36)&gt;0,0,1))</f>
        <v>0</v>
      </c>
      <c r="D32" s="57" cm="1">
        <f t="array" ref="D32">IF(_xlfn.XLOOKUP(CONTADJ[[#This Row],[DepartmentCode]],DEPTS[DepartmentCode],DEPTS[AvailableToAllSchools],1,0,)=TRUE,0,IF(ISERROR(FIND(CONTADJ[[#This Row],[SchoolCode]],_xlfn.TEXTJOIN(",",TRUE,_xlfn.UNIQUE(IF(DEPTS[DepartmentCode]=CONTADJ[[#This Row],[DepartmentCode]],DEPTS[SchoolCodes],""))))),1,0))</f>
        <v>0</v>
      </c>
      <c r="E32" s="57">
        <f>IF(COUNTIF(ADJTYPE[AdjustmentTypeCode],CONTADJ[[#This Row],[AdjustmentTypeCode]])&gt;0,0,1)</f>
        <v>0</v>
      </c>
      <c r="F32" s="57">
        <f>COUNTIF(CONTADJ[Person+Adj Type Point+Contract Ref+SchoolCode],CONTADJ[[#This Row],[Person+Adj Type Point+Contract Ref+SchoolCode]]-1)</f>
        <v>0</v>
      </c>
      <c r="G32" s="57">
        <f t="shared" si="1"/>
        <v>0</v>
      </c>
      <c r="H32" s="57">
        <f>IF(ISBLANK(CONTADJ[[#This Row],[ContractDateTo]]),0,IF(CONTADJ[[#This Row],[ContractDateFrom]]=CONTADJ[[#This Row],[ContractDateTo]],0,IF(CONTADJ[[#This Row],[ContractDateFrom]]&lt;CONTADJ[[#This Row],[ContractDateTo]],0,1)))</f>
        <v>0</v>
      </c>
      <c r="I32" s="57">
        <f>IF(ISBLANK(CONTADJ[[#This Row],[AdjustmentDateTo]]),0,IF(CONTADJ[[#This Row],[AdjustmentDateFrom]]=CONTADJ[[#This Row],[AdjustmentDateTo]],0,IF(CONTADJ[[#This Row],[AdjustmentDateFrom]]&lt;CONTADJ[[#This Row],[AdjustmentDateTo]],0,1)))</f>
        <v>0</v>
      </c>
      <c r="J32" s="57" cm="1">
        <f t="array" aca="1" ref="J32" ca="1">IF(CELL("format",CONTADJ[[#This Row],[ContractDateFrom]])="D1",0,1)+IF(CELL("format",CONTADJ[[#This Row],[ContractDateTo]])="D1",0,1)+IF(CELL("format",CONTADJ[[#This Row],[AdjustmentDateFrom]])="D1",0,1)+IF(CELL("format",CONTADJ[[#This Row],[AdjustmentDateTo]])="D1",0,1)</f>
        <v>0</v>
      </c>
      <c r="K32" s="57">
        <f>IF(LEN(CONTADJ[[#This Row],[Notes]])&lt;4000,0,1)</f>
        <v>0</v>
      </c>
      <c r="L32" s="57">
        <f>COUNTBLANK(CONTADJ[[#This Row],[AnnualValuePreAnnualFte]:[AnnualValuePostAnnualFte]])</f>
        <v>0</v>
      </c>
      <c r="M32" s="57">
        <f ca="1">SUM(CONTADJ[[#This Row],[Contract Issue]:[Blank in column]])</f>
        <v>0</v>
      </c>
      <c r="O32" s="12" t="s">
        <v>2094</v>
      </c>
      <c r="P32" s="12">
        <v>91073530</v>
      </c>
      <c r="Q32" s="12" t="s">
        <v>4405</v>
      </c>
      <c r="R32" s="57" t="str">
        <f>_xlfn.XLOOKUP(CONTADJ[[#This Row],[StaffMemberCode]],StaffMembers!O:O,StaffMembers!R:R)</f>
        <v>Jenny Sykes</v>
      </c>
      <c r="S32" s="12" t="s">
        <v>1178</v>
      </c>
      <c r="T32" s="12" t="s">
        <v>2499</v>
      </c>
      <c r="U32" s="21">
        <v>45901</v>
      </c>
      <c r="W32" s="12" t="s">
        <v>3149</v>
      </c>
      <c r="X32" s="21">
        <v>45901</v>
      </c>
      <c r="Z32" s="12">
        <v>0</v>
      </c>
      <c r="AA32" s="14">
        <v>5643.16</v>
      </c>
    </row>
    <row r="33" spans="1:28" x14ac:dyDescent="0.3">
      <c r="A33" s="12" t="str">
        <f t="shared" si="0"/>
        <v>BLS9107347891073478ATEASTCH45901</v>
      </c>
      <c r="B33" s="12" t="str">
        <f>CONTADJ[[#This Row],[StaffMemberCode]]&amp;CONTADJ[[#This Row],[AdjustmentTypeCode]]&amp;CONTADJ[[#This Row],[ContractReference]]&amp;CONTADJ[[#This Row],[SchoolCode]]</f>
        <v>91073478JOB91073478ABLS</v>
      </c>
      <c r="C33" s="57">
        <f>IF(COUNTIF(ContractsTeachFTE!A:A,ContractAdjustments!A21)&gt;0,0,IF(COUNTIF(ContractsSupportHours!A:A,ContractAdjustments!A21)&gt;0,0,1))</f>
        <v>0</v>
      </c>
      <c r="D33" s="57" cm="1">
        <f t="array" ref="D33">IF(_xlfn.XLOOKUP(CONTADJ[[#This Row],[DepartmentCode]],DEPTS[DepartmentCode],DEPTS[AvailableToAllSchools],1,0,)=TRUE,0,IF(ISERROR(FIND(CONTADJ[[#This Row],[SchoolCode]],_xlfn.TEXTJOIN(",",TRUE,_xlfn.UNIQUE(IF(DEPTS[DepartmentCode]=CONTADJ[[#This Row],[DepartmentCode]],DEPTS[SchoolCodes],""))))),1,0))</f>
        <v>0</v>
      </c>
      <c r="E33" s="57">
        <f>IF(COUNTIF(ADJTYPE[AdjustmentTypeCode],CONTADJ[[#This Row],[AdjustmentTypeCode]])&gt;0,0,1)</f>
        <v>0</v>
      </c>
      <c r="F33" s="57">
        <f>COUNTIF(CONTADJ[Person+Adj Type Point+Contract Ref+SchoolCode],CONTADJ[[#This Row],[Person+Adj Type Point+Contract Ref+SchoolCode]]-1)</f>
        <v>0</v>
      </c>
      <c r="G33" s="57">
        <f t="shared" si="1"/>
        <v>0</v>
      </c>
      <c r="H33" s="57">
        <f>IF(ISBLANK(CONTADJ[[#This Row],[ContractDateTo]]),0,IF(CONTADJ[[#This Row],[ContractDateFrom]]=CONTADJ[[#This Row],[ContractDateTo]],0,IF(CONTADJ[[#This Row],[ContractDateFrom]]&lt;CONTADJ[[#This Row],[ContractDateTo]],0,1)))</f>
        <v>0</v>
      </c>
      <c r="I33" s="57">
        <f>IF(ISBLANK(CONTADJ[[#This Row],[AdjustmentDateTo]]),0,IF(CONTADJ[[#This Row],[AdjustmentDateFrom]]=CONTADJ[[#This Row],[AdjustmentDateTo]],0,IF(CONTADJ[[#This Row],[AdjustmentDateFrom]]&lt;CONTADJ[[#This Row],[AdjustmentDateTo]],0,1)))</f>
        <v>0</v>
      </c>
      <c r="J33" s="57" cm="1">
        <f t="array" aca="1" ref="J33" ca="1">IF(CELL("format",CONTADJ[[#This Row],[ContractDateFrom]])="D1",0,1)+IF(CELL("format",CONTADJ[[#This Row],[ContractDateTo]])="D1",0,1)+IF(CELL("format",CONTADJ[[#This Row],[AdjustmentDateFrom]])="D1",0,1)+IF(CELL("format",CONTADJ[[#This Row],[AdjustmentDateTo]])="D1",0,1)</f>
        <v>0</v>
      </c>
      <c r="K33" s="57">
        <f>IF(LEN(CONTADJ[[#This Row],[Notes]])&lt;4000,0,1)</f>
        <v>0</v>
      </c>
      <c r="L33" s="57">
        <f>COUNTBLANK(CONTADJ[[#This Row],[AnnualValuePreAnnualFte]:[AnnualValuePostAnnualFte]])</f>
        <v>0</v>
      </c>
      <c r="M33" s="57">
        <f ca="1">SUM(CONTADJ[[#This Row],[Contract Issue]:[Blank in column]])</f>
        <v>0</v>
      </c>
      <c r="O33" s="12" t="s">
        <v>2094</v>
      </c>
      <c r="P33" s="12">
        <v>91073478</v>
      </c>
      <c r="Q33" s="12" t="s">
        <v>4378</v>
      </c>
      <c r="R33" s="57" t="str">
        <f>_xlfn.XLOOKUP(CONTADJ[[#This Row],[StaffMemberCode]],StaffMembers!O:O,StaffMembers!R:R)</f>
        <v>Jessica Cooper</v>
      </c>
      <c r="S33" s="12" t="s">
        <v>1178</v>
      </c>
      <c r="T33" s="12" t="s">
        <v>2499</v>
      </c>
      <c r="U33" s="21">
        <v>45901</v>
      </c>
      <c r="W33" s="12" t="s">
        <v>3157</v>
      </c>
      <c r="X33" s="21">
        <v>45901</v>
      </c>
      <c r="Z33" s="12">
        <v>0</v>
      </c>
      <c r="AA33" s="14">
        <v>705.4</v>
      </c>
    </row>
    <row r="34" spans="1:28" x14ac:dyDescent="0.3">
      <c r="A34" s="12" t="str">
        <f t="shared" ref="A34:A65" si="2">O34&amp;P34&amp;Q34&amp;S34&amp;T34&amp;U34</f>
        <v>BLS9107352491073524ATEASTCH45901</v>
      </c>
      <c r="B34" s="12" t="str">
        <f>CONTADJ[[#This Row],[StaffMemberCode]]&amp;CONTADJ[[#This Row],[AdjustmentTypeCode]]&amp;CONTADJ[[#This Row],[ContractReference]]&amp;CONTADJ[[#This Row],[SchoolCode]]</f>
        <v>91073524RES91073524ABLS</v>
      </c>
      <c r="C34" s="57">
        <f>IF(COUNTIF(ContractsTeachFTE!A:A,ContractAdjustments!A33)&gt;0,0,IF(COUNTIF(ContractsSupportHours!A:A,ContractAdjustments!A33)&gt;0,0,1))</f>
        <v>0</v>
      </c>
      <c r="D34" s="57" cm="1">
        <f t="array" ref="D34">IF(_xlfn.XLOOKUP(CONTADJ[[#This Row],[DepartmentCode]],DEPTS[DepartmentCode],DEPTS[AvailableToAllSchools],1,0,)=TRUE,0,IF(ISERROR(FIND(CONTADJ[[#This Row],[SchoolCode]],_xlfn.TEXTJOIN(",",TRUE,_xlfn.UNIQUE(IF(DEPTS[DepartmentCode]=CONTADJ[[#This Row],[DepartmentCode]],DEPTS[SchoolCodes],""))))),1,0))</f>
        <v>0</v>
      </c>
      <c r="E34" s="57">
        <f>IF(COUNTIF(ADJTYPE[AdjustmentTypeCode],CONTADJ[[#This Row],[AdjustmentTypeCode]])&gt;0,0,1)</f>
        <v>0</v>
      </c>
      <c r="F34" s="57">
        <f>COUNTIF(CONTADJ[Person+Adj Type Point+Contract Ref+SchoolCode],CONTADJ[[#This Row],[Person+Adj Type Point+Contract Ref+SchoolCode]]-1)</f>
        <v>0</v>
      </c>
      <c r="G34" s="57">
        <f t="shared" ref="G34:G65" si="3">IF(U34&gt;X34,1,0)</f>
        <v>0</v>
      </c>
      <c r="H34" s="57">
        <f>IF(ISBLANK(CONTADJ[[#This Row],[ContractDateTo]]),0,IF(CONTADJ[[#This Row],[ContractDateFrom]]=CONTADJ[[#This Row],[ContractDateTo]],0,IF(CONTADJ[[#This Row],[ContractDateFrom]]&lt;CONTADJ[[#This Row],[ContractDateTo]],0,1)))</f>
        <v>0</v>
      </c>
      <c r="I34" s="57">
        <f>IF(ISBLANK(CONTADJ[[#This Row],[AdjustmentDateTo]]),0,IF(CONTADJ[[#This Row],[AdjustmentDateFrom]]=CONTADJ[[#This Row],[AdjustmentDateTo]],0,IF(CONTADJ[[#This Row],[AdjustmentDateFrom]]&lt;CONTADJ[[#This Row],[AdjustmentDateTo]],0,1)))</f>
        <v>0</v>
      </c>
      <c r="J34" s="57" cm="1">
        <f t="array" aca="1" ref="J34" ca="1">IF(CELL("format",CONTADJ[[#This Row],[ContractDateFrom]])="D1",0,1)+IF(CELL("format",CONTADJ[[#This Row],[ContractDateTo]])="D1",0,1)+IF(CELL("format",CONTADJ[[#This Row],[AdjustmentDateFrom]])="D1",0,1)+IF(CELL("format",CONTADJ[[#This Row],[AdjustmentDateTo]])="D1",0,1)</f>
        <v>0</v>
      </c>
      <c r="K34" s="57">
        <f>IF(LEN(CONTADJ[[#This Row],[Notes]])&lt;4000,0,1)</f>
        <v>0</v>
      </c>
      <c r="L34" s="57">
        <f>COUNTBLANK(CONTADJ[[#This Row],[AnnualValuePreAnnualFte]:[AnnualValuePostAnnualFte]])</f>
        <v>0</v>
      </c>
      <c r="M34" s="57">
        <f ca="1">SUM(CONTADJ[[#This Row],[Contract Issue]:[Blank in column]])</f>
        <v>0</v>
      </c>
      <c r="O34" s="12" t="s">
        <v>2094</v>
      </c>
      <c r="P34" s="12">
        <v>91073524</v>
      </c>
      <c r="Q34" s="12" t="s">
        <v>4402</v>
      </c>
      <c r="R34" s="57" t="str">
        <f>_xlfn.XLOOKUP(CONTADJ[[#This Row],[StaffMemberCode]],StaffMembers!O:O,StaffMembers!R:R)</f>
        <v>Jessica Edwards</v>
      </c>
      <c r="S34" s="12" t="s">
        <v>1178</v>
      </c>
      <c r="T34" s="12" t="s">
        <v>2499</v>
      </c>
      <c r="U34" s="21">
        <v>45901</v>
      </c>
      <c r="W34" s="12" t="s">
        <v>3149</v>
      </c>
      <c r="X34" s="21">
        <v>45901</v>
      </c>
      <c r="Z34" s="12">
        <v>0</v>
      </c>
      <c r="AA34" s="14">
        <v>2985</v>
      </c>
    </row>
    <row r="35" spans="1:28" x14ac:dyDescent="0.3">
      <c r="A35" s="12" t="str">
        <f t="shared" si="2"/>
        <v>MLB10006257106116CLESPREM46023</v>
      </c>
      <c r="B35" s="12" t="str">
        <f>CONTADJ[[#This Row],[StaffMemberCode]]&amp;CONTADJ[[#This Row],[AdjustmentTypeCode]]&amp;CONTADJ[[#This Row],[ContractReference]]&amp;CONTADJ[[#This Row],[SchoolCode]]</f>
        <v>10006257FA106116MLB</v>
      </c>
      <c r="C35" s="57">
        <f>IF(COUNTIF(ContractsTeachFTE!A:A,ContractAdjustments!A39)&gt;0,0,IF(COUNTIF(ContractsSupportHours!A:A,ContractAdjustments!A39)&gt;0,0,1))</f>
        <v>0</v>
      </c>
      <c r="D35" s="57" cm="1">
        <f t="array" ref="D35">IF(_xlfn.XLOOKUP(CONTADJ[[#This Row],[DepartmentCode]],DEPTS[DepartmentCode],DEPTS[AvailableToAllSchools],1,0,)=TRUE,0,IF(ISERROR(FIND(CONTADJ[[#This Row],[SchoolCode]],_xlfn.TEXTJOIN(",",TRUE,_xlfn.UNIQUE(IF(DEPTS[DepartmentCode]=CONTADJ[[#This Row],[DepartmentCode]],DEPTS[SchoolCodes],""))))),1,0))</f>
        <v>0</v>
      </c>
      <c r="E35" s="57">
        <f>IF(COUNTIF(ADJTYPE[AdjustmentTypeCode],CONTADJ[[#This Row],[AdjustmentTypeCode]])&gt;0,0,1)</f>
        <v>0</v>
      </c>
      <c r="F35" s="57">
        <f>COUNTIF(CONTADJ[Person+Adj Type Point+Contract Ref+SchoolCode],CONTADJ[[#This Row],[Person+Adj Type Point+Contract Ref+SchoolCode]]-1)</f>
        <v>0</v>
      </c>
      <c r="G35" s="57">
        <f t="shared" si="3"/>
        <v>0</v>
      </c>
      <c r="H35" s="57">
        <f>IF(ISBLANK(CONTADJ[[#This Row],[ContractDateTo]]),0,IF(CONTADJ[[#This Row],[ContractDateFrom]]=CONTADJ[[#This Row],[ContractDateTo]],0,IF(CONTADJ[[#This Row],[ContractDateFrom]]&lt;CONTADJ[[#This Row],[ContractDateTo]],0,1)))</f>
        <v>0</v>
      </c>
      <c r="I35" s="57">
        <f>IF(ISBLANK(CONTADJ[[#This Row],[AdjustmentDateTo]]),0,IF(CONTADJ[[#This Row],[AdjustmentDateFrom]]=CONTADJ[[#This Row],[AdjustmentDateTo]],0,IF(CONTADJ[[#This Row],[AdjustmentDateFrom]]&lt;CONTADJ[[#This Row],[AdjustmentDateTo]],0,1)))</f>
        <v>0</v>
      </c>
      <c r="J35" s="57" cm="1">
        <f t="array" aca="1" ref="J35" ca="1">IF(CELL("format",CONTADJ[[#This Row],[ContractDateFrom]])="D1",0,1)+IF(CELL("format",CONTADJ[[#This Row],[ContractDateTo]])="D1",0,1)+IF(CELL("format",CONTADJ[[#This Row],[AdjustmentDateFrom]])="D1",0,1)+IF(CELL("format",CONTADJ[[#This Row],[AdjustmentDateTo]])="D1",0,1)</f>
        <v>0</v>
      </c>
      <c r="K35" s="57">
        <f>IF(LEN(CONTADJ[[#This Row],[Notes]])&lt;4000,0,1)</f>
        <v>0</v>
      </c>
      <c r="L35" s="57">
        <f>COUNTBLANK(CONTADJ[[#This Row],[AnnualValuePreAnnualFte]:[AnnualValuePostAnnualFte]])</f>
        <v>0</v>
      </c>
      <c r="M35" s="57">
        <f ca="1">SUM(CONTADJ[[#This Row],[Contract Issue]:[Blank in column]])</f>
        <v>0</v>
      </c>
      <c r="O35" s="12" t="s">
        <v>2126</v>
      </c>
      <c r="P35" s="12">
        <v>10006257</v>
      </c>
      <c r="Q35" s="12">
        <v>106116</v>
      </c>
      <c r="R35" s="57" t="str">
        <f>_xlfn.XLOOKUP(CONTADJ[[#This Row],[StaffMemberCode]],StaffMembers!O:O,StaffMembers!R:R)</f>
        <v>Joanne Heath</v>
      </c>
      <c r="S35" s="12" t="s">
        <v>1190</v>
      </c>
      <c r="T35" s="12" t="s">
        <v>2495</v>
      </c>
      <c r="U35" s="21">
        <v>46023</v>
      </c>
      <c r="W35" s="12" t="s">
        <v>3148</v>
      </c>
      <c r="X35" s="21">
        <v>46023</v>
      </c>
      <c r="Z35" s="12">
        <v>0</v>
      </c>
      <c r="AA35" s="14">
        <v>120</v>
      </c>
    </row>
    <row r="36" spans="1:28" x14ac:dyDescent="0.3">
      <c r="A36" s="12" t="str">
        <f t="shared" si="2"/>
        <v>MLB10006257106041MDASMID46023</v>
      </c>
      <c r="B36" s="12" t="str">
        <f>CONTADJ[[#This Row],[StaffMemberCode]]&amp;CONTADJ[[#This Row],[AdjustmentTypeCode]]&amp;CONTADJ[[#This Row],[ContractReference]]&amp;CONTADJ[[#This Row],[SchoolCode]]</f>
        <v>10006257FA106041MLB</v>
      </c>
      <c r="C36" s="57">
        <f>IF(COUNTIF(ContractsTeachFTE!A:A,ContractAdjustments!A44)&gt;0,0,IF(COUNTIF(ContractsSupportHours!A:A,ContractAdjustments!A44)&gt;0,0,1))</f>
        <v>0</v>
      </c>
      <c r="D36" s="57" cm="1">
        <f t="array" ref="D36">IF(_xlfn.XLOOKUP(CONTADJ[[#This Row],[DepartmentCode]],DEPTS[DepartmentCode],DEPTS[AvailableToAllSchools],1,0,)=TRUE,0,IF(ISERROR(FIND(CONTADJ[[#This Row],[SchoolCode]],_xlfn.TEXTJOIN(",",TRUE,_xlfn.UNIQUE(IF(DEPTS[DepartmentCode]=CONTADJ[[#This Row],[DepartmentCode]],DEPTS[SchoolCodes],""))))),1,0))</f>
        <v>0</v>
      </c>
      <c r="E36" s="57">
        <f>IF(COUNTIF(ADJTYPE[AdjustmentTypeCode],CONTADJ[[#This Row],[AdjustmentTypeCode]])&gt;0,0,1)</f>
        <v>0</v>
      </c>
      <c r="F36" s="57">
        <f>COUNTIF(CONTADJ[Person+Adj Type Point+Contract Ref+SchoolCode],CONTADJ[[#This Row],[Person+Adj Type Point+Contract Ref+SchoolCode]]-1)</f>
        <v>0</v>
      </c>
      <c r="G36" s="57">
        <f t="shared" si="3"/>
        <v>0</v>
      </c>
      <c r="H36" s="57">
        <f>IF(ISBLANK(CONTADJ[[#This Row],[ContractDateTo]]),0,IF(CONTADJ[[#This Row],[ContractDateFrom]]=CONTADJ[[#This Row],[ContractDateTo]],0,IF(CONTADJ[[#This Row],[ContractDateFrom]]&lt;CONTADJ[[#This Row],[ContractDateTo]],0,1)))</f>
        <v>0</v>
      </c>
      <c r="I36" s="57">
        <f>IF(ISBLANK(CONTADJ[[#This Row],[AdjustmentDateTo]]),0,IF(CONTADJ[[#This Row],[AdjustmentDateFrom]]=CONTADJ[[#This Row],[AdjustmentDateTo]],0,IF(CONTADJ[[#This Row],[AdjustmentDateFrom]]&lt;CONTADJ[[#This Row],[AdjustmentDateTo]],0,1)))</f>
        <v>0</v>
      </c>
      <c r="J36" s="57" cm="1">
        <f t="array" aca="1" ref="J36" ca="1">IF(CELL("format",CONTADJ[[#This Row],[ContractDateFrom]])="D1",0,1)+IF(CELL("format",CONTADJ[[#This Row],[ContractDateTo]])="D1",0,1)+IF(CELL("format",CONTADJ[[#This Row],[AdjustmentDateFrom]])="D1",0,1)+IF(CELL("format",CONTADJ[[#This Row],[AdjustmentDateTo]])="D1",0,1)</f>
        <v>0</v>
      </c>
      <c r="K36" s="57">
        <f>IF(LEN(CONTADJ[[#This Row],[Notes]])&lt;4000,0,1)</f>
        <v>0</v>
      </c>
      <c r="L36" s="57">
        <f>COUNTBLANK(CONTADJ[[#This Row],[AnnualValuePreAnnualFte]:[AnnualValuePostAnnualFte]])</f>
        <v>0</v>
      </c>
      <c r="M36" s="57">
        <f ca="1">SUM(CONTADJ[[#This Row],[Contract Issue]:[Blank in column]])</f>
        <v>0</v>
      </c>
      <c r="O36" s="12" t="s">
        <v>2126</v>
      </c>
      <c r="P36" s="12">
        <v>10006257</v>
      </c>
      <c r="Q36" s="12">
        <v>106041</v>
      </c>
      <c r="R36" s="57" t="str">
        <f>_xlfn.XLOOKUP(CONTADJ[[#This Row],[StaffMemberCode]],StaffMembers!O:O,StaffMembers!R:R)</f>
        <v>Joanne Heath</v>
      </c>
      <c r="S36" s="12" t="s">
        <v>4307</v>
      </c>
      <c r="T36" s="12" t="s">
        <v>2488</v>
      </c>
      <c r="U36" s="21">
        <v>46023</v>
      </c>
      <c r="W36" s="12" t="s">
        <v>3148</v>
      </c>
      <c r="X36" s="21">
        <v>46023</v>
      </c>
      <c r="Z36" s="12">
        <v>0</v>
      </c>
      <c r="AA36" s="14">
        <v>120</v>
      </c>
    </row>
    <row r="37" spans="1:28" x14ac:dyDescent="0.3">
      <c r="A37" s="12" t="str">
        <f t="shared" si="2"/>
        <v>MLB10007246112858KS_LMSESS46023</v>
      </c>
      <c r="B37" s="12" t="str">
        <f>CONTADJ[[#This Row],[StaffMemberCode]]&amp;CONTADJ[[#This Row],[AdjustmentTypeCode]]&amp;CONTADJ[[#This Row],[ContractReference]]&amp;CONTADJ[[#This Row],[SchoolCode]]</f>
        <v>10007246FA112858MLB</v>
      </c>
      <c r="C37" s="57">
        <f>IF(COUNTIF(ContractsTeachFTE!A:A,ContractAdjustments!A41)&gt;0,0,IF(COUNTIF(ContractsSupportHours!A:A,ContractAdjustments!A41)&gt;0,0,1))</f>
        <v>0</v>
      </c>
      <c r="D37" s="57" cm="1">
        <f t="array" ref="D37">IF(_xlfn.XLOOKUP(CONTADJ[[#This Row],[DepartmentCode]],DEPTS[DepartmentCode],DEPTS[AvailableToAllSchools],1,0,)=TRUE,0,IF(ISERROR(FIND(CONTADJ[[#This Row],[SchoolCode]],_xlfn.TEXTJOIN(",",TRUE,_xlfn.UNIQUE(IF(DEPTS[DepartmentCode]=CONTADJ[[#This Row],[DepartmentCode]],DEPTS[SchoolCodes],""))))),1,0))</f>
        <v>0</v>
      </c>
      <c r="E37" s="57">
        <f>IF(COUNTIF(ADJTYPE[AdjustmentTypeCode],CONTADJ[[#This Row],[AdjustmentTypeCode]])&gt;0,0,1)</f>
        <v>0</v>
      </c>
      <c r="F37" s="57">
        <f>COUNTIF(CONTADJ[Person+Adj Type Point+Contract Ref+SchoolCode],CONTADJ[[#This Row],[Person+Adj Type Point+Contract Ref+SchoolCode]]-1)</f>
        <v>0</v>
      </c>
      <c r="G37" s="57">
        <f t="shared" si="3"/>
        <v>0</v>
      </c>
      <c r="H37" s="57">
        <f>IF(ISBLANK(CONTADJ[[#This Row],[ContractDateTo]]),0,IF(CONTADJ[[#This Row],[ContractDateFrom]]=CONTADJ[[#This Row],[ContractDateTo]],0,IF(CONTADJ[[#This Row],[ContractDateFrom]]&lt;CONTADJ[[#This Row],[ContractDateTo]],0,1)))</f>
        <v>0</v>
      </c>
      <c r="I37" s="57">
        <f>IF(ISBLANK(CONTADJ[[#This Row],[AdjustmentDateTo]]),0,IF(CONTADJ[[#This Row],[AdjustmentDateFrom]]=CONTADJ[[#This Row],[AdjustmentDateTo]],0,IF(CONTADJ[[#This Row],[AdjustmentDateFrom]]&lt;CONTADJ[[#This Row],[AdjustmentDateTo]],0,1)))</f>
        <v>0</v>
      </c>
      <c r="J37" s="57" cm="1">
        <f t="array" aca="1" ref="J37" ca="1">IF(CELL("format",CONTADJ[[#This Row],[ContractDateFrom]])="D1",0,1)+IF(CELL("format",CONTADJ[[#This Row],[ContractDateTo]])="D1",0,1)+IF(CELL("format",CONTADJ[[#This Row],[AdjustmentDateFrom]])="D1",0,1)+IF(CELL("format",CONTADJ[[#This Row],[AdjustmentDateTo]])="D1",0,1)</f>
        <v>0</v>
      </c>
      <c r="K37" s="57">
        <f>IF(LEN(CONTADJ[[#This Row],[Notes]])&lt;4000,0,1)</f>
        <v>0</v>
      </c>
      <c r="L37" s="57">
        <f>COUNTBLANK(CONTADJ[[#This Row],[AnnualValuePreAnnualFte]:[AnnualValuePostAnnualFte]])</f>
        <v>0</v>
      </c>
      <c r="M37" s="57">
        <f ca="1">SUM(CONTADJ[[#This Row],[Contract Issue]:[Blank in column]])</f>
        <v>0</v>
      </c>
      <c r="O37" s="12" t="s">
        <v>2126</v>
      </c>
      <c r="P37" s="12">
        <v>10007246</v>
      </c>
      <c r="Q37" s="12">
        <v>112858</v>
      </c>
      <c r="R37" s="57" t="str">
        <f>_xlfn.XLOOKUP(CONTADJ[[#This Row],[StaffMemberCode]],StaffMembers!O:O,StaffMembers!R:R)</f>
        <v>Jordanne Tuplin</v>
      </c>
      <c r="S37" s="12" t="s">
        <v>4195</v>
      </c>
      <c r="T37" s="12" t="s">
        <v>2482</v>
      </c>
      <c r="U37" s="21">
        <v>46023</v>
      </c>
      <c r="W37" s="12" t="s">
        <v>3148</v>
      </c>
      <c r="X37" s="21">
        <v>46023</v>
      </c>
      <c r="Z37" s="12">
        <v>0</v>
      </c>
      <c r="AA37" s="14">
        <v>120</v>
      </c>
    </row>
    <row r="38" spans="1:28" x14ac:dyDescent="0.3">
      <c r="A38" s="12" t="str">
        <f t="shared" si="2"/>
        <v>BLS9107346691073466ATEASTCH45901</v>
      </c>
      <c r="B38" s="12" t="str">
        <f>CONTADJ[[#This Row],[StaffMemberCode]]&amp;CONTADJ[[#This Row],[AdjustmentTypeCode]]&amp;CONTADJ[[#This Row],[ContractReference]]&amp;CONTADJ[[#This Row],[SchoolCode]]</f>
        <v>91073466JOB91073466ABLS</v>
      </c>
      <c r="C38" s="57">
        <f>IF(COUNTIF(ContractsTeachFTE!A:A,ContractAdjustments!A19)&gt;0,0,IF(COUNTIF(ContractsSupportHours!A:A,ContractAdjustments!A19)&gt;0,0,1))</f>
        <v>0</v>
      </c>
      <c r="D38" s="57" cm="1">
        <f t="array" ref="D38">IF(_xlfn.XLOOKUP(CONTADJ[[#This Row],[DepartmentCode]],DEPTS[DepartmentCode],DEPTS[AvailableToAllSchools],1,0,)=TRUE,0,IF(ISERROR(FIND(CONTADJ[[#This Row],[SchoolCode]],_xlfn.TEXTJOIN(",",TRUE,_xlfn.UNIQUE(IF(DEPTS[DepartmentCode]=CONTADJ[[#This Row],[DepartmentCode]],DEPTS[SchoolCodes],""))))),1,0))</f>
        <v>0</v>
      </c>
      <c r="E38" s="57">
        <f>IF(COUNTIF(ADJTYPE[AdjustmentTypeCode],CONTADJ[[#This Row],[AdjustmentTypeCode]])&gt;0,0,1)</f>
        <v>0</v>
      </c>
      <c r="F38" s="57">
        <f>COUNTIF(CONTADJ[Person+Adj Type Point+Contract Ref+SchoolCode],CONTADJ[[#This Row],[Person+Adj Type Point+Contract Ref+SchoolCode]]-1)</f>
        <v>0</v>
      </c>
      <c r="G38" s="57">
        <f t="shared" si="3"/>
        <v>0</v>
      </c>
      <c r="H38" s="57">
        <f>IF(ISBLANK(CONTADJ[[#This Row],[ContractDateTo]]),0,IF(CONTADJ[[#This Row],[ContractDateFrom]]=CONTADJ[[#This Row],[ContractDateTo]],0,IF(CONTADJ[[#This Row],[ContractDateFrom]]&lt;CONTADJ[[#This Row],[ContractDateTo]],0,1)))</f>
        <v>0</v>
      </c>
      <c r="I38" s="57">
        <f>IF(ISBLANK(CONTADJ[[#This Row],[AdjustmentDateTo]]),0,IF(CONTADJ[[#This Row],[AdjustmentDateFrom]]=CONTADJ[[#This Row],[AdjustmentDateTo]],0,IF(CONTADJ[[#This Row],[AdjustmentDateFrom]]&lt;CONTADJ[[#This Row],[AdjustmentDateTo]],0,1)))</f>
        <v>0</v>
      </c>
      <c r="J38" s="57" cm="1">
        <f t="array" aca="1" ref="J38" ca="1">IF(CELL("format",CONTADJ[[#This Row],[ContractDateFrom]])="D1",0,1)+IF(CELL("format",CONTADJ[[#This Row],[ContractDateTo]])="D1",0,1)+IF(CELL("format",CONTADJ[[#This Row],[AdjustmentDateFrom]])="D1",0,1)+IF(CELL("format",CONTADJ[[#This Row],[AdjustmentDateTo]])="D1",0,1)</f>
        <v>0</v>
      </c>
      <c r="K38" s="57">
        <f>IF(LEN(CONTADJ[[#This Row],[Notes]])&lt;4000,0,1)</f>
        <v>0</v>
      </c>
      <c r="L38" s="57">
        <f>COUNTBLANK(CONTADJ[[#This Row],[AnnualValuePreAnnualFte]:[AnnualValuePostAnnualFte]])</f>
        <v>0</v>
      </c>
      <c r="M38" s="57">
        <f ca="1">SUM(CONTADJ[[#This Row],[Contract Issue]:[Blank in column]])</f>
        <v>0</v>
      </c>
      <c r="O38" s="12" t="s">
        <v>2094</v>
      </c>
      <c r="P38" s="12">
        <v>91073466</v>
      </c>
      <c r="Q38" s="12" t="s">
        <v>4376</v>
      </c>
      <c r="R38" s="57" t="str">
        <f>_xlfn.XLOOKUP(CONTADJ[[#This Row],[StaffMemberCode]],StaffMembers!O:O,StaffMembers!R:R)</f>
        <v>Kate Malkin</v>
      </c>
      <c r="S38" s="12" t="s">
        <v>1178</v>
      </c>
      <c r="T38" s="12" t="s">
        <v>2499</v>
      </c>
      <c r="U38" s="21">
        <v>45901</v>
      </c>
      <c r="W38" s="12" t="s">
        <v>3157</v>
      </c>
      <c r="X38" s="21">
        <v>45901</v>
      </c>
      <c r="Z38" s="12">
        <v>0</v>
      </c>
      <c r="AA38" s="14">
        <v>359.24</v>
      </c>
    </row>
    <row r="39" spans="1:28" x14ac:dyDescent="0.3">
      <c r="A39" s="12" t="str">
        <f t="shared" si="2"/>
        <v>BLS9107344891073448ABMSFIN45901</v>
      </c>
      <c r="B39" s="12" t="str">
        <f>CONTADJ[[#This Row],[StaffMemberCode]]&amp;CONTADJ[[#This Row],[AdjustmentTypeCode]]&amp;CONTADJ[[#This Row],[ContractReference]]&amp;CONTADJ[[#This Row],[SchoolCode]]</f>
        <v>91073448OTH91073448ABLS</v>
      </c>
      <c r="C39" s="57">
        <f>IF(COUNTIF(ContractsTeachFTE!A:A,ContractAdjustments!A10)&gt;0,0,IF(COUNTIF(ContractsSupportHours!A:A,ContractAdjustments!A10)&gt;0,0,1))</f>
        <v>0</v>
      </c>
      <c r="D39" s="57" cm="1">
        <f t="array" ref="D39">IF(_xlfn.XLOOKUP(CONTADJ[[#This Row],[DepartmentCode]],DEPTS[DepartmentCode],DEPTS[AvailableToAllSchools],1,0,)=TRUE,0,IF(ISERROR(FIND(CONTADJ[[#This Row],[SchoolCode]],_xlfn.TEXTJOIN(",",TRUE,_xlfn.UNIQUE(IF(DEPTS[DepartmentCode]=CONTADJ[[#This Row],[DepartmentCode]],DEPTS[SchoolCodes],""))))),1,0))</f>
        <v>0</v>
      </c>
      <c r="E39" s="57">
        <f>IF(COUNTIF(ADJTYPE[AdjustmentTypeCode],CONTADJ[[#This Row],[AdjustmentTypeCode]])&gt;0,0,1)</f>
        <v>0</v>
      </c>
      <c r="F39" s="57">
        <f>COUNTIF(CONTADJ[Person+Adj Type Point+Contract Ref+SchoolCode],CONTADJ[[#This Row],[Person+Adj Type Point+Contract Ref+SchoolCode]]-1)</f>
        <v>0</v>
      </c>
      <c r="G39" s="57">
        <f t="shared" si="3"/>
        <v>0</v>
      </c>
      <c r="H39" s="57">
        <f>IF(ISBLANK(CONTADJ[[#This Row],[ContractDateTo]]),0,IF(CONTADJ[[#This Row],[ContractDateFrom]]=CONTADJ[[#This Row],[ContractDateTo]],0,IF(CONTADJ[[#This Row],[ContractDateFrom]]&lt;CONTADJ[[#This Row],[ContractDateTo]],0,1)))</f>
        <v>0</v>
      </c>
      <c r="I39" s="57">
        <f>IF(ISBLANK(CONTADJ[[#This Row],[AdjustmentDateTo]]),0,IF(CONTADJ[[#This Row],[AdjustmentDateFrom]]=CONTADJ[[#This Row],[AdjustmentDateTo]],0,IF(CONTADJ[[#This Row],[AdjustmentDateFrom]]&lt;CONTADJ[[#This Row],[AdjustmentDateTo]],0,1)))</f>
        <v>0</v>
      </c>
      <c r="J39" s="57" cm="1">
        <f t="array" aca="1" ref="J39" ca="1">IF(CELL("format",CONTADJ[[#This Row],[ContractDateFrom]])="D1",0,1)+IF(CELL("format",CONTADJ[[#This Row],[ContractDateTo]])="D1",0,1)+IF(CELL("format",CONTADJ[[#This Row],[AdjustmentDateFrom]])="D1",0,1)+IF(CELL("format",CONTADJ[[#This Row],[AdjustmentDateTo]])="D1",0,1)</f>
        <v>0</v>
      </c>
      <c r="K39" s="57">
        <f>IF(LEN(CONTADJ[[#This Row],[Notes]])&lt;4000,0,1)</f>
        <v>0</v>
      </c>
      <c r="L39" s="57">
        <f>COUNTBLANK(CONTADJ[[#This Row],[AnnualValuePreAnnualFte]:[AnnualValuePostAnnualFte]])</f>
        <v>0</v>
      </c>
      <c r="M39" s="57">
        <f ca="1">SUM(CONTADJ[[#This Row],[Contract Issue]:[Blank in column]])</f>
        <v>0</v>
      </c>
      <c r="O39" s="12" t="s">
        <v>2094</v>
      </c>
      <c r="P39" s="12">
        <v>91073448</v>
      </c>
      <c r="Q39" s="12" t="s">
        <v>4712</v>
      </c>
      <c r="R39" s="57" t="str">
        <f>_xlfn.XLOOKUP(CONTADJ[[#This Row],[StaffMemberCode]],StaffMembers!O:O,StaffMembers!R:R)</f>
        <v>Kathryn Brookes</v>
      </c>
      <c r="S39" s="12" t="s">
        <v>4223</v>
      </c>
      <c r="T39" s="12" t="s">
        <v>2483</v>
      </c>
      <c r="U39" s="21">
        <v>45901</v>
      </c>
      <c r="V39" s="21">
        <v>46053</v>
      </c>
      <c r="W39" s="12" t="s">
        <v>1194</v>
      </c>
      <c r="X39" s="21">
        <v>45901</v>
      </c>
      <c r="Y39" s="21">
        <v>46053</v>
      </c>
      <c r="Z39" s="12">
        <v>0</v>
      </c>
      <c r="AA39" s="14">
        <v>537</v>
      </c>
    </row>
    <row r="40" spans="1:28" x14ac:dyDescent="0.3">
      <c r="A40" s="12" t="str">
        <f t="shared" si="2"/>
        <v>MLB10009923112124KS_LMSESS46023</v>
      </c>
      <c r="B40" s="12" t="str">
        <f>CONTADJ[[#This Row],[StaffMemberCode]]&amp;CONTADJ[[#This Row],[AdjustmentTypeCode]]&amp;CONTADJ[[#This Row],[ContractReference]]&amp;CONTADJ[[#This Row],[SchoolCode]]</f>
        <v>10009923FA112124MLB</v>
      </c>
      <c r="C40" s="57">
        <f>IF(COUNTIF(ContractsTeachFTE!A:A,ContractAdjustments!A42)&gt;0,0,IF(COUNTIF(ContractsSupportHours!A:A,ContractAdjustments!A42)&gt;0,0,1))</f>
        <v>0</v>
      </c>
      <c r="D40" s="57" cm="1">
        <f t="array" ref="D40">IF(_xlfn.XLOOKUP(CONTADJ[[#This Row],[DepartmentCode]],DEPTS[DepartmentCode],DEPTS[AvailableToAllSchools],1,0,)=TRUE,0,IF(ISERROR(FIND(CONTADJ[[#This Row],[SchoolCode]],_xlfn.TEXTJOIN(",",TRUE,_xlfn.UNIQUE(IF(DEPTS[DepartmentCode]=CONTADJ[[#This Row],[DepartmentCode]],DEPTS[SchoolCodes],""))))),1,0))</f>
        <v>0</v>
      </c>
      <c r="E40" s="57">
        <f>IF(COUNTIF(ADJTYPE[AdjustmentTypeCode],CONTADJ[[#This Row],[AdjustmentTypeCode]])&gt;0,0,1)</f>
        <v>0</v>
      </c>
      <c r="F40" s="57">
        <f>COUNTIF(CONTADJ[Person+Adj Type Point+Contract Ref+SchoolCode],CONTADJ[[#This Row],[Person+Adj Type Point+Contract Ref+SchoolCode]]-1)</f>
        <v>0</v>
      </c>
      <c r="G40" s="57">
        <f t="shared" si="3"/>
        <v>0</v>
      </c>
      <c r="H40" s="57">
        <f>IF(ISBLANK(CONTADJ[[#This Row],[ContractDateTo]]),0,IF(CONTADJ[[#This Row],[ContractDateFrom]]=CONTADJ[[#This Row],[ContractDateTo]],0,IF(CONTADJ[[#This Row],[ContractDateFrom]]&lt;CONTADJ[[#This Row],[ContractDateTo]],0,1)))</f>
        <v>0</v>
      </c>
      <c r="I40" s="57">
        <f>IF(ISBLANK(CONTADJ[[#This Row],[AdjustmentDateTo]]),0,IF(CONTADJ[[#This Row],[AdjustmentDateFrom]]=CONTADJ[[#This Row],[AdjustmentDateTo]],0,IF(CONTADJ[[#This Row],[AdjustmentDateFrom]]&lt;CONTADJ[[#This Row],[AdjustmentDateTo]],0,1)))</f>
        <v>0</v>
      </c>
      <c r="J40" s="57" cm="1">
        <f t="array" aca="1" ref="J40" ca="1">IF(CELL("format",CONTADJ[[#This Row],[ContractDateFrom]])="D1",0,1)+IF(CELL("format",CONTADJ[[#This Row],[ContractDateTo]])="D1",0,1)+IF(CELL("format",CONTADJ[[#This Row],[AdjustmentDateFrom]])="D1",0,1)+IF(CELL("format",CONTADJ[[#This Row],[AdjustmentDateTo]])="D1",0,1)</f>
        <v>0</v>
      </c>
      <c r="K40" s="57">
        <f>IF(LEN(CONTADJ[[#This Row],[Notes]])&lt;4000,0,1)</f>
        <v>0</v>
      </c>
      <c r="L40" s="57">
        <f>COUNTBLANK(CONTADJ[[#This Row],[AnnualValuePreAnnualFte]:[AnnualValuePostAnnualFte]])</f>
        <v>0</v>
      </c>
      <c r="M40" s="57">
        <f ca="1">SUM(CONTADJ[[#This Row],[Contract Issue]:[Blank in column]])</f>
        <v>0</v>
      </c>
      <c r="O40" s="12" t="s">
        <v>2126</v>
      </c>
      <c r="P40" s="12">
        <v>10009923</v>
      </c>
      <c r="Q40" s="12">
        <v>112124</v>
      </c>
      <c r="R40" s="57" t="str">
        <f>_xlfn.XLOOKUP(CONTADJ[[#This Row],[StaffMemberCode]],StaffMembers!O:O,StaffMembers!R:R)</f>
        <v>Laura Kirk-Bradshaw</v>
      </c>
      <c r="S40" s="12" t="s">
        <v>4195</v>
      </c>
      <c r="T40" s="12" t="s">
        <v>2482</v>
      </c>
      <c r="U40" s="21">
        <v>46023</v>
      </c>
      <c r="W40" s="12" t="s">
        <v>3148</v>
      </c>
      <c r="X40" s="21">
        <v>46023</v>
      </c>
      <c r="Z40" s="12">
        <v>0</v>
      </c>
      <c r="AA40" s="14">
        <v>120</v>
      </c>
    </row>
    <row r="41" spans="1:28" x14ac:dyDescent="0.3">
      <c r="A41" s="12" t="str">
        <f t="shared" si="2"/>
        <v>BLS9107350391073503ATEASTCH45901</v>
      </c>
      <c r="B41" s="12" t="str">
        <f>CONTADJ[[#This Row],[StaffMemberCode]]&amp;CONTADJ[[#This Row],[AdjustmentTypeCode]]&amp;CONTADJ[[#This Row],[ContractReference]]&amp;CONTADJ[[#This Row],[SchoolCode]]</f>
        <v>91073503JOB91073503ABLS</v>
      </c>
      <c r="C41" s="57">
        <f>IF(COUNTIF(ContractsTeachFTE!A:A,ContractAdjustments!A20)&gt;0,0,IF(COUNTIF(ContractsSupportHours!A:A,ContractAdjustments!A20)&gt;0,0,1))</f>
        <v>0</v>
      </c>
      <c r="D41" s="57" cm="1">
        <f t="array" ref="D41">IF(_xlfn.XLOOKUP(CONTADJ[[#This Row],[DepartmentCode]],DEPTS[DepartmentCode],DEPTS[AvailableToAllSchools],1,0,)=TRUE,0,IF(ISERROR(FIND(CONTADJ[[#This Row],[SchoolCode]],_xlfn.TEXTJOIN(",",TRUE,_xlfn.UNIQUE(IF(DEPTS[DepartmentCode]=CONTADJ[[#This Row],[DepartmentCode]],DEPTS[SchoolCodes],""))))),1,0))</f>
        <v>0</v>
      </c>
      <c r="E41" s="57">
        <f>IF(COUNTIF(ADJTYPE[AdjustmentTypeCode],CONTADJ[[#This Row],[AdjustmentTypeCode]])&gt;0,0,1)</f>
        <v>0</v>
      </c>
      <c r="F41" s="57">
        <f>COUNTIF(CONTADJ[Person+Adj Type Point+Contract Ref+SchoolCode],CONTADJ[[#This Row],[Person+Adj Type Point+Contract Ref+SchoolCode]]-1)</f>
        <v>0</v>
      </c>
      <c r="G41" s="57">
        <f t="shared" si="3"/>
        <v>0</v>
      </c>
      <c r="H41" s="57">
        <f>IF(ISBLANK(CONTADJ[[#This Row],[ContractDateTo]]),0,IF(CONTADJ[[#This Row],[ContractDateFrom]]=CONTADJ[[#This Row],[ContractDateTo]],0,IF(CONTADJ[[#This Row],[ContractDateFrom]]&lt;CONTADJ[[#This Row],[ContractDateTo]],0,1)))</f>
        <v>0</v>
      </c>
      <c r="I41" s="57">
        <f>IF(ISBLANK(CONTADJ[[#This Row],[AdjustmentDateTo]]),0,IF(CONTADJ[[#This Row],[AdjustmentDateFrom]]=CONTADJ[[#This Row],[AdjustmentDateTo]],0,IF(CONTADJ[[#This Row],[AdjustmentDateFrom]]&lt;CONTADJ[[#This Row],[AdjustmentDateTo]],0,1)))</f>
        <v>0</v>
      </c>
      <c r="J41" s="57" cm="1">
        <f t="array" aca="1" ref="J41" ca="1">IF(CELL("format",CONTADJ[[#This Row],[ContractDateFrom]])="D1",0,1)+IF(CELL("format",CONTADJ[[#This Row],[ContractDateTo]])="D1",0,1)+IF(CELL("format",CONTADJ[[#This Row],[AdjustmentDateFrom]])="D1",0,1)+IF(CELL("format",CONTADJ[[#This Row],[AdjustmentDateTo]])="D1",0,1)</f>
        <v>0</v>
      </c>
      <c r="K41" s="57">
        <f>IF(LEN(CONTADJ[[#This Row],[Notes]])&lt;4000,0,1)</f>
        <v>0</v>
      </c>
      <c r="L41" s="57">
        <f>COUNTBLANK(CONTADJ[[#This Row],[AnnualValuePreAnnualFte]:[AnnualValuePostAnnualFte]])</f>
        <v>0</v>
      </c>
      <c r="M41" s="57">
        <f ca="1">SUM(CONTADJ[[#This Row],[Contract Issue]:[Blank in column]])</f>
        <v>0</v>
      </c>
      <c r="O41" s="12" t="s">
        <v>2094</v>
      </c>
      <c r="P41" s="12">
        <v>91073503</v>
      </c>
      <c r="Q41" s="12" t="s">
        <v>4377</v>
      </c>
      <c r="R41" s="57" t="str">
        <f>_xlfn.XLOOKUP(CONTADJ[[#This Row],[StaffMemberCode]],StaffMembers!O:O,StaffMembers!R:R)</f>
        <v>Laura Linde</v>
      </c>
      <c r="S41" s="12" t="s">
        <v>1178</v>
      </c>
      <c r="T41" s="12" t="s">
        <v>2499</v>
      </c>
      <c r="U41" s="21">
        <v>45901</v>
      </c>
      <c r="W41" s="12" t="s">
        <v>3157</v>
      </c>
      <c r="X41" s="21">
        <v>45901</v>
      </c>
      <c r="Z41" s="12">
        <v>0</v>
      </c>
      <c r="AA41" s="14">
        <v>565.4</v>
      </c>
    </row>
    <row r="42" spans="1:28" x14ac:dyDescent="0.3">
      <c r="A42" s="12" t="str">
        <f t="shared" si="2"/>
        <v>MLB10005294106059TEASTCH46023</v>
      </c>
      <c r="B42" s="12" t="str">
        <f>CONTADJ[[#This Row],[StaffMemberCode]]&amp;CONTADJ[[#This Row],[AdjustmentTypeCode]]&amp;CONTADJ[[#This Row],[ContractReference]]&amp;CONTADJ[[#This Row],[SchoolCode]]</f>
        <v>10005294TLR_OTH106059MLB</v>
      </c>
      <c r="C42" s="57">
        <f>IF(COUNTIF(ContractsTeachFTE!A:A,ContractAdjustments!A51)&gt;0,0,IF(COUNTIF(ContractsSupportHours!A:A,ContractAdjustments!A51)&gt;0,0,1))</f>
        <v>0</v>
      </c>
      <c r="D42" s="57" cm="1">
        <f t="array" ref="D42">IF(_xlfn.XLOOKUP(CONTADJ[[#This Row],[DepartmentCode]],DEPTS[DepartmentCode],DEPTS[AvailableToAllSchools],1,0,)=TRUE,0,IF(ISERROR(FIND(CONTADJ[[#This Row],[SchoolCode]],_xlfn.TEXTJOIN(",",TRUE,_xlfn.UNIQUE(IF(DEPTS[DepartmentCode]=CONTADJ[[#This Row],[DepartmentCode]],DEPTS[SchoolCodes],""))))),1,0))</f>
        <v>0</v>
      </c>
      <c r="E42" s="57">
        <f>IF(COUNTIF(ADJTYPE[AdjustmentTypeCode],CONTADJ[[#This Row],[AdjustmentTypeCode]])&gt;0,0,1)</f>
        <v>0</v>
      </c>
      <c r="F42" s="57">
        <f>COUNTIF(CONTADJ[Person+Adj Type Point+Contract Ref+SchoolCode],CONTADJ[[#This Row],[Person+Adj Type Point+Contract Ref+SchoolCode]]-1)</f>
        <v>0</v>
      </c>
      <c r="G42" s="57">
        <f t="shared" si="3"/>
        <v>0</v>
      </c>
      <c r="H42" s="57">
        <f>IF(ISBLANK(CONTADJ[[#This Row],[ContractDateTo]]),0,IF(CONTADJ[[#This Row],[ContractDateFrom]]=CONTADJ[[#This Row],[ContractDateTo]],0,IF(CONTADJ[[#This Row],[ContractDateFrom]]&lt;CONTADJ[[#This Row],[ContractDateTo]],0,1)))</f>
        <v>0</v>
      </c>
      <c r="I42" s="57">
        <f>IF(ISBLANK(CONTADJ[[#This Row],[AdjustmentDateTo]]),0,IF(CONTADJ[[#This Row],[AdjustmentDateFrom]]=CONTADJ[[#This Row],[AdjustmentDateTo]],0,IF(CONTADJ[[#This Row],[AdjustmentDateFrom]]&lt;CONTADJ[[#This Row],[AdjustmentDateTo]],0,1)))</f>
        <v>0</v>
      </c>
      <c r="J42" s="57" cm="1">
        <f t="array" aca="1" ref="J42" ca="1">IF(CELL("format",CONTADJ[[#This Row],[ContractDateFrom]])="D1",0,1)+IF(CELL("format",CONTADJ[[#This Row],[ContractDateTo]])="D1",0,1)+IF(CELL("format",CONTADJ[[#This Row],[AdjustmentDateFrom]])="D1",0,1)+IF(CELL("format",CONTADJ[[#This Row],[AdjustmentDateTo]])="D1",0,1)</f>
        <v>0</v>
      </c>
      <c r="K42" s="57">
        <f>IF(LEN(CONTADJ[[#This Row],[Notes]])&lt;4000,0,1)</f>
        <v>0</v>
      </c>
      <c r="L42" s="57">
        <f>COUNTBLANK(CONTADJ[[#This Row],[AnnualValuePreAnnualFte]:[AnnualValuePostAnnualFte]])</f>
        <v>0</v>
      </c>
      <c r="M42" s="57">
        <f ca="1">SUM(CONTADJ[[#This Row],[Contract Issue]:[Blank in column]])</f>
        <v>0</v>
      </c>
      <c r="O42" s="12" t="s">
        <v>2126</v>
      </c>
      <c r="P42" s="12">
        <v>10005294</v>
      </c>
      <c r="Q42" s="12">
        <v>106059</v>
      </c>
      <c r="R42" s="57" t="str">
        <f>_xlfn.XLOOKUP(CONTADJ[[#This Row],[StaffMemberCode]],StaffMembers!O:O,StaffMembers!R:R)</f>
        <v>Louise Jennings</v>
      </c>
      <c r="S42" s="12" t="s">
        <v>1178</v>
      </c>
      <c r="T42" s="12" t="s">
        <v>2499</v>
      </c>
      <c r="U42" s="21">
        <v>46023</v>
      </c>
      <c r="W42" s="12" t="s">
        <v>4324</v>
      </c>
      <c r="X42" s="21">
        <v>46023</v>
      </c>
      <c r="Z42" s="12">
        <v>0</v>
      </c>
      <c r="AA42" s="14">
        <v>13221</v>
      </c>
      <c r="AB42" s="12" t="s">
        <v>4895</v>
      </c>
    </row>
    <row r="43" spans="1:28" x14ac:dyDescent="0.3">
      <c r="A43" s="12" t="str">
        <f t="shared" si="2"/>
        <v>MLB10005291106056TEASTCH46023</v>
      </c>
      <c r="B43" s="12" t="str">
        <f>CONTADJ[[#This Row],[StaffMemberCode]]&amp;CONTADJ[[#This Row],[AdjustmentTypeCode]]&amp;CONTADJ[[#This Row],[ContractReference]]&amp;CONTADJ[[#This Row],[SchoolCode]]</f>
        <v>10005291TLR_OTH106056MLB</v>
      </c>
      <c r="C43" s="57">
        <f>IF(COUNTIF(ContractsTeachFTE!A:A,ContractAdjustments!A55)&gt;0,0,IF(COUNTIF(ContractsSupportHours!A:A,ContractAdjustments!A55)&gt;0,0,1))</f>
        <v>0</v>
      </c>
      <c r="D43" s="57" cm="1">
        <f t="array" ref="D43">IF(_xlfn.XLOOKUP(CONTADJ[[#This Row],[DepartmentCode]],DEPTS[DepartmentCode],DEPTS[AvailableToAllSchools],1,0,)=TRUE,0,IF(ISERROR(FIND(CONTADJ[[#This Row],[SchoolCode]],_xlfn.TEXTJOIN(",",TRUE,_xlfn.UNIQUE(IF(DEPTS[DepartmentCode]=CONTADJ[[#This Row],[DepartmentCode]],DEPTS[SchoolCodes],""))))),1,0))</f>
        <v>0</v>
      </c>
      <c r="E43" s="57">
        <f>IF(COUNTIF(ADJTYPE[AdjustmentTypeCode],CONTADJ[[#This Row],[AdjustmentTypeCode]])&gt;0,0,1)</f>
        <v>0</v>
      </c>
      <c r="F43" s="57">
        <f>COUNTIF(CONTADJ[Person+Adj Type Point+Contract Ref+SchoolCode],CONTADJ[[#This Row],[Person+Adj Type Point+Contract Ref+SchoolCode]]-1)</f>
        <v>0</v>
      </c>
      <c r="G43" s="57">
        <f t="shared" si="3"/>
        <v>0</v>
      </c>
      <c r="H43" s="57">
        <f>IF(ISBLANK(CONTADJ[[#This Row],[ContractDateTo]]),0,IF(CONTADJ[[#This Row],[ContractDateFrom]]=CONTADJ[[#This Row],[ContractDateTo]],0,IF(CONTADJ[[#This Row],[ContractDateFrom]]&lt;CONTADJ[[#This Row],[ContractDateTo]],0,1)))</f>
        <v>0</v>
      </c>
      <c r="I43" s="57">
        <f>IF(ISBLANK(CONTADJ[[#This Row],[AdjustmentDateTo]]),0,IF(CONTADJ[[#This Row],[AdjustmentDateFrom]]=CONTADJ[[#This Row],[AdjustmentDateTo]],0,IF(CONTADJ[[#This Row],[AdjustmentDateFrom]]&lt;CONTADJ[[#This Row],[AdjustmentDateTo]],0,1)))</f>
        <v>0</v>
      </c>
      <c r="J43" s="57" cm="1">
        <f t="array" aca="1" ref="J43" ca="1">IF(CELL("format",CONTADJ[[#This Row],[ContractDateFrom]])="D1",0,1)+IF(CELL("format",CONTADJ[[#This Row],[ContractDateTo]])="D1",0,1)+IF(CELL("format",CONTADJ[[#This Row],[AdjustmentDateFrom]])="D1",0,1)+IF(CELL("format",CONTADJ[[#This Row],[AdjustmentDateTo]])="D1",0,1)</f>
        <v>0</v>
      </c>
      <c r="K43" s="57">
        <f>IF(LEN(CONTADJ[[#This Row],[Notes]])&lt;4000,0,1)</f>
        <v>0</v>
      </c>
      <c r="L43" s="57">
        <f>COUNTBLANK(CONTADJ[[#This Row],[AnnualValuePreAnnualFte]:[AnnualValuePostAnnualFte]])</f>
        <v>0</v>
      </c>
      <c r="M43" s="57">
        <f ca="1">SUM(CONTADJ[[#This Row],[Contract Issue]:[Blank in column]])</f>
        <v>0</v>
      </c>
      <c r="O43" s="12" t="s">
        <v>2126</v>
      </c>
      <c r="P43" s="12">
        <v>10005291</v>
      </c>
      <c r="Q43" s="12">
        <v>106056</v>
      </c>
      <c r="R43" s="57" t="str">
        <f>_xlfn.XLOOKUP(CONTADJ[[#This Row],[StaffMemberCode]],StaffMembers!O:O,StaffMembers!R:R)</f>
        <v>Louise Ratcliffe</v>
      </c>
      <c r="S43" s="12" t="s">
        <v>1178</v>
      </c>
      <c r="T43" s="12" t="s">
        <v>2499</v>
      </c>
      <c r="U43" s="21">
        <v>46023</v>
      </c>
      <c r="W43" s="12" t="s">
        <v>4324</v>
      </c>
      <c r="X43" s="21">
        <v>46023</v>
      </c>
      <c r="Z43" s="12">
        <v>0</v>
      </c>
      <c r="AA43" s="14">
        <v>13221</v>
      </c>
      <c r="AB43" s="12" t="s">
        <v>4895</v>
      </c>
    </row>
    <row r="44" spans="1:28" x14ac:dyDescent="0.3">
      <c r="A44" s="12" t="str">
        <f t="shared" si="2"/>
        <v>MLB10007477111065CLESPREM46023</v>
      </c>
      <c r="B44" s="12" t="str">
        <f>CONTADJ[[#This Row],[StaffMemberCode]]&amp;CONTADJ[[#This Row],[AdjustmentTypeCode]]&amp;CONTADJ[[#This Row],[ContractReference]]&amp;CONTADJ[[#This Row],[SchoolCode]]</f>
        <v>10007477FA111065MLB</v>
      </c>
      <c r="C44" s="57">
        <f>IF(COUNTIF(ContractsTeachFTE!A:A,ContractAdjustments!A38)&gt;0,0,IF(COUNTIF(ContractsSupportHours!A:A,ContractAdjustments!A38)&gt;0,0,1))</f>
        <v>0</v>
      </c>
      <c r="D44" s="57" cm="1">
        <f t="array" ref="D44">IF(_xlfn.XLOOKUP(CONTADJ[[#This Row],[DepartmentCode]],DEPTS[DepartmentCode],DEPTS[AvailableToAllSchools],1,0,)=TRUE,0,IF(ISERROR(FIND(CONTADJ[[#This Row],[SchoolCode]],_xlfn.TEXTJOIN(",",TRUE,_xlfn.UNIQUE(IF(DEPTS[DepartmentCode]=CONTADJ[[#This Row],[DepartmentCode]],DEPTS[SchoolCodes],""))))),1,0))</f>
        <v>0</v>
      </c>
      <c r="E44" s="57">
        <f>IF(COUNTIF(ADJTYPE[AdjustmentTypeCode],CONTADJ[[#This Row],[AdjustmentTypeCode]])&gt;0,0,1)</f>
        <v>0</v>
      </c>
      <c r="F44" s="57">
        <f>COUNTIF(CONTADJ[Person+Adj Type Point+Contract Ref+SchoolCode],CONTADJ[[#This Row],[Person+Adj Type Point+Contract Ref+SchoolCode]]-1)</f>
        <v>0</v>
      </c>
      <c r="G44" s="57">
        <f t="shared" si="3"/>
        <v>0</v>
      </c>
      <c r="H44" s="57">
        <f>IF(ISBLANK(CONTADJ[[#This Row],[ContractDateTo]]),0,IF(CONTADJ[[#This Row],[ContractDateFrom]]=CONTADJ[[#This Row],[ContractDateTo]],0,IF(CONTADJ[[#This Row],[ContractDateFrom]]&lt;CONTADJ[[#This Row],[ContractDateTo]],0,1)))</f>
        <v>0</v>
      </c>
      <c r="I44" s="57">
        <f>IF(ISBLANK(CONTADJ[[#This Row],[AdjustmentDateTo]]),0,IF(CONTADJ[[#This Row],[AdjustmentDateFrom]]=CONTADJ[[#This Row],[AdjustmentDateTo]],0,IF(CONTADJ[[#This Row],[AdjustmentDateFrom]]&lt;CONTADJ[[#This Row],[AdjustmentDateTo]],0,1)))</f>
        <v>0</v>
      </c>
      <c r="J44" s="57" cm="1">
        <f t="array" aca="1" ref="J44" ca="1">IF(CELL("format",CONTADJ[[#This Row],[ContractDateFrom]])="D1",0,1)+IF(CELL("format",CONTADJ[[#This Row],[ContractDateTo]])="D1",0,1)+IF(CELL("format",CONTADJ[[#This Row],[AdjustmentDateFrom]])="D1",0,1)+IF(CELL("format",CONTADJ[[#This Row],[AdjustmentDateTo]])="D1",0,1)</f>
        <v>0</v>
      </c>
      <c r="K44" s="57">
        <f>IF(LEN(CONTADJ[[#This Row],[Notes]])&lt;4000,0,1)</f>
        <v>0</v>
      </c>
      <c r="L44" s="57">
        <f>COUNTBLANK(CONTADJ[[#This Row],[AnnualValuePreAnnualFte]:[AnnualValuePostAnnualFte]])</f>
        <v>0</v>
      </c>
      <c r="M44" s="57">
        <f ca="1">SUM(CONTADJ[[#This Row],[Contract Issue]:[Blank in column]])</f>
        <v>0</v>
      </c>
      <c r="O44" s="12" t="s">
        <v>2126</v>
      </c>
      <c r="P44" s="12">
        <v>10007477</v>
      </c>
      <c r="Q44" s="12">
        <v>111065</v>
      </c>
      <c r="R44" s="57" t="str">
        <f>_xlfn.XLOOKUP(CONTADJ[[#This Row],[StaffMemberCode]],StaffMembers!O:O,StaffMembers!R:R)</f>
        <v>Mariana Ambrus</v>
      </c>
      <c r="S44" s="12" t="s">
        <v>1190</v>
      </c>
      <c r="T44" s="12" t="s">
        <v>2495</v>
      </c>
      <c r="U44" s="21">
        <v>46023</v>
      </c>
      <c r="W44" s="12" t="s">
        <v>3148</v>
      </c>
      <c r="X44" s="21">
        <v>46023</v>
      </c>
      <c r="Z44" s="12">
        <v>0</v>
      </c>
      <c r="AA44" s="14">
        <v>120</v>
      </c>
    </row>
    <row r="45" spans="1:28" x14ac:dyDescent="0.3">
      <c r="A45" s="12" t="str">
        <f t="shared" si="2"/>
        <v>MLB10007477108693MDASESS46023</v>
      </c>
      <c r="B45" s="12" t="str">
        <f>CONTADJ[[#This Row],[StaffMemberCode]]&amp;CONTADJ[[#This Row],[AdjustmentTypeCode]]&amp;CONTADJ[[#This Row],[ContractReference]]&amp;CONTADJ[[#This Row],[SchoolCode]]</f>
        <v>10007477FA108693MLB</v>
      </c>
      <c r="C45" s="57">
        <f>IF(COUNTIF(ContractsTeachFTE!A:A,ContractAdjustments!A43)&gt;0,0,IF(COUNTIF(ContractsSupportHours!A:A,ContractAdjustments!A43)&gt;0,0,1))</f>
        <v>0</v>
      </c>
      <c r="D45" s="57" cm="1">
        <f t="array" ref="D45">IF(_xlfn.XLOOKUP(CONTADJ[[#This Row],[DepartmentCode]],DEPTS[DepartmentCode],DEPTS[AvailableToAllSchools],1,0,)=TRUE,0,IF(ISERROR(FIND(CONTADJ[[#This Row],[SchoolCode]],_xlfn.TEXTJOIN(",",TRUE,_xlfn.UNIQUE(IF(DEPTS[DepartmentCode]=CONTADJ[[#This Row],[DepartmentCode]],DEPTS[SchoolCodes],""))))),1,0))</f>
        <v>0</v>
      </c>
      <c r="E45" s="57">
        <f>IF(COUNTIF(ADJTYPE[AdjustmentTypeCode],CONTADJ[[#This Row],[AdjustmentTypeCode]])&gt;0,0,1)</f>
        <v>0</v>
      </c>
      <c r="F45" s="57">
        <f>COUNTIF(CONTADJ[Person+Adj Type Point+Contract Ref+SchoolCode],CONTADJ[[#This Row],[Person+Adj Type Point+Contract Ref+SchoolCode]]-1)</f>
        <v>0</v>
      </c>
      <c r="G45" s="57">
        <f t="shared" si="3"/>
        <v>0</v>
      </c>
      <c r="H45" s="57">
        <f>IF(ISBLANK(CONTADJ[[#This Row],[ContractDateTo]]),0,IF(CONTADJ[[#This Row],[ContractDateFrom]]=CONTADJ[[#This Row],[ContractDateTo]],0,IF(CONTADJ[[#This Row],[ContractDateFrom]]&lt;CONTADJ[[#This Row],[ContractDateTo]],0,1)))</f>
        <v>0</v>
      </c>
      <c r="I45" s="57">
        <f>IF(ISBLANK(CONTADJ[[#This Row],[AdjustmentDateTo]]),0,IF(CONTADJ[[#This Row],[AdjustmentDateFrom]]=CONTADJ[[#This Row],[AdjustmentDateTo]],0,IF(CONTADJ[[#This Row],[AdjustmentDateFrom]]&lt;CONTADJ[[#This Row],[AdjustmentDateTo]],0,1)))</f>
        <v>0</v>
      </c>
      <c r="J45" s="57" cm="1">
        <f t="array" aca="1" ref="J45" ca="1">IF(CELL("format",CONTADJ[[#This Row],[ContractDateFrom]])="D1",0,1)+IF(CELL("format",CONTADJ[[#This Row],[ContractDateTo]])="D1",0,1)+IF(CELL("format",CONTADJ[[#This Row],[AdjustmentDateFrom]])="D1",0,1)+IF(CELL("format",CONTADJ[[#This Row],[AdjustmentDateTo]])="D1",0,1)</f>
        <v>0</v>
      </c>
      <c r="K45" s="57">
        <f>IF(LEN(CONTADJ[[#This Row],[Notes]])&lt;4000,0,1)</f>
        <v>0</v>
      </c>
      <c r="L45" s="57">
        <f>COUNTBLANK(CONTADJ[[#This Row],[AnnualValuePreAnnualFte]:[AnnualValuePostAnnualFte]])</f>
        <v>0</v>
      </c>
      <c r="M45" s="57">
        <f ca="1">SUM(CONTADJ[[#This Row],[Contract Issue]:[Blank in column]])</f>
        <v>0</v>
      </c>
      <c r="O45" s="12" t="s">
        <v>2126</v>
      </c>
      <c r="P45" s="12">
        <v>10007477</v>
      </c>
      <c r="Q45" s="12">
        <v>108693</v>
      </c>
      <c r="R45" s="57" t="str">
        <f>_xlfn.XLOOKUP(CONTADJ[[#This Row],[StaffMemberCode]],StaffMembers!O:O,StaffMembers!R:R)</f>
        <v>Mariana Ambrus</v>
      </c>
      <c r="S45" s="12" t="s">
        <v>4307</v>
      </c>
      <c r="T45" s="12" t="s">
        <v>2482</v>
      </c>
      <c r="U45" s="21">
        <v>46023</v>
      </c>
      <c r="W45" s="12" t="s">
        <v>3148</v>
      </c>
      <c r="X45" s="21">
        <v>46023</v>
      </c>
      <c r="Z45" s="12">
        <v>0</v>
      </c>
      <c r="AA45" s="14">
        <v>120</v>
      </c>
    </row>
    <row r="46" spans="1:28" x14ac:dyDescent="0.3">
      <c r="A46" s="12" t="str">
        <f t="shared" si="2"/>
        <v>BLS9107357291073572ATEASTCH45901</v>
      </c>
      <c r="B46" s="12" t="str">
        <f>CONTADJ[[#This Row],[StaffMemberCode]]&amp;CONTADJ[[#This Row],[AdjustmentTypeCode]]&amp;CONTADJ[[#This Row],[ContractReference]]&amp;CONTADJ[[#This Row],[SchoolCode]]</f>
        <v>91073572RES91073572ABLS</v>
      </c>
      <c r="C46" s="57">
        <f>IF(COUNTIF(ContractsTeachFTE!A:A,ContractAdjustments!A34)&gt;0,0,IF(COUNTIF(ContractsSupportHours!A:A,ContractAdjustments!A34)&gt;0,0,1))</f>
        <v>0</v>
      </c>
      <c r="D46" s="57" cm="1">
        <f t="array" ref="D46">IF(_xlfn.XLOOKUP(CONTADJ[[#This Row],[DepartmentCode]],DEPTS[DepartmentCode],DEPTS[AvailableToAllSchools],1,0,)=TRUE,0,IF(ISERROR(FIND(CONTADJ[[#This Row],[SchoolCode]],_xlfn.TEXTJOIN(",",TRUE,_xlfn.UNIQUE(IF(DEPTS[DepartmentCode]=CONTADJ[[#This Row],[DepartmentCode]],DEPTS[SchoolCodes],""))))),1,0))</f>
        <v>0</v>
      </c>
      <c r="E46" s="57">
        <f>IF(COUNTIF(ADJTYPE[AdjustmentTypeCode],CONTADJ[[#This Row],[AdjustmentTypeCode]])&gt;0,0,1)</f>
        <v>0</v>
      </c>
      <c r="F46" s="57">
        <f>COUNTIF(CONTADJ[Person+Adj Type Point+Contract Ref+SchoolCode],CONTADJ[[#This Row],[Person+Adj Type Point+Contract Ref+SchoolCode]]-1)</f>
        <v>0</v>
      </c>
      <c r="G46" s="57">
        <f t="shared" si="3"/>
        <v>0</v>
      </c>
      <c r="H46" s="57">
        <f>IF(ISBLANK(CONTADJ[[#This Row],[ContractDateTo]]),0,IF(CONTADJ[[#This Row],[ContractDateFrom]]=CONTADJ[[#This Row],[ContractDateTo]],0,IF(CONTADJ[[#This Row],[ContractDateFrom]]&lt;CONTADJ[[#This Row],[ContractDateTo]],0,1)))</f>
        <v>0</v>
      </c>
      <c r="I46" s="57">
        <f>IF(ISBLANK(CONTADJ[[#This Row],[AdjustmentDateTo]]),0,IF(CONTADJ[[#This Row],[AdjustmentDateFrom]]=CONTADJ[[#This Row],[AdjustmentDateTo]],0,IF(CONTADJ[[#This Row],[AdjustmentDateFrom]]&lt;CONTADJ[[#This Row],[AdjustmentDateTo]],0,1)))</f>
        <v>0</v>
      </c>
      <c r="J46" s="57" cm="1">
        <f t="array" aca="1" ref="J46" ca="1">IF(CELL("format",CONTADJ[[#This Row],[ContractDateFrom]])="D1",0,1)+IF(CELL("format",CONTADJ[[#This Row],[ContractDateTo]])="D1",0,1)+IF(CELL("format",CONTADJ[[#This Row],[AdjustmentDateFrom]])="D1",0,1)+IF(CELL("format",CONTADJ[[#This Row],[AdjustmentDateTo]])="D1",0,1)</f>
        <v>0</v>
      </c>
      <c r="K46" s="57">
        <f>IF(LEN(CONTADJ[[#This Row],[Notes]])&lt;4000,0,1)</f>
        <v>0</v>
      </c>
      <c r="L46" s="57">
        <f>COUNTBLANK(CONTADJ[[#This Row],[AnnualValuePreAnnualFte]:[AnnualValuePostAnnualFte]])</f>
        <v>0</v>
      </c>
      <c r="M46" s="57">
        <f ca="1">SUM(CONTADJ[[#This Row],[Contract Issue]:[Blank in column]])</f>
        <v>0</v>
      </c>
      <c r="O46" s="12" t="s">
        <v>2094</v>
      </c>
      <c r="P46" s="12">
        <v>91073572</v>
      </c>
      <c r="Q46" s="12" t="s">
        <v>4403</v>
      </c>
      <c r="R46" s="57" t="str">
        <f>_xlfn.XLOOKUP(CONTADJ[[#This Row],[StaffMemberCode]],StaffMembers!O:O,StaffMembers!R:R)</f>
        <v>Matthew Hayhurst</v>
      </c>
      <c r="S46" s="12" t="s">
        <v>1178</v>
      </c>
      <c r="T46" s="12" t="s">
        <v>2499</v>
      </c>
      <c r="U46" s="21">
        <v>45901</v>
      </c>
      <c r="W46" s="12" t="s">
        <v>3149</v>
      </c>
      <c r="X46" s="21">
        <v>45901</v>
      </c>
      <c r="Z46" s="12">
        <v>0</v>
      </c>
      <c r="AA46" s="14">
        <v>3527</v>
      </c>
    </row>
    <row r="47" spans="1:28" x14ac:dyDescent="0.3">
      <c r="A47" s="12" t="str">
        <f t="shared" si="2"/>
        <v>MLB10005337106109TEASTCH46023</v>
      </c>
      <c r="B47" s="12" t="str">
        <f>CONTADJ[[#This Row],[StaffMemberCode]]&amp;CONTADJ[[#This Row],[AdjustmentTypeCode]]&amp;CONTADJ[[#This Row],[ContractReference]]&amp;CONTADJ[[#This Row],[SchoolCode]]</f>
        <v>10005337OTH106109MLB</v>
      </c>
      <c r="C47" s="57">
        <f>IF(COUNTIF(ContractsTeachFTE!A:A,ContractAdjustments!A71)&gt;0,0,IF(COUNTIF(ContractsSupportHours!A:A,ContractAdjustments!A71)&gt;0,0,1))</f>
        <v>0</v>
      </c>
      <c r="D47" s="57" cm="1">
        <f t="array" ref="D47">IF(_xlfn.XLOOKUP(CONTADJ[[#This Row],[DepartmentCode]],DEPTS[DepartmentCode],DEPTS[AvailableToAllSchools],1,0,)=TRUE,0,IF(ISERROR(FIND(CONTADJ[[#This Row],[SchoolCode]],_xlfn.TEXTJOIN(",",TRUE,_xlfn.UNIQUE(IF(DEPTS[DepartmentCode]=CONTADJ[[#This Row],[DepartmentCode]],DEPTS[SchoolCodes],""))))),1,0))</f>
        <v>0</v>
      </c>
      <c r="E47" s="57">
        <f>IF(COUNTIF(ADJTYPE[AdjustmentTypeCode],CONTADJ[[#This Row],[AdjustmentTypeCode]])&gt;0,0,1)</f>
        <v>0</v>
      </c>
      <c r="F47" s="57">
        <f>COUNTIF(CONTADJ[Person+Adj Type Point+Contract Ref+SchoolCode],CONTADJ[[#This Row],[Person+Adj Type Point+Contract Ref+SchoolCode]]-1)</f>
        <v>0</v>
      </c>
      <c r="G47" s="57">
        <f t="shared" si="3"/>
        <v>0</v>
      </c>
      <c r="H47" s="57">
        <f>IF(ISBLANK(CONTADJ[[#This Row],[ContractDateTo]]),0,IF(CONTADJ[[#This Row],[ContractDateFrom]]=CONTADJ[[#This Row],[ContractDateTo]],0,IF(CONTADJ[[#This Row],[ContractDateFrom]]&lt;CONTADJ[[#This Row],[ContractDateTo]],0,1)))</f>
        <v>0</v>
      </c>
      <c r="I47" s="57">
        <f>IF(ISBLANK(CONTADJ[[#This Row],[AdjustmentDateTo]]),0,IF(CONTADJ[[#This Row],[AdjustmentDateFrom]]=CONTADJ[[#This Row],[AdjustmentDateTo]],0,IF(CONTADJ[[#This Row],[AdjustmentDateFrom]]&lt;CONTADJ[[#This Row],[AdjustmentDateTo]],0,1)))</f>
        <v>0</v>
      </c>
      <c r="J47" s="57" cm="1">
        <f t="array" aca="1" ref="J47" ca="1">IF(CELL("format",CONTADJ[[#This Row],[ContractDateFrom]])="D1",0,1)+IF(CELL("format",CONTADJ[[#This Row],[ContractDateTo]])="D1",0,1)+IF(CELL("format",CONTADJ[[#This Row],[AdjustmentDateFrom]])="D1",0,1)+IF(CELL("format",CONTADJ[[#This Row],[AdjustmentDateTo]])="D1",0,1)</f>
        <v>0</v>
      </c>
      <c r="K47" s="57">
        <f>IF(LEN(CONTADJ[[#This Row],[Notes]])&lt;4000,0,1)</f>
        <v>0</v>
      </c>
      <c r="L47" s="57">
        <f>COUNTBLANK(CONTADJ[[#This Row],[AnnualValuePreAnnualFte]:[AnnualValuePostAnnualFte]])</f>
        <v>0</v>
      </c>
      <c r="M47" s="57">
        <f ca="1">SUM(CONTADJ[[#This Row],[Contract Issue]:[Blank in column]])</f>
        <v>0</v>
      </c>
      <c r="O47" s="12" t="s">
        <v>2126</v>
      </c>
      <c r="P47" s="12">
        <v>10005337</v>
      </c>
      <c r="Q47" s="12">
        <v>106109</v>
      </c>
      <c r="R47" s="57" t="str">
        <f>_xlfn.XLOOKUP(CONTADJ[[#This Row],[StaffMemberCode]],StaffMembers!O:O,StaffMembers!R:R)</f>
        <v>Matthew Snape</v>
      </c>
      <c r="S47" s="12" t="s">
        <v>1178</v>
      </c>
      <c r="T47" s="12" t="s">
        <v>2499</v>
      </c>
      <c r="U47" s="21">
        <v>46023</v>
      </c>
      <c r="W47" s="12" t="s">
        <v>1194</v>
      </c>
      <c r="X47" s="21">
        <v>46023</v>
      </c>
      <c r="Y47" s="21">
        <v>46387</v>
      </c>
      <c r="Z47" s="12">
        <v>0</v>
      </c>
      <c r="AA47" s="14">
        <v>2013</v>
      </c>
    </row>
    <row r="48" spans="1:28" x14ac:dyDescent="0.3">
      <c r="A48" s="12" t="str">
        <f t="shared" si="2"/>
        <v>BLS9107347291073472ATEASTCH45901</v>
      </c>
      <c r="B48" s="12" t="str">
        <f>CONTADJ[[#This Row],[StaffMemberCode]]&amp;CONTADJ[[#This Row],[AdjustmentTypeCode]]&amp;CONTADJ[[#This Row],[ContractReference]]&amp;CONTADJ[[#This Row],[SchoolCode]]</f>
        <v>91073472JOB91073472ABLS</v>
      </c>
      <c r="C48" s="57">
        <f>IF(COUNTIF(ContractsTeachFTE!A:A,ContractAdjustments!A18)&gt;0,0,IF(COUNTIF(ContractsSupportHours!A:A,ContractAdjustments!A18)&gt;0,0,1))</f>
        <v>0</v>
      </c>
      <c r="D48" s="57" cm="1">
        <f t="array" ref="D48">IF(_xlfn.XLOOKUP(CONTADJ[[#This Row],[DepartmentCode]],DEPTS[DepartmentCode],DEPTS[AvailableToAllSchools],1,0,)=TRUE,0,IF(ISERROR(FIND(CONTADJ[[#This Row],[SchoolCode]],_xlfn.TEXTJOIN(",",TRUE,_xlfn.UNIQUE(IF(DEPTS[DepartmentCode]=CONTADJ[[#This Row],[DepartmentCode]],DEPTS[SchoolCodes],""))))),1,0))</f>
        <v>0</v>
      </c>
      <c r="E48" s="57">
        <f>IF(COUNTIF(ADJTYPE[AdjustmentTypeCode],CONTADJ[[#This Row],[AdjustmentTypeCode]])&gt;0,0,1)</f>
        <v>0</v>
      </c>
      <c r="F48" s="57">
        <f>COUNTIF(CONTADJ[Person+Adj Type Point+Contract Ref+SchoolCode],CONTADJ[[#This Row],[Person+Adj Type Point+Contract Ref+SchoolCode]]-1)</f>
        <v>0</v>
      </c>
      <c r="G48" s="57">
        <f t="shared" si="3"/>
        <v>0</v>
      </c>
      <c r="H48" s="57">
        <f>IF(ISBLANK(CONTADJ[[#This Row],[ContractDateTo]]),0,IF(CONTADJ[[#This Row],[ContractDateFrom]]=CONTADJ[[#This Row],[ContractDateTo]],0,IF(CONTADJ[[#This Row],[ContractDateFrom]]&lt;CONTADJ[[#This Row],[ContractDateTo]],0,1)))</f>
        <v>0</v>
      </c>
      <c r="I48" s="57">
        <f>IF(ISBLANK(CONTADJ[[#This Row],[AdjustmentDateTo]]),0,IF(CONTADJ[[#This Row],[AdjustmentDateFrom]]=CONTADJ[[#This Row],[AdjustmentDateTo]],0,IF(CONTADJ[[#This Row],[AdjustmentDateFrom]]&lt;CONTADJ[[#This Row],[AdjustmentDateTo]],0,1)))</f>
        <v>0</v>
      </c>
      <c r="J48" s="57" cm="1">
        <f t="array" aca="1" ref="J48" ca="1">IF(CELL("format",CONTADJ[[#This Row],[ContractDateFrom]])="D1",0,1)+IF(CELL("format",CONTADJ[[#This Row],[ContractDateTo]])="D1",0,1)+IF(CELL("format",CONTADJ[[#This Row],[AdjustmentDateFrom]])="D1",0,1)+IF(CELL("format",CONTADJ[[#This Row],[AdjustmentDateTo]])="D1",0,1)</f>
        <v>0</v>
      </c>
      <c r="K48" s="57">
        <f>IF(LEN(CONTADJ[[#This Row],[Notes]])&lt;4000,0,1)</f>
        <v>0</v>
      </c>
      <c r="L48" s="57">
        <f>COUNTBLANK(CONTADJ[[#This Row],[AnnualValuePreAnnualFte]:[AnnualValuePostAnnualFte]])</f>
        <v>0</v>
      </c>
      <c r="M48" s="57">
        <f ca="1">SUM(CONTADJ[[#This Row],[Contract Issue]:[Blank in column]])</f>
        <v>0</v>
      </c>
      <c r="O48" s="12" t="s">
        <v>2094</v>
      </c>
      <c r="P48" s="12">
        <v>91073472</v>
      </c>
      <c r="Q48" s="12" t="s">
        <v>4375</v>
      </c>
      <c r="R48" s="57" t="str">
        <f>_xlfn.XLOOKUP(CONTADJ[[#This Row],[StaffMemberCode]],StaffMembers!O:O,StaffMembers!R:R)</f>
        <v>Melissa Allen-Gurr</v>
      </c>
      <c r="S48" s="12" t="s">
        <v>1178</v>
      </c>
      <c r="T48" s="12" t="s">
        <v>2499</v>
      </c>
      <c r="U48" s="21">
        <v>45901</v>
      </c>
      <c r="W48" s="12" t="s">
        <v>3157</v>
      </c>
      <c r="X48" s="21">
        <v>45901</v>
      </c>
      <c r="Z48" s="12">
        <v>0</v>
      </c>
      <c r="AA48" s="14">
        <v>3527</v>
      </c>
    </row>
    <row r="49" spans="1:28" x14ac:dyDescent="0.3">
      <c r="A49" s="12" t="str">
        <f t="shared" si="2"/>
        <v>BLS9107347291073472ATEASTCH45901</v>
      </c>
      <c r="B49" s="12" t="str">
        <f>CONTADJ[[#This Row],[StaffMemberCode]]&amp;CONTADJ[[#This Row],[AdjustmentTypeCode]]&amp;CONTADJ[[#This Row],[ContractReference]]&amp;CONTADJ[[#This Row],[SchoolCode]]</f>
        <v>91073472RES91073472ABLS</v>
      </c>
      <c r="C49" s="57">
        <f>IF(COUNTIF(ContractsTeachFTE!A:A,ContractAdjustments!A37)&gt;0,0,IF(COUNTIF(ContractsSupportHours!A:A,ContractAdjustments!A37)&gt;0,0,1))</f>
        <v>0</v>
      </c>
      <c r="D49" s="57" cm="1">
        <f t="array" ref="D49">IF(_xlfn.XLOOKUP(CONTADJ[[#This Row],[DepartmentCode]],DEPTS[DepartmentCode],DEPTS[AvailableToAllSchools],1,0,)=TRUE,0,IF(ISERROR(FIND(CONTADJ[[#This Row],[SchoolCode]],_xlfn.TEXTJOIN(",",TRUE,_xlfn.UNIQUE(IF(DEPTS[DepartmentCode]=CONTADJ[[#This Row],[DepartmentCode]],DEPTS[SchoolCodes],""))))),1,0))</f>
        <v>0</v>
      </c>
      <c r="E49" s="57">
        <f>IF(COUNTIF(ADJTYPE[AdjustmentTypeCode],CONTADJ[[#This Row],[AdjustmentTypeCode]])&gt;0,0,1)</f>
        <v>0</v>
      </c>
      <c r="F49" s="57">
        <f>COUNTIF(CONTADJ[Person+Adj Type Point+Contract Ref+SchoolCode],CONTADJ[[#This Row],[Person+Adj Type Point+Contract Ref+SchoolCode]]-1)</f>
        <v>0</v>
      </c>
      <c r="G49" s="57">
        <f t="shared" si="3"/>
        <v>0</v>
      </c>
      <c r="H49" s="57">
        <f>IF(ISBLANK(CONTADJ[[#This Row],[ContractDateTo]]),0,IF(CONTADJ[[#This Row],[ContractDateFrom]]=CONTADJ[[#This Row],[ContractDateTo]],0,IF(CONTADJ[[#This Row],[ContractDateFrom]]&lt;CONTADJ[[#This Row],[ContractDateTo]],0,1)))</f>
        <v>0</v>
      </c>
      <c r="I49" s="57">
        <f>IF(ISBLANK(CONTADJ[[#This Row],[AdjustmentDateTo]]),0,IF(CONTADJ[[#This Row],[AdjustmentDateFrom]]=CONTADJ[[#This Row],[AdjustmentDateTo]],0,IF(CONTADJ[[#This Row],[AdjustmentDateFrom]]&lt;CONTADJ[[#This Row],[AdjustmentDateTo]],0,1)))</f>
        <v>0</v>
      </c>
      <c r="J49" s="57" cm="1">
        <f t="array" aca="1" ref="J49" ca="1">IF(CELL("format",CONTADJ[[#This Row],[ContractDateFrom]])="D1",0,1)+IF(CELL("format",CONTADJ[[#This Row],[ContractDateTo]])="D1",0,1)+IF(CELL("format",CONTADJ[[#This Row],[AdjustmentDateFrom]])="D1",0,1)+IF(CELL("format",CONTADJ[[#This Row],[AdjustmentDateTo]])="D1",0,1)</f>
        <v>0</v>
      </c>
      <c r="K49" s="57">
        <f>IF(LEN(CONTADJ[[#This Row],[Notes]])&lt;4000,0,1)</f>
        <v>0</v>
      </c>
      <c r="L49" s="57">
        <f>COUNTBLANK(CONTADJ[[#This Row],[AnnualValuePreAnnualFte]:[AnnualValuePostAnnualFte]])</f>
        <v>0</v>
      </c>
      <c r="M49" s="57">
        <f ca="1">SUM(CONTADJ[[#This Row],[Contract Issue]:[Blank in column]])</f>
        <v>0</v>
      </c>
      <c r="O49" s="12" t="s">
        <v>2094</v>
      </c>
      <c r="P49" s="12">
        <v>91073472</v>
      </c>
      <c r="Q49" s="12" t="s">
        <v>4375</v>
      </c>
      <c r="R49" s="57" t="str">
        <f>_xlfn.XLOOKUP(CONTADJ[[#This Row],[StaffMemberCode]],StaffMembers!O:O,StaffMembers!R:R)</f>
        <v>Melissa Allen-Gurr</v>
      </c>
      <c r="S49" s="12" t="s">
        <v>1178</v>
      </c>
      <c r="T49" s="12" t="s">
        <v>2499</v>
      </c>
      <c r="U49" s="21">
        <v>45901</v>
      </c>
      <c r="W49" s="12" t="s">
        <v>3149</v>
      </c>
      <c r="X49" s="21">
        <v>45901</v>
      </c>
      <c r="Z49" s="12">
        <v>0</v>
      </c>
      <c r="AA49" s="14">
        <v>2280</v>
      </c>
    </row>
    <row r="50" spans="1:28" x14ac:dyDescent="0.3">
      <c r="A50" s="12" t="str">
        <f t="shared" si="2"/>
        <v>BLS9107345691073456AADM_TLSFIN45901</v>
      </c>
      <c r="B50" s="12" t="str">
        <f>CONTADJ[[#This Row],[StaffMemberCode]]&amp;CONTADJ[[#This Row],[AdjustmentTypeCode]]&amp;CONTADJ[[#This Row],[ContractReference]]&amp;CONTADJ[[#This Row],[SchoolCode]]</f>
        <v>91073456OTH91073456ABLS</v>
      </c>
      <c r="C50" s="57">
        <f>IF(COUNTIF(ContractsTeachFTE!A:A,ContractAdjustments!A8)&gt;0,0,IF(COUNTIF(ContractsSupportHours!A:A,ContractAdjustments!A8)&gt;0,0,1))</f>
        <v>0</v>
      </c>
      <c r="D50" s="57" cm="1">
        <f t="array" ref="D50">IF(_xlfn.XLOOKUP(CONTADJ[[#This Row],[DepartmentCode]],DEPTS[DepartmentCode],DEPTS[AvailableToAllSchools],1,0,)=TRUE,0,IF(ISERROR(FIND(CONTADJ[[#This Row],[SchoolCode]],_xlfn.TEXTJOIN(",",TRUE,_xlfn.UNIQUE(IF(DEPTS[DepartmentCode]=CONTADJ[[#This Row],[DepartmentCode]],DEPTS[SchoolCodes],""))))),1,0))</f>
        <v>0</v>
      </c>
      <c r="E50" s="57">
        <f>IF(COUNTIF(ADJTYPE[AdjustmentTypeCode],CONTADJ[[#This Row],[AdjustmentTypeCode]])&gt;0,0,1)</f>
        <v>0</v>
      </c>
      <c r="F50" s="57">
        <f>COUNTIF(CONTADJ[Person+Adj Type Point+Contract Ref+SchoolCode],CONTADJ[[#This Row],[Person+Adj Type Point+Contract Ref+SchoolCode]]-1)</f>
        <v>0</v>
      </c>
      <c r="G50" s="57">
        <f t="shared" si="3"/>
        <v>0</v>
      </c>
      <c r="H50" s="57">
        <f>IF(ISBLANK(CONTADJ[[#This Row],[ContractDateTo]]),0,IF(CONTADJ[[#This Row],[ContractDateFrom]]=CONTADJ[[#This Row],[ContractDateTo]],0,IF(CONTADJ[[#This Row],[ContractDateFrom]]&lt;CONTADJ[[#This Row],[ContractDateTo]],0,1)))</f>
        <v>0</v>
      </c>
      <c r="I50" s="57">
        <f>IF(ISBLANK(CONTADJ[[#This Row],[AdjustmentDateTo]]),0,IF(CONTADJ[[#This Row],[AdjustmentDateFrom]]=CONTADJ[[#This Row],[AdjustmentDateTo]],0,IF(CONTADJ[[#This Row],[AdjustmentDateFrom]]&lt;CONTADJ[[#This Row],[AdjustmentDateTo]],0,1)))</f>
        <v>0</v>
      </c>
      <c r="J50" s="57" cm="1">
        <f t="array" aca="1" ref="J50" ca="1">IF(CELL("format",CONTADJ[[#This Row],[ContractDateFrom]])="D1",0,1)+IF(CELL("format",CONTADJ[[#This Row],[ContractDateTo]])="D1",0,1)+IF(CELL("format",CONTADJ[[#This Row],[AdjustmentDateFrom]])="D1",0,1)+IF(CELL("format",CONTADJ[[#This Row],[AdjustmentDateTo]])="D1",0,1)</f>
        <v>0</v>
      </c>
      <c r="K50" s="57">
        <f>IF(LEN(CONTADJ[[#This Row],[Notes]])&lt;4000,0,1)</f>
        <v>0</v>
      </c>
      <c r="L50" s="57">
        <f>COUNTBLANK(CONTADJ[[#This Row],[AnnualValuePreAnnualFte]:[AnnualValuePostAnnualFte]])</f>
        <v>0</v>
      </c>
      <c r="M50" s="57">
        <f ca="1">SUM(CONTADJ[[#This Row],[Contract Issue]:[Blank in column]])</f>
        <v>0</v>
      </c>
      <c r="O50" s="12" t="s">
        <v>2094</v>
      </c>
      <c r="P50" s="12">
        <v>91073456</v>
      </c>
      <c r="Q50" s="12" t="s">
        <v>4601</v>
      </c>
      <c r="R50" s="57" t="str">
        <f>_xlfn.XLOOKUP(CONTADJ[[#This Row],[StaffMemberCode]],StaffMembers!O:O,StaffMembers!R:R)</f>
        <v>Moira Moller</v>
      </c>
      <c r="S50" s="12" t="s">
        <v>4216</v>
      </c>
      <c r="T50" s="12" t="s">
        <v>2483</v>
      </c>
      <c r="U50" s="21">
        <v>45901</v>
      </c>
      <c r="W50" s="12" t="s">
        <v>1194</v>
      </c>
      <c r="X50" s="21">
        <v>45901</v>
      </c>
      <c r="Z50" s="12">
        <v>0</v>
      </c>
      <c r="AA50" s="14">
        <v>1500</v>
      </c>
    </row>
    <row r="51" spans="1:28" x14ac:dyDescent="0.3">
      <c r="A51" s="12" t="str">
        <f t="shared" si="2"/>
        <v>MLB10005317112919SIMS_OFFSFIN46023</v>
      </c>
      <c r="B51" s="12" t="str">
        <f>CONTADJ[[#This Row],[StaffMemberCode]]&amp;CONTADJ[[#This Row],[AdjustmentTypeCode]]&amp;CONTADJ[[#This Row],[ContractReference]]&amp;CONTADJ[[#This Row],[SchoolCode]]</f>
        <v>10005317FA112919MLB</v>
      </c>
      <c r="C51" s="57">
        <f>IF(COUNTIF(ContractsTeachFTE!A:A,ContractAdjustments!A68)&gt;0,0,IF(COUNTIF(ContractsSupportHours!A:A,ContractAdjustments!A68)&gt;0,0,1))</f>
        <v>0</v>
      </c>
      <c r="D51" s="57" cm="1">
        <f t="array" ref="D51">IF(_xlfn.XLOOKUP(CONTADJ[[#This Row],[DepartmentCode]],DEPTS[DepartmentCode],DEPTS[AvailableToAllSchools],1,0,)=TRUE,0,IF(ISERROR(FIND(CONTADJ[[#This Row],[SchoolCode]],_xlfn.TEXTJOIN(",",TRUE,_xlfn.UNIQUE(IF(DEPTS[DepartmentCode]=CONTADJ[[#This Row],[DepartmentCode]],DEPTS[SchoolCodes],""))))),1,0))</f>
        <v>0</v>
      </c>
      <c r="E51" s="57">
        <f>IF(COUNTIF(ADJTYPE[AdjustmentTypeCode],CONTADJ[[#This Row],[AdjustmentTypeCode]])&gt;0,0,1)</f>
        <v>0</v>
      </c>
      <c r="F51" s="57">
        <f>COUNTIF(CONTADJ[Person+Adj Type Point+Contract Ref+SchoolCode],CONTADJ[[#This Row],[Person+Adj Type Point+Contract Ref+SchoolCode]]-1)</f>
        <v>0</v>
      </c>
      <c r="G51" s="57">
        <f t="shared" si="3"/>
        <v>0</v>
      </c>
      <c r="H51" s="57">
        <f>IF(ISBLANK(CONTADJ[[#This Row],[ContractDateTo]]),0,IF(CONTADJ[[#This Row],[ContractDateFrom]]=CONTADJ[[#This Row],[ContractDateTo]],0,IF(CONTADJ[[#This Row],[ContractDateFrom]]&lt;CONTADJ[[#This Row],[ContractDateTo]],0,1)))</f>
        <v>0</v>
      </c>
      <c r="I51" s="57">
        <f>IF(ISBLANK(CONTADJ[[#This Row],[AdjustmentDateTo]]),0,IF(CONTADJ[[#This Row],[AdjustmentDateFrom]]=CONTADJ[[#This Row],[AdjustmentDateTo]],0,IF(CONTADJ[[#This Row],[AdjustmentDateFrom]]&lt;CONTADJ[[#This Row],[AdjustmentDateTo]],0,1)))</f>
        <v>0</v>
      </c>
      <c r="J51" s="57" cm="1">
        <f t="array" aca="1" ref="J51" ca="1">IF(CELL("format",CONTADJ[[#This Row],[ContractDateFrom]])="D1",0,1)+IF(CELL("format",CONTADJ[[#This Row],[ContractDateTo]])="D1",0,1)+IF(CELL("format",CONTADJ[[#This Row],[AdjustmentDateFrom]])="D1",0,1)+IF(CELL("format",CONTADJ[[#This Row],[AdjustmentDateTo]])="D1",0,1)</f>
        <v>0</v>
      </c>
      <c r="K51" s="57">
        <f>IF(LEN(CONTADJ[[#This Row],[Notes]])&lt;4000,0,1)</f>
        <v>0</v>
      </c>
      <c r="L51" s="57">
        <f>COUNTBLANK(CONTADJ[[#This Row],[AnnualValuePreAnnualFte]:[AnnualValuePostAnnualFte]])</f>
        <v>0</v>
      </c>
      <c r="M51" s="57">
        <f ca="1">SUM(CONTADJ[[#This Row],[Contract Issue]:[Blank in column]])</f>
        <v>0</v>
      </c>
      <c r="O51" s="12" t="s">
        <v>2126</v>
      </c>
      <c r="P51" s="12">
        <v>10005317</v>
      </c>
      <c r="Q51" s="12">
        <v>112919</v>
      </c>
      <c r="R51" s="57" t="str">
        <f>_xlfn.XLOOKUP(CONTADJ[[#This Row],[StaffMemberCode]],StaffMembers!O:O,StaffMembers!R:R)</f>
        <v>Nicola Hemmings</v>
      </c>
      <c r="S51" s="12" t="s">
        <v>4273</v>
      </c>
      <c r="T51" s="12" t="s">
        <v>2483</v>
      </c>
      <c r="U51" s="21">
        <v>46023</v>
      </c>
      <c r="W51" s="12" t="s">
        <v>3148</v>
      </c>
      <c r="X51" s="21">
        <v>46023</v>
      </c>
      <c r="Z51" s="12">
        <v>0</v>
      </c>
      <c r="AA51" s="14">
        <v>120</v>
      </c>
    </row>
    <row r="52" spans="1:28" x14ac:dyDescent="0.3">
      <c r="A52" s="12" t="str">
        <f t="shared" si="2"/>
        <v>BLS9107359191073591APAS_MGRSESS45901</v>
      </c>
      <c r="B52" s="12" t="str">
        <f>CONTADJ[[#This Row],[StaffMemberCode]]&amp;CONTADJ[[#This Row],[AdjustmentTypeCode]]&amp;CONTADJ[[#This Row],[ContractReference]]&amp;CONTADJ[[#This Row],[SchoolCode]]</f>
        <v>91073591FA91073591ABLS</v>
      </c>
      <c r="C52" s="57">
        <f>IF(COUNTIF(ContractsTeachFTE!A:A,ContractAdjustments!A2)&gt;0,0,IF(COUNTIF(ContractsSupportHours!A:A,ContractAdjustments!A2)&gt;0,0,1))</f>
        <v>0</v>
      </c>
      <c r="D52" s="57" cm="1">
        <f t="array" ref="D52">IF(_xlfn.XLOOKUP(CONTADJ[[#This Row],[DepartmentCode]],DEPTS[DepartmentCode],DEPTS[AvailableToAllSchools],1,0,)=TRUE,0,IF(ISERROR(FIND(CONTADJ[[#This Row],[SchoolCode]],_xlfn.TEXTJOIN(",",TRUE,_xlfn.UNIQUE(IF(DEPTS[DepartmentCode]=CONTADJ[[#This Row],[DepartmentCode]],DEPTS[SchoolCodes],""))))),1,0))</f>
        <v>0</v>
      </c>
      <c r="E52" s="57">
        <f>IF(COUNTIF(ADJTYPE[AdjustmentTypeCode],CONTADJ[[#This Row],[AdjustmentTypeCode]])&gt;0,0,1)</f>
        <v>0</v>
      </c>
      <c r="F52" s="57">
        <f>COUNTIF(CONTADJ[Person+Adj Type Point+Contract Ref+SchoolCode],CONTADJ[[#This Row],[Person+Adj Type Point+Contract Ref+SchoolCode]]-1)</f>
        <v>0</v>
      </c>
      <c r="G52" s="57">
        <f t="shared" si="3"/>
        <v>0</v>
      </c>
      <c r="H52" s="57">
        <f>IF(ISBLANK(CONTADJ[[#This Row],[ContractDateTo]]),0,IF(CONTADJ[[#This Row],[ContractDateFrom]]=CONTADJ[[#This Row],[ContractDateTo]],0,IF(CONTADJ[[#This Row],[ContractDateFrom]]&lt;CONTADJ[[#This Row],[ContractDateTo]],0,1)))</f>
        <v>0</v>
      </c>
      <c r="I52" s="57">
        <f>IF(ISBLANK(CONTADJ[[#This Row],[AdjustmentDateTo]]),0,IF(CONTADJ[[#This Row],[AdjustmentDateFrom]]=CONTADJ[[#This Row],[AdjustmentDateTo]],0,IF(CONTADJ[[#This Row],[AdjustmentDateFrom]]&lt;CONTADJ[[#This Row],[AdjustmentDateTo]],0,1)))</f>
        <v>0</v>
      </c>
      <c r="J52" s="57" cm="1">
        <f t="array" aca="1" ref="J52" ca="1">IF(CELL("format",CONTADJ[[#This Row],[ContractDateFrom]])="D1",0,1)+IF(CELL("format",CONTADJ[[#This Row],[ContractDateTo]])="D1",0,1)+IF(CELL("format",CONTADJ[[#This Row],[AdjustmentDateFrom]])="D1",0,1)+IF(CELL("format",CONTADJ[[#This Row],[AdjustmentDateTo]])="D1",0,1)</f>
        <v>0</v>
      </c>
      <c r="K52" s="57">
        <f>IF(LEN(CONTADJ[[#This Row],[Notes]])&lt;4000,0,1)</f>
        <v>0</v>
      </c>
      <c r="L52" s="57">
        <f>COUNTBLANK(CONTADJ[[#This Row],[AnnualValuePreAnnualFte]:[AnnualValuePostAnnualFte]])</f>
        <v>0</v>
      </c>
      <c r="M52" s="57">
        <f ca="1">SUM(CONTADJ[[#This Row],[Contract Issue]:[Blank in column]])</f>
        <v>0</v>
      </c>
      <c r="O52" s="63" t="s">
        <v>2094</v>
      </c>
      <c r="P52" s="63">
        <v>91073591</v>
      </c>
      <c r="Q52" s="63" t="s">
        <v>4683</v>
      </c>
      <c r="R52" s="57" t="str">
        <f>_xlfn.XLOOKUP(CONTADJ[[#This Row],[StaffMemberCode]],StaffMembers!O:O,StaffMembers!R:R)</f>
        <v>Nicola Hill</v>
      </c>
      <c r="S52" s="12" t="s">
        <v>4202</v>
      </c>
      <c r="T52" s="12" t="s">
        <v>2482</v>
      </c>
      <c r="U52" s="21">
        <v>45901</v>
      </c>
      <c r="W52" s="12" t="s">
        <v>3148</v>
      </c>
      <c r="X52" s="21">
        <v>45901</v>
      </c>
      <c r="Z52" s="12">
        <v>0</v>
      </c>
      <c r="AA52" s="14">
        <v>120</v>
      </c>
    </row>
    <row r="53" spans="1:28" x14ac:dyDescent="0.3">
      <c r="A53" s="12" t="str">
        <f t="shared" si="2"/>
        <v>BLS9107359191073591APAS_MGRSESS45901</v>
      </c>
      <c r="B53" s="12" t="str">
        <f>CONTADJ[[#This Row],[StaffMemberCode]]&amp;CONTADJ[[#This Row],[AdjustmentTypeCode]]&amp;CONTADJ[[#This Row],[ContractReference]]&amp;CONTADJ[[#This Row],[SchoolCode]]</f>
        <v>91073591RES91073591ABLS</v>
      </c>
      <c r="C53" s="57">
        <f>IF(COUNTIF(ContractsTeachFTE!A:A,ContractAdjustments!A31)&gt;0,0,IF(COUNTIF(ContractsSupportHours!A:A,ContractAdjustments!A31)&gt;0,0,1))</f>
        <v>0</v>
      </c>
      <c r="D53" s="57" cm="1">
        <f t="array" ref="D53">IF(_xlfn.XLOOKUP(CONTADJ[[#This Row],[DepartmentCode]],DEPTS[DepartmentCode],DEPTS[AvailableToAllSchools],1,0,)=TRUE,0,IF(ISERROR(FIND(CONTADJ[[#This Row],[SchoolCode]],_xlfn.TEXTJOIN(",",TRUE,_xlfn.UNIQUE(IF(DEPTS[DepartmentCode]=CONTADJ[[#This Row],[DepartmentCode]],DEPTS[SchoolCodes],""))))),1,0))</f>
        <v>0</v>
      </c>
      <c r="E53" s="57">
        <f>IF(COUNTIF(ADJTYPE[AdjustmentTypeCode],CONTADJ[[#This Row],[AdjustmentTypeCode]])&gt;0,0,1)</f>
        <v>0</v>
      </c>
      <c r="F53" s="57">
        <f>COUNTIF(CONTADJ[Person+Adj Type Point+Contract Ref+SchoolCode],CONTADJ[[#This Row],[Person+Adj Type Point+Contract Ref+SchoolCode]]-1)</f>
        <v>0</v>
      </c>
      <c r="G53" s="57">
        <f t="shared" si="3"/>
        <v>0</v>
      </c>
      <c r="H53" s="57">
        <f>IF(ISBLANK(CONTADJ[[#This Row],[ContractDateTo]]),0,IF(CONTADJ[[#This Row],[ContractDateFrom]]=CONTADJ[[#This Row],[ContractDateTo]],0,IF(CONTADJ[[#This Row],[ContractDateFrom]]&lt;CONTADJ[[#This Row],[ContractDateTo]],0,1)))</f>
        <v>0</v>
      </c>
      <c r="I53" s="57">
        <f>IF(ISBLANK(CONTADJ[[#This Row],[AdjustmentDateTo]]),0,IF(CONTADJ[[#This Row],[AdjustmentDateFrom]]=CONTADJ[[#This Row],[AdjustmentDateTo]],0,IF(CONTADJ[[#This Row],[AdjustmentDateFrom]]&lt;CONTADJ[[#This Row],[AdjustmentDateTo]],0,1)))</f>
        <v>0</v>
      </c>
      <c r="J53" s="57" cm="1">
        <f t="array" aca="1" ref="J53" ca="1">IF(CELL("format",CONTADJ[[#This Row],[ContractDateFrom]])="D1",0,1)+IF(CELL("format",CONTADJ[[#This Row],[ContractDateTo]])="D1",0,1)+IF(CELL("format",CONTADJ[[#This Row],[AdjustmentDateFrom]])="D1",0,1)+IF(CELL("format",CONTADJ[[#This Row],[AdjustmentDateTo]])="D1",0,1)</f>
        <v>0</v>
      </c>
      <c r="K53" s="57">
        <f>IF(LEN(CONTADJ[[#This Row],[Notes]])&lt;4000,0,1)</f>
        <v>0</v>
      </c>
      <c r="L53" s="57">
        <f>COUNTBLANK(CONTADJ[[#This Row],[AnnualValuePreAnnualFte]:[AnnualValuePostAnnualFte]])</f>
        <v>0</v>
      </c>
      <c r="M53" s="57">
        <f ca="1">SUM(CONTADJ[[#This Row],[Contract Issue]:[Blank in column]])</f>
        <v>0</v>
      </c>
      <c r="O53" s="12" t="s">
        <v>2094</v>
      </c>
      <c r="P53" s="12">
        <v>91073591</v>
      </c>
      <c r="Q53" s="12" t="s">
        <v>4683</v>
      </c>
      <c r="R53" s="57" t="str">
        <f>_xlfn.XLOOKUP(CONTADJ[[#This Row],[StaffMemberCode]],StaffMembers!O:O,StaffMembers!R:R)</f>
        <v>Nicola Hill</v>
      </c>
      <c r="S53" s="12" t="s">
        <v>4202</v>
      </c>
      <c r="T53" s="12" t="s">
        <v>2482</v>
      </c>
      <c r="U53" s="21">
        <v>45901</v>
      </c>
      <c r="W53" s="12" t="s">
        <v>3149</v>
      </c>
      <c r="X53" s="21">
        <v>45901</v>
      </c>
      <c r="Z53" s="12">
        <v>0</v>
      </c>
      <c r="AA53" s="14">
        <v>3527</v>
      </c>
    </row>
    <row r="54" spans="1:28" x14ac:dyDescent="0.3">
      <c r="A54" s="12" t="str">
        <f t="shared" si="2"/>
        <v>BLS9107345491073454ATEASTCH45901</v>
      </c>
      <c r="B54" s="12" t="str">
        <f>CONTADJ[[#This Row],[StaffMemberCode]]&amp;CONTADJ[[#This Row],[AdjustmentTypeCode]]&amp;CONTADJ[[#This Row],[ContractReference]]&amp;CONTADJ[[#This Row],[SchoolCode]]</f>
        <v>91073454JOB91073454ABLS</v>
      </c>
      <c r="C54" s="57">
        <f>IF(COUNTIF(ContractsTeachFTE!A:A,ContractAdjustments!A26)&gt;0,0,IF(COUNTIF(ContractsSupportHours!A:A,ContractAdjustments!A26)&gt;0,0,1))</f>
        <v>0</v>
      </c>
      <c r="D54" s="57" cm="1">
        <f t="array" ref="D54">IF(_xlfn.XLOOKUP(CONTADJ[[#This Row],[DepartmentCode]],DEPTS[DepartmentCode],DEPTS[AvailableToAllSchools],1,0,)=TRUE,0,IF(ISERROR(FIND(CONTADJ[[#This Row],[SchoolCode]],_xlfn.TEXTJOIN(",",TRUE,_xlfn.UNIQUE(IF(DEPTS[DepartmentCode]=CONTADJ[[#This Row],[DepartmentCode]],DEPTS[SchoolCodes],""))))),1,0))</f>
        <v>0</v>
      </c>
      <c r="E54" s="57">
        <f>IF(COUNTIF(ADJTYPE[AdjustmentTypeCode],CONTADJ[[#This Row],[AdjustmentTypeCode]])&gt;0,0,1)</f>
        <v>0</v>
      </c>
      <c r="F54" s="57">
        <f>COUNTIF(CONTADJ[Person+Adj Type Point+Contract Ref+SchoolCode],CONTADJ[[#This Row],[Person+Adj Type Point+Contract Ref+SchoolCode]]-1)</f>
        <v>0</v>
      </c>
      <c r="G54" s="57">
        <f t="shared" si="3"/>
        <v>0</v>
      </c>
      <c r="H54" s="57">
        <f>IF(ISBLANK(CONTADJ[[#This Row],[ContractDateTo]]),0,IF(CONTADJ[[#This Row],[ContractDateFrom]]=CONTADJ[[#This Row],[ContractDateTo]],0,IF(CONTADJ[[#This Row],[ContractDateFrom]]&lt;CONTADJ[[#This Row],[ContractDateTo]],0,1)))</f>
        <v>0</v>
      </c>
      <c r="I54" s="57">
        <f>IF(ISBLANK(CONTADJ[[#This Row],[AdjustmentDateTo]]),0,IF(CONTADJ[[#This Row],[AdjustmentDateFrom]]=CONTADJ[[#This Row],[AdjustmentDateTo]],0,IF(CONTADJ[[#This Row],[AdjustmentDateFrom]]&lt;CONTADJ[[#This Row],[AdjustmentDateTo]],0,1)))</f>
        <v>0</v>
      </c>
      <c r="J54" s="57" cm="1">
        <f t="array" aca="1" ref="J54" ca="1">IF(CELL("format",CONTADJ[[#This Row],[ContractDateFrom]])="D1",0,1)+IF(CELL("format",CONTADJ[[#This Row],[ContractDateTo]])="D1",0,1)+IF(CELL("format",CONTADJ[[#This Row],[AdjustmentDateFrom]])="D1",0,1)+IF(CELL("format",CONTADJ[[#This Row],[AdjustmentDateTo]])="D1",0,1)</f>
        <v>0</v>
      </c>
      <c r="K54" s="57">
        <f>IF(LEN(CONTADJ[[#This Row],[Notes]])&lt;4000,0,1)</f>
        <v>0</v>
      </c>
      <c r="L54" s="57">
        <f>COUNTBLANK(CONTADJ[[#This Row],[AnnualValuePreAnnualFte]:[AnnualValuePostAnnualFte]])</f>
        <v>0</v>
      </c>
      <c r="M54" s="57">
        <f ca="1">SUM(CONTADJ[[#This Row],[Contract Issue]:[Blank in column]])</f>
        <v>0</v>
      </c>
      <c r="O54" s="12" t="s">
        <v>2094</v>
      </c>
      <c r="P54" s="12">
        <v>91073454</v>
      </c>
      <c r="Q54" s="12" t="s">
        <v>4383</v>
      </c>
      <c r="R54" s="57" t="str">
        <f>_xlfn.XLOOKUP(CONTADJ[[#This Row],[StaffMemberCode]],StaffMembers!O:O,StaffMembers!R:R)</f>
        <v>Pamela Hughes</v>
      </c>
      <c r="S54" s="12" t="s">
        <v>1178</v>
      </c>
      <c r="T54" s="12" t="s">
        <v>2499</v>
      </c>
      <c r="U54" s="21">
        <v>45901</v>
      </c>
      <c r="W54" s="12" t="s">
        <v>3157</v>
      </c>
      <c r="X54" s="21">
        <v>45901</v>
      </c>
      <c r="Z54" s="12">
        <v>0</v>
      </c>
      <c r="AA54" s="14">
        <v>2632.7</v>
      </c>
    </row>
    <row r="55" spans="1:28" x14ac:dyDescent="0.3">
      <c r="A55" s="12" t="str">
        <f t="shared" si="2"/>
        <v>MLB10012808106073TEASTCH46023</v>
      </c>
      <c r="B55" s="12" t="str">
        <f>CONTADJ[[#This Row],[StaffMemberCode]]&amp;CONTADJ[[#This Row],[AdjustmentTypeCode]]&amp;CONTADJ[[#This Row],[ContractReference]]&amp;CONTADJ[[#This Row],[SchoolCode]]</f>
        <v>10012808RR106073MLB</v>
      </c>
      <c r="C55" s="57">
        <f>IF(COUNTIF(ContractsTeachFTE!A:A,ContractAdjustments!A77)&gt;0,0,IF(COUNTIF(ContractsSupportHours!A:A,ContractAdjustments!A77)&gt;0,0,1))</f>
        <v>0</v>
      </c>
      <c r="D55" s="57" cm="1">
        <f t="array" ref="D55">IF(_xlfn.XLOOKUP(CONTADJ[[#This Row],[DepartmentCode]],DEPTS[DepartmentCode],DEPTS[AvailableToAllSchools],1,0,)=TRUE,0,IF(ISERROR(FIND(CONTADJ[[#This Row],[SchoolCode]],_xlfn.TEXTJOIN(",",TRUE,_xlfn.UNIQUE(IF(DEPTS[DepartmentCode]=CONTADJ[[#This Row],[DepartmentCode]],DEPTS[SchoolCodes],""))))),1,0))</f>
        <v>0</v>
      </c>
      <c r="E55" s="57">
        <f>IF(COUNTIF(ADJTYPE[AdjustmentTypeCode],CONTADJ[[#This Row],[AdjustmentTypeCode]])&gt;0,0,1)</f>
        <v>0</v>
      </c>
      <c r="F55" s="57">
        <f>COUNTIF(CONTADJ[Person+Adj Type Point+Contract Ref+SchoolCode],CONTADJ[[#This Row],[Person+Adj Type Point+Contract Ref+SchoolCode]]-1)</f>
        <v>0</v>
      </c>
      <c r="G55" s="57">
        <f t="shared" si="3"/>
        <v>0</v>
      </c>
      <c r="H55" s="57">
        <f>IF(ISBLANK(CONTADJ[[#This Row],[ContractDateTo]]),0,IF(CONTADJ[[#This Row],[ContractDateFrom]]=CONTADJ[[#This Row],[ContractDateTo]],0,IF(CONTADJ[[#This Row],[ContractDateFrom]]&lt;CONTADJ[[#This Row],[ContractDateTo]],0,1)))</f>
        <v>0</v>
      </c>
      <c r="I55" s="57">
        <f>IF(ISBLANK(CONTADJ[[#This Row],[AdjustmentDateTo]]),0,IF(CONTADJ[[#This Row],[AdjustmentDateFrom]]=CONTADJ[[#This Row],[AdjustmentDateTo]],0,IF(CONTADJ[[#This Row],[AdjustmentDateFrom]]&lt;CONTADJ[[#This Row],[AdjustmentDateTo]],0,1)))</f>
        <v>0</v>
      </c>
      <c r="J55" s="57" cm="1">
        <f t="array" aca="1" ref="J55" ca="1">IF(CELL("format",CONTADJ[[#This Row],[ContractDateFrom]])="D1",0,1)+IF(CELL("format",CONTADJ[[#This Row],[ContractDateTo]])="D1",0,1)+IF(CELL("format",CONTADJ[[#This Row],[AdjustmentDateFrom]])="D1",0,1)+IF(CELL("format",CONTADJ[[#This Row],[AdjustmentDateTo]])="D1",0,1)</f>
        <v>0</v>
      </c>
      <c r="K55" s="57">
        <f>IF(LEN(CONTADJ[[#This Row],[Notes]])&lt;4000,0,1)</f>
        <v>0</v>
      </c>
      <c r="L55" s="57">
        <f>COUNTBLANK(CONTADJ[[#This Row],[AnnualValuePreAnnualFte]:[AnnualValuePostAnnualFte]])</f>
        <v>0</v>
      </c>
      <c r="M55" s="57">
        <f ca="1">SUM(CONTADJ[[#This Row],[Contract Issue]:[Blank in column]])</f>
        <v>0</v>
      </c>
      <c r="O55" s="12" t="s">
        <v>2126</v>
      </c>
      <c r="P55" s="12">
        <v>10012808</v>
      </c>
      <c r="Q55" s="12">
        <v>106073</v>
      </c>
      <c r="R55" s="57" t="str">
        <f>_xlfn.XLOOKUP(CONTADJ[[#This Row],[StaffMemberCode]],StaffMembers!O:O,StaffMembers!R:R)</f>
        <v>Peter Adams</v>
      </c>
      <c r="S55" s="12" t="s">
        <v>1178</v>
      </c>
      <c r="T55" s="12" t="s">
        <v>2499</v>
      </c>
      <c r="U55" s="21">
        <v>46023</v>
      </c>
      <c r="W55" s="12" t="s">
        <v>3151</v>
      </c>
      <c r="X55" s="21">
        <v>46023</v>
      </c>
      <c r="Z55" s="12">
        <v>0</v>
      </c>
      <c r="AA55" s="14">
        <v>3065</v>
      </c>
    </row>
    <row r="56" spans="1:28" x14ac:dyDescent="0.3">
      <c r="A56" s="12" t="str">
        <f t="shared" si="2"/>
        <v>MLB10005342106115TEASTCH46023</v>
      </c>
      <c r="B56" s="12" t="str">
        <f>CONTADJ[[#This Row],[StaffMemberCode]]&amp;CONTADJ[[#This Row],[AdjustmentTypeCode]]&amp;CONTADJ[[#This Row],[ContractReference]]&amp;CONTADJ[[#This Row],[SchoolCode]]</f>
        <v>10005342RR106115MLB</v>
      </c>
      <c r="C56" s="57">
        <f>IF(COUNTIF(ContractsTeachFTE!A:A,ContractAdjustments!A79)&gt;0,0,IF(COUNTIF(ContractsSupportHours!A:A,ContractAdjustments!A79)&gt;0,0,1))</f>
        <v>0</v>
      </c>
      <c r="D56" s="57" cm="1">
        <f t="array" ref="D56">IF(_xlfn.XLOOKUP(CONTADJ[[#This Row],[DepartmentCode]],DEPTS[DepartmentCode],DEPTS[AvailableToAllSchools],1,0,)=TRUE,0,IF(ISERROR(FIND(CONTADJ[[#This Row],[SchoolCode]],_xlfn.TEXTJOIN(",",TRUE,_xlfn.UNIQUE(IF(DEPTS[DepartmentCode]=CONTADJ[[#This Row],[DepartmentCode]],DEPTS[SchoolCodes],""))))),1,0))</f>
        <v>0</v>
      </c>
      <c r="E56" s="57">
        <f>IF(COUNTIF(ADJTYPE[AdjustmentTypeCode],CONTADJ[[#This Row],[AdjustmentTypeCode]])&gt;0,0,1)</f>
        <v>0</v>
      </c>
      <c r="F56" s="57">
        <f>COUNTIF(CONTADJ[Person+Adj Type Point+Contract Ref+SchoolCode],CONTADJ[[#This Row],[Person+Adj Type Point+Contract Ref+SchoolCode]]-1)</f>
        <v>0</v>
      </c>
      <c r="G56" s="57">
        <f t="shared" si="3"/>
        <v>0</v>
      </c>
      <c r="H56" s="57">
        <f>IF(ISBLANK(CONTADJ[[#This Row],[ContractDateTo]]),0,IF(CONTADJ[[#This Row],[ContractDateFrom]]=CONTADJ[[#This Row],[ContractDateTo]],0,IF(CONTADJ[[#This Row],[ContractDateFrom]]&lt;CONTADJ[[#This Row],[ContractDateTo]],0,1)))</f>
        <v>0</v>
      </c>
      <c r="I56" s="57">
        <f>IF(ISBLANK(CONTADJ[[#This Row],[AdjustmentDateTo]]),0,IF(CONTADJ[[#This Row],[AdjustmentDateFrom]]=CONTADJ[[#This Row],[AdjustmentDateTo]],0,IF(CONTADJ[[#This Row],[AdjustmentDateFrom]]&lt;CONTADJ[[#This Row],[AdjustmentDateTo]],0,1)))</f>
        <v>0</v>
      </c>
      <c r="J56" s="57" cm="1">
        <f t="array" aca="1" ref="J56" ca="1">IF(CELL("format",CONTADJ[[#This Row],[ContractDateFrom]])="D1",0,1)+IF(CELL("format",CONTADJ[[#This Row],[ContractDateTo]])="D1",0,1)+IF(CELL("format",CONTADJ[[#This Row],[AdjustmentDateFrom]])="D1",0,1)+IF(CELL("format",CONTADJ[[#This Row],[AdjustmentDateTo]])="D1",0,1)</f>
        <v>0</v>
      </c>
      <c r="K56" s="57">
        <f>IF(LEN(CONTADJ[[#This Row],[Notes]])&lt;4000,0,1)</f>
        <v>0</v>
      </c>
      <c r="L56" s="57">
        <f>COUNTBLANK(CONTADJ[[#This Row],[AnnualValuePreAnnualFte]:[AnnualValuePostAnnualFte]])</f>
        <v>0</v>
      </c>
      <c r="M56" s="57">
        <f ca="1">SUM(CONTADJ[[#This Row],[Contract Issue]:[Blank in column]])</f>
        <v>0</v>
      </c>
      <c r="O56" s="12" t="s">
        <v>2126</v>
      </c>
      <c r="P56" s="12">
        <v>10005342</v>
      </c>
      <c r="Q56" s="12">
        <v>106115</v>
      </c>
      <c r="R56" s="57" t="str">
        <f>_xlfn.XLOOKUP(CONTADJ[[#This Row],[StaffMemberCode]],StaffMembers!O:O,StaffMembers!R:R)</f>
        <v>Philip Sweetman</v>
      </c>
      <c r="S56" s="12" t="s">
        <v>1178</v>
      </c>
      <c r="T56" s="12" t="s">
        <v>2499</v>
      </c>
      <c r="U56" s="21">
        <v>46023</v>
      </c>
      <c r="W56" s="12" t="s">
        <v>3151</v>
      </c>
      <c r="X56" s="21">
        <v>46023</v>
      </c>
      <c r="Z56" s="12">
        <v>0</v>
      </c>
      <c r="AA56" s="14">
        <v>3527</v>
      </c>
    </row>
    <row r="57" spans="1:28" x14ac:dyDescent="0.3">
      <c r="A57" s="12" t="str">
        <f t="shared" si="2"/>
        <v>BLS9107361291073612ATEASTCH45901</v>
      </c>
      <c r="B57" s="12" t="str">
        <f>CONTADJ[[#This Row],[StaffMemberCode]]&amp;CONTADJ[[#This Row],[AdjustmentTypeCode]]&amp;CONTADJ[[#This Row],[ContractReference]]&amp;CONTADJ[[#This Row],[SchoolCode]]</f>
        <v>91073612TLR_OTH91073612ABLS</v>
      </c>
      <c r="C57" s="57">
        <f>IF(COUNTIF(ContractsTeachFTE!A:A,ContractAdjustments!A15)&gt;0,0,IF(COUNTIF(ContractsSupportHours!A:A,ContractAdjustments!A15)&gt;0,0,1))</f>
        <v>1</v>
      </c>
      <c r="D57" s="57" cm="1">
        <f t="array" ref="D57">IF(_xlfn.XLOOKUP(CONTADJ[[#This Row],[DepartmentCode]],DEPTS[DepartmentCode],DEPTS[AvailableToAllSchools],1,0,)=TRUE,0,IF(ISERROR(FIND(CONTADJ[[#This Row],[SchoolCode]],_xlfn.TEXTJOIN(",",TRUE,_xlfn.UNIQUE(IF(DEPTS[DepartmentCode]=CONTADJ[[#This Row],[DepartmentCode]],DEPTS[SchoolCodes],""))))),1,0))</f>
        <v>0</v>
      </c>
      <c r="E57" s="57">
        <f>IF(COUNTIF(ADJTYPE[AdjustmentTypeCode],CONTADJ[[#This Row],[AdjustmentTypeCode]])&gt;0,0,1)</f>
        <v>0</v>
      </c>
      <c r="F57" s="57">
        <f>COUNTIF(CONTADJ[Person+Adj Type Point+Contract Ref+SchoolCode],CONTADJ[[#This Row],[Person+Adj Type Point+Contract Ref+SchoolCode]]-1)</f>
        <v>0</v>
      </c>
      <c r="G57" s="57">
        <f t="shared" si="3"/>
        <v>0</v>
      </c>
      <c r="H57" s="57">
        <f>IF(ISBLANK(CONTADJ[[#This Row],[ContractDateTo]]),0,IF(CONTADJ[[#This Row],[ContractDateFrom]]=CONTADJ[[#This Row],[ContractDateTo]],0,IF(CONTADJ[[#This Row],[ContractDateFrom]]&lt;CONTADJ[[#This Row],[ContractDateTo]],0,1)))</f>
        <v>0</v>
      </c>
      <c r="I57" s="57">
        <f>IF(ISBLANK(CONTADJ[[#This Row],[AdjustmentDateTo]]),0,IF(CONTADJ[[#This Row],[AdjustmentDateFrom]]=CONTADJ[[#This Row],[AdjustmentDateTo]],0,IF(CONTADJ[[#This Row],[AdjustmentDateFrom]]&lt;CONTADJ[[#This Row],[AdjustmentDateTo]],0,1)))</f>
        <v>0</v>
      </c>
      <c r="J57" s="57" cm="1">
        <f t="array" aca="1" ref="J57" ca="1">IF(CELL("format",CONTADJ[[#This Row],[ContractDateFrom]])="D1",0,1)+IF(CELL("format",CONTADJ[[#This Row],[ContractDateTo]])="D1",0,1)+IF(CELL("format",CONTADJ[[#This Row],[AdjustmentDateFrom]])="D1",0,1)+IF(CELL("format",CONTADJ[[#This Row],[AdjustmentDateTo]])="D1",0,1)</f>
        <v>0</v>
      </c>
      <c r="K57" s="57">
        <f>IF(LEN(CONTADJ[[#This Row],[Notes]])&lt;4000,0,1)</f>
        <v>0</v>
      </c>
      <c r="L57" s="57">
        <f>COUNTBLANK(CONTADJ[[#This Row],[AnnualValuePreAnnualFte]:[AnnualValuePostAnnualFte]])</f>
        <v>0</v>
      </c>
      <c r="M57" s="57">
        <f ca="1">SUM(CONTADJ[[#This Row],[Contract Issue]:[Blank in column]])</f>
        <v>1</v>
      </c>
      <c r="O57" s="12" t="s">
        <v>2094</v>
      </c>
      <c r="P57" s="12">
        <v>91073612</v>
      </c>
      <c r="Q57" s="12" t="s">
        <v>4389</v>
      </c>
      <c r="R57" s="57" t="str">
        <f>_xlfn.XLOOKUP(CONTADJ[[#This Row],[StaffMemberCode]],StaffMembers!O:O,StaffMembers!R:R)</f>
        <v>Raymond Butcher</v>
      </c>
      <c r="S57" s="12" t="s">
        <v>1178</v>
      </c>
      <c r="T57" s="12" t="s">
        <v>2499</v>
      </c>
      <c r="U57" s="21">
        <v>45901</v>
      </c>
      <c r="W57" s="12" t="s">
        <v>4324</v>
      </c>
      <c r="X57" s="21">
        <v>45901</v>
      </c>
      <c r="Z57" s="12">
        <v>0</v>
      </c>
      <c r="AA57" s="14">
        <v>1763.5</v>
      </c>
    </row>
    <row r="58" spans="1:28" x14ac:dyDescent="0.3">
      <c r="A58" s="12" t="str">
        <f t="shared" si="2"/>
        <v>BLS9107348691073486ATEASTCH45901</v>
      </c>
      <c r="B58" s="12" t="str">
        <f>CONTADJ[[#This Row],[StaffMemberCode]]&amp;CONTADJ[[#This Row],[AdjustmentTypeCode]]&amp;CONTADJ[[#This Row],[ContractReference]]&amp;CONTADJ[[#This Row],[SchoolCode]]</f>
        <v>91073486JOB91073486ABLS</v>
      </c>
      <c r="C58" s="57">
        <f>IF(COUNTIF(ContractsTeachFTE!A:A,ContractAdjustments!A22)&gt;0,0,IF(COUNTIF(ContractsSupportHours!A:A,ContractAdjustments!A22)&gt;0,0,1))</f>
        <v>0</v>
      </c>
      <c r="D58" s="57" cm="1">
        <f t="array" ref="D58">IF(_xlfn.XLOOKUP(CONTADJ[[#This Row],[DepartmentCode]],DEPTS[DepartmentCode],DEPTS[AvailableToAllSchools],1,0,)=TRUE,0,IF(ISERROR(FIND(CONTADJ[[#This Row],[SchoolCode]],_xlfn.TEXTJOIN(",",TRUE,_xlfn.UNIQUE(IF(DEPTS[DepartmentCode]=CONTADJ[[#This Row],[DepartmentCode]],DEPTS[SchoolCodes],""))))),1,0))</f>
        <v>0</v>
      </c>
      <c r="E58" s="57">
        <f>IF(COUNTIF(ADJTYPE[AdjustmentTypeCode],CONTADJ[[#This Row],[AdjustmentTypeCode]])&gt;0,0,1)</f>
        <v>0</v>
      </c>
      <c r="F58" s="57">
        <f>COUNTIF(CONTADJ[Person+Adj Type Point+Contract Ref+SchoolCode],CONTADJ[[#This Row],[Person+Adj Type Point+Contract Ref+SchoolCode]]-1)</f>
        <v>0</v>
      </c>
      <c r="G58" s="57">
        <f t="shared" si="3"/>
        <v>0</v>
      </c>
      <c r="H58" s="57">
        <f>IF(ISBLANK(CONTADJ[[#This Row],[ContractDateTo]]),0,IF(CONTADJ[[#This Row],[ContractDateFrom]]=CONTADJ[[#This Row],[ContractDateTo]],0,IF(CONTADJ[[#This Row],[ContractDateFrom]]&lt;CONTADJ[[#This Row],[ContractDateTo]],0,1)))</f>
        <v>0</v>
      </c>
      <c r="I58" s="57">
        <f>IF(ISBLANK(CONTADJ[[#This Row],[AdjustmentDateTo]]),0,IF(CONTADJ[[#This Row],[AdjustmentDateFrom]]=CONTADJ[[#This Row],[AdjustmentDateTo]],0,IF(CONTADJ[[#This Row],[AdjustmentDateFrom]]&lt;CONTADJ[[#This Row],[AdjustmentDateTo]],0,1)))</f>
        <v>0</v>
      </c>
      <c r="J58" s="57" cm="1">
        <f t="array" aca="1" ref="J58" ca="1">IF(CELL("format",CONTADJ[[#This Row],[ContractDateFrom]])="D1",0,1)+IF(CELL("format",CONTADJ[[#This Row],[ContractDateTo]])="D1",0,1)+IF(CELL("format",CONTADJ[[#This Row],[AdjustmentDateFrom]])="D1",0,1)+IF(CELL("format",CONTADJ[[#This Row],[AdjustmentDateTo]])="D1",0,1)</f>
        <v>0</v>
      </c>
      <c r="K58" s="57">
        <f>IF(LEN(CONTADJ[[#This Row],[Notes]])&lt;4000,0,1)</f>
        <v>0</v>
      </c>
      <c r="L58" s="57">
        <f>COUNTBLANK(CONTADJ[[#This Row],[AnnualValuePreAnnualFte]:[AnnualValuePostAnnualFte]])</f>
        <v>0</v>
      </c>
      <c r="M58" s="57">
        <f ca="1">SUM(CONTADJ[[#This Row],[Contract Issue]:[Blank in column]])</f>
        <v>0</v>
      </c>
      <c r="O58" s="12" t="s">
        <v>2094</v>
      </c>
      <c r="P58" s="12">
        <v>91073486</v>
      </c>
      <c r="Q58" s="12" t="s">
        <v>4379</v>
      </c>
      <c r="R58" s="57" t="str">
        <f>_xlfn.XLOOKUP(CONTADJ[[#This Row],[StaffMemberCode]],StaffMembers!O:O,StaffMembers!R:R)</f>
        <v>Rhiannon Bentley</v>
      </c>
      <c r="S58" s="12" t="s">
        <v>1178</v>
      </c>
      <c r="T58" s="12" t="s">
        <v>2499</v>
      </c>
      <c r="U58" s="21">
        <v>45901</v>
      </c>
      <c r="W58" s="12" t="s">
        <v>3157</v>
      </c>
      <c r="X58" s="21">
        <v>45901</v>
      </c>
      <c r="Z58" s="12">
        <v>0</v>
      </c>
      <c r="AA58" s="14">
        <v>705.4</v>
      </c>
    </row>
    <row r="59" spans="1:28" x14ac:dyDescent="0.3">
      <c r="A59" s="12" t="str">
        <f t="shared" si="2"/>
        <v>MLB10015065111658SITE_OFFSPREM46023</v>
      </c>
      <c r="B59" s="12" t="str">
        <f>CONTADJ[[#This Row],[StaffMemberCode]]&amp;CONTADJ[[#This Row],[AdjustmentTypeCode]]&amp;CONTADJ[[#This Row],[ContractReference]]&amp;CONTADJ[[#This Row],[SchoolCode]]</f>
        <v>10015065PA111658MLB</v>
      </c>
      <c r="C59" s="57">
        <f>IF(COUNTIF(ContractsTeachFTE!A:A,ContractAdjustments!A48)&gt;0,0,IF(COUNTIF(ContractsSupportHours!A:A,ContractAdjustments!A48)&gt;0,0,1))</f>
        <v>0</v>
      </c>
      <c r="D59" s="57" cm="1">
        <f t="array" ref="D59">IF(_xlfn.XLOOKUP(CONTADJ[[#This Row],[DepartmentCode]],DEPTS[DepartmentCode],DEPTS[AvailableToAllSchools],1,0,)=TRUE,0,IF(ISERROR(FIND(CONTADJ[[#This Row],[SchoolCode]],_xlfn.TEXTJOIN(",",TRUE,_xlfn.UNIQUE(IF(DEPTS[DepartmentCode]=CONTADJ[[#This Row],[DepartmentCode]],DEPTS[SchoolCodes],""))))),1,0))</f>
        <v>0</v>
      </c>
      <c r="E59" s="57">
        <f>IF(COUNTIF(ADJTYPE[AdjustmentTypeCode],CONTADJ[[#This Row],[AdjustmentTypeCode]])&gt;0,0,1)</f>
        <v>0</v>
      </c>
      <c r="F59" s="57">
        <f>COUNTIF(CONTADJ[Person+Adj Type Point+Contract Ref+SchoolCode],CONTADJ[[#This Row],[Person+Adj Type Point+Contract Ref+SchoolCode]]-1)</f>
        <v>0</v>
      </c>
      <c r="G59" s="57">
        <f t="shared" si="3"/>
        <v>0</v>
      </c>
      <c r="H59" s="57">
        <f>IF(ISBLANK(CONTADJ[[#This Row],[ContractDateTo]]),0,IF(CONTADJ[[#This Row],[ContractDateFrom]]=CONTADJ[[#This Row],[ContractDateTo]],0,IF(CONTADJ[[#This Row],[ContractDateFrom]]&lt;CONTADJ[[#This Row],[ContractDateTo]],0,1)))</f>
        <v>0</v>
      </c>
      <c r="I59" s="57">
        <f>IF(ISBLANK(CONTADJ[[#This Row],[AdjustmentDateTo]]),0,IF(CONTADJ[[#This Row],[AdjustmentDateFrom]]=CONTADJ[[#This Row],[AdjustmentDateTo]],0,IF(CONTADJ[[#This Row],[AdjustmentDateFrom]]&lt;CONTADJ[[#This Row],[AdjustmentDateTo]],0,1)))</f>
        <v>0</v>
      </c>
      <c r="J59" s="57" cm="1">
        <f t="array" aca="1" ref="J59" ca="1">IF(CELL("format",CONTADJ[[#This Row],[ContractDateFrom]])="D1",0,1)+IF(CELL("format",CONTADJ[[#This Row],[ContractDateTo]])="D1",0,1)+IF(CELL("format",CONTADJ[[#This Row],[AdjustmentDateFrom]])="D1",0,1)+IF(CELL("format",CONTADJ[[#This Row],[AdjustmentDateTo]])="D1",0,1)</f>
        <v>0</v>
      </c>
      <c r="K59" s="57">
        <f>IF(LEN(CONTADJ[[#This Row],[Notes]])&lt;4000,0,1)</f>
        <v>0</v>
      </c>
      <c r="L59" s="57">
        <f>COUNTBLANK(CONTADJ[[#This Row],[AnnualValuePreAnnualFte]:[AnnualValuePostAnnualFte]])</f>
        <v>0</v>
      </c>
      <c r="M59" s="57">
        <f ca="1">SUM(CONTADJ[[#This Row],[Contract Issue]:[Blank in column]])</f>
        <v>0</v>
      </c>
      <c r="O59" s="12" t="s">
        <v>2126</v>
      </c>
      <c r="P59" s="12">
        <v>10015065</v>
      </c>
      <c r="Q59" s="12">
        <v>111658</v>
      </c>
      <c r="R59" s="57" t="str">
        <f>_xlfn.XLOOKUP(CONTADJ[[#This Row],[StaffMemberCode]],StaffMembers!O:O,StaffMembers!R:R)</f>
        <v>Roger Bailey</v>
      </c>
      <c r="S59" s="12" t="s">
        <v>4299</v>
      </c>
      <c r="T59" s="12" t="s">
        <v>2495</v>
      </c>
      <c r="U59" s="21">
        <v>46023</v>
      </c>
      <c r="W59" s="12" t="s">
        <v>3156</v>
      </c>
      <c r="X59" s="21">
        <v>46023</v>
      </c>
      <c r="Z59" s="12">
        <v>0</v>
      </c>
      <c r="AA59" s="14">
        <v>35.4</v>
      </c>
    </row>
    <row r="60" spans="1:28" x14ac:dyDescent="0.3">
      <c r="A60" s="12" t="str">
        <f t="shared" si="2"/>
        <v>MLB10015065111658SITE_OFFSPREM46023</v>
      </c>
      <c r="B60" s="12" t="str">
        <f>CONTADJ[[#This Row],[StaffMemberCode]]&amp;CONTADJ[[#This Row],[AdjustmentTypeCode]]&amp;CONTADJ[[#This Row],[ContractReference]]&amp;CONTADJ[[#This Row],[SchoolCode]]</f>
        <v>10015065SFT111658MLB</v>
      </c>
      <c r="C60" s="57">
        <f>IF(COUNTIF(ContractsTeachFTE!A:A,ContractAdjustments!A81)&gt;0,0,IF(COUNTIF(ContractsSupportHours!A:A,ContractAdjustments!A81)&gt;0,0,1))</f>
        <v>0</v>
      </c>
      <c r="D60" s="57" cm="1">
        <f t="array" ref="D60">IF(_xlfn.XLOOKUP(CONTADJ[[#This Row],[DepartmentCode]],DEPTS[DepartmentCode],DEPTS[AvailableToAllSchools],1,0,)=TRUE,0,IF(ISERROR(FIND(CONTADJ[[#This Row],[SchoolCode]],_xlfn.TEXTJOIN(",",TRUE,_xlfn.UNIQUE(IF(DEPTS[DepartmentCode]=CONTADJ[[#This Row],[DepartmentCode]],DEPTS[SchoolCodes],""))))),1,0))</f>
        <v>0</v>
      </c>
      <c r="E60" s="57">
        <f>IF(COUNTIF(ADJTYPE[AdjustmentTypeCode],CONTADJ[[#This Row],[AdjustmentTypeCode]])&gt;0,0,1)</f>
        <v>0</v>
      </c>
      <c r="F60" s="57">
        <f>COUNTIF(CONTADJ[Person+Adj Type Point+Contract Ref+SchoolCode],CONTADJ[[#This Row],[Person+Adj Type Point+Contract Ref+SchoolCode]]-1)</f>
        <v>0</v>
      </c>
      <c r="G60" s="57">
        <f t="shared" si="3"/>
        <v>0</v>
      </c>
      <c r="H60" s="57">
        <f>IF(ISBLANK(CONTADJ[[#This Row],[ContractDateTo]]),0,IF(CONTADJ[[#This Row],[ContractDateFrom]]=CONTADJ[[#This Row],[ContractDateTo]],0,IF(CONTADJ[[#This Row],[ContractDateFrom]]&lt;CONTADJ[[#This Row],[ContractDateTo]],0,1)))</f>
        <v>0</v>
      </c>
      <c r="I60" s="57">
        <f>IF(ISBLANK(CONTADJ[[#This Row],[AdjustmentDateTo]]),0,IF(CONTADJ[[#This Row],[AdjustmentDateFrom]]=CONTADJ[[#This Row],[AdjustmentDateTo]],0,IF(CONTADJ[[#This Row],[AdjustmentDateFrom]]&lt;CONTADJ[[#This Row],[AdjustmentDateTo]],0,1)))</f>
        <v>0</v>
      </c>
      <c r="J60" s="57" cm="1">
        <f t="array" aca="1" ref="J60" ca="1">IF(CELL("format",CONTADJ[[#This Row],[ContractDateFrom]])="D1",0,1)+IF(CELL("format",CONTADJ[[#This Row],[ContractDateTo]])="D1",0,1)+IF(CELL("format",CONTADJ[[#This Row],[AdjustmentDateFrom]])="D1",0,1)+IF(CELL("format",CONTADJ[[#This Row],[AdjustmentDateTo]])="D1",0,1)</f>
        <v>0</v>
      </c>
      <c r="K60" s="57">
        <f>IF(LEN(CONTADJ[[#This Row],[Notes]])&lt;4000,0,1)</f>
        <v>0</v>
      </c>
      <c r="L60" s="57">
        <f>COUNTBLANK(CONTADJ[[#This Row],[AnnualValuePreAnnualFte]:[AnnualValuePostAnnualFte]])</f>
        <v>0</v>
      </c>
      <c r="M60" s="57">
        <f ca="1">SUM(CONTADJ[[#This Row],[Contract Issue]:[Blank in column]])</f>
        <v>0</v>
      </c>
      <c r="O60" s="12" t="s">
        <v>2126</v>
      </c>
      <c r="P60" s="12">
        <v>10015065</v>
      </c>
      <c r="Q60" s="12">
        <v>111658</v>
      </c>
      <c r="R60" s="57" t="str">
        <f>_xlfn.XLOOKUP(CONTADJ[[#This Row],[StaffMemberCode]],StaffMembers!O:O,StaffMembers!R:R)</f>
        <v>Roger Bailey</v>
      </c>
      <c r="S60" s="12" t="s">
        <v>4299</v>
      </c>
      <c r="T60" s="12" t="s">
        <v>2495</v>
      </c>
      <c r="U60" s="21">
        <v>46023</v>
      </c>
      <c r="W60" s="12" t="s">
        <v>3153</v>
      </c>
      <c r="X60" s="21">
        <v>46023</v>
      </c>
      <c r="Z60" s="12">
        <v>0</v>
      </c>
      <c r="AA60" s="14">
        <v>47.2</v>
      </c>
    </row>
    <row r="61" spans="1:28" x14ac:dyDescent="0.3">
      <c r="A61" s="12" t="str">
        <f t="shared" si="2"/>
        <v>MLB10013384106045TEASTCH46023</v>
      </c>
      <c r="B61" s="12" t="str">
        <f>CONTADJ[[#This Row],[StaffMemberCode]]&amp;CONTADJ[[#This Row],[AdjustmentTypeCode]]&amp;CONTADJ[[#This Row],[ContractReference]]&amp;CONTADJ[[#This Row],[SchoolCode]]</f>
        <v>10013384TLR_OTH106045MLB</v>
      </c>
      <c r="C61" s="57">
        <f>IF(COUNTIF(ContractsTeachFTE!A:A,ContractAdjustments!A56)&gt;0,0,IF(COUNTIF(ContractsSupportHours!A:A,ContractAdjustments!A56)&gt;0,0,1))</f>
        <v>0</v>
      </c>
      <c r="D61" s="57" cm="1">
        <f t="array" ref="D61">IF(_xlfn.XLOOKUP(CONTADJ[[#This Row],[DepartmentCode]],DEPTS[DepartmentCode],DEPTS[AvailableToAllSchools],1,0,)=TRUE,0,IF(ISERROR(FIND(CONTADJ[[#This Row],[SchoolCode]],_xlfn.TEXTJOIN(",",TRUE,_xlfn.UNIQUE(IF(DEPTS[DepartmentCode]=CONTADJ[[#This Row],[DepartmentCode]],DEPTS[SchoolCodes],""))))),1,0))</f>
        <v>0</v>
      </c>
      <c r="E61" s="57">
        <f>IF(COUNTIF(ADJTYPE[AdjustmentTypeCode],CONTADJ[[#This Row],[AdjustmentTypeCode]])&gt;0,0,1)</f>
        <v>0</v>
      </c>
      <c r="F61" s="57">
        <f>COUNTIF(CONTADJ[Person+Adj Type Point+Contract Ref+SchoolCode],CONTADJ[[#This Row],[Person+Adj Type Point+Contract Ref+SchoolCode]]-1)</f>
        <v>0</v>
      </c>
      <c r="G61" s="57">
        <f t="shared" si="3"/>
        <v>0</v>
      </c>
      <c r="H61" s="57">
        <f>IF(ISBLANK(CONTADJ[[#This Row],[ContractDateTo]]),0,IF(CONTADJ[[#This Row],[ContractDateFrom]]=CONTADJ[[#This Row],[ContractDateTo]],0,IF(CONTADJ[[#This Row],[ContractDateFrom]]&lt;CONTADJ[[#This Row],[ContractDateTo]],0,1)))</f>
        <v>0</v>
      </c>
      <c r="I61" s="57">
        <f>IF(ISBLANK(CONTADJ[[#This Row],[AdjustmentDateTo]]),0,IF(CONTADJ[[#This Row],[AdjustmentDateFrom]]=CONTADJ[[#This Row],[AdjustmentDateTo]],0,IF(CONTADJ[[#This Row],[AdjustmentDateFrom]]&lt;CONTADJ[[#This Row],[AdjustmentDateTo]],0,1)))</f>
        <v>0</v>
      </c>
      <c r="J61" s="57" cm="1">
        <f t="array" aca="1" ref="J61" ca="1">IF(CELL("format",CONTADJ[[#This Row],[ContractDateFrom]])="D1",0,1)+IF(CELL("format",CONTADJ[[#This Row],[ContractDateTo]])="D1",0,1)+IF(CELL("format",CONTADJ[[#This Row],[AdjustmentDateFrom]])="D1",0,1)+IF(CELL("format",CONTADJ[[#This Row],[AdjustmentDateTo]])="D1",0,1)</f>
        <v>0</v>
      </c>
      <c r="K61" s="57">
        <f>IF(LEN(CONTADJ[[#This Row],[Notes]])&lt;4000,0,1)</f>
        <v>0</v>
      </c>
      <c r="L61" s="57">
        <f>COUNTBLANK(CONTADJ[[#This Row],[AnnualValuePreAnnualFte]:[AnnualValuePostAnnualFte]])</f>
        <v>0</v>
      </c>
      <c r="M61" s="57">
        <f ca="1">SUM(CONTADJ[[#This Row],[Contract Issue]:[Blank in column]])</f>
        <v>0</v>
      </c>
      <c r="O61" s="12" t="s">
        <v>2126</v>
      </c>
      <c r="P61" s="12">
        <v>10013384</v>
      </c>
      <c r="Q61" s="12">
        <v>106045</v>
      </c>
      <c r="R61" s="57" t="str">
        <f>_xlfn.XLOOKUP(CONTADJ[[#This Row],[StaffMemberCode]],StaffMembers!O:O,StaffMembers!R:R)</f>
        <v>Ryan Lewis</v>
      </c>
      <c r="S61" s="12" t="s">
        <v>1178</v>
      </c>
      <c r="T61" s="12" t="s">
        <v>2499</v>
      </c>
      <c r="U61" s="21">
        <v>46023</v>
      </c>
      <c r="W61" s="12" t="s">
        <v>4324</v>
      </c>
      <c r="X61" s="21">
        <v>46023</v>
      </c>
      <c r="Z61" s="12">
        <v>0</v>
      </c>
      <c r="AA61" s="14">
        <v>2925</v>
      </c>
      <c r="AB61" s="12" t="s">
        <v>4896</v>
      </c>
    </row>
    <row r="62" spans="1:28" x14ac:dyDescent="0.3">
      <c r="A62" s="12" t="str">
        <f t="shared" si="2"/>
        <v>HIG9107388491073884BHLTA_NURNURSERY45901</v>
      </c>
      <c r="B62" s="12" t="str">
        <f>CONTADJ[[#This Row],[StaffMemberCode]]&amp;CONTADJ[[#This Row],[AdjustmentTypeCode]]&amp;CONTADJ[[#This Row],[ContractReference]]&amp;CONTADJ[[#This Row],[SchoolCode]]</f>
        <v>91073884RES91073884BHIG</v>
      </c>
      <c r="C62" s="57">
        <f>IF(COUNTIF(ContractsTeachFTE!A:A,ContractAdjustments!A13)&gt;0,0,IF(COUNTIF(ContractsSupportHours!A:A,ContractAdjustments!A13)&gt;0,0,1))</f>
        <v>0</v>
      </c>
      <c r="D62" s="57" cm="1">
        <f t="array" ref="D62">IF(_xlfn.XLOOKUP(CONTADJ[[#This Row],[DepartmentCode]],DEPTS[DepartmentCode],DEPTS[AvailableToAllSchools],1,0,)=TRUE,0,IF(ISERROR(FIND(CONTADJ[[#This Row],[SchoolCode]],_xlfn.TEXTJOIN(",",TRUE,_xlfn.UNIQUE(IF(DEPTS[DepartmentCode]=CONTADJ[[#This Row],[DepartmentCode]],DEPTS[SchoolCodes],""))))),1,0))</f>
        <v>0</v>
      </c>
      <c r="E62" s="57">
        <f>IF(COUNTIF(ADJTYPE[AdjustmentTypeCode],CONTADJ[[#This Row],[AdjustmentTypeCode]])&gt;0,0,1)</f>
        <v>0</v>
      </c>
      <c r="F62" s="57">
        <f>COUNTIF(CONTADJ[Person+Adj Type Point+Contract Ref+SchoolCode],CONTADJ[[#This Row],[Person+Adj Type Point+Contract Ref+SchoolCode]]-1)</f>
        <v>0</v>
      </c>
      <c r="G62" s="57">
        <f t="shared" si="3"/>
        <v>0</v>
      </c>
      <c r="H62" s="57">
        <f>IF(ISBLANK(CONTADJ[[#This Row],[ContractDateTo]]),0,IF(CONTADJ[[#This Row],[ContractDateFrom]]=CONTADJ[[#This Row],[ContractDateTo]],0,IF(CONTADJ[[#This Row],[ContractDateFrom]]&lt;CONTADJ[[#This Row],[ContractDateTo]],0,1)))</f>
        <v>0</v>
      </c>
      <c r="I62" s="57">
        <f>IF(ISBLANK(CONTADJ[[#This Row],[AdjustmentDateTo]]),0,IF(CONTADJ[[#This Row],[AdjustmentDateFrom]]=CONTADJ[[#This Row],[AdjustmentDateTo]],0,IF(CONTADJ[[#This Row],[AdjustmentDateFrom]]&lt;CONTADJ[[#This Row],[AdjustmentDateTo]],0,1)))</f>
        <v>0</v>
      </c>
      <c r="J62" s="57" cm="1">
        <f t="array" aca="1" ref="J62" ca="1">IF(CELL("format",CONTADJ[[#This Row],[ContractDateFrom]])="D1",0,1)+IF(CELL("format",CONTADJ[[#This Row],[ContractDateTo]])="D1",0,1)+IF(CELL("format",CONTADJ[[#This Row],[AdjustmentDateFrom]])="D1",0,1)+IF(CELL("format",CONTADJ[[#This Row],[AdjustmentDateTo]])="D1",0,1)</f>
        <v>0</v>
      </c>
      <c r="K62" s="57">
        <f>IF(LEN(CONTADJ[[#This Row],[Notes]])&lt;4000,0,1)</f>
        <v>0</v>
      </c>
      <c r="L62" s="57">
        <f>COUNTBLANK(CONTADJ[[#This Row],[AnnualValuePreAnnualFte]:[AnnualValuePostAnnualFte]])</f>
        <v>0</v>
      </c>
      <c r="M62" s="57">
        <f ca="1">SUM(CONTADJ[[#This Row],[Contract Issue]:[Blank in column]])</f>
        <v>0</v>
      </c>
      <c r="O62" s="12" t="s">
        <v>2266</v>
      </c>
      <c r="P62" s="12">
        <v>91073884</v>
      </c>
      <c r="Q62" s="12" t="s">
        <v>4741</v>
      </c>
      <c r="R62" s="57" t="str">
        <f>_xlfn.XLOOKUP(CONTADJ[[#This Row],[StaffMemberCode]],StaffMembers!O:O,StaffMembers!R:R)</f>
        <v>Samantha Ward</v>
      </c>
      <c r="S62" s="12" t="s">
        <v>4281</v>
      </c>
      <c r="T62" s="12" t="s">
        <v>1959</v>
      </c>
      <c r="U62" s="21">
        <v>45901</v>
      </c>
      <c r="W62" s="12" t="s">
        <v>3149</v>
      </c>
      <c r="X62" s="21">
        <v>45901</v>
      </c>
      <c r="Z62" s="12">
        <v>0</v>
      </c>
      <c r="AA62" s="14">
        <v>1000</v>
      </c>
    </row>
    <row r="63" spans="1:28" x14ac:dyDescent="0.3">
      <c r="A63" s="12" t="str">
        <f t="shared" si="2"/>
        <v>MLB10012813106136TEASTCH46023</v>
      </c>
      <c r="B63" s="12" t="str">
        <f>CONTADJ[[#This Row],[StaffMemberCode]]&amp;CONTADJ[[#This Row],[AdjustmentTypeCode]]&amp;CONTADJ[[#This Row],[ContractReference]]&amp;CONTADJ[[#This Row],[SchoolCode]]</f>
        <v>10012813TLR_OTH106136MLB</v>
      </c>
      <c r="C63" s="57">
        <f>IF(COUNTIF(ContractsTeachFTE!A:A,ContractAdjustments!A59)&gt;0,0,IF(COUNTIF(ContractsSupportHours!A:A,ContractAdjustments!A59)&gt;0,0,1))</f>
        <v>0</v>
      </c>
      <c r="D63" s="57" cm="1">
        <f t="array" ref="D63">IF(_xlfn.XLOOKUP(CONTADJ[[#This Row],[DepartmentCode]],DEPTS[DepartmentCode],DEPTS[AvailableToAllSchools],1,0,)=TRUE,0,IF(ISERROR(FIND(CONTADJ[[#This Row],[SchoolCode]],_xlfn.TEXTJOIN(",",TRUE,_xlfn.UNIQUE(IF(DEPTS[DepartmentCode]=CONTADJ[[#This Row],[DepartmentCode]],DEPTS[SchoolCodes],""))))),1,0))</f>
        <v>0</v>
      </c>
      <c r="E63" s="57">
        <f>IF(COUNTIF(ADJTYPE[AdjustmentTypeCode],CONTADJ[[#This Row],[AdjustmentTypeCode]])&gt;0,0,1)</f>
        <v>0</v>
      </c>
      <c r="F63" s="57">
        <f>COUNTIF(CONTADJ[Person+Adj Type Point+Contract Ref+SchoolCode],CONTADJ[[#This Row],[Person+Adj Type Point+Contract Ref+SchoolCode]]-1)</f>
        <v>0</v>
      </c>
      <c r="G63" s="57">
        <f t="shared" si="3"/>
        <v>0</v>
      </c>
      <c r="H63" s="57">
        <f>IF(ISBLANK(CONTADJ[[#This Row],[ContractDateTo]]),0,IF(CONTADJ[[#This Row],[ContractDateFrom]]=CONTADJ[[#This Row],[ContractDateTo]],0,IF(CONTADJ[[#This Row],[ContractDateFrom]]&lt;CONTADJ[[#This Row],[ContractDateTo]],0,1)))</f>
        <v>0</v>
      </c>
      <c r="I63" s="57">
        <f>IF(ISBLANK(CONTADJ[[#This Row],[AdjustmentDateTo]]),0,IF(CONTADJ[[#This Row],[AdjustmentDateFrom]]=CONTADJ[[#This Row],[AdjustmentDateTo]],0,IF(CONTADJ[[#This Row],[AdjustmentDateFrom]]&lt;CONTADJ[[#This Row],[AdjustmentDateTo]],0,1)))</f>
        <v>0</v>
      </c>
      <c r="J63" s="57" cm="1">
        <f t="array" aca="1" ref="J63" ca="1">IF(CELL("format",CONTADJ[[#This Row],[ContractDateFrom]])="D1",0,1)+IF(CELL("format",CONTADJ[[#This Row],[ContractDateTo]])="D1",0,1)+IF(CELL("format",CONTADJ[[#This Row],[AdjustmentDateFrom]])="D1",0,1)+IF(CELL("format",CONTADJ[[#This Row],[AdjustmentDateTo]])="D1",0,1)</f>
        <v>0</v>
      </c>
      <c r="K63" s="57">
        <f>IF(LEN(CONTADJ[[#This Row],[Notes]])&lt;4000,0,1)</f>
        <v>0</v>
      </c>
      <c r="L63" s="57">
        <f>COUNTBLANK(CONTADJ[[#This Row],[AnnualValuePreAnnualFte]:[AnnualValuePostAnnualFte]])</f>
        <v>0</v>
      </c>
      <c r="M63" s="57">
        <f ca="1">SUM(CONTADJ[[#This Row],[Contract Issue]:[Blank in column]])</f>
        <v>0</v>
      </c>
      <c r="O63" s="12" t="s">
        <v>2126</v>
      </c>
      <c r="P63" s="12">
        <v>10012813</v>
      </c>
      <c r="Q63" s="12">
        <v>106136</v>
      </c>
      <c r="R63" s="57" t="str">
        <f>_xlfn.XLOOKUP(CONTADJ[[#This Row],[StaffMemberCode]],StaffMembers!O:O,StaffMembers!R:R)</f>
        <v>Sarah Gibson</v>
      </c>
      <c r="S63" s="12" t="s">
        <v>1178</v>
      </c>
      <c r="T63" s="12" t="s">
        <v>2499</v>
      </c>
      <c r="U63" s="21">
        <v>46023</v>
      </c>
      <c r="W63" s="12" t="s">
        <v>4324</v>
      </c>
      <c r="X63" s="21">
        <v>46023</v>
      </c>
      <c r="Z63" s="12">
        <v>0</v>
      </c>
      <c r="AA63" s="14">
        <v>5849</v>
      </c>
      <c r="AB63" s="12" t="s">
        <v>4896</v>
      </c>
    </row>
    <row r="64" spans="1:28" x14ac:dyDescent="0.3">
      <c r="A64" s="12" t="str">
        <f t="shared" si="2"/>
        <v>MLB10011487107360TEASTCH46023</v>
      </c>
      <c r="B64" s="12" t="str">
        <f>CONTADJ[[#This Row],[StaffMemberCode]]&amp;CONTADJ[[#This Row],[AdjustmentTypeCode]]&amp;CONTADJ[[#This Row],[ContractReference]]&amp;CONTADJ[[#This Row],[SchoolCode]]</f>
        <v>10011487TLR_OTH107360MLB</v>
      </c>
      <c r="C64" s="57">
        <f>IF(COUNTIF(ContractsTeachFTE!A:A,ContractAdjustments!A57)&gt;0,0,IF(COUNTIF(ContractsSupportHours!A:A,ContractAdjustments!A57)&gt;0,0,1))</f>
        <v>0</v>
      </c>
      <c r="D64" s="57" cm="1">
        <f t="array" ref="D64">IF(_xlfn.XLOOKUP(CONTADJ[[#This Row],[DepartmentCode]],DEPTS[DepartmentCode],DEPTS[AvailableToAllSchools],1,0,)=TRUE,0,IF(ISERROR(FIND(CONTADJ[[#This Row],[SchoolCode]],_xlfn.TEXTJOIN(",",TRUE,_xlfn.UNIQUE(IF(DEPTS[DepartmentCode]=CONTADJ[[#This Row],[DepartmentCode]],DEPTS[SchoolCodes],""))))),1,0))</f>
        <v>0</v>
      </c>
      <c r="E64" s="57">
        <f>IF(COUNTIF(ADJTYPE[AdjustmentTypeCode],CONTADJ[[#This Row],[AdjustmentTypeCode]])&gt;0,0,1)</f>
        <v>0</v>
      </c>
      <c r="F64" s="57">
        <f>COUNTIF(CONTADJ[Person+Adj Type Point+Contract Ref+SchoolCode],CONTADJ[[#This Row],[Person+Adj Type Point+Contract Ref+SchoolCode]]-1)</f>
        <v>0</v>
      </c>
      <c r="G64" s="57">
        <f t="shared" si="3"/>
        <v>0</v>
      </c>
      <c r="H64" s="57">
        <f>IF(ISBLANK(CONTADJ[[#This Row],[ContractDateTo]]),0,IF(CONTADJ[[#This Row],[ContractDateFrom]]=CONTADJ[[#This Row],[ContractDateTo]],0,IF(CONTADJ[[#This Row],[ContractDateFrom]]&lt;CONTADJ[[#This Row],[ContractDateTo]],0,1)))</f>
        <v>0</v>
      </c>
      <c r="I64" s="57">
        <f>IF(ISBLANK(CONTADJ[[#This Row],[AdjustmentDateTo]]),0,IF(CONTADJ[[#This Row],[AdjustmentDateFrom]]=CONTADJ[[#This Row],[AdjustmentDateTo]],0,IF(CONTADJ[[#This Row],[AdjustmentDateFrom]]&lt;CONTADJ[[#This Row],[AdjustmentDateTo]],0,1)))</f>
        <v>0</v>
      </c>
      <c r="J64" s="57" cm="1">
        <f t="array" aca="1" ref="J64" ca="1">IF(CELL("format",CONTADJ[[#This Row],[ContractDateFrom]])="D1",0,1)+IF(CELL("format",CONTADJ[[#This Row],[ContractDateTo]])="D1",0,1)+IF(CELL("format",CONTADJ[[#This Row],[AdjustmentDateFrom]])="D1",0,1)+IF(CELL("format",CONTADJ[[#This Row],[AdjustmentDateTo]])="D1",0,1)</f>
        <v>0</v>
      </c>
      <c r="K64" s="57">
        <f>IF(LEN(CONTADJ[[#This Row],[Notes]])&lt;4000,0,1)</f>
        <v>0</v>
      </c>
      <c r="L64" s="57">
        <f>COUNTBLANK(CONTADJ[[#This Row],[AnnualValuePreAnnualFte]:[AnnualValuePostAnnualFte]])</f>
        <v>0</v>
      </c>
      <c r="M64" s="57">
        <f ca="1">SUM(CONTADJ[[#This Row],[Contract Issue]:[Blank in column]])</f>
        <v>0</v>
      </c>
      <c r="O64" s="12" t="s">
        <v>2126</v>
      </c>
      <c r="P64" s="12">
        <v>10011487</v>
      </c>
      <c r="Q64" s="12">
        <v>107360</v>
      </c>
      <c r="R64" s="57" t="str">
        <f>_xlfn.XLOOKUP(CONTADJ[[#This Row],[StaffMemberCode]],StaffMembers!O:O,StaffMembers!R:R)</f>
        <v>Sarah Jennings</v>
      </c>
      <c r="S64" s="12" t="s">
        <v>1178</v>
      </c>
      <c r="T64" s="12" t="s">
        <v>2499</v>
      </c>
      <c r="U64" s="21">
        <v>46023</v>
      </c>
      <c r="W64" s="12" t="s">
        <v>4324</v>
      </c>
      <c r="X64" s="21">
        <v>46023</v>
      </c>
      <c r="Z64" s="12">
        <v>0</v>
      </c>
      <c r="AA64" s="14">
        <v>5849</v>
      </c>
      <c r="AB64" s="12" t="s">
        <v>4896</v>
      </c>
    </row>
    <row r="65" spans="1:28" x14ac:dyDescent="0.3">
      <c r="A65" s="12" t="str">
        <f t="shared" si="2"/>
        <v>MLB10011487107360TEASTCH46023</v>
      </c>
      <c r="B65" s="12" t="str">
        <f>CONTADJ[[#This Row],[StaffMemberCode]]&amp;CONTADJ[[#This Row],[AdjustmentTypeCode]]&amp;CONTADJ[[#This Row],[ContractReference]]&amp;CONTADJ[[#This Row],[SchoolCode]]</f>
        <v>10011487RR107360MLB</v>
      </c>
      <c r="C65" s="57">
        <f>IF(COUNTIF(ContractsTeachFTE!A:A,ContractAdjustments!A74)&gt;0,0,IF(COUNTIF(ContractsSupportHours!A:A,ContractAdjustments!A74)&gt;0,0,1))</f>
        <v>0</v>
      </c>
      <c r="D65" s="57" cm="1">
        <f t="array" ref="D65">IF(_xlfn.XLOOKUP(CONTADJ[[#This Row],[DepartmentCode]],DEPTS[DepartmentCode],DEPTS[AvailableToAllSchools],1,0,)=TRUE,0,IF(ISERROR(FIND(CONTADJ[[#This Row],[SchoolCode]],_xlfn.TEXTJOIN(",",TRUE,_xlfn.UNIQUE(IF(DEPTS[DepartmentCode]=CONTADJ[[#This Row],[DepartmentCode]],DEPTS[SchoolCodes],""))))),1,0))</f>
        <v>0</v>
      </c>
      <c r="E65" s="57">
        <f>IF(COUNTIF(ADJTYPE[AdjustmentTypeCode],CONTADJ[[#This Row],[AdjustmentTypeCode]])&gt;0,0,1)</f>
        <v>0</v>
      </c>
      <c r="F65" s="57">
        <f>COUNTIF(CONTADJ[Person+Adj Type Point+Contract Ref+SchoolCode],CONTADJ[[#This Row],[Person+Adj Type Point+Contract Ref+SchoolCode]]-1)</f>
        <v>0</v>
      </c>
      <c r="G65" s="57">
        <f t="shared" si="3"/>
        <v>0</v>
      </c>
      <c r="H65" s="57">
        <f>IF(ISBLANK(CONTADJ[[#This Row],[ContractDateTo]]),0,IF(CONTADJ[[#This Row],[ContractDateFrom]]=CONTADJ[[#This Row],[ContractDateTo]],0,IF(CONTADJ[[#This Row],[ContractDateFrom]]&lt;CONTADJ[[#This Row],[ContractDateTo]],0,1)))</f>
        <v>0</v>
      </c>
      <c r="I65" s="57">
        <f>IF(ISBLANK(CONTADJ[[#This Row],[AdjustmentDateTo]]),0,IF(CONTADJ[[#This Row],[AdjustmentDateFrom]]=CONTADJ[[#This Row],[AdjustmentDateTo]],0,IF(CONTADJ[[#This Row],[AdjustmentDateFrom]]&lt;CONTADJ[[#This Row],[AdjustmentDateTo]],0,1)))</f>
        <v>0</v>
      </c>
      <c r="J65" s="57" cm="1">
        <f t="array" aca="1" ref="J65" ca="1">IF(CELL("format",CONTADJ[[#This Row],[ContractDateFrom]])="D1",0,1)+IF(CELL("format",CONTADJ[[#This Row],[ContractDateTo]])="D1",0,1)+IF(CELL("format",CONTADJ[[#This Row],[AdjustmentDateFrom]])="D1",0,1)+IF(CELL("format",CONTADJ[[#This Row],[AdjustmentDateTo]])="D1",0,1)</f>
        <v>0</v>
      </c>
      <c r="K65" s="57">
        <f>IF(LEN(CONTADJ[[#This Row],[Notes]])&lt;4000,0,1)</f>
        <v>0</v>
      </c>
      <c r="L65" s="57">
        <f>COUNTBLANK(CONTADJ[[#This Row],[AnnualValuePreAnnualFte]:[AnnualValuePostAnnualFte]])</f>
        <v>0</v>
      </c>
      <c r="M65" s="57">
        <f ca="1">SUM(CONTADJ[[#This Row],[Contract Issue]:[Blank in column]])</f>
        <v>0</v>
      </c>
      <c r="O65" s="12" t="s">
        <v>2126</v>
      </c>
      <c r="P65" s="12">
        <v>10011487</v>
      </c>
      <c r="Q65" s="12">
        <v>107360</v>
      </c>
      <c r="R65" s="57" t="str">
        <f>_xlfn.XLOOKUP(CONTADJ[[#This Row],[StaffMemberCode]],StaffMembers!O:O,StaffMembers!R:R)</f>
        <v>Sarah Jennings</v>
      </c>
      <c r="S65" s="12" t="s">
        <v>1178</v>
      </c>
      <c r="T65" s="12" t="s">
        <v>2499</v>
      </c>
      <c r="U65" s="21">
        <v>46023</v>
      </c>
      <c r="W65" s="12" t="s">
        <v>3151</v>
      </c>
      <c r="X65" s="21">
        <v>46023</v>
      </c>
      <c r="Z65" s="12">
        <v>0</v>
      </c>
      <c r="AA65" s="14">
        <v>3527</v>
      </c>
    </row>
    <row r="66" spans="1:28" x14ac:dyDescent="0.3">
      <c r="A66" s="12" t="str">
        <f t="shared" ref="A66:A83" si="4">O66&amp;P66&amp;Q66&amp;S66&amp;T66&amp;U66</f>
        <v>BLS9107345091073450ATEASTCH45901</v>
      </c>
      <c r="B66" s="12" t="str">
        <f>CONTADJ[[#This Row],[StaffMemberCode]]&amp;CONTADJ[[#This Row],[AdjustmentTypeCode]]&amp;CONTADJ[[#This Row],[ContractReference]]&amp;CONTADJ[[#This Row],[SchoolCode]]</f>
        <v>91073450RES91073450ABLS</v>
      </c>
      <c r="C66" s="57">
        <f>IF(COUNTIF(ContractsTeachFTE!A:A,ContractAdjustments!A35)&gt;0,0,IF(COUNTIF(ContractsSupportHours!A:A,ContractAdjustments!A35)&gt;0,0,1))</f>
        <v>0</v>
      </c>
      <c r="D66" s="57" cm="1">
        <f t="array" ref="D66">IF(_xlfn.XLOOKUP(CONTADJ[[#This Row],[DepartmentCode]],DEPTS[DepartmentCode],DEPTS[AvailableToAllSchools],1,0,)=TRUE,0,IF(ISERROR(FIND(CONTADJ[[#This Row],[SchoolCode]],_xlfn.TEXTJOIN(",",TRUE,_xlfn.UNIQUE(IF(DEPTS[DepartmentCode]=CONTADJ[[#This Row],[DepartmentCode]],DEPTS[SchoolCodes],""))))),1,0))</f>
        <v>0</v>
      </c>
      <c r="E66" s="57">
        <f>IF(COUNTIF(ADJTYPE[AdjustmentTypeCode],CONTADJ[[#This Row],[AdjustmentTypeCode]])&gt;0,0,1)</f>
        <v>0</v>
      </c>
      <c r="F66" s="57">
        <f>COUNTIF(CONTADJ[Person+Adj Type Point+Contract Ref+SchoolCode],CONTADJ[[#This Row],[Person+Adj Type Point+Contract Ref+SchoolCode]]-1)</f>
        <v>0</v>
      </c>
      <c r="G66" s="57">
        <f t="shared" ref="G66:G83" si="5">IF(U66&gt;X66,1,0)</f>
        <v>0</v>
      </c>
      <c r="H66" s="57">
        <f>IF(ISBLANK(CONTADJ[[#This Row],[ContractDateTo]]),0,IF(CONTADJ[[#This Row],[ContractDateFrom]]=CONTADJ[[#This Row],[ContractDateTo]],0,IF(CONTADJ[[#This Row],[ContractDateFrom]]&lt;CONTADJ[[#This Row],[ContractDateTo]],0,1)))</f>
        <v>0</v>
      </c>
      <c r="I66" s="57">
        <f>IF(ISBLANK(CONTADJ[[#This Row],[AdjustmentDateTo]]),0,IF(CONTADJ[[#This Row],[AdjustmentDateFrom]]=CONTADJ[[#This Row],[AdjustmentDateTo]],0,IF(CONTADJ[[#This Row],[AdjustmentDateFrom]]&lt;CONTADJ[[#This Row],[AdjustmentDateTo]],0,1)))</f>
        <v>0</v>
      </c>
      <c r="J66" s="57" cm="1">
        <f t="array" aca="1" ref="J66" ca="1">IF(CELL("format",CONTADJ[[#This Row],[ContractDateFrom]])="D1",0,1)+IF(CELL("format",CONTADJ[[#This Row],[ContractDateTo]])="D1",0,1)+IF(CELL("format",CONTADJ[[#This Row],[AdjustmentDateFrom]])="D1",0,1)+IF(CELL("format",CONTADJ[[#This Row],[AdjustmentDateTo]])="D1",0,1)</f>
        <v>0</v>
      </c>
      <c r="K66" s="57">
        <f>IF(LEN(CONTADJ[[#This Row],[Notes]])&lt;4000,0,1)</f>
        <v>0</v>
      </c>
      <c r="L66" s="57">
        <f>COUNTBLANK(CONTADJ[[#This Row],[AnnualValuePreAnnualFte]:[AnnualValuePostAnnualFte]])</f>
        <v>0</v>
      </c>
      <c r="M66" s="57">
        <f ca="1">SUM(CONTADJ[[#This Row],[Contract Issue]:[Blank in column]])</f>
        <v>0</v>
      </c>
      <c r="O66" s="12" t="s">
        <v>2094</v>
      </c>
      <c r="P66" s="12">
        <v>91073450</v>
      </c>
      <c r="Q66" s="12" t="s">
        <v>4404</v>
      </c>
      <c r="R66" s="57" t="str">
        <f>_xlfn.XLOOKUP(CONTADJ[[#This Row],[StaffMemberCode]],StaffMembers!O:O,StaffMembers!R:R)</f>
        <v>Sarah Meredith</v>
      </c>
      <c r="S66" s="12" t="s">
        <v>1178</v>
      </c>
      <c r="T66" s="12" t="s">
        <v>2499</v>
      </c>
      <c r="U66" s="21">
        <v>45901</v>
      </c>
      <c r="W66" s="12" t="s">
        <v>3149</v>
      </c>
      <c r="X66" s="21">
        <v>45901</v>
      </c>
      <c r="Z66" s="12">
        <v>0</v>
      </c>
      <c r="AA66" s="14">
        <v>3879.7</v>
      </c>
    </row>
    <row r="67" spans="1:28" x14ac:dyDescent="0.3">
      <c r="A67" s="12" t="str">
        <f t="shared" si="4"/>
        <v>BLS9107352591073525ATEASTCH45901</v>
      </c>
      <c r="B67" s="12" t="str">
        <f>CONTADJ[[#This Row],[StaffMemberCode]]&amp;CONTADJ[[#This Row],[AdjustmentTypeCode]]&amp;CONTADJ[[#This Row],[ContractReference]]&amp;CONTADJ[[#This Row],[SchoolCode]]</f>
        <v>91073525JOB91073525ABLS</v>
      </c>
      <c r="C67" s="57">
        <f>IF(COUNTIF(ContractsTeachFTE!A:A,ContractAdjustments!A23)&gt;0,0,IF(COUNTIF(ContractsSupportHours!A:A,ContractAdjustments!A23)&gt;0,0,1))</f>
        <v>0</v>
      </c>
      <c r="D67" s="57" cm="1">
        <f t="array" ref="D67">IF(_xlfn.XLOOKUP(CONTADJ[[#This Row],[DepartmentCode]],DEPTS[DepartmentCode],DEPTS[AvailableToAllSchools],1,0,)=TRUE,0,IF(ISERROR(FIND(CONTADJ[[#This Row],[SchoolCode]],_xlfn.TEXTJOIN(",",TRUE,_xlfn.UNIQUE(IF(DEPTS[DepartmentCode]=CONTADJ[[#This Row],[DepartmentCode]],DEPTS[SchoolCodes],""))))),1,0))</f>
        <v>0</v>
      </c>
      <c r="E67" s="57">
        <f>IF(COUNTIF(ADJTYPE[AdjustmentTypeCode],CONTADJ[[#This Row],[AdjustmentTypeCode]])&gt;0,0,1)</f>
        <v>0</v>
      </c>
      <c r="F67" s="57">
        <f>COUNTIF(CONTADJ[Person+Adj Type Point+Contract Ref+SchoolCode],CONTADJ[[#This Row],[Person+Adj Type Point+Contract Ref+SchoolCode]]-1)</f>
        <v>0</v>
      </c>
      <c r="G67" s="57">
        <f t="shared" si="5"/>
        <v>0</v>
      </c>
      <c r="H67" s="57">
        <f>IF(ISBLANK(CONTADJ[[#This Row],[ContractDateTo]]),0,IF(CONTADJ[[#This Row],[ContractDateFrom]]=CONTADJ[[#This Row],[ContractDateTo]],0,IF(CONTADJ[[#This Row],[ContractDateFrom]]&lt;CONTADJ[[#This Row],[ContractDateTo]],0,1)))</f>
        <v>0</v>
      </c>
      <c r="I67" s="57">
        <f>IF(ISBLANK(CONTADJ[[#This Row],[AdjustmentDateTo]]),0,IF(CONTADJ[[#This Row],[AdjustmentDateFrom]]=CONTADJ[[#This Row],[AdjustmentDateTo]],0,IF(CONTADJ[[#This Row],[AdjustmentDateFrom]]&lt;CONTADJ[[#This Row],[AdjustmentDateTo]],0,1)))</f>
        <v>0</v>
      </c>
      <c r="J67" s="57" cm="1">
        <f t="array" aca="1" ref="J67" ca="1">IF(CELL("format",CONTADJ[[#This Row],[ContractDateFrom]])="D1",0,1)+IF(CELL("format",CONTADJ[[#This Row],[ContractDateTo]])="D1",0,1)+IF(CELL("format",CONTADJ[[#This Row],[AdjustmentDateFrom]])="D1",0,1)+IF(CELL("format",CONTADJ[[#This Row],[AdjustmentDateTo]])="D1",0,1)</f>
        <v>0</v>
      </c>
      <c r="K67" s="57">
        <f>IF(LEN(CONTADJ[[#This Row],[Notes]])&lt;4000,0,1)</f>
        <v>0</v>
      </c>
      <c r="L67" s="57">
        <f>COUNTBLANK(CONTADJ[[#This Row],[AnnualValuePreAnnualFte]:[AnnualValuePostAnnualFte]])</f>
        <v>0</v>
      </c>
      <c r="M67" s="57">
        <f ca="1">SUM(CONTADJ[[#This Row],[Contract Issue]:[Blank in column]])</f>
        <v>0</v>
      </c>
      <c r="O67" s="12" t="s">
        <v>2094</v>
      </c>
      <c r="P67" s="12">
        <v>91073525</v>
      </c>
      <c r="Q67" s="12" t="s">
        <v>4380</v>
      </c>
      <c r="R67" s="57" t="str">
        <f>_xlfn.XLOOKUP(CONTADJ[[#This Row],[StaffMemberCode]],StaffMembers!O:O,StaffMembers!R:R)</f>
        <v>Sarah Mottram</v>
      </c>
      <c r="S67" s="12" t="s">
        <v>1178</v>
      </c>
      <c r="T67" s="12" t="s">
        <v>2499</v>
      </c>
      <c r="U67" s="21">
        <v>45901</v>
      </c>
      <c r="W67" s="12" t="s">
        <v>3157</v>
      </c>
      <c r="X67" s="21">
        <v>45901</v>
      </c>
      <c r="Z67" s="12">
        <v>0</v>
      </c>
      <c r="AA67" s="14">
        <v>1410.72</v>
      </c>
    </row>
    <row r="68" spans="1:28" x14ac:dyDescent="0.3">
      <c r="A68" s="12" t="str">
        <f t="shared" si="4"/>
        <v>BLS9107350091073500ACLESPREM45901</v>
      </c>
      <c r="B68" s="12" t="str">
        <f>CONTADJ[[#This Row],[StaffMemberCode]]&amp;CONTADJ[[#This Row],[AdjustmentTypeCode]]&amp;CONTADJ[[#This Row],[ContractReference]]&amp;CONTADJ[[#This Row],[SchoolCode]]</f>
        <v>91073500OTH91073500ABLS</v>
      </c>
      <c r="C68" s="57">
        <f>IF(COUNTIF(ContractsTeachFTE!A:A,ContractAdjustments!A9)&gt;0,0,IF(COUNTIF(ContractsSupportHours!A:A,ContractAdjustments!A9)&gt;0,0,1))</f>
        <v>0</v>
      </c>
      <c r="D68" s="57" cm="1">
        <f t="array" ref="D68">IF(_xlfn.XLOOKUP(CONTADJ[[#This Row],[DepartmentCode]],DEPTS[DepartmentCode],DEPTS[AvailableToAllSchools],1,0,)=TRUE,0,IF(ISERROR(FIND(CONTADJ[[#This Row],[SchoolCode]],_xlfn.TEXTJOIN(",",TRUE,_xlfn.UNIQUE(IF(DEPTS[DepartmentCode]=CONTADJ[[#This Row],[DepartmentCode]],DEPTS[SchoolCodes],""))))),1,0))</f>
        <v>0</v>
      </c>
      <c r="E68" s="57">
        <f>IF(COUNTIF(ADJTYPE[AdjustmentTypeCode],CONTADJ[[#This Row],[AdjustmentTypeCode]])&gt;0,0,1)</f>
        <v>0</v>
      </c>
      <c r="F68" s="57">
        <f>COUNTIF(CONTADJ[Person+Adj Type Point+Contract Ref+SchoolCode],CONTADJ[[#This Row],[Person+Adj Type Point+Contract Ref+SchoolCode]]-1)</f>
        <v>0</v>
      </c>
      <c r="G68" s="57">
        <f t="shared" si="5"/>
        <v>0</v>
      </c>
      <c r="H68" s="57">
        <f>IF(ISBLANK(CONTADJ[[#This Row],[ContractDateTo]]),0,IF(CONTADJ[[#This Row],[ContractDateFrom]]=CONTADJ[[#This Row],[ContractDateTo]],0,IF(CONTADJ[[#This Row],[ContractDateFrom]]&lt;CONTADJ[[#This Row],[ContractDateTo]],0,1)))</f>
        <v>0</v>
      </c>
      <c r="I68" s="57">
        <f>IF(ISBLANK(CONTADJ[[#This Row],[AdjustmentDateTo]]),0,IF(CONTADJ[[#This Row],[AdjustmentDateFrom]]=CONTADJ[[#This Row],[AdjustmentDateTo]],0,IF(CONTADJ[[#This Row],[AdjustmentDateFrom]]&lt;CONTADJ[[#This Row],[AdjustmentDateTo]],0,1)))</f>
        <v>0</v>
      </c>
      <c r="J68" s="57" cm="1">
        <f t="array" aca="1" ref="J68" ca="1">IF(CELL("format",CONTADJ[[#This Row],[ContractDateFrom]])="D1",0,1)+IF(CELL("format",CONTADJ[[#This Row],[ContractDateTo]])="D1",0,1)+IF(CELL("format",CONTADJ[[#This Row],[AdjustmentDateFrom]])="D1",0,1)+IF(CELL("format",CONTADJ[[#This Row],[AdjustmentDateTo]])="D1",0,1)</f>
        <v>0</v>
      </c>
      <c r="K68" s="57">
        <f>IF(LEN(CONTADJ[[#This Row],[Notes]])&lt;4000,0,1)</f>
        <v>0</v>
      </c>
      <c r="L68" s="57">
        <f>COUNTBLANK(CONTADJ[[#This Row],[AnnualValuePreAnnualFte]:[AnnualValuePostAnnualFte]])</f>
        <v>0</v>
      </c>
      <c r="M68" s="57">
        <f ca="1">SUM(CONTADJ[[#This Row],[Contract Issue]:[Blank in column]])</f>
        <v>0</v>
      </c>
      <c r="O68" s="12" t="s">
        <v>2094</v>
      </c>
      <c r="P68" s="12">
        <v>91073500</v>
      </c>
      <c r="Q68" s="12" t="s">
        <v>4646</v>
      </c>
      <c r="R68" s="57" t="str">
        <f>_xlfn.XLOOKUP(CONTADJ[[#This Row],[StaffMemberCode]],StaffMembers!O:O,StaffMembers!R:R)</f>
        <v>Sarah Peel</v>
      </c>
      <c r="S68" s="12" t="s">
        <v>1190</v>
      </c>
      <c r="T68" s="12" t="s">
        <v>2495</v>
      </c>
      <c r="U68" s="21">
        <v>45901</v>
      </c>
      <c r="W68" s="12" t="s">
        <v>1194</v>
      </c>
      <c r="X68" s="21">
        <v>45901</v>
      </c>
      <c r="Z68" s="12">
        <v>0</v>
      </c>
      <c r="AA68" s="14">
        <v>189.93</v>
      </c>
    </row>
    <row r="69" spans="1:28" x14ac:dyDescent="0.3">
      <c r="A69" s="12" t="str">
        <f t="shared" si="4"/>
        <v>BLS9107353691073536ATEASTCH45901</v>
      </c>
      <c r="B69" s="12" t="str">
        <f>CONTADJ[[#This Row],[StaffMemberCode]]&amp;CONTADJ[[#This Row],[AdjustmentTypeCode]]&amp;CONTADJ[[#This Row],[ContractReference]]&amp;CONTADJ[[#This Row],[SchoolCode]]</f>
        <v>91073536JOB91073536ABLS</v>
      </c>
      <c r="C69" s="57">
        <f>IF(COUNTIF(ContractsTeachFTE!A:A,ContractAdjustments!A28)&gt;0,0,IF(COUNTIF(ContractsSupportHours!A:A,ContractAdjustments!A28)&gt;0,0,1))</f>
        <v>0</v>
      </c>
      <c r="D69" s="57" cm="1">
        <f t="array" ref="D69">IF(_xlfn.XLOOKUP(CONTADJ[[#This Row],[DepartmentCode]],DEPTS[DepartmentCode],DEPTS[AvailableToAllSchools],1,0,)=TRUE,0,IF(ISERROR(FIND(CONTADJ[[#This Row],[SchoolCode]],_xlfn.TEXTJOIN(",",TRUE,_xlfn.UNIQUE(IF(DEPTS[DepartmentCode]=CONTADJ[[#This Row],[DepartmentCode]],DEPTS[SchoolCodes],""))))),1,0))</f>
        <v>0</v>
      </c>
      <c r="E69" s="57">
        <f>IF(COUNTIF(ADJTYPE[AdjustmentTypeCode],CONTADJ[[#This Row],[AdjustmentTypeCode]])&gt;0,0,1)</f>
        <v>0</v>
      </c>
      <c r="F69" s="57">
        <f>COUNTIF(CONTADJ[Person+Adj Type Point+Contract Ref+SchoolCode],CONTADJ[[#This Row],[Person+Adj Type Point+Contract Ref+SchoolCode]]-1)</f>
        <v>0</v>
      </c>
      <c r="G69" s="57">
        <f t="shared" si="5"/>
        <v>0</v>
      </c>
      <c r="H69" s="57">
        <f>IF(ISBLANK(CONTADJ[[#This Row],[ContractDateTo]]),0,IF(CONTADJ[[#This Row],[ContractDateFrom]]=CONTADJ[[#This Row],[ContractDateTo]],0,IF(CONTADJ[[#This Row],[ContractDateFrom]]&lt;CONTADJ[[#This Row],[ContractDateTo]],0,1)))</f>
        <v>0</v>
      </c>
      <c r="I69" s="57">
        <f>IF(ISBLANK(CONTADJ[[#This Row],[AdjustmentDateTo]]),0,IF(CONTADJ[[#This Row],[AdjustmentDateFrom]]=CONTADJ[[#This Row],[AdjustmentDateTo]],0,IF(CONTADJ[[#This Row],[AdjustmentDateFrom]]&lt;CONTADJ[[#This Row],[AdjustmentDateTo]],0,1)))</f>
        <v>0</v>
      </c>
      <c r="J69" s="57" cm="1">
        <f t="array" aca="1" ref="J69" ca="1">IF(CELL("format",CONTADJ[[#This Row],[ContractDateFrom]])="D1",0,1)+IF(CELL("format",CONTADJ[[#This Row],[ContractDateTo]])="D1",0,1)+IF(CELL("format",CONTADJ[[#This Row],[AdjustmentDateFrom]])="D1",0,1)+IF(CELL("format",CONTADJ[[#This Row],[AdjustmentDateTo]])="D1",0,1)</f>
        <v>0</v>
      </c>
      <c r="K69" s="57">
        <f>IF(LEN(CONTADJ[[#This Row],[Notes]])&lt;4000,0,1)</f>
        <v>0</v>
      </c>
      <c r="L69" s="57">
        <f>COUNTBLANK(CONTADJ[[#This Row],[AnnualValuePreAnnualFte]:[AnnualValuePostAnnualFte]])</f>
        <v>0</v>
      </c>
      <c r="M69" s="57">
        <f ca="1">SUM(CONTADJ[[#This Row],[Contract Issue]:[Blank in column]])</f>
        <v>0</v>
      </c>
      <c r="O69" s="12" t="s">
        <v>2094</v>
      </c>
      <c r="P69" s="12">
        <v>91073536</v>
      </c>
      <c r="Q69" s="12" t="s">
        <v>4385</v>
      </c>
      <c r="R69" s="57" t="str">
        <f>_xlfn.XLOOKUP(CONTADJ[[#This Row],[StaffMemberCode]],StaffMembers!O:O,StaffMembers!R:R)</f>
        <v>Simon Gresty</v>
      </c>
      <c r="S69" s="12" t="s">
        <v>1178</v>
      </c>
      <c r="T69" s="12" t="s">
        <v>2499</v>
      </c>
      <c r="U69" s="21">
        <v>45901</v>
      </c>
      <c r="W69" s="12" t="s">
        <v>3157</v>
      </c>
      <c r="X69" s="21">
        <v>45901</v>
      </c>
      <c r="Z69" s="12">
        <v>0</v>
      </c>
      <c r="AA69" s="14">
        <v>4232.3999999999996</v>
      </c>
    </row>
    <row r="70" spans="1:28" x14ac:dyDescent="0.3">
      <c r="A70" s="12" t="str">
        <f t="shared" si="4"/>
        <v>BLS9132368791323687ATEASTCH45901</v>
      </c>
      <c r="B70" s="12" t="str">
        <f>CONTADJ[[#This Row],[StaffMemberCode]]&amp;CONTADJ[[#This Row],[AdjustmentTypeCode]]&amp;CONTADJ[[#This Row],[ContractReference]]&amp;CONTADJ[[#This Row],[SchoolCode]]</f>
        <v>91323687TLR_OTH91323687ABLS</v>
      </c>
      <c r="C70" s="57">
        <f>IF(COUNTIF(ContractsTeachFTE!A:A,ContractAdjustments!A16)&gt;0,0,IF(COUNTIF(ContractsSupportHours!A:A,ContractAdjustments!A16)&gt;0,0,1))</f>
        <v>0</v>
      </c>
      <c r="D70" s="57" cm="1">
        <f t="array" ref="D70">IF(_xlfn.XLOOKUP(CONTADJ[[#This Row],[DepartmentCode]],DEPTS[DepartmentCode],DEPTS[AvailableToAllSchools],1,0,)=TRUE,0,IF(ISERROR(FIND(CONTADJ[[#This Row],[SchoolCode]],_xlfn.TEXTJOIN(",",TRUE,_xlfn.UNIQUE(IF(DEPTS[DepartmentCode]=CONTADJ[[#This Row],[DepartmentCode]],DEPTS[SchoolCodes],""))))),1,0))</f>
        <v>0</v>
      </c>
      <c r="E70" s="57">
        <f>IF(COUNTIF(ADJTYPE[AdjustmentTypeCode],CONTADJ[[#This Row],[AdjustmentTypeCode]])&gt;0,0,1)</f>
        <v>0</v>
      </c>
      <c r="F70" s="57">
        <f>COUNTIF(CONTADJ[Person+Adj Type Point+Contract Ref+SchoolCode],CONTADJ[[#This Row],[Person+Adj Type Point+Contract Ref+SchoolCode]]-1)</f>
        <v>0</v>
      </c>
      <c r="G70" s="57">
        <f t="shared" si="5"/>
        <v>0</v>
      </c>
      <c r="H70" s="57">
        <f>IF(ISBLANK(CONTADJ[[#This Row],[ContractDateTo]]),0,IF(CONTADJ[[#This Row],[ContractDateFrom]]=CONTADJ[[#This Row],[ContractDateTo]],0,IF(CONTADJ[[#This Row],[ContractDateFrom]]&lt;CONTADJ[[#This Row],[ContractDateTo]],0,1)))</f>
        <v>0</v>
      </c>
      <c r="I70" s="57">
        <f>IF(ISBLANK(CONTADJ[[#This Row],[AdjustmentDateTo]]),0,IF(CONTADJ[[#This Row],[AdjustmentDateFrom]]=CONTADJ[[#This Row],[AdjustmentDateTo]],0,IF(CONTADJ[[#This Row],[AdjustmentDateFrom]]&lt;CONTADJ[[#This Row],[AdjustmentDateTo]],0,1)))</f>
        <v>0</v>
      </c>
      <c r="J70" s="57" cm="1">
        <f t="array" aca="1" ref="J70" ca="1">IF(CELL("format",CONTADJ[[#This Row],[ContractDateFrom]])="D1",0,1)+IF(CELL("format",CONTADJ[[#This Row],[ContractDateTo]])="D1",0,1)+IF(CELL("format",CONTADJ[[#This Row],[AdjustmentDateFrom]])="D1",0,1)+IF(CELL("format",CONTADJ[[#This Row],[AdjustmentDateTo]])="D1",0,1)</f>
        <v>0</v>
      </c>
      <c r="K70" s="57">
        <f>IF(LEN(CONTADJ[[#This Row],[Notes]])&lt;4000,0,1)</f>
        <v>0</v>
      </c>
      <c r="L70" s="57">
        <f>COUNTBLANK(CONTADJ[[#This Row],[AnnualValuePreAnnualFte]:[AnnualValuePostAnnualFte]])</f>
        <v>0</v>
      </c>
      <c r="M70" s="57">
        <f ca="1">SUM(CONTADJ[[#This Row],[Contract Issue]:[Blank in column]])</f>
        <v>0</v>
      </c>
      <c r="O70" s="12" t="s">
        <v>2094</v>
      </c>
      <c r="P70" s="12">
        <v>91323687</v>
      </c>
      <c r="Q70" s="12" t="s">
        <v>4390</v>
      </c>
      <c r="R70" s="57" t="str">
        <f>_xlfn.XLOOKUP(CONTADJ[[#This Row],[StaffMemberCode]],StaffMembers!O:O,StaffMembers!R:R)</f>
        <v>Siobhan McKnight</v>
      </c>
      <c r="S70" s="12" t="s">
        <v>1178</v>
      </c>
      <c r="T70" s="12" t="s">
        <v>2499</v>
      </c>
      <c r="U70" s="21">
        <v>45901</v>
      </c>
      <c r="W70" s="12" t="s">
        <v>4324</v>
      </c>
      <c r="X70" s="21">
        <v>45901</v>
      </c>
      <c r="Z70" s="12">
        <v>0</v>
      </c>
      <c r="AA70" s="14">
        <v>1763.48</v>
      </c>
    </row>
    <row r="71" spans="1:28" x14ac:dyDescent="0.3">
      <c r="A71" s="12" t="str">
        <f t="shared" si="4"/>
        <v>BLS9107357591073575ATEASTCH45901</v>
      </c>
      <c r="B71" s="12" t="str">
        <f>CONTADJ[[#This Row],[StaffMemberCode]]&amp;CONTADJ[[#This Row],[AdjustmentTypeCode]]&amp;CONTADJ[[#This Row],[ContractReference]]&amp;CONTADJ[[#This Row],[SchoolCode]]</f>
        <v>91073575RES91073575ABLS</v>
      </c>
      <c r="C71" s="57">
        <f>IF(COUNTIF(ContractsTeachFTE!A:A,ContractAdjustments!A32)&gt;0,0,IF(COUNTIF(ContractsSupportHours!A:A,ContractAdjustments!A32)&gt;0,0,1))</f>
        <v>0</v>
      </c>
      <c r="D71" s="57" cm="1">
        <f t="array" ref="D71">IF(_xlfn.XLOOKUP(CONTADJ[[#This Row],[DepartmentCode]],DEPTS[DepartmentCode],DEPTS[AvailableToAllSchools],1,0,)=TRUE,0,IF(ISERROR(FIND(CONTADJ[[#This Row],[SchoolCode]],_xlfn.TEXTJOIN(",",TRUE,_xlfn.UNIQUE(IF(DEPTS[DepartmentCode]=CONTADJ[[#This Row],[DepartmentCode]],DEPTS[SchoolCodes],""))))),1,0))</f>
        <v>0</v>
      </c>
      <c r="E71" s="57">
        <f>IF(COUNTIF(ADJTYPE[AdjustmentTypeCode],CONTADJ[[#This Row],[AdjustmentTypeCode]])&gt;0,0,1)</f>
        <v>0</v>
      </c>
      <c r="F71" s="57">
        <f>COUNTIF(CONTADJ[Person+Adj Type Point+Contract Ref+SchoolCode],CONTADJ[[#This Row],[Person+Adj Type Point+Contract Ref+SchoolCode]]-1)</f>
        <v>0</v>
      </c>
      <c r="G71" s="57">
        <f t="shared" si="5"/>
        <v>0</v>
      </c>
      <c r="H71" s="57">
        <f>IF(ISBLANK(CONTADJ[[#This Row],[ContractDateTo]]),0,IF(CONTADJ[[#This Row],[ContractDateFrom]]=CONTADJ[[#This Row],[ContractDateTo]],0,IF(CONTADJ[[#This Row],[ContractDateFrom]]&lt;CONTADJ[[#This Row],[ContractDateTo]],0,1)))</f>
        <v>0</v>
      </c>
      <c r="I71" s="57">
        <f>IF(ISBLANK(CONTADJ[[#This Row],[AdjustmentDateTo]]),0,IF(CONTADJ[[#This Row],[AdjustmentDateFrom]]=CONTADJ[[#This Row],[AdjustmentDateTo]],0,IF(CONTADJ[[#This Row],[AdjustmentDateFrom]]&lt;CONTADJ[[#This Row],[AdjustmentDateTo]],0,1)))</f>
        <v>0</v>
      </c>
      <c r="J71" s="57" cm="1">
        <f t="array" aca="1" ref="J71" ca="1">IF(CELL("format",CONTADJ[[#This Row],[ContractDateFrom]])="D1",0,1)+IF(CELL("format",CONTADJ[[#This Row],[ContractDateTo]])="D1",0,1)+IF(CELL("format",CONTADJ[[#This Row],[AdjustmentDateFrom]])="D1",0,1)+IF(CELL("format",CONTADJ[[#This Row],[AdjustmentDateTo]])="D1",0,1)</f>
        <v>0</v>
      </c>
      <c r="K71" s="57">
        <f>IF(LEN(CONTADJ[[#This Row],[Notes]])&lt;4000,0,1)</f>
        <v>0</v>
      </c>
      <c r="L71" s="57">
        <f>COUNTBLANK(CONTADJ[[#This Row],[AnnualValuePreAnnualFte]:[AnnualValuePostAnnualFte]])</f>
        <v>0</v>
      </c>
      <c r="M71" s="57">
        <f ca="1">SUM(CONTADJ[[#This Row],[Contract Issue]:[Blank in column]])</f>
        <v>0</v>
      </c>
      <c r="O71" s="12" t="s">
        <v>2094</v>
      </c>
      <c r="P71" s="12">
        <v>91073575</v>
      </c>
      <c r="Q71" s="12" t="s">
        <v>4401</v>
      </c>
      <c r="R71" s="57" t="str">
        <f>_xlfn.XLOOKUP(CONTADJ[[#This Row],[StaffMemberCode]],StaffMembers!O:O,StaffMembers!R:R)</f>
        <v>Sonia Pollard</v>
      </c>
      <c r="S71" s="12" t="s">
        <v>1178</v>
      </c>
      <c r="T71" s="12" t="s">
        <v>2499</v>
      </c>
      <c r="U71" s="21">
        <v>45901</v>
      </c>
      <c r="W71" s="12" t="s">
        <v>3149</v>
      </c>
      <c r="X71" s="21">
        <v>45901</v>
      </c>
      <c r="Z71" s="12">
        <v>0</v>
      </c>
      <c r="AA71" s="14">
        <v>2280</v>
      </c>
    </row>
    <row r="72" spans="1:28" x14ac:dyDescent="0.3">
      <c r="A72" s="12" t="str">
        <f t="shared" si="4"/>
        <v>BLS9107356591073565ATEASTCH45901</v>
      </c>
      <c r="B72" s="12" t="str">
        <f>CONTADJ[[#This Row],[StaffMemberCode]]&amp;CONTADJ[[#This Row],[AdjustmentTypeCode]]&amp;CONTADJ[[#This Row],[ContractReference]]&amp;CONTADJ[[#This Row],[SchoolCode]]</f>
        <v>91073565JOB91073565ABLS</v>
      </c>
      <c r="C72" s="57">
        <f>IF(COUNTIF(ContractsTeachFTE!A:A,ContractAdjustments!A25)&gt;0,0,IF(COUNTIF(ContractsSupportHours!A:A,ContractAdjustments!A25)&gt;0,0,1))</f>
        <v>0</v>
      </c>
      <c r="D72" s="57" cm="1">
        <f t="array" ref="D72">IF(_xlfn.XLOOKUP(CONTADJ[[#This Row],[DepartmentCode]],DEPTS[DepartmentCode],DEPTS[AvailableToAllSchools],1,0,)=TRUE,0,IF(ISERROR(FIND(CONTADJ[[#This Row],[SchoolCode]],_xlfn.TEXTJOIN(",",TRUE,_xlfn.UNIQUE(IF(DEPTS[DepartmentCode]=CONTADJ[[#This Row],[DepartmentCode]],DEPTS[SchoolCodes],""))))),1,0))</f>
        <v>0</v>
      </c>
      <c r="E72" s="57">
        <f>IF(COUNTIF(ADJTYPE[AdjustmentTypeCode],CONTADJ[[#This Row],[AdjustmentTypeCode]])&gt;0,0,1)</f>
        <v>0</v>
      </c>
      <c r="F72" s="57">
        <f>COUNTIF(CONTADJ[Person+Adj Type Point+Contract Ref+SchoolCode],CONTADJ[[#This Row],[Person+Adj Type Point+Contract Ref+SchoolCode]]-1)</f>
        <v>0</v>
      </c>
      <c r="G72" s="57">
        <f t="shared" si="5"/>
        <v>0</v>
      </c>
      <c r="H72" s="57">
        <f>IF(ISBLANK(CONTADJ[[#This Row],[ContractDateTo]]),0,IF(CONTADJ[[#This Row],[ContractDateFrom]]=CONTADJ[[#This Row],[ContractDateTo]],0,IF(CONTADJ[[#This Row],[ContractDateFrom]]&lt;CONTADJ[[#This Row],[ContractDateTo]],0,1)))</f>
        <v>0</v>
      </c>
      <c r="I72" s="57">
        <f>IF(ISBLANK(CONTADJ[[#This Row],[AdjustmentDateTo]]),0,IF(CONTADJ[[#This Row],[AdjustmentDateFrom]]=CONTADJ[[#This Row],[AdjustmentDateTo]],0,IF(CONTADJ[[#This Row],[AdjustmentDateFrom]]&lt;CONTADJ[[#This Row],[AdjustmentDateTo]],0,1)))</f>
        <v>0</v>
      </c>
      <c r="J72" s="57" cm="1">
        <f t="array" aca="1" ref="J72" ca="1">IF(CELL("format",CONTADJ[[#This Row],[ContractDateFrom]])="D1",0,1)+IF(CELL("format",CONTADJ[[#This Row],[ContractDateTo]])="D1",0,1)+IF(CELL("format",CONTADJ[[#This Row],[AdjustmentDateFrom]])="D1",0,1)+IF(CELL("format",CONTADJ[[#This Row],[AdjustmentDateTo]])="D1",0,1)</f>
        <v>0</v>
      </c>
      <c r="K72" s="57">
        <f>IF(LEN(CONTADJ[[#This Row],[Notes]])&lt;4000,0,1)</f>
        <v>0</v>
      </c>
      <c r="L72" s="57">
        <f>COUNTBLANK(CONTADJ[[#This Row],[AnnualValuePreAnnualFte]:[AnnualValuePostAnnualFte]])</f>
        <v>0</v>
      </c>
      <c r="M72" s="57">
        <f ca="1">SUM(CONTADJ[[#This Row],[Contract Issue]:[Blank in column]])</f>
        <v>0</v>
      </c>
      <c r="O72" s="12" t="s">
        <v>2094</v>
      </c>
      <c r="P72" s="12">
        <v>91073565</v>
      </c>
      <c r="Q72" s="12" t="s">
        <v>4382</v>
      </c>
      <c r="R72" s="57" t="str">
        <f>_xlfn.XLOOKUP(CONTADJ[[#This Row],[StaffMemberCode]],StaffMembers!O:O,StaffMembers!R:R)</f>
        <v>Sophie Davies</v>
      </c>
      <c r="S72" s="12" t="s">
        <v>1178</v>
      </c>
      <c r="T72" s="12" t="s">
        <v>2499</v>
      </c>
      <c r="U72" s="21">
        <v>45901</v>
      </c>
      <c r="W72" s="12" t="s">
        <v>3157</v>
      </c>
      <c r="X72" s="21">
        <v>45901</v>
      </c>
      <c r="Z72" s="12">
        <v>0</v>
      </c>
      <c r="AA72" s="14">
        <v>1410.8</v>
      </c>
    </row>
    <row r="73" spans="1:28" x14ac:dyDescent="0.3">
      <c r="A73" s="12" t="str">
        <f t="shared" si="4"/>
        <v>ALS9107386991073869AADMSESS45901</v>
      </c>
      <c r="B73" s="12" t="str">
        <f>CONTADJ[[#This Row],[StaffMemberCode]]&amp;CONTADJ[[#This Row],[AdjustmentTypeCode]]&amp;CONTADJ[[#This Row],[ContractReference]]&amp;CONTADJ[[#This Row],[SchoolCode]]</f>
        <v>91073869RES91073869AALS</v>
      </c>
      <c r="C73" s="57">
        <f>IF(COUNTIF(ContractsTeachFTE!A:A,ContractAdjustments!A12)&gt;0,0,IF(COUNTIF(ContractsSupportHours!A:A,ContractAdjustments!A12)&gt;0,0,1))</f>
        <v>0</v>
      </c>
      <c r="D73" s="57" cm="1">
        <f t="array" ref="D73">IF(_xlfn.XLOOKUP(CONTADJ[[#This Row],[DepartmentCode]],DEPTS[DepartmentCode],DEPTS[AvailableToAllSchools],1,0,)=TRUE,0,IF(ISERROR(FIND(CONTADJ[[#This Row],[SchoolCode]],_xlfn.TEXTJOIN(",",TRUE,_xlfn.UNIQUE(IF(DEPTS[DepartmentCode]=CONTADJ[[#This Row],[DepartmentCode]],DEPTS[SchoolCodes],""))))),1,0))</f>
        <v>0</v>
      </c>
      <c r="E73" s="57">
        <f>IF(COUNTIF(ADJTYPE[AdjustmentTypeCode],CONTADJ[[#This Row],[AdjustmentTypeCode]])&gt;0,0,1)</f>
        <v>0</v>
      </c>
      <c r="F73" s="57">
        <f>COUNTIF(CONTADJ[Person+Adj Type Point+Contract Ref+SchoolCode],CONTADJ[[#This Row],[Person+Adj Type Point+Contract Ref+SchoolCode]]-1)</f>
        <v>0</v>
      </c>
      <c r="G73" s="57">
        <f t="shared" si="5"/>
        <v>0</v>
      </c>
      <c r="H73" s="57">
        <f>IF(ISBLANK(CONTADJ[[#This Row],[ContractDateTo]]),0,IF(CONTADJ[[#This Row],[ContractDateFrom]]=CONTADJ[[#This Row],[ContractDateTo]],0,IF(CONTADJ[[#This Row],[ContractDateFrom]]&lt;CONTADJ[[#This Row],[ContractDateTo]],0,1)))</f>
        <v>0</v>
      </c>
      <c r="I73" s="57">
        <f>IF(ISBLANK(CONTADJ[[#This Row],[AdjustmentDateTo]]),0,IF(CONTADJ[[#This Row],[AdjustmentDateFrom]]=CONTADJ[[#This Row],[AdjustmentDateTo]],0,IF(CONTADJ[[#This Row],[AdjustmentDateFrom]]&lt;CONTADJ[[#This Row],[AdjustmentDateTo]],0,1)))</f>
        <v>0</v>
      </c>
      <c r="J73" s="57" cm="1">
        <f t="array" aca="1" ref="J73" ca="1">IF(CELL("format",CONTADJ[[#This Row],[ContractDateFrom]])="D1",0,1)+IF(CELL("format",CONTADJ[[#This Row],[ContractDateTo]])="D1",0,1)+IF(CELL("format",CONTADJ[[#This Row],[AdjustmentDateFrom]])="D1",0,1)+IF(CELL("format",CONTADJ[[#This Row],[AdjustmentDateTo]])="D1",0,1)</f>
        <v>0</v>
      </c>
      <c r="K73" s="57">
        <f>IF(LEN(CONTADJ[[#This Row],[Notes]])&lt;4000,0,1)</f>
        <v>0</v>
      </c>
      <c r="L73" s="57">
        <f>COUNTBLANK(CONTADJ[[#This Row],[AnnualValuePreAnnualFte]:[AnnualValuePostAnnualFte]])</f>
        <v>0</v>
      </c>
      <c r="M73" s="57">
        <f ca="1">SUM(CONTADJ[[#This Row],[Contract Issue]:[Blank in column]])</f>
        <v>0</v>
      </c>
      <c r="O73" s="12" t="s">
        <v>2082</v>
      </c>
      <c r="P73" s="12">
        <v>91073869</v>
      </c>
      <c r="Q73" s="12" t="s">
        <v>4684</v>
      </c>
      <c r="R73" s="57" t="str">
        <f>_xlfn.XLOOKUP(CONTADJ[[#This Row],[StaffMemberCode]],StaffMembers!O:O,StaffMembers!R:R)</f>
        <v>Sophie James</v>
      </c>
      <c r="S73" s="12" t="s">
        <v>1186</v>
      </c>
      <c r="T73" s="12" t="s">
        <v>2482</v>
      </c>
      <c r="U73" s="21">
        <v>45901</v>
      </c>
      <c r="W73" s="12" t="s">
        <v>3149</v>
      </c>
      <c r="X73" s="21">
        <v>45901</v>
      </c>
      <c r="Z73" s="12">
        <v>0</v>
      </c>
      <c r="AA73" s="14">
        <v>1500</v>
      </c>
    </row>
    <row r="74" spans="1:28" x14ac:dyDescent="0.3">
      <c r="A74" s="12" t="str">
        <f t="shared" si="4"/>
        <v>MLB10005371106149TEASTCH46023</v>
      </c>
      <c r="B74" s="12" t="str">
        <f>CONTADJ[[#This Row],[StaffMemberCode]]&amp;CONTADJ[[#This Row],[AdjustmentTypeCode]]&amp;CONTADJ[[#This Row],[ContractReference]]&amp;CONTADJ[[#This Row],[SchoolCode]]</f>
        <v>10005371TLR_OTH106149MLB</v>
      </c>
      <c r="C74" s="57">
        <f>IF(COUNTIF(ContractsTeachFTE!A:A,ContractAdjustments!A64)&gt;0,0,IF(COUNTIF(ContractsSupportHours!A:A,ContractAdjustments!A64)&gt;0,0,1))</f>
        <v>0</v>
      </c>
      <c r="D74" s="57" cm="1">
        <f t="array" ref="D74">IF(_xlfn.XLOOKUP(CONTADJ[[#This Row],[DepartmentCode]],DEPTS[DepartmentCode],DEPTS[AvailableToAllSchools],1,0,)=TRUE,0,IF(ISERROR(FIND(CONTADJ[[#This Row],[SchoolCode]],_xlfn.TEXTJOIN(",",TRUE,_xlfn.UNIQUE(IF(DEPTS[DepartmentCode]=CONTADJ[[#This Row],[DepartmentCode]],DEPTS[SchoolCodes],""))))),1,0))</f>
        <v>0</v>
      </c>
      <c r="E74" s="57">
        <f>IF(COUNTIF(ADJTYPE[AdjustmentTypeCode],CONTADJ[[#This Row],[AdjustmentTypeCode]])&gt;0,0,1)</f>
        <v>0</v>
      </c>
      <c r="F74" s="57">
        <f>COUNTIF(CONTADJ[Person+Adj Type Point+Contract Ref+SchoolCode],CONTADJ[[#This Row],[Person+Adj Type Point+Contract Ref+SchoolCode]]-1)</f>
        <v>0</v>
      </c>
      <c r="G74" s="57">
        <f t="shared" si="5"/>
        <v>0</v>
      </c>
      <c r="H74" s="57">
        <f>IF(ISBLANK(CONTADJ[[#This Row],[ContractDateTo]]),0,IF(CONTADJ[[#This Row],[ContractDateFrom]]=CONTADJ[[#This Row],[ContractDateTo]],0,IF(CONTADJ[[#This Row],[ContractDateFrom]]&lt;CONTADJ[[#This Row],[ContractDateTo]],0,1)))</f>
        <v>0</v>
      </c>
      <c r="I74" s="57">
        <f>IF(ISBLANK(CONTADJ[[#This Row],[AdjustmentDateTo]]),0,IF(CONTADJ[[#This Row],[AdjustmentDateFrom]]=CONTADJ[[#This Row],[AdjustmentDateTo]],0,IF(CONTADJ[[#This Row],[AdjustmentDateFrom]]&lt;CONTADJ[[#This Row],[AdjustmentDateTo]],0,1)))</f>
        <v>0</v>
      </c>
      <c r="J74" s="57" cm="1">
        <f t="array" aca="1" ref="J74" ca="1">IF(CELL("format",CONTADJ[[#This Row],[ContractDateFrom]])="D1",0,1)+IF(CELL("format",CONTADJ[[#This Row],[ContractDateTo]])="D1",0,1)+IF(CELL("format",CONTADJ[[#This Row],[AdjustmentDateFrom]])="D1",0,1)+IF(CELL("format",CONTADJ[[#This Row],[AdjustmentDateTo]])="D1",0,1)</f>
        <v>0</v>
      </c>
      <c r="K74" s="57">
        <f>IF(LEN(CONTADJ[[#This Row],[Notes]])&lt;4000,0,1)</f>
        <v>0</v>
      </c>
      <c r="L74" s="57">
        <f>COUNTBLANK(CONTADJ[[#This Row],[AnnualValuePreAnnualFte]:[AnnualValuePostAnnualFte]])</f>
        <v>0</v>
      </c>
      <c r="M74" s="57">
        <f ca="1">SUM(CONTADJ[[#This Row],[Contract Issue]:[Blank in column]])</f>
        <v>0</v>
      </c>
      <c r="O74" s="12" t="s">
        <v>2126</v>
      </c>
      <c r="P74" s="12">
        <v>10005371</v>
      </c>
      <c r="Q74" s="12">
        <v>106149</v>
      </c>
      <c r="R74" s="57" t="str">
        <f>_xlfn.XLOOKUP(CONTADJ[[#This Row],[StaffMemberCode]],StaffMembers!O:O,StaffMembers!R:R)</f>
        <v>Stewart Cope</v>
      </c>
      <c r="S74" s="12" t="s">
        <v>1178</v>
      </c>
      <c r="T74" s="12" t="s">
        <v>2499</v>
      </c>
      <c r="U74" s="21">
        <v>46023</v>
      </c>
      <c r="W74" s="12" t="s">
        <v>4324</v>
      </c>
      <c r="X74" s="21">
        <v>46023</v>
      </c>
      <c r="Z74" s="12">
        <v>0</v>
      </c>
      <c r="AA74" s="14">
        <v>5849</v>
      </c>
      <c r="AB74" s="12" t="s">
        <v>4896</v>
      </c>
    </row>
    <row r="75" spans="1:28" x14ac:dyDescent="0.3">
      <c r="A75" s="12" t="str">
        <f t="shared" si="4"/>
        <v>MAT9107344691073446AFLOSESS45901</v>
      </c>
      <c r="B75" s="12" t="str">
        <f>CONTADJ[[#This Row],[StaffMemberCode]]&amp;CONTADJ[[#This Row],[AdjustmentTypeCode]]&amp;CONTADJ[[#This Row],[ContractReference]]&amp;CONTADJ[[#This Row],[SchoolCode]]</f>
        <v>91073446FA91073446AMAT</v>
      </c>
      <c r="C75" s="57">
        <f>IF(COUNTIF(ContractsTeachFTE!A:A,ContractAdjustments!A3)&gt;0,0,IF(COUNTIF(ContractsSupportHours!A:A,ContractAdjustments!A3)&gt;0,0,1))</f>
        <v>0</v>
      </c>
      <c r="D75" s="57" cm="1">
        <f t="array" ref="D75">IF(_xlfn.XLOOKUP(CONTADJ[[#This Row],[DepartmentCode]],DEPTS[DepartmentCode],DEPTS[AvailableToAllSchools],1,0,)=TRUE,0,IF(ISERROR(FIND(CONTADJ[[#This Row],[SchoolCode]],_xlfn.TEXTJOIN(",",TRUE,_xlfn.UNIQUE(IF(DEPTS[DepartmentCode]=CONTADJ[[#This Row],[DepartmentCode]],DEPTS[SchoolCodes],""))))),1,0))</f>
        <v>1</v>
      </c>
      <c r="E75" s="57">
        <f>IF(COUNTIF(ADJTYPE[AdjustmentTypeCode],CONTADJ[[#This Row],[AdjustmentTypeCode]])&gt;0,0,1)</f>
        <v>0</v>
      </c>
      <c r="F75" s="57">
        <f>COUNTIF(CONTADJ[Person+Adj Type Point+Contract Ref+SchoolCode],CONTADJ[[#This Row],[Person+Adj Type Point+Contract Ref+SchoolCode]]-1)</f>
        <v>0</v>
      </c>
      <c r="G75" s="57">
        <f t="shared" si="5"/>
        <v>0</v>
      </c>
      <c r="H75" s="57">
        <f>IF(ISBLANK(CONTADJ[[#This Row],[ContractDateTo]]),0,IF(CONTADJ[[#This Row],[ContractDateFrom]]=CONTADJ[[#This Row],[ContractDateTo]],0,IF(CONTADJ[[#This Row],[ContractDateFrom]]&lt;CONTADJ[[#This Row],[ContractDateTo]],0,1)))</f>
        <v>0</v>
      </c>
      <c r="I75" s="57">
        <f>IF(ISBLANK(CONTADJ[[#This Row],[AdjustmentDateTo]]),0,IF(CONTADJ[[#This Row],[AdjustmentDateFrom]]=CONTADJ[[#This Row],[AdjustmentDateTo]],0,IF(CONTADJ[[#This Row],[AdjustmentDateFrom]]&lt;CONTADJ[[#This Row],[AdjustmentDateTo]],0,1)))</f>
        <v>0</v>
      </c>
      <c r="J75" s="57" cm="1">
        <f t="array" aca="1" ref="J75" ca="1">IF(CELL("format",CONTADJ[[#This Row],[ContractDateFrom]])="D1",0,1)+IF(CELL("format",CONTADJ[[#This Row],[ContractDateTo]])="D1",0,1)+IF(CELL("format",CONTADJ[[#This Row],[AdjustmentDateFrom]])="D1",0,1)+IF(CELL("format",CONTADJ[[#This Row],[AdjustmentDateTo]])="D1",0,1)</f>
        <v>0</v>
      </c>
      <c r="K75" s="57">
        <f>IF(LEN(CONTADJ[[#This Row],[Notes]])&lt;4000,0,1)</f>
        <v>0</v>
      </c>
      <c r="L75" s="57">
        <f>COUNTBLANK(CONTADJ[[#This Row],[AnnualValuePreAnnualFte]:[AnnualValuePostAnnualFte]])</f>
        <v>0</v>
      </c>
      <c r="M75" s="57">
        <f ca="1">SUM(CONTADJ[[#This Row],[Contract Issue]:[Blank in column]])</f>
        <v>1</v>
      </c>
      <c r="O75" s="12" t="s">
        <v>51</v>
      </c>
      <c r="P75" s="12">
        <v>91073446</v>
      </c>
      <c r="Q75" s="12" t="s">
        <v>4707</v>
      </c>
      <c r="R75" s="57" t="str">
        <f>_xlfn.XLOOKUP(CONTADJ[[#This Row],[StaffMemberCode]],StaffMembers!O:O,StaffMembers!R:R)</f>
        <v>Suzanne Cliffe</v>
      </c>
      <c r="S75" s="12" t="s">
        <v>4212</v>
      </c>
      <c r="T75" s="12" t="s">
        <v>2482</v>
      </c>
      <c r="U75" s="21">
        <v>45901</v>
      </c>
      <c r="W75" s="12" t="s">
        <v>3148</v>
      </c>
      <c r="X75" s="21">
        <v>45901</v>
      </c>
      <c r="Z75" s="12">
        <v>0</v>
      </c>
      <c r="AA75" s="14">
        <v>120</v>
      </c>
    </row>
    <row r="76" spans="1:28" x14ac:dyDescent="0.3">
      <c r="A76" s="12" t="str">
        <f t="shared" si="4"/>
        <v>MLB10016223106134TEASTCH46023</v>
      </c>
      <c r="B76" s="12" t="str">
        <f>CONTADJ[[#This Row],[StaffMemberCode]]&amp;CONTADJ[[#This Row],[AdjustmentTypeCode]]&amp;CONTADJ[[#This Row],[ContractReference]]&amp;CONTADJ[[#This Row],[SchoolCode]]</f>
        <v>10016223TLR_OTH106134MLB</v>
      </c>
      <c r="C76" s="57">
        <f>IF(COUNTIF(ContractsTeachFTE!A:A,ContractAdjustments!A65)&gt;0,0,IF(COUNTIF(ContractsSupportHours!A:A,ContractAdjustments!A65)&gt;0,0,1))</f>
        <v>0</v>
      </c>
      <c r="D76" s="57" cm="1">
        <f t="array" ref="D76">IF(_xlfn.XLOOKUP(CONTADJ[[#This Row],[DepartmentCode]],DEPTS[DepartmentCode],DEPTS[AvailableToAllSchools],1,0,)=TRUE,0,IF(ISERROR(FIND(CONTADJ[[#This Row],[SchoolCode]],_xlfn.TEXTJOIN(",",TRUE,_xlfn.UNIQUE(IF(DEPTS[DepartmentCode]=CONTADJ[[#This Row],[DepartmentCode]],DEPTS[SchoolCodes],""))))),1,0))</f>
        <v>0</v>
      </c>
      <c r="E76" s="57">
        <f>IF(COUNTIF(ADJTYPE[AdjustmentTypeCode],CONTADJ[[#This Row],[AdjustmentTypeCode]])&gt;0,0,1)</f>
        <v>0</v>
      </c>
      <c r="F76" s="57">
        <f>COUNTIF(CONTADJ[Person+Adj Type Point+Contract Ref+SchoolCode],CONTADJ[[#This Row],[Person+Adj Type Point+Contract Ref+SchoolCode]]-1)</f>
        <v>0</v>
      </c>
      <c r="G76" s="57">
        <f t="shared" si="5"/>
        <v>0</v>
      </c>
      <c r="H76" s="57">
        <f>IF(ISBLANK(CONTADJ[[#This Row],[ContractDateTo]]),0,IF(CONTADJ[[#This Row],[ContractDateFrom]]=CONTADJ[[#This Row],[ContractDateTo]],0,IF(CONTADJ[[#This Row],[ContractDateFrom]]&lt;CONTADJ[[#This Row],[ContractDateTo]],0,1)))</f>
        <v>0</v>
      </c>
      <c r="I76" s="57">
        <f>IF(ISBLANK(CONTADJ[[#This Row],[AdjustmentDateTo]]),0,IF(CONTADJ[[#This Row],[AdjustmentDateFrom]]=CONTADJ[[#This Row],[AdjustmentDateTo]],0,IF(CONTADJ[[#This Row],[AdjustmentDateFrom]]&lt;CONTADJ[[#This Row],[AdjustmentDateTo]],0,1)))</f>
        <v>0</v>
      </c>
      <c r="J76" s="57" cm="1">
        <f t="array" aca="1" ref="J76" ca="1">IF(CELL("format",CONTADJ[[#This Row],[ContractDateFrom]])="D1",0,1)+IF(CELL("format",CONTADJ[[#This Row],[ContractDateTo]])="D1",0,1)+IF(CELL("format",CONTADJ[[#This Row],[AdjustmentDateFrom]])="D1",0,1)+IF(CELL("format",CONTADJ[[#This Row],[AdjustmentDateTo]])="D1",0,1)</f>
        <v>0</v>
      </c>
      <c r="K76" s="57">
        <f>IF(LEN(CONTADJ[[#This Row],[Notes]])&lt;4000,0,1)</f>
        <v>0</v>
      </c>
      <c r="L76" s="57">
        <f>COUNTBLANK(CONTADJ[[#This Row],[AnnualValuePreAnnualFte]:[AnnualValuePostAnnualFte]])</f>
        <v>0</v>
      </c>
      <c r="M76" s="57">
        <f ca="1">SUM(CONTADJ[[#This Row],[Contract Issue]:[Blank in column]])</f>
        <v>0</v>
      </c>
      <c r="O76" s="12" t="s">
        <v>2126</v>
      </c>
      <c r="P76" s="12">
        <v>10016223</v>
      </c>
      <c r="Q76" s="12">
        <v>106134</v>
      </c>
      <c r="R76" s="57" t="str">
        <f>_xlfn.XLOOKUP(CONTADJ[[#This Row],[StaffMemberCode]],StaffMembers!O:O,StaffMembers!R:R)</f>
        <v>Thomas Allcroft</v>
      </c>
      <c r="S76" s="12" t="s">
        <v>1178</v>
      </c>
      <c r="T76" s="12" t="s">
        <v>2499</v>
      </c>
      <c r="U76" s="21">
        <v>46023</v>
      </c>
      <c r="W76" s="12" t="s">
        <v>4324</v>
      </c>
      <c r="X76" s="21">
        <v>46023</v>
      </c>
      <c r="Z76" s="12">
        <v>0</v>
      </c>
      <c r="AA76" s="14">
        <v>5849</v>
      </c>
      <c r="AB76" s="12" t="s">
        <v>4896</v>
      </c>
    </row>
    <row r="77" spans="1:28" x14ac:dyDescent="0.3">
      <c r="A77" s="12" t="str">
        <f t="shared" si="4"/>
        <v>MLB10005304106069MDSSMID46023</v>
      </c>
      <c r="B77" s="12" t="str">
        <f>CONTADJ[[#This Row],[StaffMemberCode]]&amp;CONTADJ[[#This Row],[AdjustmentTypeCode]]&amp;CONTADJ[[#This Row],[ContractReference]]&amp;CONTADJ[[#This Row],[SchoolCode]]</f>
        <v>10005304FA106069MLB</v>
      </c>
      <c r="C77" s="57">
        <f>IF(COUNTIF(ContractsTeachFTE!A:A,ContractAdjustments!A45)&gt;0,0,IF(COUNTIF(ContractsSupportHours!A:A,ContractAdjustments!A45)&gt;0,0,1))</f>
        <v>0</v>
      </c>
      <c r="D77" s="57" cm="1">
        <f t="array" ref="D77">IF(_xlfn.XLOOKUP(CONTADJ[[#This Row],[DepartmentCode]],DEPTS[DepartmentCode],DEPTS[AvailableToAllSchools],1,0,)=TRUE,0,IF(ISERROR(FIND(CONTADJ[[#This Row],[SchoolCode]],_xlfn.TEXTJOIN(",",TRUE,_xlfn.UNIQUE(IF(DEPTS[DepartmentCode]=CONTADJ[[#This Row],[DepartmentCode]],DEPTS[SchoolCodes],""))))),1,0))</f>
        <v>0</v>
      </c>
      <c r="E77" s="57">
        <f>IF(COUNTIF(ADJTYPE[AdjustmentTypeCode],CONTADJ[[#This Row],[AdjustmentTypeCode]])&gt;0,0,1)</f>
        <v>0</v>
      </c>
      <c r="F77" s="57">
        <f>COUNTIF(CONTADJ[Person+Adj Type Point+Contract Ref+SchoolCode],CONTADJ[[#This Row],[Person+Adj Type Point+Contract Ref+SchoolCode]]-1)</f>
        <v>0</v>
      </c>
      <c r="G77" s="57">
        <f t="shared" si="5"/>
        <v>0</v>
      </c>
      <c r="H77" s="57">
        <f>IF(ISBLANK(CONTADJ[[#This Row],[ContractDateTo]]),0,IF(CONTADJ[[#This Row],[ContractDateFrom]]=CONTADJ[[#This Row],[ContractDateTo]],0,IF(CONTADJ[[#This Row],[ContractDateFrom]]&lt;CONTADJ[[#This Row],[ContractDateTo]],0,1)))</f>
        <v>0</v>
      </c>
      <c r="I77" s="57">
        <f>IF(ISBLANK(CONTADJ[[#This Row],[AdjustmentDateTo]]),0,IF(CONTADJ[[#This Row],[AdjustmentDateFrom]]=CONTADJ[[#This Row],[AdjustmentDateTo]],0,IF(CONTADJ[[#This Row],[AdjustmentDateFrom]]&lt;CONTADJ[[#This Row],[AdjustmentDateTo]],0,1)))</f>
        <v>0</v>
      </c>
      <c r="J77" s="57" cm="1">
        <f t="array" aca="1" ref="J77" ca="1">IF(CELL("format",CONTADJ[[#This Row],[ContractDateFrom]])="D1",0,1)+IF(CELL("format",CONTADJ[[#This Row],[ContractDateTo]])="D1",0,1)+IF(CELL("format",CONTADJ[[#This Row],[AdjustmentDateFrom]])="D1",0,1)+IF(CELL("format",CONTADJ[[#This Row],[AdjustmentDateTo]])="D1",0,1)</f>
        <v>0</v>
      </c>
      <c r="K77" s="57">
        <f>IF(LEN(CONTADJ[[#This Row],[Notes]])&lt;4000,0,1)</f>
        <v>0</v>
      </c>
      <c r="L77" s="57">
        <f>COUNTBLANK(CONTADJ[[#This Row],[AnnualValuePreAnnualFte]:[AnnualValuePostAnnualFte]])</f>
        <v>0</v>
      </c>
      <c r="M77" s="57">
        <f ca="1">SUM(CONTADJ[[#This Row],[Contract Issue]:[Blank in column]])</f>
        <v>0</v>
      </c>
      <c r="O77" s="12" t="s">
        <v>2126</v>
      </c>
      <c r="P77" s="12">
        <v>10005304</v>
      </c>
      <c r="Q77" s="12">
        <v>106069</v>
      </c>
      <c r="R77" s="57" t="str">
        <f>_xlfn.XLOOKUP(CONTADJ[[#This Row],[StaffMemberCode]],StaffMembers!O:O,StaffMembers!R:R)</f>
        <v>Tina Baker</v>
      </c>
      <c r="S77" s="12" t="s">
        <v>1192</v>
      </c>
      <c r="T77" s="12" t="s">
        <v>2488</v>
      </c>
      <c r="U77" s="21">
        <v>46023</v>
      </c>
      <c r="W77" s="12" t="s">
        <v>3148</v>
      </c>
      <c r="X77" s="21">
        <v>46023</v>
      </c>
      <c r="Z77" s="12">
        <v>0</v>
      </c>
      <c r="AA77" s="14">
        <v>120</v>
      </c>
    </row>
    <row r="78" spans="1:28" x14ac:dyDescent="0.3">
      <c r="A78" s="12" t="str">
        <f t="shared" si="4"/>
        <v>MLB10005304106071TECSTECH46023</v>
      </c>
      <c r="B78" s="12" t="str">
        <f>CONTADJ[[#This Row],[StaffMemberCode]]&amp;CONTADJ[[#This Row],[AdjustmentTypeCode]]&amp;CONTADJ[[#This Row],[ContractReference]]&amp;CONTADJ[[#This Row],[SchoolCode]]</f>
        <v>10005304FA106071MLB</v>
      </c>
      <c r="C78" s="57">
        <f>IF(COUNTIF(ContractsTeachFTE!A:A,ContractAdjustments!A47)&gt;0,0,IF(COUNTIF(ContractsSupportHours!A:A,ContractAdjustments!A47)&gt;0,0,1))</f>
        <v>0</v>
      </c>
      <c r="D78" s="57" cm="1">
        <f t="array" ref="D78">IF(_xlfn.XLOOKUP(CONTADJ[[#This Row],[DepartmentCode]],DEPTS[DepartmentCode],DEPTS[AvailableToAllSchools],1,0,)=TRUE,0,IF(ISERROR(FIND(CONTADJ[[#This Row],[SchoolCode]],_xlfn.TEXTJOIN(",",TRUE,_xlfn.UNIQUE(IF(DEPTS[DepartmentCode]=CONTADJ[[#This Row],[DepartmentCode]],DEPTS[SchoolCodes],""))))),1,0))</f>
        <v>0</v>
      </c>
      <c r="E78" s="57">
        <f>IF(COUNTIF(ADJTYPE[AdjustmentTypeCode],CONTADJ[[#This Row],[AdjustmentTypeCode]])&gt;0,0,1)</f>
        <v>0</v>
      </c>
      <c r="F78" s="57">
        <f>COUNTIF(CONTADJ[Person+Adj Type Point+Contract Ref+SchoolCode],CONTADJ[[#This Row],[Person+Adj Type Point+Contract Ref+SchoolCode]]-1)</f>
        <v>0</v>
      </c>
      <c r="G78" s="57">
        <f t="shared" si="5"/>
        <v>0</v>
      </c>
      <c r="H78" s="57">
        <f>IF(ISBLANK(CONTADJ[[#This Row],[ContractDateTo]]),0,IF(CONTADJ[[#This Row],[ContractDateFrom]]=CONTADJ[[#This Row],[ContractDateTo]],0,IF(CONTADJ[[#This Row],[ContractDateFrom]]&lt;CONTADJ[[#This Row],[ContractDateTo]],0,1)))</f>
        <v>0</v>
      </c>
      <c r="I78" s="57">
        <f>IF(ISBLANK(CONTADJ[[#This Row],[AdjustmentDateTo]]),0,IF(CONTADJ[[#This Row],[AdjustmentDateFrom]]=CONTADJ[[#This Row],[AdjustmentDateTo]],0,IF(CONTADJ[[#This Row],[AdjustmentDateFrom]]&lt;CONTADJ[[#This Row],[AdjustmentDateTo]],0,1)))</f>
        <v>0</v>
      </c>
      <c r="J78" s="57" cm="1">
        <f t="array" aca="1" ref="J78" ca="1">IF(CELL("format",CONTADJ[[#This Row],[ContractDateFrom]])="D1",0,1)+IF(CELL("format",CONTADJ[[#This Row],[ContractDateTo]])="D1",0,1)+IF(CELL("format",CONTADJ[[#This Row],[AdjustmentDateFrom]])="D1",0,1)+IF(CELL("format",CONTADJ[[#This Row],[AdjustmentDateTo]])="D1",0,1)</f>
        <v>0</v>
      </c>
      <c r="K78" s="57">
        <f>IF(LEN(CONTADJ[[#This Row],[Notes]])&lt;4000,0,1)</f>
        <v>0</v>
      </c>
      <c r="L78" s="57">
        <f>COUNTBLANK(CONTADJ[[#This Row],[AnnualValuePreAnnualFte]:[AnnualValuePostAnnualFte]])</f>
        <v>0</v>
      </c>
      <c r="M78" s="57">
        <f ca="1">SUM(CONTADJ[[#This Row],[Contract Issue]:[Blank in column]])</f>
        <v>0</v>
      </c>
      <c r="O78" s="12" t="s">
        <v>2126</v>
      </c>
      <c r="P78" s="12">
        <v>10005304</v>
      </c>
      <c r="Q78" s="12">
        <v>106071</v>
      </c>
      <c r="R78" s="57" t="str">
        <f>_xlfn.XLOOKUP(CONTADJ[[#This Row],[StaffMemberCode]],StaffMembers!O:O,StaffMembers!R:R)</f>
        <v>Tina Baker</v>
      </c>
      <c r="S78" s="12" t="s">
        <v>1184</v>
      </c>
      <c r="T78" s="12" t="s">
        <v>2501</v>
      </c>
      <c r="U78" s="21">
        <v>46023</v>
      </c>
      <c r="W78" s="12" t="s">
        <v>3148</v>
      </c>
      <c r="X78" s="21">
        <v>46023</v>
      </c>
      <c r="Z78" s="12">
        <v>0</v>
      </c>
      <c r="AA78" s="14">
        <v>120</v>
      </c>
    </row>
    <row r="79" spans="1:28" x14ac:dyDescent="0.3">
      <c r="A79" s="12" t="str">
        <f t="shared" si="4"/>
        <v>MLB10005303112508OFF_MGRSFIN46023</v>
      </c>
      <c r="B79" s="12" t="str">
        <f>CONTADJ[[#This Row],[StaffMemberCode]]&amp;CONTADJ[[#This Row],[AdjustmentTypeCode]]&amp;CONTADJ[[#This Row],[ContractReference]]&amp;CONTADJ[[#This Row],[SchoolCode]]</f>
        <v>10005303FA112508MLB</v>
      </c>
      <c r="C79" s="57">
        <f>IF(COUNTIF(ContractsTeachFTE!A:A,ContractAdjustments!A69)&gt;0,0,IF(COUNTIF(ContractsSupportHours!A:A,ContractAdjustments!A69)&gt;0,0,1))</f>
        <v>0</v>
      </c>
      <c r="D79" s="57" cm="1">
        <f t="array" ref="D79">IF(_xlfn.XLOOKUP(CONTADJ[[#This Row],[DepartmentCode]],DEPTS[DepartmentCode],DEPTS[AvailableToAllSchools],1,0,)=TRUE,0,IF(ISERROR(FIND(CONTADJ[[#This Row],[SchoolCode]],_xlfn.TEXTJOIN(",",TRUE,_xlfn.UNIQUE(IF(DEPTS[DepartmentCode]=CONTADJ[[#This Row],[DepartmentCode]],DEPTS[SchoolCodes],""))))),1,0))</f>
        <v>0</v>
      </c>
      <c r="E79" s="57">
        <f>IF(COUNTIF(ADJTYPE[AdjustmentTypeCode],CONTADJ[[#This Row],[AdjustmentTypeCode]])&gt;0,0,1)</f>
        <v>0</v>
      </c>
      <c r="F79" s="57">
        <f>COUNTIF(CONTADJ[Person+Adj Type Point+Contract Ref+SchoolCode],CONTADJ[[#This Row],[Person+Adj Type Point+Contract Ref+SchoolCode]]-1)</f>
        <v>0</v>
      </c>
      <c r="G79" s="57">
        <f t="shared" si="5"/>
        <v>0</v>
      </c>
      <c r="H79" s="57">
        <f>IF(ISBLANK(CONTADJ[[#This Row],[ContractDateTo]]),0,IF(CONTADJ[[#This Row],[ContractDateFrom]]=CONTADJ[[#This Row],[ContractDateTo]],0,IF(CONTADJ[[#This Row],[ContractDateFrom]]&lt;CONTADJ[[#This Row],[ContractDateTo]],0,1)))</f>
        <v>0</v>
      </c>
      <c r="I79" s="57">
        <f>IF(ISBLANK(CONTADJ[[#This Row],[AdjustmentDateTo]]),0,IF(CONTADJ[[#This Row],[AdjustmentDateFrom]]=CONTADJ[[#This Row],[AdjustmentDateTo]],0,IF(CONTADJ[[#This Row],[AdjustmentDateFrom]]&lt;CONTADJ[[#This Row],[AdjustmentDateTo]],0,1)))</f>
        <v>0</v>
      </c>
      <c r="J79" s="57" cm="1">
        <f t="array" aca="1" ref="J79" ca="1">IF(CELL("format",CONTADJ[[#This Row],[ContractDateFrom]])="D1",0,1)+IF(CELL("format",CONTADJ[[#This Row],[ContractDateTo]])="D1",0,1)+IF(CELL("format",CONTADJ[[#This Row],[AdjustmentDateFrom]])="D1",0,1)+IF(CELL("format",CONTADJ[[#This Row],[AdjustmentDateTo]])="D1",0,1)</f>
        <v>0</v>
      </c>
      <c r="K79" s="57">
        <f>IF(LEN(CONTADJ[[#This Row],[Notes]])&lt;4000,0,1)</f>
        <v>0</v>
      </c>
      <c r="L79" s="57">
        <f>COUNTBLANK(CONTADJ[[#This Row],[AnnualValuePreAnnualFte]:[AnnualValuePostAnnualFte]])</f>
        <v>0</v>
      </c>
      <c r="M79" s="57">
        <f ca="1">SUM(CONTADJ[[#This Row],[Contract Issue]:[Blank in column]])</f>
        <v>0</v>
      </c>
      <c r="O79" s="12" t="s">
        <v>2126</v>
      </c>
      <c r="P79" s="12">
        <v>10005303</v>
      </c>
      <c r="Q79" s="12">
        <v>112508</v>
      </c>
      <c r="R79" s="57" t="str">
        <f>_xlfn.XLOOKUP(CONTADJ[[#This Row],[StaffMemberCode]],StaffMembers!O:O,StaffMembers!R:R)</f>
        <v>Victoria Denny</v>
      </c>
      <c r="S79" s="12" t="s">
        <v>4259</v>
      </c>
      <c r="T79" s="12" t="s">
        <v>2483</v>
      </c>
      <c r="U79" s="21">
        <v>46023</v>
      </c>
      <c r="W79" s="12" t="s">
        <v>3148</v>
      </c>
      <c r="X79" s="21">
        <v>46023</v>
      </c>
      <c r="Z79" s="12">
        <v>0</v>
      </c>
      <c r="AA79" s="14">
        <v>584.52</v>
      </c>
    </row>
    <row r="80" spans="1:28" x14ac:dyDescent="0.3">
      <c r="A80" s="12" t="str">
        <f t="shared" si="4"/>
        <v>MLB10005331106103TEASTCH46023</v>
      </c>
      <c r="B80" s="12" t="str">
        <f>CONTADJ[[#This Row],[StaffMemberCode]]&amp;CONTADJ[[#This Row],[AdjustmentTypeCode]]&amp;CONTADJ[[#This Row],[ContractReference]]&amp;CONTADJ[[#This Row],[SchoolCode]]</f>
        <v>10005331RR106103MLB</v>
      </c>
      <c r="C80" s="57">
        <f>IF(COUNTIF(ContractsTeachFTE!A:A,ContractAdjustments!A80)&gt;0,0,IF(COUNTIF(ContractsSupportHours!A:A,ContractAdjustments!A80)&gt;0,0,1))</f>
        <v>0</v>
      </c>
      <c r="D80" s="57" cm="1">
        <f t="array" ref="D80">IF(_xlfn.XLOOKUP(CONTADJ[[#This Row],[DepartmentCode]],DEPTS[DepartmentCode],DEPTS[AvailableToAllSchools],1,0,)=TRUE,0,IF(ISERROR(FIND(CONTADJ[[#This Row],[SchoolCode]],_xlfn.TEXTJOIN(",",TRUE,_xlfn.UNIQUE(IF(DEPTS[DepartmentCode]=CONTADJ[[#This Row],[DepartmentCode]],DEPTS[SchoolCodes],""))))),1,0))</f>
        <v>0</v>
      </c>
      <c r="E80" s="57">
        <f>IF(COUNTIF(ADJTYPE[AdjustmentTypeCode],CONTADJ[[#This Row],[AdjustmentTypeCode]])&gt;0,0,1)</f>
        <v>0</v>
      </c>
      <c r="F80" s="57">
        <f>COUNTIF(CONTADJ[Person+Adj Type Point+Contract Ref+SchoolCode],CONTADJ[[#This Row],[Person+Adj Type Point+Contract Ref+SchoolCode]]-1)</f>
        <v>0</v>
      </c>
      <c r="G80" s="57">
        <f t="shared" si="5"/>
        <v>0</v>
      </c>
      <c r="H80" s="57">
        <f>IF(ISBLANK(CONTADJ[[#This Row],[ContractDateTo]]),0,IF(CONTADJ[[#This Row],[ContractDateFrom]]=CONTADJ[[#This Row],[ContractDateTo]],0,IF(CONTADJ[[#This Row],[ContractDateFrom]]&lt;CONTADJ[[#This Row],[ContractDateTo]],0,1)))</f>
        <v>0</v>
      </c>
      <c r="I80" s="57">
        <f>IF(ISBLANK(CONTADJ[[#This Row],[AdjustmentDateTo]]),0,IF(CONTADJ[[#This Row],[AdjustmentDateFrom]]=CONTADJ[[#This Row],[AdjustmentDateTo]],0,IF(CONTADJ[[#This Row],[AdjustmentDateFrom]]&lt;CONTADJ[[#This Row],[AdjustmentDateTo]],0,1)))</f>
        <v>0</v>
      </c>
      <c r="J80" s="57" cm="1">
        <f t="array" aca="1" ref="J80" ca="1">IF(CELL("format",CONTADJ[[#This Row],[ContractDateFrom]])="D1",0,1)+IF(CELL("format",CONTADJ[[#This Row],[ContractDateTo]])="D1",0,1)+IF(CELL("format",CONTADJ[[#This Row],[AdjustmentDateFrom]])="D1",0,1)+IF(CELL("format",CONTADJ[[#This Row],[AdjustmentDateTo]])="D1",0,1)</f>
        <v>0</v>
      </c>
      <c r="K80" s="57">
        <f>IF(LEN(CONTADJ[[#This Row],[Notes]])&lt;4000,0,1)</f>
        <v>0</v>
      </c>
      <c r="L80" s="57">
        <f>COUNTBLANK(CONTADJ[[#This Row],[AnnualValuePreAnnualFte]:[AnnualValuePostAnnualFte]])</f>
        <v>0</v>
      </c>
      <c r="M80" s="57">
        <f ca="1">SUM(CONTADJ[[#This Row],[Contract Issue]:[Blank in column]])</f>
        <v>0</v>
      </c>
      <c r="O80" s="12" t="s">
        <v>2126</v>
      </c>
      <c r="P80" s="12">
        <v>10005331</v>
      </c>
      <c r="Q80" s="12">
        <v>106103</v>
      </c>
      <c r="R80" s="57" t="str">
        <f>_xlfn.XLOOKUP(CONTADJ[[#This Row],[StaffMemberCode]],StaffMembers!O:O,StaffMembers!R:R)</f>
        <v>Victoria Thorley</v>
      </c>
      <c r="S80" s="12" t="s">
        <v>1178</v>
      </c>
      <c r="T80" s="12" t="s">
        <v>2499</v>
      </c>
      <c r="U80" s="21">
        <v>46023</v>
      </c>
      <c r="W80" s="12" t="s">
        <v>3151</v>
      </c>
      <c r="X80" s="21">
        <v>46023</v>
      </c>
      <c r="Z80" s="12">
        <v>0</v>
      </c>
      <c r="AA80" s="14">
        <v>6802</v>
      </c>
    </row>
    <row r="81" spans="1:27" x14ac:dyDescent="0.3">
      <c r="A81" s="12" t="str">
        <f t="shared" si="4"/>
        <v>MLB10005305110849PRE_MGRSPREM46023</v>
      </c>
      <c r="B81" s="12" t="str">
        <f>CONTADJ[[#This Row],[StaffMemberCode]]&amp;CONTADJ[[#This Row],[AdjustmentTypeCode]]&amp;CONTADJ[[#This Row],[ContractReference]]&amp;CONTADJ[[#This Row],[SchoolCode]]</f>
        <v>10005305FA110849MLB</v>
      </c>
      <c r="C81" s="57">
        <f>IF(COUNTIF(ContractsTeachFTE!A:A,ContractAdjustments!A46)&gt;0,0,IF(COUNTIF(ContractsSupportHours!A:A,ContractAdjustments!A46)&gt;0,0,1))</f>
        <v>0</v>
      </c>
      <c r="D81" s="57" cm="1">
        <f t="array" ref="D81">IF(_xlfn.XLOOKUP(CONTADJ[[#This Row],[DepartmentCode]],DEPTS[DepartmentCode],DEPTS[AvailableToAllSchools],1,0,)=TRUE,0,IF(ISERROR(FIND(CONTADJ[[#This Row],[SchoolCode]],_xlfn.TEXTJOIN(",",TRUE,_xlfn.UNIQUE(IF(DEPTS[DepartmentCode]=CONTADJ[[#This Row],[DepartmentCode]],DEPTS[SchoolCodes],""))))),1,0))</f>
        <v>0</v>
      </c>
      <c r="E81" s="57">
        <f>IF(COUNTIF(ADJTYPE[AdjustmentTypeCode],CONTADJ[[#This Row],[AdjustmentTypeCode]])&gt;0,0,1)</f>
        <v>0</v>
      </c>
      <c r="F81" s="57">
        <f>COUNTIF(CONTADJ[Person+Adj Type Point+Contract Ref+SchoolCode],CONTADJ[[#This Row],[Person+Adj Type Point+Contract Ref+SchoolCode]]-1)</f>
        <v>0</v>
      </c>
      <c r="G81" s="57">
        <f t="shared" si="5"/>
        <v>0</v>
      </c>
      <c r="H81" s="57">
        <f>IF(ISBLANK(CONTADJ[[#This Row],[ContractDateTo]]),0,IF(CONTADJ[[#This Row],[ContractDateFrom]]=CONTADJ[[#This Row],[ContractDateTo]],0,IF(CONTADJ[[#This Row],[ContractDateFrom]]&lt;CONTADJ[[#This Row],[ContractDateTo]],0,1)))</f>
        <v>0</v>
      </c>
      <c r="I81" s="57">
        <f>IF(ISBLANK(CONTADJ[[#This Row],[AdjustmentDateTo]]),0,IF(CONTADJ[[#This Row],[AdjustmentDateFrom]]=CONTADJ[[#This Row],[AdjustmentDateTo]],0,IF(CONTADJ[[#This Row],[AdjustmentDateFrom]]&lt;CONTADJ[[#This Row],[AdjustmentDateTo]],0,1)))</f>
        <v>0</v>
      </c>
      <c r="J81" s="57" cm="1">
        <f t="array" aca="1" ref="J81" ca="1">IF(CELL("format",CONTADJ[[#This Row],[ContractDateFrom]])="D1",0,1)+IF(CELL("format",CONTADJ[[#This Row],[ContractDateTo]])="D1",0,1)+IF(CELL("format",CONTADJ[[#This Row],[AdjustmentDateFrom]])="D1",0,1)+IF(CELL("format",CONTADJ[[#This Row],[AdjustmentDateTo]])="D1",0,1)</f>
        <v>0</v>
      </c>
      <c r="K81" s="57">
        <f>IF(LEN(CONTADJ[[#This Row],[Notes]])&lt;4000,0,1)</f>
        <v>0</v>
      </c>
      <c r="L81" s="57">
        <f>COUNTBLANK(CONTADJ[[#This Row],[AnnualValuePreAnnualFte]:[AnnualValuePostAnnualFte]])</f>
        <v>0</v>
      </c>
      <c r="M81" s="57">
        <f ca="1">SUM(CONTADJ[[#This Row],[Contract Issue]:[Blank in column]])</f>
        <v>0</v>
      </c>
      <c r="O81" s="12" t="s">
        <v>2126</v>
      </c>
      <c r="P81" s="12">
        <v>10005305</v>
      </c>
      <c r="Q81" s="12">
        <v>110849</v>
      </c>
      <c r="R81" s="57" t="str">
        <f>_xlfn.XLOOKUP(CONTADJ[[#This Row],[StaffMemberCode]],StaffMembers!O:O,StaffMembers!R:R)</f>
        <v>Wayne Clough</v>
      </c>
      <c r="S81" s="12" t="s">
        <v>4297</v>
      </c>
      <c r="T81" s="12" t="s">
        <v>2495</v>
      </c>
      <c r="U81" s="21">
        <v>46023</v>
      </c>
      <c r="W81" s="12" t="s">
        <v>3148</v>
      </c>
      <c r="X81" s="21">
        <v>46023</v>
      </c>
      <c r="Z81" s="12">
        <v>0</v>
      </c>
      <c r="AA81" s="14">
        <v>120</v>
      </c>
    </row>
    <row r="82" spans="1:27" x14ac:dyDescent="0.3">
      <c r="A82" s="12" t="str">
        <f t="shared" si="4"/>
        <v>MLB10008048110866SITE_OFFSPREM46023</v>
      </c>
      <c r="B82" s="12" t="str">
        <f>CONTADJ[[#This Row],[StaffMemberCode]]&amp;CONTADJ[[#This Row],[AdjustmentTypeCode]]&amp;CONTADJ[[#This Row],[ContractReference]]&amp;CONTADJ[[#This Row],[SchoolCode]]</f>
        <v>10008048PA110866MLB</v>
      </c>
      <c r="C82" s="57">
        <f>IF(COUNTIF(ContractsTeachFTE!A:A,ContractAdjustments!A72)&gt;0,0,IF(COUNTIF(ContractsSupportHours!A:A,ContractAdjustments!A72)&gt;0,0,1))</f>
        <v>0</v>
      </c>
      <c r="D82" s="57" cm="1">
        <f t="array" ref="D82">IF(_xlfn.XLOOKUP(CONTADJ[[#This Row],[DepartmentCode]],DEPTS[DepartmentCode],DEPTS[AvailableToAllSchools],1,0,)=TRUE,0,IF(ISERROR(FIND(CONTADJ[[#This Row],[SchoolCode]],_xlfn.TEXTJOIN(",",TRUE,_xlfn.UNIQUE(IF(DEPTS[DepartmentCode]=CONTADJ[[#This Row],[DepartmentCode]],DEPTS[SchoolCodes],""))))),1,0))</f>
        <v>0</v>
      </c>
      <c r="E82" s="57">
        <f>IF(COUNTIF(ADJTYPE[AdjustmentTypeCode],CONTADJ[[#This Row],[AdjustmentTypeCode]])&gt;0,0,1)</f>
        <v>0</v>
      </c>
      <c r="F82" s="57">
        <f>COUNTIF(CONTADJ[Person+Adj Type Point+Contract Ref+SchoolCode],CONTADJ[[#This Row],[Person+Adj Type Point+Contract Ref+SchoolCode]]-1)</f>
        <v>0</v>
      </c>
      <c r="G82" s="57">
        <f t="shared" si="5"/>
        <v>0</v>
      </c>
      <c r="H82" s="57">
        <f>IF(ISBLANK(CONTADJ[[#This Row],[ContractDateTo]]),0,IF(CONTADJ[[#This Row],[ContractDateFrom]]=CONTADJ[[#This Row],[ContractDateTo]],0,IF(CONTADJ[[#This Row],[ContractDateFrom]]&lt;CONTADJ[[#This Row],[ContractDateTo]],0,1)))</f>
        <v>0</v>
      </c>
      <c r="I82" s="57">
        <f>IF(ISBLANK(CONTADJ[[#This Row],[AdjustmentDateTo]]),0,IF(CONTADJ[[#This Row],[AdjustmentDateFrom]]=CONTADJ[[#This Row],[AdjustmentDateTo]],0,IF(CONTADJ[[#This Row],[AdjustmentDateFrom]]&lt;CONTADJ[[#This Row],[AdjustmentDateTo]],0,1)))</f>
        <v>0</v>
      </c>
      <c r="J82" s="57" cm="1">
        <f t="array" aca="1" ref="J82" ca="1">IF(CELL("format",CONTADJ[[#This Row],[ContractDateFrom]])="D1",0,1)+IF(CELL("format",CONTADJ[[#This Row],[ContractDateTo]])="D1",0,1)+IF(CELL("format",CONTADJ[[#This Row],[AdjustmentDateFrom]])="D1",0,1)+IF(CELL("format",CONTADJ[[#This Row],[AdjustmentDateTo]])="D1",0,1)</f>
        <v>0</v>
      </c>
      <c r="K82" s="57">
        <f>IF(LEN(CONTADJ[[#This Row],[Notes]])&lt;4000,0,1)</f>
        <v>0</v>
      </c>
      <c r="L82" s="57">
        <f>COUNTBLANK(CONTADJ[[#This Row],[AnnualValuePreAnnualFte]:[AnnualValuePostAnnualFte]])</f>
        <v>0</v>
      </c>
      <c r="M82" s="57">
        <f ca="1">SUM(CONTADJ[[#This Row],[Contract Issue]:[Blank in column]])</f>
        <v>0</v>
      </c>
      <c r="O82" s="12" t="s">
        <v>2126</v>
      </c>
      <c r="P82" s="12">
        <v>10008048</v>
      </c>
      <c r="Q82" s="12">
        <v>110866</v>
      </c>
      <c r="R82" s="57" t="str">
        <f>_xlfn.XLOOKUP(CONTADJ[[#This Row],[StaffMemberCode]],StaffMembers!O:O,StaffMembers!R:R)</f>
        <v>Wayne Newton</v>
      </c>
      <c r="S82" s="12" t="s">
        <v>4299</v>
      </c>
      <c r="T82" s="12" t="s">
        <v>2495</v>
      </c>
      <c r="U82" s="21">
        <v>46023</v>
      </c>
      <c r="W82" s="12" t="s">
        <v>3156</v>
      </c>
      <c r="X82" s="21">
        <v>46023</v>
      </c>
      <c r="Z82" s="12">
        <v>0</v>
      </c>
      <c r="AA82" s="14">
        <v>35.4</v>
      </c>
    </row>
    <row r="83" spans="1:27" x14ac:dyDescent="0.3">
      <c r="A83" s="12" t="str">
        <f t="shared" si="4"/>
        <v>MLB10008048110866SITE_OFFSPREM46023</v>
      </c>
      <c r="B83" s="12" t="str">
        <f>CONTADJ[[#This Row],[StaffMemberCode]]&amp;CONTADJ[[#This Row],[AdjustmentTypeCode]]&amp;CONTADJ[[#This Row],[ContractReference]]&amp;CONTADJ[[#This Row],[SchoolCode]]</f>
        <v>10008048SFT110866MLB</v>
      </c>
      <c r="C83" s="57">
        <f>IF(COUNTIF(ContractsTeachFTE!A:A,ContractAdjustments!A83)&gt;0,0,IF(COUNTIF(ContractsSupportHours!A:A,ContractAdjustments!A83)&gt;0,0,1))</f>
        <v>0</v>
      </c>
      <c r="D83" s="57" cm="1">
        <f t="array" ref="D83">IF(_xlfn.XLOOKUP(CONTADJ[[#This Row],[DepartmentCode]],DEPTS[DepartmentCode],DEPTS[AvailableToAllSchools],1,0,)=TRUE,0,IF(ISERROR(FIND(CONTADJ[[#This Row],[SchoolCode]],_xlfn.TEXTJOIN(",",TRUE,_xlfn.UNIQUE(IF(DEPTS[DepartmentCode]=CONTADJ[[#This Row],[DepartmentCode]],DEPTS[SchoolCodes],""))))),1,0))</f>
        <v>0</v>
      </c>
      <c r="E83" s="57">
        <f>IF(COUNTIF(ADJTYPE[AdjustmentTypeCode],CONTADJ[[#This Row],[AdjustmentTypeCode]])&gt;0,0,1)</f>
        <v>0</v>
      </c>
      <c r="F83" s="57">
        <f>COUNTIF(CONTADJ[Person+Adj Type Point+Contract Ref+SchoolCode],CONTADJ[[#This Row],[Person+Adj Type Point+Contract Ref+SchoolCode]]-1)</f>
        <v>0</v>
      </c>
      <c r="G83" s="57">
        <f t="shared" si="5"/>
        <v>0</v>
      </c>
      <c r="H83" s="57">
        <f>IF(ISBLANK(CONTADJ[[#This Row],[ContractDateTo]]),0,IF(CONTADJ[[#This Row],[ContractDateFrom]]=CONTADJ[[#This Row],[ContractDateTo]],0,IF(CONTADJ[[#This Row],[ContractDateFrom]]&lt;CONTADJ[[#This Row],[ContractDateTo]],0,1)))</f>
        <v>0</v>
      </c>
      <c r="I83" s="57">
        <f>IF(ISBLANK(CONTADJ[[#This Row],[AdjustmentDateTo]]),0,IF(CONTADJ[[#This Row],[AdjustmentDateFrom]]=CONTADJ[[#This Row],[AdjustmentDateTo]],0,IF(CONTADJ[[#This Row],[AdjustmentDateFrom]]&lt;CONTADJ[[#This Row],[AdjustmentDateTo]],0,1)))</f>
        <v>0</v>
      </c>
      <c r="J83" s="57" cm="1">
        <f t="array" aca="1" ref="J83" ca="1">IF(CELL("format",CONTADJ[[#This Row],[ContractDateFrom]])="D1",0,1)+IF(CELL("format",CONTADJ[[#This Row],[ContractDateTo]])="D1",0,1)+IF(CELL("format",CONTADJ[[#This Row],[AdjustmentDateFrom]])="D1",0,1)+IF(CELL("format",CONTADJ[[#This Row],[AdjustmentDateTo]])="D1",0,1)</f>
        <v>0</v>
      </c>
      <c r="K83" s="57">
        <f>IF(LEN(CONTADJ[[#This Row],[Notes]])&lt;4000,0,1)</f>
        <v>0</v>
      </c>
      <c r="L83" s="57">
        <f>COUNTBLANK(CONTADJ[[#This Row],[AnnualValuePreAnnualFte]:[AnnualValuePostAnnualFte]])</f>
        <v>0</v>
      </c>
      <c r="M83" s="57">
        <f ca="1">SUM(CONTADJ[[#This Row],[Contract Issue]:[Blank in column]])</f>
        <v>0</v>
      </c>
      <c r="O83" s="12" t="s">
        <v>2126</v>
      </c>
      <c r="P83" s="12">
        <v>10008048</v>
      </c>
      <c r="Q83" s="12">
        <v>110866</v>
      </c>
      <c r="R83" s="57" t="str">
        <f>_xlfn.XLOOKUP(CONTADJ[[#This Row],[StaffMemberCode]],StaffMembers!O:O,StaffMembers!R:R)</f>
        <v>Wayne Newton</v>
      </c>
      <c r="S83" s="12" t="s">
        <v>4299</v>
      </c>
      <c r="T83" s="12" t="s">
        <v>2495</v>
      </c>
      <c r="U83" s="21">
        <v>46023</v>
      </c>
      <c r="W83" s="12" t="s">
        <v>3153</v>
      </c>
      <c r="X83" s="21">
        <v>46023</v>
      </c>
      <c r="Z83" s="12">
        <v>0</v>
      </c>
      <c r="AA83" s="14">
        <v>47.2</v>
      </c>
    </row>
  </sheetData>
  <phoneticPr fontId="2" type="noConversion"/>
  <conditionalFormatting sqref="P1:P1048576">
    <cfRule type="duplicateValues" dxfId="0" priority="1"/>
  </conditionalFormatting>
  <pageMargins left="0.7" right="0.7" top="0.75" bottom="0.75" header="0.3" footer="0.3"/>
  <pageSetup paperSize="9" orientation="portrait" horizontalDpi="360" verticalDpi="360"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C3CCF433-2108-4E1E-B380-5398ED2B922F}">
          <x14:formula1>
            <xm:f>Depts!$G:$G</xm:f>
          </x14:formula1>
          <xm:sqref>T1:T1048576</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59F3C-878A-4723-915B-3B5F7577F78E}">
  <sheetPr codeName="Sheet40">
    <tabColor theme="9" tint="0.39997558519241921"/>
  </sheetPr>
  <dimension ref="A1:Y34"/>
  <sheetViews>
    <sheetView zoomScale="90" zoomScaleNormal="90" workbookViewId="0">
      <pane ySplit="1" topLeftCell="A2" activePane="bottomLeft" state="frozen"/>
      <selection activeCell="D2" sqref="D2"/>
      <selection pane="bottomLeft" activeCell="J16" sqref="J16"/>
    </sheetView>
  </sheetViews>
  <sheetFormatPr defaultColWidth="9.33203125" defaultRowHeight="14.4" outlineLevelCol="1" x14ac:dyDescent="0.3"/>
  <cols>
    <col min="1" max="7" width="10.5546875" hidden="1" customWidth="1" outlineLevel="1"/>
    <col min="8" max="8" width="8.33203125" customWidth="1" collapsed="1"/>
    <col min="9" max="9" width="6.6640625" customWidth="1"/>
    <col min="10" max="10" width="20.109375" bestFit="1" customWidth="1"/>
    <col min="11" max="11" width="59.109375" bestFit="1" customWidth="1"/>
    <col min="12" max="12" width="11.33203125" customWidth="1"/>
    <col min="13" max="14" width="7.109375" customWidth="1"/>
    <col min="15" max="15" width="10.5546875" customWidth="1"/>
    <col min="16" max="16" width="11.33203125" customWidth="1"/>
    <col min="17" max="17" width="11.44140625" customWidth="1"/>
    <col min="18" max="18" width="10.5546875" customWidth="1"/>
    <col min="19" max="19" width="11.6640625" customWidth="1"/>
    <col min="20" max="21" width="10" customWidth="1"/>
    <col min="22" max="22" width="9.88671875" customWidth="1"/>
    <col min="23" max="23" width="9.5546875" customWidth="1"/>
    <col min="24" max="24" width="10.5546875" customWidth="1"/>
    <col min="25" max="25" width="20" bestFit="1" customWidth="1"/>
  </cols>
  <sheetData>
    <row r="1" spans="1:24" s="28" customFormat="1" ht="57.6" x14ac:dyDescent="0.3">
      <c r="A1" s="53" t="s">
        <v>1631</v>
      </c>
      <c r="B1" s="65" t="s">
        <v>1659</v>
      </c>
      <c r="C1" s="53" t="s">
        <v>1661</v>
      </c>
      <c r="D1" s="53" t="s">
        <v>1639</v>
      </c>
      <c r="E1" s="53" t="s">
        <v>1638</v>
      </c>
      <c r="F1" s="122" t="s">
        <v>1660</v>
      </c>
      <c r="G1" s="122" t="s">
        <v>1766</v>
      </c>
      <c r="H1" s="113" t="s">
        <v>886</v>
      </c>
      <c r="I1" s="76" t="s">
        <v>1049</v>
      </c>
      <c r="J1" s="76" t="s">
        <v>1238</v>
      </c>
      <c r="K1" s="76" t="s">
        <v>1239</v>
      </c>
      <c r="L1" s="76" t="s">
        <v>904</v>
      </c>
      <c r="M1" s="76" t="s">
        <v>905</v>
      </c>
      <c r="N1" s="76" t="s">
        <v>1240</v>
      </c>
      <c r="O1" s="76" t="s">
        <v>1241</v>
      </c>
      <c r="P1" s="76" t="s">
        <v>1523</v>
      </c>
      <c r="Q1" s="76" t="s">
        <v>1242</v>
      </c>
      <c r="R1" s="76" t="s">
        <v>1243</v>
      </c>
      <c r="S1" s="76" t="s">
        <v>1244</v>
      </c>
      <c r="T1" s="76" t="s">
        <v>1245</v>
      </c>
      <c r="U1" s="76" t="s">
        <v>1246</v>
      </c>
      <c r="V1" s="76" t="s">
        <v>1247</v>
      </c>
      <c r="W1" s="76" t="s">
        <v>1248</v>
      </c>
      <c r="X1" s="76" t="s">
        <v>55</v>
      </c>
    </row>
    <row r="2" spans="1:24" x14ac:dyDescent="0.3">
      <c r="A2" s="134">
        <f>IF(LEAVES[[#This Row],[AvailableToAllSchools]]=FALSE,IF(ISBLANK(LEAVES[[#This Row],[SchoolCodes]]),1,0),IF(LEAVES[[#This Row],[AvailableToAllSchools]]=TRUE,IF(ISBLANK(LEAVES[[#This Row],[SchoolCodes]]),0,1)))</f>
        <v>0</v>
      </c>
      <c r="B2" s="134">
        <f>IF(OR(LEAVES[[#This Row],[LeaveTypeEnabled]]=TRUE,LEAVES[[#This Row],[LeaveTypeEnabled]]=FALSE),IF(OR(LEAVES[[#This Row],[AvailableToAllSchools]]=TRUE,LEAVES[[#This Row],[AvailableToAllSchools]]=FALSE),IF(OR(LEAVES[[#This Row],[UseGrossValueForPension]]=TRUE,LEAVES[[#This Row],[UseGrossValueForPension]]=FALSE),0,1),1),1)</f>
        <v>0</v>
      </c>
      <c r="C2" s="134">
        <f>COUNTBLANK(LEAVES[[#This Row],[RebatePercentage]:[TopUpToPercentage]])</f>
        <v>0</v>
      </c>
      <c r="D2" s="57">
        <f>IF(LEN(LEAVES[[#This Row],[LeaveTypeCode]])&lt;100,0,1)</f>
        <v>0</v>
      </c>
      <c r="E2" s="57">
        <f>IF(LEN(LEAVES[[#This Row],[LeaveTypeTitle]])&lt;100,0,1)</f>
        <v>0</v>
      </c>
      <c r="F2" s="134">
        <f>IF(SUBSTITUTE(TEXT(LEAVES[[#This Row],[LeaveTypeCode]],10)," ","")=TEXT(LEAVES[[#This Row],[LeaveTypeCode]],10),0,1)</f>
        <v>0</v>
      </c>
      <c r="G2" s="134" cm="1">
        <f t="array" ref="G2">IF(SUM((LEAVES[LeaveTypeCode]=LEAVES[[#This Row],[LeaveTypeCode]]) *
        (LEAVES[WeeksFrom] &lt;= LEAVES[[#This Row],[WeeksTo]]) *
        (LEAVES[WeeksTo] &gt;= LEAVES[[#This Row],[WeeksFrom]])) &gt; 1,
    1,
    0
)</f>
        <v>0</v>
      </c>
      <c r="H2" s="134">
        <f>SUM(LEAVES[[#This Row],[Schools Check]:[Leave Types Overlap]])</f>
        <v>0</v>
      </c>
      <c r="J2" t="s">
        <v>1249</v>
      </c>
      <c r="K2" t="s">
        <v>1250</v>
      </c>
      <c r="L2" t="b">
        <v>1</v>
      </c>
      <c r="N2">
        <v>92</v>
      </c>
      <c r="O2" t="b">
        <v>1</v>
      </c>
      <c r="P2" t="b">
        <v>1</v>
      </c>
      <c r="Q2">
        <v>1</v>
      </c>
      <c r="R2">
        <v>6</v>
      </c>
      <c r="S2">
        <v>90</v>
      </c>
      <c r="T2">
        <v>0</v>
      </c>
      <c r="U2">
        <v>0</v>
      </c>
      <c r="V2">
        <v>99999</v>
      </c>
      <c r="W2">
        <v>0</v>
      </c>
    </row>
    <row r="3" spans="1:24" x14ac:dyDescent="0.3">
      <c r="A3" s="134">
        <f>IF(LEAVES[[#This Row],[AvailableToAllSchools]]=FALSE,IF(ISBLANK(LEAVES[[#This Row],[SchoolCodes]]),1,0),IF(LEAVES[[#This Row],[AvailableToAllSchools]]=TRUE,IF(ISBLANK(LEAVES[[#This Row],[SchoolCodes]]),0,1)))</f>
        <v>0</v>
      </c>
      <c r="B3" s="134">
        <f>IF(OR(LEAVES[[#This Row],[LeaveTypeEnabled]]=TRUE,LEAVES[[#This Row],[LeaveTypeEnabled]]=FALSE),IF(OR(LEAVES[[#This Row],[AvailableToAllSchools]]=TRUE,LEAVES[[#This Row],[AvailableToAllSchools]]=FALSE),IF(OR(LEAVES[[#This Row],[UseGrossValueForPension]]=TRUE,LEAVES[[#This Row],[UseGrossValueForPension]]=FALSE),0,1),1),1)</f>
        <v>0</v>
      </c>
      <c r="C3" s="134">
        <f>COUNTBLANK(LEAVES[[#This Row],[RebatePercentage]:[TopUpToPercentage]])</f>
        <v>0</v>
      </c>
      <c r="D3" s="134">
        <f>IF(LEN(LEAVES[[#This Row],[LeaveTypeCode]])&lt;100,0,1)</f>
        <v>0</v>
      </c>
      <c r="E3" s="134">
        <f>IF(LEN(LEAVES[[#This Row],[LeaveTypeTitle]])&lt;100,0,1)</f>
        <v>0</v>
      </c>
      <c r="F3" s="134">
        <f>IF(SUBSTITUTE(TEXT(LEAVES[[#This Row],[LeaveTypeCode]],10)," ","")=TEXT(LEAVES[[#This Row],[LeaveTypeCode]],10),0,1)</f>
        <v>0</v>
      </c>
      <c r="G3" s="134" cm="1">
        <f t="array" ref="G3">IF(SUM((LEAVES[LeaveTypeCode]=LEAVES[[#This Row],[LeaveTypeCode]]) *
        (LEAVES[WeeksFrom] &lt;= LEAVES[[#This Row],[WeeksTo]]) *
        (LEAVES[WeeksTo] &gt;= LEAVES[[#This Row],[WeeksFrom]])) &gt; 1,
    1,
    0
)</f>
        <v>0</v>
      </c>
      <c r="H3" s="134">
        <f>SUM(LEAVES[[#This Row],[Schools Check]:[Leave Types Overlap]])</f>
        <v>0</v>
      </c>
      <c r="J3" t="s">
        <v>1249</v>
      </c>
      <c r="K3" t="s">
        <v>1250</v>
      </c>
      <c r="L3" t="b">
        <v>1</v>
      </c>
      <c r="N3">
        <v>92</v>
      </c>
      <c r="O3" t="b">
        <v>1</v>
      </c>
      <c r="P3" t="b">
        <v>1</v>
      </c>
      <c r="Q3">
        <v>7</v>
      </c>
      <c r="R3">
        <v>39</v>
      </c>
      <c r="S3">
        <v>90</v>
      </c>
      <c r="T3">
        <v>0</v>
      </c>
      <c r="U3">
        <v>0</v>
      </c>
      <c r="V3" s="19">
        <v>187.18</v>
      </c>
      <c r="W3">
        <v>0</v>
      </c>
    </row>
    <row r="4" spans="1:24" x14ac:dyDescent="0.3">
      <c r="A4" s="134">
        <f>IF(LEAVES[[#This Row],[AvailableToAllSchools]]=FALSE,IF(ISBLANK(LEAVES[[#This Row],[SchoolCodes]]),1,0),IF(LEAVES[[#This Row],[AvailableToAllSchools]]=TRUE,IF(ISBLANK(LEAVES[[#This Row],[SchoolCodes]]),0,1)))</f>
        <v>0</v>
      </c>
      <c r="B4" s="134">
        <f>IF(OR(LEAVES[[#This Row],[LeaveTypeEnabled]]=TRUE,LEAVES[[#This Row],[LeaveTypeEnabled]]=FALSE),IF(OR(LEAVES[[#This Row],[AvailableToAllSchools]]=TRUE,LEAVES[[#This Row],[AvailableToAllSchools]]=FALSE),IF(OR(LEAVES[[#This Row],[UseGrossValueForPension]]=TRUE,LEAVES[[#This Row],[UseGrossValueForPension]]=FALSE),0,1),1),1)</f>
        <v>0</v>
      </c>
      <c r="C4" s="134">
        <f>COUNTBLANK(LEAVES[[#This Row],[RebatePercentage]:[TopUpToPercentage]])</f>
        <v>0</v>
      </c>
      <c r="D4" s="134">
        <f>IF(LEN(LEAVES[[#This Row],[LeaveTypeCode]])&lt;100,0,1)</f>
        <v>0</v>
      </c>
      <c r="E4" s="134">
        <f>IF(LEN(LEAVES[[#This Row],[LeaveTypeTitle]])&lt;100,0,1)</f>
        <v>0</v>
      </c>
      <c r="F4" s="134">
        <f>IF(SUBSTITUTE(TEXT(LEAVES[[#This Row],[LeaveTypeCode]],10)," ","")=TEXT(LEAVES[[#This Row],[LeaveTypeCode]],10),0,1)</f>
        <v>0</v>
      </c>
      <c r="G4" s="134" cm="1">
        <f t="array" ref="G4">IF(SUM((LEAVES[LeaveTypeCode]=LEAVES[[#This Row],[LeaveTypeCode]]) *
        (LEAVES[WeeksFrom] &lt;= LEAVES[[#This Row],[WeeksTo]]) *
        (LEAVES[WeeksTo] &gt;= LEAVES[[#This Row],[WeeksFrom]])) &gt; 1,
    1,
    0
)</f>
        <v>0</v>
      </c>
      <c r="H4" s="134">
        <f>SUM(LEAVES[[#This Row],[Schools Check]:[Leave Types Overlap]])</f>
        <v>0</v>
      </c>
      <c r="J4" t="s">
        <v>1249</v>
      </c>
      <c r="K4" t="s">
        <v>1250</v>
      </c>
      <c r="L4" t="b">
        <v>1</v>
      </c>
      <c r="N4">
        <v>92</v>
      </c>
      <c r="O4" t="b">
        <v>1</v>
      </c>
      <c r="P4" s="22" t="b">
        <v>0</v>
      </c>
      <c r="Q4">
        <v>40</v>
      </c>
      <c r="R4">
        <v>52</v>
      </c>
      <c r="S4">
        <v>0</v>
      </c>
      <c r="T4">
        <v>0</v>
      </c>
      <c r="U4">
        <v>0</v>
      </c>
      <c r="V4">
        <v>0</v>
      </c>
      <c r="W4">
        <v>0</v>
      </c>
    </row>
    <row r="5" spans="1:24" x14ac:dyDescent="0.3">
      <c r="A5" s="134">
        <f>IF(LEAVES[[#This Row],[AvailableToAllSchools]]=FALSE,IF(ISBLANK(LEAVES[[#This Row],[SchoolCodes]]),1,0),IF(LEAVES[[#This Row],[AvailableToAllSchools]]=TRUE,IF(ISBLANK(LEAVES[[#This Row],[SchoolCodes]]),0,1)))</f>
        <v>0</v>
      </c>
      <c r="B5" s="134">
        <f>IF(OR(LEAVES[[#This Row],[LeaveTypeEnabled]]=TRUE,LEAVES[[#This Row],[LeaveTypeEnabled]]=FALSE),IF(OR(LEAVES[[#This Row],[AvailableToAllSchools]]=TRUE,LEAVES[[#This Row],[AvailableToAllSchools]]=FALSE),IF(OR(LEAVES[[#This Row],[UseGrossValueForPension]]=TRUE,LEAVES[[#This Row],[UseGrossValueForPension]]=FALSE),0,1),1),1)</f>
        <v>0</v>
      </c>
      <c r="C5" s="134">
        <f>COUNTBLANK(LEAVES[[#This Row],[RebatePercentage]:[TopUpToPercentage]])</f>
        <v>0</v>
      </c>
      <c r="D5" s="134">
        <f>IF(LEN(LEAVES[[#This Row],[LeaveTypeCode]])&lt;100,0,1)</f>
        <v>0</v>
      </c>
      <c r="E5" s="134">
        <f>IF(LEN(LEAVES[[#This Row],[LeaveTypeTitle]])&lt;100,0,1)</f>
        <v>0</v>
      </c>
      <c r="F5" s="134">
        <f>IF(SUBSTITUTE(TEXT(LEAVES[[#This Row],[LeaveTypeCode]],10)," ","")=TEXT(LEAVES[[#This Row],[LeaveTypeCode]],10),0,1)</f>
        <v>0</v>
      </c>
      <c r="G5" s="134" cm="1">
        <f t="array" ref="G5">IF(SUM((LEAVES[LeaveTypeCode]=LEAVES[[#This Row],[LeaveTypeCode]]) *
        (LEAVES[WeeksFrom] &lt;= LEAVES[[#This Row],[WeeksTo]]) *
        (LEAVES[WeeksTo] &gt;= LEAVES[[#This Row],[WeeksFrom]])) &gt; 1,
    1,
    0
)</f>
        <v>0</v>
      </c>
      <c r="H5" s="134">
        <f>SUM(LEAVES[[#This Row],[Schools Check]:[Leave Types Overlap]])</f>
        <v>0</v>
      </c>
      <c r="J5" s="139" t="s">
        <v>1251</v>
      </c>
      <c r="K5" t="s">
        <v>1252</v>
      </c>
      <c r="L5" t="b">
        <v>1</v>
      </c>
      <c r="N5">
        <v>92</v>
      </c>
      <c r="O5" t="b">
        <v>1</v>
      </c>
      <c r="P5" s="22" t="b">
        <v>0</v>
      </c>
      <c r="Q5">
        <v>1</v>
      </c>
      <c r="R5">
        <v>52</v>
      </c>
      <c r="S5">
        <v>0</v>
      </c>
      <c r="T5">
        <v>0</v>
      </c>
      <c r="U5">
        <v>0</v>
      </c>
      <c r="V5">
        <v>0</v>
      </c>
      <c r="W5">
        <v>0</v>
      </c>
    </row>
    <row r="6" spans="1:24" x14ac:dyDescent="0.3">
      <c r="A6" s="134">
        <f>IF(LEAVES[[#This Row],[AvailableToAllSchools]]=FALSE,IF(ISBLANK(LEAVES[[#This Row],[SchoolCodes]]),1,0),IF(LEAVES[[#This Row],[AvailableToAllSchools]]=TRUE,IF(ISBLANK(LEAVES[[#This Row],[SchoolCodes]]),0,1)))</f>
        <v>0</v>
      </c>
      <c r="B6" s="134">
        <f>IF(OR(LEAVES[[#This Row],[LeaveTypeEnabled]]=TRUE,LEAVES[[#This Row],[LeaveTypeEnabled]]=FALSE),IF(OR(LEAVES[[#This Row],[AvailableToAllSchools]]=TRUE,LEAVES[[#This Row],[AvailableToAllSchools]]=FALSE),IF(OR(LEAVES[[#This Row],[UseGrossValueForPension]]=TRUE,LEAVES[[#This Row],[UseGrossValueForPension]]=FALSE),0,1),1),1)</f>
        <v>0</v>
      </c>
      <c r="C6" s="134">
        <f>COUNTBLANK(LEAVES[[#This Row],[RebatePercentage]:[TopUpToPercentage]])</f>
        <v>0</v>
      </c>
      <c r="D6" s="134">
        <f>IF(LEN(LEAVES[[#This Row],[LeaveTypeCode]])&lt;100,0,1)</f>
        <v>0</v>
      </c>
      <c r="E6" s="134">
        <f>IF(LEN(LEAVES[[#This Row],[LeaveTypeTitle]])&lt;100,0,1)</f>
        <v>0</v>
      </c>
      <c r="F6" s="134">
        <f>IF(SUBSTITUTE(TEXT(LEAVES[[#This Row],[LeaveTypeCode]],10)," ","")=TEXT(LEAVES[[#This Row],[LeaveTypeCode]],10),0,1)</f>
        <v>0</v>
      </c>
      <c r="G6" s="134" cm="1">
        <f t="array" ref="G6">IF(SUM((LEAVES[LeaveTypeCode]=LEAVES[[#This Row],[LeaveTypeCode]]) *
        (LEAVES[WeeksFrom] &lt;= LEAVES[[#This Row],[WeeksTo]]) *
        (LEAVES[WeeksTo] &gt;= LEAVES[[#This Row],[WeeksFrom]])) &gt; 1,
    1,
    0
)</f>
        <v>0</v>
      </c>
      <c r="H6" s="134">
        <f>SUM(LEAVES[[#This Row],[Schools Check]:[Leave Types Overlap]])</f>
        <v>0</v>
      </c>
      <c r="J6" t="s">
        <v>1253</v>
      </c>
      <c r="K6" t="s">
        <v>1254</v>
      </c>
      <c r="L6" t="b">
        <v>1</v>
      </c>
      <c r="N6">
        <v>92</v>
      </c>
      <c r="O6" t="b">
        <v>1</v>
      </c>
      <c r="P6" t="b">
        <v>1</v>
      </c>
      <c r="Q6">
        <v>1</v>
      </c>
      <c r="R6">
        <v>6</v>
      </c>
      <c r="S6">
        <v>90</v>
      </c>
      <c r="T6">
        <v>0</v>
      </c>
      <c r="U6">
        <v>0</v>
      </c>
      <c r="V6">
        <v>99999</v>
      </c>
      <c r="W6">
        <v>90</v>
      </c>
    </row>
    <row r="7" spans="1:24" x14ac:dyDescent="0.3">
      <c r="A7" s="134">
        <f>IF(LEAVES[[#This Row],[AvailableToAllSchools]]=FALSE,IF(ISBLANK(LEAVES[[#This Row],[SchoolCodes]]),1,0),IF(LEAVES[[#This Row],[AvailableToAllSchools]]=TRUE,IF(ISBLANK(LEAVES[[#This Row],[SchoolCodes]]),0,1)))</f>
        <v>0</v>
      </c>
      <c r="B7" s="134">
        <f>IF(OR(LEAVES[[#This Row],[LeaveTypeEnabled]]=TRUE,LEAVES[[#This Row],[LeaveTypeEnabled]]=FALSE),IF(OR(LEAVES[[#This Row],[AvailableToAllSchools]]=TRUE,LEAVES[[#This Row],[AvailableToAllSchools]]=FALSE),IF(OR(LEAVES[[#This Row],[UseGrossValueForPension]]=TRUE,LEAVES[[#This Row],[UseGrossValueForPension]]=FALSE),0,1),1),1)</f>
        <v>0</v>
      </c>
      <c r="C7" s="134">
        <f>COUNTBLANK(LEAVES[[#This Row],[RebatePercentage]:[TopUpToPercentage]])</f>
        <v>0</v>
      </c>
      <c r="D7" s="134">
        <f>IF(LEN(LEAVES[[#This Row],[LeaveTypeCode]])&lt;100,0,1)</f>
        <v>0</v>
      </c>
      <c r="E7" s="134">
        <f>IF(LEN(LEAVES[[#This Row],[LeaveTypeTitle]])&lt;100,0,1)</f>
        <v>0</v>
      </c>
      <c r="F7" s="134">
        <f>IF(SUBSTITUTE(TEXT(LEAVES[[#This Row],[LeaveTypeCode]],10)," ","")=TEXT(LEAVES[[#This Row],[LeaveTypeCode]],10),0,1)</f>
        <v>0</v>
      </c>
      <c r="G7" s="134" cm="1">
        <f t="array" ref="G7">IF(SUM((LEAVES[LeaveTypeCode]=LEAVES[[#This Row],[LeaveTypeCode]]) *
        (LEAVES[WeeksFrom] &lt;= LEAVES[[#This Row],[WeeksTo]]) *
        (LEAVES[WeeksTo] &gt;= LEAVES[[#This Row],[WeeksFrom]])) &gt; 1,
    1,
    0
)</f>
        <v>0</v>
      </c>
      <c r="H7" s="134">
        <f>SUM(LEAVES[[#This Row],[Schools Check]:[Leave Types Overlap]])</f>
        <v>0</v>
      </c>
      <c r="J7" t="s">
        <v>1253</v>
      </c>
      <c r="K7" t="s">
        <v>1254</v>
      </c>
      <c r="L7" t="b">
        <v>1</v>
      </c>
      <c r="N7">
        <v>92</v>
      </c>
      <c r="O7" t="b">
        <v>1</v>
      </c>
      <c r="P7" t="b">
        <v>1</v>
      </c>
      <c r="Q7">
        <v>7</v>
      </c>
      <c r="R7">
        <v>18</v>
      </c>
      <c r="S7">
        <v>90</v>
      </c>
      <c r="T7">
        <v>50</v>
      </c>
      <c r="U7">
        <v>0</v>
      </c>
      <c r="V7" s="19">
        <v>187.18</v>
      </c>
      <c r="W7">
        <v>0</v>
      </c>
    </row>
    <row r="8" spans="1:24" x14ac:dyDescent="0.3">
      <c r="A8" s="134">
        <f>IF(LEAVES[[#This Row],[AvailableToAllSchools]]=FALSE,IF(ISBLANK(LEAVES[[#This Row],[SchoolCodes]]),1,0),IF(LEAVES[[#This Row],[AvailableToAllSchools]]=TRUE,IF(ISBLANK(LEAVES[[#This Row],[SchoolCodes]]),0,1)))</f>
        <v>0</v>
      </c>
      <c r="B8" s="134">
        <f>IF(OR(LEAVES[[#This Row],[LeaveTypeEnabled]]=TRUE,LEAVES[[#This Row],[LeaveTypeEnabled]]=FALSE),IF(OR(LEAVES[[#This Row],[AvailableToAllSchools]]=TRUE,LEAVES[[#This Row],[AvailableToAllSchools]]=FALSE),IF(OR(LEAVES[[#This Row],[UseGrossValueForPension]]=TRUE,LEAVES[[#This Row],[UseGrossValueForPension]]=FALSE),0,1),1),1)</f>
        <v>0</v>
      </c>
      <c r="C8" s="134">
        <f>COUNTBLANK(LEAVES[[#This Row],[RebatePercentage]:[TopUpToPercentage]])</f>
        <v>0</v>
      </c>
      <c r="D8" s="134">
        <f>IF(LEN(LEAVES[[#This Row],[LeaveTypeCode]])&lt;100,0,1)</f>
        <v>0</v>
      </c>
      <c r="E8" s="134">
        <f>IF(LEN(LEAVES[[#This Row],[LeaveTypeTitle]])&lt;100,0,1)</f>
        <v>0</v>
      </c>
      <c r="F8" s="134">
        <f>IF(SUBSTITUTE(TEXT(LEAVES[[#This Row],[LeaveTypeCode]],10)," ","")=TEXT(LEAVES[[#This Row],[LeaveTypeCode]],10),0,1)</f>
        <v>0</v>
      </c>
      <c r="G8" s="134" cm="1">
        <f t="array" ref="G8">IF(SUM((LEAVES[LeaveTypeCode]=LEAVES[[#This Row],[LeaveTypeCode]]) *
        (LEAVES[WeeksFrom] &lt;= LEAVES[[#This Row],[WeeksTo]]) *
        (LEAVES[WeeksTo] &gt;= LEAVES[[#This Row],[WeeksFrom]])) &gt; 1,
    1,
    0
)</f>
        <v>0</v>
      </c>
      <c r="H8" s="134">
        <f>SUM(LEAVES[[#This Row],[Schools Check]:[Leave Types Overlap]])</f>
        <v>0</v>
      </c>
      <c r="J8" t="s">
        <v>1253</v>
      </c>
      <c r="K8" t="s">
        <v>1254</v>
      </c>
      <c r="L8" t="b">
        <v>1</v>
      </c>
      <c r="N8">
        <v>92</v>
      </c>
      <c r="O8" t="b">
        <v>1</v>
      </c>
      <c r="P8" t="b">
        <v>1</v>
      </c>
      <c r="Q8">
        <v>19</v>
      </c>
      <c r="R8">
        <v>39</v>
      </c>
      <c r="S8">
        <v>90</v>
      </c>
      <c r="T8">
        <v>0</v>
      </c>
      <c r="U8">
        <v>0</v>
      </c>
      <c r="V8" s="19">
        <v>187.18</v>
      </c>
      <c r="W8">
        <v>0</v>
      </c>
    </row>
    <row r="9" spans="1:24" x14ac:dyDescent="0.3">
      <c r="A9" s="134">
        <f>IF(LEAVES[[#This Row],[AvailableToAllSchools]]=FALSE,IF(ISBLANK(LEAVES[[#This Row],[SchoolCodes]]),1,0),IF(LEAVES[[#This Row],[AvailableToAllSchools]]=TRUE,IF(ISBLANK(LEAVES[[#This Row],[SchoolCodes]]),0,1)))</f>
        <v>0</v>
      </c>
      <c r="B9" s="134">
        <f>IF(OR(LEAVES[[#This Row],[LeaveTypeEnabled]]=TRUE,LEAVES[[#This Row],[LeaveTypeEnabled]]=FALSE),IF(OR(LEAVES[[#This Row],[AvailableToAllSchools]]=TRUE,LEAVES[[#This Row],[AvailableToAllSchools]]=FALSE),IF(OR(LEAVES[[#This Row],[UseGrossValueForPension]]=TRUE,LEAVES[[#This Row],[UseGrossValueForPension]]=FALSE),0,1),1),1)</f>
        <v>0</v>
      </c>
      <c r="C9" s="134">
        <f>COUNTBLANK(LEAVES[[#This Row],[RebatePercentage]:[TopUpToPercentage]])</f>
        <v>0</v>
      </c>
      <c r="D9" s="134">
        <f>IF(LEN(LEAVES[[#This Row],[LeaveTypeCode]])&lt;100,0,1)</f>
        <v>0</v>
      </c>
      <c r="E9" s="134">
        <f>IF(LEN(LEAVES[[#This Row],[LeaveTypeTitle]])&lt;100,0,1)</f>
        <v>0</v>
      </c>
      <c r="F9" s="134">
        <f>IF(SUBSTITUTE(TEXT(LEAVES[[#This Row],[LeaveTypeCode]],10)," ","")=TEXT(LEAVES[[#This Row],[LeaveTypeCode]],10),0,1)</f>
        <v>0</v>
      </c>
      <c r="G9" s="134" cm="1">
        <f t="array" ref="G9">IF(SUM((LEAVES[LeaveTypeCode]=LEAVES[[#This Row],[LeaveTypeCode]]) *
        (LEAVES[WeeksFrom] &lt;= LEAVES[[#This Row],[WeeksTo]]) *
        (LEAVES[WeeksTo] &gt;= LEAVES[[#This Row],[WeeksFrom]])) &gt; 1,
    1,
    0
)</f>
        <v>0</v>
      </c>
      <c r="H9" s="134">
        <f>SUM(LEAVES[[#This Row],[Schools Check]:[Leave Types Overlap]])</f>
        <v>0</v>
      </c>
      <c r="J9" t="s">
        <v>1253</v>
      </c>
      <c r="K9" t="s">
        <v>1254</v>
      </c>
      <c r="L9" t="b">
        <v>1</v>
      </c>
      <c r="N9">
        <v>92</v>
      </c>
      <c r="O9" t="b">
        <v>1</v>
      </c>
      <c r="P9" s="22" t="b">
        <v>0</v>
      </c>
      <c r="Q9">
        <v>40</v>
      </c>
      <c r="R9">
        <v>52</v>
      </c>
      <c r="S9">
        <v>0</v>
      </c>
      <c r="T9">
        <v>0</v>
      </c>
      <c r="U9">
        <v>0</v>
      </c>
      <c r="V9">
        <v>0</v>
      </c>
      <c r="W9">
        <v>0</v>
      </c>
    </row>
    <row r="10" spans="1:24" x14ac:dyDescent="0.3">
      <c r="A10" s="134">
        <f>IF(LEAVES[[#This Row],[AvailableToAllSchools]]=FALSE,IF(ISBLANK(LEAVES[[#This Row],[SchoolCodes]]),1,0),IF(LEAVES[[#This Row],[AvailableToAllSchools]]=TRUE,IF(ISBLANK(LEAVES[[#This Row],[SchoolCodes]]),0,1)))</f>
        <v>0</v>
      </c>
      <c r="B10" s="134">
        <f>IF(OR(LEAVES[[#This Row],[LeaveTypeEnabled]]=TRUE,LEAVES[[#This Row],[LeaveTypeEnabled]]=FALSE),IF(OR(LEAVES[[#This Row],[AvailableToAllSchools]]=TRUE,LEAVES[[#This Row],[AvailableToAllSchools]]=FALSE),IF(OR(LEAVES[[#This Row],[UseGrossValueForPension]]=TRUE,LEAVES[[#This Row],[UseGrossValueForPension]]=FALSE),0,1),1),1)</f>
        <v>0</v>
      </c>
      <c r="C10" s="134">
        <f>COUNTBLANK(LEAVES[[#This Row],[RebatePercentage]:[TopUpToPercentage]])</f>
        <v>0</v>
      </c>
      <c r="D10" s="134">
        <f>IF(LEN(LEAVES[[#This Row],[LeaveTypeCode]])&lt;100,0,1)</f>
        <v>0</v>
      </c>
      <c r="E10" s="134">
        <f>IF(LEN(LEAVES[[#This Row],[LeaveTypeTitle]])&lt;100,0,1)</f>
        <v>0</v>
      </c>
      <c r="F10" s="134">
        <f>IF(SUBSTITUTE(TEXT(LEAVES[[#This Row],[LeaveTypeCode]],10)," ","")=TEXT(LEAVES[[#This Row],[LeaveTypeCode]],10),0,1)</f>
        <v>0</v>
      </c>
      <c r="G10" s="134" cm="1">
        <f t="array" ref="G10">IF(SUM((LEAVES[LeaveTypeCode]=LEAVES[[#This Row],[LeaveTypeCode]]) *
        (LEAVES[WeeksFrom] &lt;= LEAVES[[#This Row],[WeeksTo]]) *
        (LEAVES[WeeksTo] &gt;= LEAVES[[#This Row],[WeeksFrom]])) &gt; 1,
    1,
    0
)</f>
        <v>0</v>
      </c>
      <c r="H10" s="134">
        <f>SUM(LEAVES[[#This Row],[Schools Check]:[Leave Types Overlap]])</f>
        <v>0</v>
      </c>
      <c r="J10" s="139" t="s">
        <v>1255</v>
      </c>
      <c r="K10" t="s">
        <v>1256</v>
      </c>
      <c r="L10" t="b">
        <v>1</v>
      </c>
      <c r="N10">
        <v>92</v>
      </c>
      <c r="O10" t="b">
        <v>1</v>
      </c>
      <c r="P10" t="b">
        <v>1</v>
      </c>
      <c r="Q10">
        <v>1</v>
      </c>
      <c r="R10">
        <v>6</v>
      </c>
      <c r="S10">
        <v>90</v>
      </c>
      <c r="T10">
        <v>0</v>
      </c>
      <c r="U10">
        <v>0</v>
      </c>
      <c r="V10">
        <v>99999</v>
      </c>
      <c r="W10">
        <v>90</v>
      </c>
    </row>
    <row r="11" spans="1:24" x14ac:dyDescent="0.3">
      <c r="A11" s="134">
        <f>IF(LEAVES[[#This Row],[AvailableToAllSchools]]=FALSE,IF(ISBLANK(LEAVES[[#This Row],[SchoolCodes]]),1,0),IF(LEAVES[[#This Row],[AvailableToAllSchools]]=TRUE,IF(ISBLANK(LEAVES[[#This Row],[SchoolCodes]]),0,1)))</f>
        <v>0</v>
      </c>
      <c r="B11" s="134">
        <f>IF(OR(LEAVES[[#This Row],[LeaveTypeEnabled]]=TRUE,LEAVES[[#This Row],[LeaveTypeEnabled]]=FALSE),IF(OR(LEAVES[[#This Row],[AvailableToAllSchools]]=TRUE,LEAVES[[#This Row],[AvailableToAllSchools]]=FALSE),IF(OR(LEAVES[[#This Row],[UseGrossValueForPension]]=TRUE,LEAVES[[#This Row],[UseGrossValueForPension]]=FALSE),0,1),1),1)</f>
        <v>0</v>
      </c>
      <c r="C11" s="134">
        <f>COUNTBLANK(LEAVES[[#This Row],[RebatePercentage]:[TopUpToPercentage]])</f>
        <v>0</v>
      </c>
      <c r="D11" s="134">
        <f>IF(LEN(LEAVES[[#This Row],[LeaveTypeCode]])&lt;100,0,1)</f>
        <v>0</v>
      </c>
      <c r="E11" s="134">
        <f>IF(LEN(LEAVES[[#This Row],[LeaveTypeTitle]])&lt;100,0,1)</f>
        <v>0</v>
      </c>
      <c r="F11" s="134">
        <f>IF(SUBSTITUTE(TEXT(LEAVES[[#This Row],[LeaveTypeCode]],10)," ","")=TEXT(LEAVES[[#This Row],[LeaveTypeCode]],10),0,1)</f>
        <v>0</v>
      </c>
      <c r="G11" s="134" cm="1">
        <f t="array" ref="G11">IF(SUM((LEAVES[LeaveTypeCode]=LEAVES[[#This Row],[LeaveTypeCode]]) *
        (LEAVES[WeeksFrom] &lt;= LEAVES[[#This Row],[WeeksTo]]) *
        (LEAVES[WeeksTo] &gt;= LEAVES[[#This Row],[WeeksFrom]])) &gt; 1,
    1,
    0
)</f>
        <v>0</v>
      </c>
      <c r="H11" s="134">
        <f>SUM(LEAVES[[#This Row],[Schools Check]:[Leave Types Overlap]])</f>
        <v>0</v>
      </c>
      <c r="J11" s="139" t="s">
        <v>1255</v>
      </c>
      <c r="K11" t="s">
        <v>1256</v>
      </c>
      <c r="L11" t="b">
        <v>1</v>
      </c>
      <c r="N11">
        <v>92</v>
      </c>
      <c r="O11" t="b">
        <v>1</v>
      </c>
      <c r="P11" t="b">
        <v>1</v>
      </c>
      <c r="Q11">
        <v>7</v>
      </c>
      <c r="R11">
        <v>39</v>
      </c>
      <c r="S11">
        <v>90</v>
      </c>
      <c r="T11">
        <v>0</v>
      </c>
      <c r="U11">
        <v>0</v>
      </c>
      <c r="V11" s="19">
        <v>187.18</v>
      </c>
      <c r="W11">
        <v>0</v>
      </c>
    </row>
    <row r="12" spans="1:24" x14ac:dyDescent="0.3">
      <c r="A12" s="134">
        <f>IF(LEAVES[[#This Row],[AvailableToAllSchools]]=FALSE,IF(ISBLANK(LEAVES[[#This Row],[SchoolCodes]]),1,0),IF(LEAVES[[#This Row],[AvailableToAllSchools]]=TRUE,IF(ISBLANK(LEAVES[[#This Row],[SchoolCodes]]),0,1)))</f>
        <v>0</v>
      </c>
      <c r="B12" s="134">
        <f>IF(OR(LEAVES[[#This Row],[LeaveTypeEnabled]]=TRUE,LEAVES[[#This Row],[LeaveTypeEnabled]]=FALSE),IF(OR(LEAVES[[#This Row],[AvailableToAllSchools]]=TRUE,LEAVES[[#This Row],[AvailableToAllSchools]]=FALSE),IF(OR(LEAVES[[#This Row],[UseGrossValueForPension]]=TRUE,LEAVES[[#This Row],[UseGrossValueForPension]]=FALSE),0,1),1),1)</f>
        <v>0</v>
      </c>
      <c r="C12" s="134">
        <f>COUNTBLANK(LEAVES[[#This Row],[RebatePercentage]:[TopUpToPercentage]])</f>
        <v>0</v>
      </c>
      <c r="D12" s="134">
        <f>IF(LEN(LEAVES[[#This Row],[LeaveTypeCode]])&lt;100,0,1)</f>
        <v>0</v>
      </c>
      <c r="E12" s="134">
        <f>IF(LEN(LEAVES[[#This Row],[LeaveTypeTitle]])&lt;100,0,1)</f>
        <v>0</v>
      </c>
      <c r="F12" s="134">
        <f>IF(SUBSTITUTE(TEXT(LEAVES[[#This Row],[LeaveTypeCode]],10)," ","")=TEXT(LEAVES[[#This Row],[LeaveTypeCode]],10),0,1)</f>
        <v>0</v>
      </c>
      <c r="G12" s="134" cm="1">
        <f t="array" ref="G12">IF(SUM((LEAVES[LeaveTypeCode]=LEAVES[[#This Row],[LeaveTypeCode]]) *
        (LEAVES[WeeksFrom] &lt;= LEAVES[[#This Row],[WeeksTo]]) *
        (LEAVES[WeeksTo] &gt;= LEAVES[[#This Row],[WeeksFrom]])) &gt; 1,
    1,
    0
)</f>
        <v>0</v>
      </c>
      <c r="H12" s="134">
        <f>SUM(LEAVES[[#This Row],[Schools Check]:[Leave Types Overlap]])</f>
        <v>0</v>
      </c>
      <c r="J12" s="139" t="s">
        <v>1255</v>
      </c>
      <c r="K12" t="s">
        <v>1256</v>
      </c>
      <c r="L12" t="b">
        <v>1</v>
      </c>
      <c r="N12">
        <v>92</v>
      </c>
      <c r="O12" t="b">
        <v>1</v>
      </c>
      <c r="P12" s="22" t="b">
        <v>0</v>
      </c>
      <c r="Q12">
        <v>40</v>
      </c>
      <c r="R12">
        <v>52</v>
      </c>
      <c r="S12">
        <v>0</v>
      </c>
      <c r="T12">
        <v>0</v>
      </c>
      <c r="U12">
        <v>0</v>
      </c>
      <c r="V12">
        <v>0</v>
      </c>
      <c r="W12">
        <v>0</v>
      </c>
    </row>
    <row r="13" spans="1:24" x14ac:dyDescent="0.3">
      <c r="A13" s="134">
        <f>IF(LEAVES[[#This Row],[AvailableToAllSchools]]=FALSE,IF(ISBLANK(LEAVES[[#This Row],[SchoolCodes]]),1,0),IF(LEAVES[[#This Row],[AvailableToAllSchools]]=TRUE,IF(ISBLANK(LEAVES[[#This Row],[SchoolCodes]]),0,1)))</f>
        <v>0</v>
      </c>
      <c r="B13" s="134">
        <f>IF(OR(LEAVES[[#This Row],[LeaveTypeEnabled]]=TRUE,LEAVES[[#This Row],[LeaveTypeEnabled]]=FALSE),IF(OR(LEAVES[[#This Row],[AvailableToAllSchools]]=TRUE,LEAVES[[#This Row],[AvailableToAllSchools]]=FALSE),IF(OR(LEAVES[[#This Row],[UseGrossValueForPension]]=TRUE,LEAVES[[#This Row],[UseGrossValueForPension]]=FALSE),0,1),1),1)</f>
        <v>0</v>
      </c>
      <c r="C13" s="134">
        <f>COUNTBLANK(LEAVES[[#This Row],[RebatePercentage]:[TopUpToPercentage]])</f>
        <v>0</v>
      </c>
      <c r="D13" s="134">
        <f>IF(LEN(LEAVES[[#This Row],[LeaveTypeCode]])&lt;100,0,1)</f>
        <v>0</v>
      </c>
      <c r="E13" s="134">
        <f>IF(LEN(LEAVES[[#This Row],[LeaveTypeTitle]])&lt;100,0,1)</f>
        <v>0</v>
      </c>
      <c r="F13" s="134">
        <f>IF(SUBSTITUTE(TEXT(LEAVES[[#This Row],[LeaveTypeCode]],10)," ","")=TEXT(LEAVES[[#This Row],[LeaveTypeCode]],10),0,1)</f>
        <v>0</v>
      </c>
      <c r="G13" s="134" cm="1">
        <f t="array" ref="G13">IF(SUM((LEAVES[LeaveTypeCode]=LEAVES[[#This Row],[LeaveTypeCode]]) *
        (LEAVES[WeeksFrom] &lt;= LEAVES[[#This Row],[WeeksTo]]) *
        (LEAVES[WeeksTo] &gt;= LEAVES[[#This Row],[WeeksFrom]])) &gt; 1,
    1,
    0
)</f>
        <v>0</v>
      </c>
      <c r="H13" s="134">
        <f>SUM(LEAVES[[#This Row],[Schools Check]:[Leave Types Overlap]])</f>
        <v>0</v>
      </c>
      <c r="J13" s="139" t="s">
        <v>1257</v>
      </c>
      <c r="K13" t="s">
        <v>1258</v>
      </c>
      <c r="L13" t="b">
        <v>1</v>
      </c>
      <c r="N13">
        <v>92</v>
      </c>
      <c r="O13" t="b">
        <v>1</v>
      </c>
      <c r="P13" s="22" t="b">
        <v>0</v>
      </c>
      <c r="Q13">
        <v>1</v>
      </c>
      <c r="R13">
        <v>52</v>
      </c>
      <c r="S13">
        <v>0</v>
      </c>
      <c r="T13">
        <v>0</v>
      </c>
      <c r="U13">
        <v>0</v>
      </c>
      <c r="V13">
        <v>0</v>
      </c>
      <c r="W13">
        <v>0</v>
      </c>
    </row>
    <row r="14" spans="1:24" x14ac:dyDescent="0.3">
      <c r="A14" s="134">
        <f>IF(LEAVES[[#This Row],[AvailableToAllSchools]]=FALSE,IF(ISBLANK(LEAVES[[#This Row],[SchoolCodes]]),1,0),IF(LEAVES[[#This Row],[AvailableToAllSchools]]=TRUE,IF(ISBLANK(LEAVES[[#This Row],[SchoolCodes]]),0,1)))</f>
        <v>0</v>
      </c>
      <c r="B14" s="134">
        <f>IF(OR(LEAVES[[#This Row],[LeaveTypeEnabled]]=TRUE,LEAVES[[#This Row],[LeaveTypeEnabled]]=FALSE),IF(OR(LEAVES[[#This Row],[AvailableToAllSchools]]=TRUE,LEAVES[[#This Row],[AvailableToAllSchools]]=FALSE),IF(OR(LEAVES[[#This Row],[UseGrossValueForPension]]=TRUE,LEAVES[[#This Row],[UseGrossValueForPension]]=FALSE),0,1),1),1)</f>
        <v>0</v>
      </c>
      <c r="C14" s="134">
        <f>COUNTBLANK(LEAVES[[#This Row],[RebatePercentage]:[TopUpToPercentage]])</f>
        <v>0</v>
      </c>
      <c r="D14" s="134">
        <f>IF(LEN(LEAVES[[#This Row],[LeaveTypeCode]])&lt;100,0,1)</f>
        <v>0</v>
      </c>
      <c r="E14" s="134">
        <f>IF(LEN(LEAVES[[#This Row],[LeaveTypeTitle]])&lt;100,0,1)</f>
        <v>0</v>
      </c>
      <c r="F14" s="134">
        <f>IF(SUBSTITUTE(TEXT(LEAVES[[#This Row],[LeaveTypeCode]],10)," ","")=TEXT(LEAVES[[#This Row],[LeaveTypeCode]],10),0,1)</f>
        <v>0</v>
      </c>
      <c r="G14" s="134" cm="1">
        <f t="array" ref="G14">IF(SUM((LEAVES[LeaveTypeCode]=LEAVES[[#This Row],[LeaveTypeCode]]) *
        (LEAVES[WeeksFrom] &lt;= LEAVES[[#This Row],[WeeksTo]]) *
        (LEAVES[WeeksTo] &gt;= LEAVES[[#This Row],[WeeksFrom]])) &gt; 1,
    1,
    0
)</f>
        <v>0</v>
      </c>
      <c r="H14" s="134">
        <f>SUM(LEAVES[[#This Row],[Schools Check]:[Leave Types Overlap]])</f>
        <v>0</v>
      </c>
      <c r="J14" s="139" t="s">
        <v>1259</v>
      </c>
      <c r="K14" t="s">
        <v>1260</v>
      </c>
      <c r="L14" t="b">
        <v>1</v>
      </c>
      <c r="N14">
        <v>92</v>
      </c>
      <c r="O14" t="b">
        <v>1</v>
      </c>
      <c r="P14" t="b">
        <v>1</v>
      </c>
      <c r="Q14">
        <v>1</v>
      </c>
      <c r="R14">
        <v>4</v>
      </c>
      <c r="S14">
        <v>90</v>
      </c>
      <c r="T14">
        <v>0</v>
      </c>
      <c r="U14">
        <v>0</v>
      </c>
      <c r="V14">
        <v>99999</v>
      </c>
      <c r="W14">
        <v>100</v>
      </c>
    </row>
    <row r="15" spans="1:24" x14ac:dyDescent="0.3">
      <c r="A15" s="134">
        <f>IF(LEAVES[[#This Row],[AvailableToAllSchools]]=FALSE,IF(ISBLANK(LEAVES[[#This Row],[SchoolCodes]]),1,0),IF(LEAVES[[#This Row],[AvailableToAllSchools]]=TRUE,IF(ISBLANK(LEAVES[[#This Row],[SchoolCodes]]),0,1)))</f>
        <v>0</v>
      </c>
      <c r="B15" s="134">
        <f>IF(OR(LEAVES[[#This Row],[LeaveTypeEnabled]]=TRUE,LEAVES[[#This Row],[LeaveTypeEnabled]]=FALSE),IF(OR(LEAVES[[#This Row],[AvailableToAllSchools]]=TRUE,LEAVES[[#This Row],[AvailableToAllSchools]]=FALSE),IF(OR(LEAVES[[#This Row],[UseGrossValueForPension]]=TRUE,LEAVES[[#This Row],[UseGrossValueForPension]]=FALSE),0,1),1),1)</f>
        <v>0</v>
      </c>
      <c r="C15" s="134">
        <f>COUNTBLANK(LEAVES[[#This Row],[RebatePercentage]:[TopUpToPercentage]])</f>
        <v>0</v>
      </c>
      <c r="D15" s="134">
        <f>IF(LEN(LEAVES[[#This Row],[LeaveTypeCode]])&lt;100,0,1)</f>
        <v>0</v>
      </c>
      <c r="E15" s="134">
        <f>IF(LEN(LEAVES[[#This Row],[LeaveTypeTitle]])&lt;100,0,1)</f>
        <v>0</v>
      </c>
      <c r="F15" s="134">
        <f>IF(SUBSTITUTE(TEXT(LEAVES[[#This Row],[LeaveTypeCode]],10)," ","")=TEXT(LEAVES[[#This Row],[LeaveTypeCode]],10),0,1)</f>
        <v>0</v>
      </c>
      <c r="G15" s="134" cm="1">
        <f t="array" ref="G15">IF(SUM((LEAVES[LeaveTypeCode]=LEAVES[[#This Row],[LeaveTypeCode]]) *
        (LEAVES[WeeksFrom] &lt;= LEAVES[[#This Row],[WeeksTo]]) *
        (LEAVES[WeeksTo] &gt;= LEAVES[[#This Row],[WeeksFrom]])) &gt; 1,
    1,
    0
)</f>
        <v>0</v>
      </c>
      <c r="H15" s="134">
        <f>SUM(LEAVES[[#This Row],[Schools Check]:[Leave Types Overlap]])</f>
        <v>0</v>
      </c>
      <c r="J15" s="139" t="s">
        <v>1259</v>
      </c>
      <c r="K15" t="s">
        <v>1260</v>
      </c>
      <c r="L15" t="b">
        <v>1</v>
      </c>
      <c r="N15">
        <v>92</v>
      </c>
      <c r="O15" t="b">
        <v>1</v>
      </c>
      <c r="P15" t="b">
        <v>1</v>
      </c>
      <c r="Q15">
        <v>5</v>
      </c>
      <c r="R15">
        <v>6</v>
      </c>
      <c r="S15">
        <v>90</v>
      </c>
      <c r="T15">
        <v>0</v>
      </c>
      <c r="U15">
        <v>0</v>
      </c>
      <c r="V15">
        <v>99999</v>
      </c>
      <c r="W15">
        <v>0</v>
      </c>
    </row>
    <row r="16" spans="1:24" x14ac:dyDescent="0.3">
      <c r="A16" s="134">
        <f>IF(LEAVES[[#This Row],[AvailableToAllSchools]]=FALSE,IF(ISBLANK(LEAVES[[#This Row],[SchoolCodes]]),1,0),IF(LEAVES[[#This Row],[AvailableToAllSchools]]=TRUE,IF(ISBLANK(LEAVES[[#This Row],[SchoolCodes]]),0,1)))</f>
        <v>0</v>
      </c>
      <c r="B16" s="134">
        <f>IF(OR(LEAVES[[#This Row],[LeaveTypeEnabled]]=TRUE,LEAVES[[#This Row],[LeaveTypeEnabled]]=FALSE),IF(OR(LEAVES[[#This Row],[AvailableToAllSchools]]=TRUE,LEAVES[[#This Row],[AvailableToAllSchools]]=FALSE),IF(OR(LEAVES[[#This Row],[UseGrossValueForPension]]=TRUE,LEAVES[[#This Row],[UseGrossValueForPension]]=FALSE),0,1),1),1)</f>
        <v>0</v>
      </c>
      <c r="C16" s="134">
        <f>COUNTBLANK(LEAVES[[#This Row],[RebatePercentage]:[TopUpToPercentage]])</f>
        <v>0</v>
      </c>
      <c r="D16" s="134">
        <f>IF(LEN(LEAVES[[#This Row],[LeaveTypeCode]])&lt;100,0,1)</f>
        <v>0</v>
      </c>
      <c r="E16" s="134">
        <f>IF(LEN(LEAVES[[#This Row],[LeaveTypeTitle]])&lt;100,0,1)</f>
        <v>0</v>
      </c>
      <c r="F16" s="134">
        <f>IF(SUBSTITUTE(TEXT(LEAVES[[#This Row],[LeaveTypeCode]],10)," ","")=TEXT(LEAVES[[#This Row],[LeaveTypeCode]],10),0,1)</f>
        <v>0</v>
      </c>
      <c r="G16" s="134" cm="1">
        <f t="array" ref="G16">IF(SUM((LEAVES[LeaveTypeCode]=LEAVES[[#This Row],[LeaveTypeCode]]) *
        (LEAVES[WeeksFrom] &lt;= LEAVES[[#This Row],[WeeksTo]]) *
        (LEAVES[WeeksTo] &gt;= LEAVES[[#This Row],[WeeksFrom]])) &gt; 1,
    1,
    0
)</f>
        <v>0</v>
      </c>
      <c r="H16" s="134">
        <f>SUM(LEAVES[[#This Row],[Schools Check]:[Leave Types Overlap]])</f>
        <v>0</v>
      </c>
      <c r="J16" s="139" t="s">
        <v>1259</v>
      </c>
      <c r="K16" t="s">
        <v>1260</v>
      </c>
      <c r="L16" t="b">
        <v>1</v>
      </c>
      <c r="N16">
        <v>92</v>
      </c>
      <c r="O16" t="b">
        <v>1</v>
      </c>
      <c r="P16" t="b">
        <v>1</v>
      </c>
      <c r="Q16">
        <v>7</v>
      </c>
      <c r="R16">
        <v>18</v>
      </c>
      <c r="S16">
        <v>90</v>
      </c>
      <c r="T16">
        <v>50</v>
      </c>
      <c r="U16">
        <v>0</v>
      </c>
      <c r="V16" s="19">
        <v>187.18</v>
      </c>
      <c r="W16">
        <v>0</v>
      </c>
    </row>
    <row r="17" spans="1:25" x14ac:dyDescent="0.3">
      <c r="A17" s="134">
        <f>IF(LEAVES[[#This Row],[AvailableToAllSchools]]=FALSE,IF(ISBLANK(LEAVES[[#This Row],[SchoolCodes]]),1,0),IF(LEAVES[[#This Row],[AvailableToAllSchools]]=TRUE,IF(ISBLANK(LEAVES[[#This Row],[SchoolCodes]]),0,1)))</f>
        <v>0</v>
      </c>
      <c r="B17" s="134">
        <f>IF(OR(LEAVES[[#This Row],[LeaveTypeEnabled]]=TRUE,LEAVES[[#This Row],[LeaveTypeEnabled]]=FALSE),IF(OR(LEAVES[[#This Row],[AvailableToAllSchools]]=TRUE,LEAVES[[#This Row],[AvailableToAllSchools]]=FALSE),IF(OR(LEAVES[[#This Row],[UseGrossValueForPension]]=TRUE,LEAVES[[#This Row],[UseGrossValueForPension]]=FALSE),0,1),1),1)</f>
        <v>0</v>
      </c>
      <c r="C17" s="134">
        <f>COUNTBLANK(LEAVES[[#This Row],[RebatePercentage]:[TopUpToPercentage]])</f>
        <v>0</v>
      </c>
      <c r="D17" s="134">
        <f>IF(LEN(LEAVES[[#This Row],[LeaveTypeCode]])&lt;100,0,1)</f>
        <v>0</v>
      </c>
      <c r="E17" s="134">
        <f>IF(LEN(LEAVES[[#This Row],[LeaveTypeTitle]])&lt;100,0,1)</f>
        <v>0</v>
      </c>
      <c r="F17" s="134">
        <f>IF(SUBSTITUTE(TEXT(LEAVES[[#This Row],[LeaveTypeCode]],10)," ","")=TEXT(LEAVES[[#This Row],[LeaveTypeCode]],10),0,1)</f>
        <v>0</v>
      </c>
      <c r="G17" s="134" cm="1">
        <f t="array" ref="G17">IF(SUM((LEAVES[LeaveTypeCode]=LEAVES[[#This Row],[LeaveTypeCode]]) *
        (LEAVES[WeeksFrom] &lt;= LEAVES[[#This Row],[WeeksTo]]) *
        (LEAVES[WeeksTo] &gt;= LEAVES[[#This Row],[WeeksFrom]])) &gt; 1,
    1,
    0
)</f>
        <v>0</v>
      </c>
      <c r="H17" s="134">
        <f>SUM(LEAVES[[#This Row],[Schools Check]:[Leave Types Overlap]])</f>
        <v>0</v>
      </c>
      <c r="J17" s="139" t="s">
        <v>1259</v>
      </c>
      <c r="K17" t="s">
        <v>1260</v>
      </c>
      <c r="L17" t="b">
        <v>1</v>
      </c>
      <c r="N17">
        <v>92</v>
      </c>
      <c r="O17" t="b">
        <v>1</v>
      </c>
      <c r="P17" t="b">
        <v>1</v>
      </c>
      <c r="Q17">
        <v>19</v>
      </c>
      <c r="R17">
        <v>39</v>
      </c>
      <c r="S17">
        <v>90</v>
      </c>
      <c r="T17">
        <v>0</v>
      </c>
      <c r="U17">
        <v>0</v>
      </c>
      <c r="V17" s="19">
        <v>187.18</v>
      </c>
      <c r="W17">
        <v>0</v>
      </c>
    </row>
    <row r="18" spans="1:25" x14ac:dyDescent="0.3">
      <c r="A18" s="134">
        <f>IF(LEAVES[[#This Row],[AvailableToAllSchools]]=FALSE,IF(ISBLANK(LEAVES[[#This Row],[SchoolCodes]]),1,0),IF(LEAVES[[#This Row],[AvailableToAllSchools]]=TRUE,IF(ISBLANK(LEAVES[[#This Row],[SchoolCodes]]),0,1)))</f>
        <v>0</v>
      </c>
      <c r="B18" s="134">
        <f>IF(OR(LEAVES[[#This Row],[LeaveTypeEnabled]]=TRUE,LEAVES[[#This Row],[LeaveTypeEnabled]]=FALSE),IF(OR(LEAVES[[#This Row],[AvailableToAllSchools]]=TRUE,LEAVES[[#This Row],[AvailableToAllSchools]]=FALSE),IF(OR(LEAVES[[#This Row],[UseGrossValueForPension]]=TRUE,LEAVES[[#This Row],[UseGrossValueForPension]]=FALSE),0,1),1),1)</f>
        <v>0</v>
      </c>
      <c r="C18" s="134">
        <f>COUNTBLANK(LEAVES[[#This Row],[RebatePercentage]:[TopUpToPercentage]])</f>
        <v>0</v>
      </c>
      <c r="D18" s="134">
        <f>IF(LEN(LEAVES[[#This Row],[LeaveTypeCode]])&lt;100,0,1)</f>
        <v>0</v>
      </c>
      <c r="E18" s="134">
        <f>IF(LEN(LEAVES[[#This Row],[LeaveTypeTitle]])&lt;100,0,1)</f>
        <v>0</v>
      </c>
      <c r="F18" s="134">
        <f>IF(SUBSTITUTE(TEXT(LEAVES[[#This Row],[LeaveTypeCode]],10)," ","")=TEXT(LEAVES[[#This Row],[LeaveTypeCode]],10),0,1)</f>
        <v>0</v>
      </c>
      <c r="G18" s="134" cm="1">
        <f t="array" ref="G18">IF(SUM((LEAVES[LeaveTypeCode]=LEAVES[[#This Row],[LeaveTypeCode]]) *
        (LEAVES[WeeksFrom] &lt;= LEAVES[[#This Row],[WeeksTo]]) *
        (LEAVES[WeeksTo] &gt;= LEAVES[[#This Row],[WeeksFrom]])) &gt; 1,
    1,
    0
)</f>
        <v>0</v>
      </c>
      <c r="H18" s="134">
        <f>SUM(LEAVES[[#This Row],[Schools Check]:[Leave Types Overlap]])</f>
        <v>0</v>
      </c>
      <c r="J18" s="139" t="s">
        <v>1259</v>
      </c>
      <c r="K18" t="s">
        <v>1260</v>
      </c>
      <c r="L18" t="b">
        <v>1</v>
      </c>
      <c r="N18">
        <v>92</v>
      </c>
      <c r="O18" t="b">
        <v>1</v>
      </c>
      <c r="P18" s="22" t="b">
        <v>0</v>
      </c>
      <c r="Q18">
        <v>40</v>
      </c>
      <c r="R18">
        <v>52</v>
      </c>
      <c r="S18">
        <v>0</v>
      </c>
      <c r="T18">
        <v>0</v>
      </c>
      <c r="U18">
        <v>0</v>
      </c>
      <c r="V18">
        <v>0</v>
      </c>
      <c r="W18">
        <v>0</v>
      </c>
    </row>
    <row r="19" spans="1:25" x14ac:dyDescent="0.3">
      <c r="A19" s="134">
        <f>IF(LEAVES[[#This Row],[AvailableToAllSchools]]=FALSE,IF(ISBLANK(LEAVES[[#This Row],[SchoolCodes]]),1,0),IF(LEAVES[[#This Row],[AvailableToAllSchools]]=TRUE,IF(ISBLANK(LEAVES[[#This Row],[SchoolCodes]]),0,1)))</f>
        <v>0</v>
      </c>
      <c r="B19" s="134">
        <f>IF(OR(LEAVES[[#This Row],[LeaveTypeEnabled]]=TRUE,LEAVES[[#This Row],[LeaveTypeEnabled]]=FALSE),IF(OR(LEAVES[[#This Row],[AvailableToAllSchools]]=TRUE,LEAVES[[#This Row],[AvailableToAllSchools]]=FALSE),IF(OR(LEAVES[[#This Row],[UseGrossValueForPension]]=TRUE,LEAVES[[#This Row],[UseGrossValueForPension]]=FALSE),0,1),1),1)</f>
        <v>0</v>
      </c>
      <c r="C19" s="134">
        <f>COUNTBLANK(LEAVES[[#This Row],[RebatePercentage]:[TopUpToPercentage]])</f>
        <v>0</v>
      </c>
      <c r="D19" s="134">
        <f>IF(LEN(LEAVES[[#This Row],[LeaveTypeCode]])&lt;100,0,1)</f>
        <v>0</v>
      </c>
      <c r="E19" s="134">
        <f>IF(LEN(LEAVES[[#This Row],[LeaveTypeTitle]])&lt;100,0,1)</f>
        <v>0</v>
      </c>
      <c r="F19" s="134">
        <f>IF(SUBSTITUTE(TEXT(LEAVES[[#This Row],[LeaveTypeCode]],10)," ","")=TEXT(LEAVES[[#This Row],[LeaveTypeCode]],10),0,1)</f>
        <v>0</v>
      </c>
      <c r="G19" s="134" cm="1">
        <f t="array" ref="G19">IF(SUM((LEAVES[LeaveTypeCode]=LEAVES[[#This Row],[LeaveTypeCode]]) *
        (LEAVES[WeeksFrom] &lt;= LEAVES[[#This Row],[WeeksTo]]) *
        (LEAVES[WeeksTo] &gt;= LEAVES[[#This Row],[WeeksFrom]])) &gt; 1,
    1,
    0
)</f>
        <v>0</v>
      </c>
      <c r="H19" s="134">
        <f>SUM(LEAVES[[#This Row],[Schools Check]:[Leave Types Overlap]])</f>
        <v>0</v>
      </c>
      <c r="J19" s="139" t="s">
        <v>1261</v>
      </c>
      <c r="K19" t="s">
        <v>1262</v>
      </c>
      <c r="L19" t="b">
        <v>1</v>
      </c>
      <c r="N19">
        <v>92</v>
      </c>
      <c r="O19" t="b">
        <v>1</v>
      </c>
      <c r="P19" t="b">
        <v>1</v>
      </c>
      <c r="Q19">
        <v>1</v>
      </c>
      <c r="R19">
        <v>6</v>
      </c>
      <c r="S19">
        <v>90</v>
      </c>
      <c r="T19">
        <v>0</v>
      </c>
      <c r="U19">
        <v>0</v>
      </c>
      <c r="V19">
        <v>99999</v>
      </c>
      <c r="W19">
        <v>0</v>
      </c>
    </row>
    <row r="20" spans="1:25" x14ac:dyDescent="0.3">
      <c r="A20" s="134">
        <f>IF(LEAVES[[#This Row],[AvailableToAllSchools]]=FALSE,IF(ISBLANK(LEAVES[[#This Row],[SchoolCodes]]),1,0),IF(LEAVES[[#This Row],[AvailableToAllSchools]]=TRUE,IF(ISBLANK(LEAVES[[#This Row],[SchoolCodes]]),0,1)))</f>
        <v>0</v>
      </c>
      <c r="B20" s="134">
        <f>IF(OR(LEAVES[[#This Row],[LeaveTypeEnabled]]=TRUE,LEAVES[[#This Row],[LeaveTypeEnabled]]=FALSE),IF(OR(LEAVES[[#This Row],[AvailableToAllSchools]]=TRUE,LEAVES[[#This Row],[AvailableToAllSchools]]=FALSE),IF(OR(LEAVES[[#This Row],[UseGrossValueForPension]]=TRUE,LEAVES[[#This Row],[UseGrossValueForPension]]=FALSE),0,1),1),1)</f>
        <v>0</v>
      </c>
      <c r="C20" s="134">
        <f>COUNTBLANK(LEAVES[[#This Row],[RebatePercentage]:[TopUpToPercentage]])</f>
        <v>0</v>
      </c>
      <c r="D20" s="134">
        <f>IF(LEN(LEAVES[[#This Row],[LeaveTypeCode]])&lt;100,0,1)</f>
        <v>0</v>
      </c>
      <c r="E20" s="134">
        <f>IF(LEN(LEAVES[[#This Row],[LeaveTypeTitle]])&lt;100,0,1)</f>
        <v>0</v>
      </c>
      <c r="F20" s="134">
        <f>IF(SUBSTITUTE(TEXT(LEAVES[[#This Row],[LeaveTypeCode]],10)," ","")=TEXT(LEAVES[[#This Row],[LeaveTypeCode]],10),0,1)</f>
        <v>0</v>
      </c>
      <c r="G20" s="134" cm="1">
        <f t="array" ref="G20">IF(SUM((LEAVES[LeaveTypeCode]=LEAVES[[#This Row],[LeaveTypeCode]]) *
        (LEAVES[WeeksFrom] &lt;= LEAVES[[#This Row],[WeeksTo]]) *
        (LEAVES[WeeksTo] &gt;= LEAVES[[#This Row],[WeeksFrom]])) &gt; 1,
    1,
    0
)</f>
        <v>0</v>
      </c>
      <c r="H20" s="134">
        <f>SUM(LEAVES[[#This Row],[Schools Check]:[Leave Types Overlap]])</f>
        <v>0</v>
      </c>
      <c r="J20" s="139" t="s">
        <v>1261</v>
      </c>
      <c r="K20" t="s">
        <v>1262</v>
      </c>
      <c r="L20" t="b">
        <v>1</v>
      </c>
      <c r="N20">
        <v>92</v>
      </c>
      <c r="O20" t="b">
        <v>1</v>
      </c>
      <c r="P20" t="b">
        <v>1</v>
      </c>
      <c r="Q20">
        <v>7</v>
      </c>
      <c r="R20">
        <v>39</v>
      </c>
      <c r="S20">
        <v>90</v>
      </c>
      <c r="T20">
        <v>0</v>
      </c>
      <c r="U20">
        <v>0</v>
      </c>
      <c r="V20" s="19">
        <v>187.18</v>
      </c>
      <c r="W20">
        <v>0</v>
      </c>
    </row>
    <row r="21" spans="1:25" x14ac:dyDescent="0.3">
      <c r="A21" s="134">
        <f>IF(LEAVES[[#This Row],[AvailableToAllSchools]]=FALSE,IF(ISBLANK(LEAVES[[#This Row],[SchoolCodes]]),1,0),IF(LEAVES[[#This Row],[AvailableToAllSchools]]=TRUE,IF(ISBLANK(LEAVES[[#This Row],[SchoolCodes]]),0,1)))</f>
        <v>0</v>
      </c>
      <c r="B21" s="134">
        <f>IF(OR(LEAVES[[#This Row],[LeaveTypeEnabled]]=TRUE,LEAVES[[#This Row],[LeaveTypeEnabled]]=FALSE),IF(OR(LEAVES[[#This Row],[AvailableToAllSchools]]=TRUE,LEAVES[[#This Row],[AvailableToAllSchools]]=FALSE),IF(OR(LEAVES[[#This Row],[UseGrossValueForPension]]=TRUE,LEAVES[[#This Row],[UseGrossValueForPension]]=FALSE),0,1),1),1)</f>
        <v>0</v>
      </c>
      <c r="C21" s="134">
        <f>COUNTBLANK(LEAVES[[#This Row],[RebatePercentage]:[TopUpToPercentage]])</f>
        <v>0</v>
      </c>
      <c r="D21" s="134">
        <f>IF(LEN(LEAVES[[#This Row],[LeaveTypeCode]])&lt;100,0,1)</f>
        <v>0</v>
      </c>
      <c r="E21" s="134">
        <f>IF(LEN(LEAVES[[#This Row],[LeaveTypeTitle]])&lt;100,0,1)</f>
        <v>0</v>
      </c>
      <c r="F21" s="134">
        <f>IF(SUBSTITUTE(TEXT(LEAVES[[#This Row],[LeaveTypeCode]],10)," ","")=TEXT(LEAVES[[#This Row],[LeaveTypeCode]],10),0,1)</f>
        <v>0</v>
      </c>
      <c r="G21" s="134" cm="1">
        <f t="array" ref="G21">IF(SUM((LEAVES[LeaveTypeCode]=LEAVES[[#This Row],[LeaveTypeCode]]) *
        (LEAVES[WeeksFrom] &lt;= LEAVES[[#This Row],[WeeksTo]]) *
        (LEAVES[WeeksTo] &gt;= LEAVES[[#This Row],[WeeksFrom]])) &gt; 1,
    1,
    0
)</f>
        <v>0</v>
      </c>
      <c r="H21" s="134">
        <f>SUM(LEAVES[[#This Row],[Schools Check]:[Leave Types Overlap]])</f>
        <v>0</v>
      </c>
      <c r="J21" s="139" t="s">
        <v>1261</v>
      </c>
      <c r="K21" t="s">
        <v>1262</v>
      </c>
      <c r="L21" t="b">
        <v>1</v>
      </c>
      <c r="N21">
        <v>92</v>
      </c>
      <c r="O21" t="b">
        <v>1</v>
      </c>
      <c r="P21" s="22" t="b">
        <v>0</v>
      </c>
      <c r="Q21">
        <v>40</v>
      </c>
      <c r="R21">
        <v>52</v>
      </c>
      <c r="S21">
        <v>0</v>
      </c>
      <c r="T21">
        <v>0</v>
      </c>
      <c r="U21">
        <v>0</v>
      </c>
      <c r="V21">
        <v>0</v>
      </c>
      <c r="W21">
        <v>0</v>
      </c>
    </row>
    <row r="22" spans="1:25" x14ac:dyDescent="0.3">
      <c r="A22" s="134">
        <f>IF(LEAVES[[#This Row],[AvailableToAllSchools]]=FALSE,IF(ISBLANK(LEAVES[[#This Row],[SchoolCodes]]),1,0),IF(LEAVES[[#This Row],[AvailableToAllSchools]]=TRUE,IF(ISBLANK(LEAVES[[#This Row],[SchoolCodes]]),0,1)))</f>
        <v>0</v>
      </c>
      <c r="B22" s="134">
        <f>IF(OR(LEAVES[[#This Row],[LeaveTypeEnabled]]=TRUE,LEAVES[[#This Row],[LeaveTypeEnabled]]=FALSE),IF(OR(LEAVES[[#This Row],[AvailableToAllSchools]]=TRUE,LEAVES[[#This Row],[AvailableToAllSchools]]=FALSE),IF(OR(LEAVES[[#This Row],[UseGrossValueForPension]]=TRUE,LEAVES[[#This Row],[UseGrossValueForPension]]=FALSE),0,1),1),1)</f>
        <v>0</v>
      </c>
      <c r="C22" s="134">
        <f>COUNTBLANK(LEAVES[[#This Row],[RebatePercentage]:[TopUpToPercentage]])</f>
        <v>0</v>
      </c>
      <c r="D22" s="134">
        <f>IF(LEN(LEAVES[[#This Row],[LeaveTypeCode]])&lt;100,0,1)</f>
        <v>0</v>
      </c>
      <c r="E22" s="134">
        <f>IF(LEN(LEAVES[[#This Row],[LeaveTypeTitle]])&lt;100,0,1)</f>
        <v>0</v>
      </c>
      <c r="F22" s="134">
        <f>IF(SUBSTITUTE(TEXT(LEAVES[[#This Row],[LeaveTypeCode]],10)," ","")=TEXT(LEAVES[[#This Row],[LeaveTypeCode]],10),0,1)</f>
        <v>0</v>
      </c>
      <c r="G22" s="134" cm="1">
        <f t="array" ref="G22">IF(SUM((LEAVES[LeaveTypeCode]=LEAVES[[#This Row],[LeaveTypeCode]]) *
        (LEAVES[WeeksFrom] &lt;= LEAVES[[#This Row],[WeeksTo]]) *
        (LEAVES[WeeksTo] &gt;= LEAVES[[#This Row],[WeeksFrom]])) &gt; 1,
    1,
    0
)</f>
        <v>0</v>
      </c>
      <c r="H22" s="134">
        <f>SUM(LEAVES[[#This Row],[Schools Check]:[Leave Types Overlap]])</f>
        <v>0</v>
      </c>
      <c r="J22" t="s">
        <v>1263</v>
      </c>
      <c r="K22" t="s">
        <v>1264</v>
      </c>
      <c r="L22" t="b">
        <v>1</v>
      </c>
      <c r="N22">
        <v>92</v>
      </c>
      <c r="O22" t="b">
        <v>1</v>
      </c>
      <c r="P22" t="b">
        <v>1</v>
      </c>
      <c r="Q22">
        <v>1</v>
      </c>
      <c r="R22">
        <v>2</v>
      </c>
      <c r="S22">
        <v>90</v>
      </c>
      <c r="T22">
        <v>0</v>
      </c>
      <c r="U22">
        <v>0</v>
      </c>
      <c r="V22" s="19">
        <v>187.18</v>
      </c>
      <c r="W22">
        <v>0</v>
      </c>
    </row>
    <row r="23" spans="1:25" x14ac:dyDescent="0.3">
      <c r="A23" s="134">
        <f>IF(LEAVES[[#This Row],[AvailableToAllSchools]]=FALSE,IF(ISBLANK(LEAVES[[#This Row],[SchoolCodes]]),1,0),IF(LEAVES[[#This Row],[AvailableToAllSchools]]=TRUE,IF(ISBLANK(LEAVES[[#This Row],[SchoolCodes]]),0,1)))</f>
        <v>0</v>
      </c>
      <c r="B23" s="134">
        <f>IF(OR(LEAVES[[#This Row],[LeaveTypeEnabled]]=TRUE,LEAVES[[#This Row],[LeaveTypeEnabled]]=FALSE),IF(OR(LEAVES[[#This Row],[AvailableToAllSchools]]=TRUE,LEAVES[[#This Row],[AvailableToAllSchools]]=FALSE),IF(OR(LEAVES[[#This Row],[UseGrossValueForPension]]=TRUE,LEAVES[[#This Row],[UseGrossValueForPension]]=FALSE),0,1),1),1)</f>
        <v>0</v>
      </c>
      <c r="C23" s="134">
        <f>COUNTBLANK(LEAVES[[#This Row],[RebatePercentage]:[TopUpToPercentage]])</f>
        <v>0</v>
      </c>
      <c r="D23" s="134">
        <f>IF(LEN(LEAVES[[#This Row],[LeaveTypeCode]])&lt;100,0,1)</f>
        <v>0</v>
      </c>
      <c r="E23" s="134">
        <f>IF(LEN(LEAVES[[#This Row],[LeaveTypeTitle]])&lt;100,0,1)</f>
        <v>0</v>
      </c>
      <c r="F23" s="134">
        <f>IF(SUBSTITUTE(TEXT(LEAVES[[#This Row],[LeaveTypeCode]],10)," ","")=TEXT(LEAVES[[#This Row],[LeaveTypeCode]],10),0,1)</f>
        <v>0</v>
      </c>
      <c r="G23" s="134" cm="1">
        <f t="array" ref="G23">IF(SUM((LEAVES[LeaveTypeCode]=LEAVES[[#This Row],[LeaveTypeCode]]) *
        (LEAVES[WeeksFrom] &lt;= LEAVES[[#This Row],[WeeksTo]]) *
        (LEAVES[WeeksTo] &gt;= LEAVES[[#This Row],[WeeksFrom]])) &gt; 1,
    1,
    0
)</f>
        <v>0</v>
      </c>
      <c r="H23" s="134">
        <f>SUM(LEAVES[[#This Row],[Schools Check]:[Leave Types Overlap]])</f>
        <v>0</v>
      </c>
      <c r="J23" t="s">
        <v>1265</v>
      </c>
      <c r="K23" t="s">
        <v>1266</v>
      </c>
      <c r="L23" t="b">
        <v>1</v>
      </c>
      <c r="N23">
        <v>92</v>
      </c>
      <c r="O23" t="b">
        <v>1</v>
      </c>
      <c r="P23" t="b">
        <v>1</v>
      </c>
      <c r="Q23">
        <v>1</v>
      </c>
      <c r="R23">
        <v>2</v>
      </c>
      <c r="S23">
        <v>90</v>
      </c>
      <c r="T23">
        <v>0</v>
      </c>
      <c r="U23">
        <v>0</v>
      </c>
      <c r="V23" s="19">
        <v>187.18</v>
      </c>
      <c r="W23">
        <v>50</v>
      </c>
    </row>
    <row r="24" spans="1:25" x14ac:dyDescent="0.3">
      <c r="A24" s="134">
        <f>IF(LEAVES[[#This Row],[AvailableToAllSchools]]=FALSE,IF(ISBLANK(LEAVES[[#This Row],[SchoolCodes]]),1,0),IF(LEAVES[[#This Row],[AvailableToAllSchools]]=TRUE,IF(ISBLANK(LEAVES[[#This Row],[SchoolCodes]]),0,1)))</f>
        <v>0</v>
      </c>
      <c r="B24" s="134">
        <f>IF(OR(LEAVES[[#This Row],[LeaveTypeEnabled]]=TRUE,LEAVES[[#This Row],[LeaveTypeEnabled]]=FALSE),IF(OR(LEAVES[[#This Row],[AvailableToAllSchools]]=TRUE,LEAVES[[#This Row],[AvailableToAllSchools]]=FALSE),IF(OR(LEAVES[[#This Row],[UseGrossValueForPension]]=TRUE,LEAVES[[#This Row],[UseGrossValueForPension]]=FALSE),0,1),1),1)</f>
        <v>0</v>
      </c>
      <c r="C24" s="134">
        <f>COUNTBLANK(LEAVES[[#This Row],[RebatePercentage]:[TopUpToPercentage]])</f>
        <v>0</v>
      </c>
      <c r="D24" s="134">
        <f>IF(LEN(LEAVES[[#This Row],[LeaveTypeCode]])&lt;100,0,1)</f>
        <v>0</v>
      </c>
      <c r="E24" s="134">
        <f>IF(LEN(LEAVES[[#This Row],[LeaveTypeTitle]])&lt;100,0,1)</f>
        <v>0</v>
      </c>
      <c r="F24" s="134">
        <f>IF(SUBSTITUTE(TEXT(LEAVES[[#This Row],[LeaveTypeCode]],10)," ","")=TEXT(LEAVES[[#This Row],[LeaveTypeCode]],10),0,1)</f>
        <v>0</v>
      </c>
      <c r="G24" s="134" cm="1">
        <f t="array" ref="G24">IF(SUM((LEAVES[LeaveTypeCode]=LEAVES[[#This Row],[LeaveTypeCode]]) *
        (LEAVES[WeeksFrom] &lt;= LEAVES[[#This Row],[WeeksTo]]) *
        (LEAVES[WeeksTo] &gt;= LEAVES[[#This Row],[WeeksFrom]])) &gt; 1,
    1,
    0
)</f>
        <v>0</v>
      </c>
      <c r="H24" s="134">
        <f>SUM(LEAVES[[#This Row],[Schools Check]:[Leave Types Overlap]])</f>
        <v>0</v>
      </c>
      <c r="J24" t="s">
        <v>1267</v>
      </c>
      <c r="K24" t="s">
        <v>1268</v>
      </c>
      <c r="L24" t="b">
        <v>1</v>
      </c>
      <c r="N24">
        <v>92</v>
      </c>
      <c r="O24" t="b">
        <v>1</v>
      </c>
      <c r="P24" t="b">
        <v>1</v>
      </c>
      <c r="Q24">
        <v>1</v>
      </c>
      <c r="R24">
        <v>2</v>
      </c>
      <c r="S24">
        <v>90</v>
      </c>
      <c r="T24">
        <v>0</v>
      </c>
      <c r="U24">
        <v>0</v>
      </c>
      <c r="V24" s="19">
        <v>187.18</v>
      </c>
      <c r="W24">
        <v>100</v>
      </c>
    </row>
    <row r="25" spans="1:25" x14ac:dyDescent="0.3">
      <c r="A25" s="134">
        <f>IF(LEAVES[[#This Row],[AvailableToAllSchools]]=FALSE,IF(ISBLANK(LEAVES[[#This Row],[SchoolCodes]]),1,0),IF(LEAVES[[#This Row],[AvailableToAllSchools]]=TRUE,IF(ISBLANK(LEAVES[[#This Row],[SchoolCodes]]),0,1)))</f>
        <v>0</v>
      </c>
      <c r="B25" s="134">
        <f>IF(OR(LEAVES[[#This Row],[LeaveTypeEnabled]]=TRUE,LEAVES[[#This Row],[LeaveTypeEnabled]]=FALSE),IF(OR(LEAVES[[#This Row],[AvailableToAllSchools]]=TRUE,LEAVES[[#This Row],[AvailableToAllSchools]]=FALSE),IF(OR(LEAVES[[#This Row],[UseGrossValueForPension]]=TRUE,LEAVES[[#This Row],[UseGrossValueForPension]]=FALSE),0,1),1),1)</f>
        <v>0</v>
      </c>
      <c r="C25" s="134">
        <f>COUNTBLANK(LEAVES[[#This Row],[RebatePercentage]:[TopUpToPercentage]])</f>
        <v>0</v>
      </c>
      <c r="D25" s="134">
        <f>IF(LEN(LEAVES[[#This Row],[LeaveTypeCode]])&lt;100,0,1)</f>
        <v>0</v>
      </c>
      <c r="E25" s="134">
        <f>IF(LEN(LEAVES[[#This Row],[LeaveTypeTitle]])&lt;100,0,1)</f>
        <v>0</v>
      </c>
      <c r="F25" s="134">
        <f>IF(SUBSTITUTE(TEXT(LEAVES[[#This Row],[LeaveTypeCode]],10)," ","")=TEXT(LEAVES[[#This Row],[LeaveTypeCode]],10),0,1)</f>
        <v>0</v>
      </c>
      <c r="G25" s="134" cm="1">
        <f t="array" ref="G25">IF(SUM((LEAVES[LeaveTypeCode]=LEAVES[[#This Row],[LeaveTypeCode]]) *
        (LEAVES[WeeksFrom] &lt;= LEAVES[[#This Row],[WeeksTo]]) *
        (LEAVES[WeeksTo] &gt;= LEAVES[[#This Row],[WeeksFrom]])) &gt; 1,
    1,
    0
)</f>
        <v>0</v>
      </c>
      <c r="H25" s="134">
        <f>SUM(LEAVES[[#This Row],[Schools Check]:[Leave Types Overlap]])</f>
        <v>0</v>
      </c>
      <c r="J25" t="s">
        <v>1731</v>
      </c>
      <c r="K25" t="s">
        <v>1732</v>
      </c>
      <c r="L25" t="b">
        <v>1</v>
      </c>
      <c r="N25">
        <v>0</v>
      </c>
      <c r="O25" t="b">
        <v>1</v>
      </c>
      <c r="P25" t="b">
        <v>1</v>
      </c>
      <c r="Q25">
        <v>1</v>
      </c>
      <c r="R25">
        <v>28</v>
      </c>
      <c r="S25">
        <v>100</v>
      </c>
      <c r="T25">
        <v>0</v>
      </c>
      <c r="U25">
        <v>0</v>
      </c>
      <c r="V25" s="19">
        <v>118.75</v>
      </c>
      <c r="W25">
        <v>0</v>
      </c>
      <c r="Y25" t="s">
        <v>1733</v>
      </c>
    </row>
    <row r="26" spans="1:25" x14ac:dyDescent="0.3">
      <c r="A26" s="134">
        <f>IF(LEAVES[[#This Row],[AvailableToAllSchools]]=FALSE,IF(ISBLANK(LEAVES[[#This Row],[SchoolCodes]]),1,0),IF(LEAVES[[#This Row],[AvailableToAllSchools]]=TRUE,IF(ISBLANK(LEAVES[[#This Row],[SchoolCodes]]),0,1)))</f>
        <v>0</v>
      </c>
      <c r="B26" s="134">
        <f>IF(OR(LEAVES[[#This Row],[LeaveTypeEnabled]]=TRUE,LEAVES[[#This Row],[LeaveTypeEnabled]]=FALSE),IF(OR(LEAVES[[#This Row],[AvailableToAllSchools]]=TRUE,LEAVES[[#This Row],[AvailableToAllSchools]]=FALSE),IF(OR(LEAVES[[#This Row],[UseGrossValueForPension]]=TRUE,LEAVES[[#This Row],[UseGrossValueForPension]]=FALSE),0,1),1),1)</f>
        <v>0</v>
      </c>
      <c r="C26" s="134">
        <f>COUNTBLANK(LEAVES[[#This Row],[RebatePercentage]:[TopUpToPercentage]])</f>
        <v>0</v>
      </c>
      <c r="D26" s="134">
        <f>IF(LEN(LEAVES[[#This Row],[LeaveTypeCode]])&lt;100,0,1)</f>
        <v>0</v>
      </c>
      <c r="E26" s="134">
        <f>IF(LEN(LEAVES[[#This Row],[LeaveTypeTitle]])&lt;100,0,1)</f>
        <v>0</v>
      </c>
      <c r="F26" s="134">
        <f>IF(SUBSTITUTE(TEXT(LEAVES[[#This Row],[LeaveTypeCode]],10)," ","")=TEXT(LEAVES[[#This Row],[LeaveTypeCode]],10),0,1)</f>
        <v>0</v>
      </c>
      <c r="G26" s="134" cm="1">
        <f t="array" ref="G26">IF(SUM((LEAVES[LeaveTypeCode]=LEAVES[[#This Row],[LeaveTypeCode]]) *
        (LEAVES[WeeksFrom] &lt;= LEAVES[[#This Row],[WeeksTo]]) *
        (LEAVES[WeeksTo] &gt;= LEAVES[[#This Row],[WeeksFrom]])) &gt; 1,
    1,
    0
)</f>
        <v>0</v>
      </c>
      <c r="H26" s="134">
        <f>SUM(LEAVES[[#This Row],[Schools Check]:[Leave Types Overlap]])</f>
        <v>0</v>
      </c>
      <c r="J26" t="s">
        <v>1269</v>
      </c>
      <c r="K26" t="s">
        <v>1270</v>
      </c>
      <c r="L26" t="b">
        <v>1</v>
      </c>
      <c r="N26">
        <v>0</v>
      </c>
      <c r="O26" t="b">
        <v>1</v>
      </c>
      <c r="P26" s="22" t="b">
        <v>0</v>
      </c>
      <c r="Q26">
        <v>1</v>
      </c>
      <c r="R26">
        <v>52</v>
      </c>
      <c r="S26">
        <v>0</v>
      </c>
      <c r="T26">
        <v>0</v>
      </c>
      <c r="U26">
        <v>0</v>
      </c>
      <c r="V26">
        <v>0</v>
      </c>
      <c r="W26">
        <v>0</v>
      </c>
    </row>
    <row r="27" spans="1:25" x14ac:dyDescent="0.3">
      <c r="A27" s="134">
        <f>IF(LEAVES[[#This Row],[AvailableToAllSchools]]=FALSE,IF(ISBLANK(LEAVES[[#This Row],[SchoolCodes]]),1,0),IF(LEAVES[[#This Row],[AvailableToAllSchools]]=TRUE,IF(ISBLANK(LEAVES[[#This Row],[SchoolCodes]]),0,1)))</f>
        <v>0</v>
      </c>
      <c r="B27" s="134">
        <f>IF(OR(LEAVES[[#This Row],[LeaveTypeEnabled]]=TRUE,LEAVES[[#This Row],[LeaveTypeEnabled]]=FALSE),IF(OR(LEAVES[[#This Row],[AvailableToAllSchools]]=TRUE,LEAVES[[#This Row],[AvailableToAllSchools]]=FALSE),IF(OR(LEAVES[[#This Row],[UseGrossValueForPension]]=TRUE,LEAVES[[#This Row],[UseGrossValueForPension]]=FALSE),0,1),1),1)</f>
        <v>0</v>
      </c>
      <c r="C27" s="134">
        <f>COUNTBLANK(LEAVES[[#This Row],[RebatePercentage]:[TopUpToPercentage]])</f>
        <v>0</v>
      </c>
      <c r="D27" s="134">
        <f>IF(LEN(LEAVES[[#This Row],[LeaveTypeCode]])&lt;100,0,1)</f>
        <v>0</v>
      </c>
      <c r="E27" s="134">
        <f>IF(LEN(LEAVES[[#This Row],[LeaveTypeTitle]])&lt;100,0,1)</f>
        <v>0</v>
      </c>
      <c r="F27" s="134">
        <f>IF(SUBSTITUTE(TEXT(LEAVES[[#This Row],[LeaveTypeCode]],10)," ","")=TEXT(LEAVES[[#This Row],[LeaveTypeCode]],10),0,1)</f>
        <v>0</v>
      </c>
      <c r="G27" s="134" cm="1">
        <f t="array" ref="G27">IF(SUM((LEAVES[LeaveTypeCode]=LEAVES[[#This Row],[LeaveTypeCode]]) *
        (LEAVES[WeeksFrom] &lt;= LEAVES[[#This Row],[WeeksTo]]) *
        (LEAVES[WeeksTo] &gt;= LEAVES[[#This Row],[WeeksFrom]])) &gt; 1,
    1,
    0
)</f>
        <v>0</v>
      </c>
      <c r="H27" s="134">
        <f>SUM(LEAVES[[#This Row],[Schools Check]:[Leave Types Overlap]])</f>
        <v>0</v>
      </c>
      <c r="J27" t="s">
        <v>1271</v>
      </c>
      <c r="K27" t="s">
        <v>1272</v>
      </c>
      <c r="L27" t="b">
        <v>1</v>
      </c>
      <c r="N27">
        <v>0</v>
      </c>
      <c r="O27" t="b">
        <v>1</v>
      </c>
      <c r="P27" s="22" t="b">
        <v>0</v>
      </c>
      <c r="Q27">
        <v>1</v>
      </c>
      <c r="R27">
        <v>52</v>
      </c>
      <c r="S27">
        <v>0</v>
      </c>
      <c r="T27">
        <v>0</v>
      </c>
      <c r="U27">
        <v>0</v>
      </c>
      <c r="V27">
        <v>0</v>
      </c>
      <c r="W27">
        <v>50</v>
      </c>
    </row>
    <row r="28" spans="1:25" x14ac:dyDescent="0.3">
      <c r="A28" s="134">
        <f>IF(LEAVES[[#This Row],[AvailableToAllSchools]]=FALSE,IF(ISBLANK(LEAVES[[#This Row],[SchoolCodes]]),1,0),IF(LEAVES[[#This Row],[AvailableToAllSchools]]=TRUE,IF(ISBLANK(LEAVES[[#This Row],[SchoolCodes]]),0,1)))</f>
        <v>0</v>
      </c>
      <c r="B28" s="134">
        <f>IF(OR(LEAVES[[#This Row],[LeaveTypeEnabled]]=TRUE,LEAVES[[#This Row],[LeaveTypeEnabled]]=FALSE),IF(OR(LEAVES[[#This Row],[AvailableToAllSchools]]=TRUE,LEAVES[[#This Row],[AvailableToAllSchools]]=FALSE),IF(OR(LEAVES[[#This Row],[UseGrossValueForPension]]=TRUE,LEAVES[[#This Row],[UseGrossValueForPension]]=FALSE),0,1),1),1)</f>
        <v>0</v>
      </c>
      <c r="C28" s="134">
        <f>COUNTBLANK(LEAVES[[#This Row],[RebatePercentage]:[TopUpToPercentage]])</f>
        <v>0</v>
      </c>
      <c r="D28" s="134">
        <f>IF(LEN(LEAVES[[#This Row],[LeaveTypeCode]])&lt;100,0,1)</f>
        <v>0</v>
      </c>
      <c r="E28" s="134">
        <f>IF(LEN(LEAVES[[#This Row],[LeaveTypeTitle]])&lt;100,0,1)</f>
        <v>0</v>
      </c>
      <c r="F28" s="134">
        <f>IF(SUBSTITUTE(TEXT(LEAVES[[#This Row],[LeaveTypeCode]],10)," ","")=TEXT(LEAVES[[#This Row],[LeaveTypeCode]],10),0,1)</f>
        <v>0</v>
      </c>
      <c r="G28" s="134" cm="1">
        <f t="array" ref="G28">IF(SUM((LEAVES[LeaveTypeCode]=LEAVES[[#This Row],[LeaveTypeCode]]) *
        (LEAVES[WeeksFrom] &lt;= LEAVES[[#This Row],[WeeksTo]]) *
        (LEAVES[WeeksTo] &gt;= LEAVES[[#This Row],[WeeksFrom]])) &gt; 1,
    1,
    0
)</f>
        <v>0</v>
      </c>
      <c r="H28" s="134">
        <f>SUM(LEAVES[[#This Row],[Schools Check]:[Leave Types Overlap]])</f>
        <v>0</v>
      </c>
      <c r="J28" t="s">
        <v>1273</v>
      </c>
      <c r="K28" t="s">
        <v>1274</v>
      </c>
      <c r="L28" t="b">
        <v>1</v>
      </c>
      <c r="N28">
        <v>0</v>
      </c>
      <c r="O28" t="b">
        <v>1</v>
      </c>
      <c r="P28" s="22" t="b">
        <v>0</v>
      </c>
      <c r="Q28">
        <v>1</v>
      </c>
      <c r="R28">
        <v>52</v>
      </c>
      <c r="S28">
        <v>0</v>
      </c>
      <c r="T28">
        <v>0</v>
      </c>
      <c r="U28">
        <v>0</v>
      </c>
      <c r="V28">
        <v>0</v>
      </c>
      <c r="W28">
        <v>100</v>
      </c>
    </row>
    <row r="29" spans="1:25" x14ac:dyDescent="0.3">
      <c r="A29" s="134">
        <f>IF(LEAVES[[#This Row],[AvailableToAllSchools]]=FALSE,IF(ISBLANK(LEAVES[[#This Row],[SchoolCodes]]),1,0),IF(LEAVES[[#This Row],[AvailableToAllSchools]]=TRUE,IF(ISBLANK(LEAVES[[#This Row],[SchoolCodes]]),0,1)))</f>
        <v>0</v>
      </c>
      <c r="B29" s="134">
        <f>IF(OR(LEAVES[[#This Row],[LeaveTypeEnabled]]=TRUE,LEAVES[[#This Row],[LeaveTypeEnabled]]=FALSE),IF(OR(LEAVES[[#This Row],[AvailableToAllSchools]]=TRUE,LEAVES[[#This Row],[AvailableToAllSchools]]=FALSE),IF(OR(LEAVES[[#This Row],[UseGrossValueForPension]]=TRUE,LEAVES[[#This Row],[UseGrossValueForPension]]=FALSE),0,1),1),1)</f>
        <v>0</v>
      </c>
      <c r="C29" s="134">
        <f>COUNTBLANK(LEAVES[[#This Row],[RebatePercentage]:[TopUpToPercentage]])</f>
        <v>0</v>
      </c>
      <c r="D29" s="134">
        <f>IF(LEN(LEAVES[[#This Row],[LeaveTypeCode]])&lt;100,0,1)</f>
        <v>0</v>
      </c>
      <c r="E29" s="134">
        <f>IF(LEN(LEAVES[[#This Row],[LeaveTypeTitle]])&lt;100,0,1)</f>
        <v>0</v>
      </c>
      <c r="F29" s="134">
        <f>IF(SUBSTITUTE(TEXT(LEAVES[[#This Row],[LeaveTypeCode]],10)," ","")=TEXT(LEAVES[[#This Row],[LeaveTypeCode]],10),0,1)</f>
        <v>0</v>
      </c>
      <c r="G29" s="134" cm="1">
        <f t="array" ref="G29">IF(SUM((LEAVES[LeaveTypeCode]=LEAVES[[#This Row],[LeaveTypeCode]]) *
        (LEAVES[WeeksFrom] &lt;= LEAVES[[#This Row],[WeeksTo]]) *
        (LEAVES[WeeksTo] &gt;= LEAVES[[#This Row],[WeeksFrom]])) &gt; 1,
    1,
    0
)</f>
        <v>0</v>
      </c>
      <c r="H29" s="134">
        <f>SUM(LEAVES[[#This Row],[Schools Check]:[Leave Types Overlap]])</f>
        <v>0</v>
      </c>
      <c r="J29" t="s">
        <v>1341</v>
      </c>
      <c r="K29" t="s">
        <v>1342</v>
      </c>
      <c r="L29" t="b">
        <v>1</v>
      </c>
      <c r="N29">
        <v>0</v>
      </c>
      <c r="O29" t="b">
        <v>1</v>
      </c>
      <c r="P29" s="22" t="b">
        <v>0</v>
      </c>
      <c r="Q29">
        <v>1</v>
      </c>
      <c r="R29">
        <v>52</v>
      </c>
      <c r="S29">
        <v>0</v>
      </c>
      <c r="T29">
        <v>0</v>
      </c>
      <c r="U29">
        <v>0</v>
      </c>
      <c r="V29">
        <v>0</v>
      </c>
      <c r="W29">
        <v>0</v>
      </c>
    </row>
    <row r="30" spans="1:25" x14ac:dyDescent="0.3">
      <c r="A30" s="134">
        <f>IF(LEAVES[[#This Row],[AvailableToAllSchools]]=FALSE,IF(ISBLANK(LEAVES[[#This Row],[SchoolCodes]]),1,0),IF(LEAVES[[#This Row],[AvailableToAllSchools]]=TRUE,IF(ISBLANK(LEAVES[[#This Row],[SchoolCodes]]),0,1)))</f>
        <v>0</v>
      </c>
      <c r="B30" s="134">
        <f>IF(OR(LEAVES[[#This Row],[LeaveTypeEnabled]]=TRUE,LEAVES[[#This Row],[LeaveTypeEnabled]]=FALSE),IF(OR(LEAVES[[#This Row],[AvailableToAllSchools]]=TRUE,LEAVES[[#This Row],[AvailableToAllSchools]]=FALSE),IF(OR(LEAVES[[#This Row],[UseGrossValueForPension]]=TRUE,LEAVES[[#This Row],[UseGrossValueForPension]]=FALSE),0,1),1),1)</f>
        <v>0</v>
      </c>
      <c r="C30" s="134">
        <f>COUNTBLANK(LEAVES[[#This Row],[RebatePercentage]:[TopUpToPercentage]])</f>
        <v>0</v>
      </c>
      <c r="D30" s="134">
        <f>IF(LEN(LEAVES[[#This Row],[LeaveTypeCode]])&lt;100,0,1)</f>
        <v>0</v>
      </c>
      <c r="E30" s="134">
        <f>IF(LEN(LEAVES[[#This Row],[LeaveTypeTitle]])&lt;100,0,1)</f>
        <v>0</v>
      </c>
      <c r="F30" s="134">
        <f>IF(SUBSTITUTE(TEXT(LEAVES[[#This Row],[LeaveTypeCode]],10)," ","")=TEXT(LEAVES[[#This Row],[LeaveTypeCode]],10),0,1)</f>
        <v>0</v>
      </c>
      <c r="G30" s="134" cm="1">
        <f t="array" ref="G30">IF(SUM((LEAVES[LeaveTypeCode]=LEAVES[[#This Row],[LeaveTypeCode]]) *
        (LEAVES[WeeksFrom] &lt;= LEAVES[[#This Row],[WeeksTo]]) *
        (LEAVES[WeeksTo] &gt;= LEAVES[[#This Row],[WeeksFrom]])) &gt; 1,
    1,
    0
)</f>
        <v>0</v>
      </c>
      <c r="H30" s="134">
        <f>SUM(LEAVES[[#This Row],[Schools Check]:[Leave Types Overlap]])</f>
        <v>0</v>
      </c>
      <c r="J30" t="s">
        <v>1343</v>
      </c>
      <c r="K30" t="s">
        <v>1347</v>
      </c>
      <c r="L30" t="b">
        <v>1</v>
      </c>
      <c r="N30">
        <v>92</v>
      </c>
      <c r="O30" t="b">
        <v>1</v>
      </c>
      <c r="P30" t="b">
        <v>1</v>
      </c>
      <c r="Q30">
        <v>1</v>
      </c>
      <c r="R30">
        <v>2</v>
      </c>
      <c r="S30">
        <v>90</v>
      </c>
      <c r="T30">
        <v>0</v>
      </c>
      <c r="U30">
        <v>0</v>
      </c>
      <c r="V30">
        <v>99999</v>
      </c>
      <c r="W30">
        <v>0</v>
      </c>
    </row>
    <row r="31" spans="1:25" x14ac:dyDescent="0.3">
      <c r="A31" s="134">
        <f>IF(LEAVES[[#This Row],[AvailableToAllSchools]]=FALSE,IF(ISBLANK(LEAVES[[#This Row],[SchoolCodes]]),1,0),IF(LEAVES[[#This Row],[AvailableToAllSchools]]=TRUE,IF(ISBLANK(LEAVES[[#This Row],[SchoolCodes]]),0,1)))</f>
        <v>0</v>
      </c>
      <c r="B31" s="134">
        <f>IF(OR(LEAVES[[#This Row],[LeaveTypeEnabled]]=TRUE,LEAVES[[#This Row],[LeaveTypeEnabled]]=FALSE),IF(OR(LEAVES[[#This Row],[AvailableToAllSchools]]=TRUE,LEAVES[[#This Row],[AvailableToAllSchools]]=FALSE),IF(OR(LEAVES[[#This Row],[UseGrossValueForPension]]=TRUE,LEAVES[[#This Row],[UseGrossValueForPension]]=FALSE),0,1),1),1)</f>
        <v>0</v>
      </c>
      <c r="C31" s="134">
        <f>COUNTBLANK(LEAVES[[#This Row],[RebatePercentage]:[TopUpToPercentage]])</f>
        <v>0</v>
      </c>
      <c r="D31" s="134">
        <f>IF(LEN(LEAVES[[#This Row],[LeaveTypeCode]])&lt;100,0,1)</f>
        <v>0</v>
      </c>
      <c r="E31" s="134">
        <f>IF(LEN(LEAVES[[#This Row],[LeaveTypeTitle]])&lt;100,0,1)</f>
        <v>0</v>
      </c>
      <c r="F31" s="134">
        <f>IF(SUBSTITUTE(TEXT(LEAVES[[#This Row],[LeaveTypeCode]],10)," ","")=TEXT(LEAVES[[#This Row],[LeaveTypeCode]],10),0,1)</f>
        <v>0</v>
      </c>
      <c r="G31" s="134" cm="1">
        <f t="array" ref="G31">IF(SUM((LEAVES[LeaveTypeCode]=LEAVES[[#This Row],[LeaveTypeCode]]) *
        (LEAVES[WeeksFrom] &lt;= LEAVES[[#This Row],[WeeksTo]]) *
        (LEAVES[WeeksTo] &gt;= LEAVES[[#This Row],[WeeksFrom]])) &gt; 1,
    1,
    0
)</f>
        <v>0</v>
      </c>
      <c r="H31" s="134">
        <f>SUM(LEAVES[[#This Row],[Schools Check]:[Leave Types Overlap]])</f>
        <v>0</v>
      </c>
      <c r="J31" t="s">
        <v>1344</v>
      </c>
      <c r="K31" t="s">
        <v>1349</v>
      </c>
      <c r="L31" t="b">
        <v>1</v>
      </c>
      <c r="N31">
        <v>92</v>
      </c>
      <c r="O31" t="b">
        <v>1</v>
      </c>
      <c r="P31" t="b">
        <v>1</v>
      </c>
      <c r="Q31">
        <v>1</v>
      </c>
      <c r="R31">
        <v>21</v>
      </c>
      <c r="S31">
        <v>90</v>
      </c>
      <c r="T31">
        <v>0</v>
      </c>
      <c r="U31">
        <v>0</v>
      </c>
      <c r="V31" s="19">
        <v>187.18</v>
      </c>
      <c r="W31">
        <v>0</v>
      </c>
    </row>
    <row r="32" spans="1:25" x14ac:dyDescent="0.3">
      <c r="A32" s="134">
        <f>IF(LEAVES[[#This Row],[AvailableToAllSchools]]=FALSE,IF(ISBLANK(LEAVES[[#This Row],[SchoolCodes]]),1,0),IF(LEAVES[[#This Row],[AvailableToAllSchools]]=TRUE,IF(ISBLANK(LEAVES[[#This Row],[SchoolCodes]]),0,1)))</f>
        <v>0</v>
      </c>
      <c r="B32" s="134">
        <f>IF(OR(LEAVES[[#This Row],[LeaveTypeEnabled]]=TRUE,LEAVES[[#This Row],[LeaveTypeEnabled]]=FALSE),IF(OR(LEAVES[[#This Row],[AvailableToAllSchools]]=TRUE,LEAVES[[#This Row],[AvailableToAllSchools]]=FALSE),IF(OR(LEAVES[[#This Row],[UseGrossValueForPension]]=TRUE,LEAVES[[#This Row],[UseGrossValueForPension]]=FALSE),0,1),1),1)</f>
        <v>0</v>
      </c>
      <c r="C32" s="134">
        <f>COUNTBLANK(LEAVES[[#This Row],[RebatePercentage]:[TopUpToPercentage]])</f>
        <v>0</v>
      </c>
      <c r="D32" s="134">
        <f>IF(LEN(LEAVES[[#This Row],[LeaveTypeCode]])&lt;100,0,1)</f>
        <v>0</v>
      </c>
      <c r="E32" s="134">
        <f>IF(LEN(LEAVES[[#This Row],[LeaveTypeTitle]])&lt;100,0,1)</f>
        <v>0</v>
      </c>
      <c r="F32" s="134">
        <f>IF(SUBSTITUTE(TEXT(LEAVES[[#This Row],[LeaveTypeCode]],10)," ","")=TEXT(LEAVES[[#This Row],[LeaveTypeCode]],10),0,1)</f>
        <v>0</v>
      </c>
      <c r="G32" s="134" cm="1">
        <f t="array" ref="G32">IF(SUM((LEAVES[LeaveTypeCode]=LEAVES[[#This Row],[LeaveTypeCode]]) *
        (LEAVES[WeeksFrom] &lt;= LEAVES[[#This Row],[WeeksTo]]) *
        (LEAVES[WeeksTo] &gt;= LEAVES[[#This Row],[WeeksFrom]])) &gt; 1,
    1,
    0
)</f>
        <v>0</v>
      </c>
      <c r="H32" s="134">
        <f>SUM(LEAVES[[#This Row],[Schools Check]:[Leave Types Overlap]])</f>
        <v>0</v>
      </c>
      <c r="J32" t="s">
        <v>1345</v>
      </c>
      <c r="K32" t="s">
        <v>1350</v>
      </c>
      <c r="L32" t="b">
        <v>1</v>
      </c>
      <c r="N32">
        <v>92</v>
      </c>
      <c r="O32" t="b">
        <v>1</v>
      </c>
      <c r="P32" t="b">
        <v>1</v>
      </c>
      <c r="Q32">
        <v>1</v>
      </c>
      <c r="R32">
        <v>12</v>
      </c>
      <c r="S32">
        <v>90</v>
      </c>
      <c r="T32">
        <v>50</v>
      </c>
      <c r="U32">
        <v>0</v>
      </c>
      <c r="V32" s="19">
        <v>187.18</v>
      </c>
      <c r="W32">
        <v>0</v>
      </c>
    </row>
    <row r="33" spans="1:23" x14ac:dyDescent="0.3">
      <c r="A33" s="134">
        <f>IF(LEAVES[[#This Row],[AvailableToAllSchools]]=FALSE,IF(ISBLANK(LEAVES[[#This Row],[SchoolCodes]]),1,0),IF(LEAVES[[#This Row],[AvailableToAllSchools]]=TRUE,IF(ISBLANK(LEAVES[[#This Row],[SchoolCodes]]),0,1)))</f>
        <v>0</v>
      </c>
      <c r="B33" s="134">
        <f>IF(OR(LEAVES[[#This Row],[LeaveTypeEnabled]]=TRUE,LEAVES[[#This Row],[LeaveTypeEnabled]]=FALSE),IF(OR(LEAVES[[#This Row],[AvailableToAllSchools]]=TRUE,LEAVES[[#This Row],[AvailableToAllSchools]]=FALSE),IF(OR(LEAVES[[#This Row],[UseGrossValueForPension]]=TRUE,LEAVES[[#This Row],[UseGrossValueForPension]]=FALSE),0,1),1),1)</f>
        <v>0</v>
      </c>
      <c r="C33" s="134">
        <f>COUNTBLANK(LEAVES[[#This Row],[RebatePercentage]:[TopUpToPercentage]])</f>
        <v>0</v>
      </c>
      <c r="D33" s="134">
        <f>IF(LEN(LEAVES[[#This Row],[LeaveTypeCode]])&lt;100,0,1)</f>
        <v>0</v>
      </c>
      <c r="E33" s="134">
        <f>IF(LEN(LEAVES[[#This Row],[LeaveTypeTitle]])&lt;100,0,1)</f>
        <v>0</v>
      </c>
      <c r="F33" s="134">
        <f>IF(SUBSTITUTE(TEXT(LEAVES[[#This Row],[LeaveTypeCode]],10)," ","")=TEXT(LEAVES[[#This Row],[LeaveTypeCode]],10),0,1)</f>
        <v>0</v>
      </c>
      <c r="G33" s="134" cm="1">
        <f t="array" ref="G33">IF(SUM((LEAVES[LeaveTypeCode]=LEAVES[[#This Row],[LeaveTypeCode]]) *
        (LEAVES[WeeksFrom] &lt;= LEAVES[[#This Row],[WeeksTo]]) *
        (LEAVES[WeeksTo] &gt;= LEAVES[[#This Row],[WeeksFrom]])) &gt; 1,
    1,
    0
)</f>
        <v>0</v>
      </c>
      <c r="H33" s="134">
        <f>SUM(LEAVES[[#This Row],[Schools Check]:[Leave Types Overlap]])</f>
        <v>0</v>
      </c>
      <c r="J33" t="s">
        <v>1346</v>
      </c>
      <c r="K33" t="s">
        <v>1348</v>
      </c>
      <c r="L33" t="b">
        <v>1</v>
      </c>
      <c r="N33">
        <v>92</v>
      </c>
      <c r="O33" t="b">
        <v>1</v>
      </c>
      <c r="P33" t="b">
        <v>1</v>
      </c>
      <c r="Q33">
        <v>1</v>
      </c>
      <c r="R33">
        <v>6</v>
      </c>
      <c r="S33">
        <v>90</v>
      </c>
      <c r="T33">
        <v>0</v>
      </c>
      <c r="U33">
        <v>0</v>
      </c>
      <c r="V33">
        <v>99999</v>
      </c>
      <c r="W33">
        <v>100</v>
      </c>
    </row>
    <row r="34" spans="1:23" x14ac:dyDescent="0.3">
      <c r="A34" s="134">
        <f>IF(LEAVES[[#This Row],[AvailableToAllSchools]]=FALSE,IF(ISBLANK(LEAVES[[#This Row],[SchoolCodes]]),1,0),IF(LEAVES[[#This Row],[AvailableToAllSchools]]=TRUE,IF(ISBLANK(LEAVES[[#This Row],[SchoolCodes]]),0,1)))</f>
        <v>0</v>
      </c>
      <c r="B34" s="134">
        <f>IF(OR(LEAVES[[#This Row],[LeaveTypeEnabled]]=TRUE,LEAVES[[#This Row],[LeaveTypeEnabled]]=FALSE),IF(OR(LEAVES[[#This Row],[AvailableToAllSchools]]=TRUE,LEAVES[[#This Row],[AvailableToAllSchools]]=FALSE),IF(OR(LEAVES[[#This Row],[UseGrossValueForPension]]=TRUE,LEAVES[[#This Row],[UseGrossValueForPension]]=FALSE),0,1),1),1)</f>
        <v>0</v>
      </c>
      <c r="C34" s="134">
        <f>COUNTBLANK(LEAVES[[#This Row],[RebatePercentage]:[TopUpToPercentage]])</f>
        <v>0</v>
      </c>
      <c r="D34" s="134">
        <f>IF(LEN(LEAVES[[#This Row],[LeaveTypeCode]])&lt;100,0,1)</f>
        <v>0</v>
      </c>
      <c r="E34" s="134">
        <f>IF(LEN(LEAVES[[#This Row],[LeaveTypeTitle]])&lt;100,0,1)</f>
        <v>0</v>
      </c>
      <c r="F34" s="134">
        <f>IF(SUBSTITUTE(TEXT(LEAVES[[#This Row],[LeaveTypeCode]],10)," ","")=TEXT(LEAVES[[#This Row],[LeaveTypeCode]],10),0,1)</f>
        <v>0</v>
      </c>
      <c r="G34" s="134" cm="1">
        <f t="array" ref="G34">IF(SUM((LEAVES[LeaveTypeCode]=LEAVES[[#This Row],[LeaveTypeCode]]) *
        (LEAVES[WeeksFrom] &lt;= LEAVES[[#This Row],[WeeksTo]]) *
        (LEAVES[WeeksTo] &gt;= LEAVES[[#This Row],[WeeksFrom]])) &gt; 1,
    1,
    0
)</f>
        <v>0</v>
      </c>
      <c r="H34" s="134">
        <f>SUM(LEAVES[[#This Row],[Schools Check]:[Leave Types Overlap]])</f>
        <v>0</v>
      </c>
      <c r="J34" t="s">
        <v>1721</v>
      </c>
      <c r="K34" t="s">
        <v>1720</v>
      </c>
      <c r="L34" t="b">
        <v>1</v>
      </c>
      <c r="N34">
        <v>0</v>
      </c>
      <c r="O34" t="b">
        <v>1</v>
      </c>
      <c r="P34" t="b">
        <v>1</v>
      </c>
      <c r="Q34">
        <v>1</v>
      </c>
      <c r="R34">
        <v>6</v>
      </c>
      <c r="S34">
        <v>90</v>
      </c>
      <c r="T34">
        <v>0</v>
      </c>
      <c r="U34">
        <v>0</v>
      </c>
      <c r="V34">
        <v>99999</v>
      </c>
      <c r="W34">
        <v>100</v>
      </c>
    </row>
  </sheetData>
  <pageMargins left="0.7" right="0.7" top="0.75" bottom="0.75" header="0.3" footer="0.3"/>
  <legacyDrawing r:id="rId1"/>
  <tableParts count="1">
    <tablePart r:id="rId2"/>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3D385-E71F-4343-A2FF-693DFB426A53}">
  <sheetPr codeName="Sheet43">
    <tabColor theme="9" tint="0.39997558519241921"/>
  </sheetPr>
  <dimension ref="A1:T11"/>
  <sheetViews>
    <sheetView zoomScale="90" zoomScaleNormal="90" workbookViewId="0">
      <pane ySplit="1" topLeftCell="A2" activePane="bottomLeft" state="frozen"/>
      <selection activeCell="D2" sqref="D2"/>
      <selection pane="bottomLeft" activeCell="M17" sqref="M17"/>
    </sheetView>
  </sheetViews>
  <sheetFormatPr defaultColWidth="9.33203125" defaultRowHeight="14.4" outlineLevelCol="1" x14ac:dyDescent="0.3"/>
  <cols>
    <col min="1" max="1" width="10.6640625" hidden="1" customWidth="1" outlineLevel="1"/>
    <col min="2" max="2" width="13" hidden="1" customWidth="1" outlineLevel="1"/>
    <col min="3" max="3" width="13" style="11" hidden="1" customWidth="1" outlineLevel="1"/>
    <col min="4" max="6" width="10.6640625" hidden="1" customWidth="1" outlineLevel="1"/>
    <col min="7" max="7" width="13" hidden="1" customWidth="1" outlineLevel="1"/>
    <col min="8" max="8" width="10.6640625" customWidth="1" collapsed="1"/>
    <col min="9" max="9" width="13.6640625" customWidth="1"/>
    <col min="10" max="10" width="13.5546875" customWidth="1"/>
    <col min="11" max="11" width="12.33203125" customWidth="1"/>
    <col min="12" max="12" width="16.6640625" customWidth="1"/>
    <col min="13" max="13" width="12.33203125" style="21" customWidth="1"/>
    <col min="14" max="14" width="11.6640625" style="21" bestFit="1" customWidth="1"/>
    <col min="15" max="15" width="11.6640625" style="21" customWidth="1"/>
    <col min="16" max="16" width="11.109375" customWidth="1"/>
    <col min="17" max="17" width="10.88671875" customWidth="1"/>
    <col min="18" max="18" width="18" customWidth="1"/>
  </cols>
  <sheetData>
    <row r="1" spans="1:20" s="28" customFormat="1" ht="43.2" x14ac:dyDescent="0.3">
      <c r="A1" s="118" t="s">
        <v>1611</v>
      </c>
      <c r="B1" s="65" t="s">
        <v>1658</v>
      </c>
      <c r="C1" s="131" t="s">
        <v>1657</v>
      </c>
      <c r="D1" s="65" t="s">
        <v>1641</v>
      </c>
      <c r="E1" s="65" t="s">
        <v>1726</v>
      </c>
      <c r="F1" s="118" t="s">
        <v>1659</v>
      </c>
      <c r="G1" s="53" t="s">
        <v>1661</v>
      </c>
      <c r="H1" s="107" t="s">
        <v>886</v>
      </c>
      <c r="I1" s="108" t="s">
        <v>1323</v>
      </c>
      <c r="J1" s="120" t="s">
        <v>1049</v>
      </c>
      <c r="K1" s="120" t="s">
        <v>1199</v>
      </c>
      <c r="L1" s="120" t="s">
        <v>1238</v>
      </c>
      <c r="M1" s="141" t="s">
        <v>1339</v>
      </c>
      <c r="N1" s="121" t="s">
        <v>1210</v>
      </c>
      <c r="O1" s="121" t="s">
        <v>1211</v>
      </c>
      <c r="P1" s="120" t="s">
        <v>1275</v>
      </c>
      <c r="Q1" s="120" t="s">
        <v>1203</v>
      </c>
      <c r="R1" s="137" t="s">
        <v>1722</v>
      </c>
    </row>
    <row r="2" spans="1:20" x14ac:dyDescent="0.3">
      <c r="A2" s="110">
        <f>COUNTIF(SM_LEAVES[StaffMemberCode],SM_LEAVES[[#This Row],[StaffMemberCode]])-1</f>
        <v>0</v>
      </c>
      <c r="B2" s="110">
        <f>1-COUNTIF(MEMBERS[StaffMemberCode],SM_LEAVES[[#This Row],[StaffMemberCode]])</f>
        <v>0</v>
      </c>
      <c r="C2" s="11" t="str">
        <f>IF(COUNTIF(LeaveTypes!J:J,SM_LEAVES[[#This Row],[LeaveTypeCode]])&gt;0,"0","1")</f>
        <v>0</v>
      </c>
      <c r="D2">
        <f>IF(ISBLANK(SM_LEAVES[[#This Row],[DateTo]]),0,IF(SM_LEAVES[[#This Row],[DateFrom]]&lt;SM_LEAVES[[#This Row],[DateTo]],0,1))</f>
        <v>0</v>
      </c>
      <c r="E2" s="11" cm="1">
        <f t="array" aca="1" ref="E2" ca="1">IF(CELL("format",SM_LEAVES[[#This Row],[DateFrom]])="D1",0,1)+IF(CELL("format",SM_LEAVES[[#This Row],[DateTo]])="D1",0,1)</f>
        <v>0</v>
      </c>
      <c r="F2">
        <f>IF(OR(SM_LEAVES[[#This Row],[PensionOptOut]]=TRUE,SM_LEAVES[[#This Row],[PensionOptOut]]=FALSE),0,1)</f>
        <v>0</v>
      </c>
      <c r="G2">
        <f>COUNTBLANK(SM_LEAVES[[#This Row],[StaffMemberCode]:[DateTo]])+COUNTBLANK(SM_LEAVES[[#This Row],[PensionOptOut]])</f>
        <v>0</v>
      </c>
      <c r="H2" s="43">
        <f ca="1">SUM(SM_LEAVES[[#This Row],[Duplicate Employee]:[Blank in column]])</f>
        <v>0</v>
      </c>
      <c r="I2" s="27">
        <f>IF(SM_LEAVES[[#This Row],[DateFrom]]&gt;=_xlfn.XLOOKUP(SM_LEAVES[[#This Row],[StaffMemberCode]],CONT_SUP[StaffMemberCode],CONT_SUP[DateFrom],_xlfn.XLOOKUP(SM_LEAVES[[#This Row],[StaffMemberCode]],CONT_TEA[StaffMemberCode],CONT_TEA[DateFrom])),0,1)</f>
        <v>0</v>
      </c>
      <c r="J2" s="43"/>
      <c r="K2" s="43">
        <v>91073698</v>
      </c>
      <c r="L2" s="77" t="s">
        <v>1259</v>
      </c>
      <c r="M2" s="158">
        <v>45747</v>
      </c>
      <c r="N2" s="78">
        <v>45901</v>
      </c>
      <c r="O2" s="78">
        <v>46111</v>
      </c>
      <c r="P2" s="43"/>
      <c r="Q2" s="43" t="b">
        <v>0</v>
      </c>
      <c r="R2" s="143" t="str">
        <f>_xlfn.XLOOKUP(SM_LEAVES[[#This Row],[StaffMemberCode]],StaffMembers!O:O,StaffMembers!R:R)</f>
        <v>Holly Salt</v>
      </c>
      <c r="T2" t="s">
        <v>4897</v>
      </c>
    </row>
    <row r="3" spans="1:20" x14ac:dyDescent="0.3">
      <c r="A3" s="119">
        <f>COUNTIF(SM_LEAVES[StaffMemberCode],SM_LEAVES[[#This Row],[StaffMemberCode]])-1</f>
        <v>0</v>
      </c>
      <c r="B3" s="119">
        <f>1-COUNTIF(MEMBERS[StaffMemberCode],SM_LEAVES[[#This Row],[StaffMemberCode]])</f>
        <v>0</v>
      </c>
      <c r="C3" s="11" t="str">
        <f>IF(COUNTIF(LeaveTypes!J:J,SM_LEAVES[[#This Row],[LeaveTypeCode]])&gt;0,"0","1")</f>
        <v>0</v>
      </c>
      <c r="D3">
        <f>IF(ISBLANK(SM_LEAVES[[#This Row],[DateTo]]),0,IF(SM_LEAVES[[#This Row],[DateFrom]]&lt;SM_LEAVES[[#This Row],[DateTo]],0,1))</f>
        <v>0</v>
      </c>
      <c r="E3" s="11" cm="1">
        <f t="array" aca="1" ref="E3" ca="1">IF(CELL("format",SM_LEAVES[[#This Row],[DateFrom]])="D1",0,1)+IF(CELL("format",SM_LEAVES[[#This Row],[DateTo]])="D1",0,1)</f>
        <v>0</v>
      </c>
      <c r="F3">
        <f>IF(OR(SM_LEAVES[[#This Row],[PensionOptOut]]=TRUE,SM_LEAVES[[#This Row],[PensionOptOut]]=FALSE),0,1)</f>
        <v>0</v>
      </c>
      <c r="G3">
        <f>COUNTBLANK(SM_LEAVES[[#This Row],[StaffMemberCode]:[DateTo]])+COUNTBLANK(SM_LEAVES[[#This Row],[PensionOptOut]])</f>
        <v>0</v>
      </c>
      <c r="H3" s="105">
        <f ca="1">SUM(SM_LEAVES[[#This Row],[Duplicate Employee]:[Blank in column]])</f>
        <v>0</v>
      </c>
      <c r="I3" s="106">
        <f>IF(SM_LEAVES[[#This Row],[DateFrom]]&gt;=_xlfn.XLOOKUP(SM_LEAVES[[#This Row],[StaffMemberCode]],CONT_SUP[StaffMemberCode],CONT_SUP[DateFrom],_xlfn.XLOOKUP(SM_LEAVES[[#This Row],[StaffMemberCode]],CONT_TEA[StaffMemberCode],CONT_TEA[DateFrom])),0,1)</f>
        <v>0</v>
      </c>
      <c r="J3" s="105"/>
      <c r="K3" s="43">
        <v>91073738</v>
      </c>
      <c r="L3" s="77" t="s">
        <v>1259</v>
      </c>
      <c r="M3" s="158">
        <v>45817</v>
      </c>
      <c r="N3" s="78">
        <v>45901</v>
      </c>
      <c r="O3" s="78">
        <v>46181</v>
      </c>
      <c r="P3" s="43"/>
      <c r="Q3" s="43" t="b">
        <v>0</v>
      </c>
      <c r="R3" s="18" t="str">
        <f>_xlfn.XLOOKUP(SM_LEAVES[[#This Row],[StaffMemberCode]],StaffMembers!O:O,StaffMembers!R:R)</f>
        <v>Lauren Whitewalker</v>
      </c>
      <c r="T3" t="s">
        <v>4898</v>
      </c>
    </row>
    <row r="4" spans="1:20" x14ac:dyDescent="0.3">
      <c r="A4" s="110">
        <f>COUNTIF(SM_LEAVES[StaffMemberCode],SM_LEAVES[[#This Row],[StaffMemberCode]])-1</f>
        <v>0</v>
      </c>
      <c r="B4" s="110">
        <f>1-COUNTIF(MEMBERS[StaffMemberCode],SM_LEAVES[[#This Row],[StaffMemberCode]])</f>
        <v>0</v>
      </c>
      <c r="C4" s="11" t="str">
        <f>IF(COUNTIF(LeaveTypes!J:J,SM_LEAVES[[#This Row],[LeaveTypeCode]])&gt;0,"0","1")</f>
        <v>0</v>
      </c>
      <c r="D4">
        <f>IF(ISBLANK(SM_LEAVES[[#This Row],[DateTo]]),0,IF(SM_LEAVES[[#This Row],[DateFrom]]&lt;SM_LEAVES[[#This Row],[DateTo]],0,1))</f>
        <v>0</v>
      </c>
      <c r="E4" s="11" cm="1">
        <f t="array" aca="1" ref="E4" ca="1">IF(CELL("format",SM_LEAVES[[#This Row],[DateFrom]])="D1",0,1)+IF(CELL("format",SM_LEAVES[[#This Row],[DateTo]])="D1",0,1)</f>
        <v>0</v>
      </c>
      <c r="F4">
        <f>IF(OR(SM_LEAVES[[#This Row],[PensionOptOut]]=TRUE,SM_LEAVES[[#This Row],[PensionOptOut]]=FALSE),0,1)</f>
        <v>0</v>
      </c>
      <c r="G4">
        <f>COUNTBLANK(SM_LEAVES[[#This Row],[StaffMemberCode]:[DateTo]])+COUNTBLANK(SM_LEAVES[[#This Row],[PensionOptOut]])</f>
        <v>0</v>
      </c>
      <c r="H4" s="43">
        <f ca="1">SUM(SM_LEAVES[[#This Row],[Duplicate Employee]:[Blank in column]])</f>
        <v>0</v>
      </c>
      <c r="I4" s="27">
        <f>IF(SM_LEAVES[[#This Row],[DateFrom]]&gt;=_xlfn.XLOOKUP(SM_LEAVES[[#This Row],[StaffMemberCode]],CONT_SUP[StaffMemberCode],CONT_SUP[DateFrom],_xlfn.XLOOKUP(SM_LEAVES[[#This Row],[StaffMemberCode]],CONT_TEA[StaffMemberCode],CONT_TEA[DateFrom])),0,1)</f>
        <v>0</v>
      </c>
      <c r="J4" s="43"/>
      <c r="K4" s="43">
        <v>91073775</v>
      </c>
      <c r="L4" s="77" t="s">
        <v>1259</v>
      </c>
      <c r="M4" s="142">
        <v>45901</v>
      </c>
      <c r="N4" s="78">
        <v>45901</v>
      </c>
      <c r="O4" s="78">
        <v>46265</v>
      </c>
      <c r="P4" s="43"/>
      <c r="Q4" s="43" t="b">
        <v>0</v>
      </c>
      <c r="R4" s="18" t="str">
        <f>_xlfn.XLOOKUP(SM_LEAVES[[#This Row],[StaffMemberCode]],StaffMembers!O:O,StaffMembers!R:R)</f>
        <v>Jennifer Bourne</v>
      </c>
      <c r="T4" t="s">
        <v>4899</v>
      </c>
    </row>
    <row r="5" spans="1:20" x14ac:dyDescent="0.3">
      <c r="A5" s="110">
        <f>COUNTIF(SM_LEAVES[StaffMemberCode],SM_LEAVES[[#This Row],[StaffMemberCode]])-1</f>
        <v>0</v>
      </c>
      <c r="B5" s="110">
        <f>1-COUNTIF(MEMBERS[StaffMemberCode],SM_LEAVES[[#This Row],[StaffMemberCode]])</f>
        <v>0</v>
      </c>
      <c r="C5" s="11" t="str">
        <f>IF(COUNTIF(LeaveTypes!J:J,SM_LEAVES[[#This Row],[LeaveTypeCode]])&gt;0,"0","1")</f>
        <v>0</v>
      </c>
      <c r="D5">
        <f>IF(ISBLANK(SM_LEAVES[[#This Row],[DateTo]]),0,IF(SM_LEAVES[[#This Row],[DateFrom]]&lt;SM_LEAVES[[#This Row],[DateTo]],0,1))</f>
        <v>0</v>
      </c>
      <c r="E5" s="11" cm="1">
        <f t="array" aca="1" ref="E5" ca="1">IF(CELL("format",SM_LEAVES[[#This Row],[DateFrom]])="D1",0,1)+IF(CELL("format",SM_LEAVES[[#This Row],[DateTo]])="D1",0,1)</f>
        <v>0</v>
      </c>
      <c r="F5">
        <f>IF(OR(SM_LEAVES[[#This Row],[PensionOptOut]]=TRUE,SM_LEAVES[[#This Row],[PensionOptOut]]=FALSE),0,1)</f>
        <v>0</v>
      </c>
      <c r="G5">
        <f>COUNTBLANK(SM_LEAVES[[#This Row],[StaffMemberCode]:[DateTo]])+COUNTBLANK(SM_LEAVES[[#This Row],[PensionOptOut]])</f>
        <v>0</v>
      </c>
      <c r="H5" s="43">
        <f ca="1">SUM(SM_LEAVES[[#This Row],[Duplicate Employee]:[Blank in column]])</f>
        <v>0</v>
      </c>
      <c r="I5" s="27">
        <f>IF(SM_LEAVES[[#This Row],[DateFrom]]&gt;=_xlfn.XLOOKUP(SM_LEAVES[[#This Row],[StaffMemberCode]],CONT_SUP[StaffMemberCode],CONT_SUP[DateFrom],_xlfn.XLOOKUP(SM_LEAVES[[#This Row],[StaffMemberCode]],CONT_TEA[StaffMemberCode],CONT_TEA[DateFrom])),0,1)</f>
        <v>0</v>
      </c>
      <c r="J5" s="43"/>
      <c r="K5" s="43">
        <v>91073416</v>
      </c>
      <c r="L5" s="77" t="s">
        <v>1253</v>
      </c>
      <c r="M5" s="142">
        <v>45901</v>
      </c>
      <c r="N5" s="78">
        <v>45901</v>
      </c>
      <c r="O5" s="78">
        <v>46265</v>
      </c>
      <c r="P5" s="43"/>
      <c r="Q5" s="43" t="b">
        <v>0</v>
      </c>
      <c r="R5" s="18" t="str">
        <f>_xlfn.XLOOKUP(SM_LEAVES[[#This Row],[StaffMemberCode]],StaffMembers!O:O,StaffMembers!R:R)</f>
        <v>Philippa Dembski</v>
      </c>
      <c r="T5" t="s">
        <v>4900</v>
      </c>
    </row>
    <row r="6" spans="1:20" x14ac:dyDescent="0.3">
      <c r="A6" s="110">
        <f>COUNTIF(SM_LEAVES[StaffMemberCode],SM_LEAVES[[#This Row],[StaffMemberCode]])-1</f>
        <v>0</v>
      </c>
      <c r="B6" s="110">
        <f>1-COUNTIF(MEMBERS[StaffMemberCode],SM_LEAVES[[#This Row],[StaffMemberCode]])</f>
        <v>0</v>
      </c>
      <c r="C6" s="11" t="str">
        <f>IF(COUNTIF(LeaveTypes!J:J,SM_LEAVES[[#This Row],[LeaveTypeCode]])&gt;0,"0","1")</f>
        <v>0</v>
      </c>
      <c r="D6">
        <f>IF(ISBLANK(SM_LEAVES[[#This Row],[DateTo]]),0,IF(SM_LEAVES[[#This Row],[DateFrom]]&lt;SM_LEAVES[[#This Row],[DateTo]],0,1))</f>
        <v>0</v>
      </c>
      <c r="E6" s="11" cm="1">
        <f t="array" aca="1" ref="E6" ca="1">IF(CELL("format",SM_LEAVES[[#This Row],[DateFrom]])="D1",0,1)+IF(CELL("format",SM_LEAVES[[#This Row],[DateTo]])="D1",0,1)</f>
        <v>0</v>
      </c>
      <c r="F6">
        <f>IF(OR(SM_LEAVES[[#This Row],[PensionOptOut]]=TRUE,SM_LEAVES[[#This Row],[PensionOptOut]]=FALSE),0,1)</f>
        <v>0</v>
      </c>
      <c r="G6">
        <f>COUNTBLANK(SM_LEAVES[[#This Row],[StaffMemberCode]:[DateTo]])+COUNTBLANK(SM_LEAVES[[#This Row],[PensionOptOut]])</f>
        <v>0</v>
      </c>
      <c r="H6" s="43">
        <f ca="1">SUM(SM_LEAVES[[#This Row],[Duplicate Employee]:[Blank in column]])</f>
        <v>0</v>
      </c>
      <c r="I6" s="27">
        <f>IF(SM_LEAVES[[#This Row],[DateFrom]]&gt;=_xlfn.XLOOKUP(SM_LEAVES[[#This Row],[StaffMemberCode]],CONT_SUP[StaffMemberCode],CONT_SUP[DateFrom],_xlfn.XLOOKUP(SM_LEAVES[[#This Row],[StaffMemberCode]],CONT_TEA[StaffMemberCode],CONT_TEA[DateFrom])),0,1)</f>
        <v>0</v>
      </c>
      <c r="J6" s="43"/>
      <c r="K6" s="43">
        <v>91073431</v>
      </c>
      <c r="L6" s="77" t="s">
        <v>1253</v>
      </c>
      <c r="M6" s="158">
        <v>45879</v>
      </c>
      <c r="N6" s="78">
        <v>45901</v>
      </c>
      <c r="O6" s="78">
        <v>46265</v>
      </c>
      <c r="P6" s="43"/>
      <c r="Q6" s="43" t="b">
        <v>0</v>
      </c>
      <c r="R6" s="18" t="str">
        <f>_xlfn.XLOOKUP(SM_LEAVES[[#This Row],[StaffMemberCode]],StaffMembers!O:O,StaffMembers!R:R)</f>
        <v>Mollie Addis</v>
      </c>
      <c r="T6" t="s">
        <v>4901</v>
      </c>
    </row>
    <row r="7" spans="1:20" x14ac:dyDescent="0.3">
      <c r="A7" s="110">
        <f>COUNTIF(SM_LEAVES[StaffMemberCode],SM_LEAVES[[#This Row],[StaffMemberCode]])-1</f>
        <v>0</v>
      </c>
      <c r="B7" s="110">
        <f>1-COUNTIF(MEMBERS[StaffMemberCode],SM_LEAVES[[#This Row],[StaffMemberCode]])</f>
        <v>0</v>
      </c>
      <c r="C7" s="11" t="str">
        <f>IF(COUNTIF(LeaveTypes!J:J,SM_LEAVES[[#This Row],[LeaveTypeCode]])&gt;0,"0","1")</f>
        <v>0</v>
      </c>
      <c r="D7">
        <f>IF(ISBLANK(SM_LEAVES[[#This Row],[DateTo]]),0,IF(SM_LEAVES[[#This Row],[DateFrom]]&lt;SM_LEAVES[[#This Row],[DateTo]],0,1))</f>
        <v>0</v>
      </c>
      <c r="E7" s="11" cm="1">
        <f t="array" aca="1" ref="E7" ca="1">IF(CELL("format",SM_LEAVES[[#This Row],[DateFrom]])="D1",0,1)+IF(CELL("format",SM_LEAVES[[#This Row],[DateTo]])="D1",0,1)</f>
        <v>0</v>
      </c>
      <c r="F7">
        <f>IF(OR(SM_LEAVES[[#This Row],[PensionOptOut]]=TRUE,SM_LEAVES[[#This Row],[PensionOptOut]]=FALSE),0,1)</f>
        <v>0</v>
      </c>
      <c r="G7">
        <f>COUNTBLANK(SM_LEAVES[[#This Row],[StaffMemberCode]:[DateTo]])+COUNTBLANK(SM_LEAVES[[#This Row],[PensionOptOut]])</f>
        <v>0</v>
      </c>
      <c r="H7" s="43">
        <f ca="1">SUM(SM_LEAVES[[#This Row],[Duplicate Employee]:[Blank in column]])</f>
        <v>0</v>
      </c>
      <c r="I7" s="27">
        <f>IF(SM_LEAVES[[#This Row],[DateFrom]]&gt;=_xlfn.XLOOKUP(SM_LEAVES[[#This Row],[StaffMemberCode]],CONT_SUP[StaffMemberCode],CONT_SUP[DateFrom],_xlfn.XLOOKUP(SM_LEAVES[[#This Row],[StaffMemberCode]],CONT_TEA[StaffMemberCode],CONT_TEA[DateFrom])),0,1)</f>
        <v>0</v>
      </c>
      <c r="J7" s="43"/>
      <c r="K7" s="43">
        <v>91073730</v>
      </c>
      <c r="L7" s="77" t="s">
        <v>1259</v>
      </c>
      <c r="M7" s="142">
        <v>46002</v>
      </c>
      <c r="N7" s="78">
        <v>46002</v>
      </c>
      <c r="O7" s="78">
        <v>46108</v>
      </c>
      <c r="P7" s="43"/>
      <c r="Q7" s="43" t="b">
        <v>0</v>
      </c>
      <c r="R7" s="18" t="str">
        <f>_xlfn.XLOOKUP(SM_LEAVES[[#This Row],[StaffMemberCode]],StaffMembers!O:O,StaffMembers!R:R)</f>
        <v>Laura Parr</v>
      </c>
      <c r="T7" t="s">
        <v>4902</v>
      </c>
    </row>
    <row r="8" spans="1:20" x14ac:dyDescent="0.3">
      <c r="A8" s="110">
        <f>COUNTIF(SM_LEAVES[StaffMemberCode],SM_LEAVES[[#This Row],[StaffMemberCode]])-1</f>
        <v>0</v>
      </c>
      <c r="B8" s="110">
        <f>1-COUNTIF(MEMBERS[StaffMemberCode],SM_LEAVES[[#This Row],[StaffMemberCode]])</f>
        <v>0</v>
      </c>
      <c r="C8" s="11" t="str">
        <f>IF(COUNTIF(LeaveTypes!J:J,SM_LEAVES[[#This Row],[LeaveTypeCode]])&gt;0,"0","1")</f>
        <v>0</v>
      </c>
      <c r="D8">
        <f>IF(ISBLANK(SM_LEAVES[[#This Row],[DateTo]]),0,IF(SM_LEAVES[[#This Row],[DateFrom]]&lt;SM_LEAVES[[#This Row],[DateTo]],0,1))</f>
        <v>0</v>
      </c>
      <c r="E8" s="11" cm="1">
        <f t="array" aca="1" ref="E8" ca="1">IF(CELL("format",SM_LEAVES[[#This Row],[DateFrom]])="D1",0,1)+IF(CELL("format",SM_LEAVES[[#This Row],[DateTo]])="D1",0,1)</f>
        <v>0</v>
      </c>
      <c r="F8">
        <f>IF(OR(SM_LEAVES[[#This Row],[PensionOptOut]]=TRUE,SM_LEAVES[[#This Row],[PensionOptOut]]=FALSE),0,1)</f>
        <v>0</v>
      </c>
      <c r="G8">
        <f>COUNTBLANK(SM_LEAVES[[#This Row],[StaffMemberCode]:[DateTo]])+COUNTBLANK(SM_LEAVES[[#This Row],[PensionOptOut]])</f>
        <v>0</v>
      </c>
      <c r="H8" s="43">
        <f ca="1">SUM(SM_LEAVES[[#This Row],[Duplicate Employee]:[Blank in column]])</f>
        <v>0</v>
      </c>
      <c r="I8" s="27">
        <f>IF(SM_LEAVES[[#This Row],[DateFrom]]&gt;=_xlfn.XLOOKUP(SM_LEAVES[[#This Row],[StaffMemberCode]],CONT_SUP[StaffMemberCode],CONT_SUP[DateFrom],_xlfn.XLOOKUP(SM_LEAVES[[#This Row],[StaffMemberCode]],CONT_TEA[StaffMemberCode],CONT_TEA[DateFrom])),0,1)</f>
        <v>0</v>
      </c>
      <c r="J8" s="43"/>
      <c r="K8" s="43">
        <v>91324672</v>
      </c>
      <c r="L8" s="77" t="s">
        <v>1259</v>
      </c>
      <c r="M8" s="142">
        <v>45999</v>
      </c>
      <c r="N8" s="78">
        <v>45999</v>
      </c>
      <c r="O8" s="78">
        <v>46363</v>
      </c>
      <c r="P8" s="43"/>
      <c r="Q8" s="43" t="b">
        <v>0</v>
      </c>
      <c r="R8" s="18" t="str">
        <f>_xlfn.XLOOKUP(SM_LEAVES[[#This Row],[StaffMemberCode]],StaffMembers!O:O,StaffMembers!R:R)</f>
        <v>Natalie Zatrakova</v>
      </c>
      <c r="T8" t="s">
        <v>4903</v>
      </c>
    </row>
    <row r="9" spans="1:20" x14ac:dyDescent="0.3">
      <c r="A9" s="110">
        <f>COUNTIF(SM_LEAVES[StaffMemberCode],SM_LEAVES[[#This Row],[StaffMemberCode]])-1</f>
        <v>0</v>
      </c>
      <c r="B9" s="110">
        <f>1-COUNTIF(MEMBERS[StaffMemberCode],SM_LEAVES[[#This Row],[StaffMemberCode]])</f>
        <v>0</v>
      </c>
      <c r="C9" s="11" t="str">
        <f>IF(COUNTIF(LeaveTypes!J:J,SM_LEAVES[[#This Row],[LeaveTypeCode]])&gt;0,"0","1")</f>
        <v>0</v>
      </c>
      <c r="D9">
        <f>IF(ISBLANK(SM_LEAVES[[#This Row],[DateTo]]),0,IF(SM_LEAVES[[#This Row],[DateFrom]]&lt;SM_LEAVES[[#This Row],[DateTo]],0,1))</f>
        <v>0</v>
      </c>
      <c r="E9" s="11" cm="1">
        <f t="array" aca="1" ref="E9" ca="1">IF(CELL("format",SM_LEAVES[[#This Row],[DateFrom]])="D1",0,1)+IF(CELL("format",SM_LEAVES[[#This Row],[DateTo]])="D1",0,1)</f>
        <v>0</v>
      </c>
      <c r="F9">
        <f>IF(OR(SM_LEAVES[[#This Row],[PensionOptOut]]=TRUE,SM_LEAVES[[#This Row],[PensionOptOut]]=FALSE),0,1)</f>
        <v>0</v>
      </c>
      <c r="G9">
        <f>COUNTBLANK(SM_LEAVES[[#This Row],[StaffMemberCode]:[DateTo]])+COUNTBLANK(SM_LEAVES[[#This Row],[PensionOptOut]])</f>
        <v>0</v>
      </c>
      <c r="H9" s="43">
        <f ca="1">SUM(SM_LEAVES[[#This Row],[Duplicate Employee]:[Blank in column]])</f>
        <v>0</v>
      </c>
      <c r="I9" s="27">
        <f>IF(SM_LEAVES[[#This Row],[DateFrom]]&gt;=_xlfn.XLOOKUP(SM_LEAVES[[#This Row],[StaffMemberCode]],CONT_SUP[StaffMemberCode],CONT_SUP[DateFrom],_xlfn.XLOOKUP(SM_LEAVES[[#This Row],[StaffMemberCode]],CONT_TEA[StaffMemberCode],CONT_TEA[DateFrom])),0,1)</f>
        <v>0</v>
      </c>
      <c r="J9" s="43"/>
      <c r="K9" s="43">
        <v>91073441</v>
      </c>
      <c r="L9" s="77" t="s">
        <v>1259</v>
      </c>
      <c r="M9" s="142">
        <v>45908</v>
      </c>
      <c r="N9" s="78">
        <v>45908</v>
      </c>
      <c r="O9" s="78">
        <v>46215</v>
      </c>
      <c r="P9" s="43"/>
      <c r="Q9" s="43" t="b">
        <v>0</v>
      </c>
      <c r="R9" s="18" t="str">
        <f>_xlfn.XLOOKUP(SM_LEAVES[[#This Row],[StaffMemberCode]],StaffMembers!O:O,StaffMembers!R:R)</f>
        <v>Kirsty MacGregor</v>
      </c>
      <c r="T9" t="s">
        <v>4904</v>
      </c>
    </row>
    <row r="10" spans="1:20" x14ac:dyDescent="0.3">
      <c r="A10" s="110">
        <f>COUNTIF(SM_LEAVES[StaffMemberCode],SM_LEAVES[[#This Row],[StaffMemberCode]])-1</f>
        <v>0</v>
      </c>
      <c r="B10" s="110">
        <f>1-COUNTIF(MEMBERS[StaffMemberCode],SM_LEAVES[[#This Row],[StaffMemberCode]])</f>
        <v>0</v>
      </c>
      <c r="C10" s="11" t="str">
        <f>IF(COUNTIF(LeaveTypes!J:J,SM_LEAVES[[#This Row],[LeaveTypeCode]])&gt;0,"0","1")</f>
        <v>0</v>
      </c>
      <c r="D10">
        <f>IF(ISBLANK(SM_LEAVES[[#This Row],[DateTo]]),0,IF(SM_LEAVES[[#This Row],[DateFrom]]&lt;SM_LEAVES[[#This Row],[DateTo]],0,1))</f>
        <v>0</v>
      </c>
      <c r="E10" s="11" cm="1">
        <f t="array" aca="1" ref="E10" ca="1">IF(CELL("format",SM_LEAVES[[#This Row],[DateFrom]])="D1",0,1)+IF(CELL("format",SM_LEAVES[[#This Row],[DateTo]])="D1",0,1)</f>
        <v>0</v>
      </c>
      <c r="F10">
        <f>IF(OR(SM_LEAVES[[#This Row],[PensionOptOut]]=TRUE,SM_LEAVES[[#This Row],[PensionOptOut]]=FALSE),0,1)</f>
        <v>0</v>
      </c>
      <c r="G10">
        <f>COUNTBLANK(SM_LEAVES[[#This Row],[StaffMemberCode]:[DateTo]])+COUNTBLANK(SM_LEAVES[[#This Row],[PensionOptOut]])</f>
        <v>0</v>
      </c>
      <c r="H10" s="43">
        <f ca="1">SUM(SM_LEAVES[[#This Row],[Duplicate Employee]:[Blank in column]])</f>
        <v>0</v>
      </c>
      <c r="I10" s="27">
        <f>IF(SM_LEAVES[[#This Row],[DateFrom]]&gt;=_xlfn.XLOOKUP(SM_LEAVES[[#This Row],[StaffMemberCode]],CONT_SUP[StaffMemberCode],CONT_SUP[DateFrom],_xlfn.XLOOKUP(SM_LEAVES[[#This Row],[StaffMemberCode]],CONT_TEA[StaffMemberCode],CONT_TEA[DateFrom])),0,1)</f>
        <v>0</v>
      </c>
      <c r="J10" s="43"/>
      <c r="K10" s="43">
        <v>91073444</v>
      </c>
      <c r="L10" s="77" t="s">
        <v>1259</v>
      </c>
      <c r="M10" s="142">
        <v>45908</v>
      </c>
      <c r="N10" s="78">
        <v>45908</v>
      </c>
      <c r="O10" s="78">
        <v>46272</v>
      </c>
      <c r="P10" s="43"/>
      <c r="Q10" s="43" t="b">
        <v>0</v>
      </c>
      <c r="R10" s="18" t="str">
        <f>_xlfn.XLOOKUP(SM_LEAVES[[#This Row],[StaffMemberCode]],StaffMembers!O:O,StaffMembers!R:R)</f>
        <v>Ella Robinson</v>
      </c>
      <c r="T10" t="s">
        <v>4905</v>
      </c>
    </row>
    <row r="11" spans="1:20" x14ac:dyDescent="0.3">
      <c r="A11" s="110">
        <f>COUNTIF(SM_LEAVES[StaffMemberCode],SM_LEAVES[[#This Row],[StaffMemberCode]])-1</f>
        <v>0</v>
      </c>
      <c r="B11" s="110">
        <f>1-COUNTIF(MEMBERS[StaffMemberCode],SM_LEAVES[[#This Row],[StaffMemberCode]])</f>
        <v>0</v>
      </c>
      <c r="C11" s="11" t="str">
        <f>IF(COUNTIF(LeaveTypes!J:J,SM_LEAVES[[#This Row],[LeaveTypeCode]])&gt;0,"0","1")</f>
        <v>0</v>
      </c>
      <c r="D11">
        <f>IF(ISBLANK(SM_LEAVES[[#This Row],[DateTo]]),0,IF(SM_LEAVES[[#This Row],[DateFrom]]&lt;SM_LEAVES[[#This Row],[DateTo]],0,1))</f>
        <v>0</v>
      </c>
      <c r="E11" s="11" cm="1">
        <f t="array" aca="1" ref="E11" ca="1">IF(CELL("format",SM_LEAVES[[#This Row],[DateFrom]])="D1",0,1)+IF(CELL("format",SM_LEAVES[[#This Row],[DateTo]])="D1",0,1)</f>
        <v>0</v>
      </c>
      <c r="F11">
        <f>IF(OR(SM_LEAVES[[#This Row],[PensionOptOut]]=TRUE,SM_LEAVES[[#This Row],[PensionOptOut]]=FALSE),0,1)</f>
        <v>0</v>
      </c>
      <c r="G11">
        <f>COUNTBLANK(SM_LEAVES[[#This Row],[StaffMemberCode]:[DateTo]])+COUNTBLANK(SM_LEAVES[[#This Row],[PensionOptOut]])</f>
        <v>0</v>
      </c>
      <c r="H11" s="43">
        <f ca="1">SUM(SM_LEAVES[[#This Row],[Duplicate Employee]:[Blank in column]])</f>
        <v>0</v>
      </c>
      <c r="I11" s="27">
        <f>IF(SM_LEAVES[[#This Row],[DateFrom]]&gt;=_xlfn.XLOOKUP(SM_LEAVES[[#This Row],[StaffMemberCode]],CONT_SUP[StaffMemberCode],CONT_SUP[DateFrom],_xlfn.XLOOKUP(SM_LEAVES[[#This Row],[StaffMemberCode]],CONT_TEA[StaffMemberCode],CONT_TEA[DateFrom])),0,1)</f>
        <v>0</v>
      </c>
      <c r="J11" s="43"/>
      <c r="K11" s="43">
        <v>91073608</v>
      </c>
      <c r="L11" s="77" t="s">
        <v>1259</v>
      </c>
      <c r="M11" s="142">
        <v>46034</v>
      </c>
      <c r="N11" s="78">
        <v>46034</v>
      </c>
      <c r="O11" s="78">
        <v>46398</v>
      </c>
      <c r="P11" s="43"/>
      <c r="Q11" s="43" t="b">
        <v>0</v>
      </c>
      <c r="R11" s="18" t="str">
        <f>_xlfn.XLOOKUP(SM_LEAVES[[#This Row],[StaffMemberCode]],StaffMembers!O:O,StaffMembers!R:R)</f>
        <v>Danielle Brindley</v>
      </c>
      <c r="T11" t="s">
        <v>4906</v>
      </c>
    </row>
  </sheetData>
  <phoneticPr fontId="2" type="noConversion"/>
  <pageMargins left="0.7" right="0.7" top="0.75" bottom="0.75" header="0.3" footer="0.3"/>
  <legacyDrawing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F144A-CBF4-4BCD-96E9-3B15B368C085}">
  <sheetPr codeName="Sheet210">
    <tabColor theme="0"/>
  </sheetPr>
  <dimension ref="A1:D24"/>
  <sheetViews>
    <sheetView workbookViewId="0">
      <pane xSplit="2" ySplit="2" topLeftCell="C3" activePane="bottomRight" state="frozen"/>
      <selection activeCell="D2" sqref="D2"/>
      <selection pane="topRight" activeCell="D2" sqref="D2"/>
      <selection pane="bottomLeft" activeCell="D2" sqref="D2"/>
      <selection pane="bottomRight" activeCell="C23" sqref="C23"/>
    </sheetView>
  </sheetViews>
  <sheetFormatPr defaultColWidth="9.33203125" defaultRowHeight="14.4" x14ac:dyDescent="0.3"/>
  <cols>
    <col min="1" max="1" width="3.33203125" customWidth="1"/>
    <col min="2" max="2" width="26" bestFit="1" customWidth="1"/>
    <col min="3" max="3" width="12.5546875" bestFit="1" customWidth="1"/>
    <col min="4" max="4" width="15" bestFit="1" customWidth="1"/>
  </cols>
  <sheetData>
    <row r="1" spans="1:4" x14ac:dyDescent="0.3">
      <c r="A1" s="81"/>
      <c r="B1" s="81" t="s">
        <v>1277</v>
      </c>
      <c r="C1" s="81" t="s">
        <v>1278</v>
      </c>
      <c r="D1" s="81" t="s">
        <v>1279</v>
      </c>
    </row>
    <row r="2" spans="1:4" x14ac:dyDescent="0.3">
      <c r="A2" s="81"/>
      <c r="B2" s="81"/>
      <c r="C2" s="81" t="s">
        <v>1280</v>
      </c>
      <c r="D2" s="81" t="s">
        <v>1281</v>
      </c>
    </row>
    <row r="3" spans="1:4" x14ac:dyDescent="0.3">
      <c r="A3" s="81">
        <v>1</v>
      </c>
      <c r="B3" s="82" t="s">
        <v>1282</v>
      </c>
      <c r="C3" s="10">
        <v>1</v>
      </c>
    </row>
    <row r="4" spans="1:4" x14ac:dyDescent="0.3">
      <c r="A4" s="81">
        <v>2</v>
      </c>
      <c r="B4" s="82" t="s">
        <v>1283</v>
      </c>
      <c r="C4" s="10">
        <v>1</v>
      </c>
    </row>
    <row r="5" spans="1:4" x14ac:dyDescent="0.3">
      <c r="A5" s="81">
        <v>3</v>
      </c>
      <c r="B5" s="82" t="s">
        <v>1284</v>
      </c>
      <c r="C5" s="10">
        <v>1</v>
      </c>
    </row>
    <row r="6" spans="1:4" x14ac:dyDescent="0.3">
      <c r="A6" s="81">
        <v>4</v>
      </c>
      <c r="B6" s="82" t="s">
        <v>1285</v>
      </c>
      <c r="C6" s="10">
        <v>1</v>
      </c>
    </row>
    <row r="7" spans="1:4" x14ac:dyDescent="0.3">
      <c r="A7" s="81">
        <v>5</v>
      </c>
      <c r="B7" s="82" t="s">
        <v>1286</v>
      </c>
      <c r="C7" s="10">
        <v>1</v>
      </c>
    </row>
    <row r="8" spans="1:4" x14ac:dyDescent="0.3">
      <c r="A8" s="81">
        <v>6</v>
      </c>
      <c r="B8" s="82" t="s">
        <v>1287</v>
      </c>
      <c r="C8" s="10">
        <v>1</v>
      </c>
    </row>
    <row r="9" spans="1:4" x14ac:dyDescent="0.3">
      <c r="A9" s="81">
        <v>7</v>
      </c>
      <c r="B9" s="82" t="s">
        <v>1288</v>
      </c>
      <c r="C9" s="10">
        <v>1</v>
      </c>
    </row>
    <row r="10" spans="1:4" x14ac:dyDescent="0.3">
      <c r="A10" s="81">
        <v>8</v>
      </c>
      <c r="B10" s="82" t="s">
        <v>1289</v>
      </c>
      <c r="C10" s="10">
        <v>1</v>
      </c>
    </row>
    <row r="11" spans="1:4" x14ac:dyDescent="0.3">
      <c r="A11" s="81">
        <v>9</v>
      </c>
      <c r="B11" s="82" t="s">
        <v>39</v>
      </c>
      <c r="C11" s="10">
        <v>1</v>
      </c>
    </row>
    <row r="12" spans="1:4" x14ac:dyDescent="0.3">
      <c r="A12" s="81">
        <v>10</v>
      </c>
      <c r="B12" s="82" t="s">
        <v>1290</v>
      </c>
      <c r="C12" s="10">
        <v>1</v>
      </c>
    </row>
    <row r="13" spans="1:4" x14ac:dyDescent="0.3">
      <c r="A13" s="81">
        <v>11</v>
      </c>
      <c r="B13" s="82" t="s">
        <v>1291</v>
      </c>
      <c r="C13" s="10">
        <v>1</v>
      </c>
    </row>
    <row r="14" spans="1:4" x14ac:dyDescent="0.3">
      <c r="A14" s="81">
        <v>12</v>
      </c>
      <c r="B14" s="82" t="s">
        <v>1292</v>
      </c>
      <c r="C14" s="10">
        <v>1</v>
      </c>
    </row>
    <row r="15" spans="1:4" x14ac:dyDescent="0.3">
      <c r="A15" s="81">
        <v>13</v>
      </c>
      <c r="B15" s="82" t="s">
        <v>1293</v>
      </c>
      <c r="C15" s="10">
        <v>1</v>
      </c>
    </row>
    <row r="16" spans="1:4" x14ac:dyDescent="0.3">
      <c r="A16" s="81">
        <v>14</v>
      </c>
      <c r="B16" s="82" t="s">
        <v>1294</v>
      </c>
      <c r="C16" s="10">
        <v>1</v>
      </c>
    </row>
    <row r="17" spans="1:3" x14ac:dyDescent="0.3">
      <c r="A17" s="81">
        <v>15</v>
      </c>
      <c r="B17" s="82" t="s">
        <v>1295</v>
      </c>
      <c r="C17" s="10">
        <v>1</v>
      </c>
    </row>
    <row r="18" spans="1:3" x14ac:dyDescent="0.3">
      <c r="A18" s="81">
        <v>16</v>
      </c>
      <c r="B18" s="82" t="s">
        <v>1296</v>
      </c>
      <c r="C18" s="10">
        <v>1</v>
      </c>
    </row>
    <row r="19" spans="1:3" x14ac:dyDescent="0.3">
      <c r="A19" s="81">
        <v>17</v>
      </c>
      <c r="B19" s="82" t="s">
        <v>1297</v>
      </c>
      <c r="C19" s="10">
        <v>1</v>
      </c>
    </row>
    <row r="20" spans="1:3" x14ac:dyDescent="0.3">
      <c r="A20" s="81">
        <v>18</v>
      </c>
      <c r="B20" s="82" t="s">
        <v>1298</v>
      </c>
      <c r="C20" s="10">
        <v>1</v>
      </c>
    </row>
    <row r="21" spans="1:3" x14ac:dyDescent="0.3">
      <c r="A21" s="81">
        <v>19</v>
      </c>
      <c r="B21" s="82" t="s">
        <v>1299</v>
      </c>
      <c r="C21" s="10">
        <v>1</v>
      </c>
    </row>
    <row r="22" spans="1:3" x14ac:dyDescent="0.3">
      <c r="A22" s="81">
        <v>20</v>
      </c>
      <c r="B22" s="82" t="s">
        <v>1534</v>
      </c>
      <c r="C22" s="10">
        <v>1</v>
      </c>
    </row>
    <row r="23" spans="1:3" x14ac:dyDescent="0.3">
      <c r="A23" s="81">
        <v>21</v>
      </c>
      <c r="B23" s="82" t="s">
        <v>1535</v>
      </c>
      <c r="C23" s="10">
        <v>0</v>
      </c>
    </row>
    <row r="24" spans="1:3" x14ac:dyDescent="0.3">
      <c r="A24" s="81">
        <v>22</v>
      </c>
      <c r="B24" s="82" t="s">
        <v>1536</v>
      </c>
      <c r="C24" s="10">
        <v>0</v>
      </c>
    </row>
  </sheetData>
  <phoneticPr fontId="2" type="noConversion"/>
  <hyperlinks>
    <hyperlink ref="B11" location="Pensions!A1" display="Pensions" xr:uid="{C6E3265F-CB59-48BF-9CCE-A14FC06D71C9}"/>
    <hyperlink ref="B12" location="StaffMembers!A1" display="StaffMembers" xr:uid="{5BF8ED68-2406-4E05-914B-EF522075EA08}"/>
    <hyperlink ref="B6" location="PayScales!A1" display="PayScales" xr:uid="{6ABB78B8-C208-4F61-95CC-A4B8ECA2292F}"/>
    <hyperlink ref="B8" location="PayScaleGrades!A1" display="PayScaleGrades" xr:uid="{9F3C7A75-949D-4E44-8532-6EB5647C581E}"/>
    <hyperlink ref="B10" location="EQWPatterns!A1" display="EQWPatterns" xr:uid="{DC0AFBAA-2718-4693-9835-546C03EEC218}"/>
    <hyperlink ref="B13" location="StfRoleGroup!A1" display="StfRoleGroup" xr:uid="{2EFE412A-E65D-4C5D-91A9-9EC0E208D8F4}"/>
    <hyperlink ref="B14" location="StfRole!A1" display="StfRole" xr:uid="{9C4D4E7A-1B3C-4C88-AA7C-C85A3FC0DC96}"/>
    <hyperlink ref="B15" location="ContractsTeachFTE!A1" display="ContractsTeachFTE" xr:uid="{D0B8A857-D82A-4687-A814-838B0C26A218}"/>
    <hyperlink ref="B16" location="ContractsSupportHours!A1" display="ContractsSupportHours" xr:uid="{77E3A649-4B8C-440B-9645-4A42DA24A9ED}"/>
    <hyperlink ref="B17" location="LeaveTypes!A1" display="LeaveTypes" xr:uid="{C1F72E1B-5ECE-46E5-8430-D49C998F2C91}"/>
    <hyperlink ref="B20" location="ContractAdjustments!A1" display="ContractAdjustments" xr:uid="{3E7FC3B7-D397-49ED-B14B-001AC434C7ED}"/>
    <hyperlink ref="B9" location="PayScaleIncreasePercen!A1" display="PayScaleIncreasePercen" xr:uid="{44544DCA-0C83-4FAF-A152-035FB51422F0}"/>
    <hyperlink ref="B3" location="AllowanceTypes!A1" display="AllowanceTypes" xr:uid="{05449257-1BCD-4B05-81EF-8669251CD14D}"/>
    <hyperlink ref="B4" location="AllowanceTypePoint!A1" display="AllowanceTypePoint" xr:uid="{83576A4E-397E-42A4-B2CD-CBD3D02494EF}"/>
    <hyperlink ref="B5" location="AllowanceIncreasePercen!A1" display="AllowanceIncreasePercen" xr:uid="{9BC02841-84C7-4B9A-8376-1768F58D43C7}"/>
    <hyperlink ref="B18" location="AdjustmentTypes!A1" display="AdjustmentTypes" xr:uid="{858738E0-2303-49F8-90FE-D4C9EB862360}"/>
    <hyperlink ref="B19" location="StaffMemberLeaves!A1" display="StaffMemberLeaves" xr:uid="{F6459D6A-0D29-4A2E-B13E-6947973EEC50}"/>
    <hyperlink ref="B21" location="ContractAllowances!A1" display="ContractAllowances" xr:uid="{9857BDF0-BA3C-41B5-9E84-E1581F3D0FCE}"/>
    <hyperlink ref="B7" location="PayScalePoints!A1" display="PayScalePoints" xr:uid="{65BCD4B6-D0F2-420A-BFCA-FE23535EC9B7}"/>
    <hyperlink ref="B22" location="'Finance Codes S2'!A1" display="Finance Codes S2" xr:uid="{AF6C840E-A324-40AB-95BE-B2A62A5636D9}"/>
    <hyperlink ref="B23" location="Genders!A1" display="Genders" xr:uid="{385544B4-E071-42D2-BB4E-8C84DF075645}"/>
    <hyperlink ref="B24" location="'ContractTypes'!A1" display="ContractTypes" xr:uid="{4B8DD0C8-8FA3-4D0F-B93B-5FB6325A0E87}"/>
  </hyperlinks>
  <pageMargins left="0.7" right="0.7" top="0.75" bottom="0.75" header="0.3" footer="0.3"/>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8E43E-F300-4E1B-84B3-9ABD48CB64C5}">
  <sheetPr codeName="Sheet371"/>
  <dimension ref="A1:B7"/>
  <sheetViews>
    <sheetView workbookViewId="0">
      <selection activeCell="O17" sqref="O17"/>
    </sheetView>
  </sheetViews>
  <sheetFormatPr defaultRowHeight="14.4" x14ac:dyDescent="0.3"/>
  <cols>
    <col min="1" max="1" width="18.5546875" bestFit="1" customWidth="1"/>
  </cols>
  <sheetData>
    <row r="1" spans="1:2" x14ac:dyDescent="0.3">
      <c r="A1" s="4" t="s">
        <v>1302</v>
      </c>
      <c r="B1" s="4"/>
    </row>
    <row r="2" spans="1:2" x14ac:dyDescent="0.3">
      <c r="A2" t="s">
        <v>923</v>
      </c>
    </row>
    <row r="3" spans="1:2" x14ac:dyDescent="0.3">
      <c r="A3" t="s">
        <v>1300</v>
      </c>
    </row>
    <row r="4" spans="1:2" x14ac:dyDescent="0.3">
      <c r="A4" t="s">
        <v>917</v>
      </c>
    </row>
    <row r="5" spans="1:2" x14ac:dyDescent="0.3">
      <c r="A5" t="s">
        <v>920</v>
      </c>
    </row>
    <row r="6" spans="1:2" x14ac:dyDescent="0.3">
      <c r="A6" t="s">
        <v>1005</v>
      </c>
    </row>
    <row r="7" spans="1:2" x14ac:dyDescent="0.3">
      <c r="A7" t="s">
        <v>1006</v>
      </c>
    </row>
  </sheetData>
  <phoneticPr fontId="2" type="noConversion"/>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F6D79-D3EB-4147-9110-06C9B2F5E0C0}">
  <sheetPr codeName="Sheet321"/>
  <dimension ref="A1:O26"/>
  <sheetViews>
    <sheetView workbookViewId="0">
      <selection activeCell="O17" sqref="O17"/>
    </sheetView>
  </sheetViews>
  <sheetFormatPr defaultColWidth="9.33203125" defaultRowHeight="14.4" x14ac:dyDescent="0.3"/>
  <cols>
    <col min="1" max="1" width="16.33203125" bestFit="1" customWidth="1"/>
    <col min="2" max="2" width="5" bestFit="1" customWidth="1"/>
    <col min="3" max="3" width="3.33203125" customWidth="1"/>
    <col min="7" max="7" width="9.33203125" style="5"/>
    <col min="15" max="15" width="20.88671875" customWidth="1"/>
  </cols>
  <sheetData>
    <row r="1" spans="1:15" x14ac:dyDescent="0.3">
      <c r="A1" s="4" t="s">
        <v>1303</v>
      </c>
      <c r="B1" s="4"/>
      <c r="C1" s="4"/>
      <c r="E1" s="4" t="s">
        <v>1304</v>
      </c>
      <c r="M1" s="4" t="s">
        <v>1305</v>
      </c>
      <c r="O1" t="s">
        <v>1430</v>
      </c>
    </row>
    <row r="2" spans="1:15" x14ac:dyDescent="0.3">
      <c r="A2" t="s">
        <v>1306</v>
      </c>
      <c r="B2">
        <v>0</v>
      </c>
      <c r="E2" t="s">
        <v>1307</v>
      </c>
      <c r="G2" t="b">
        <v>1</v>
      </c>
      <c r="I2" s="1" t="s">
        <v>1308</v>
      </c>
      <c r="K2" t="s">
        <v>1309</v>
      </c>
      <c r="M2" t="s">
        <v>6</v>
      </c>
      <c r="O2" t="s">
        <v>63</v>
      </c>
    </row>
    <row r="3" spans="1:15" x14ac:dyDescent="0.3">
      <c r="A3" t="s">
        <v>1310</v>
      </c>
      <c r="B3">
        <v>0.5</v>
      </c>
      <c r="E3" t="s">
        <v>3</v>
      </c>
      <c r="G3" t="b">
        <v>0</v>
      </c>
      <c r="I3" s="6" t="s">
        <v>1311</v>
      </c>
      <c r="K3" t="s">
        <v>1312</v>
      </c>
      <c r="M3" t="s">
        <v>1119</v>
      </c>
      <c r="O3" t="s">
        <v>917</v>
      </c>
    </row>
    <row r="4" spans="1:15" x14ac:dyDescent="0.3">
      <c r="A4" t="s">
        <v>1313</v>
      </c>
      <c r="B4">
        <v>0.75</v>
      </c>
      <c r="I4" s="7" t="s">
        <v>1314</v>
      </c>
      <c r="M4" t="s">
        <v>1227</v>
      </c>
      <c r="O4" t="s">
        <v>1300</v>
      </c>
    </row>
    <row r="5" spans="1:15" x14ac:dyDescent="0.3">
      <c r="A5" t="s">
        <v>1315</v>
      </c>
      <c r="B5">
        <v>1</v>
      </c>
      <c r="M5" t="s">
        <v>1276</v>
      </c>
      <c r="O5" t="s">
        <v>920</v>
      </c>
    </row>
    <row r="6" spans="1:15" x14ac:dyDescent="0.3">
      <c r="A6" t="s">
        <v>1316</v>
      </c>
      <c r="B6">
        <v>0</v>
      </c>
      <c r="M6" t="s">
        <v>1317</v>
      </c>
      <c r="O6" t="s">
        <v>923</v>
      </c>
    </row>
    <row r="7" spans="1:15" x14ac:dyDescent="0.3">
      <c r="A7" t="s">
        <v>1318</v>
      </c>
      <c r="B7">
        <v>0</v>
      </c>
      <c r="G7" s="5" t="s">
        <v>1007</v>
      </c>
      <c r="H7" t="s">
        <v>1008</v>
      </c>
      <c r="M7" t="s">
        <v>1319</v>
      </c>
    </row>
    <row r="8" spans="1:15" x14ac:dyDescent="0.3">
      <c r="A8" t="s">
        <v>1320</v>
      </c>
      <c r="G8" s="5" t="s">
        <v>1009</v>
      </c>
      <c r="H8" t="s">
        <v>1010</v>
      </c>
    </row>
    <row r="9" spans="1:15" x14ac:dyDescent="0.3">
      <c r="G9" s="5" t="s">
        <v>1011</v>
      </c>
      <c r="H9" t="s">
        <v>1012</v>
      </c>
    </row>
    <row r="10" spans="1:15" x14ac:dyDescent="0.3">
      <c r="A10" t="s">
        <v>964</v>
      </c>
      <c r="G10" s="5" t="s">
        <v>1013</v>
      </c>
      <c r="H10" t="s">
        <v>1014</v>
      </c>
    </row>
    <row r="11" spans="1:15" x14ac:dyDescent="0.3">
      <c r="A11" t="s">
        <v>965</v>
      </c>
      <c r="G11" s="5" t="s">
        <v>1015</v>
      </c>
      <c r="H11" t="s">
        <v>1016</v>
      </c>
    </row>
    <row r="12" spans="1:15" x14ac:dyDescent="0.3">
      <c r="A12" t="s">
        <v>963</v>
      </c>
      <c r="G12" s="5" t="s">
        <v>1017</v>
      </c>
      <c r="H12" t="s">
        <v>1018</v>
      </c>
    </row>
    <row r="13" spans="1:15" x14ac:dyDescent="0.3">
      <c r="A13" t="s">
        <v>897</v>
      </c>
      <c r="G13" s="5" t="s">
        <v>1019</v>
      </c>
      <c r="H13" t="s">
        <v>1020</v>
      </c>
    </row>
    <row r="14" spans="1:15" x14ac:dyDescent="0.3">
      <c r="G14" s="5" t="s">
        <v>1021</v>
      </c>
      <c r="H14" t="s">
        <v>1022</v>
      </c>
    </row>
    <row r="15" spans="1:15" x14ac:dyDescent="0.3">
      <c r="A15" t="s">
        <v>898</v>
      </c>
      <c r="G15" s="5" t="s">
        <v>1023</v>
      </c>
      <c r="H15" t="s">
        <v>1024</v>
      </c>
    </row>
    <row r="16" spans="1:15" x14ac:dyDescent="0.3">
      <c r="A16" t="s">
        <v>875</v>
      </c>
      <c r="G16" s="5" t="s">
        <v>1025</v>
      </c>
      <c r="H16" t="s">
        <v>1026</v>
      </c>
    </row>
    <row r="17" spans="1:8" x14ac:dyDescent="0.3">
      <c r="A17" t="s">
        <v>877</v>
      </c>
      <c r="G17" s="5" t="s">
        <v>1027</v>
      </c>
      <c r="H17" t="s">
        <v>1028</v>
      </c>
    </row>
    <row r="18" spans="1:8" x14ac:dyDescent="0.3">
      <c r="A18" t="s">
        <v>879</v>
      </c>
      <c r="G18" s="5" t="s">
        <v>1029</v>
      </c>
      <c r="H18" t="s">
        <v>1030</v>
      </c>
    </row>
    <row r="19" spans="1:8" x14ac:dyDescent="0.3">
      <c r="A19" t="s">
        <v>918</v>
      </c>
      <c r="G19" s="5" t="s">
        <v>1031</v>
      </c>
      <c r="H19" t="s">
        <v>1032</v>
      </c>
    </row>
    <row r="20" spans="1:8" x14ac:dyDescent="0.3">
      <c r="A20" t="s">
        <v>919</v>
      </c>
      <c r="G20" s="5" t="s">
        <v>1033</v>
      </c>
      <c r="H20" t="s">
        <v>1034</v>
      </c>
    </row>
    <row r="21" spans="1:8" x14ac:dyDescent="0.3">
      <c r="A21" t="s">
        <v>1322</v>
      </c>
      <c r="G21" s="5" t="s">
        <v>1035</v>
      </c>
      <c r="H21" t="s">
        <v>1036</v>
      </c>
    </row>
    <row r="22" spans="1:8" x14ac:dyDescent="0.3">
      <c r="A22" t="s">
        <v>899</v>
      </c>
      <c r="G22" s="5" t="s">
        <v>1037</v>
      </c>
      <c r="H22" t="s">
        <v>1038</v>
      </c>
    </row>
    <row r="23" spans="1:8" x14ac:dyDescent="0.3">
      <c r="G23" s="5" t="s">
        <v>1039</v>
      </c>
      <c r="H23" t="s">
        <v>1040</v>
      </c>
    </row>
    <row r="24" spans="1:8" x14ac:dyDescent="0.3">
      <c r="G24" s="5" t="s">
        <v>1041</v>
      </c>
      <c r="H24" t="s">
        <v>1042</v>
      </c>
    </row>
    <row r="25" spans="1:8" x14ac:dyDescent="0.3">
      <c r="G25" s="5" t="s">
        <v>1043</v>
      </c>
      <c r="H25" t="s">
        <v>1044</v>
      </c>
    </row>
    <row r="26" spans="1:8" x14ac:dyDescent="0.3">
      <c r="G26" s="5" t="s">
        <v>1045</v>
      </c>
      <c r="H26" t="s">
        <v>1046</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FA0EDB4919DEF46A3F9004875D57D86" ma:contentTypeVersion="17" ma:contentTypeDescription="Create a new document." ma:contentTypeScope="" ma:versionID="df779710d3984a72ef90d6987b1ced28">
  <xsd:schema xmlns:xsd="http://www.w3.org/2001/XMLSchema" xmlns:xs="http://www.w3.org/2001/XMLSchema" xmlns:p="http://schemas.microsoft.com/office/2006/metadata/properties" xmlns:ns2="05c74e94-00cb-4960-9681-9403ecb617b0" xmlns:ns3="9f2f73ca-e186-41ca-9b39-17400bef97b2" targetNamespace="http://schemas.microsoft.com/office/2006/metadata/properties" ma:root="true" ma:fieldsID="145e04b88160d965f24fa293422ed3b2" ns2:_="" ns3:_="">
    <xsd:import namespace="05c74e94-00cb-4960-9681-9403ecb617b0"/>
    <xsd:import namespace="9f2f73ca-e186-41ca-9b39-17400bef97b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c74e94-00cb-4960-9681-9403ecb617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642ee81-b0db-44ae-be3d-cd622bfef65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f2f73ca-e186-41ca-9b39-17400bef97b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e102cf62-306d-4988-945c-4383bcab73be}" ma:internalName="TaxCatchAll" ma:showField="CatchAllData" ma:web="9f2f73ca-e186-41ca-9b39-17400bef97b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9f2f73ca-e186-41ca-9b39-17400bef97b2">
      <UserInfo>
        <DisplayName>Simon Pidduck</DisplayName>
        <AccountId>39</AccountId>
        <AccountType/>
      </UserInfo>
      <UserInfo>
        <DisplayName>Sarah Martin</DisplayName>
        <AccountId>48</AccountId>
        <AccountType/>
      </UserInfo>
      <UserInfo>
        <DisplayName>Gill Edwards</DisplayName>
        <AccountId>27</AccountId>
        <AccountType/>
      </UserInfo>
      <UserInfo>
        <DisplayName>Paul Ramster</DisplayName>
        <AccountId>25</AccountId>
        <AccountType/>
      </UserInfo>
    </SharedWithUsers>
    <TaxCatchAll xmlns="9f2f73ca-e186-41ca-9b39-17400bef97b2" xsi:nil="true"/>
    <lcf76f155ced4ddcb4097134ff3c332f xmlns="05c74e94-00cb-4960-9681-9403ecb617b0">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0EDCBCF4-ECEF-4317-8F8C-293D7FBBD21A}">
  <ds:schemaRefs>
    <ds:schemaRef ds:uri="http://schemas.microsoft.com/sharepoint/v3/contenttype/forms"/>
  </ds:schemaRefs>
</ds:datastoreItem>
</file>

<file path=customXml/itemProps2.xml><?xml version="1.0" encoding="utf-8"?>
<ds:datastoreItem xmlns:ds="http://schemas.openxmlformats.org/officeDocument/2006/customXml" ds:itemID="{DA791C48-204D-4AC7-B2D0-9C1DFC7DD3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c74e94-00cb-4960-9681-9403ecb617b0"/>
    <ds:schemaRef ds:uri="9f2f73ca-e186-41ca-9b39-17400bef97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0619F97-77E5-4DF6-A4A4-AC7F9A0CBAB1}">
  <ds:schemaRefs>
    <ds:schemaRef ds:uri="http://purl.org/dc/dcmitype/"/>
    <ds:schemaRef ds:uri="http://schemas.microsoft.com/office/2006/documentManagement/types"/>
    <ds:schemaRef ds:uri="http://schemas.microsoft.com/office/infopath/2007/PartnerControls"/>
    <ds:schemaRef ds:uri="05c74e94-00cb-4960-9681-9403ecb617b0"/>
    <ds:schemaRef ds:uri="http://purl.org/dc/terms/"/>
    <ds:schemaRef ds:uri="http://www.w3.org/XML/1998/namespace"/>
    <ds:schemaRef ds:uri="http://schemas.microsoft.com/office/2006/metadata/properties"/>
    <ds:schemaRef ds:uri="http://schemas.openxmlformats.org/package/2006/metadata/core-properties"/>
    <ds:schemaRef ds:uri="9f2f73ca-e186-41ca-9b39-17400bef97b2"/>
    <ds:schemaRef ds:uri="http://purl.org/dc/elements/1.1/"/>
  </ds:schemaRefs>
</ds:datastoreItem>
</file>

<file path=customXml/itemProps4.xml><?xml version="1.0" encoding="utf-8"?>
<ds:datastoreItem xmlns:ds="http://schemas.openxmlformats.org/officeDocument/2006/customXml" ds:itemID="{581F9116-D2BA-4473-8094-4A6CA56761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41</vt:i4>
      </vt:variant>
      <vt:variant>
        <vt:lpstr>Named Ranges</vt:lpstr>
      </vt:variant>
      <vt:variant>
        <vt:i4>1</vt:i4>
      </vt:variant>
    </vt:vector>
  </HeadingPairs>
  <TitlesOfParts>
    <vt:vector size="42" baseType="lpstr">
      <vt:lpstr>Parameters</vt:lpstr>
      <vt:lpstr>Notes</vt:lpstr>
      <vt:lpstr>Build Checklist</vt:lpstr>
      <vt:lpstr>Import Checklist</vt:lpstr>
      <vt:lpstr>System Grouping Codes</vt:lpstr>
      <vt:lpstr>Funds</vt:lpstr>
      <vt:lpstr>Activity</vt:lpstr>
      <vt:lpstr>Ledger</vt:lpstr>
      <vt:lpstr>CustGroup</vt:lpstr>
      <vt:lpstr>SchHub</vt:lpstr>
      <vt:lpstr>SchType</vt:lpstr>
      <vt:lpstr>LocalAuth</vt:lpstr>
      <vt:lpstr>Schools</vt:lpstr>
      <vt:lpstr>Depts</vt:lpstr>
      <vt:lpstr>SourceFinanceCodes</vt:lpstr>
      <vt:lpstr>Finance Codes S2</vt:lpstr>
      <vt:lpstr>FinanceCodes Budget</vt:lpstr>
      <vt:lpstr>PayScales</vt:lpstr>
      <vt:lpstr>PayScalePoints</vt:lpstr>
      <vt:lpstr>PayScaleGrades</vt:lpstr>
      <vt:lpstr>PayScaleIncreasePercen</vt:lpstr>
      <vt:lpstr>AllowanceTypes</vt:lpstr>
      <vt:lpstr>AllowanceTypePoint</vt:lpstr>
      <vt:lpstr>AllowanceIncreasePercen</vt:lpstr>
      <vt:lpstr>AdjustmentTypes</vt:lpstr>
      <vt:lpstr>Pensions</vt:lpstr>
      <vt:lpstr>EQWPatterns</vt:lpstr>
      <vt:lpstr>StfRoleGroup</vt:lpstr>
      <vt:lpstr>StfRole</vt:lpstr>
      <vt:lpstr>Genders</vt:lpstr>
      <vt:lpstr>ContractTypes</vt:lpstr>
      <vt:lpstr>StaffMembers</vt:lpstr>
      <vt:lpstr>ContractsTeachFTE</vt:lpstr>
      <vt:lpstr>ContractsSupportHours</vt:lpstr>
      <vt:lpstr>ContractAllowances</vt:lpstr>
      <vt:lpstr>ContractAdjustments</vt:lpstr>
      <vt:lpstr>LeaveTypes</vt:lpstr>
      <vt:lpstr>StaffMemberLeaves</vt:lpstr>
      <vt:lpstr>Checklist</vt:lpstr>
      <vt:lpstr>Lookup</vt:lpstr>
      <vt:lpstr>Validation</vt:lpstr>
      <vt:lpstr>BuildYear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Dave Hall</dc:creator>
  <cp:keywords/>
  <dc:description/>
  <cp:lastModifiedBy>Alex Cane</cp:lastModifiedBy>
  <cp:revision/>
  <dcterms:created xsi:type="dcterms:W3CDTF">2019-04-25T10:54:11Z</dcterms:created>
  <dcterms:modified xsi:type="dcterms:W3CDTF">2026-02-04T14:46:25Z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0x0101006FA0EDB4919DEF46A3F9004875D57D86</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lpwstr/>
  </property>
  <property fmtid="{D5CDD505-2E9C-101B-9397-08002B2CF9AE}" pid="9" name="MediaServiceImageTags">
    <vt:lpwstr/>
  </property>
</Properties>
</file>